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harts/chart13.xml" ContentType="application/vnd.openxmlformats-officedocument.drawingml.chart+xml"/>
  <Override PartName="/xl/drawings/drawing6.xml" ContentType="application/vnd.openxmlformats-officedocument.drawing+xml"/>
  <Override PartName="/xl/comments7.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7.xml" ContentType="application/vnd.openxmlformats-officedocument.drawing+xml"/>
  <Override PartName="/xl/comments8.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harts/chart25.xml" ContentType="application/vnd.openxmlformats-officedocument.drawingml.chart+xml"/>
  <Override PartName="/xl/drawings/drawing10.xml" ContentType="application/vnd.openxmlformats-officedocument.drawing+xml"/>
  <Override PartName="/xl/comments11.xml" ContentType="application/vnd.openxmlformats-officedocument.spreadsheetml.comment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1.xml" ContentType="application/vnd.openxmlformats-officedocument.drawing+xml"/>
  <Override PartName="/xl/comments12.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style7.xml" ContentType="application/vnd.ms-office.chartstyle+xml"/>
  <Override PartName="/xl/charts/colors7.xml" ContentType="application/vnd.ms-office.chartcolorstyle+xml"/>
  <Override PartName="/xl/charts/chart35.xml" ContentType="application/vnd.openxmlformats-officedocument.drawingml.chart+xml"/>
  <Override PartName="/xl/charts/style8.xml" ContentType="application/vnd.ms-office.chartstyle+xml"/>
  <Override PartName="/xl/charts/colors8.xml" ContentType="application/vnd.ms-office.chartcolorstyle+xml"/>
  <Override PartName="/xl/charts/chart36.xml" ContentType="application/vnd.openxmlformats-officedocument.drawingml.chart+xml"/>
  <Override PartName="/xl/charts/style9.xml" ContentType="application/vnd.ms-office.chartstyle+xml"/>
  <Override PartName="/xl/charts/colors9.xml" ContentType="application/vnd.ms-office.chartcolorstyle+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harts/chart37.xml" ContentType="application/vnd.openxmlformats-officedocument.drawingml.chart+xml"/>
  <Override PartName="/xl/drawings/drawing14.xml" ContentType="application/vnd.openxmlformats-officedocument.drawing+xml"/>
  <Override PartName="/xl/comments15.xml" ContentType="application/vnd.openxmlformats-officedocument.spreadsheetml.comments+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5.xml" ContentType="application/vnd.openxmlformats-officedocument.drawing+xml"/>
  <Override PartName="/xl/comments16.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6.xml" ContentType="application/vnd.openxmlformats-officedocument.drawing+xml"/>
  <Override PartName="/xl/comments17.xml" ContentType="application/vnd.openxmlformats-officedocument.spreadsheetml.comments+xml"/>
  <Override PartName="/xl/charts/chart46.xml" ContentType="application/vnd.openxmlformats-officedocument.drawingml.chart+xml"/>
  <Override PartName="/xl/drawings/drawing17.xml" ContentType="application/vnd.openxmlformats-officedocument.drawing+xml"/>
  <Override PartName="/xl/comments18.xml" ContentType="application/vnd.openxmlformats-officedocument.spreadsheetml.comments+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8.xml" ContentType="application/vnd.openxmlformats-officedocument.drawing+xml"/>
  <Override PartName="/xl/comments19.xml" ContentType="application/vnd.openxmlformats-officedocument.spreadsheetml.comments+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9.xml" ContentType="application/vnd.openxmlformats-officedocument.drawing+xml"/>
  <Override PartName="/xl/charts/chart55.xml" ContentType="application/vnd.openxmlformats-officedocument.drawingml.chart+xml"/>
  <Override PartName="/xl/charts/style10.xml" ContentType="application/vnd.ms-office.chartstyle+xml"/>
  <Override PartName="/xl/charts/colors10.xml" ContentType="application/vnd.ms-office.chartcolorstyle+xml"/>
  <Override PartName="/xl/charts/chart56.xml" ContentType="application/vnd.openxmlformats-officedocument.drawingml.chart+xml"/>
  <Override PartName="/xl/charts/style11.xml" ContentType="application/vnd.ms-office.chartstyle+xml"/>
  <Override PartName="/xl/charts/colors11.xml" ContentType="application/vnd.ms-office.chartcolorstyle+xml"/>
  <Override PartName="/xl/charts/chart57.xml" ContentType="application/vnd.openxmlformats-officedocument.drawingml.chart+xml"/>
  <Override PartName="/xl/charts/style12.xml" ContentType="application/vnd.ms-office.chartstyle+xml"/>
  <Override PartName="/xl/charts/colors12.xml" ContentType="application/vnd.ms-office.chartcolorstyle+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charts/chart58.xml" ContentType="application/vnd.openxmlformats-officedocument.drawingml.chart+xml"/>
  <Override PartName="/xl/drawings/drawing21.xml" ContentType="application/vnd.openxmlformats-officedocument.drawing+xml"/>
  <Override PartName="/xl/comments22.xml" ContentType="application/vnd.openxmlformats-officedocument.spreadsheetml.comments+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22.xml" ContentType="application/vnd.openxmlformats-officedocument.drawing+xml"/>
  <Override PartName="/xl/comments23.xml" ContentType="application/vnd.openxmlformats-officedocument.spreadsheetml.comments+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23.xml" ContentType="application/vnd.openxmlformats-officedocument.drawing+xml"/>
  <Override PartName="/xl/comments24.xml" ContentType="application/vnd.openxmlformats-officedocument.spreadsheetml.comments+xml"/>
  <Override PartName="/xl/charts/chart67.xml" ContentType="application/vnd.openxmlformats-officedocument.drawingml.chart+xml"/>
  <Override PartName="/xl/drawings/drawing24.xml" ContentType="application/vnd.openxmlformats-officedocument.drawing+xml"/>
  <Override PartName="/xl/comments25.xml" ContentType="application/vnd.openxmlformats-officedocument.spreadsheetml.comments+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25.xml" ContentType="application/vnd.openxmlformats-officedocument.drawing+xml"/>
  <Override PartName="/xl/comments26.xml" ContentType="application/vnd.openxmlformats-officedocument.spreadsheetml.comments+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6.xml" ContentType="application/vnd.openxmlformats-officedocument.drawing+xml"/>
  <Override PartName="/xl/comments27.xml" ContentType="application/vnd.openxmlformats-officedocument.spreadsheetml.comments+xml"/>
  <Override PartName="/xl/charts/chart76.xml" ContentType="application/vnd.openxmlformats-officedocument.drawingml.chart+xml"/>
  <Override PartName="/xl/drawings/drawing27.xml" ContentType="application/vnd.openxmlformats-officedocument.drawing+xml"/>
  <Override PartName="/xl/comments28.xml" ContentType="application/vnd.openxmlformats-officedocument.spreadsheetml.comments+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8.xml" ContentType="application/vnd.openxmlformats-officedocument.drawing+xml"/>
  <Override PartName="/xl/comments29.xml" ContentType="application/vnd.openxmlformats-officedocument.spreadsheetml.comments+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C:\Users\johnm\OneDrive\Documents\Gutenberg\16-Coop Program\2023 (Summer)\Files\"/>
    </mc:Choice>
  </mc:AlternateContent>
  <xr:revisionPtr revIDLastSave="0" documentId="13_ncr:1_{C90C71C0-F69D-40E7-BB49-39AB86B9E5C3}" xr6:coauthVersionLast="47" xr6:coauthVersionMax="47" xr10:uidLastSave="{00000000-0000-0000-0000-000000000000}"/>
  <bookViews>
    <workbookView xWindow="-108" yWindow="-108" windowWidth="41496" windowHeight="16776" tabRatio="767" firstSheet="6" activeTab="16" xr2:uid="{00000000-000D-0000-FFFF-FFFF00000000}"/>
  </bookViews>
  <sheets>
    <sheet name="IS (F1Q23)" sheetId="56" state="hidden" r:id="rId1"/>
    <sheet name="BS (F1Q23)" sheetId="57" state="hidden" r:id="rId2"/>
    <sheet name="CFS (F1Q23)" sheetId="58" state="hidden" r:id="rId3"/>
    <sheet name="Charts (F1Q23)" sheetId="59" state="hidden" r:id="rId4"/>
    <sheet name="Valuation (F1Q23)" sheetId="60" state="hidden" r:id="rId5"/>
    <sheet name="Snapshot" sheetId="64" state="hidden" r:id="rId6"/>
    <sheet name="IS (Adjusted)" sheetId="73" r:id="rId7"/>
    <sheet name="BS (Adjusted)" sheetId="74" r:id="rId8"/>
    <sheet name="CFS (Adjusted)" sheetId="75" r:id="rId9"/>
    <sheet name="Charts (Adjusted)" sheetId="76" r:id="rId10"/>
    <sheet name="Valuation (Adjusted)" sheetId="77" r:id="rId11"/>
    <sheet name="IS (Base)" sheetId="65" r:id="rId12"/>
    <sheet name="BS (Base)" sheetId="66" r:id="rId13"/>
    <sheet name="CFS (Base)" sheetId="67" r:id="rId14"/>
    <sheet name="Charts (Base)" sheetId="68" r:id="rId15"/>
    <sheet name="Valuation (Base)" sheetId="69" r:id="rId16"/>
    <sheet name="IS (change)" sheetId="70" r:id="rId17"/>
    <sheet name="BS (change)" sheetId="71" r:id="rId18"/>
    <sheet name="CFS (change)" sheetId="72" r:id="rId19"/>
    <sheet name="IS (F4Q2022)" sheetId="48" state="hidden" r:id="rId20"/>
    <sheet name="BS (F4Q2022)" sheetId="49" state="hidden" r:id="rId21"/>
    <sheet name="CFS (F4Q2022)" sheetId="50" state="hidden" r:id="rId22"/>
    <sheet name="Charts (F4Q2022)" sheetId="51" state="hidden" r:id="rId23"/>
    <sheet name="Valuation (F4Q2022)" sheetId="52" state="hidden" r:id="rId24"/>
    <sheet name="IS (Chg from 4Q22)" sheetId="61" state="hidden" r:id="rId25"/>
    <sheet name="BS (Chg from 4Q22)" sheetId="62" state="hidden" r:id="rId26"/>
    <sheet name="CFS (Chg from 4Q22)" sheetId="63" state="hidden" r:id="rId27"/>
    <sheet name="IS 3Q2022" sheetId="36" state="hidden" r:id="rId28"/>
    <sheet name="BS 3Q2022" sheetId="38" state="hidden" r:id="rId29"/>
    <sheet name="CFS 3Q2022" sheetId="39" state="hidden" r:id="rId30"/>
    <sheet name="IS 4Q Change" sheetId="44" state="hidden" r:id="rId31"/>
    <sheet name="BS 4Q Change" sheetId="45" state="hidden" r:id="rId32"/>
    <sheet name="CFS 4Q Change" sheetId="46" state="hidden" r:id="rId33"/>
  </sheets>
  <definedNames>
    <definedName name="DATA">#REF!</definedName>
    <definedName name="DATA2">#REF!</definedName>
    <definedName name="_xlnm.Print_Area" localSheetId="7">'BS (Adjusted)'!$B$3:$AB$56</definedName>
    <definedName name="_xlnm.Print_Area" localSheetId="12">'BS (Base)'!$B$3:$AB$56</definedName>
    <definedName name="_xlnm.Print_Area" localSheetId="17">'BS (change)'!$B$3:$AB$56</definedName>
    <definedName name="_xlnm.Print_Area" localSheetId="25">'BS (Chg from 4Q22)'!$B$3:$AB$56</definedName>
    <definedName name="_xlnm.Print_Area" localSheetId="1">'BS (F1Q23)'!$B$3:$AB$56</definedName>
    <definedName name="_xlnm.Print_Area" localSheetId="20">'BS (F4Q2022)'!$B$3:$AB$56</definedName>
    <definedName name="_xlnm.Print_Area" localSheetId="28">'BS 3Q2022'!$B$3:$AB$56</definedName>
    <definedName name="_xlnm.Print_Area" localSheetId="31">'BS 4Q Change'!$B$3:$AB$56</definedName>
    <definedName name="_xlnm.Print_Area" localSheetId="8">'CFS (Adjusted)'!$B$3:$AB$57</definedName>
    <definedName name="_xlnm.Print_Area" localSheetId="13">'CFS (Base)'!$B$3:$AB$57</definedName>
    <definedName name="_xlnm.Print_Area" localSheetId="18">'CFS (change)'!$B$3:$AB$57</definedName>
    <definedName name="_xlnm.Print_Area" localSheetId="26">'CFS (Chg from 4Q22)'!$B$3:$AB$57</definedName>
    <definedName name="_xlnm.Print_Area" localSheetId="2">'CFS (F1Q23)'!$B$3:$AB$57</definedName>
    <definedName name="_xlnm.Print_Area" localSheetId="21">'CFS (F4Q2022)'!$B$3:$AB$57</definedName>
    <definedName name="_xlnm.Print_Area" localSheetId="29">'CFS 3Q2022'!$B$3:$AB$57</definedName>
    <definedName name="_xlnm.Print_Area" localSheetId="32">'CFS 4Q Change'!$B$3:$AB$57</definedName>
    <definedName name="_xlnm.Print_Area" localSheetId="6">'IS (Adjusted)'!$B$1:$AB$316</definedName>
    <definedName name="_xlnm.Print_Area" localSheetId="11">'IS (Base)'!$B$1:$AB$316</definedName>
    <definedName name="_xlnm.Print_Area" localSheetId="16">'IS (change)'!$B$1:$AB$316</definedName>
    <definedName name="_xlnm.Print_Area" localSheetId="24">'IS (Chg from 4Q22)'!$B$1:$AB$316</definedName>
    <definedName name="_xlnm.Print_Area" localSheetId="0">'IS (F1Q23)'!$B$1:$AB$316</definedName>
    <definedName name="_xlnm.Print_Area" localSheetId="19">'IS (F4Q2022)'!$B$1:$AB$316</definedName>
    <definedName name="_xlnm.Print_Area" localSheetId="27">'IS 3Q2022'!$B$1:$AB$316</definedName>
    <definedName name="_xlnm.Print_Area" localSheetId="30">'IS 4Q Change'!$B$1:$AB$316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163" i="73" l="1"/>
  <c r="AA163" i="73"/>
  <c r="AA163" i="70" s="1"/>
  <c r="Z129" i="65"/>
  <c r="Z117" i="65"/>
  <c r="Z102" i="65"/>
  <c r="Z69" i="65"/>
  <c r="Z69" i="73"/>
  <c r="Z102" i="73"/>
  <c r="Z117" i="73"/>
  <c r="Z129" i="73"/>
  <c r="Y173" i="65"/>
  <c r="Y173" i="73"/>
  <c r="AL67" i="72"/>
  <c r="AL66" i="72"/>
  <c r="AL65" i="72"/>
  <c r="AL64" i="72"/>
  <c r="AL63" i="72"/>
  <c r="AL62" i="72"/>
  <c r="AL60" i="72"/>
  <c r="AV58" i="72"/>
  <c r="AU58" i="72"/>
  <c r="AT58" i="72"/>
  <c r="AS58" i="72"/>
  <c r="AR58" i="72"/>
  <c r="AQ58" i="72"/>
  <c r="AP58" i="72"/>
  <c r="AO58" i="72"/>
  <c r="AN58" i="72"/>
  <c r="AM58" i="72"/>
  <c r="AL58" i="72"/>
  <c r="AK58" i="72"/>
  <c r="AJ58" i="72"/>
  <c r="AI58" i="72"/>
  <c r="AH58" i="72"/>
  <c r="AG58" i="72"/>
  <c r="AF58" i="72"/>
  <c r="AE58" i="72"/>
  <c r="AD58" i="72"/>
  <c r="AC58" i="72"/>
  <c r="AB58" i="72"/>
  <c r="AA58" i="72"/>
  <c r="Z58" i="72"/>
  <c r="Y58" i="72"/>
  <c r="X58" i="72"/>
  <c r="W58" i="72"/>
  <c r="V58" i="72"/>
  <c r="U58" i="72"/>
  <c r="T58" i="72"/>
  <c r="S58" i="72"/>
  <c r="R58" i="72"/>
  <c r="Q58" i="72"/>
  <c r="P58" i="72"/>
  <c r="O58" i="72"/>
  <c r="N58" i="72"/>
  <c r="M58" i="72"/>
  <c r="L58" i="72"/>
  <c r="K58" i="72"/>
  <c r="J58" i="72"/>
  <c r="I58" i="72"/>
  <c r="H58" i="72"/>
  <c r="G58" i="72"/>
  <c r="F58" i="72"/>
  <c r="E58" i="72"/>
  <c r="D58" i="72"/>
  <c r="AV57" i="72"/>
  <c r="AU57" i="72"/>
  <c r="AT57" i="72"/>
  <c r="AS57" i="72"/>
  <c r="AR57" i="72"/>
  <c r="AQ57" i="72"/>
  <c r="AP57" i="72"/>
  <c r="AO57" i="72"/>
  <c r="AN57" i="72"/>
  <c r="AM57" i="72"/>
  <c r="AL57" i="72"/>
  <c r="AK57" i="72"/>
  <c r="AJ57" i="72"/>
  <c r="AI57" i="72"/>
  <c r="AH57" i="72"/>
  <c r="AG57" i="72"/>
  <c r="AF57" i="72"/>
  <c r="AE57" i="72"/>
  <c r="AD57" i="72"/>
  <c r="AC57" i="72"/>
  <c r="AB57" i="72"/>
  <c r="AA57" i="72"/>
  <c r="Z57" i="72"/>
  <c r="Y57" i="72"/>
  <c r="X57" i="72"/>
  <c r="W57" i="72"/>
  <c r="V57" i="72"/>
  <c r="U57" i="72"/>
  <c r="T57" i="72"/>
  <c r="S57" i="72"/>
  <c r="R57" i="72"/>
  <c r="Q57" i="72"/>
  <c r="P57" i="72"/>
  <c r="O57" i="72"/>
  <c r="N57" i="72"/>
  <c r="M57" i="72"/>
  <c r="L57" i="72"/>
  <c r="K57" i="72"/>
  <c r="J57" i="72"/>
  <c r="I57" i="72"/>
  <c r="H57" i="72"/>
  <c r="G57" i="72"/>
  <c r="F57" i="72"/>
  <c r="E57" i="72"/>
  <c r="D57" i="72"/>
  <c r="AV56" i="72"/>
  <c r="AU56" i="72"/>
  <c r="AT56" i="72"/>
  <c r="AS56" i="72"/>
  <c r="AR56" i="72"/>
  <c r="AQ56" i="72"/>
  <c r="AP56" i="72"/>
  <c r="AO56" i="72"/>
  <c r="AN56" i="72"/>
  <c r="AM56" i="72"/>
  <c r="AL56" i="72"/>
  <c r="AK56" i="72"/>
  <c r="AJ56" i="72"/>
  <c r="AI56" i="72"/>
  <c r="AH56" i="72"/>
  <c r="AG56" i="72"/>
  <c r="AF56" i="72"/>
  <c r="AE56" i="72"/>
  <c r="AD56" i="72"/>
  <c r="AC56" i="72"/>
  <c r="AB56" i="72"/>
  <c r="AA56" i="72"/>
  <c r="Z56" i="72"/>
  <c r="Y56" i="72"/>
  <c r="X56" i="72"/>
  <c r="W56" i="72"/>
  <c r="V56" i="72"/>
  <c r="U56" i="72"/>
  <c r="T56" i="72"/>
  <c r="S56" i="72"/>
  <c r="R56" i="72"/>
  <c r="Q56" i="72"/>
  <c r="P56" i="72"/>
  <c r="O56" i="72"/>
  <c r="N56" i="72"/>
  <c r="M56" i="72"/>
  <c r="L56" i="72"/>
  <c r="K56" i="72"/>
  <c r="J56" i="72"/>
  <c r="I56" i="72"/>
  <c r="H56" i="72"/>
  <c r="G56" i="72"/>
  <c r="F56" i="72"/>
  <c r="E56" i="72"/>
  <c r="D56" i="72"/>
  <c r="Y55" i="72"/>
  <c r="X55" i="72"/>
  <c r="W55" i="72"/>
  <c r="V55" i="72"/>
  <c r="U55" i="72"/>
  <c r="T55" i="72"/>
  <c r="S55" i="72"/>
  <c r="R55" i="72"/>
  <c r="Q55" i="72"/>
  <c r="P55" i="72"/>
  <c r="O55" i="72"/>
  <c r="N55" i="72"/>
  <c r="M55" i="72"/>
  <c r="L55" i="72"/>
  <c r="K55" i="72"/>
  <c r="J55" i="72"/>
  <c r="I55" i="72"/>
  <c r="H55" i="72"/>
  <c r="G55" i="72"/>
  <c r="F55" i="72"/>
  <c r="E55" i="72"/>
  <c r="D55" i="72"/>
  <c r="AV54" i="72"/>
  <c r="AU54" i="72"/>
  <c r="AT54" i="72"/>
  <c r="AS54" i="72"/>
  <c r="AR54" i="72"/>
  <c r="AQ54" i="72"/>
  <c r="AP54" i="72"/>
  <c r="AO54" i="72"/>
  <c r="AN54" i="72"/>
  <c r="AM54" i="72"/>
  <c r="AL54" i="72"/>
  <c r="AK54" i="72"/>
  <c r="AJ54" i="72"/>
  <c r="AI54" i="72"/>
  <c r="AH54" i="72"/>
  <c r="AG54" i="72"/>
  <c r="AF54" i="72"/>
  <c r="AE54" i="72"/>
  <c r="AD54" i="72"/>
  <c r="AC54" i="72"/>
  <c r="AB54" i="72"/>
  <c r="AA54" i="72"/>
  <c r="Z54" i="72"/>
  <c r="Y54" i="72"/>
  <c r="X54" i="72"/>
  <c r="W54" i="72"/>
  <c r="V54" i="72"/>
  <c r="U54" i="72"/>
  <c r="T54" i="72"/>
  <c r="S54" i="72"/>
  <c r="R54" i="72"/>
  <c r="Q54" i="72"/>
  <c r="P54" i="72"/>
  <c r="O54" i="72"/>
  <c r="N54" i="72"/>
  <c r="M54" i="72"/>
  <c r="L54" i="72"/>
  <c r="K54" i="72"/>
  <c r="J54" i="72"/>
  <c r="I54" i="72"/>
  <c r="H54" i="72"/>
  <c r="G54" i="72"/>
  <c r="F54" i="72"/>
  <c r="E54" i="72"/>
  <c r="D54" i="72"/>
  <c r="AV53" i="72"/>
  <c r="AU53" i="72"/>
  <c r="AT53" i="72"/>
  <c r="AS53" i="72"/>
  <c r="AR53" i="72"/>
  <c r="AQ53" i="72"/>
  <c r="AP53" i="72"/>
  <c r="AO53" i="72"/>
  <c r="AN53" i="72"/>
  <c r="AM53" i="72"/>
  <c r="AL53" i="72"/>
  <c r="AK53" i="72"/>
  <c r="AJ53" i="72"/>
  <c r="AI53" i="72"/>
  <c r="AH53" i="72"/>
  <c r="AG53" i="72"/>
  <c r="AF53" i="72"/>
  <c r="AE53" i="72"/>
  <c r="AD53" i="72"/>
  <c r="AC53" i="72"/>
  <c r="AB53" i="72"/>
  <c r="AA53" i="72"/>
  <c r="Z53" i="72"/>
  <c r="Y53" i="72"/>
  <c r="X53" i="72"/>
  <c r="W53" i="72"/>
  <c r="V53" i="72"/>
  <c r="U53" i="72"/>
  <c r="T53" i="72"/>
  <c r="S53" i="72"/>
  <c r="R53" i="72"/>
  <c r="Q53" i="72"/>
  <c r="P53" i="72"/>
  <c r="O53" i="72"/>
  <c r="N53" i="72"/>
  <c r="M53" i="72"/>
  <c r="L53" i="72"/>
  <c r="K53" i="72"/>
  <c r="J53" i="72"/>
  <c r="I53" i="72"/>
  <c r="H53" i="72"/>
  <c r="G53" i="72"/>
  <c r="F53" i="72"/>
  <c r="E53" i="72"/>
  <c r="D53" i="72"/>
  <c r="Y48" i="72"/>
  <c r="X48" i="72"/>
  <c r="W48" i="72"/>
  <c r="V48" i="72"/>
  <c r="U48" i="72"/>
  <c r="T48" i="72"/>
  <c r="S48" i="72"/>
  <c r="R48" i="72"/>
  <c r="Q48" i="72"/>
  <c r="P48" i="72"/>
  <c r="O48" i="72"/>
  <c r="N48" i="72"/>
  <c r="M48" i="72"/>
  <c r="L48" i="72"/>
  <c r="K48" i="72"/>
  <c r="J48" i="72"/>
  <c r="I48" i="72"/>
  <c r="H48" i="72"/>
  <c r="G48" i="72"/>
  <c r="F48" i="72"/>
  <c r="E48" i="72"/>
  <c r="D48" i="72"/>
  <c r="AV47" i="72"/>
  <c r="AU47" i="72"/>
  <c r="AT47" i="72"/>
  <c r="AS47" i="72"/>
  <c r="AR47" i="72"/>
  <c r="AQ47" i="72"/>
  <c r="AP47" i="72"/>
  <c r="AO47" i="72"/>
  <c r="AN47" i="72"/>
  <c r="AM47" i="72"/>
  <c r="AL47" i="72"/>
  <c r="AK47" i="72"/>
  <c r="AJ47" i="72"/>
  <c r="AI47" i="72"/>
  <c r="AH47" i="72"/>
  <c r="AG47" i="72"/>
  <c r="AF47" i="72"/>
  <c r="AE47" i="72"/>
  <c r="AD47" i="72"/>
  <c r="AC47" i="72"/>
  <c r="AB47" i="72"/>
  <c r="AA47" i="72"/>
  <c r="Z47" i="72"/>
  <c r="Y47" i="72"/>
  <c r="X47" i="72"/>
  <c r="W47" i="72"/>
  <c r="V47" i="72"/>
  <c r="U47" i="72"/>
  <c r="T47" i="72"/>
  <c r="S47" i="72"/>
  <c r="R47" i="72"/>
  <c r="Q47" i="72"/>
  <c r="P47" i="72"/>
  <c r="O47" i="72"/>
  <c r="N47" i="72"/>
  <c r="M47" i="72"/>
  <c r="L47" i="72"/>
  <c r="K47" i="72"/>
  <c r="J47" i="72"/>
  <c r="I47" i="72"/>
  <c r="H47" i="72"/>
  <c r="G47" i="72"/>
  <c r="F47" i="72"/>
  <c r="E47" i="72"/>
  <c r="D47" i="72"/>
  <c r="Y46" i="72"/>
  <c r="X46" i="72"/>
  <c r="W46" i="72"/>
  <c r="V46" i="72"/>
  <c r="U46" i="72"/>
  <c r="T46" i="72"/>
  <c r="S46" i="72"/>
  <c r="R46" i="72"/>
  <c r="Q46" i="72"/>
  <c r="P46" i="72"/>
  <c r="O46" i="72"/>
  <c r="N46" i="72"/>
  <c r="M46" i="72"/>
  <c r="L46" i="72"/>
  <c r="K46" i="72"/>
  <c r="J46" i="72"/>
  <c r="I46" i="72"/>
  <c r="H46" i="72"/>
  <c r="G46" i="72"/>
  <c r="F46" i="72"/>
  <c r="E46" i="72"/>
  <c r="D46" i="72"/>
  <c r="AV45" i="72"/>
  <c r="AU45" i="72"/>
  <c r="AT45" i="72"/>
  <c r="AS45" i="72"/>
  <c r="AR45" i="72"/>
  <c r="AQ45" i="72"/>
  <c r="AP45" i="72"/>
  <c r="AO45" i="72"/>
  <c r="AN45" i="72"/>
  <c r="AM45" i="72"/>
  <c r="AL45" i="72"/>
  <c r="AK45" i="72"/>
  <c r="AJ45" i="72"/>
  <c r="AI45" i="72"/>
  <c r="AH45" i="72"/>
  <c r="AG45" i="72"/>
  <c r="AF45" i="72"/>
  <c r="AE45" i="72"/>
  <c r="AD45" i="72"/>
  <c r="AC45" i="72"/>
  <c r="AB45" i="72"/>
  <c r="AA45" i="72"/>
  <c r="Z45" i="72"/>
  <c r="Y45" i="72"/>
  <c r="X45" i="72"/>
  <c r="W45" i="72"/>
  <c r="V45" i="72"/>
  <c r="U45" i="72"/>
  <c r="T45" i="72"/>
  <c r="S45" i="72"/>
  <c r="R45" i="72"/>
  <c r="Q45" i="72"/>
  <c r="P45" i="72"/>
  <c r="O45" i="72"/>
  <c r="N45" i="72"/>
  <c r="M45" i="72"/>
  <c r="L45" i="72"/>
  <c r="K45" i="72"/>
  <c r="J45" i="72"/>
  <c r="I45" i="72"/>
  <c r="H45" i="72"/>
  <c r="G45" i="72"/>
  <c r="F45" i="72"/>
  <c r="E45" i="72"/>
  <c r="D45" i="72"/>
  <c r="AU44" i="72"/>
  <c r="AT44" i="72"/>
  <c r="AS44" i="72"/>
  <c r="AR44" i="72"/>
  <c r="AP44" i="72"/>
  <c r="AO44" i="72"/>
  <c r="AN44" i="72"/>
  <c r="AM44" i="72"/>
  <c r="AK44" i="72"/>
  <c r="AJ44" i="72"/>
  <c r="AI44" i="72"/>
  <c r="AH44" i="72"/>
  <c r="AF44" i="72"/>
  <c r="AE44" i="72"/>
  <c r="AD44" i="72"/>
  <c r="AC44" i="72"/>
  <c r="AA44" i="72"/>
  <c r="Z44" i="72"/>
  <c r="Y44" i="72"/>
  <c r="X44" i="72"/>
  <c r="W44" i="72"/>
  <c r="V44" i="72"/>
  <c r="U44" i="72"/>
  <c r="T44" i="72"/>
  <c r="S44" i="72"/>
  <c r="R44" i="72"/>
  <c r="Q44" i="72"/>
  <c r="P44" i="72"/>
  <c r="O44" i="72"/>
  <c r="N44" i="72"/>
  <c r="M44" i="72"/>
  <c r="L44" i="72"/>
  <c r="K44" i="72"/>
  <c r="J44" i="72"/>
  <c r="I44" i="72"/>
  <c r="H44" i="72"/>
  <c r="G44" i="72"/>
  <c r="F44" i="72"/>
  <c r="E44" i="72"/>
  <c r="D44" i="72"/>
  <c r="AV43" i="72"/>
  <c r="AU43" i="72"/>
  <c r="AT43" i="72"/>
  <c r="AS43" i="72"/>
  <c r="AR43" i="72"/>
  <c r="AQ43" i="72"/>
  <c r="AP43" i="72"/>
  <c r="AO43" i="72"/>
  <c r="AN43" i="72"/>
  <c r="AM43" i="72"/>
  <c r="AL43" i="72"/>
  <c r="AK43" i="72"/>
  <c r="AJ43" i="72"/>
  <c r="AI43" i="72"/>
  <c r="AH43" i="72"/>
  <c r="AG43" i="72"/>
  <c r="AF43" i="72"/>
  <c r="AE43" i="72"/>
  <c r="AD43" i="72"/>
  <c r="AC43" i="72"/>
  <c r="AB43" i="72"/>
  <c r="AA43" i="72"/>
  <c r="Z43" i="72"/>
  <c r="Y43" i="72"/>
  <c r="X43" i="72"/>
  <c r="W43" i="72"/>
  <c r="V43" i="72"/>
  <c r="U43" i="72"/>
  <c r="T43" i="72"/>
  <c r="S43" i="72"/>
  <c r="R43" i="72"/>
  <c r="Q43" i="72"/>
  <c r="P43" i="72"/>
  <c r="O43" i="72"/>
  <c r="N43" i="72"/>
  <c r="M43" i="72"/>
  <c r="L43" i="72"/>
  <c r="K43" i="72"/>
  <c r="J43" i="72"/>
  <c r="I43" i="72"/>
  <c r="H43" i="72"/>
  <c r="G43" i="72"/>
  <c r="F43" i="72"/>
  <c r="E43" i="72"/>
  <c r="D43" i="72"/>
  <c r="Y42" i="72"/>
  <c r="X42" i="72"/>
  <c r="W42" i="72"/>
  <c r="V42" i="72"/>
  <c r="U42" i="72"/>
  <c r="T42" i="72"/>
  <c r="S42" i="72"/>
  <c r="R42" i="72"/>
  <c r="Q42" i="72"/>
  <c r="P42" i="72"/>
  <c r="O42" i="72"/>
  <c r="N42" i="72"/>
  <c r="M42" i="72"/>
  <c r="L42" i="72"/>
  <c r="K42" i="72"/>
  <c r="J42" i="72"/>
  <c r="I42" i="72"/>
  <c r="H42" i="72"/>
  <c r="G42" i="72"/>
  <c r="F42" i="72"/>
  <c r="E42" i="72"/>
  <c r="D42" i="72"/>
  <c r="Y41" i="72"/>
  <c r="X41" i="72"/>
  <c r="W41" i="72"/>
  <c r="V41" i="72"/>
  <c r="U41" i="72"/>
  <c r="T41" i="72"/>
  <c r="S41" i="72"/>
  <c r="R41" i="72"/>
  <c r="Q41" i="72"/>
  <c r="P41" i="72"/>
  <c r="O41" i="72"/>
  <c r="N41" i="72"/>
  <c r="M41" i="72"/>
  <c r="L41" i="72"/>
  <c r="K41" i="72"/>
  <c r="J41" i="72"/>
  <c r="I41" i="72"/>
  <c r="H41" i="72"/>
  <c r="G41" i="72"/>
  <c r="F41" i="72"/>
  <c r="E41" i="72"/>
  <c r="D41" i="72"/>
  <c r="AB40" i="72"/>
  <c r="Z40" i="72"/>
  <c r="Y40" i="72"/>
  <c r="X40" i="72"/>
  <c r="W40" i="72"/>
  <c r="V40" i="72"/>
  <c r="U40" i="72"/>
  <c r="T40" i="72"/>
  <c r="S40" i="72"/>
  <c r="R40" i="72"/>
  <c r="Q40" i="72"/>
  <c r="P40" i="72"/>
  <c r="O40" i="72"/>
  <c r="N40" i="72"/>
  <c r="M40" i="72"/>
  <c r="L40" i="72"/>
  <c r="K40" i="72"/>
  <c r="J40" i="72"/>
  <c r="I40" i="72"/>
  <c r="H40" i="72"/>
  <c r="G40" i="72"/>
  <c r="F40" i="72"/>
  <c r="E40" i="72"/>
  <c r="D40" i="72"/>
  <c r="Y39" i="72"/>
  <c r="X39" i="72"/>
  <c r="W39" i="72"/>
  <c r="V39" i="72"/>
  <c r="U39" i="72"/>
  <c r="T39" i="72"/>
  <c r="S39" i="72"/>
  <c r="R39" i="72"/>
  <c r="Q39" i="72"/>
  <c r="P39" i="72"/>
  <c r="O39" i="72"/>
  <c r="N39" i="72"/>
  <c r="M39" i="72"/>
  <c r="L39" i="72"/>
  <c r="K39" i="72"/>
  <c r="J39" i="72"/>
  <c r="I39" i="72"/>
  <c r="H39" i="72"/>
  <c r="G39" i="72"/>
  <c r="F39" i="72"/>
  <c r="E39" i="72"/>
  <c r="D39" i="72"/>
  <c r="AV38" i="72"/>
  <c r="AU38" i="72"/>
  <c r="AT38" i="72"/>
  <c r="AS38" i="72"/>
  <c r="AR38" i="72"/>
  <c r="AQ38" i="72"/>
  <c r="AP38" i="72"/>
  <c r="AO38" i="72"/>
  <c r="AN38" i="72"/>
  <c r="AM38" i="72"/>
  <c r="AL38" i="72"/>
  <c r="AK38" i="72"/>
  <c r="AJ38" i="72"/>
  <c r="AI38" i="72"/>
  <c r="AH38" i="72"/>
  <c r="AG38" i="72"/>
  <c r="AF38" i="72"/>
  <c r="AE38" i="72"/>
  <c r="AD38" i="72"/>
  <c r="AC38" i="72"/>
  <c r="AB38" i="72"/>
  <c r="AA38" i="72"/>
  <c r="Z38" i="72"/>
  <c r="Y38" i="72"/>
  <c r="X38" i="72"/>
  <c r="W38" i="72"/>
  <c r="V38" i="72"/>
  <c r="U38" i="72"/>
  <c r="T38" i="72"/>
  <c r="S38" i="72"/>
  <c r="R38" i="72"/>
  <c r="Q38" i="72"/>
  <c r="P38" i="72"/>
  <c r="O38" i="72"/>
  <c r="N38" i="72"/>
  <c r="M38" i="72"/>
  <c r="L38" i="72"/>
  <c r="K38" i="72"/>
  <c r="J38" i="72"/>
  <c r="I38" i="72"/>
  <c r="H38" i="72"/>
  <c r="G38" i="72"/>
  <c r="F38" i="72"/>
  <c r="E38" i="72"/>
  <c r="D38" i="72"/>
  <c r="AV37" i="72"/>
  <c r="AU37" i="72"/>
  <c r="AT37" i="72"/>
  <c r="AS37" i="72"/>
  <c r="AR37" i="72"/>
  <c r="AQ37" i="72"/>
  <c r="AP37" i="72"/>
  <c r="AO37" i="72"/>
  <c r="AN37" i="72"/>
  <c r="AM37" i="72"/>
  <c r="AL37" i="72"/>
  <c r="AK37" i="72"/>
  <c r="AJ37" i="72"/>
  <c r="AI37" i="72"/>
  <c r="AH37" i="72"/>
  <c r="AG37" i="72"/>
  <c r="AF37" i="72"/>
  <c r="AE37" i="72"/>
  <c r="AD37" i="72"/>
  <c r="AC37" i="72"/>
  <c r="AB37" i="72"/>
  <c r="AA37" i="72"/>
  <c r="Z37" i="72"/>
  <c r="Y37" i="72"/>
  <c r="X37" i="72"/>
  <c r="W37" i="72"/>
  <c r="V37" i="72"/>
  <c r="U37" i="72"/>
  <c r="T37" i="72"/>
  <c r="S37" i="72"/>
  <c r="R37" i="72"/>
  <c r="Q37" i="72"/>
  <c r="P37" i="72"/>
  <c r="O37" i="72"/>
  <c r="N37" i="72"/>
  <c r="M37" i="72"/>
  <c r="L37" i="72"/>
  <c r="K37" i="72"/>
  <c r="J37" i="72"/>
  <c r="I37" i="72"/>
  <c r="H37" i="72"/>
  <c r="G37" i="72"/>
  <c r="F37" i="72"/>
  <c r="E37" i="72"/>
  <c r="D37" i="72"/>
  <c r="AV36" i="72"/>
  <c r="AU36" i="72"/>
  <c r="AT36" i="72"/>
  <c r="AS36" i="72"/>
  <c r="AR36" i="72"/>
  <c r="AQ36" i="72"/>
  <c r="AP36" i="72"/>
  <c r="AO36" i="72"/>
  <c r="AN36" i="72"/>
  <c r="AM36" i="72"/>
  <c r="AL36" i="72"/>
  <c r="AK36" i="72"/>
  <c r="AJ36" i="72"/>
  <c r="AI36" i="72"/>
  <c r="AH36" i="72"/>
  <c r="AG36" i="72"/>
  <c r="AF36" i="72"/>
  <c r="AE36" i="72"/>
  <c r="AD36" i="72"/>
  <c r="AC36" i="72"/>
  <c r="AB36" i="72"/>
  <c r="AA36" i="72"/>
  <c r="Z36" i="72"/>
  <c r="Y36" i="72"/>
  <c r="X36" i="72"/>
  <c r="W36" i="72"/>
  <c r="V36" i="72"/>
  <c r="U36" i="72"/>
  <c r="T36" i="72"/>
  <c r="S36" i="72"/>
  <c r="R36" i="72"/>
  <c r="Q36" i="72"/>
  <c r="P36" i="72"/>
  <c r="O36" i="72"/>
  <c r="N36" i="72"/>
  <c r="M36" i="72"/>
  <c r="L36" i="72"/>
  <c r="K36" i="72"/>
  <c r="J36" i="72"/>
  <c r="I36" i="72"/>
  <c r="H36" i="72"/>
  <c r="G36" i="72"/>
  <c r="F36" i="72"/>
  <c r="E36" i="72"/>
  <c r="D36" i="72"/>
  <c r="AV35" i="72"/>
  <c r="AU35" i="72"/>
  <c r="AT35" i="72"/>
  <c r="AS35" i="72"/>
  <c r="AR35" i="72"/>
  <c r="AQ35" i="72"/>
  <c r="AP35" i="72"/>
  <c r="AO35" i="72"/>
  <c r="AN35" i="72"/>
  <c r="AM35" i="72"/>
  <c r="AL35" i="72"/>
  <c r="AK35" i="72"/>
  <c r="AJ35" i="72"/>
  <c r="AI35" i="72"/>
  <c r="AH35" i="72"/>
  <c r="AG35" i="72"/>
  <c r="AF35" i="72"/>
  <c r="AE35" i="72"/>
  <c r="AD35" i="72"/>
  <c r="AC35" i="72"/>
  <c r="AB35" i="72"/>
  <c r="AA35" i="72"/>
  <c r="Z35" i="72"/>
  <c r="Y35" i="72"/>
  <c r="X35" i="72"/>
  <c r="W35" i="72"/>
  <c r="V35" i="72"/>
  <c r="U35" i="72"/>
  <c r="T35" i="72"/>
  <c r="S35" i="72"/>
  <c r="R35" i="72"/>
  <c r="Q35" i="72"/>
  <c r="P35" i="72"/>
  <c r="O35" i="72"/>
  <c r="N35" i="72"/>
  <c r="M35" i="72"/>
  <c r="L35" i="72"/>
  <c r="K35" i="72"/>
  <c r="J35" i="72"/>
  <c r="I35" i="72"/>
  <c r="H35" i="72"/>
  <c r="G35" i="72"/>
  <c r="F35" i="72"/>
  <c r="E35" i="72"/>
  <c r="D35" i="72"/>
  <c r="AV34" i="72"/>
  <c r="AU34" i="72"/>
  <c r="AT34" i="72"/>
  <c r="AS34" i="72"/>
  <c r="AR34" i="72"/>
  <c r="AQ34" i="72"/>
  <c r="AP34" i="72"/>
  <c r="AO34" i="72"/>
  <c r="AN34" i="72"/>
  <c r="AM34" i="72"/>
  <c r="AL34" i="72"/>
  <c r="AK34" i="72"/>
  <c r="AJ34" i="72"/>
  <c r="AI34" i="72"/>
  <c r="AH34" i="72"/>
  <c r="AG34" i="72"/>
  <c r="AF34" i="72"/>
  <c r="AE34" i="72"/>
  <c r="AD34" i="72"/>
  <c r="AC34" i="72"/>
  <c r="AB34" i="72"/>
  <c r="AA34" i="72"/>
  <c r="Z34" i="72"/>
  <c r="Y34" i="72"/>
  <c r="X34" i="72"/>
  <c r="W34" i="72"/>
  <c r="V34" i="72"/>
  <c r="U34" i="72"/>
  <c r="T34" i="72"/>
  <c r="S34" i="72"/>
  <c r="R34" i="72"/>
  <c r="Q34" i="72"/>
  <c r="P34" i="72"/>
  <c r="O34" i="72"/>
  <c r="N34" i="72"/>
  <c r="M34" i="72"/>
  <c r="L34" i="72"/>
  <c r="K34" i="72"/>
  <c r="J34" i="72"/>
  <c r="I34" i="72"/>
  <c r="H34" i="72"/>
  <c r="G34" i="72"/>
  <c r="F34" i="72"/>
  <c r="E34" i="72"/>
  <c r="D34" i="72"/>
  <c r="AV33" i="72"/>
  <c r="AU33" i="72"/>
  <c r="AT33" i="72"/>
  <c r="AS33" i="72"/>
  <c r="AR33" i="72"/>
  <c r="AQ33" i="72"/>
  <c r="AP33" i="72"/>
  <c r="AO33" i="72"/>
  <c r="AN33" i="72"/>
  <c r="AM33" i="72"/>
  <c r="AL33" i="72"/>
  <c r="AK33" i="72"/>
  <c r="AJ33" i="72"/>
  <c r="AI33" i="72"/>
  <c r="AH33" i="72"/>
  <c r="AG33" i="72"/>
  <c r="AF33" i="72"/>
  <c r="AE33" i="72"/>
  <c r="AD33" i="72"/>
  <c r="AC33" i="72"/>
  <c r="AB33" i="72"/>
  <c r="AA33" i="72"/>
  <c r="Z33" i="72"/>
  <c r="Y33" i="72"/>
  <c r="X33" i="72"/>
  <c r="W33" i="72"/>
  <c r="V33" i="72"/>
  <c r="U33" i="72"/>
  <c r="T33" i="72"/>
  <c r="S33" i="72"/>
  <c r="R33" i="72"/>
  <c r="Q33" i="72"/>
  <c r="P33" i="72"/>
  <c r="O33" i="72"/>
  <c r="N33" i="72"/>
  <c r="M33" i="72"/>
  <c r="L33" i="72"/>
  <c r="K33" i="72"/>
  <c r="J33" i="72"/>
  <c r="I33" i="72"/>
  <c r="H33" i="72"/>
  <c r="G33" i="72"/>
  <c r="F33" i="72"/>
  <c r="E33" i="72"/>
  <c r="D33" i="72"/>
  <c r="AV32" i="72"/>
  <c r="AU32" i="72"/>
  <c r="AT32" i="72"/>
  <c r="AS32" i="72"/>
  <c r="AR32" i="72"/>
  <c r="AQ32" i="72"/>
  <c r="AP32" i="72"/>
  <c r="AO32" i="72"/>
  <c r="AN32" i="72"/>
  <c r="AM32" i="72"/>
  <c r="AL32" i="72"/>
  <c r="AK32" i="72"/>
  <c r="AJ32" i="72"/>
  <c r="AI32" i="72"/>
  <c r="AH32" i="72"/>
  <c r="AG32" i="72"/>
  <c r="AF32" i="72"/>
  <c r="AE32" i="72"/>
  <c r="AD32" i="72"/>
  <c r="AC32" i="72"/>
  <c r="AB32" i="72"/>
  <c r="AA32" i="72"/>
  <c r="Z32" i="72"/>
  <c r="Y32" i="72"/>
  <c r="X32" i="72"/>
  <c r="W32" i="72"/>
  <c r="V32" i="72"/>
  <c r="U32" i="72"/>
  <c r="T32" i="72"/>
  <c r="S32" i="72"/>
  <c r="R32" i="72"/>
  <c r="Q32" i="72"/>
  <c r="P32" i="72"/>
  <c r="O32" i="72"/>
  <c r="N32" i="72"/>
  <c r="M32" i="72"/>
  <c r="L32" i="72"/>
  <c r="K32" i="72"/>
  <c r="J32" i="72"/>
  <c r="I32" i="72"/>
  <c r="H32" i="72"/>
  <c r="G32" i="72"/>
  <c r="F32" i="72"/>
  <c r="E32" i="72"/>
  <c r="D32" i="72"/>
  <c r="AV31" i="72"/>
  <c r="AU31" i="72"/>
  <c r="AT31" i="72"/>
  <c r="AS31" i="72"/>
  <c r="AR31" i="72"/>
  <c r="AQ31" i="72"/>
  <c r="AP31" i="72"/>
  <c r="AO31" i="72"/>
  <c r="AN31" i="72"/>
  <c r="AM31" i="72"/>
  <c r="AL31" i="72"/>
  <c r="AK31" i="72"/>
  <c r="AJ31" i="72"/>
  <c r="AI31" i="72"/>
  <c r="AH31" i="72"/>
  <c r="AG31" i="72"/>
  <c r="AF31" i="72"/>
  <c r="AE31" i="72"/>
  <c r="AD31" i="72"/>
  <c r="AC31" i="72"/>
  <c r="AB31" i="72"/>
  <c r="AA31" i="72"/>
  <c r="Z31" i="72"/>
  <c r="Y31" i="72"/>
  <c r="X31" i="72"/>
  <c r="W31" i="72"/>
  <c r="V31" i="72"/>
  <c r="U31" i="72"/>
  <c r="T31" i="72"/>
  <c r="S31" i="72"/>
  <c r="R31" i="72"/>
  <c r="Q31" i="72"/>
  <c r="P31" i="72"/>
  <c r="O31" i="72"/>
  <c r="N31" i="72"/>
  <c r="M31" i="72"/>
  <c r="L31" i="72"/>
  <c r="K31" i="72"/>
  <c r="J31" i="72"/>
  <c r="I31" i="72"/>
  <c r="H31" i="72"/>
  <c r="G31" i="72"/>
  <c r="F31" i="72"/>
  <c r="E31" i="72"/>
  <c r="D31" i="72"/>
  <c r="AV30" i="72"/>
  <c r="AU30" i="72"/>
  <c r="AT30" i="72"/>
  <c r="AS30" i="72"/>
  <c r="AR30" i="72"/>
  <c r="AQ30" i="72"/>
  <c r="AP30" i="72"/>
  <c r="AO30" i="72"/>
  <c r="AN30" i="72"/>
  <c r="AM30" i="72"/>
  <c r="AL30" i="72"/>
  <c r="AK30" i="72"/>
  <c r="AJ30" i="72"/>
  <c r="AI30" i="72"/>
  <c r="AH30" i="72"/>
  <c r="AG30" i="72"/>
  <c r="AF30" i="72"/>
  <c r="AE30" i="72"/>
  <c r="AD30" i="72"/>
  <c r="AC30" i="72"/>
  <c r="AB30" i="72"/>
  <c r="AA30" i="72"/>
  <c r="Z30" i="72"/>
  <c r="Y30" i="72"/>
  <c r="X30" i="72"/>
  <c r="W30" i="72"/>
  <c r="V30" i="72"/>
  <c r="U30" i="72"/>
  <c r="T30" i="72"/>
  <c r="S30" i="72"/>
  <c r="R30" i="72"/>
  <c r="Q30" i="72"/>
  <c r="P30" i="72"/>
  <c r="O30" i="72"/>
  <c r="N30" i="72"/>
  <c r="M30" i="72"/>
  <c r="L30" i="72"/>
  <c r="K30" i="72"/>
  <c r="J30" i="72"/>
  <c r="I30" i="72"/>
  <c r="H30" i="72"/>
  <c r="G30" i="72"/>
  <c r="F30" i="72"/>
  <c r="E30" i="72"/>
  <c r="D30" i="72"/>
  <c r="AV29" i="72"/>
  <c r="AU29" i="72"/>
  <c r="AT29" i="72"/>
  <c r="AS29" i="72"/>
  <c r="AR29" i="72"/>
  <c r="AQ29" i="72"/>
  <c r="AP29" i="72"/>
  <c r="AO29" i="72"/>
  <c r="AN29" i="72"/>
  <c r="AM29" i="72"/>
  <c r="AL29" i="72"/>
  <c r="AK29" i="72"/>
  <c r="AJ29" i="72"/>
  <c r="AI29" i="72"/>
  <c r="AH29" i="72"/>
  <c r="AG29" i="72"/>
  <c r="AF29" i="72"/>
  <c r="AE29" i="72"/>
  <c r="AD29" i="72"/>
  <c r="AC29" i="72"/>
  <c r="AB29" i="72"/>
  <c r="AA29" i="72"/>
  <c r="Z29" i="72"/>
  <c r="Y29" i="72"/>
  <c r="X29" i="72"/>
  <c r="W29" i="72"/>
  <c r="V29" i="72"/>
  <c r="U29" i="72"/>
  <c r="T29" i="72"/>
  <c r="S29" i="72"/>
  <c r="R29" i="72"/>
  <c r="Q29" i="72"/>
  <c r="P29" i="72"/>
  <c r="O29" i="72"/>
  <c r="N29" i="72"/>
  <c r="M29" i="72"/>
  <c r="L29" i="72"/>
  <c r="K29" i="72"/>
  <c r="J29" i="72"/>
  <c r="I29" i="72"/>
  <c r="H29" i="72"/>
  <c r="G29" i="72"/>
  <c r="F29" i="72"/>
  <c r="E29" i="72"/>
  <c r="D29" i="72"/>
  <c r="AV28" i="72"/>
  <c r="AU28" i="72"/>
  <c r="AT28" i="72"/>
  <c r="AS28" i="72"/>
  <c r="AR28" i="72"/>
  <c r="AQ28" i="72"/>
  <c r="AP28" i="72"/>
  <c r="AO28" i="72"/>
  <c r="AN28" i="72"/>
  <c r="AM28" i="72"/>
  <c r="AL28" i="72"/>
  <c r="AK28" i="72"/>
  <c r="AJ28" i="72"/>
  <c r="AI28" i="72"/>
  <c r="AH28" i="72"/>
  <c r="AG28" i="72"/>
  <c r="AF28" i="72"/>
  <c r="AE28" i="72"/>
  <c r="AD28" i="72"/>
  <c r="AC28" i="72"/>
  <c r="AB28" i="72"/>
  <c r="AA28" i="72"/>
  <c r="Z28" i="72"/>
  <c r="Y28" i="72"/>
  <c r="X28" i="72"/>
  <c r="W28" i="72"/>
  <c r="V28" i="72"/>
  <c r="U28" i="72"/>
  <c r="T28" i="72"/>
  <c r="S28" i="72"/>
  <c r="R28" i="72"/>
  <c r="Q28" i="72"/>
  <c r="P28" i="72"/>
  <c r="O28" i="72"/>
  <c r="N28" i="72"/>
  <c r="M28" i="72"/>
  <c r="L28" i="72"/>
  <c r="K28" i="72"/>
  <c r="J28" i="72"/>
  <c r="I28" i="72"/>
  <c r="H28" i="72"/>
  <c r="G28" i="72"/>
  <c r="F28" i="72"/>
  <c r="E28" i="72"/>
  <c r="D28" i="72"/>
  <c r="Y27" i="72"/>
  <c r="X27" i="72"/>
  <c r="W27" i="72"/>
  <c r="V27" i="72"/>
  <c r="U27" i="72"/>
  <c r="T27" i="72"/>
  <c r="S27" i="72"/>
  <c r="R27" i="72"/>
  <c r="Q27" i="72"/>
  <c r="P27" i="72"/>
  <c r="O27" i="72"/>
  <c r="N27" i="72"/>
  <c r="M27" i="72"/>
  <c r="L27" i="72"/>
  <c r="K27" i="72"/>
  <c r="J27" i="72"/>
  <c r="I27" i="72"/>
  <c r="H27" i="72"/>
  <c r="G27" i="72"/>
  <c r="F27" i="72"/>
  <c r="E27" i="72"/>
  <c r="D27" i="72"/>
  <c r="Y26" i="72"/>
  <c r="X26" i="72"/>
  <c r="W26" i="72"/>
  <c r="V26" i="72"/>
  <c r="U26" i="72"/>
  <c r="T26" i="72"/>
  <c r="S26" i="72"/>
  <c r="R26" i="72"/>
  <c r="Q26" i="72"/>
  <c r="P26" i="72"/>
  <c r="O26" i="72"/>
  <c r="N26" i="72"/>
  <c r="M26" i="72"/>
  <c r="L26" i="72"/>
  <c r="K26" i="72"/>
  <c r="J26" i="72"/>
  <c r="I26" i="72"/>
  <c r="H26" i="72"/>
  <c r="G26" i="72"/>
  <c r="F26" i="72"/>
  <c r="E26" i="72"/>
  <c r="D26" i="72"/>
  <c r="AV25" i="72"/>
  <c r="AU25" i="72"/>
  <c r="AT25" i="72"/>
  <c r="AS25" i="72"/>
  <c r="AR25" i="72"/>
  <c r="AQ25" i="72"/>
  <c r="AP25" i="72"/>
  <c r="AO25" i="72"/>
  <c r="AN25" i="72"/>
  <c r="AM25" i="72"/>
  <c r="AL25" i="72"/>
  <c r="AK25" i="72"/>
  <c r="AJ25" i="72"/>
  <c r="AI25" i="72"/>
  <c r="AH25" i="72"/>
  <c r="AG25" i="72"/>
  <c r="AF25" i="72"/>
  <c r="AE25" i="72"/>
  <c r="AD25" i="72"/>
  <c r="AC25" i="72"/>
  <c r="AB25" i="72"/>
  <c r="AA25" i="72"/>
  <c r="Z25" i="72"/>
  <c r="Y25" i="72"/>
  <c r="X25" i="72"/>
  <c r="W25" i="72"/>
  <c r="V25" i="72"/>
  <c r="U25" i="72"/>
  <c r="T25" i="72"/>
  <c r="S25" i="72"/>
  <c r="R25" i="72"/>
  <c r="Q25" i="72"/>
  <c r="P25" i="72"/>
  <c r="O25" i="72"/>
  <c r="N25" i="72"/>
  <c r="M25" i="72"/>
  <c r="L25" i="72"/>
  <c r="K25" i="72"/>
  <c r="J25" i="72"/>
  <c r="I25" i="72"/>
  <c r="H25" i="72"/>
  <c r="G25" i="72"/>
  <c r="F25" i="72"/>
  <c r="E25" i="72"/>
  <c r="D25" i="72"/>
  <c r="Y24" i="72"/>
  <c r="X24" i="72"/>
  <c r="W24" i="72"/>
  <c r="V24" i="72"/>
  <c r="U24" i="72"/>
  <c r="T24" i="72"/>
  <c r="S24" i="72"/>
  <c r="R24" i="72"/>
  <c r="Q24" i="72"/>
  <c r="P24" i="72"/>
  <c r="O24" i="72"/>
  <c r="N24" i="72"/>
  <c r="M24" i="72"/>
  <c r="L24" i="72"/>
  <c r="K24" i="72"/>
  <c r="J24" i="72"/>
  <c r="I24" i="72"/>
  <c r="H24" i="72"/>
  <c r="G24" i="72"/>
  <c r="F24" i="72"/>
  <c r="E24" i="72"/>
  <c r="D24" i="72"/>
  <c r="AV23" i="72"/>
  <c r="AU23" i="72"/>
  <c r="AT23" i="72"/>
  <c r="AS23" i="72"/>
  <c r="AR23" i="72"/>
  <c r="AQ23" i="72"/>
  <c r="AP23" i="72"/>
  <c r="AO23" i="72"/>
  <c r="AN23" i="72"/>
  <c r="AM23" i="72"/>
  <c r="AL23" i="72"/>
  <c r="AK23" i="72"/>
  <c r="AJ23" i="72"/>
  <c r="AI23" i="72"/>
  <c r="AH23" i="72"/>
  <c r="AG23" i="72"/>
  <c r="AF23" i="72"/>
  <c r="AE23" i="72"/>
  <c r="AD23" i="72"/>
  <c r="AC23" i="72"/>
  <c r="AB23" i="72"/>
  <c r="AA23" i="72"/>
  <c r="Z23" i="72"/>
  <c r="Y23" i="72"/>
  <c r="X23" i="72"/>
  <c r="W23" i="72"/>
  <c r="V23" i="72"/>
  <c r="U23" i="72"/>
  <c r="T23" i="72"/>
  <c r="S23" i="72"/>
  <c r="R23" i="72"/>
  <c r="Q23" i="72"/>
  <c r="P23" i="72"/>
  <c r="O23" i="72"/>
  <c r="N23" i="72"/>
  <c r="M23" i="72"/>
  <c r="L23" i="72"/>
  <c r="K23" i="72"/>
  <c r="J23" i="72"/>
  <c r="I23" i="72"/>
  <c r="H23" i="72"/>
  <c r="G23" i="72"/>
  <c r="F23" i="72"/>
  <c r="E23" i="72"/>
  <c r="D23" i="72"/>
  <c r="Y22" i="72"/>
  <c r="X22" i="72"/>
  <c r="W22" i="72"/>
  <c r="V22" i="72"/>
  <c r="U22" i="72"/>
  <c r="T22" i="72"/>
  <c r="S22" i="72"/>
  <c r="R22" i="72"/>
  <c r="Q22" i="72"/>
  <c r="P22" i="72"/>
  <c r="O22" i="72"/>
  <c r="N22" i="72"/>
  <c r="M22" i="72"/>
  <c r="L22" i="72"/>
  <c r="K22" i="72"/>
  <c r="J22" i="72"/>
  <c r="I22" i="72"/>
  <c r="H22" i="72"/>
  <c r="G22" i="72"/>
  <c r="F22" i="72"/>
  <c r="E22" i="72"/>
  <c r="D22" i="72"/>
  <c r="AV21" i="72"/>
  <c r="AU21" i="72"/>
  <c r="AT21" i="72"/>
  <c r="AS21" i="72"/>
  <c r="AR21" i="72"/>
  <c r="AQ21" i="72"/>
  <c r="AP21" i="72"/>
  <c r="AO21" i="72"/>
  <c r="AN21" i="72"/>
  <c r="AM21" i="72"/>
  <c r="AL21" i="72"/>
  <c r="AK21" i="72"/>
  <c r="AJ21" i="72"/>
  <c r="AI21" i="72"/>
  <c r="AH21" i="72"/>
  <c r="AG21" i="72"/>
  <c r="AF21" i="72"/>
  <c r="AE21" i="72"/>
  <c r="AD21" i="72"/>
  <c r="AC21" i="72"/>
  <c r="AB21" i="72"/>
  <c r="AA21" i="72"/>
  <c r="Z21" i="72"/>
  <c r="Y21" i="72"/>
  <c r="X21" i="72"/>
  <c r="W21" i="72"/>
  <c r="V21" i="72"/>
  <c r="U21" i="72"/>
  <c r="T21" i="72"/>
  <c r="S21" i="72"/>
  <c r="R21" i="72"/>
  <c r="Q21" i="72"/>
  <c r="P21" i="72"/>
  <c r="O21" i="72"/>
  <c r="N21" i="72"/>
  <c r="M21" i="72"/>
  <c r="L21" i="72"/>
  <c r="K21" i="72"/>
  <c r="J21" i="72"/>
  <c r="I21" i="72"/>
  <c r="H21" i="72"/>
  <c r="G21" i="72"/>
  <c r="F21" i="72"/>
  <c r="E21" i="72"/>
  <c r="D21" i="72"/>
  <c r="AV20" i="72"/>
  <c r="AU20" i="72"/>
  <c r="AT20" i="72"/>
  <c r="AS20" i="72"/>
  <c r="AR20" i="72"/>
  <c r="AQ20" i="72"/>
  <c r="AP20" i="72"/>
  <c r="AO20" i="72"/>
  <c r="AN20" i="72"/>
  <c r="AM20" i="72"/>
  <c r="AL20" i="72"/>
  <c r="AK20" i="72"/>
  <c r="AJ20" i="72"/>
  <c r="AI20" i="72"/>
  <c r="AH20" i="72"/>
  <c r="AG20" i="72"/>
  <c r="AF20" i="72"/>
  <c r="AE20" i="72"/>
  <c r="AD20" i="72"/>
  <c r="AC20" i="72"/>
  <c r="AB20" i="72"/>
  <c r="AA20" i="72"/>
  <c r="Z20" i="72"/>
  <c r="Y20" i="72"/>
  <c r="X20" i="72"/>
  <c r="W20" i="72"/>
  <c r="V20" i="72"/>
  <c r="U20" i="72"/>
  <c r="T20" i="72"/>
  <c r="S20" i="72"/>
  <c r="R20" i="72"/>
  <c r="Q20" i="72"/>
  <c r="P20" i="72"/>
  <c r="O20" i="72"/>
  <c r="N20" i="72"/>
  <c r="M20" i="72"/>
  <c r="L20" i="72"/>
  <c r="K20" i="72"/>
  <c r="J20" i="72"/>
  <c r="I20" i="72"/>
  <c r="H20" i="72"/>
  <c r="G20" i="72"/>
  <c r="F20" i="72"/>
  <c r="E20" i="72"/>
  <c r="D20" i="72"/>
  <c r="AV19" i="72"/>
  <c r="AU19" i="72"/>
  <c r="AT19" i="72"/>
  <c r="AS19" i="72"/>
  <c r="AR19" i="72"/>
  <c r="AQ19" i="72"/>
  <c r="AP19" i="72"/>
  <c r="AO19" i="72"/>
  <c r="AN19" i="72"/>
  <c r="AM19" i="72"/>
  <c r="AL19" i="72"/>
  <c r="AK19" i="72"/>
  <c r="AJ19" i="72"/>
  <c r="AI19" i="72"/>
  <c r="AH19" i="72"/>
  <c r="AG19" i="72"/>
  <c r="AF19" i="72"/>
  <c r="AE19" i="72"/>
  <c r="AD19" i="72"/>
  <c r="AC19" i="72"/>
  <c r="AB19" i="72"/>
  <c r="AA19" i="72"/>
  <c r="Z19" i="72"/>
  <c r="Y19" i="72"/>
  <c r="X19" i="72"/>
  <c r="W19" i="72"/>
  <c r="V19" i="72"/>
  <c r="U19" i="72"/>
  <c r="T19" i="72"/>
  <c r="S19" i="72"/>
  <c r="R19" i="72"/>
  <c r="Q19" i="72"/>
  <c r="P19" i="72"/>
  <c r="O19" i="72"/>
  <c r="N19" i="72"/>
  <c r="M19" i="72"/>
  <c r="L19" i="72"/>
  <c r="K19" i="72"/>
  <c r="J19" i="72"/>
  <c r="I19" i="72"/>
  <c r="H19" i="72"/>
  <c r="G19" i="72"/>
  <c r="F19" i="72"/>
  <c r="E19" i="72"/>
  <c r="D19" i="72"/>
  <c r="AV18" i="72"/>
  <c r="AU18" i="72"/>
  <c r="AT18" i="72"/>
  <c r="AS18" i="72"/>
  <c r="AR18" i="72"/>
  <c r="AQ18" i="72"/>
  <c r="AP18" i="72"/>
  <c r="AO18" i="72"/>
  <c r="AN18" i="72"/>
  <c r="AM18" i="72"/>
  <c r="AL18" i="72"/>
  <c r="AK18" i="72"/>
  <c r="AJ18" i="72"/>
  <c r="AI18" i="72"/>
  <c r="AH18" i="72"/>
  <c r="AG18" i="72"/>
  <c r="AF18" i="72"/>
  <c r="AE18" i="72"/>
  <c r="AD18" i="72"/>
  <c r="AC18" i="72"/>
  <c r="AB18" i="72"/>
  <c r="AA18" i="72"/>
  <c r="Z18" i="72"/>
  <c r="Y18" i="72"/>
  <c r="X18" i="72"/>
  <c r="W18" i="72"/>
  <c r="V18" i="72"/>
  <c r="U18" i="72"/>
  <c r="T18" i="72"/>
  <c r="S18" i="72"/>
  <c r="R18" i="72"/>
  <c r="Q18" i="72"/>
  <c r="P18" i="72"/>
  <c r="O18" i="72"/>
  <c r="N18" i="72"/>
  <c r="M18" i="72"/>
  <c r="L18" i="72"/>
  <c r="K18" i="72"/>
  <c r="J18" i="72"/>
  <c r="I18" i="72"/>
  <c r="H18" i="72"/>
  <c r="G18" i="72"/>
  <c r="F18" i="72"/>
  <c r="E18" i="72"/>
  <c r="D18" i="72"/>
  <c r="AV17" i="72"/>
  <c r="AU17" i="72"/>
  <c r="AT17" i="72"/>
  <c r="AS17" i="72"/>
  <c r="AR17" i="72"/>
  <c r="AQ17" i="72"/>
  <c r="AP17" i="72"/>
  <c r="AO17" i="72"/>
  <c r="AN17" i="72"/>
  <c r="AM17" i="72"/>
  <c r="AL17" i="72"/>
  <c r="AK17" i="72"/>
  <c r="AJ17" i="72"/>
  <c r="AI17" i="72"/>
  <c r="AH17" i="72"/>
  <c r="AG17" i="72"/>
  <c r="AF17" i="72"/>
  <c r="AE17" i="72"/>
  <c r="AD17" i="72"/>
  <c r="AC17" i="72"/>
  <c r="AB17" i="72"/>
  <c r="AA17" i="72"/>
  <c r="Z17" i="72"/>
  <c r="Y17" i="72"/>
  <c r="X17" i="72"/>
  <c r="W17" i="72"/>
  <c r="V17" i="72"/>
  <c r="U17" i="72"/>
  <c r="T17" i="72"/>
  <c r="S17" i="72"/>
  <c r="R17" i="72"/>
  <c r="Q17" i="72"/>
  <c r="P17" i="72"/>
  <c r="O17" i="72"/>
  <c r="N17" i="72"/>
  <c r="M17" i="72"/>
  <c r="L17" i="72"/>
  <c r="K17" i="72"/>
  <c r="J17" i="72"/>
  <c r="I17" i="72"/>
  <c r="H17" i="72"/>
  <c r="G17" i="72"/>
  <c r="F17" i="72"/>
  <c r="E17" i="72"/>
  <c r="D17" i="72"/>
  <c r="AV16" i="72"/>
  <c r="AU16" i="72"/>
  <c r="AT16" i="72"/>
  <c r="AS16" i="72"/>
  <c r="AR16" i="72"/>
  <c r="AQ16" i="72"/>
  <c r="AP16" i="72"/>
  <c r="AO16" i="72"/>
  <c r="AN16" i="72"/>
  <c r="AM16" i="72"/>
  <c r="AL16" i="72"/>
  <c r="AK16" i="72"/>
  <c r="AJ16" i="72"/>
  <c r="AI16" i="72"/>
  <c r="AH16" i="72"/>
  <c r="AG16" i="72"/>
  <c r="AF16" i="72"/>
  <c r="AE16" i="72"/>
  <c r="AD16" i="72"/>
  <c r="AC16" i="72"/>
  <c r="AB16" i="72"/>
  <c r="AA16" i="72"/>
  <c r="Z16" i="72"/>
  <c r="Y16" i="72"/>
  <c r="X16" i="72"/>
  <c r="W16" i="72"/>
  <c r="V16" i="72"/>
  <c r="U16" i="72"/>
  <c r="T16" i="72"/>
  <c r="S16" i="72"/>
  <c r="R16" i="72"/>
  <c r="Q16" i="72"/>
  <c r="P16" i="72"/>
  <c r="O16" i="72"/>
  <c r="N16" i="72"/>
  <c r="M16" i="72"/>
  <c r="L16" i="72"/>
  <c r="K16" i="72"/>
  <c r="J16" i="72"/>
  <c r="I16" i="72"/>
  <c r="H16" i="72"/>
  <c r="G16" i="72"/>
  <c r="F16" i="72"/>
  <c r="E16" i="72"/>
  <c r="D16" i="72"/>
  <c r="AV15" i="72"/>
  <c r="AU15" i="72"/>
  <c r="AT15" i="72"/>
  <c r="AS15" i="72"/>
  <c r="AR15" i="72"/>
  <c r="AQ15" i="72"/>
  <c r="AP15" i="72"/>
  <c r="AO15" i="72"/>
  <c r="AN15" i="72"/>
  <c r="AM15" i="72"/>
  <c r="AL15" i="72"/>
  <c r="AK15" i="72"/>
  <c r="AJ15" i="72"/>
  <c r="AI15" i="72"/>
  <c r="AH15" i="72"/>
  <c r="AG15" i="72"/>
  <c r="AF15" i="72"/>
  <c r="AE15" i="72"/>
  <c r="AD15" i="72"/>
  <c r="AC15" i="72"/>
  <c r="AB15" i="72"/>
  <c r="AA15" i="72"/>
  <c r="Z15" i="72"/>
  <c r="Y15" i="72"/>
  <c r="X15" i="72"/>
  <c r="W15" i="72"/>
  <c r="V15" i="72"/>
  <c r="U15" i="72"/>
  <c r="T15" i="72"/>
  <c r="S15" i="72"/>
  <c r="R15" i="72"/>
  <c r="Q15" i="72"/>
  <c r="P15" i="72"/>
  <c r="O15" i="72"/>
  <c r="N15" i="72"/>
  <c r="M15" i="72"/>
  <c r="L15" i="72"/>
  <c r="K15" i="72"/>
  <c r="J15" i="72"/>
  <c r="I15" i="72"/>
  <c r="H15" i="72"/>
  <c r="G15" i="72"/>
  <c r="F15" i="72"/>
  <c r="E15" i="72"/>
  <c r="D15" i="72"/>
  <c r="AV14" i="72"/>
  <c r="AU14" i="72"/>
  <c r="AT14" i="72"/>
  <c r="AS14" i="72"/>
  <c r="AR14" i="72"/>
  <c r="AQ14" i="72"/>
  <c r="AP14" i="72"/>
  <c r="AO14" i="72"/>
  <c r="AN14" i="72"/>
  <c r="AM14" i="72"/>
  <c r="AL14" i="72"/>
  <c r="AK14" i="72"/>
  <c r="AJ14" i="72"/>
  <c r="AI14" i="72"/>
  <c r="AH14" i="72"/>
  <c r="AG14" i="72"/>
  <c r="AF14" i="72"/>
  <c r="AE14" i="72"/>
  <c r="AD14" i="72"/>
  <c r="AC14" i="72"/>
  <c r="AB14" i="72"/>
  <c r="AA14" i="72"/>
  <c r="Z14" i="72"/>
  <c r="Y14" i="72"/>
  <c r="X14" i="72"/>
  <c r="W14" i="72"/>
  <c r="V14" i="72"/>
  <c r="U14" i="72"/>
  <c r="T14" i="72"/>
  <c r="S14" i="72"/>
  <c r="R14" i="72"/>
  <c r="Q14" i="72"/>
  <c r="P14" i="72"/>
  <c r="O14" i="72"/>
  <c r="N14" i="72"/>
  <c r="M14" i="72"/>
  <c r="L14" i="72"/>
  <c r="K14" i="72"/>
  <c r="J14" i="72"/>
  <c r="I14" i="72"/>
  <c r="H14" i="72"/>
  <c r="G14" i="72"/>
  <c r="F14" i="72"/>
  <c r="E14" i="72"/>
  <c r="D14" i="72"/>
  <c r="AV13" i="72"/>
  <c r="AU13" i="72"/>
  <c r="AT13" i="72"/>
  <c r="AS13" i="72"/>
  <c r="AR13" i="72"/>
  <c r="AQ13" i="72"/>
  <c r="AP13" i="72"/>
  <c r="AO13" i="72"/>
  <c r="AN13" i="72"/>
  <c r="AM13" i="72"/>
  <c r="AL13" i="72"/>
  <c r="AK13" i="72"/>
  <c r="AJ13" i="72"/>
  <c r="AI13" i="72"/>
  <c r="AH13" i="72"/>
  <c r="AG13" i="72"/>
  <c r="AF13" i="72"/>
  <c r="AE13" i="72"/>
  <c r="AD13" i="72"/>
  <c r="AC13" i="72"/>
  <c r="AB13" i="72"/>
  <c r="AA13" i="72"/>
  <c r="Z13" i="72"/>
  <c r="Y13" i="72"/>
  <c r="X13" i="72"/>
  <c r="W13" i="72"/>
  <c r="V13" i="72"/>
  <c r="U13" i="72"/>
  <c r="T13" i="72"/>
  <c r="S13" i="72"/>
  <c r="R13" i="72"/>
  <c r="Q13" i="72"/>
  <c r="P13" i="72"/>
  <c r="O13" i="72"/>
  <c r="N13" i="72"/>
  <c r="M13" i="72"/>
  <c r="L13" i="72"/>
  <c r="K13" i="72"/>
  <c r="J13" i="72"/>
  <c r="I13" i="72"/>
  <c r="H13" i="72"/>
  <c r="G13" i="72"/>
  <c r="F13" i="72"/>
  <c r="E13" i="72"/>
  <c r="D13" i="72"/>
  <c r="AV12" i="72"/>
  <c r="AU12" i="72"/>
  <c r="AT12" i="72"/>
  <c r="AS12" i="72"/>
  <c r="AR12" i="72"/>
  <c r="AQ12" i="72"/>
  <c r="AP12" i="72"/>
  <c r="AO12" i="72"/>
  <c r="AN12" i="72"/>
  <c r="AM12" i="72"/>
  <c r="AL12" i="72"/>
  <c r="AK12" i="72"/>
  <c r="AJ12" i="72"/>
  <c r="AI12" i="72"/>
  <c r="AH12" i="72"/>
  <c r="AG12" i="72"/>
  <c r="AF12" i="72"/>
  <c r="AE12" i="72"/>
  <c r="AD12" i="72"/>
  <c r="AC12" i="72"/>
  <c r="AB12" i="72"/>
  <c r="AA12" i="72"/>
  <c r="Z12" i="72"/>
  <c r="Y12" i="72"/>
  <c r="X12" i="72"/>
  <c r="W12" i="72"/>
  <c r="V12" i="72"/>
  <c r="U12" i="72"/>
  <c r="T12" i="72"/>
  <c r="S12" i="72"/>
  <c r="R12" i="72"/>
  <c r="Q12" i="72"/>
  <c r="P12" i="72"/>
  <c r="O12" i="72"/>
  <c r="N12" i="72"/>
  <c r="M12" i="72"/>
  <c r="L12" i="72"/>
  <c r="K12" i="72"/>
  <c r="J12" i="72"/>
  <c r="I12" i="72"/>
  <c r="H12" i="72"/>
  <c r="G12" i="72"/>
  <c r="F12" i="72"/>
  <c r="E12" i="72"/>
  <c r="D12" i="72"/>
  <c r="AV11" i="72"/>
  <c r="AU11" i="72"/>
  <c r="AT11" i="72"/>
  <c r="AS11" i="72"/>
  <c r="AR11" i="72"/>
  <c r="AQ11" i="72"/>
  <c r="AP11" i="72"/>
  <c r="AO11" i="72"/>
  <c r="AN11" i="72"/>
  <c r="AM11" i="72"/>
  <c r="AL11" i="72"/>
  <c r="AK11" i="72"/>
  <c r="AJ11" i="72"/>
  <c r="AI11" i="72"/>
  <c r="AH11" i="72"/>
  <c r="AG11" i="72"/>
  <c r="AF11" i="72"/>
  <c r="AE11" i="72"/>
  <c r="AD11" i="72"/>
  <c r="AC11" i="72"/>
  <c r="AB11" i="72"/>
  <c r="AA11" i="72"/>
  <c r="Z11" i="72"/>
  <c r="Y11" i="72"/>
  <c r="X11" i="72"/>
  <c r="W11" i="72"/>
  <c r="V11" i="72"/>
  <c r="U11" i="72"/>
  <c r="T11" i="72"/>
  <c r="S11" i="72"/>
  <c r="R11" i="72"/>
  <c r="Q11" i="72"/>
  <c r="P11" i="72"/>
  <c r="O11" i="72"/>
  <c r="N11" i="72"/>
  <c r="M11" i="72"/>
  <c r="L11" i="72"/>
  <c r="K11" i="72"/>
  <c r="J11" i="72"/>
  <c r="I11" i="72"/>
  <c r="H11" i="72"/>
  <c r="G11" i="72"/>
  <c r="F11" i="72"/>
  <c r="E11" i="72"/>
  <c r="D11" i="72"/>
  <c r="AV10" i="72"/>
  <c r="AU10" i="72"/>
  <c r="AT10" i="72"/>
  <c r="AS10" i="72"/>
  <c r="AR10" i="72"/>
  <c r="AQ10" i="72"/>
  <c r="AP10" i="72"/>
  <c r="AO10" i="72"/>
  <c r="AN10" i="72"/>
  <c r="AM10" i="72"/>
  <c r="AL10" i="72"/>
  <c r="AK10" i="72"/>
  <c r="AJ10" i="72"/>
  <c r="AI10" i="72"/>
  <c r="AH10" i="72"/>
  <c r="AG10" i="72"/>
  <c r="AF10" i="72"/>
  <c r="AE10" i="72"/>
  <c r="AD10" i="72"/>
  <c r="AC10" i="72"/>
  <c r="AB10" i="72"/>
  <c r="AA10" i="72"/>
  <c r="Z10" i="72"/>
  <c r="Y10" i="72"/>
  <c r="X10" i="72"/>
  <c r="W10" i="72"/>
  <c r="V10" i="72"/>
  <c r="U10" i="72"/>
  <c r="T10" i="72"/>
  <c r="S10" i="72"/>
  <c r="R10" i="72"/>
  <c r="Q10" i="72"/>
  <c r="P10" i="72"/>
  <c r="O10" i="72"/>
  <c r="N10" i="72"/>
  <c r="M10" i="72"/>
  <c r="L10" i="72"/>
  <c r="K10" i="72"/>
  <c r="J10" i="72"/>
  <c r="I10" i="72"/>
  <c r="H10" i="72"/>
  <c r="G10" i="72"/>
  <c r="F10" i="72"/>
  <c r="E10" i="72"/>
  <c r="D10" i="72"/>
  <c r="AV9" i="72"/>
  <c r="AU9" i="72"/>
  <c r="AT9" i="72"/>
  <c r="AS9" i="72"/>
  <c r="AR9" i="72"/>
  <c r="AQ9" i="72"/>
  <c r="AP9" i="72"/>
  <c r="AO9" i="72"/>
  <c r="AN9" i="72"/>
  <c r="AM9" i="72"/>
  <c r="AL9" i="72"/>
  <c r="AK9" i="72"/>
  <c r="AJ9" i="72"/>
  <c r="AI9" i="72"/>
  <c r="AH9" i="72"/>
  <c r="AG9" i="72"/>
  <c r="AF9" i="72"/>
  <c r="AE9" i="72"/>
  <c r="AD9" i="72"/>
  <c r="AC9" i="72"/>
  <c r="AB9" i="72"/>
  <c r="AA9" i="72"/>
  <c r="Z9" i="72"/>
  <c r="Y9" i="72"/>
  <c r="X9" i="72"/>
  <c r="W9" i="72"/>
  <c r="V9" i="72"/>
  <c r="U9" i="72"/>
  <c r="T9" i="72"/>
  <c r="S9" i="72"/>
  <c r="R9" i="72"/>
  <c r="Q9" i="72"/>
  <c r="P9" i="72"/>
  <c r="O9" i="72"/>
  <c r="N9" i="72"/>
  <c r="M9" i="72"/>
  <c r="L9" i="72"/>
  <c r="K9" i="72"/>
  <c r="J9" i="72"/>
  <c r="I9" i="72"/>
  <c r="H9" i="72"/>
  <c r="G9" i="72"/>
  <c r="F9" i="72"/>
  <c r="E9" i="72"/>
  <c r="D9" i="72"/>
  <c r="AV8" i="72"/>
  <c r="AU8" i="72"/>
  <c r="AT8" i="72"/>
  <c r="AS8" i="72"/>
  <c r="AR8" i="72"/>
  <c r="AQ8" i="72"/>
  <c r="AP8" i="72"/>
  <c r="AO8" i="72"/>
  <c r="AN8" i="72"/>
  <c r="AM8" i="72"/>
  <c r="AL8" i="72"/>
  <c r="AK8" i="72"/>
  <c r="AJ8" i="72"/>
  <c r="AI8" i="72"/>
  <c r="AH8" i="72"/>
  <c r="AG8" i="72"/>
  <c r="AF8" i="72"/>
  <c r="AE8" i="72"/>
  <c r="AD8" i="72"/>
  <c r="AC8" i="72"/>
  <c r="AB8" i="72"/>
  <c r="AA8" i="72"/>
  <c r="Z8" i="72"/>
  <c r="Y8" i="72"/>
  <c r="X8" i="72"/>
  <c r="W8" i="72"/>
  <c r="V8" i="72"/>
  <c r="U8" i="72"/>
  <c r="T8" i="72"/>
  <c r="S8" i="72"/>
  <c r="R8" i="72"/>
  <c r="Q8" i="72"/>
  <c r="P8" i="72"/>
  <c r="O8" i="72"/>
  <c r="N8" i="72"/>
  <c r="M8" i="72"/>
  <c r="L8" i="72"/>
  <c r="K8" i="72"/>
  <c r="J8" i="72"/>
  <c r="I8" i="72"/>
  <c r="H8" i="72"/>
  <c r="G8" i="72"/>
  <c r="F8" i="72"/>
  <c r="E8" i="72"/>
  <c r="D8" i="72"/>
  <c r="AV7" i="72"/>
  <c r="AU7" i="72"/>
  <c r="AT7" i="72"/>
  <c r="AS7" i="72"/>
  <c r="AR7" i="72"/>
  <c r="AQ7" i="72"/>
  <c r="AP7" i="72"/>
  <c r="AO7" i="72"/>
  <c r="AN7" i="72"/>
  <c r="AM7" i="72"/>
  <c r="AL7" i="72"/>
  <c r="AK7" i="72"/>
  <c r="AJ7" i="72"/>
  <c r="AI7" i="72"/>
  <c r="AH7" i="72"/>
  <c r="AG7" i="72"/>
  <c r="AF7" i="72"/>
  <c r="AE7" i="72"/>
  <c r="AD7" i="72"/>
  <c r="AC7" i="72"/>
  <c r="AB7" i="72"/>
  <c r="AA7" i="72"/>
  <c r="Z7" i="72"/>
  <c r="Y7" i="72"/>
  <c r="X7" i="72"/>
  <c r="W7" i="72"/>
  <c r="V7" i="72"/>
  <c r="U7" i="72"/>
  <c r="T7" i="72"/>
  <c r="S7" i="72"/>
  <c r="R7" i="72"/>
  <c r="Q7" i="72"/>
  <c r="P7" i="72"/>
  <c r="O7" i="72"/>
  <c r="N7" i="72"/>
  <c r="M7" i="72"/>
  <c r="L7" i="72"/>
  <c r="K7" i="72"/>
  <c r="J7" i="72"/>
  <c r="I7" i="72"/>
  <c r="H7" i="72"/>
  <c r="G7" i="72"/>
  <c r="F7" i="72"/>
  <c r="E7" i="72"/>
  <c r="D7" i="72"/>
  <c r="Y6" i="72"/>
  <c r="X6" i="72"/>
  <c r="W6" i="72"/>
  <c r="V6" i="72"/>
  <c r="U6" i="72"/>
  <c r="T6" i="72"/>
  <c r="S6" i="72"/>
  <c r="R6" i="72"/>
  <c r="Q6" i="72"/>
  <c r="P6" i="72"/>
  <c r="O6" i="72"/>
  <c r="N6" i="72"/>
  <c r="M6" i="72"/>
  <c r="L6" i="72"/>
  <c r="K6" i="72"/>
  <c r="J6" i="72"/>
  <c r="I6" i="72"/>
  <c r="H6" i="72"/>
  <c r="G6" i="72"/>
  <c r="F6" i="72"/>
  <c r="E6" i="72"/>
  <c r="D6" i="72"/>
  <c r="AV67" i="71"/>
  <c r="AU67" i="71"/>
  <c r="AT67" i="71"/>
  <c r="AS67" i="71"/>
  <c r="AR67" i="71"/>
  <c r="AQ67" i="71"/>
  <c r="AP67" i="71"/>
  <c r="AO67" i="71"/>
  <c r="AN67" i="71"/>
  <c r="AM67" i="71"/>
  <c r="AL67" i="71"/>
  <c r="AK67" i="71"/>
  <c r="AJ67" i="71"/>
  <c r="AI67" i="71"/>
  <c r="AH67" i="71"/>
  <c r="AG67" i="71"/>
  <c r="AF67" i="71"/>
  <c r="AE67" i="71"/>
  <c r="AD67" i="71"/>
  <c r="AC67" i="71"/>
  <c r="AB67" i="71"/>
  <c r="AA67" i="71"/>
  <c r="Z67" i="71"/>
  <c r="Y67" i="71"/>
  <c r="X67" i="71"/>
  <c r="W67" i="71"/>
  <c r="V67" i="71"/>
  <c r="U67" i="71"/>
  <c r="T67" i="71"/>
  <c r="S67" i="71"/>
  <c r="R67" i="71"/>
  <c r="Q67" i="71"/>
  <c r="P67" i="71"/>
  <c r="O67" i="71"/>
  <c r="N67" i="71"/>
  <c r="M67" i="71"/>
  <c r="L67" i="71"/>
  <c r="K67" i="71"/>
  <c r="J67" i="71"/>
  <c r="I67" i="71"/>
  <c r="H67" i="71"/>
  <c r="G67" i="71"/>
  <c r="F67" i="71"/>
  <c r="E67" i="71"/>
  <c r="D67" i="71"/>
  <c r="AV66" i="71"/>
  <c r="AU66" i="71"/>
  <c r="AT66" i="71"/>
  <c r="AS66" i="71"/>
  <c r="AR66" i="71"/>
  <c r="AQ66" i="71"/>
  <c r="AP66" i="71"/>
  <c r="AO66" i="71"/>
  <c r="AN66" i="71"/>
  <c r="AM66" i="71"/>
  <c r="AL66" i="71"/>
  <c r="AK66" i="71"/>
  <c r="AJ66" i="71"/>
  <c r="AI66" i="71"/>
  <c r="AH66" i="71"/>
  <c r="AG66" i="71"/>
  <c r="AF66" i="71"/>
  <c r="AE66" i="71"/>
  <c r="AD66" i="71"/>
  <c r="AC66" i="71"/>
  <c r="AB66" i="71"/>
  <c r="AA66" i="71"/>
  <c r="Z66" i="71"/>
  <c r="Y66" i="71"/>
  <c r="X66" i="71"/>
  <c r="W66" i="71"/>
  <c r="V66" i="71"/>
  <c r="U66" i="71"/>
  <c r="T66" i="71"/>
  <c r="S66" i="71"/>
  <c r="R66" i="71"/>
  <c r="Q66" i="71"/>
  <c r="P66" i="71"/>
  <c r="O66" i="71"/>
  <c r="N66" i="71"/>
  <c r="M66" i="71"/>
  <c r="L66" i="71"/>
  <c r="K66" i="71"/>
  <c r="J66" i="71"/>
  <c r="I66" i="71"/>
  <c r="H66" i="71"/>
  <c r="G66" i="71"/>
  <c r="F66" i="71"/>
  <c r="E66" i="71"/>
  <c r="D66" i="71"/>
  <c r="AU65" i="71"/>
  <c r="AT65" i="71"/>
  <c r="AS65" i="71"/>
  <c r="AR65" i="71"/>
  <c r="AP65" i="71"/>
  <c r="AO65" i="71"/>
  <c r="AN65" i="71"/>
  <c r="AM65" i="71"/>
  <c r="AK65" i="71"/>
  <c r="AJ65" i="71"/>
  <c r="AI65" i="71"/>
  <c r="AH65" i="71"/>
  <c r="AF65" i="71"/>
  <c r="AE65" i="71"/>
  <c r="AD65" i="71"/>
  <c r="AC65" i="71"/>
  <c r="AA65" i="71"/>
  <c r="Z65" i="71"/>
  <c r="Y65" i="71"/>
  <c r="X65" i="71"/>
  <c r="W65" i="71"/>
  <c r="V65" i="71"/>
  <c r="U65" i="71"/>
  <c r="T65" i="71"/>
  <c r="S65" i="71"/>
  <c r="R65" i="71"/>
  <c r="Q65" i="71"/>
  <c r="P65" i="71"/>
  <c r="O65" i="71"/>
  <c r="N65" i="71"/>
  <c r="M65" i="71"/>
  <c r="L65" i="71"/>
  <c r="K65" i="71"/>
  <c r="J65" i="71"/>
  <c r="I65" i="71"/>
  <c r="H65" i="71"/>
  <c r="G65" i="71"/>
  <c r="F65" i="71"/>
  <c r="E65" i="71"/>
  <c r="D65" i="71"/>
  <c r="AU64" i="71"/>
  <c r="AT64" i="71"/>
  <c r="AS64" i="71"/>
  <c r="AR64" i="71"/>
  <c r="AP64" i="71"/>
  <c r="AO64" i="71"/>
  <c r="AN64" i="71"/>
  <c r="AM64" i="71"/>
  <c r="AK64" i="71"/>
  <c r="AJ64" i="71"/>
  <c r="AI64" i="71"/>
  <c r="AH64" i="71"/>
  <c r="AF64" i="71"/>
  <c r="AE64" i="71"/>
  <c r="AD64" i="71"/>
  <c r="AC64" i="71"/>
  <c r="AA64" i="71"/>
  <c r="Z64" i="71"/>
  <c r="Y64" i="71"/>
  <c r="X64" i="71"/>
  <c r="W64" i="71"/>
  <c r="V64" i="71"/>
  <c r="U64" i="71"/>
  <c r="T64" i="71"/>
  <c r="S64" i="71"/>
  <c r="R64" i="71"/>
  <c r="Q64" i="71"/>
  <c r="P64" i="71"/>
  <c r="O64" i="71"/>
  <c r="N64" i="71"/>
  <c r="M64" i="71"/>
  <c r="L64" i="71"/>
  <c r="K64" i="71"/>
  <c r="J64" i="71"/>
  <c r="I64" i="71"/>
  <c r="H64" i="71"/>
  <c r="G64" i="71"/>
  <c r="F64" i="71"/>
  <c r="E64" i="71"/>
  <c r="D64" i="71"/>
  <c r="AV63" i="71"/>
  <c r="AU63" i="71"/>
  <c r="AT63" i="71"/>
  <c r="AS63" i="71"/>
  <c r="AR63" i="71"/>
  <c r="AQ63" i="71"/>
  <c r="AP63" i="71"/>
  <c r="AO63" i="71"/>
  <c r="AN63" i="71"/>
  <c r="AM63" i="71"/>
  <c r="AL63" i="71"/>
  <c r="AK63" i="71"/>
  <c r="AJ63" i="71"/>
  <c r="AI63" i="71"/>
  <c r="AH63" i="71"/>
  <c r="AG63" i="71"/>
  <c r="AF63" i="71"/>
  <c r="AE63" i="71"/>
  <c r="AD63" i="71"/>
  <c r="AC63" i="71"/>
  <c r="AB63" i="71"/>
  <c r="AA63" i="71"/>
  <c r="Z63" i="71"/>
  <c r="Y63" i="71"/>
  <c r="X63" i="71"/>
  <c r="W63" i="71"/>
  <c r="V63" i="71"/>
  <c r="U63" i="71"/>
  <c r="T63" i="71"/>
  <c r="S63" i="71"/>
  <c r="R63" i="71"/>
  <c r="Q63" i="71"/>
  <c r="P63" i="71"/>
  <c r="O63" i="71"/>
  <c r="N63" i="71"/>
  <c r="M63" i="71"/>
  <c r="L63" i="71"/>
  <c r="K63" i="71"/>
  <c r="J63" i="71"/>
  <c r="I63" i="71"/>
  <c r="H63" i="71"/>
  <c r="G63" i="71"/>
  <c r="F63" i="71"/>
  <c r="E63" i="71"/>
  <c r="D63" i="71"/>
  <c r="AV62" i="71"/>
  <c r="AQ62" i="71"/>
  <c r="AL62" i="71"/>
  <c r="AG62" i="71"/>
  <c r="AB62" i="71"/>
  <c r="Y62" i="71"/>
  <c r="X62" i="71"/>
  <c r="W62" i="71"/>
  <c r="V62" i="71"/>
  <c r="U62" i="71"/>
  <c r="T62" i="71"/>
  <c r="S62" i="71"/>
  <c r="R62" i="71"/>
  <c r="Q62" i="71"/>
  <c r="P62" i="71"/>
  <c r="O62" i="71"/>
  <c r="N62" i="71"/>
  <c r="M62" i="71"/>
  <c r="L62" i="71"/>
  <c r="K62" i="71"/>
  <c r="J62" i="71"/>
  <c r="I62" i="71"/>
  <c r="H62" i="71"/>
  <c r="G62" i="71"/>
  <c r="F62" i="71"/>
  <c r="E62" i="71"/>
  <c r="D62" i="71"/>
  <c r="AV61" i="71"/>
  <c r="AU61" i="71"/>
  <c r="AT61" i="71"/>
  <c r="AS61" i="71"/>
  <c r="AR61" i="71"/>
  <c r="AQ61" i="71"/>
  <c r="AP61" i="71"/>
  <c r="AO61" i="71"/>
  <c r="AN61" i="71"/>
  <c r="AM61" i="71"/>
  <c r="AL61" i="71"/>
  <c r="AK61" i="71"/>
  <c r="AJ61" i="71"/>
  <c r="AI61" i="71"/>
  <c r="AH61" i="71"/>
  <c r="AG61" i="71"/>
  <c r="AF61" i="71"/>
  <c r="AE61" i="71"/>
  <c r="AD61" i="71"/>
  <c r="AC61" i="71"/>
  <c r="AB61" i="71"/>
  <c r="AA61" i="71"/>
  <c r="Z61" i="71"/>
  <c r="Y61" i="71"/>
  <c r="X61" i="71"/>
  <c r="W61" i="71"/>
  <c r="V61" i="71"/>
  <c r="U61" i="71"/>
  <c r="T61" i="71"/>
  <c r="S61" i="71"/>
  <c r="R61" i="71"/>
  <c r="Q61" i="71"/>
  <c r="P61" i="71"/>
  <c r="O61" i="71"/>
  <c r="N61" i="71"/>
  <c r="M61" i="71"/>
  <c r="L61" i="71"/>
  <c r="K61" i="71"/>
  <c r="J61" i="71"/>
  <c r="I61" i="71"/>
  <c r="H61" i="71"/>
  <c r="G61" i="71"/>
  <c r="F61" i="71"/>
  <c r="E61" i="71"/>
  <c r="D61" i="71"/>
  <c r="AV60" i="71"/>
  <c r="AU60" i="71"/>
  <c r="AT60" i="71"/>
  <c r="AS60" i="71"/>
  <c r="AR60" i="71"/>
  <c r="AQ60" i="71"/>
  <c r="AP60" i="71"/>
  <c r="AO60" i="71"/>
  <c r="AN60" i="71"/>
  <c r="AM60" i="71"/>
  <c r="AL60" i="71"/>
  <c r="AK60" i="71"/>
  <c r="AJ60" i="71"/>
  <c r="AI60" i="71"/>
  <c r="AH60" i="71"/>
  <c r="AG60" i="71"/>
  <c r="AF60" i="71"/>
  <c r="AE60" i="71"/>
  <c r="AD60" i="71"/>
  <c r="AC60" i="71"/>
  <c r="AB60" i="71"/>
  <c r="AA60" i="71"/>
  <c r="Z60" i="71"/>
  <c r="Y60" i="71"/>
  <c r="X60" i="71"/>
  <c r="W60" i="71"/>
  <c r="V60" i="71"/>
  <c r="U60" i="71"/>
  <c r="T60" i="71"/>
  <c r="S60" i="71"/>
  <c r="R60" i="71"/>
  <c r="Q60" i="71"/>
  <c r="P60" i="71"/>
  <c r="O60" i="71"/>
  <c r="N60" i="71"/>
  <c r="M60" i="71"/>
  <c r="L60" i="71"/>
  <c r="K60" i="71"/>
  <c r="J60" i="71"/>
  <c r="I60" i="71"/>
  <c r="H60" i="71"/>
  <c r="G60" i="71"/>
  <c r="F60" i="71"/>
  <c r="E60" i="71"/>
  <c r="D60" i="71"/>
  <c r="AV59" i="71"/>
  <c r="AU59" i="71"/>
  <c r="AT59" i="71"/>
  <c r="AS59" i="71"/>
  <c r="AR59" i="71"/>
  <c r="AQ59" i="71"/>
  <c r="AP59" i="71"/>
  <c r="AO59" i="71"/>
  <c r="AN59" i="71"/>
  <c r="AM59" i="71"/>
  <c r="AL59" i="71"/>
  <c r="AK59" i="71"/>
  <c r="AJ59" i="71"/>
  <c r="AI59" i="71"/>
  <c r="AH59" i="71"/>
  <c r="AG59" i="71"/>
  <c r="AF59" i="71"/>
  <c r="AE59" i="71"/>
  <c r="AD59" i="71"/>
  <c r="AC59" i="71"/>
  <c r="AB59" i="71"/>
  <c r="AA59" i="71"/>
  <c r="Z59" i="71"/>
  <c r="Y59" i="71"/>
  <c r="X59" i="71"/>
  <c r="W59" i="71"/>
  <c r="V59" i="71"/>
  <c r="U59" i="71"/>
  <c r="T59" i="71"/>
  <c r="S59" i="71"/>
  <c r="R59" i="71"/>
  <c r="Q59" i="71"/>
  <c r="P59" i="71"/>
  <c r="O59" i="71"/>
  <c r="N59" i="71"/>
  <c r="M59" i="71"/>
  <c r="L59" i="71"/>
  <c r="K59" i="71"/>
  <c r="J59" i="71"/>
  <c r="I59" i="71"/>
  <c r="H59" i="71"/>
  <c r="G59" i="71"/>
  <c r="F59" i="71"/>
  <c r="E59" i="71"/>
  <c r="D59" i="71"/>
  <c r="AV58" i="71"/>
  <c r="AU58" i="71"/>
  <c r="AT58" i="71"/>
  <c r="AS58" i="71"/>
  <c r="AR58" i="71"/>
  <c r="AQ58" i="71"/>
  <c r="AP58" i="71"/>
  <c r="AO58" i="71"/>
  <c r="AN58" i="71"/>
  <c r="AM58" i="71"/>
  <c r="AL58" i="71"/>
  <c r="AK58" i="71"/>
  <c r="AJ58" i="71"/>
  <c r="AI58" i="71"/>
  <c r="AH58" i="71"/>
  <c r="AG58" i="71"/>
  <c r="AF58" i="71"/>
  <c r="AE58" i="71"/>
  <c r="AD58" i="71"/>
  <c r="AC58" i="71"/>
  <c r="AB58" i="71"/>
  <c r="AA58" i="71"/>
  <c r="Z58" i="71"/>
  <c r="Y58" i="71"/>
  <c r="X58" i="71"/>
  <c r="W58" i="71"/>
  <c r="V58" i="71"/>
  <c r="U58" i="71"/>
  <c r="T58" i="71"/>
  <c r="S58" i="71"/>
  <c r="R58" i="71"/>
  <c r="Q58" i="71"/>
  <c r="P58" i="71"/>
  <c r="O58" i="71"/>
  <c r="N58" i="71"/>
  <c r="M58" i="71"/>
  <c r="L58" i="71"/>
  <c r="K58" i="71"/>
  <c r="J58" i="71"/>
  <c r="I58" i="71"/>
  <c r="H58" i="71"/>
  <c r="G58" i="71"/>
  <c r="F58" i="71"/>
  <c r="E58" i="71"/>
  <c r="D58" i="71"/>
  <c r="AV57" i="71"/>
  <c r="AU57" i="71"/>
  <c r="AT57" i="71"/>
  <c r="AS57" i="71"/>
  <c r="AR57" i="71"/>
  <c r="AQ57" i="71"/>
  <c r="AP57" i="71"/>
  <c r="AO57" i="71"/>
  <c r="AN57" i="71"/>
  <c r="AM57" i="71"/>
  <c r="AL57" i="71"/>
  <c r="AK57" i="71"/>
  <c r="AJ57" i="71"/>
  <c r="AI57" i="71"/>
  <c r="AH57" i="71"/>
  <c r="AG57" i="71"/>
  <c r="AF57" i="71"/>
  <c r="AE57" i="71"/>
  <c r="AD57" i="71"/>
  <c r="AC57" i="71"/>
  <c r="AB57" i="71"/>
  <c r="AA57" i="71"/>
  <c r="Z57" i="71"/>
  <c r="Y57" i="71"/>
  <c r="X57" i="71"/>
  <c r="W57" i="71"/>
  <c r="V57" i="71"/>
  <c r="U57" i="71"/>
  <c r="T57" i="71"/>
  <c r="S57" i="71"/>
  <c r="R57" i="71"/>
  <c r="Q57" i="71"/>
  <c r="P57" i="71"/>
  <c r="O57" i="71"/>
  <c r="N57" i="71"/>
  <c r="M57" i="71"/>
  <c r="L57" i="71"/>
  <c r="K57" i="71"/>
  <c r="J57" i="71"/>
  <c r="I57" i="71"/>
  <c r="H57" i="71"/>
  <c r="G57" i="71"/>
  <c r="F57" i="71"/>
  <c r="E57" i="71"/>
  <c r="D57" i="71"/>
  <c r="AV56" i="71"/>
  <c r="AU56" i="71"/>
  <c r="AT56" i="71"/>
  <c r="AS56" i="71"/>
  <c r="AR56" i="71"/>
  <c r="AQ56" i="71"/>
  <c r="AP56" i="71"/>
  <c r="AO56" i="71"/>
  <c r="AN56" i="71"/>
  <c r="AM56" i="71"/>
  <c r="AL56" i="71"/>
  <c r="AK56" i="71"/>
  <c r="AJ56" i="71"/>
  <c r="AI56" i="71"/>
  <c r="AH56" i="71"/>
  <c r="AG56" i="71"/>
  <c r="AF56" i="71"/>
  <c r="AE56" i="71"/>
  <c r="AD56" i="71"/>
  <c r="AC56" i="71"/>
  <c r="AB56" i="71"/>
  <c r="AA56" i="71"/>
  <c r="Z56" i="71"/>
  <c r="Y56" i="71"/>
  <c r="X56" i="71"/>
  <c r="W56" i="71"/>
  <c r="V56" i="71"/>
  <c r="U56" i="71"/>
  <c r="T56" i="71"/>
  <c r="S56" i="71"/>
  <c r="R56" i="71"/>
  <c r="Q56" i="71"/>
  <c r="P56" i="71"/>
  <c r="O56" i="71"/>
  <c r="N56" i="71"/>
  <c r="M56" i="71"/>
  <c r="L56" i="71"/>
  <c r="K56" i="71"/>
  <c r="J56" i="71"/>
  <c r="I56" i="71"/>
  <c r="H56" i="71"/>
  <c r="G56" i="71"/>
  <c r="F56" i="71"/>
  <c r="E56" i="71"/>
  <c r="D56" i="71"/>
  <c r="AV55" i="71"/>
  <c r="AU55" i="71"/>
  <c r="AT55" i="71"/>
  <c r="AS55" i="71"/>
  <c r="AR55" i="71"/>
  <c r="AQ55" i="71"/>
  <c r="AP55" i="71"/>
  <c r="AO55" i="71"/>
  <c r="AN55" i="71"/>
  <c r="AM55" i="71"/>
  <c r="AL55" i="71"/>
  <c r="AK55" i="71"/>
  <c r="AJ55" i="71"/>
  <c r="AI55" i="71"/>
  <c r="AH55" i="71"/>
  <c r="AG55" i="71"/>
  <c r="AF55" i="71"/>
  <c r="AE55" i="71"/>
  <c r="AD55" i="71"/>
  <c r="AC55" i="71"/>
  <c r="AB55" i="71"/>
  <c r="AA55" i="71"/>
  <c r="Z55" i="71"/>
  <c r="Y55" i="71"/>
  <c r="X55" i="71"/>
  <c r="W55" i="71"/>
  <c r="V55" i="71"/>
  <c r="U55" i="71"/>
  <c r="T55" i="71"/>
  <c r="S55" i="71"/>
  <c r="R55" i="71"/>
  <c r="Q55" i="71"/>
  <c r="P55" i="71"/>
  <c r="O55" i="71"/>
  <c r="N55" i="71"/>
  <c r="M55" i="71"/>
  <c r="L55" i="71"/>
  <c r="K55" i="71"/>
  <c r="J55" i="71"/>
  <c r="I55" i="71"/>
  <c r="H55" i="71"/>
  <c r="G55" i="71"/>
  <c r="F55" i="71"/>
  <c r="E55" i="71"/>
  <c r="D55" i="71"/>
  <c r="AV54" i="71"/>
  <c r="AU54" i="71"/>
  <c r="AT54" i="71"/>
  <c r="AS54" i="71"/>
  <c r="AR54" i="71"/>
  <c r="AQ54" i="71"/>
  <c r="AP54" i="71"/>
  <c r="AO54" i="71"/>
  <c r="AN54" i="71"/>
  <c r="AM54" i="71"/>
  <c r="AL54" i="71"/>
  <c r="AK54" i="71"/>
  <c r="AJ54" i="71"/>
  <c r="AI54" i="71"/>
  <c r="AH54" i="71"/>
  <c r="AG54" i="71"/>
  <c r="AF54" i="71"/>
  <c r="AE54" i="71"/>
  <c r="AD54" i="71"/>
  <c r="AC54" i="71"/>
  <c r="AB54" i="71"/>
  <c r="AA54" i="71"/>
  <c r="Z54" i="71"/>
  <c r="Y54" i="71"/>
  <c r="X54" i="71"/>
  <c r="W54" i="71"/>
  <c r="V54" i="71"/>
  <c r="U54" i="71"/>
  <c r="T54" i="71"/>
  <c r="S54" i="71"/>
  <c r="R54" i="71"/>
  <c r="Q54" i="71"/>
  <c r="P54" i="71"/>
  <c r="O54" i="71"/>
  <c r="N54" i="71"/>
  <c r="M54" i="71"/>
  <c r="L54" i="71"/>
  <c r="K54" i="71"/>
  <c r="J54" i="71"/>
  <c r="I54" i="71"/>
  <c r="H54" i="71"/>
  <c r="G54" i="71"/>
  <c r="F54" i="71"/>
  <c r="E54" i="71"/>
  <c r="D54" i="71"/>
  <c r="AV53" i="71"/>
  <c r="AU53" i="71"/>
  <c r="AT53" i="71"/>
  <c r="AS53" i="71"/>
  <c r="AR53" i="71"/>
  <c r="AQ53" i="71"/>
  <c r="AP53" i="71"/>
  <c r="AO53" i="71"/>
  <c r="AN53" i="71"/>
  <c r="AM53" i="71"/>
  <c r="AL53" i="71"/>
  <c r="AK53" i="71"/>
  <c r="AJ53" i="71"/>
  <c r="AI53" i="71"/>
  <c r="AH53" i="71"/>
  <c r="AG53" i="71"/>
  <c r="AF53" i="71"/>
  <c r="AE53" i="71"/>
  <c r="AD53" i="71"/>
  <c r="AC53" i="71"/>
  <c r="AB53" i="71"/>
  <c r="AA53" i="71"/>
  <c r="Z53" i="71"/>
  <c r="Y53" i="71"/>
  <c r="X53" i="71"/>
  <c r="W53" i="71"/>
  <c r="V53" i="71"/>
  <c r="U53" i="71"/>
  <c r="T53" i="71"/>
  <c r="S53" i="71"/>
  <c r="R53" i="71"/>
  <c r="Q53" i="71"/>
  <c r="P53" i="71"/>
  <c r="O53" i="71"/>
  <c r="N53" i="71"/>
  <c r="M53" i="71"/>
  <c r="L53" i="71"/>
  <c r="K53" i="71"/>
  <c r="J53" i="71"/>
  <c r="I53" i="71"/>
  <c r="H53" i="71"/>
  <c r="G53" i="71"/>
  <c r="F53" i="71"/>
  <c r="E53" i="71"/>
  <c r="D53" i="71"/>
  <c r="AV52" i="71"/>
  <c r="AU52" i="71"/>
  <c r="AT52" i="71"/>
  <c r="AS52" i="71"/>
  <c r="AR52" i="71"/>
  <c r="AQ52" i="71"/>
  <c r="AP52" i="71"/>
  <c r="AO52" i="71"/>
  <c r="AN52" i="71"/>
  <c r="AM52" i="71"/>
  <c r="AL52" i="71"/>
  <c r="AK52" i="71"/>
  <c r="AJ52" i="71"/>
  <c r="AI52" i="71"/>
  <c r="AH52" i="71"/>
  <c r="AG52" i="71"/>
  <c r="AF52" i="71"/>
  <c r="AE52" i="71"/>
  <c r="AD52" i="71"/>
  <c r="AC52" i="71"/>
  <c r="AB52" i="71"/>
  <c r="AA52" i="71"/>
  <c r="Z52" i="71"/>
  <c r="Y52" i="71"/>
  <c r="X52" i="71"/>
  <c r="W52" i="71"/>
  <c r="V52" i="71"/>
  <c r="U52" i="71"/>
  <c r="T52" i="71"/>
  <c r="S52" i="71"/>
  <c r="R52" i="71"/>
  <c r="Q52" i="71"/>
  <c r="P52" i="71"/>
  <c r="O52" i="71"/>
  <c r="N52" i="71"/>
  <c r="M52" i="71"/>
  <c r="L52" i="71"/>
  <c r="K52" i="71"/>
  <c r="J52" i="71"/>
  <c r="I52" i="71"/>
  <c r="H52" i="71"/>
  <c r="G52" i="71"/>
  <c r="F52" i="71"/>
  <c r="E52" i="71"/>
  <c r="D52" i="71"/>
  <c r="AV51" i="71"/>
  <c r="AU51" i="71"/>
  <c r="AT51" i="71"/>
  <c r="AS51" i="71"/>
  <c r="AR51" i="71"/>
  <c r="AQ51" i="71"/>
  <c r="AP51" i="71"/>
  <c r="AO51" i="71"/>
  <c r="AN51" i="71"/>
  <c r="AM51" i="71"/>
  <c r="AL51" i="71"/>
  <c r="AK51" i="71"/>
  <c r="AJ51" i="71"/>
  <c r="AI51" i="71"/>
  <c r="AH51" i="71"/>
  <c r="AG51" i="71"/>
  <c r="AF51" i="71"/>
  <c r="AE51" i="71"/>
  <c r="AD51" i="71"/>
  <c r="AC51" i="71"/>
  <c r="AB51" i="71"/>
  <c r="AA51" i="71"/>
  <c r="Z51" i="71"/>
  <c r="Y51" i="71"/>
  <c r="X51" i="71"/>
  <c r="W51" i="71"/>
  <c r="V51" i="71"/>
  <c r="U51" i="71"/>
  <c r="T51" i="71"/>
  <c r="S51" i="71"/>
  <c r="R51" i="71"/>
  <c r="Q51" i="71"/>
  <c r="P51" i="71"/>
  <c r="O51" i="71"/>
  <c r="N51" i="71"/>
  <c r="M51" i="71"/>
  <c r="L51" i="71"/>
  <c r="K51" i="71"/>
  <c r="J51" i="71"/>
  <c r="I51" i="71"/>
  <c r="H51" i="71"/>
  <c r="G51" i="71"/>
  <c r="F51" i="71"/>
  <c r="E51" i="71"/>
  <c r="D51" i="71"/>
  <c r="AV50" i="71"/>
  <c r="AU50" i="71"/>
  <c r="AT50" i="71"/>
  <c r="AS50" i="71"/>
  <c r="AR50" i="71"/>
  <c r="AQ50" i="71"/>
  <c r="AP50" i="71"/>
  <c r="AO50" i="71"/>
  <c r="AN50" i="71"/>
  <c r="AM50" i="71"/>
  <c r="AL50" i="71"/>
  <c r="AK50" i="71"/>
  <c r="AJ50" i="71"/>
  <c r="AI50" i="71"/>
  <c r="AH50" i="71"/>
  <c r="AG50" i="71"/>
  <c r="AF50" i="71"/>
  <c r="AE50" i="71"/>
  <c r="AD50" i="71"/>
  <c r="AC50" i="71"/>
  <c r="AB50" i="71"/>
  <c r="AA50" i="71"/>
  <c r="Z50" i="71"/>
  <c r="Y50" i="71"/>
  <c r="X50" i="71"/>
  <c r="W50" i="71"/>
  <c r="V50" i="71"/>
  <c r="U50" i="71"/>
  <c r="T50" i="71"/>
  <c r="S50" i="71"/>
  <c r="R50" i="71"/>
  <c r="Q50" i="71"/>
  <c r="P50" i="71"/>
  <c r="O50" i="71"/>
  <c r="N50" i="71"/>
  <c r="M50" i="71"/>
  <c r="L50" i="71"/>
  <c r="K50" i="71"/>
  <c r="J50" i="71"/>
  <c r="I50" i="71"/>
  <c r="H50" i="71"/>
  <c r="G50" i="71"/>
  <c r="F50" i="71"/>
  <c r="E50" i="71"/>
  <c r="D50" i="71"/>
  <c r="AV49" i="71"/>
  <c r="AU49" i="71"/>
  <c r="AT49" i="71"/>
  <c r="AS49" i="71"/>
  <c r="AR49" i="71"/>
  <c r="AQ49" i="71"/>
  <c r="AP49" i="71"/>
  <c r="AO49" i="71"/>
  <c r="AN49" i="71"/>
  <c r="AM49" i="71"/>
  <c r="AL49" i="71"/>
  <c r="AK49" i="71"/>
  <c r="AJ49" i="71"/>
  <c r="AI49" i="71"/>
  <c r="AH49" i="71"/>
  <c r="AG49" i="71"/>
  <c r="AF49" i="71"/>
  <c r="AE49" i="71"/>
  <c r="AD49" i="71"/>
  <c r="AC49" i="71"/>
  <c r="AB49" i="71"/>
  <c r="AA49" i="71"/>
  <c r="Z49" i="71"/>
  <c r="Y49" i="71"/>
  <c r="X49" i="71"/>
  <c r="W49" i="71"/>
  <c r="V49" i="71"/>
  <c r="U49" i="71"/>
  <c r="T49" i="71"/>
  <c r="S49" i="71"/>
  <c r="R49" i="71"/>
  <c r="Q49" i="71"/>
  <c r="P49" i="71"/>
  <c r="O49" i="71"/>
  <c r="N49" i="71"/>
  <c r="M49" i="71"/>
  <c r="L49" i="71"/>
  <c r="K49" i="71"/>
  <c r="J49" i="71"/>
  <c r="I49" i="71"/>
  <c r="H49" i="71"/>
  <c r="G49" i="71"/>
  <c r="F49" i="71"/>
  <c r="E49" i="71"/>
  <c r="D49" i="71"/>
  <c r="AV48" i="71"/>
  <c r="AU48" i="71"/>
  <c r="AT48" i="71"/>
  <c r="AS48" i="71"/>
  <c r="AR48" i="71"/>
  <c r="AQ48" i="71"/>
  <c r="AP48" i="71"/>
  <c r="AO48" i="71"/>
  <c r="AN48" i="71"/>
  <c r="AM48" i="71"/>
  <c r="AL48" i="71"/>
  <c r="AK48" i="71"/>
  <c r="AJ48" i="71"/>
  <c r="AI48" i="71"/>
  <c r="AH48" i="71"/>
  <c r="AG48" i="71"/>
  <c r="AF48" i="71"/>
  <c r="AE48" i="71"/>
  <c r="AD48" i="71"/>
  <c r="AC48" i="71"/>
  <c r="AB48" i="71"/>
  <c r="AA48" i="71"/>
  <c r="Z48" i="71"/>
  <c r="Y48" i="71"/>
  <c r="X48" i="71"/>
  <c r="W48" i="71"/>
  <c r="V48" i="71"/>
  <c r="U48" i="71"/>
  <c r="T48" i="71"/>
  <c r="S48" i="71"/>
  <c r="R48" i="71"/>
  <c r="Q48" i="71"/>
  <c r="P48" i="71"/>
  <c r="O48" i="71"/>
  <c r="N48" i="71"/>
  <c r="M48" i="71"/>
  <c r="L48" i="71"/>
  <c r="K48" i="71"/>
  <c r="J48" i="71"/>
  <c r="I48" i="71"/>
  <c r="H48" i="71"/>
  <c r="G48" i="71"/>
  <c r="F48" i="71"/>
  <c r="E48" i="71"/>
  <c r="D48" i="71"/>
  <c r="AV47" i="71"/>
  <c r="AU47" i="71"/>
  <c r="AT47" i="71"/>
  <c r="AS47" i="71"/>
  <c r="AR47" i="71"/>
  <c r="AQ47" i="71"/>
  <c r="AP47" i="71"/>
  <c r="AO47" i="71"/>
  <c r="AN47" i="71"/>
  <c r="AM47" i="71"/>
  <c r="AL47" i="71"/>
  <c r="AK47" i="71"/>
  <c r="AJ47" i="71"/>
  <c r="AI47" i="71"/>
  <c r="AH47" i="71"/>
  <c r="AG47" i="71"/>
  <c r="AF47" i="71"/>
  <c r="AE47" i="71"/>
  <c r="AD47" i="71"/>
  <c r="AC47" i="71"/>
  <c r="AB47" i="71"/>
  <c r="AA47" i="71"/>
  <c r="Z47" i="71"/>
  <c r="Y47" i="71"/>
  <c r="X47" i="71"/>
  <c r="W47" i="71"/>
  <c r="V47" i="71"/>
  <c r="U47" i="71"/>
  <c r="T47" i="71"/>
  <c r="S47" i="71"/>
  <c r="R47" i="71"/>
  <c r="Q47" i="71"/>
  <c r="P47" i="71"/>
  <c r="O47" i="71"/>
  <c r="N47" i="71"/>
  <c r="M47" i="71"/>
  <c r="L47" i="71"/>
  <c r="K47" i="71"/>
  <c r="J47" i="71"/>
  <c r="I47" i="71"/>
  <c r="H47" i="71"/>
  <c r="G47" i="71"/>
  <c r="F47" i="71"/>
  <c r="E47" i="71"/>
  <c r="D47" i="71"/>
  <c r="AV46" i="71"/>
  <c r="AU46" i="71"/>
  <c r="AT46" i="71"/>
  <c r="AS46" i="71"/>
  <c r="AR46" i="71"/>
  <c r="AQ46" i="71"/>
  <c r="AP46" i="71"/>
  <c r="AO46" i="71"/>
  <c r="AN46" i="71"/>
  <c r="AM46" i="71"/>
  <c r="AL46" i="71"/>
  <c r="AK46" i="71"/>
  <c r="AJ46" i="71"/>
  <c r="AI46" i="71"/>
  <c r="AH46" i="71"/>
  <c r="AG46" i="71"/>
  <c r="AF46" i="71"/>
  <c r="AE46" i="71"/>
  <c r="AD46" i="71"/>
  <c r="AC46" i="71"/>
  <c r="AB46" i="71"/>
  <c r="AA46" i="71"/>
  <c r="Z46" i="71"/>
  <c r="Y46" i="71"/>
  <c r="X46" i="71"/>
  <c r="W46" i="71"/>
  <c r="V46" i="71"/>
  <c r="U46" i="71"/>
  <c r="T46" i="71"/>
  <c r="S46" i="71"/>
  <c r="R46" i="71"/>
  <c r="Q46" i="71"/>
  <c r="P46" i="71"/>
  <c r="O46" i="71"/>
  <c r="N46" i="71"/>
  <c r="M46" i="71"/>
  <c r="L46" i="71"/>
  <c r="K46" i="71"/>
  <c r="J46" i="71"/>
  <c r="I46" i="71"/>
  <c r="H46" i="71"/>
  <c r="G46" i="71"/>
  <c r="F46" i="71"/>
  <c r="E46" i="71"/>
  <c r="D46" i="71"/>
  <c r="Y42" i="71"/>
  <c r="X42" i="71"/>
  <c r="W42" i="71"/>
  <c r="V42" i="71"/>
  <c r="U42" i="71"/>
  <c r="T42" i="71"/>
  <c r="S42" i="71"/>
  <c r="R42" i="71"/>
  <c r="Q42" i="71"/>
  <c r="P42" i="71"/>
  <c r="O42" i="71"/>
  <c r="N42" i="71"/>
  <c r="M42" i="71"/>
  <c r="L42" i="71"/>
  <c r="K42" i="71"/>
  <c r="J42" i="71"/>
  <c r="I42" i="71"/>
  <c r="H42" i="71"/>
  <c r="G42" i="71"/>
  <c r="F42" i="71"/>
  <c r="E42" i="71"/>
  <c r="D42" i="71"/>
  <c r="Y41" i="71"/>
  <c r="X41" i="71"/>
  <c r="W41" i="71"/>
  <c r="V41" i="71"/>
  <c r="U41" i="71"/>
  <c r="T41" i="71"/>
  <c r="S41" i="71"/>
  <c r="R41" i="71"/>
  <c r="Q41" i="71"/>
  <c r="P41" i="71"/>
  <c r="O41" i="71"/>
  <c r="N41" i="71"/>
  <c r="M41" i="71"/>
  <c r="L41" i="71"/>
  <c r="K41" i="71"/>
  <c r="J41" i="71"/>
  <c r="I41" i="71"/>
  <c r="H41" i="71"/>
  <c r="G41" i="71"/>
  <c r="F41" i="71"/>
  <c r="E41" i="71"/>
  <c r="D41" i="71"/>
  <c r="AV40" i="71"/>
  <c r="AU40" i="71"/>
  <c r="AT40" i="71"/>
  <c r="AS40" i="71"/>
  <c r="AR40" i="71"/>
  <c r="AQ40" i="71"/>
  <c r="AP40" i="71"/>
  <c r="AO40" i="71"/>
  <c r="AN40" i="71"/>
  <c r="AM40" i="71"/>
  <c r="AL40" i="71"/>
  <c r="AK40" i="71"/>
  <c r="AJ40" i="71"/>
  <c r="AI40" i="71"/>
  <c r="AH40" i="71"/>
  <c r="AG40" i="71"/>
  <c r="AF40" i="71"/>
  <c r="AE40" i="71"/>
  <c r="AD40" i="71"/>
  <c r="AC40" i="71"/>
  <c r="AB40" i="71"/>
  <c r="AA40" i="71"/>
  <c r="Z40" i="71"/>
  <c r="Y40" i="71"/>
  <c r="X40" i="71"/>
  <c r="W40" i="71"/>
  <c r="V40" i="71"/>
  <c r="U40" i="71"/>
  <c r="T40" i="71"/>
  <c r="S40" i="71"/>
  <c r="R40" i="71"/>
  <c r="Q40" i="71"/>
  <c r="P40" i="71"/>
  <c r="O40" i="71"/>
  <c r="N40" i="71"/>
  <c r="M40" i="71"/>
  <c r="L40" i="71"/>
  <c r="K40" i="71"/>
  <c r="J40" i="71"/>
  <c r="I40" i="71"/>
  <c r="H40" i="71"/>
  <c r="G40" i="71"/>
  <c r="F40" i="71"/>
  <c r="E40" i="71"/>
  <c r="D40" i="71"/>
  <c r="AV39" i="71"/>
  <c r="AU39" i="71"/>
  <c r="AT39" i="71"/>
  <c r="AS39" i="71"/>
  <c r="AR39" i="71"/>
  <c r="AQ39" i="71"/>
  <c r="AP39" i="71"/>
  <c r="AO39" i="71"/>
  <c r="AN39" i="71"/>
  <c r="AM39" i="71"/>
  <c r="AL39" i="71"/>
  <c r="AK39" i="71"/>
  <c r="AJ39" i="71"/>
  <c r="AI39" i="71"/>
  <c r="AH39" i="71"/>
  <c r="AG39" i="71"/>
  <c r="AF39" i="71"/>
  <c r="AE39" i="71"/>
  <c r="AD39" i="71"/>
  <c r="AC39" i="71"/>
  <c r="AB39" i="71"/>
  <c r="AA39" i="71"/>
  <c r="Z39" i="71"/>
  <c r="Y39" i="71"/>
  <c r="X39" i="71"/>
  <c r="W39" i="71"/>
  <c r="V39" i="71"/>
  <c r="U39" i="71"/>
  <c r="T39" i="71"/>
  <c r="S39" i="71"/>
  <c r="R39" i="71"/>
  <c r="Q39" i="71"/>
  <c r="P39" i="71"/>
  <c r="O39" i="71"/>
  <c r="N39" i="71"/>
  <c r="M39" i="71"/>
  <c r="L39" i="71"/>
  <c r="K39" i="71"/>
  <c r="J39" i="71"/>
  <c r="I39" i="71"/>
  <c r="H39" i="71"/>
  <c r="G39" i="71"/>
  <c r="F39" i="71"/>
  <c r="E39" i="71"/>
  <c r="D39" i="71"/>
  <c r="Y38" i="71"/>
  <c r="X38" i="71"/>
  <c r="W38" i="71"/>
  <c r="V38" i="71"/>
  <c r="U38" i="71"/>
  <c r="T38" i="71"/>
  <c r="S38" i="71"/>
  <c r="R38" i="71"/>
  <c r="Q38" i="71"/>
  <c r="P38" i="71"/>
  <c r="O38" i="71"/>
  <c r="N38" i="71"/>
  <c r="M38" i="71"/>
  <c r="L38" i="71"/>
  <c r="K38" i="71"/>
  <c r="J38" i="71"/>
  <c r="I38" i="71"/>
  <c r="H38" i="71"/>
  <c r="G38" i="71"/>
  <c r="F38" i="71"/>
  <c r="E38" i="71"/>
  <c r="D38" i="71"/>
  <c r="AV37" i="71"/>
  <c r="AU37" i="71"/>
  <c r="AT37" i="71"/>
  <c r="AS37" i="71"/>
  <c r="AR37" i="71"/>
  <c r="AQ37" i="71"/>
  <c r="AP37" i="71"/>
  <c r="AO37" i="71"/>
  <c r="AN37" i="71"/>
  <c r="AM37" i="71"/>
  <c r="AL37" i="71"/>
  <c r="AK37" i="71"/>
  <c r="AJ37" i="71"/>
  <c r="AI37" i="71"/>
  <c r="AH37" i="71"/>
  <c r="AG37" i="71"/>
  <c r="AF37" i="71"/>
  <c r="AE37" i="71"/>
  <c r="AD37" i="71"/>
  <c r="AC37" i="71"/>
  <c r="AB37" i="71"/>
  <c r="AA37" i="71"/>
  <c r="Z37" i="71"/>
  <c r="Y37" i="71"/>
  <c r="X37" i="71"/>
  <c r="W37" i="71"/>
  <c r="V37" i="71"/>
  <c r="U37" i="71"/>
  <c r="T37" i="71"/>
  <c r="S37" i="71"/>
  <c r="R37" i="71"/>
  <c r="Q37" i="71"/>
  <c r="P37" i="71"/>
  <c r="O37" i="71"/>
  <c r="N37" i="71"/>
  <c r="M37" i="71"/>
  <c r="L37" i="71"/>
  <c r="K37" i="71"/>
  <c r="J37" i="71"/>
  <c r="I37" i="71"/>
  <c r="H37" i="71"/>
  <c r="G37" i="71"/>
  <c r="F37" i="71"/>
  <c r="E37" i="71"/>
  <c r="D37" i="71"/>
  <c r="AV35" i="71"/>
  <c r="AU35" i="71"/>
  <c r="AT35" i="71"/>
  <c r="AS35" i="71"/>
  <c r="AR35" i="71"/>
  <c r="AQ35" i="71"/>
  <c r="AP35" i="71"/>
  <c r="AO35" i="71"/>
  <c r="AN35" i="71"/>
  <c r="AM35" i="71"/>
  <c r="AL35" i="71"/>
  <c r="AK35" i="71"/>
  <c r="AJ35" i="71"/>
  <c r="AI35" i="71"/>
  <c r="AH35" i="71"/>
  <c r="AG35" i="71"/>
  <c r="AF35" i="71"/>
  <c r="AE35" i="71"/>
  <c r="AD35" i="71"/>
  <c r="AC35" i="71"/>
  <c r="AB35" i="71"/>
  <c r="AA35" i="71"/>
  <c r="Z35" i="71"/>
  <c r="Y35" i="71"/>
  <c r="X35" i="71"/>
  <c r="W35" i="71"/>
  <c r="V35" i="71"/>
  <c r="U35" i="71"/>
  <c r="T35" i="71"/>
  <c r="S35" i="71"/>
  <c r="R35" i="71"/>
  <c r="Q35" i="71"/>
  <c r="P35" i="71"/>
  <c r="O35" i="71"/>
  <c r="N35" i="71"/>
  <c r="M35" i="71"/>
  <c r="L35" i="71"/>
  <c r="K35" i="71"/>
  <c r="J35" i="71"/>
  <c r="I35" i="71"/>
  <c r="H35" i="71"/>
  <c r="G35" i="71"/>
  <c r="F35" i="71"/>
  <c r="E35" i="71"/>
  <c r="D35" i="71"/>
  <c r="AV34" i="71"/>
  <c r="AU34" i="71"/>
  <c r="AT34" i="71"/>
  <c r="AS34" i="71"/>
  <c r="AR34" i="71"/>
  <c r="AQ34" i="71"/>
  <c r="AP34" i="71"/>
  <c r="AO34" i="71"/>
  <c r="AN34" i="71"/>
  <c r="AM34" i="71"/>
  <c r="AL34" i="71"/>
  <c r="AK34" i="71"/>
  <c r="AJ34" i="71"/>
  <c r="AI34" i="71"/>
  <c r="AH34" i="71"/>
  <c r="AG34" i="71"/>
  <c r="AF34" i="71"/>
  <c r="AE34" i="71"/>
  <c r="AD34" i="71"/>
  <c r="AC34" i="71"/>
  <c r="AB34" i="71"/>
  <c r="AA34" i="71"/>
  <c r="Z34" i="71"/>
  <c r="Y34" i="71"/>
  <c r="X34" i="71"/>
  <c r="W34" i="71"/>
  <c r="V34" i="71"/>
  <c r="U34" i="71"/>
  <c r="T34" i="71"/>
  <c r="S34" i="71"/>
  <c r="R34" i="71"/>
  <c r="Q34" i="71"/>
  <c r="P34" i="71"/>
  <c r="O34" i="71"/>
  <c r="N34" i="71"/>
  <c r="M34" i="71"/>
  <c r="L34" i="71"/>
  <c r="K34" i="71"/>
  <c r="J34" i="71"/>
  <c r="I34" i="71"/>
  <c r="H34" i="71"/>
  <c r="G34" i="71"/>
  <c r="F34" i="71"/>
  <c r="E34" i="71"/>
  <c r="D34" i="71"/>
  <c r="AV33" i="71"/>
  <c r="AU33" i="71"/>
  <c r="AT33" i="71"/>
  <c r="AS33" i="71"/>
  <c r="AR33" i="71"/>
  <c r="AQ33" i="71"/>
  <c r="AP33" i="71"/>
  <c r="AO33" i="71"/>
  <c r="AN33" i="71"/>
  <c r="AM33" i="71"/>
  <c r="AL33" i="71"/>
  <c r="AK33" i="71"/>
  <c r="AJ33" i="71"/>
  <c r="AI33" i="71"/>
  <c r="AH33" i="71"/>
  <c r="AG33" i="71"/>
  <c r="AF33" i="71"/>
  <c r="AE33" i="71"/>
  <c r="AD33" i="71"/>
  <c r="AC33" i="71"/>
  <c r="AB33" i="71"/>
  <c r="AA33" i="71"/>
  <c r="Z33" i="71"/>
  <c r="Y33" i="71"/>
  <c r="X33" i="71"/>
  <c r="W33" i="71"/>
  <c r="V33" i="71"/>
  <c r="U33" i="71"/>
  <c r="T33" i="71"/>
  <c r="S33" i="71"/>
  <c r="R33" i="71"/>
  <c r="Q33" i="71"/>
  <c r="P33" i="71"/>
  <c r="O33" i="71"/>
  <c r="N33" i="71"/>
  <c r="M33" i="71"/>
  <c r="L33" i="71"/>
  <c r="K33" i="71"/>
  <c r="J33" i="71"/>
  <c r="I33" i="71"/>
  <c r="H33" i="71"/>
  <c r="G33" i="71"/>
  <c r="F33" i="71"/>
  <c r="E33" i="71"/>
  <c r="D33" i="71"/>
  <c r="AV32" i="71"/>
  <c r="AU32" i="71"/>
  <c r="AT32" i="71"/>
  <c r="AS32" i="71"/>
  <c r="AR32" i="71"/>
  <c r="AQ32" i="71"/>
  <c r="AP32" i="71"/>
  <c r="AO32" i="71"/>
  <c r="AN32" i="71"/>
  <c r="AM32" i="71"/>
  <c r="AL32" i="71"/>
  <c r="AK32" i="71"/>
  <c r="AJ32" i="71"/>
  <c r="AI32" i="71"/>
  <c r="AH32" i="71"/>
  <c r="AG32" i="71"/>
  <c r="AF32" i="71"/>
  <c r="AE32" i="71"/>
  <c r="AD32" i="71"/>
  <c r="AC32" i="71"/>
  <c r="AB32" i="71"/>
  <c r="AA32" i="71"/>
  <c r="Z32" i="71"/>
  <c r="Y32" i="71"/>
  <c r="X32" i="71"/>
  <c r="W32" i="71"/>
  <c r="V32" i="71"/>
  <c r="U32" i="71"/>
  <c r="T32" i="71"/>
  <c r="S32" i="71"/>
  <c r="R32" i="71"/>
  <c r="Q32" i="71"/>
  <c r="P32" i="71"/>
  <c r="O32" i="71"/>
  <c r="N32" i="71"/>
  <c r="M32" i="71"/>
  <c r="L32" i="71"/>
  <c r="K32" i="71"/>
  <c r="J32" i="71"/>
  <c r="I32" i="71"/>
  <c r="H32" i="71"/>
  <c r="G32" i="71"/>
  <c r="F32" i="71"/>
  <c r="E32" i="71"/>
  <c r="D32" i="71"/>
  <c r="AV31" i="71"/>
  <c r="AU31" i="71"/>
  <c r="AT31" i="71"/>
  <c r="AS31" i="71"/>
  <c r="AR31" i="71"/>
  <c r="AQ31" i="71"/>
  <c r="AP31" i="71"/>
  <c r="AO31" i="71"/>
  <c r="AN31" i="71"/>
  <c r="AM31" i="71"/>
  <c r="AL31" i="71"/>
  <c r="AK31" i="71"/>
  <c r="AJ31" i="71"/>
  <c r="AI31" i="71"/>
  <c r="AH31" i="71"/>
  <c r="AG31" i="71"/>
  <c r="AF31" i="71"/>
  <c r="AE31" i="71"/>
  <c r="AD31" i="71"/>
  <c r="AC31" i="71"/>
  <c r="AB31" i="71"/>
  <c r="AA31" i="71"/>
  <c r="Z31" i="71"/>
  <c r="Y31" i="71"/>
  <c r="X31" i="71"/>
  <c r="W31" i="71"/>
  <c r="V31" i="71"/>
  <c r="U31" i="71"/>
  <c r="T31" i="71"/>
  <c r="S31" i="71"/>
  <c r="R31" i="71"/>
  <c r="Q31" i="71"/>
  <c r="P31" i="71"/>
  <c r="O31" i="71"/>
  <c r="N31" i="71"/>
  <c r="M31" i="71"/>
  <c r="L31" i="71"/>
  <c r="K31" i="71"/>
  <c r="J31" i="71"/>
  <c r="I31" i="71"/>
  <c r="H31" i="71"/>
  <c r="G31" i="71"/>
  <c r="F31" i="71"/>
  <c r="E31" i="71"/>
  <c r="D31" i="71"/>
  <c r="AV30" i="71"/>
  <c r="AU30" i="71"/>
  <c r="AT30" i="71"/>
  <c r="AS30" i="71"/>
  <c r="AR30" i="71"/>
  <c r="AQ30" i="71"/>
  <c r="AP30" i="71"/>
  <c r="AO30" i="71"/>
  <c r="AN30" i="71"/>
  <c r="AM30" i="71"/>
  <c r="AL30" i="71"/>
  <c r="AK30" i="71"/>
  <c r="AJ30" i="71"/>
  <c r="AI30" i="71"/>
  <c r="AH30" i="71"/>
  <c r="AG30" i="71"/>
  <c r="AF30" i="71"/>
  <c r="AE30" i="71"/>
  <c r="AD30" i="71"/>
  <c r="AC30" i="71"/>
  <c r="AB30" i="71"/>
  <c r="AA30" i="71"/>
  <c r="Z30" i="71"/>
  <c r="Y30" i="71"/>
  <c r="X30" i="71"/>
  <c r="W30" i="71"/>
  <c r="V30" i="71"/>
  <c r="U30" i="71"/>
  <c r="T30" i="71"/>
  <c r="S30" i="71"/>
  <c r="R30" i="71"/>
  <c r="Q30" i="71"/>
  <c r="P30" i="71"/>
  <c r="O30" i="71"/>
  <c r="N30" i="71"/>
  <c r="M30" i="71"/>
  <c r="L30" i="71"/>
  <c r="K30" i="71"/>
  <c r="J30" i="71"/>
  <c r="I30" i="71"/>
  <c r="H30" i="71"/>
  <c r="G30" i="71"/>
  <c r="F30" i="71"/>
  <c r="E30" i="71"/>
  <c r="D30" i="71"/>
  <c r="AV29" i="71"/>
  <c r="AU29" i="71"/>
  <c r="AT29" i="71"/>
  <c r="AS29" i="71"/>
  <c r="AR29" i="71"/>
  <c r="AQ29" i="71"/>
  <c r="AP29" i="71"/>
  <c r="AO29" i="71"/>
  <c r="AN29" i="71"/>
  <c r="AM29" i="71"/>
  <c r="AL29" i="71"/>
  <c r="AK29" i="71"/>
  <c r="AJ29" i="71"/>
  <c r="AI29" i="71"/>
  <c r="AH29" i="71"/>
  <c r="AG29" i="71"/>
  <c r="AF29" i="71"/>
  <c r="AE29" i="71"/>
  <c r="AD29" i="71"/>
  <c r="AC29" i="71"/>
  <c r="AB29" i="71"/>
  <c r="AA29" i="71"/>
  <c r="Z29" i="71"/>
  <c r="Y29" i="71"/>
  <c r="X29" i="71"/>
  <c r="W29" i="71"/>
  <c r="V29" i="71"/>
  <c r="U29" i="71"/>
  <c r="T29" i="71"/>
  <c r="S29" i="71"/>
  <c r="R29" i="71"/>
  <c r="Q29" i="71"/>
  <c r="P29" i="71"/>
  <c r="O29" i="71"/>
  <c r="N29" i="71"/>
  <c r="M29" i="71"/>
  <c r="L29" i="71"/>
  <c r="K29" i="71"/>
  <c r="J29" i="71"/>
  <c r="I29" i="71"/>
  <c r="H29" i="71"/>
  <c r="G29" i="71"/>
  <c r="F29" i="71"/>
  <c r="E29" i="71"/>
  <c r="D29" i="71"/>
  <c r="AV28" i="71"/>
  <c r="AU28" i="71"/>
  <c r="AT28" i="71"/>
  <c r="AS28" i="71"/>
  <c r="AR28" i="71"/>
  <c r="AQ28" i="71"/>
  <c r="AP28" i="71"/>
  <c r="AO28" i="71"/>
  <c r="AN28" i="71"/>
  <c r="AM28" i="71"/>
  <c r="AL28" i="71"/>
  <c r="AK28" i="71"/>
  <c r="AJ28" i="71"/>
  <c r="AI28" i="71"/>
  <c r="AH28" i="71"/>
  <c r="AG28" i="71"/>
  <c r="AF28" i="71"/>
  <c r="AE28" i="71"/>
  <c r="AD28" i="71"/>
  <c r="AC28" i="71"/>
  <c r="AB28" i="71"/>
  <c r="AA28" i="71"/>
  <c r="Z28" i="71"/>
  <c r="Y28" i="71"/>
  <c r="X28" i="71"/>
  <c r="W28" i="71"/>
  <c r="V28" i="71"/>
  <c r="U28" i="71"/>
  <c r="T28" i="71"/>
  <c r="S28" i="71"/>
  <c r="R28" i="71"/>
  <c r="Q28" i="71"/>
  <c r="P28" i="71"/>
  <c r="O28" i="71"/>
  <c r="N28" i="71"/>
  <c r="M28" i="71"/>
  <c r="L28" i="71"/>
  <c r="K28" i="71"/>
  <c r="J28" i="71"/>
  <c r="I28" i="71"/>
  <c r="H28" i="71"/>
  <c r="G28" i="71"/>
  <c r="F28" i="71"/>
  <c r="E28" i="71"/>
  <c r="D28" i="71"/>
  <c r="AV27" i="71"/>
  <c r="AU27" i="71"/>
  <c r="AT27" i="71"/>
  <c r="AS27" i="71"/>
  <c r="AR27" i="71"/>
  <c r="AQ27" i="71"/>
  <c r="AP27" i="71"/>
  <c r="AO27" i="71"/>
  <c r="AN27" i="71"/>
  <c r="AM27" i="71"/>
  <c r="AL27" i="71"/>
  <c r="AK27" i="71"/>
  <c r="AJ27" i="71"/>
  <c r="AI27" i="71"/>
  <c r="AH27" i="71"/>
  <c r="AG27" i="71"/>
  <c r="AF27" i="71"/>
  <c r="AE27" i="71"/>
  <c r="AD27" i="71"/>
  <c r="AC27" i="71"/>
  <c r="AB27" i="71"/>
  <c r="AA27" i="71"/>
  <c r="Z27" i="71"/>
  <c r="Y27" i="71"/>
  <c r="X27" i="71"/>
  <c r="W27" i="71"/>
  <c r="V27" i="71"/>
  <c r="U27" i="71"/>
  <c r="T27" i="71"/>
  <c r="S27" i="71"/>
  <c r="R27" i="71"/>
  <c r="Q27" i="71"/>
  <c r="P27" i="71"/>
  <c r="O27" i="71"/>
  <c r="N27" i="71"/>
  <c r="M27" i="71"/>
  <c r="L27" i="71"/>
  <c r="K27" i="71"/>
  <c r="J27" i="71"/>
  <c r="I27" i="71"/>
  <c r="H27" i="71"/>
  <c r="G27" i="71"/>
  <c r="F27" i="71"/>
  <c r="E27" i="71"/>
  <c r="D27" i="71"/>
  <c r="AV26" i="71"/>
  <c r="AU26" i="71"/>
  <c r="AT26" i="71"/>
  <c r="AS26" i="71"/>
  <c r="AR26" i="71"/>
  <c r="AQ26" i="71"/>
  <c r="AP26" i="71"/>
  <c r="AO26" i="71"/>
  <c r="AN26" i="71"/>
  <c r="AM26" i="71"/>
  <c r="AL26" i="71"/>
  <c r="AK26" i="71"/>
  <c r="AJ26" i="71"/>
  <c r="AI26" i="71"/>
  <c r="AH26" i="71"/>
  <c r="AG26" i="71"/>
  <c r="AF26" i="71"/>
  <c r="AE26" i="71"/>
  <c r="AD26" i="71"/>
  <c r="AC26" i="71"/>
  <c r="AB26" i="71"/>
  <c r="AA26" i="71"/>
  <c r="Z26" i="71"/>
  <c r="Y26" i="71"/>
  <c r="X26" i="71"/>
  <c r="W26" i="71"/>
  <c r="V26" i="71"/>
  <c r="U26" i="71"/>
  <c r="T26" i="71"/>
  <c r="S26" i="71"/>
  <c r="R26" i="71"/>
  <c r="Q26" i="71"/>
  <c r="P26" i="71"/>
  <c r="O26" i="71"/>
  <c r="N26" i="71"/>
  <c r="M26" i="71"/>
  <c r="L26" i="71"/>
  <c r="K26" i="71"/>
  <c r="J26" i="71"/>
  <c r="I26" i="71"/>
  <c r="H26" i="71"/>
  <c r="G26" i="71"/>
  <c r="F26" i="71"/>
  <c r="E26" i="71"/>
  <c r="D26" i="71"/>
  <c r="AV25" i="71"/>
  <c r="AU25" i="71"/>
  <c r="AT25" i="71"/>
  <c r="AS25" i="71"/>
  <c r="AR25" i="71"/>
  <c r="AQ25" i="71"/>
  <c r="AP25" i="71"/>
  <c r="AO25" i="71"/>
  <c r="AN25" i="71"/>
  <c r="AM25" i="71"/>
  <c r="AL25" i="71"/>
  <c r="AK25" i="71"/>
  <c r="AJ25" i="71"/>
  <c r="AI25" i="71"/>
  <c r="AH25" i="71"/>
  <c r="AG25" i="71"/>
  <c r="AF25" i="71"/>
  <c r="AE25" i="71"/>
  <c r="AD25" i="71"/>
  <c r="AC25" i="71"/>
  <c r="AB25" i="71"/>
  <c r="AA25" i="71"/>
  <c r="Z25" i="71"/>
  <c r="Y25" i="71"/>
  <c r="X25" i="71"/>
  <c r="W25" i="71"/>
  <c r="V25" i="71"/>
  <c r="U25" i="71"/>
  <c r="T25" i="71"/>
  <c r="S25" i="71"/>
  <c r="R25" i="71"/>
  <c r="Q25" i="71"/>
  <c r="P25" i="71"/>
  <c r="O25" i="71"/>
  <c r="N25" i="71"/>
  <c r="M25" i="71"/>
  <c r="L25" i="71"/>
  <c r="K25" i="71"/>
  <c r="J25" i="71"/>
  <c r="I25" i="71"/>
  <c r="H25" i="71"/>
  <c r="G25" i="71"/>
  <c r="F25" i="71"/>
  <c r="E25" i="71"/>
  <c r="D25" i="71"/>
  <c r="AV24" i="71"/>
  <c r="AU24" i="71"/>
  <c r="AT24" i="71"/>
  <c r="AS24" i="71"/>
  <c r="AR24" i="71"/>
  <c r="AQ24" i="71"/>
  <c r="AP24" i="71"/>
  <c r="AO24" i="71"/>
  <c r="AN24" i="71"/>
  <c r="AM24" i="71"/>
  <c r="AL24" i="71"/>
  <c r="AK24" i="71"/>
  <c r="AJ24" i="71"/>
  <c r="AI24" i="71"/>
  <c r="AH24" i="71"/>
  <c r="AG24" i="71"/>
  <c r="AF24" i="71"/>
  <c r="AE24" i="71"/>
  <c r="AD24" i="71"/>
  <c r="AC24" i="71"/>
  <c r="AB24" i="71"/>
  <c r="AA24" i="71"/>
  <c r="Z24" i="71"/>
  <c r="Y24" i="71"/>
  <c r="X24" i="71"/>
  <c r="W24" i="71"/>
  <c r="V24" i="71"/>
  <c r="U24" i="71"/>
  <c r="T24" i="71"/>
  <c r="S24" i="71"/>
  <c r="R24" i="71"/>
  <c r="Q24" i="71"/>
  <c r="P24" i="71"/>
  <c r="O24" i="71"/>
  <c r="N24" i="71"/>
  <c r="M24" i="71"/>
  <c r="L24" i="71"/>
  <c r="K24" i="71"/>
  <c r="J24" i="71"/>
  <c r="I24" i="71"/>
  <c r="H24" i="71"/>
  <c r="G24" i="71"/>
  <c r="F24" i="71"/>
  <c r="E24" i="71"/>
  <c r="D24" i="71"/>
  <c r="AV23" i="71"/>
  <c r="AU23" i="71"/>
  <c r="AT23" i="71"/>
  <c r="AS23" i="71"/>
  <c r="AR23" i="71"/>
  <c r="AQ23" i="71"/>
  <c r="AP23" i="71"/>
  <c r="AO23" i="71"/>
  <c r="AN23" i="71"/>
  <c r="AM23" i="71"/>
  <c r="AL23" i="71"/>
  <c r="AK23" i="71"/>
  <c r="AJ23" i="71"/>
  <c r="AI23" i="71"/>
  <c r="AH23" i="71"/>
  <c r="AG23" i="71"/>
  <c r="AF23" i="71"/>
  <c r="AE23" i="71"/>
  <c r="AD23" i="71"/>
  <c r="AC23" i="71"/>
  <c r="AB23" i="71"/>
  <c r="AA23" i="71"/>
  <c r="Z23" i="71"/>
  <c r="Y23" i="71"/>
  <c r="X23" i="71"/>
  <c r="W23" i="71"/>
  <c r="V23" i="71"/>
  <c r="U23" i="71"/>
  <c r="T23" i="71"/>
  <c r="S23" i="71"/>
  <c r="R23" i="71"/>
  <c r="Q23" i="71"/>
  <c r="P23" i="71"/>
  <c r="O23" i="71"/>
  <c r="N23" i="71"/>
  <c r="M23" i="71"/>
  <c r="L23" i="71"/>
  <c r="K23" i="71"/>
  <c r="J23" i="71"/>
  <c r="I23" i="71"/>
  <c r="H23" i="71"/>
  <c r="G23" i="71"/>
  <c r="F23" i="71"/>
  <c r="E23" i="71"/>
  <c r="D23" i="71"/>
  <c r="AV22" i="71"/>
  <c r="AU22" i="71"/>
  <c r="AT22" i="71"/>
  <c r="AS22" i="71"/>
  <c r="AR22" i="71"/>
  <c r="AQ22" i="71"/>
  <c r="AP22" i="71"/>
  <c r="AO22" i="71"/>
  <c r="AN22" i="71"/>
  <c r="AM22" i="71"/>
  <c r="AL22" i="71"/>
  <c r="AK22" i="71"/>
  <c r="AJ22" i="71"/>
  <c r="AI22" i="71"/>
  <c r="AH22" i="71"/>
  <c r="AG22" i="71"/>
  <c r="AF22" i="71"/>
  <c r="AE22" i="71"/>
  <c r="AD22" i="71"/>
  <c r="AC22" i="71"/>
  <c r="AB22" i="71"/>
  <c r="AA22" i="71"/>
  <c r="Z22" i="71"/>
  <c r="Y22" i="71"/>
  <c r="X22" i="71"/>
  <c r="W22" i="71"/>
  <c r="V22" i="71"/>
  <c r="U22" i="71"/>
  <c r="T22" i="71"/>
  <c r="S22" i="71"/>
  <c r="R22" i="71"/>
  <c r="Q22" i="71"/>
  <c r="P22" i="71"/>
  <c r="O22" i="71"/>
  <c r="N22" i="71"/>
  <c r="M22" i="71"/>
  <c r="L22" i="71"/>
  <c r="K22" i="71"/>
  <c r="J22" i="71"/>
  <c r="I22" i="71"/>
  <c r="H22" i="71"/>
  <c r="G22" i="71"/>
  <c r="F22" i="71"/>
  <c r="E22" i="71"/>
  <c r="D22" i="71"/>
  <c r="Y20" i="71"/>
  <c r="X20" i="71"/>
  <c r="W20" i="71"/>
  <c r="V20" i="71"/>
  <c r="U20" i="71"/>
  <c r="T20" i="71"/>
  <c r="S20" i="71"/>
  <c r="R20" i="71"/>
  <c r="Q20" i="71"/>
  <c r="P20" i="71"/>
  <c r="O20" i="71"/>
  <c r="N20" i="71"/>
  <c r="M20" i="71"/>
  <c r="L20" i="71"/>
  <c r="K20" i="71"/>
  <c r="J20" i="71"/>
  <c r="I20" i="71"/>
  <c r="H20" i="71"/>
  <c r="G20" i="71"/>
  <c r="F20" i="71"/>
  <c r="E20" i="71"/>
  <c r="D20" i="71"/>
  <c r="AV19" i="71"/>
  <c r="AU19" i="71"/>
  <c r="AT19" i="71"/>
  <c r="AS19" i="71"/>
  <c r="AR19" i="71"/>
  <c r="AQ19" i="71"/>
  <c r="AP19" i="71"/>
  <c r="AO19" i="71"/>
  <c r="AN19" i="71"/>
  <c r="AM19" i="71"/>
  <c r="AL19" i="71"/>
  <c r="AK19" i="71"/>
  <c r="AJ19" i="71"/>
  <c r="AI19" i="71"/>
  <c r="AH19" i="71"/>
  <c r="AG19" i="71"/>
  <c r="AF19" i="71"/>
  <c r="AE19" i="71"/>
  <c r="AD19" i="71"/>
  <c r="AC19" i="71"/>
  <c r="AB19" i="71"/>
  <c r="AA19" i="71"/>
  <c r="Z19" i="71"/>
  <c r="Y19" i="71"/>
  <c r="X19" i="71"/>
  <c r="W19" i="71"/>
  <c r="V19" i="71"/>
  <c r="U19" i="71"/>
  <c r="T19" i="71"/>
  <c r="S19" i="71"/>
  <c r="R19" i="71"/>
  <c r="Q19" i="71"/>
  <c r="P19" i="71"/>
  <c r="O19" i="71"/>
  <c r="N19" i="71"/>
  <c r="M19" i="71"/>
  <c r="L19" i="71"/>
  <c r="K19" i="71"/>
  <c r="J19" i="71"/>
  <c r="I19" i="71"/>
  <c r="H19" i="71"/>
  <c r="G19" i="71"/>
  <c r="F19" i="71"/>
  <c r="E19" i="71"/>
  <c r="D19" i="71"/>
  <c r="AV18" i="71"/>
  <c r="AU18" i="71"/>
  <c r="AT18" i="71"/>
  <c r="AS18" i="71"/>
  <c r="AR18" i="71"/>
  <c r="AQ18" i="71"/>
  <c r="AP18" i="71"/>
  <c r="AO18" i="71"/>
  <c r="AN18" i="71"/>
  <c r="AM18" i="71"/>
  <c r="AL18" i="71"/>
  <c r="AK18" i="71"/>
  <c r="AJ18" i="71"/>
  <c r="AI18" i="71"/>
  <c r="AH18" i="71"/>
  <c r="AG18" i="71"/>
  <c r="AF18" i="71"/>
  <c r="AE18" i="71"/>
  <c r="AD18" i="71"/>
  <c r="AC18" i="71"/>
  <c r="AB18" i="71"/>
  <c r="AA18" i="71"/>
  <c r="Z18" i="71"/>
  <c r="Y18" i="71"/>
  <c r="X18" i="71"/>
  <c r="W18" i="71"/>
  <c r="V18" i="71"/>
  <c r="U18" i="71"/>
  <c r="T18" i="71"/>
  <c r="S18" i="71"/>
  <c r="R18" i="71"/>
  <c r="Q18" i="71"/>
  <c r="P18" i="71"/>
  <c r="O18" i="71"/>
  <c r="N18" i="71"/>
  <c r="M18" i="71"/>
  <c r="L18" i="71"/>
  <c r="K18" i="71"/>
  <c r="J18" i="71"/>
  <c r="I18" i="71"/>
  <c r="H18" i="71"/>
  <c r="G18" i="71"/>
  <c r="F18" i="71"/>
  <c r="E18" i="71"/>
  <c r="D18" i="71"/>
  <c r="Y17" i="71"/>
  <c r="X17" i="71"/>
  <c r="W17" i="71"/>
  <c r="V17" i="71"/>
  <c r="U17" i="71"/>
  <c r="T17" i="71"/>
  <c r="S17" i="71"/>
  <c r="R17" i="71"/>
  <c r="Q17" i="71"/>
  <c r="P17" i="71"/>
  <c r="O17" i="71"/>
  <c r="N17" i="71"/>
  <c r="M17" i="71"/>
  <c r="L17" i="71"/>
  <c r="K17" i="71"/>
  <c r="J17" i="71"/>
  <c r="I17" i="71"/>
  <c r="H17" i="71"/>
  <c r="G17" i="71"/>
  <c r="F17" i="71"/>
  <c r="E17" i="71"/>
  <c r="D17" i="71"/>
  <c r="AV16" i="71"/>
  <c r="AU16" i="71"/>
  <c r="AT16" i="71"/>
  <c r="AS16" i="71"/>
  <c r="AR16" i="71"/>
  <c r="AQ16" i="71"/>
  <c r="AP16" i="71"/>
  <c r="AO16" i="71"/>
  <c r="AN16" i="71"/>
  <c r="AM16" i="71"/>
  <c r="AL16" i="71"/>
  <c r="AK16" i="71"/>
  <c r="AJ16" i="71"/>
  <c r="AI16" i="71"/>
  <c r="AH16" i="71"/>
  <c r="AG16" i="71"/>
  <c r="AF16" i="71"/>
  <c r="AE16" i="71"/>
  <c r="AD16" i="71"/>
  <c r="AC16" i="71"/>
  <c r="AB16" i="71"/>
  <c r="AA16" i="71"/>
  <c r="Z16" i="71"/>
  <c r="Y16" i="71"/>
  <c r="X16" i="71"/>
  <c r="W16" i="71"/>
  <c r="V16" i="71"/>
  <c r="U16" i="71"/>
  <c r="T16" i="71"/>
  <c r="S16" i="71"/>
  <c r="R16" i="71"/>
  <c r="Q16" i="71"/>
  <c r="P16" i="71"/>
  <c r="O16" i="71"/>
  <c r="N16" i="71"/>
  <c r="M16" i="71"/>
  <c r="L16" i="71"/>
  <c r="K16" i="71"/>
  <c r="J16" i="71"/>
  <c r="I16" i="71"/>
  <c r="H16" i="71"/>
  <c r="G16" i="71"/>
  <c r="F16" i="71"/>
  <c r="E16" i="71"/>
  <c r="D16" i="71"/>
  <c r="AV15" i="71"/>
  <c r="AU15" i="71"/>
  <c r="AT15" i="71"/>
  <c r="AS15" i="71"/>
  <c r="AR15" i="71"/>
  <c r="AQ15" i="71"/>
  <c r="AP15" i="71"/>
  <c r="AO15" i="71"/>
  <c r="AN15" i="71"/>
  <c r="AM15" i="71"/>
  <c r="AL15" i="71"/>
  <c r="AK15" i="71"/>
  <c r="AJ15" i="71"/>
  <c r="AI15" i="71"/>
  <c r="AH15" i="71"/>
  <c r="AG15" i="71"/>
  <c r="AF15" i="71"/>
  <c r="AE15" i="71"/>
  <c r="AD1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AV14" i="71"/>
  <c r="AU14" i="71"/>
  <c r="AT14" i="71"/>
  <c r="AS14" i="71"/>
  <c r="AR14" i="71"/>
  <c r="AQ14" i="71"/>
  <c r="AP14" i="71"/>
  <c r="AO14" i="71"/>
  <c r="AN14" i="71"/>
  <c r="AM14" i="71"/>
  <c r="AL14" i="71"/>
  <c r="AK14" i="71"/>
  <c r="AJ14" i="71"/>
  <c r="AI14" i="71"/>
  <c r="AH14" i="71"/>
  <c r="AG14" i="71"/>
  <c r="AF14" i="71"/>
  <c r="AE14" i="71"/>
  <c r="AD14" i="71"/>
  <c r="AC14" i="71"/>
  <c r="AB14" i="71"/>
  <c r="AA14" i="71"/>
  <c r="Z14" i="71"/>
  <c r="Y14" i="71"/>
  <c r="X14" i="71"/>
  <c r="W14" i="71"/>
  <c r="V14" i="71"/>
  <c r="U14" i="71"/>
  <c r="T14" i="71"/>
  <c r="S14" i="71"/>
  <c r="R14" i="71"/>
  <c r="Q14" i="71"/>
  <c r="P14" i="71"/>
  <c r="O14" i="71"/>
  <c r="N14" i="71"/>
  <c r="M14" i="71"/>
  <c r="L14" i="71"/>
  <c r="K14" i="71"/>
  <c r="J14" i="71"/>
  <c r="I14" i="71"/>
  <c r="H14" i="71"/>
  <c r="G14" i="71"/>
  <c r="F14" i="71"/>
  <c r="E14" i="71"/>
  <c r="D14" i="71"/>
  <c r="AV13" i="71"/>
  <c r="AU13" i="71"/>
  <c r="AT13" i="71"/>
  <c r="AS13" i="71"/>
  <c r="AR13" i="71"/>
  <c r="AQ13" i="71"/>
  <c r="AP13" i="71"/>
  <c r="AO13" i="71"/>
  <c r="AN13" i="71"/>
  <c r="AM13" i="71"/>
  <c r="AL13" i="71"/>
  <c r="AK13" i="71"/>
  <c r="AJ13" i="71"/>
  <c r="AI13" i="71"/>
  <c r="AH13" i="71"/>
  <c r="AG13" i="71"/>
  <c r="AF13" i="71"/>
  <c r="AE13" i="71"/>
  <c r="AD13" i="71"/>
  <c r="AC13" i="71"/>
  <c r="AB13" i="71"/>
  <c r="AA13" i="71"/>
  <c r="Z13" i="71"/>
  <c r="Y13" i="71"/>
  <c r="X13" i="71"/>
  <c r="W13" i="71"/>
  <c r="V13" i="71"/>
  <c r="U13" i="71"/>
  <c r="T13" i="71"/>
  <c r="S13" i="71"/>
  <c r="R13" i="71"/>
  <c r="Q13" i="71"/>
  <c r="P13" i="71"/>
  <c r="O13" i="71"/>
  <c r="N13" i="71"/>
  <c r="M13" i="71"/>
  <c r="L13" i="71"/>
  <c r="K13" i="71"/>
  <c r="J13" i="71"/>
  <c r="I13" i="71"/>
  <c r="H13" i="71"/>
  <c r="G13" i="71"/>
  <c r="F13" i="71"/>
  <c r="E13" i="71"/>
  <c r="D13" i="71"/>
  <c r="Y12" i="71"/>
  <c r="X12" i="71"/>
  <c r="W12" i="71"/>
  <c r="V12" i="71"/>
  <c r="U12" i="71"/>
  <c r="T12" i="71"/>
  <c r="S12" i="71"/>
  <c r="R12" i="71"/>
  <c r="Q12" i="71"/>
  <c r="P12" i="71"/>
  <c r="O12" i="71"/>
  <c r="N12" i="71"/>
  <c r="M12" i="71"/>
  <c r="L12" i="71"/>
  <c r="K12" i="71"/>
  <c r="J12" i="71"/>
  <c r="I12" i="71"/>
  <c r="H12" i="71"/>
  <c r="G12" i="71"/>
  <c r="F12" i="71"/>
  <c r="E12" i="71"/>
  <c r="D12" i="71"/>
  <c r="Y11" i="71"/>
  <c r="X11" i="71"/>
  <c r="W11" i="71"/>
  <c r="V11" i="71"/>
  <c r="U11" i="71"/>
  <c r="T11" i="71"/>
  <c r="S11" i="71"/>
  <c r="R11" i="71"/>
  <c r="Q11" i="71"/>
  <c r="P11" i="71"/>
  <c r="O11" i="71"/>
  <c r="N11" i="71"/>
  <c r="M11" i="71"/>
  <c r="L11" i="71"/>
  <c r="K11" i="71"/>
  <c r="J11" i="71"/>
  <c r="I11" i="71"/>
  <c r="H11" i="71"/>
  <c r="G11" i="71"/>
  <c r="F11" i="71"/>
  <c r="E11" i="71"/>
  <c r="D11" i="71"/>
  <c r="AV10" i="71"/>
  <c r="AU10" i="71"/>
  <c r="AT10" i="71"/>
  <c r="AS10" i="71"/>
  <c r="AR10" i="71"/>
  <c r="AQ10" i="71"/>
  <c r="AP10" i="71"/>
  <c r="AO10" i="71"/>
  <c r="AN10" i="71"/>
  <c r="AM10" i="71"/>
  <c r="AL10" i="71"/>
  <c r="AK10" i="71"/>
  <c r="AJ10" i="71"/>
  <c r="AI10" i="71"/>
  <c r="AH10" i="71"/>
  <c r="AG10" i="71"/>
  <c r="AF10" i="71"/>
  <c r="AE10" i="71"/>
  <c r="AD10" i="71"/>
  <c r="AC10" i="71"/>
  <c r="AB10" i="71"/>
  <c r="AA10" i="71"/>
  <c r="Z10" i="71"/>
  <c r="Y10" i="71"/>
  <c r="X10" i="71"/>
  <c r="W10" i="71"/>
  <c r="V10" i="71"/>
  <c r="U10" i="71"/>
  <c r="T10" i="71"/>
  <c r="S10" i="71"/>
  <c r="R10" i="71"/>
  <c r="Q10" i="71"/>
  <c r="P10" i="71"/>
  <c r="O10" i="71"/>
  <c r="N10" i="71"/>
  <c r="M10" i="71"/>
  <c r="L10" i="71"/>
  <c r="K10" i="71"/>
  <c r="J10" i="71"/>
  <c r="I10" i="71"/>
  <c r="H10" i="71"/>
  <c r="G10" i="71"/>
  <c r="F10" i="71"/>
  <c r="E10" i="71"/>
  <c r="D10" i="71"/>
  <c r="AV9" i="71"/>
  <c r="AU9" i="71"/>
  <c r="AT9" i="71"/>
  <c r="AS9" i="71"/>
  <c r="AR9" i="71"/>
  <c r="AQ9" i="71"/>
  <c r="AP9" i="71"/>
  <c r="AO9" i="71"/>
  <c r="AN9" i="71"/>
  <c r="AM9" i="71"/>
  <c r="AL9" i="71"/>
  <c r="AK9" i="71"/>
  <c r="AJ9" i="71"/>
  <c r="AI9" i="71"/>
  <c r="AH9" i="71"/>
  <c r="AG9" i="71"/>
  <c r="AF9" i="71"/>
  <c r="AE9" i="71"/>
  <c r="AD9" i="71"/>
  <c r="AC9" i="71"/>
  <c r="AB9" i="71"/>
  <c r="AA9" i="71"/>
  <c r="Z9" i="71"/>
  <c r="Y9" i="71"/>
  <c r="X9" i="71"/>
  <c r="W9" i="71"/>
  <c r="V9" i="71"/>
  <c r="U9" i="71"/>
  <c r="T9" i="71"/>
  <c r="S9" i="71"/>
  <c r="R9" i="71"/>
  <c r="Q9" i="71"/>
  <c r="P9" i="71"/>
  <c r="O9" i="71"/>
  <c r="N9" i="71"/>
  <c r="M9" i="71"/>
  <c r="L9" i="71"/>
  <c r="K9" i="71"/>
  <c r="J9" i="71"/>
  <c r="I9" i="71"/>
  <c r="H9" i="71"/>
  <c r="G9" i="71"/>
  <c r="F9" i="71"/>
  <c r="E9" i="71"/>
  <c r="D9" i="71"/>
  <c r="AV8" i="71"/>
  <c r="AU8" i="71"/>
  <c r="AT8" i="71"/>
  <c r="AS8" i="71"/>
  <c r="AR8" i="71"/>
  <c r="AQ8" i="71"/>
  <c r="AP8" i="71"/>
  <c r="AO8" i="71"/>
  <c r="AN8" i="71"/>
  <c r="AM8" i="71"/>
  <c r="AL8" i="71"/>
  <c r="AK8" i="71"/>
  <c r="AJ8" i="71"/>
  <c r="AI8" i="71"/>
  <c r="AH8" i="71"/>
  <c r="AG8" i="71"/>
  <c r="AF8" i="71"/>
  <c r="AE8" i="71"/>
  <c r="AD8" i="71"/>
  <c r="AC8" i="71"/>
  <c r="AB8" i="71"/>
  <c r="AA8" i="71"/>
  <c r="Z8" i="71"/>
  <c r="Y8" i="71"/>
  <c r="X8" i="71"/>
  <c r="W8" i="71"/>
  <c r="V8" i="71"/>
  <c r="U8" i="71"/>
  <c r="T8" i="71"/>
  <c r="S8" i="71"/>
  <c r="R8" i="71"/>
  <c r="Q8" i="71"/>
  <c r="P8" i="71"/>
  <c r="O8" i="71"/>
  <c r="N8" i="71"/>
  <c r="M8" i="71"/>
  <c r="L8" i="71"/>
  <c r="K8" i="71"/>
  <c r="J8" i="71"/>
  <c r="I8" i="71"/>
  <c r="H8" i="71"/>
  <c r="G8" i="71"/>
  <c r="F8" i="71"/>
  <c r="E8" i="71"/>
  <c r="D8" i="71"/>
  <c r="Y7" i="71"/>
  <c r="X7" i="71"/>
  <c r="W7" i="71"/>
  <c r="V7" i="71"/>
  <c r="U7" i="71"/>
  <c r="T7" i="71"/>
  <c r="S7" i="71"/>
  <c r="R7" i="71"/>
  <c r="Q7" i="71"/>
  <c r="P7" i="71"/>
  <c r="O7" i="71"/>
  <c r="N7" i="71"/>
  <c r="M7" i="71"/>
  <c r="L7" i="71"/>
  <c r="K7" i="71"/>
  <c r="J7" i="71"/>
  <c r="I7" i="71"/>
  <c r="H7" i="71"/>
  <c r="G7" i="71"/>
  <c r="F7" i="71"/>
  <c r="E7" i="71"/>
  <c r="D7" i="71"/>
  <c r="Y6" i="71"/>
  <c r="X6" i="71"/>
  <c r="W6" i="71"/>
  <c r="V6" i="71"/>
  <c r="U6" i="71"/>
  <c r="T6" i="71"/>
  <c r="S6" i="71"/>
  <c r="R6" i="71"/>
  <c r="Q6" i="71"/>
  <c r="P6" i="71"/>
  <c r="O6" i="71"/>
  <c r="N6" i="71"/>
  <c r="M6" i="71"/>
  <c r="L6" i="71"/>
  <c r="K6" i="71"/>
  <c r="J6" i="71"/>
  <c r="I6" i="71"/>
  <c r="H6" i="71"/>
  <c r="G6" i="71"/>
  <c r="F6" i="71"/>
  <c r="E6" i="71"/>
  <c r="D6" i="71"/>
  <c r="AV173" i="70"/>
  <c r="AQ173" i="70"/>
  <c r="AL173" i="70"/>
  <c r="AG173" i="70"/>
  <c r="AB173" i="70"/>
  <c r="Y173" i="70"/>
  <c r="X173" i="70"/>
  <c r="W173" i="70"/>
  <c r="V173" i="70"/>
  <c r="U173" i="70"/>
  <c r="T173" i="70"/>
  <c r="S173" i="70"/>
  <c r="R173" i="70"/>
  <c r="Q173" i="70"/>
  <c r="P173" i="70"/>
  <c r="O173" i="70"/>
  <c r="N173" i="70"/>
  <c r="M173" i="70"/>
  <c r="L173" i="70"/>
  <c r="K173" i="70"/>
  <c r="J173" i="70"/>
  <c r="I173" i="70"/>
  <c r="H173" i="70"/>
  <c r="G173" i="70"/>
  <c r="F173" i="70"/>
  <c r="E173" i="70"/>
  <c r="D173" i="70"/>
  <c r="AV172" i="70"/>
  <c r="AQ172" i="70"/>
  <c r="AL172" i="70"/>
  <c r="AG172" i="70"/>
  <c r="AB172" i="70"/>
  <c r="Y172" i="70"/>
  <c r="X172" i="70"/>
  <c r="W172" i="70"/>
  <c r="V172" i="70"/>
  <c r="U172" i="70"/>
  <c r="T172" i="70"/>
  <c r="S172" i="70"/>
  <c r="R172" i="70"/>
  <c r="Q172" i="70"/>
  <c r="P172" i="70"/>
  <c r="O172" i="70"/>
  <c r="N172" i="70"/>
  <c r="M172" i="70"/>
  <c r="L172" i="70"/>
  <c r="K172" i="70"/>
  <c r="J172" i="70"/>
  <c r="I172" i="70"/>
  <c r="H172" i="70"/>
  <c r="G172" i="70"/>
  <c r="F172" i="70"/>
  <c r="E172" i="70"/>
  <c r="D172" i="70"/>
  <c r="AV171" i="70"/>
  <c r="AU171" i="70"/>
  <c r="AT171" i="70"/>
  <c r="AS171" i="70"/>
  <c r="AR171" i="70"/>
  <c r="AQ171" i="70"/>
  <c r="AP171" i="70"/>
  <c r="AO171" i="70"/>
  <c r="AN171" i="70"/>
  <c r="AM171" i="70"/>
  <c r="AL171" i="70"/>
  <c r="AK171" i="70"/>
  <c r="AJ171" i="70"/>
  <c r="AI171" i="70"/>
  <c r="AH171" i="70"/>
  <c r="AG171" i="70"/>
  <c r="AF171" i="70"/>
  <c r="AE171" i="70"/>
  <c r="AD171" i="70"/>
  <c r="AC171" i="70"/>
  <c r="AB171" i="70"/>
  <c r="AA171" i="70"/>
  <c r="Z171" i="70"/>
  <c r="Y171" i="70"/>
  <c r="X171" i="70"/>
  <c r="W171" i="70"/>
  <c r="V171" i="70"/>
  <c r="U171" i="70"/>
  <c r="T171" i="70"/>
  <c r="S171" i="70"/>
  <c r="R171" i="70"/>
  <c r="Q171" i="70"/>
  <c r="P171" i="70"/>
  <c r="O171" i="70"/>
  <c r="N171" i="70"/>
  <c r="M171" i="70"/>
  <c r="L171" i="70"/>
  <c r="K171" i="70"/>
  <c r="J171" i="70"/>
  <c r="I171" i="70"/>
  <c r="H171" i="70"/>
  <c r="G171" i="70"/>
  <c r="F171" i="70"/>
  <c r="E171" i="70"/>
  <c r="D171" i="70"/>
  <c r="AV170" i="70"/>
  <c r="AQ170" i="70"/>
  <c r="AL170" i="70"/>
  <c r="AG170" i="70"/>
  <c r="AB170" i="70"/>
  <c r="Y170" i="70"/>
  <c r="X170" i="70"/>
  <c r="W170" i="70"/>
  <c r="V170" i="70"/>
  <c r="U170" i="70"/>
  <c r="T170" i="70"/>
  <c r="S170" i="70"/>
  <c r="R170" i="70"/>
  <c r="Q170" i="70"/>
  <c r="P170" i="70"/>
  <c r="O170" i="70"/>
  <c r="N170" i="70"/>
  <c r="M170" i="70"/>
  <c r="L170" i="70"/>
  <c r="K170" i="70"/>
  <c r="J170" i="70"/>
  <c r="I170" i="70"/>
  <c r="H170" i="70"/>
  <c r="G170" i="70"/>
  <c r="F170" i="70"/>
  <c r="E170" i="70"/>
  <c r="D170" i="70"/>
  <c r="AV169" i="70"/>
  <c r="AU169" i="70"/>
  <c r="AT169" i="70"/>
  <c r="AS169" i="70"/>
  <c r="AR169" i="70"/>
  <c r="AQ169" i="70"/>
  <c r="AP169" i="70"/>
  <c r="AO169" i="70"/>
  <c r="AN169" i="70"/>
  <c r="AM169" i="70"/>
  <c r="AL169" i="70"/>
  <c r="AK169" i="70"/>
  <c r="AJ169" i="70"/>
  <c r="AI169" i="70"/>
  <c r="AH169" i="70"/>
  <c r="AG169" i="70"/>
  <c r="AF169" i="70"/>
  <c r="AE169" i="70"/>
  <c r="AD169" i="70"/>
  <c r="AC169" i="70"/>
  <c r="AB169" i="70"/>
  <c r="AA169" i="70"/>
  <c r="Z169" i="70"/>
  <c r="Y169" i="70"/>
  <c r="X169" i="70"/>
  <c r="W169" i="70"/>
  <c r="V169" i="70"/>
  <c r="U169" i="70"/>
  <c r="T169" i="70"/>
  <c r="S169" i="70"/>
  <c r="R169" i="70"/>
  <c r="Q169" i="70"/>
  <c r="P169" i="70"/>
  <c r="O169" i="70"/>
  <c r="N169" i="70"/>
  <c r="M169" i="70"/>
  <c r="L169" i="70"/>
  <c r="K169" i="70"/>
  <c r="J169" i="70"/>
  <c r="I169" i="70"/>
  <c r="H169" i="70"/>
  <c r="G169" i="70"/>
  <c r="F169" i="70"/>
  <c r="E169" i="70"/>
  <c r="D169" i="70"/>
  <c r="AV168" i="70"/>
  <c r="AQ168" i="70"/>
  <c r="AL168" i="70"/>
  <c r="AG168" i="70"/>
  <c r="AB168" i="70"/>
  <c r="Y168" i="70"/>
  <c r="X168" i="70"/>
  <c r="W168" i="70"/>
  <c r="V168" i="70"/>
  <c r="U168" i="70"/>
  <c r="T168" i="70"/>
  <c r="S168" i="70"/>
  <c r="R168" i="70"/>
  <c r="Q168" i="70"/>
  <c r="P168" i="70"/>
  <c r="O168" i="70"/>
  <c r="N168" i="70"/>
  <c r="M168" i="70"/>
  <c r="L168" i="70"/>
  <c r="K168" i="70"/>
  <c r="J168" i="70"/>
  <c r="I168" i="70"/>
  <c r="H168" i="70"/>
  <c r="G168" i="70"/>
  <c r="F168" i="70"/>
  <c r="E168" i="70"/>
  <c r="D168" i="70"/>
  <c r="AV167" i="70"/>
  <c r="AU167" i="70"/>
  <c r="AT167" i="70"/>
  <c r="AS167" i="70"/>
  <c r="AR167" i="70"/>
  <c r="AQ167" i="70"/>
  <c r="AP167" i="70"/>
  <c r="AO167" i="70"/>
  <c r="AN167" i="70"/>
  <c r="AM167" i="70"/>
  <c r="AL167" i="70"/>
  <c r="AK167" i="70"/>
  <c r="AJ167" i="70"/>
  <c r="AI167" i="70"/>
  <c r="AH167" i="70"/>
  <c r="AG167" i="70"/>
  <c r="AF167" i="70"/>
  <c r="AE167" i="70"/>
  <c r="AD167" i="70"/>
  <c r="AC167" i="70"/>
  <c r="AB167" i="70"/>
  <c r="AA167" i="70"/>
  <c r="Z167" i="70"/>
  <c r="Y167" i="70"/>
  <c r="X167" i="70"/>
  <c r="W167" i="70"/>
  <c r="V167" i="70"/>
  <c r="U167" i="70"/>
  <c r="T167" i="70"/>
  <c r="S167" i="70"/>
  <c r="R167" i="70"/>
  <c r="Q167" i="70"/>
  <c r="P167" i="70"/>
  <c r="O167" i="70"/>
  <c r="N167" i="70"/>
  <c r="M167" i="70"/>
  <c r="L167" i="70"/>
  <c r="K167" i="70"/>
  <c r="J167" i="70"/>
  <c r="I167" i="70"/>
  <c r="H167" i="70"/>
  <c r="G167" i="70"/>
  <c r="F167" i="70"/>
  <c r="E167" i="70"/>
  <c r="D167" i="70"/>
  <c r="AV166" i="70"/>
  <c r="AU166" i="70"/>
  <c r="AT166" i="70"/>
  <c r="AS166" i="70"/>
  <c r="AR166" i="70"/>
  <c r="AQ166" i="70"/>
  <c r="AP166" i="70"/>
  <c r="AO166" i="70"/>
  <c r="AN166" i="70"/>
  <c r="AM166" i="70"/>
  <c r="AL166" i="70"/>
  <c r="AK166" i="70"/>
  <c r="AJ166" i="70"/>
  <c r="AI166" i="70"/>
  <c r="AH166" i="70"/>
  <c r="AG166" i="70"/>
  <c r="AF166" i="70"/>
  <c r="AE166" i="70"/>
  <c r="AD166" i="70"/>
  <c r="AC166" i="70"/>
  <c r="AB166" i="70"/>
  <c r="AA166" i="70"/>
  <c r="Z166" i="70"/>
  <c r="Y166" i="70"/>
  <c r="X166" i="70"/>
  <c r="W166" i="70"/>
  <c r="V166" i="70"/>
  <c r="U166" i="70"/>
  <c r="T166" i="70"/>
  <c r="S166" i="70"/>
  <c r="R166" i="70"/>
  <c r="Q166" i="70"/>
  <c r="P166" i="70"/>
  <c r="O166" i="70"/>
  <c r="N166" i="70"/>
  <c r="M166" i="70"/>
  <c r="L166" i="70"/>
  <c r="K166" i="70"/>
  <c r="J166" i="70"/>
  <c r="I166" i="70"/>
  <c r="H166" i="70"/>
  <c r="G166" i="70"/>
  <c r="F166" i="70"/>
  <c r="E166" i="70"/>
  <c r="D166" i="70"/>
  <c r="AV165" i="70"/>
  <c r="AU165" i="70"/>
  <c r="AT165" i="70"/>
  <c r="AS165" i="70"/>
  <c r="AR165" i="70"/>
  <c r="AQ165" i="70"/>
  <c r="AP165" i="70"/>
  <c r="AO165" i="70"/>
  <c r="AN165" i="70"/>
  <c r="AM165" i="70"/>
  <c r="AL165" i="70"/>
  <c r="AK165" i="70"/>
  <c r="AJ165" i="70"/>
  <c r="AI165" i="70"/>
  <c r="AH165" i="70"/>
  <c r="AG165" i="70"/>
  <c r="AF165" i="70"/>
  <c r="AE165" i="70"/>
  <c r="AD165" i="70"/>
  <c r="AC165" i="70"/>
  <c r="AB165" i="70"/>
  <c r="AA165" i="70"/>
  <c r="Z165" i="70"/>
  <c r="Y165" i="70"/>
  <c r="X165" i="70"/>
  <c r="W165" i="70"/>
  <c r="V165" i="70"/>
  <c r="U165" i="70"/>
  <c r="T165" i="70"/>
  <c r="S165" i="70"/>
  <c r="R165" i="70"/>
  <c r="Q165" i="70"/>
  <c r="P165" i="70"/>
  <c r="O165" i="70"/>
  <c r="N165" i="70"/>
  <c r="M165" i="70"/>
  <c r="L165" i="70"/>
  <c r="K165" i="70"/>
  <c r="J165" i="70"/>
  <c r="I165" i="70"/>
  <c r="H165" i="70"/>
  <c r="G165" i="70"/>
  <c r="F165" i="70"/>
  <c r="E165" i="70"/>
  <c r="D165" i="70"/>
  <c r="AV164" i="70"/>
  <c r="AU164" i="70"/>
  <c r="AT164" i="70"/>
  <c r="AS164" i="70"/>
  <c r="AR164" i="70"/>
  <c r="AQ164" i="70"/>
  <c r="AP164" i="70"/>
  <c r="AO164" i="70"/>
  <c r="AN164" i="70"/>
  <c r="AM164" i="70"/>
  <c r="AL164" i="70"/>
  <c r="AK164" i="70"/>
  <c r="AJ164" i="70"/>
  <c r="AI164" i="70"/>
  <c r="AH164" i="70"/>
  <c r="AG164" i="70"/>
  <c r="AF164" i="70"/>
  <c r="AE164" i="70"/>
  <c r="AD164" i="70"/>
  <c r="AC164" i="70"/>
  <c r="AB164" i="70"/>
  <c r="AA164" i="70"/>
  <c r="Z164" i="70"/>
  <c r="Y164" i="70"/>
  <c r="X164" i="70"/>
  <c r="W164" i="70"/>
  <c r="V164" i="70"/>
  <c r="U164" i="70"/>
  <c r="T164" i="70"/>
  <c r="S164" i="70"/>
  <c r="R164" i="70"/>
  <c r="Q164" i="70"/>
  <c r="P164" i="70"/>
  <c r="O164" i="70"/>
  <c r="N164" i="70"/>
  <c r="M164" i="70"/>
  <c r="L164" i="70"/>
  <c r="K164" i="70"/>
  <c r="J164" i="70"/>
  <c r="I164" i="70"/>
  <c r="H164" i="70"/>
  <c r="G164" i="70"/>
  <c r="F164" i="70"/>
  <c r="E164" i="70"/>
  <c r="D164" i="70"/>
  <c r="AV163" i="70"/>
  <c r="AQ163" i="70"/>
  <c r="AL163" i="70"/>
  <c r="AG163" i="70"/>
  <c r="AB163" i="70"/>
  <c r="Z163" i="70"/>
  <c r="Y163" i="70"/>
  <c r="X163" i="70"/>
  <c r="W163" i="70"/>
  <c r="V163" i="70"/>
  <c r="U163" i="70"/>
  <c r="T163" i="70"/>
  <c r="S163" i="70"/>
  <c r="R163" i="70"/>
  <c r="Q163" i="70"/>
  <c r="P163" i="70"/>
  <c r="O163" i="70"/>
  <c r="N163" i="70"/>
  <c r="M163" i="70"/>
  <c r="L163" i="70"/>
  <c r="K163" i="70"/>
  <c r="J163" i="70"/>
  <c r="I163" i="70"/>
  <c r="H163" i="70"/>
  <c r="G163" i="70"/>
  <c r="F163" i="70"/>
  <c r="E163" i="70"/>
  <c r="D163" i="70"/>
  <c r="AV161" i="70"/>
  <c r="AU161" i="70"/>
  <c r="AT161" i="70"/>
  <c r="AS161" i="70"/>
  <c r="AR161" i="70"/>
  <c r="AQ161" i="70"/>
  <c r="AP161" i="70"/>
  <c r="AO161" i="70"/>
  <c r="AN161" i="70"/>
  <c r="AM161" i="70"/>
  <c r="AL161" i="70"/>
  <c r="AK161" i="70"/>
  <c r="AJ161" i="70"/>
  <c r="AI161" i="70"/>
  <c r="AH161" i="70"/>
  <c r="AG161" i="70"/>
  <c r="AF161" i="70"/>
  <c r="AE161" i="70"/>
  <c r="AD161" i="70"/>
  <c r="AC161" i="70"/>
  <c r="AB161" i="70"/>
  <c r="AA161" i="70"/>
  <c r="Z161" i="70"/>
  <c r="Y161" i="70"/>
  <c r="X161" i="70"/>
  <c r="W161" i="70"/>
  <c r="V161" i="70"/>
  <c r="U161" i="70"/>
  <c r="T161" i="70"/>
  <c r="S161" i="70"/>
  <c r="R161" i="70"/>
  <c r="Q161" i="70"/>
  <c r="P161" i="70"/>
  <c r="O161" i="70"/>
  <c r="N161" i="70"/>
  <c r="M161" i="70"/>
  <c r="L161" i="70"/>
  <c r="K161" i="70"/>
  <c r="J161" i="70"/>
  <c r="I161" i="70"/>
  <c r="H161" i="70"/>
  <c r="G161" i="70"/>
  <c r="F161" i="70"/>
  <c r="E161" i="70"/>
  <c r="D161" i="70"/>
  <c r="AV160" i="70"/>
  <c r="AU160" i="70"/>
  <c r="AT160" i="70"/>
  <c r="AS160" i="70"/>
  <c r="AR160" i="70"/>
  <c r="AQ160" i="70"/>
  <c r="AP160" i="70"/>
  <c r="AO160" i="70"/>
  <c r="AN160" i="70"/>
  <c r="AM160" i="70"/>
  <c r="AL160" i="70"/>
  <c r="AK160" i="70"/>
  <c r="AJ160" i="70"/>
  <c r="AI160" i="70"/>
  <c r="AH160" i="70"/>
  <c r="AG160" i="70"/>
  <c r="AF160" i="70"/>
  <c r="AE160" i="70"/>
  <c r="AD160" i="70"/>
  <c r="AC160" i="70"/>
  <c r="AB160" i="70"/>
  <c r="AA160" i="70"/>
  <c r="Z160" i="70"/>
  <c r="Y160" i="70"/>
  <c r="X160" i="70"/>
  <c r="W160" i="70"/>
  <c r="V160" i="70"/>
  <c r="U160" i="70"/>
  <c r="T160" i="70"/>
  <c r="S160" i="70"/>
  <c r="R160" i="70"/>
  <c r="Q160" i="70"/>
  <c r="P160" i="70"/>
  <c r="O160" i="70"/>
  <c r="N160" i="70"/>
  <c r="M160" i="70"/>
  <c r="L160" i="70"/>
  <c r="K160" i="70"/>
  <c r="J160" i="70"/>
  <c r="I160" i="70"/>
  <c r="H160" i="70"/>
  <c r="G160" i="70"/>
  <c r="F160" i="70"/>
  <c r="E160" i="70"/>
  <c r="D160" i="70"/>
  <c r="AV159" i="70"/>
  <c r="AU159" i="70"/>
  <c r="AT159" i="70"/>
  <c r="AS159" i="70"/>
  <c r="AR159" i="70"/>
  <c r="AQ159" i="70"/>
  <c r="AP159" i="70"/>
  <c r="AO159" i="70"/>
  <c r="AN159" i="70"/>
  <c r="AM159" i="70"/>
  <c r="AL159" i="70"/>
  <c r="AK159" i="70"/>
  <c r="AJ159" i="70"/>
  <c r="AI159" i="70"/>
  <c r="AH159" i="70"/>
  <c r="AG159" i="70"/>
  <c r="AF159" i="70"/>
  <c r="AE159" i="70"/>
  <c r="AD159" i="70"/>
  <c r="AC159" i="70"/>
  <c r="AB159" i="70"/>
  <c r="AA159" i="70"/>
  <c r="Z159" i="70"/>
  <c r="Y159" i="70"/>
  <c r="X159" i="70"/>
  <c r="W159" i="70"/>
  <c r="V159" i="70"/>
  <c r="U159" i="70"/>
  <c r="T159" i="70"/>
  <c r="S159" i="70"/>
  <c r="R159" i="70"/>
  <c r="Q159" i="70"/>
  <c r="P159" i="70"/>
  <c r="O159" i="70"/>
  <c r="N159" i="70"/>
  <c r="M159" i="70"/>
  <c r="L159" i="70"/>
  <c r="K159" i="70"/>
  <c r="J159" i="70"/>
  <c r="I159" i="70"/>
  <c r="H159" i="70"/>
  <c r="G159" i="70"/>
  <c r="F159" i="70"/>
  <c r="E159" i="70"/>
  <c r="D159" i="70"/>
  <c r="AV158" i="70"/>
  <c r="AU158" i="70"/>
  <c r="AT158" i="70"/>
  <c r="AS158" i="70"/>
  <c r="AR158" i="70"/>
  <c r="AQ158" i="70"/>
  <c r="AP158" i="70"/>
  <c r="AO158" i="70"/>
  <c r="AN158" i="70"/>
  <c r="AM158" i="70"/>
  <c r="AL158" i="70"/>
  <c r="AK158" i="70"/>
  <c r="AJ158" i="70"/>
  <c r="AI158" i="70"/>
  <c r="AH158" i="70"/>
  <c r="AG158" i="70"/>
  <c r="AF158" i="70"/>
  <c r="AE158" i="70"/>
  <c r="AD158" i="70"/>
  <c r="AC158" i="70"/>
  <c r="AB158" i="70"/>
  <c r="AA158" i="70"/>
  <c r="Z158" i="70"/>
  <c r="Y158" i="70"/>
  <c r="X158" i="70"/>
  <c r="W158" i="70"/>
  <c r="V158" i="70"/>
  <c r="U158" i="70"/>
  <c r="T158" i="70"/>
  <c r="S158" i="70"/>
  <c r="R158" i="70"/>
  <c r="Q158" i="70"/>
  <c r="P158" i="70"/>
  <c r="O158" i="70"/>
  <c r="N158" i="70"/>
  <c r="M158" i="70"/>
  <c r="L158" i="70"/>
  <c r="K158" i="70"/>
  <c r="J158" i="70"/>
  <c r="I158" i="70"/>
  <c r="H158" i="70"/>
  <c r="G158" i="70"/>
  <c r="F158" i="70"/>
  <c r="E158" i="70"/>
  <c r="D158" i="70"/>
  <c r="AV157" i="70"/>
  <c r="AU157" i="70"/>
  <c r="AT157" i="70"/>
  <c r="AS157" i="70"/>
  <c r="AR157" i="70"/>
  <c r="AQ157" i="70"/>
  <c r="AP157" i="70"/>
  <c r="AO157" i="70"/>
  <c r="AN157" i="70"/>
  <c r="AM157" i="70"/>
  <c r="AL157" i="70"/>
  <c r="AK157" i="70"/>
  <c r="AJ157" i="70"/>
  <c r="AI157" i="70"/>
  <c r="AH157" i="70"/>
  <c r="AG157" i="70"/>
  <c r="AF157" i="70"/>
  <c r="AE157" i="70"/>
  <c r="AD157" i="70"/>
  <c r="AC157" i="70"/>
  <c r="AB157" i="70"/>
  <c r="AA157" i="70"/>
  <c r="Z157" i="70"/>
  <c r="Y157" i="70"/>
  <c r="X157" i="70"/>
  <c r="W157" i="70"/>
  <c r="V157" i="70"/>
  <c r="U157" i="70"/>
  <c r="T157" i="70"/>
  <c r="S157" i="70"/>
  <c r="R157" i="70"/>
  <c r="Q157" i="70"/>
  <c r="P157" i="70"/>
  <c r="O157" i="70"/>
  <c r="N157" i="70"/>
  <c r="M157" i="70"/>
  <c r="L157" i="70"/>
  <c r="K157" i="70"/>
  <c r="J157" i="70"/>
  <c r="I157" i="70"/>
  <c r="H157" i="70"/>
  <c r="G157" i="70"/>
  <c r="F157" i="70"/>
  <c r="E157" i="70"/>
  <c r="D157" i="70"/>
  <c r="AV156" i="70"/>
  <c r="AU156" i="70"/>
  <c r="AT156" i="70"/>
  <c r="AS156" i="70"/>
  <c r="AR156" i="70"/>
  <c r="AQ156" i="70"/>
  <c r="AP156" i="70"/>
  <c r="AO156" i="70"/>
  <c r="AN156" i="70"/>
  <c r="AM156" i="70"/>
  <c r="AL156" i="70"/>
  <c r="AK156" i="70"/>
  <c r="AJ156" i="70"/>
  <c r="AI156" i="70"/>
  <c r="AH156" i="70"/>
  <c r="AG156" i="70"/>
  <c r="AF156" i="70"/>
  <c r="AE156" i="70"/>
  <c r="AD156" i="70"/>
  <c r="AC156" i="70"/>
  <c r="AB156" i="70"/>
  <c r="AA156" i="70"/>
  <c r="Z156" i="70"/>
  <c r="Y156" i="70"/>
  <c r="X156" i="70"/>
  <c r="W156" i="70"/>
  <c r="V156" i="70"/>
  <c r="U156" i="70"/>
  <c r="T156" i="70"/>
  <c r="S156" i="70"/>
  <c r="R156" i="70"/>
  <c r="Q156" i="70"/>
  <c r="P156" i="70"/>
  <c r="O156" i="70"/>
  <c r="N156" i="70"/>
  <c r="M156" i="70"/>
  <c r="L156" i="70"/>
  <c r="K156" i="70"/>
  <c r="J156" i="70"/>
  <c r="I156" i="70"/>
  <c r="H156" i="70"/>
  <c r="G156" i="70"/>
  <c r="F156" i="70"/>
  <c r="E156" i="70"/>
  <c r="D156" i="70"/>
  <c r="AV155" i="70"/>
  <c r="AU155" i="70"/>
  <c r="AT155" i="70"/>
  <c r="AS155" i="70"/>
  <c r="AR155" i="70"/>
  <c r="AQ155" i="70"/>
  <c r="AP155" i="70"/>
  <c r="AO155" i="70"/>
  <c r="AN155" i="70"/>
  <c r="AM155" i="70"/>
  <c r="AL155" i="70"/>
  <c r="AK155" i="70"/>
  <c r="AJ155" i="70"/>
  <c r="AI155" i="70"/>
  <c r="AH155" i="70"/>
  <c r="AG155" i="70"/>
  <c r="AF155" i="70"/>
  <c r="AE155" i="70"/>
  <c r="AD155" i="70"/>
  <c r="AC155" i="70"/>
  <c r="AB155" i="70"/>
  <c r="AA155" i="70"/>
  <c r="Z155" i="70"/>
  <c r="Y155" i="70"/>
  <c r="X155" i="70"/>
  <c r="W155" i="70"/>
  <c r="V155" i="70"/>
  <c r="U155" i="70"/>
  <c r="T155" i="70"/>
  <c r="S155" i="70"/>
  <c r="R155" i="70"/>
  <c r="Q155" i="70"/>
  <c r="P155" i="70"/>
  <c r="O155" i="70"/>
  <c r="N155" i="70"/>
  <c r="M155" i="70"/>
  <c r="L155" i="70"/>
  <c r="K155" i="70"/>
  <c r="J155" i="70"/>
  <c r="I155" i="70"/>
  <c r="H155" i="70"/>
  <c r="G155" i="70"/>
  <c r="F155" i="70"/>
  <c r="E155" i="70"/>
  <c r="D155" i="70"/>
  <c r="AV154" i="70"/>
  <c r="AU154" i="70"/>
  <c r="AT154" i="70"/>
  <c r="AS154" i="70"/>
  <c r="AR154" i="70"/>
  <c r="AQ154" i="70"/>
  <c r="AP154" i="70"/>
  <c r="AO154" i="70"/>
  <c r="AN154" i="70"/>
  <c r="AM154" i="70"/>
  <c r="AL154" i="70"/>
  <c r="AK154" i="70"/>
  <c r="AJ154" i="70"/>
  <c r="AI154" i="70"/>
  <c r="AH154" i="70"/>
  <c r="AG154" i="70"/>
  <c r="AF154" i="70"/>
  <c r="AE154" i="70"/>
  <c r="AD154" i="70"/>
  <c r="AC154" i="70"/>
  <c r="AB154" i="70"/>
  <c r="AA154" i="70"/>
  <c r="Z154" i="70"/>
  <c r="Y154" i="70"/>
  <c r="X154" i="70"/>
  <c r="W154" i="70"/>
  <c r="V154" i="70"/>
  <c r="U154" i="70"/>
  <c r="T154" i="70"/>
  <c r="S154" i="70"/>
  <c r="R154" i="70"/>
  <c r="Q154" i="70"/>
  <c r="P154" i="70"/>
  <c r="O154" i="70"/>
  <c r="N154" i="70"/>
  <c r="M154" i="70"/>
  <c r="L154" i="70"/>
  <c r="K154" i="70"/>
  <c r="J154" i="70"/>
  <c r="I154" i="70"/>
  <c r="H154" i="70"/>
  <c r="G154" i="70"/>
  <c r="F154" i="70"/>
  <c r="E154" i="70"/>
  <c r="D154" i="70"/>
  <c r="AV153" i="70"/>
  <c r="AU153" i="70"/>
  <c r="AT153" i="70"/>
  <c r="AS153" i="70"/>
  <c r="AR153" i="70"/>
  <c r="AQ153" i="70"/>
  <c r="AP153" i="70"/>
  <c r="AO153" i="70"/>
  <c r="AN153" i="70"/>
  <c r="AM153" i="70"/>
  <c r="AL153" i="70"/>
  <c r="AK153" i="70"/>
  <c r="AJ153" i="70"/>
  <c r="AI153" i="70"/>
  <c r="AH153" i="70"/>
  <c r="AG153" i="70"/>
  <c r="AF153" i="70"/>
  <c r="AE153" i="70"/>
  <c r="AD153" i="70"/>
  <c r="AC153" i="70"/>
  <c r="AB153" i="70"/>
  <c r="AA153" i="70"/>
  <c r="Z153" i="70"/>
  <c r="Y153" i="70"/>
  <c r="X153" i="70"/>
  <c r="W153" i="70"/>
  <c r="V153" i="70"/>
  <c r="U153" i="70"/>
  <c r="T153" i="70"/>
  <c r="S153" i="70"/>
  <c r="R153" i="70"/>
  <c r="Q153" i="70"/>
  <c r="P153" i="70"/>
  <c r="O153" i="70"/>
  <c r="N153" i="70"/>
  <c r="M153" i="70"/>
  <c r="L153" i="70"/>
  <c r="K153" i="70"/>
  <c r="J153" i="70"/>
  <c r="I153" i="70"/>
  <c r="H153" i="70"/>
  <c r="G153" i="70"/>
  <c r="F153" i="70"/>
  <c r="E153" i="70"/>
  <c r="D153" i="70"/>
  <c r="AV152" i="70"/>
  <c r="AU152" i="70"/>
  <c r="AT152" i="70"/>
  <c r="AS152" i="70"/>
  <c r="AR152" i="70"/>
  <c r="AQ152" i="70"/>
  <c r="AP152" i="70"/>
  <c r="AO152" i="70"/>
  <c r="AN152" i="70"/>
  <c r="AM152" i="70"/>
  <c r="AL152" i="70"/>
  <c r="AK152" i="70"/>
  <c r="AJ152" i="70"/>
  <c r="AI152" i="70"/>
  <c r="AH152" i="70"/>
  <c r="AG152" i="70"/>
  <c r="AF152" i="70"/>
  <c r="AE152" i="70"/>
  <c r="AD152" i="70"/>
  <c r="AC152" i="70"/>
  <c r="AB152" i="70"/>
  <c r="AA152" i="70"/>
  <c r="Z152" i="70"/>
  <c r="Y152" i="70"/>
  <c r="X152" i="70"/>
  <c r="W152" i="70"/>
  <c r="V152" i="70"/>
  <c r="U152" i="70"/>
  <c r="T152" i="70"/>
  <c r="S152" i="70"/>
  <c r="R152" i="70"/>
  <c r="Q152" i="70"/>
  <c r="P152" i="70"/>
  <c r="O152" i="70"/>
  <c r="N152" i="70"/>
  <c r="M152" i="70"/>
  <c r="L152" i="70"/>
  <c r="K152" i="70"/>
  <c r="J152" i="70"/>
  <c r="I152" i="70"/>
  <c r="H152" i="70"/>
  <c r="G152" i="70"/>
  <c r="F152" i="70"/>
  <c r="E152" i="70"/>
  <c r="D152" i="70"/>
  <c r="AV151" i="70"/>
  <c r="AU151" i="70"/>
  <c r="AT151" i="70"/>
  <c r="AS151" i="70"/>
  <c r="AR151" i="70"/>
  <c r="AQ151" i="70"/>
  <c r="AP151" i="70"/>
  <c r="AO151" i="70"/>
  <c r="AN151" i="70"/>
  <c r="AM151" i="70"/>
  <c r="AL151" i="70"/>
  <c r="AK151" i="70"/>
  <c r="AJ151" i="70"/>
  <c r="AI151" i="70"/>
  <c r="AH151" i="70"/>
  <c r="AG151" i="70"/>
  <c r="AF151" i="70"/>
  <c r="AE151" i="70"/>
  <c r="AD151" i="70"/>
  <c r="AC151" i="70"/>
  <c r="AB151" i="70"/>
  <c r="AA151" i="70"/>
  <c r="Z151" i="70"/>
  <c r="Y151" i="70"/>
  <c r="X151" i="70"/>
  <c r="W151" i="70"/>
  <c r="V151" i="70"/>
  <c r="U151" i="70"/>
  <c r="T151" i="70"/>
  <c r="S151" i="70"/>
  <c r="R151" i="70"/>
  <c r="Q151" i="70"/>
  <c r="P151" i="70"/>
  <c r="O151" i="70"/>
  <c r="N151" i="70"/>
  <c r="M151" i="70"/>
  <c r="L151" i="70"/>
  <c r="K151" i="70"/>
  <c r="J151" i="70"/>
  <c r="I151" i="70"/>
  <c r="H151" i="70"/>
  <c r="G151" i="70"/>
  <c r="F151" i="70"/>
  <c r="E151" i="70"/>
  <c r="D151" i="70"/>
  <c r="AV149" i="70"/>
  <c r="AU149" i="70"/>
  <c r="AT149" i="70"/>
  <c r="AS149" i="70"/>
  <c r="AR149" i="70"/>
  <c r="AQ149" i="70"/>
  <c r="AP149" i="70"/>
  <c r="AO149" i="70"/>
  <c r="AN149" i="70"/>
  <c r="AM149" i="70"/>
  <c r="AK149" i="70"/>
  <c r="AJ149" i="70"/>
  <c r="AI149" i="70"/>
  <c r="AH149" i="70"/>
  <c r="AG149" i="70"/>
  <c r="AF149" i="70"/>
  <c r="AE149" i="70"/>
  <c r="AD149" i="70"/>
  <c r="AC149" i="70"/>
  <c r="AB149" i="70"/>
  <c r="AA149" i="70"/>
  <c r="Z149" i="70"/>
  <c r="Y149" i="70"/>
  <c r="X149" i="70"/>
  <c r="W149" i="70"/>
  <c r="V149" i="70"/>
  <c r="U149" i="70"/>
  <c r="T149" i="70"/>
  <c r="S149" i="70"/>
  <c r="R149" i="70"/>
  <c r="Q149" i="70"/>
  <c r="P149" i="70"/>
  <c r="O149" i="70"/>
  <c r="N149" i="70"/>
  <c r="M149" i="70"/>
  <c r="L149" i="70"/>
  <c r="K149" i="70"/>
  <c r="J149" i="70"/>
  <c r="I149" i="70"/>
  <c r="H149" i="70"/>
  <c r="G149" i="70"/>
  <c r="F149" i="70"/>
  <c r="E149" i="70"/>
  <c r="D149" i="70"/>
  <c r="Y148" i="70"/>
  <c r="X148" i="70"/>
  <c r="W148" i="70"/>
  <c r="V148" i="70"/>
  <c r="U148" i="70"/>
  <c r="T148" i="70"/>
  <c r="S148" i="70"/>
  <c r="R148" i="70"/>
  <c r="Q148" i="70"/>
  <c r="P148" i="70"/>
  <c r="O148" i="70"/>
  <c r="N148" i="70"/>
  <c r="M148" i="70"/>
  <c r="L148" i="70"/>
  <c r="K148" i="70"/>
  <c r="J148" i="70"/>
  <c r="I148" i="70"/>
  <c r="H148" i="70"/>
  <c r="G148" i="70"/>
  <c r="F148" i="70"/>
  <c r="E148" i="70"/>
  <c r="D148" i="70"/>
  <c r="Y147" i="70"/>
  <c r="X147" i="70"/>
  <c r="W147" i="70"/>
  <c r="V147" i="70"/>
  <c r="U147" i="70"/>
  <c r="T147" i="70"/>
  <c r="S147" i="70"/>
  <c r="R147" i="70"/>
  <c r="Q147" i="70"/>
  <c r="P147" i="70"/>
  <c r="O147" i="70"/>
  <c r="N147" i="70"/>
  <c r="M147" i="70"/>
  <c r="L147" i="70"/>
  <c r="K147" i="70"/>
  <c r="J147" i="70"/>
  <c r="I147" i="70"/>
  <c r="H147" i="70"/>
  <c r="G147" i="70"/>
  <c r="F147" i="70"/>
  <c r="E147" i="70"/>
  <c r="D147" i="70"/>
  <c r="Y146" i="70"/>
  <c r="X146" i="70"/>
  <c r="W146" i="70"/>
  <c r="V146" i="70"/>
  <c r="U146" i="70"/>
  <c r="T146" i="70"/>
  <c r="S146" i="70"/>
  <c r="R146" i="70"/>
  <c r="Q146" i="70"/>
  <c r="P146" i="70"/>
  <c r="O146" i="70"/>
  <c r="N146" i="70"/>
  <c r="M146" i="70"/>
  <c r="L146" i="70"/>
  <c r="K146" i="70"/>
  <c r="J146" i="70"/>
  <c r="I146" i="70"/>
  <c r="H146" i="70"/>
  <c r="G146" i="70"/>
  <c r="F146" i="70"/>
  <c r="E146" i="70"/>
  <c r="D146" i="70"/>
  <c r="AV145" i="70"/>
  <c r="AU145" i="70"/>
  <c r="AT145" i="70"/>
  <c r="AS145" i="70"/>
  <c r="AR145" i="70"/>
  <c r="AQ145" i="70"/>
  <c r="AP145" i="70"/>
  <c r="AO145" i="70"/>
  <c r="AN145" i="70"/>
  <c r="AM145" i="70"/>
  <c r="AL145" i="70"/>
  <c r="AK145" i="70"/>
  <c r="AJ145" i="70"/>
  <c r="AI145" i="70"/>
  <c r="AH145" i="70"/>
  <c r="AG145" i="70"/>
  <c r="AF145" i="70"/>
  <c r="AE145" i="70"/>
  <c r="AD145" i="70"/>
  <c r="AC145" i="70"/>
  <c r="AB145" i="70"/>
  <c r="AA145" i="70"/>
  <c r="Z145" i="70"/>
  <c r="Y145" i="70"/>
  <c r="X145" i="70"/>
  <c r="W145" i="70"/>
  <c r="V145" i="70"/>
  <c r="U145" i="70"/>
  <c r="T145" i="70"/>
  <c r="S145" i="70"/>
  <c r="R145" i="70"/>
  <c r="Q145" i="70"/>
  <c r="P145" i="70"/>
  <c r="O145" i="70"/>
  <c r="N145" i="70"/>
  <c r="M145" i="70"/>
  <c r="L145" i="70"/>
  <c r="K145" i="70"/>
  <c r="J145" i="70"/>
  <c r="I145" i="70"/>
  <c r="H145" i="70"/>
  <c r="G145" i="70"/>
  <c r="F145" i="70"/>
  <c r="E145" i="70"/>
  <c r="D145" i="70"/>
  <c r="AV144" i="70"/>
  <c r="AU144" i="70"/>
  <c r="AT144" i="70"/>
  <c r="AS144" i="70"/>
  <c r="AR144" i="70"/>
  <c r="AQ144" i="70"/>
  <c r="AP144" i="70"/>
  <c r="AO144" i="70"/>
  <c r="AN144" i="70"/>
  <c r="AM144" i="70"/>
  <c r="AL144" i="70"/>
  <c r="AK144" i="70"/>
  <c r="AJ144" i="70"/>
  <c r="AI144" i="70"/>
  <c r="AH144" i="70"/>
  <c r="AG144" i="70"/>
  <c r="AF144" i="70"/>
  <c r="AE144" i="70"/>
  <c r="AD144" i="70"/>
  <c r="AC144" i="70"/>
  <c r="AB144" i="70"/>
  <c r="AA144" i="70"/>
  <c r="Z144" i="70"/>
  <c r="Y144" i="70"/>
  <c r="X144" i="70"/>
  <c r="W144" i="70"/>
  <c r="V144" i="70"/>
  <c r="U144" i="70"/>
  <c r="T144" i="70"/>
  <c r="S144" i="70"/>
  <c r="R144" i="70"/>
  <c r="Q144" i="70"/>
  <c r="P144" i="70"/>
  <c r="O144" i="70"/>
  <c r="N144" i="70"/>
  <c r="M144" i="70"/>
  <c r="L144" i="70"/>
  <c r="K144" i="70"/>
  <c r="J144" i="70"/>
  <c r="I144" i="70"/>
  <c r="H144" i="70"/>
  <c r="G144" i="70"/>
  <c r="F144" i="70"/>
  <c r="E144" i="70"/>
  <c r="D144" i="70"/>
  <c r="AU143" i="70"/>
  <c r="AT143" i="70"/>
  <c r="AS143" i="70"/>
  <c r="AR143" i="70"/>
  <c r="AP143" i="70"/>
  <c r="AO143" i="70"/>
  <c r="AN143" i="70"/>
  <c r="AM143" i="70"/>
  <c r="AK143" i="70"/>
  <c r="AJ143" i="70"/>
  <c r="AI143" i="70"/>
  <c r="AH143" i="70"/>
  <c r="AF143" i="70"/>
  <c r="AE143" i="70"/>
  <c r="AD143" i="70"/>
  <c r="AC143" i="70"/>
  <c r="AA143" i="70"/>
  <c r="Z143" i="70"/>
  <c r="Y143" i="70"/>
  <c r="X143" i="70"/>
  <c r="W143" i="70"/>
  <c r="V143" i="70"/>
  <c r="U143" i="70"/>
  <c r="T143" i="70"/>
  <c r="S143" i="70"/>
  <c r="R143" i="70"/>
  <c r="Q143" i="70"/>
  <c r="P143" i="70"/>
  <c r="O143" i="70"/>
  <c r="N143" i="70"/>
  <c r="M143" i="70"/>
  <c r="L143" i="70"/>
  <c r="K143" i="70"/>
  <c r="J143" i="70"/>
  <c r="I143" i="70"/>
  <c r="H143" i="70"/>
  <c r="G143" i="70"/>
  <c r="F143" i="70"/>
  <c r="E143" i="70"/>
  <c r="D143" i="70"/>
  <c r="Y142" i="70"/>
  <c r="X142" i="70"/>
  <c r="W142" i="70"/>
  <c r="V142" i="70"/>
  <c r="U142" i="70"/>
  <c r="T142" i="70"/>
  <c r="S142" i="70"/>
  <c r="R142" i="70"/>
  <c r="Q142" i="70"/>
  <c r="P142" i="70"/>
  <c r="O142" i="70"/>
  <c r="N142" i="70"/>
  <c r="M142" i="70"/>
  <c r="L142" i="70"/>
  <c r="K142" i="70"/>
  <c r="J142" i="70"/>
  <c r="I142" i="70"/>
  <c r="H142" i="70"/>
  <c r="G142" i="70"/>
  <c r="F142" i="70"/>
  <c r="E142" i="70"/>
  <c r="D142" i="70"/>
  <c r="Y141" i="70"/>
  <c r="X141" i="70"/>
  <c r="W141" i="70"/>
  <c r="V141" i="70"/>
  <c r="U141" i="70"/>
  <c r="T141" i="70"/>
  <c r="S141" i="70"/>
  <c r="R141" i="70"/>
  <c r="Q141" i="70"/>
  <c r="P141" i="70"/>
  <c r="O141" i="70"/>
  <c r="N141" i="70"/>
  <c r="M141" i="70"/>
  <c r="L141" i="70"/>
  <c r="K141" i="70"/>
  <c r="J141" i="70"/>
  <c r="I141" i="70"/>
  <c r="H141" i="70"/>
  <c r="G141" i="70"/>
  <c r="F141" i="70"/>
  <c r="E141" i="70"/>
  <c r="D141" i="70"/>
  <c r="AV140" i="70"/>
  <c r="AU140" i="70"/>
  <c r="AT140" i="70"/>
  <c r="AS140" i="70"/>
  <c r="AR140" i="70"/>
  <c r="AQ140" i="70"/>
  <c r="AP140" i="70"/>
  <c r="AO140" i="70"/>
  <c r="AN140" i="70"/>
  <c r="AM140" i="70"/>
  <c r="AL140" i="70"/>
  <c r="AK140" i="70"/>
  <c r="AJ140" i="70"/>
  <c r="AI140" i="70"/>
  <c r="AH140" i="70"/>
  <c r="AG140" i="70"/>
  <c r="AF140" i="70"/>
  <c r="AE140" i="70"/>
  <c r="AD140" i="70"/>
  <c r="AC140" i="70"/>
  <c r="AB140" i="70"/>
  <c r="AA140" i="70"/>
  <c r="Z140" i="70"/>
  <c r="Y140" i="70"/>
  <c r="X140" i="70"/>
  <c r="W140" i="70"/>
  <c r="V140" i="70"/>
  <c r="U140" i="70"/>
  <c r="T140" i="70"/>
  <c r="S140" i="70"/>
  <c r="R140" i="70"/>
  <c r="Q140" i="70"/>
  <c r="P140" i="70"/>
  <c r="O140" i="70"/>
  <c r="N140" i="70"/>
  <c r="M140" i="70"/>
  <c r="L140" i="70"/>
  <c r="K140" i="70"/>
  <c r="J140" i="70"/>
  <c r="I140" i="70"/>
  <c r="H140" i="70"/>
  <c r="G140" i="70"/>
  <c r="F140" i="70"/>
  <c r="E140" i="70"/>
  <c r="D140" i="70"/>
  <c r="AV139" i="70"/>
  <c r="AU139" i="70"/>
  <c r="AT139" i="70"/>
  <c r="AS139" i="70"/>
  <c r="AR139" i="70"/>
  <c r="AQ139" i="70"/>
  <c r="AP139" i="70"/>
  <c r="AO139" i="70"/>
  <c r="AN139" i="70"/>
  <c r="AM139" i="70"/>
  <c r="AL139" i="70"/>
  <c r="AK139" i="70"/>
  <c r="AJ139" i="70"/>
  <c r="AI139" i="70"/>
  <c r="AH139" i="70"/>
  <c r="AG139" i="70"/>
  <c r="AF139" i="70"/>
  <c r="AE139" i="70"/>
  <c r="AD139" i="70"/>
  <c r="AC139" i="70"/>
  <c r="AB139" i="70"/>
  <c r="AA139" i="70"/>
  <c r="Z139" i="70"/>
  <c r="Y139" i="70"/>
  <c r="X139" i="70"/>
  <c r="W139" i="70"/>
  <c r="V139" i="70"/>
  <c r="U139" i="70"/>
  <c r="T139" i="70"/>
  <c r="S139" i="70"/>
  <c r="R139" i="70"/>
  <c r="Q139" i="70"/>
  <c r="P139" i="70"/>
  <c r="O139" i="70"/>
  <c r="N139" i="70"/>
  <c r="M139" i="70"/>
  <c r="L139" i="70"/>
  <c r="K139" i="70"/>
  <c r="J139" i="70"/>
  <c r="I139" i="70"/>
  <c r="H139" i="70"/>
  <c r="G139" i="70"/>
  <c r="F139" i="70"/>
  <c r="E139" i="70"/>
  <c r="D139" i="70"/>
  <c r="AV137" i="70"/>
  <c r="AQ137" i="70"/>
  <c r="AL137" i="70"/>
  <c r="AG137" i="70"/>
  <c r="AB137" i="70"/>
  <c r="Y137" i="70"/>
  <c r="X137" i="70"/>
  <c r="W137" i="70"/>
  <c r="V137" i="70"/>
  <c r="U137" i="70"/>
  <c r="T137" i="70"/>
  <c r="S137" i="70"/>
  <c r="R137" i="70"/>
  <c r="Q137" i="70"/>
  <c r="P137" i="70"/>
  <c r="O137" i="70"/>
  <c r="N137" i="70"/>
  <c r="M137" i="70"/>
  <c r="L137" i="70"/>
  <c r="K137" i="70"/>
  <c r="J137" i="70"/>
  <c r="I137" i="70"/>
  <c r="H137" i="70"/>
  <c r="G137" i="70"/>
  <c r="F137" i="70"/>
  <c r="E137" i="70"/>
  <c r="D137" i="70"/>
  <c r="AV136" i="70"/>
  <c r="AU136" i="70"/>
  <c r="AT136" i="70"/>
  <c r="AS136" i="70"/>
  <c r="AR136" i="70"/>
  <c r="AQ136" i="70"/>
  <c r="AP136" i="70"/>
  <c r="AO136" i="70"/>
  <c r="AN136" i="70"/>
  <c r="AM136" i="70"/>
  <c r="AL136" i="70"/>
  <c r="AK136" i="70"/>
  <c r="AJ136" i="70"/>
  <c r="AI136" i="70"/>
  <c r="AH136" i="70"/>
  <c r="AG136" i="70"/>
  <c r="AF136" i="70"/>
  <c r="AE136" i="70"/>
  <c r="AD136" i="70"/>
  <c r="AC136" i="70"/>
  <c r="AB136" i="70"/>
  <c r="AA136" i="70"/>
  <c r="Z136" i="70"/>
  <c r="Y136" i="70"/>
  <c r="X136" i="70"/>
  <c r="W136" i="70"/>
  <c r="V136" i="70"/>
  <c r="U136" i="70"/>
  <c r="T136" i="70"/>
  <c r="S136" i="70"/>
  <c r="R136" i="70"/>
  <c r="Q136" i="70"/>
  <c r="P136" i="70"/>
  <c r="O136" i="70"/>
  <c r="N136" i="70"/>
  <c r="M136" i="70"/>
  <c r="L136" i="70"/>
  <c r="K136" i="70"/>
  <c r="J136" i="70"/>
  <c r="I136" i="70"/>
  <c r="H136" i="70"/>
  <c r="G136" i="70"/>
  <c r="F136" i="70"/>
  <c r="E136" i="70"/>
  <c r="D136" i="70"/>
  <c r="AV135" i="70"/>
  <c r="AU135" i="70"/>
  <c r="AT135" i="70"/>
  <c r="AS135" i="70"/>
  <c r="AR135" i="70"/>
  <c r="AQ135" i="70"/>
  <c r="AP135" i="70"/>
  <c r="AO135" i="70"/>
  <c r="AN135" i="70"/>
  <c r="AM135" i="70"/>
  <c r="AL135" i="70"/>
  <c r="AK135" i="70"/>
  <c r="AJ135" i="70"/>
  <c r="AI135" i="70"/>
  <c r="AH135" i="70"/>
  <c r="AG135" i="70"/>
  <c r="AF135" i="70"/>
  <c r="AE135" i="70"/>
  <c r="AD135" i="70"/>
  <c r="AC135" i="70"/>
  <c r="AB135" i="70"/>
  <c r="AA135" i="70"/>
  <c r="Z135" i="70"/>
  <c r="Y135" i="70"/>
  <c r="X135" i="70"/>
  <c r="W135" i="70"/>
  <c r="V135" i="70"/>
  <c r="U135" i="70"/>
  <c r="T135" i="70"/>
  <c r="S135" i="70"/>
  <c r="R135" i="70"/>
  <c r="Q135" i="70"/>
  <c r="P135" i="70"/>
  <c r="O135" i="70"/>
  <c r="N135" i="70"/>
  <c r="M135" i="70"/>
  <c r="L135" i="70"/>
  <c r="K135" i="70"/>
  <c r="J135" i="70"/>
  <c r="I135" i="70"/>
  <c r="H135" i="70"/>
  <c r="G135" i="70"/>
  <c r="F135" i="70"/>
  <c r="E135" i="70"/>
  <c r="D135" i="70"/>
  <c r="AV134" i="70"/>
  <c r="AU134" i="70"/>
  <c r="AT134" i="70"/>
  <c r="AS134" i="70"/>
  <c r="AR134" i="70"/>
  <c r="AQ134" i="70"/>
  <c r="AP134" i="70"/>
  <c r="AO134" i="70"/>
  <c r="AN134" i="70"/>
  <c r="AM134" i="70"/>
  <c r="AL134" i="70"/>
  <c r="AK134" i="70"/>
  <c r="AJ134" i="70"/>
  <c r="AI134" i="70"/>
  <c r="AH134" i="70"/>
  <c r="AG134" i="70"/>
  <c r="AF134" i="70"/>
  <c r="AE134" i="70"/>
  <c r="AD134" i="70"/>
  <c r="AC134" i="70"/>
  <c r="AB134" i="70"/>
  <c r="AA134" i="70"/>
  <c r="Z134" i="70"/>
  <c r="Y134" i="70"/>
  <c r="X134" i="70"/>
  <c r="W134" i="70"/>
  <c r="V134" i="70"/>
  <c r="U134" i="70"/>
  <c r="T134" i="70"/>
  <c r="S134" i="70"/>
  <c r="R134" i="70"/>
  <c r="Q134" i="70"/>
  <c r="P134" i="70"/>
  <c r="O134" i="70"/>
  <c r="N134" i="70"/>
  <c r="M134" i="70"/>
  <c r="L134" i="70"/>
  <c r="K134" i="70"/>
  <c r="J134" i="70"/>
  <c r="I134" i="70"/>
  <c r="H134" i="70"/>
  <c r="G134" i="70"/>
  <c r="F134" i="70"/>
  <c r="E134" i="70"/>
  <c r="D134" i="70"/>
  <c r="AV133" i="70"/>
  <c r="AU133" i="70"/>
  <c r="AT133" i="70"/>
  <c r="AS133" i="70"/>
  <c r="AR133" i="70"/>
  <c r="AQ133" i="70"/>
  <c r="AP133" i="70"/>
  <c r="AO133" i="70"/>
  <c r="AN133" i="70"/>
  <c r="AM133" i="70"/>
  <c r="AL133" i="70"/>
  <c r="AK133" i="70"/>
  <c r="AJ133" i="70"/>
  <c r="AI133" i="70"/>
  <c r="AH133" i="70"/>
  <c r="AG133" i="70"/>
  <c r="AF133" i="70"/>
  <c r="AE133" i="70"/>
  <c r="AD133" i="70"/>
  <c r="AC133" i="70"/>
  <c r="AB133" i="70"/>
  <c r="AA133" i="70"/>
  <c r="Z133" i="70"/>
  <c r="Y133" i="70"/>
  <c r="X133" i="70"/>
  <c r="W133" i="70"/>
  <c r="V133" i="70"/>
  <c r="U133" i="70"/>
  <c r="T133" i="70"/>
  <c r="S133" i="70"/>
  <c r="R133" i="70"/>
  <c r="Q133" i="70"/>
  <c r="P133" i="70"/>
  <c r="O133" i="70"/>
  <c r="N133" i="70"/>
  <c r="M133" i="70"/>
  <c r="L133" i="70"/>
  <c r="K133" i="70"/>
  <c r="J133" i="70"/>
  <c r="I133" i="70"/>
  <c r="H133" i="70"/>
  <c r="G133" i="70"/>
  <c r="F133" i="70"/>
  <c r="E133" i="70"/>
  <c r="D133" i="70"/>
  <c r="Y131" i="70"/>
  <c r="X131" i="70"/>
  <c r="W131" i="70"/>
  <c r="V131" i="70"/>
  <c r="U131" i="70"/>
  <c r="T131" i="70"/>
  <c r="S131" i="70"/>
  <c r="R131" i="70"/>
  <c r="Q131" i="70"/>
  <c r="P131" i="70"/>
  <c r="O131" i="70"/>
  <c r="N131" i="70"/>
  <c r="M131" i="70"/>
  <c r="L131" i="70"/>
  <c r="K131" i="70"/>
  <c r="J131" i="70"/>
  <c r="I131" i="70"/>
  <c r="H131" i="70"/>
  <c r="G131" i="70"/>
  <c r="F131" i="70"/>
  <c r="E131" i="70"/>
  <c r="D131" i="70"/>
  <c r="Y130" i="70"/>
  <c r="X130" i="70"/>
  <c r="W130" i="70"/>
  <c r="V130" i="70"/>
  <c r="U130" i="70"/>
  <c r="T130" i="70"/>
  <c r="S130" i="70"/>
  <c r="R130" i="70"/>
  <c r="Q130" i="70"/>
  <c r="P130" i="70"/>
  <c r="O130" i="70"/>
  <c r="N130" i="70"/>
  <c r="M130" i="70"/>
  <c r="L130" i="70"/>
  <c r="K130" i="70"/>
  <c r="J130" i="70"/>
  <c r="I130" i="70"/>
  <c r="H130" i="70"/>
  <c r="G130" i="70"/>
  <c r="F130" i="70"/>
  <c r="E130" i="70"/>
  <c r="D130" i="70"/>
  <c r="Z129" i="70"/>
  <c r="Y129" i="70"/>
  <c r="X129" i="70"/>
  <c r="W129" i="70"/>
  <c r="V129" i="70"/>
  <c r="U129" i="70"/>
  <c r="T129" i="70"/>
  <c r="S129" i="70"/>
  <c r="R129" i="70"/>
  <c r="Q129" i="70"/>
  <c r="P129" i="70"/>
  <c r="O129" i="70"/>
  <c r="N129" i="70"/>
  <c r="M129" i="70"/>
  <c r="L129" i="70"/>
  <c r="K129" i="70"/>
  <c r="J129" i="70"/>
  <c r="I129" i="70"/>
  <c r="H129" i="70"/>
  <c r="G129" i="70"/>
  <c r="F129" i="70"/>
  <c r="E129" i="70"/>
  <c r="D129" i="70"/>
  <c r="AV128" i="70"/>
  <c r="AU128" i="70"/>
  <c r="AT128" i="70"/>
  <c r="AS128" i="70"/>
  <c r="AR128" i="70"/>
  <c r="AQ128" i="70"/>
  <c r="AP128" i="70"/>
  <c r="AO128" i="70"/>
  <c r="AN128" i="70"/>
  <c r="AM128" i="70"/>
  <c r="AL128" i="70"/>
  <c r="AK128" i="70"/>
  <c r="AJ128" i="70"/>
  <c r="AI128" i="70"/>
  <c r="AH128" i="70"/>
  <c r="AG128" i="70"/>
  <c r="AF128" i="70"/>
  <c r="AE128" i="70"/>
  <c r="AD128" i="70"/>
  <c r="AC128" i="70"/>
  <c r="AB128" i="70"/>
  <c r="AA128" i="70"/>
  <c r="Z128" i="70"/>
  <c r="Y128" i="70"/>
  <c r="X128" i="70"/>
  <c r="W128" i="70"/>
  <c r="V128" i="70"/>
  <c r="U128" i="70"/>
  <c r="T128" i="70"/>
  <c r="S128" i="70"/>
  <c r="R128" i="70"/>
  <c r="Q128" i="70"/>
  <c r="P128" i="70"/>
  <c r="O128" i="70"/>
  <c r="N128" i="70"/>
  <c r="M128" i="70"/>
  <c r="L128" i="70"/>
  <c r="K128" i="70"/>
  <c r="J128" i="70"/>
  <c r="I128" i="70"/>
  <c r="H128" i="70"/>
  <c r="G128" i="70"/>
  <c r="F128" i="70"/>
  <c r="E128" i="70"/>
  <c r="D128" i="70"/>
  <c r="AV127" i="70"/>
  <c r="AU127" i="70"/>
  <c r="AT127" i="70"/>
  <c r="AS127" i="70"/>
  <c r="AR127" i="70"/>
  <c r="AQ127" i="70"/>
  <c r="AP127" i="70"/>
  <c r="AO127" i="70"/>
  <c r="AN127" i="70"/>
  <c r="AM127" i="70"/>
  <c r="AL127" i="70"/>
  <c r="AK127" i="70"/>
  <c r="AJ127" i="70"/>
  <c r="AI127" i="70"/>
  <c r="AH127" i="70"/>
  <c r="AG127" i="70"/>
  <c r="AF127" i="70"/>
  <c r="AE127" i="70"/>
  <c r="AD127" i="70"/>
  <c r="AC127" i="70"/>
  <c r="AB127" i="70"/>
  <c r="AA127" i="70"/>
  <c r="Z127" i="70"/>
  <c r="Y127" i="70"/>
  <c r="X127" i="70"/>
  <c r="W127" i="70"/>
  <c r="V127" i="70"/>
  <c r="U127" i="70"/>
  <c r="T127" i="70"/>
  <c r="S127" i="70"/>
  <c r="R127" i="70"/>
  <c r="Q127" i="70"/>
  <c r="P127" i="70"/>
  <c r="O127" i="70"/>
  <c r="N127" i="70"/>
  <c r="M127" i="70"/>
  <c r="L127" i="70"/>
  <c r="K127" i="70"/>
  <c r="J127" i="70"/>
  <c r="I127" i="70"/>
  <c r="H127" i="70"/>
  <c r="G127" i="70"/>
  <c r="F127" i="70"/>
  <c r="E127" i="70"/>
  <c r="D127" i="70"/>
  <c r="AV126" i="70"/>
  <c r="AU126" i="70"/>
  <c r="AT126" i="70"/>
  <c r="AS126" i="70"/>
  <c r="AR126" i="70"/>
  <c r="AQ126" i="70"/>
  <c r="AP126" i="70"/>
  <c r="AO126" i="70"/>
  <c r="AN126" i="70"/>
  <c r="AM126" i="70"/>
  <c r="AL126" i="70"/>
  <c r="AK126" i="70"/>
  <c r="AJ126" i="70"/>
  <c r="AI126" i="70"/>
  <c r="AH126" i="70"/>
  <c r="AG126" i="70"/>
  <c r="AF126" i="70"/>
  <c r="AE126" i="70"/>
  <c r="AD126" i="70"/>
  <c r="AC126" i="70"/>
  <c r="AB126" i="70"/>
  <c r="AA126" i="70"/>
  <c r="Z126" i="70"/>
  <c r="Y126" i="70"/>
  <c r="X126" i="70"/>
  <c r="W126" i="70"/>
  <c r="V126" i="70"/>
  <c r="U126" i="70"/>
  <c r="T126" i="70"/>
  <c r="S126" i="70"/>
  <c r="R126" i="70"/>
  <c r="Q126" i="70"/>
  <c r="P126" i="70"/>
  <c r="O126" i="70"/>
  <c r="N126" i="70"/>
  <c r="M126" i="70"/>
  <c r="L126" i="70"/>
  <c r="K126" i="70"/>
  <c r="J126" i="70"/>
  <c r="I126" i="70"/>
  <c r="H126" i="70"/>
  <c r="G126" i="70"/>
  <c r="F126" i="70"/>
  <c r="E126" i="70"/>
  <c r="D126" i="70"/>
  <c r="AV125" i="70"/>
  <c r="AU125" i="70"/>
  <c r="AT125" i="70"/>
  <c r="AS125" i="70"/>
  <c r="AR125" i="70"/>
  <c r="AQ125" i="70"/>
  <c r="AP125" i="70"/>
  <c r="AO125" i="70"/>
  <c r="AN125" i="70"/>
  <c r="AM125" i="70"/>
  <c r="AL125" i="70"/>
  <c r="AK125" i="70"/>
  <c r="AJ125" i="70"/>
  <c r="AI125" i="70"/>
  <c r="AH125" i="70"/>
  <c r="AG125" i="70"/>
  <c r="AF125" i="70"/>
  <c r="AE125" i="70"/>
  <c r="AD125" i="70"/>
  <c r="AC125" i="70"/>
  <c r="AB125" i="70"/>
  <c r="AA125" i="70"/>
  <c r="Z125" i="70"/>
  <c r="Y125" i="70"/>
  <c r="X125" i="70"/>
  <c r="W125" i="70"/>
  <c r="V125" i="70"/>
  <c r="U125" i="70"/>
  <c r="T125" i="70"/>
  <c r="S125" i="70"/>
  <c r="R125" i="70"/>
  <c r="Q125" i="70"/>
  <c r="P125" i="70"/>
  <c r="O125" i="70"/>
  <c r="N125" i="70"/>
  <c r="M125" i="70"/>
  <c r="L125" i="70"/>
  <c r="K125" i="70"/>
  <c r="J125" i="70"/>
  <c r="I125" i="70"/>
  <c r="H125" i="70"/>
  <c r="G125" i="70"/>
  <c r="F125" i="70"/>
  <c r="E125" i="70"/>
  <c r="D125" i="70"/>
  <c r="AV124" i="70"/>
  <c r="AU124" i="70"/>
  <c r="AT124" i="70"/>
  <c r="AS124" i="70"/>
  <c r="AR124" i="70"/>
  <c r="AQ124" i="70"/>
  <c r="AP124" i="70"/>
  <c r="AO124" i="70"/>
  <c r="AN124" i="70"/>
  <c r="AM124" i="70"/>
  <c r="AL124" i="70"/>
  <c r="AK124" i="70"/>
  <c r="AJ124" i="70"/>
  <c r="AI124" i="70"/>
  <c r="AH124" i="70"/>
  <c r="AG124" i="70"/>
  <c r="AF124" i="70"/>
  <c r="AE124" i="70"/>
  <c r="AD124" i="70"/>
  <c r="AC124" i="70"/>
  <c r="AB124" i="70"/>
  <c r="AA124" i="70"/>
  <c r="Z124" i="70"/>
  <c r="Y124" i="70"/>
  <c r="X124" i="70"/>
  <c r="W124" i="70"/>
  <c r="V124" i="70"/>
  <c r="U124" i="70"/>
  <c r="T124" i="70"/>
  <c r="S124" i="70"/>
  <c r="R124" i="70"/>
  <c r="Q124" i="70"/>
  <c r="P124" i="70"/>
  <c r="O124" i="70"/>
  <c r="N124" i="70"/>
  <c r="M124" i="70"/>
  <c r="L124" i="70"/>
  <c r="K124" i="70"/>
  <c r="J124" i="70"/>
  <c r="I124" i="70"/>
  <c r="H124" i="70"/>
  <c r="G124" i="70"/>
  <c r="F124" i="70"/>
  <c r="E124" i="70"/>
  <c r="D124" i="70"/>
  <c r="AV123" i="70"/>
  <c r="AU123" i="70"/>
  <c r="AT123" i="70"/>
  <c r="AS123" i="70"/>
  <c r="AR123" i="70"/>
  <c r="AQ123" i="70"/>
  <c r="AP123" i="70"/>
  <c r="AO123" i="70"/>
  <c r="AN123" i="70"/>
  <c r="AM123" i="70"/>
  <c r="AL123" i="70"/>
  <c r="AK123" i="70"/>
  <c r="AJ123" i="70"/>
  <c r="AI123" i="70"/>
  <c r="AH123" i="70"/>
  <c r="AG123" i="70"/>
  <c r="AF123" i="70"/>
  <c r="AE123" i="70"/>
  <c r="AD123" i="70"/>
  <c r="AC123" i="70"/>
  <c r="AB123" i="70"/>
  <c r="AA123" i="70"/>
  <c r="Z123" i="70"/>
  <c r="Y123" i="70"/>
  <c r="X123" i="70"/>
  <c r="W123" i="70"/>
  <c r="V123" i="70"/>
  <c r="U123" i="70"/>
  <c r="T123" i="70"/>
  <c r="S123" i="70"/>
  <c r="R123" i="70"/>
  <c r="Q123" i="70"/>
  <c r="P123" i="70"/>
  <c r="O123" i="70"/>
  <c r="N123" i="70"/>
  <c r="M123" i="70"/>
  <c r="L123" i="70"/>
  <c r="K123" i="70"/>
  <c r="J123" i="70"/>
  <c r="I123" i="70"/>
  <c r="H123" i="70"/>
  <c r="G123" i="70"/>
  <c r="F123" i="70"/>
  <c r="E123" i="70"/>
  <c r="D123" i="70"/>
  <c r="Y121" i="70"/>
  <c r="X121" i="70"/>
  <c r="W121" i="70"/>
  <c r="V121" i="70"/>
  <c r="U121" i="70"/>
  <c r="T121" i="70"/>
  <c r="S121" i="70"/>
  <c r="R121" i="70"/>
  <c r="Q121" i="70"/>
  <c r="P121" i="70"/>
  <c r="O121" i="70"/>
  <c r="N121" i="70"/>
  <c r="M121" i="70"/>
  <c r="L121" i="70"/>
  <c r="K121" i="70"/>
  <c r="J121" i="70"/>
  <c r="I121" i="70"/>
  <c r="H121" i="70"/>
  <c r="G121" i="70"/>
  <c r="F121" i="70"/>
  <c r="E121" i="70"/>
  <c r="D121" i="70"/>
  <c r="Y120" i="70"/>
  <c r="X120" i="70"/>
  <c r="W120" i="70"/>
  <c r="V120" i="70"/>
  <c r="U120" i="70"/>
  <c r="T120" i="70"/>
  <c r="S120" i="70"/>
  <c r="R120" i="70"/>
  <c r="Q120" i="70"/>
  <c r="P120" i="70"/>
  <c r="O120" i="70"/>
  <c r="N120" i="70"/>
  <c r="M120" i="70"/>
  <c r="L120" i="70"/>
  <c r="K120" i="70"/>
  <c r="J120" i="70"/>
  <c r="I120" i="70"/>
  <c r="H120" i="70"/>
  <c r="G120" i="70"/>
  <c r="F120" i="70"/>
  <c r="E120" i="70"/>
  <c r="D120" i="70"/>
  <c r="AV119" i="70"/>
  <c r="AU119" i="70"/>
  <c r="AT119" i="70"/>
  <c r="AS119" i="70"/>
  <c r="AR119" i="70"/>
  <c r="AQ119" i="70"/>
  <c r="AP119" i="70"/>
  <c r="AO119" i="70"/>
  <c r="AN119" i="70"/>
  <c r="AM119" i="70"/>
  <c r="AL119" i="70"/>
  <c r="AK119" i="70"/>
  <c r="AJ119" i="70"/>
  <c r="AI119" i="70"/>
  <c r="AH119" i="70"/>
  <c r="AG119" i="70"/>
  <c r="AF119" i="70"/>
  <c r="AE119" i="70"/>
  <c r="AD119" i="70"/>
  <c r="AC119" i="70"/>
  <c r="AB119" i="70"/>
  <c r="AA119" i="70"/>
  <c r="Z119" i="70"/>
  <c r="Y119" i="70"/>
  <c r="X119" i="70"/>
  <c r="W119" i="70"/>
  <c r="V119" i="70"/>
  <c r="U119" i="70"/>
  <c r="T119" i="70"/>
  <c r="S119" i="70"/>
  <c r="R119" i="70"/>
  <c r="Q119" i="70"/>
  <c r="P119" i="70"/>
  <c r="O119" i="70"/>
  <c r="N119" i="70"/>
  <c r="M119" i="70"/>
  <c r="L119" i="70"/>
  <c r="K119" i="70"/>
  <c r="J119" i="70"/>
  <c r="I119" i="70"/>
  <c r="H119" i="70"/>
  <c r="G119" i="70"/>
  <c r="F119" i="70"/>
  <c r="E119" i="70"/>
  <c r="D119" i="70"/>
  <c r="Y118" i="70"/>
  <c r="X118" i="70"/>
  <c r="W118" i="70"/>
  <c r="V118" i="70"/>
  <c r="U118" i="70"/>
  <c r="T118" i="70"/>
  <c r="S118" i="70"/>
  <c r="R118" i="70"/>
  <c r="Q118" i="70"/>
  <c r="P118" i="70"/>
  <c r="O118" i="70"/>
  <c r="N118" i="70"/>
  <c r="M118" i="70"/>
  <c r="L118" i="70"/>
  <c r="K118" i="70"/>
  <c r="J118" i="70"/>
  <c r="I118" i="70"/>
  <c r="H118" i="70"/>
  <c r="G118" i="70"/>
  <c r="F118" i="70"/>
  <c r="E118" i="70"/>
  <c r="D118" i="70"/>
  <c r="Z117" i="70"/>
  <c r="Y117" i="70"/>
  <c r="X117" i="70"/>
  <c r="W117" i="70"/>
  <c r="V117" i="70"/>
  <c r="U117" i="70"/>
  <c r="T117" i="70"/>
  <c r="S117" i="70"/>
  <c r="R117" i="70"/>
  <c r="Q117" i="70"/>
  <c r="P117" i="70"/>
  <c r="O117" i="70"/>
  <c r="N117" i="70"/>
  <c r="M117" i="70"/>
  <c r="L117" i="70"/>
  <c r="K117" i="70"/>
  <c r="J117" i="70"/>
  <c r="I117" i="70"/>
  <c r="H117" i="70"/>
  <c r="G117" i="70"/>
  <c r="F117" i="70"/>
  <c r="E117" i="70"/>
  <c r="D117" i="70"/>
  <c r="AV116" i="70"/>
  <c r="AU116" i="70"/>
  <c r="AT116" i="70"/>
  <c r="AS116" i="70"/>
  <c r="AR116" i="70"/>
  <c r="AQ116" i="70"/>
  <c r="AP116" i="70"/>
  <c r="AO116" i="70"/>
  <c r="AN116" i="70"/>
  <c r="AM116" i="70"/>
  <c r="AL116" i="70"/>
  <c r="AK116" i="70"/>
  <c r="AJ116" i="70"/>
  <c r="AI116" i="70"/>
  <c r="AH116" i="70"/>
  <c r="AG116" i="70"/>
  <c r="AF116" i="70"/>
  <c r="AE116" i="70"/>
  <c r="AD116" i="70"/>
  <c r="AC116" i="70"/>
  <c r="AB116" i="70"/>
  <c r="AA116" i="70"/>
  <c r="Z116" i="70"/>
  <c r="Y116" i="70"/>
  <c r="X116" i="70"/>
  <c r="W116" i="70"/>
  <c r="V116" i="70"/>
  <c r="U116" i="70"/>
  <c r="T116" i="70"/>
  <c r="S116" i="70"/>
  <c r="R116" i="70"/>
  <c r="Q116" i="70"/>
  <c r="P116" i="70"/>
  <c r="O116" i="70"/>
  <c r="N116" i="70"/>
  <c r="M116" i="70"/>
  <c r="L116" i="70"/>
  <c r="K116" i="70"/>
  <c r="J116" i="70"/>
  <c r="I116" i="70"/>
  <c r="H116" i="70"/>
  <c r="G116" i="70"/>
  <c r="F116" i="70"/>
  <c r="E116" i="70"/>
  <c r="D116" i="70"/>
  <c r="AV115" i="70"/>
  <c r="AU115" i="70"/>
  <c r="AT115" i="70"/>
  <c r="AS115" i="70"/>
  <c r="AR115" i="70"/>
  <c r="AQ115" i="70"/>
  <c r="AP115" i="70"/>
  <c r="AO115" i="70"/>
  <c r="AN115" i="70"/>
  <c r="AM115" i="70"/>
  <c r="AL115" i="70"/>
  <c r="AK115" i="70"/>
  <c r="AJ115" i="70"/>
  <c r="AI115" i="70"/>
  <c r="AH115" i="70"/>
  <c r="AG115" i="70"/>
  <c r="AF115" i="70"/>
  <c r="AE115" i="70"/>
  <c r="AD115" i="70"/>
  <c r="AC115" i="70"/>
  <c r="AB115" i="70"/>
  <c r="AA115" i="70"/>
  <c r="Z115" i="70"/>
  <c r="Y115" i="70"/>
  <c r="X115" i="70"/>
  <c r="W115" i="70"/>
  <c r="V115" i="70"/>
  <c r="U115" i="70"/>
  <c r="T115" i="70"/>
  <c r="S115" i="70"/>
  <c r="R115" i="70"/>
  <c r="Q115" i="70"/>
  <c r="P115" i="70"/>
  <c r="O115" i="70"/>
  <c r="N115" i="70"/>
  <c r="M115" i="70"/>
  <c r="L115" i="70"/>
  <c r="K115" i="70"/>
  <c r="J115" i="70"/>
  <c r="I115" i="70"/>
  <c r="H115" i="70"/>
  <c r="G115" i="70"/>
  <c r="F115" i="70"/>
  <c r="E115" i="70"/>
  <c r="D115" i="70"/>
  <c r="AV114" i="70"/>
  <c r="AU114" i="70"/>
  <c r="AT114" i="70"/>
  <c r="AS114" i="70"/>
  <c r="AR114" i="70"/>
  <c r="AQ114" i="70"/>
  <c r="AP114" i="70"/>
  <c r="AO114" i="70"/>
  <c r="AN114" i="70"/>
  <c r="AM114" i="70"/>
  <c r="AL114" i="70"/>
  <c r="AK114" i="70"/>
  <c r="AJ114" i="70"/>
  <c r="AI114" i="70"/>
  <c r="AH114" i="70"/>
  <c r="AG114" i="70"/>
  <c r="AF114" i="70"/>
  <c r="AE114" i="70"/>
  <c r="AD114" i="70"/>
  <c r="AC114" i="70"/>
  <c r="AB114" i="70"/>
  <c r="AA114" i="70"/>
  <c r="Z114" i="70"/>
  <c r="Y114" i="70"/>
  <c r="X114" i="70"/>
  <c r="W114" i="70"/>
  <c r="V114" i="70"/>
  <c r="U114" i="70"/>
  <c r="T114" i="70"/>
  <c r="S114" i="70"/>
  <c r="R114" i="70"/>
  <c r="Q114" i="70"/>
  <c r="P114" i="70"/>
  <c r="O114" i="70"/>
  <c r="N114" i="70"/>
  <c r="M114" i="70"/>
  <c r="L114" i="70"/>
  <c r="K114" i="70"/>
  <c r="J114" i="70"/>
  <c r="I114" i="70"/>
  <c r="H114" i="70"/>
  <c r="G114" i="70"/>
  <c r="F114" i="70"/>
  <c r="E114" i="70"/>
  <c r="D114" i="70"/>
  <c r="AV113" i="70"/>
  <c r="AU113" i="70"/>
  <c r="AT113" i="70"/>
  <c r="AS113" i="70"/>
  <c r="AR113" i="70"/>
  <c r="AQ113" i="70"/>
  <c r="AP113" i="70"/>
  <c r="AO113" i="70"/>
  <c r="AN113" i="70"/>
  <c r="AM113" i="70"/>
  <c r="AL113" i="70"/>
  <c r="AK113" i="70"/>
  <c r="AJ113" i="70"/>
  <c r="AI113" i="70"/>
  <c r="AH113" i="70"/>
  <c r="AG113" i="70"/>
  <c r="AF113" i="70"/>
  <c r="AE113" i="70"/>
  <c r="AD113" i="70"/>
  <c r="AC113" i="70"/>
  <c r="AB113" i="70"/>
  <c r="AA113" i="70"/>
  <c r="Z113" i="70"/>
  <c r="Y113" i="70"/>
  <c r="X113" i="70"/>
  <c r="W113" i="70"/>
  <c r="V113" i="70"/>
  <c r="U113" i="70"/>
  <c r="T113" i="70"/>
  <c r="S113" i="70"/>
  <c r="R113" i="70"/>
  <c r="Q113" i="70"/>
  <c r="P113" i="70"/>
  <c r="O113" i="70"/>
  <c r="N113" i="70"/>
  <c r="M113" i="70"/>
  <c r="L113" i="70"/>
  <c r="K113" i="70"/>
  <c r="J113" i="70"/>
  <c r="I113" i="70"/>
  <c r="H113" i="70"/>
  <c r="G113" i="70"/>
  <c r="F113" i="70"/>
  <c r="E113" i="70"/>
  <c r="D113" i="70"/>
  <c r="AV112" i="70"/>
  <c r="AU112" i="70"/>
  <c r="AT112" i="70"/>
  <c r="AS112" i="70"/>
  <c r="AR112" i="70"/>
  <c r="AQ112" i="70"/>
  <c r="AP112" i="70"/>
  <c r="AO112" i="70"/>
  <c r="AN112" i="70"/>
  <c r="AM112" i="70"/>
  <c r="AL112" i="70"/>
  <c r="AK112" i="70"/>
  <c r="AJ112" i="70"/>
  <c r="AI112" i="70"/>
  <c r="AH112" i="70"/>
  <c r="AG112" i="70"/>
  <c r="AF112" i="70"/>
  <c r="AE112" i="70"/>
  <c r="AD112" i="70"/>
  <c r="AC112" i="70"/>
  <c r="AB112" i="70"/>
  <c r="AA112" i="70"/>
  <c r="Z112" i="70"/>
  <c r="Y112" i="70"/>
  <c r="X112" i="70"/>
  <c r="W112" i="70"/>
  <c r="V112" i="70"/>
  <c r="U112" i="70"/>
  <c r="T112" i="70"/>
  <c r="S112" i="70"/>
  <c r="R112" i="70"/>
  <c r="Q112" i="70"/>
  <c r="P112" i="70"/>
  <c r="O112" i="70"/>
  <c r="N112" i="70"/>
  <c r="M112" i="70"/>
  <c r="L112" i="70"/>
  <c r="K112" i="70"/>
  <c r="J112" i="70"/>
  <c r="I112" i="70"/>
  <c r="H112" i="70"/>
  <c r="G112" i="70"/>
  <c r="F112" i="70"/>
  <c r="E112" i="70"/>
  <c r="D112" i="70"/>
  <c r="AV111" i="70"/>
  <c r="AU111" i="70"/>
  <c r="AT111" i="70"/>
  <c r="AS111" i="70"/>
  <c r="AR111" i="70"/>
  <c r="AQ111" i="70"/>
  <c r="AP111" i="70"/>
  <c r="AO111" i="70"/>
  <c r="AN111" i="70"/>
  <c r="AM111" i="70"/>
  <c r="AL111" i="70"/>
  <c r="AK111" i="70"/>
  <c r="AJ111" i="70"/>
  <c r="AI111" i="70"/>
  <c r="AH111" i="70"/>
  <c r="AG111" i="70"/>
  <c r="AF111" i="70"/>
  <c r="AE111" i="70"/>
  <c r="AD111" i="70"/>
  <c r="AC111" i="70"/>
  <c r="AB111" i="70"/>
  <c r="AA111" i="70"/>
  <c r="Z111" i="70"/>
  <c r="Y111" i="70"/>
  <c r="X111" i="70"/>
  <c r="W111" i="70"/>
  <c r="V111" i="70"/>
  <c r="U111" i="70"/>
  <c r="T111" i="70"/>
  <c r="S111" i="70"/>
  <c r="R111" i="70"/>
  <c r="Q111" i="70"/>
  <c r="P111" i="70"/>
  <c r="O111" i="70"/>
  <c r="N111" i="70"/>
  <c r="M111" i="70"/>
  <c r="L111" i="70"/>
  <c r="K111" i="70"/>
  <c r="J111" i="70"/>
  <c r="I111" i="70"/>
  <c r="H111" i="70"/>
  <c r="G111" i="70"/>
  <c r="F111" i="70"/>
  <c r="E111" i="70"/>
  <c r="D111" i="70"/>
  <c r="AV110" i="70"/>
  <c r="AU110" i="70"/>
  <c r="AT110" i="70"/>
  <c r="AS110" i="70"/>
  <c r="AR110" i="70"/>
  <c r="AQ110" i="70"/>
  <c r="AP110" i="70"/>
  <c r="AO110" i="70"/>
  <c r="AN110" i="70"/>
  <c r="AM110" i="70"/>
  <c r="AL110" i="70"/>
  <c r="AK110" i="70"/>
  <c r="AJ110" i="70"/>
  <c r="AI110" i="70"/>
  <c r="AH110" i="70"/>
  <c r="AG110" i="70"/>
  <c r="AF110" i="70"/>
  <c r="AE110" i="70"/>
  <c r="AD110" i="70"/>
  <c r="AC110" i="70"/>
  <c r="AB110" i="70"/>
  <c r="AA110" i="70"/>
  <c r="Z110" i="70"/>
  <c r="Y110" i="70"/>
  <c r="X110" i="70"/>
  <c r="W110" i="70"/>
  <c r="V110" i="70"/>
  <c r="U110" i="70"/>
  <c r="T110" i="70"/>
  <c r="S110" i="70"/>
  <c r="R110" i="70"/>
  <c r="Q110" i="70"/>
  <c r="P110" i="70"/>
  <c r="O110" i="70"/>
  <c r="N110" i="70"/>
  <c r="M110" i="70"/>
  <c r="L110" i="70"/>
  <c r="K110" i="70"/>
  <c r="J110" i="70"/>
  <c r="I110" i="70"/>
  <c r="H110" i="70"/>
  <c r="G110" i="70"/>
  <c r="F110" i="70"/>
  <c r="E110" i="70"/>
  <c r="D110" i="70"/>
  <c r="AV109" i="70"/>
  <c r="AU109" i="70"/>
  <c r="AT109" i="70"/>
  <c r="AS109" i="70"/>
  <c r="AR109" i="70"/>
  <c r="AQ109" i="70"/>
  <c r="AP109" i="70"/>
  <c r="AO109" i="70"/>
  <c r="AN109" i="70"/>
  <c r="AM109" i="70"/>
  <c r="AL109" i="70"/>
  <c r="AK109" i="70"/>
  <c r="AJ109" i="70"/>
  <c r="AI109" i="70"/>
  <c r="AH109" i="70"/>
  <c r="AG109" i="70"/>
  <c r="AF109" i="70"/>
  <c r="AE109" i="70"/>
  <c r="AD109" i="70"/>
  <c r="AC109" i="70"/>
  <c r="AB109" i="70"/>
  <c r="AA109" i="70"/>
  <c r="Z109" i="70"/>
  <c r="Y109" i="70"/>
  <c r="X109" i="70"/>
  <c r="W109" i="70"/>
  <c r="V109" i="70"/>
  <c r="U109" i="70"/>
  <c r="T109" i="70"/>
  <c r="S109" i="70"/>
  <c r="R109" i="70"/>
  <c r="Q109" i="70"/>
  <c r="P109" i="70"/>
  <c r="O109" i="70"/>
  <c r="N109" i="70"/>
  <c r="M109" i="70"/>
  <c r="L109" i="70"/>
  <c r="K109" i="70"/>
  <c r="J109" i="70"/>
  <c r="I109" i="70"/>
  <c r="H109" i="70"/>
  <c r="G109" i="70"/>
  <c r="F109" i="70"/>
  <c r="E109" i="70"/>
  <c r="D109" i="70"/>
  <c r="AV108" i="70"/>
  <c r="AU108" i="70"/>
  <c r="AT108" i="70"/>
  <c r="AS108" i="70"/>
  <c r="AR108" i="70"/>
  <c r="AQ108" i="70"/>
  <c r="AP108" i="70"/>
  <c r="AO108" i="70"/>
  <c r="AN108" i="70"/>
  <c r="AM108" i="70"/>
  <c r="AL108" i="70"/>
  <c r="AK108" i="70"/>
  <c r="AJ108" i="70"/>
  <c r="AI108" i="70"/>
  <c r="AH108" i="70"/>
  <c r="AG108" i="70"/>
  <c r="AF108" i="70"/>
  <c r="AE108" i="70"/>
  <c r="AD108" i="70"/>
  <c r="AC108" i="70"/>
  <c r="AB108" i="70"/>
  <c r="AA108" i="70"/>
  <c r="Z108" i="70"/>
  <c r="Y108" i="70"/>
  <c r="X108" i="70"/>
  <c r="W108" i="70"/>
  <c r="V108" i="70"/>
  <c r="U108" i="70"/>
  <c r="T108" i="70"/>
  <c r="S108" i="70"/>
  <c r="R108" i="70"/>
  <c r="Q108" i="70"/>
  <c r="P108" i="70"/>
  <c r="O108" i="70"/>
  <c r="N108" i="70"/>
  <c r="M108" i="70"/>
  <c r="L108" i="70"/>
  <c r="K108" i="70"/>
  <c r="J108" i="70"/>
  <c r="I108" i="70"/>
  <c r="H108" i="70"/>
  <c r="G108" i="70"/>
  <c r="F108" i="70"/>
  <c r="E108" i="70"/>
  <c r="D108" i="70"/>
  <c r="Y106" i="70"/>
  <c r="X106" i="70"/>
  <c r="W106" i="70"/>
  <c r="V106" i="70"/>
  <c r="U106" i="70"/>
  <c r="T106" i="70"/>
  <c r="S106" i="70"/>
  <c r="R106" i="70"/>
  <c r="Q106" i="70"/>
  <c r="P106" i="70"/>
  <c r="O106" i="70"/>
  <c r="N106" i="70"/>
  <c r="M106" i="70"/>
  <c r="L106" i="70"/>
  <c r="K106" i="70"/>
  <c r="J106" i="70"/>
  <c r="I106" i="70"/>
  <c r="H106" i="70"/>
  <c r="G106" i="70"/>
  <c r="F106" i="70"/>
  <c r="E106" i="70"/>
  <c r="D106" i="70"/>
  <c r="Y105" i="70"/>
  <c r="X105" i="70"/>
  <c r="W105" i="70"/>
  <c r="V105" i="70"/>
  <c r="U105" i="70"/>
  <c r="T105" i="70"/>
  <c r="S105" i="70"/>
  <c r="R105" i="70"/>
  <c r="Q105" i="70"/>
  <c r="P105" i="70"/>
  <c r="O105" i="70"/>
  <c r="N105" i="70"/>
  <c r="M105" i="70"/>
  <c r="L105" i="70"/>
  <c r="K105" i="70"/>
  <c r="J105" i="70"/>
  <c r="I105" i="70"/>
  <c r="H105" i="70"/>
  <c r="G105" i="70"/>
  <c r="F105" i="70"/>
  <c r="E105" i="70"/>
  <c r="D105" i="70"/>
  <c r="AV104" i="70"/>
  <c r="AU104" i="70"/>
  <c r="AT104" i="70"/>
  <c r="AS104" i="70"/>
  <c r="AR104" i="70"/>
  <c r="AQ104" i="70"/>
  <c r="AP104" i="70"/>
  <c r="AO104" i="70"/>
  <c r="AN104" i="70"/>
  <c r="AM104" i="70"/>
  <c r="AL104" i="70"/>
  <c r="AK104" i="70"/>
  <c r="AJ104" i="70"/>
  <c r="AI104" i="70"/>
  <c r="AH104" i="70"/>
  <c r="AG104" i="70"/>
  <c r="AF104" i="70"/>
  <c r="AE104" i="70"/>
  <c r="AD104" i="70"/>
  <c r="AC104" i="70"/>
  <c r="AB104" i="70"/>
  <c r="AA104" i="70"/>
  <c r="Z104" i="70"/>
  <c r="Y104" i="70"/>
  <c r="X104" i="70"/>
  <c r="W104" i="70"/>
  <c r="V104" i="70"/>
  <c r="U104" i="70"/>
  <c r="T104" i="70"/>
  <c r="S104" i="70"/>
  <c r="R104" i="70"/>
  <c r="Q104" i="70"/>
  <c r="P104" i="70"/>
  <c r="O104" i="70"/>
  <c r="N104" i="70"/>
  <c r="M104" i="70"/>
  <c r="L104" i="70"/>
  <c r="K104" i="70"/>
  <c r="J104" i="70"/>
  <c r="I104" i="70"/>
  <c r="H104" i="70"/>
  <c r="G104" i="70"/>
  <c r="F104" i="70"/>
  <c r="E104" i="70"/>
  <c r="D104" i="70"/>
  <c r="Y103" i="70"/>
  <c r="X103" i="70"/>
  <c r="W103" i="70"/>
  <c r="V103" i="70"/>
  <c r="U103" i="70"/>
  <c r="T103" i="70"/>
  <c r="S103" i="70"/>
  <c r="R103" i="70"/>
  <c r="Q103" i="70"/>
  <c r="P103" i="70"/>
  <c r="O103" i="70"/>
  <c r="N103" i="70"/>
  <c r="M103" i="70"/>
  <c r="L103" i="70"/>
  <c r="K103" i="70"/>
  <c r="J103" i="70"/>
  <c r="I103" i="70"/>
  <c r="H103" i="70"/>
  <c r="G103" i="70"/>
  <c r="F103" i="70"/>
  <c r="E103" i="70"/>
  <c r="D103" i="70"/>
  <c r="Z102" i="70"/>
  <c r="Y102" i="70"/>
  <c r="X102" i="70"/>
  <c r="W102" i="70"/>
  <c r="V102" i="70"/>
  <c r="U102" i="70"/>
  <c r="T102" i="70"/>
  <c r="S102" i="70"/>
  <c r="R102" i="70"/>
  <c r="Q102" i="70"/>
  <c r="P102" i="70"/>
  <c r="O102" i="70"/>
  <c r="N102" i="70"/>
  <c r="M102" i="70"/>
  <c r="L102" i="70"/>
  <c r="K102" i="70"/>
  <c r="J102" i="70"/>
  <c r="I102" i="70"/>
  <c r="H102" i="70"/>
  <c r="G102" i="70"/>
  <c r="F102" i="70"/>
  <c r="E102" i="70"/>
  <c r="D102" i="70"/>
  <c r="AV101" i="70"/>
  <c r="AU101" i="70"/>
  <c r="AT101" i="70"/>
  <c r="AS101" i="70"/>
  <c r="AR101" i="70"/>
  <c r="AQ101" i="70"/>
  <c r="AP101" i="70"/>
  <c r="AO101" i="70"/>
  <c r="AN101" i="70"/>
  <c r="AM101" i="70"/>
  <c r="AL101" i="70"/>
  <c r="AK101" i="70"/>
  <c r="AJ101" i="70"/>
  <c r="AI101" i="70"/>
  <c r="AH101" i="70"/>
  <c r="AG101" i="70"/>
  <c r="AF101" i="70"/>
  <c r="AE101" i="70"/>
  <c r="AD101" i="70"/>
  <c r="AC101" i="70"/>
  <c r="AB101" i="70"/>
  <c r="AA101" i="70"/>
  <c r="Z101" i="70"/>
  <c r="Y101" i="70"/>
  <c r="X101" i="70"/>
  <c r="W101" i="70"/>
  <c r="V101" i="70"/>
  <c r="U101" i="70"/>
  <c r="T101" i="70"/>
  <c r="S101" i="70"/>
  <c r="R101" i="70"/>
  <c r="Q101" i="70"/>
  <c r="P101" i="70"/>
  <c r="O101" i="70"/>
  <c r="N101" i="70"/>
  <c r="M101" i="70"/>
  <c r="L101" i="70"/>
  <c r="K101" i="70"/>
  <c r="J101" i="70"/>
  <c r="I101" i="70"/>
  <c r="H101" i="70"/>
  <c r="G101" i="70"/>
  <c r="F101" i="70"/>
  <c r="E101" i="70"/>
  <c r="D101" i="70"/>
  <c r="AV100" i="70"/>
  <c r="AU100" i="70"/>
  <c r="AT100" i="70"/>
  <c r="AS100" i="70"/>
  <c r="AR100" i="70"/>
  <c r="AQ100" i="70"/>
  <c r="AP100" i="70"/>
  <c r="AO100" i="70"/>
  <c r="AN100" i="70"/>
  <c r="AM100" i="70"/>
  <c r="AL100" i="70"/>
  <c r="AK100" i="70"/>
  <c r="AJ100" i="70"/>
  <c r="AI100" i="70"/>
  <c r="AH100" i="70"/>
  <c r="AG100" i="70"/>
  <c r="AF100" i="70"/>
  <c r="AE100" i="70"/>
  <c r="AD100" i="70"/>
  <c r="AC100" i="70"/>
  <c r="AB100" i="70"/>
  <c r="AA100" i="70"/>
  <c r="Z100" i="70"/>
  <c r="Y100" i="70"/>
  <c r="X100" i="70"/>
  <c r="W100" i="70"/>
  <c r="V100" i="70"/>
  <c r="U100" i="70"/>
  <c r="T100" i="70"/>
  <c r="S100" i="70"/>
  <c r="R100" i="70"/>
  <c r="Q100" i="70"/>
  <c r="P100" i="70"/>
  <c r="O100" i="70"/>
  <c r="N100" i="70"/>
  <c r="M100" i="70"/>
  <c r="L100" i="70"/>
  <c r="K100" i="70"/>
  <c r="J100" i="70"/>
  <c r="I100" i="70"/>
  <c r="H100" i="70"/>
  <c r="G100" i="70"/>
  <c r="F100" i="70"/>
  <c r="E100" i="70"/>
  <c r="D100" i="70"/>
  <c r="AV99" i="70"/>
  <c r="AU99" i="70"/>
  <c r="AT99" i="70"/>
  <c r="AS99" i="70"/>
  <c r="AR99" i="70"/>
  <c r="AQ99" i="70"/>
  <c r="AP99" i="70"/>
  <c r="AO99" i="70"/>
  <c r="AN99" i="70"/>
  <c r="AM99" i="70"/>
  <c r="AL99" i="70"/>
  <c r="AK99" i="70"/>
  <c r="AJ99" i="70"/>
  <c r="AI99" i="70"/>
  <c r="AH99" i="70"/>
  <c r="AG99" i="70"/>
  <c r="AF99" i="70"/>
  <c r="AE99" i="70"/>
  <c r="AD99" i="70"/>
  <c r="AC99" i="70"/>
  <c r="AB99" i="70"/>
  <c r="AA99" i="70"/>
  <c r="Z99" i="70"/>
  <c r="Y99" i="70"/>
  <c r="X99" i="70"/>
  <c r="W99" i="70"/>
  <c r="V99" i="70"/>
  <c r="U99" i="70"/>
  <c r="T99" i="70"/>
  <c r="S99" i="70"/>
  <c r="R99" i="70"/>
  <c r="Q99" i="70"/>
  <c r="P99" i="70"/>
  <c r="O99" i="70"/>
  <c r="N99" i="70"/>
  <c r="M99" i="70"/>
  <c r="L99" i="70"/>
  <c r="K99" i="70"/>
  <c r="J99" i="70"/>
  <c r="I99" i="70"/>
  <c r="H99" i="70"/>
  <c r="G99" i="70"/>
  <c r="F99" i="70"/>
  <c r="E99" i="70"/>
  <c r="D99" i="70"/>
  <c r="AV98" i="70"/>
  <c r="AU98" i="70"/>
  <c r="AT98" i="70"/>
  <c r="AS98" i="70"/>
  <c r="AR98" i="70"/>
  <c r="AQ98" i="70"/>
  <c r="AP98" i="70"/>
  <c r="AO98" i="70"/>
  <c r="AN98" i="70"/>
  <c r="AM98" i="70"/>
  <c r="AL98" i="70"/>
  <c r="AK98" i="70"/>
  <c r="AJ98" i="70"/>
  <c r="AI98" i="70"/>
  <c r="AH98" i="70"/>
  <c r="AG98" i="70"/>
  <c r="AF98" i="70"/>
  <c r="AE98" i="70"/>
  <c r="AD98" i="70"/>
  <c r="AC98" i="70"/>
  <c r="AB98" i="70"/>
  <c r="AA98" i="70"/>
  <c r="Z98" i="70"/>
  <c r="Y98" i="70"/>
  <c r="X98" i="70"/>
  <c r="W98" i="70"/>
  <c r="V98" i="70"/>
  <c r="U98" i="70"/>
  <c r="T98" i="70"/>
  <c r="S98" i="70"/>
  <c r="R98" i="70"/>
  <c r="Q98" i="70"/>
  <c r="P98" i="70"/>
  <c r="O98" i="70"/>
  <c r="N98" i="70"/>
  <c r="M98" i="70"/>
  <c r="L98" i="70"/>
  <c r="K98" i="70"/>
  <c r="J98" i="70"/>
  <c r="I98" i="70"/>
  <c r="H98" i="70"/>
  <c r="G98" i="70"/>
  <c r="F98" i="70"/>
  <c r="E98" i="70"/>
  <c r="D98" i="70"/>
  <c r="AV97" i="70"/>
  <c r="AU97" i="70"/>
  <c r="AT97" i="70"/>
  <c r="AS97" i="70"/>
  <c r="AR97" i="70"/>
  <c r="AQ97" i="70"/>
  <c r="AP97" i="70"/>
  <c r="AO97" i="70"/>
  <c r="AN97" i="70"/>
  <c r="AM97" i="70"/>
  <c r="AL97" i="70"/>
  <c r="AK97" i="70"/>
  <c r="AJ97" i="70"/>
  <c r="AI97" i="70"/>
  <c r="AH97" i="70"/>
  <c r="AG97" i="70"/>
  <c r="AF97" i="70"/>
  <c r="AE97" i="70"/>
  <c r="AD97" i="70"/>
  <c r="AC97" i="70"/>
  <c r="AB97" i="70"/>
  <c r="AA97" i="70"/>
  <c r="Z97" i="70"/>
  <c r="Y97" i="70"/>
  <c r="X97" i="70"/>
  <c r="W97" i="70"/>
  <c r="V97" i="70"/>
  <c r="U97" i="70"/>
  <c r="T97" i="70"/>
  <c r="S97" i="70"/>
  <c r="R97" i="70"/>
  <c r="Q97" i="70"/>
  <c r="P97" i="70"/>
  <c r="O97" i="70"/>
  <c r="N97" i="70"/>
  <c r="M97" i="70"/>
  <c r="L97" i="70"/>
  <c r="K97" i="70"/>
  <c r="J97" i="70"/>
  <c r="I97" i="70"/>
  <c r="H97" i="70"/>
  <c r="G97" i="70"/>
  <c r="F97" i="70"/>
  <c r="E97" i="70"/>
  <c r="D97" i="70"/>
  <c r="AV96" i="70"/>
  <c r="AU96" i="70"/>
  <c r="AT96" i="70"/>
  <c r="AS96" i="70"/>
  <c r="AR96" i="70"/>
  <c r="AQ96" i="70"/>
  <c r="AP96" i="70"/>
  <c r="AO96" i="70"/>
  <c r="AN96" i="70"/>
  <c r="AM96" i="70"/>
  <c r="AL96" i="70"/>
  <c r="AK96" i="70"/>
  <c r="AJ96" i="70"/>
  <c r="AI96" i="70"/>
  <c r="AH96" i="70"/>
  <c r="AG96" i="70"/>
  <c r="AF96" i="70"/>
  <c r="AE96" i="70"/>
  <c r="AD96" i="70"/>
  <c r="AC96" i="70"/>
  <c r="AB96" i="70"/>
  <c r="AA96" i="70"/>
  <c r="Z96" i="70"/>
  <c r="Y96" i="70"/>
  <c r="X96" i="70"/>
  <c r="W96" i="70"/>
  <c r="V96" i="70"/>
  <c r="U96" i="70"/>
  <c r="T96" i="70"/>
  <c r="S96" i="70"/>
  <c r="R96" i="70"/>
  <c r="Q96" i="70"/>
  <c r="P96" i="70"/>
  <c r="O96" i="70"/>
  <c r="N96" i="70"/>
  <c r="M96" i="70"/>
  <c r="L96" i="70"/>
  <c r="K96" i="70"/>
  <c r="J96" i="70"/>
  <c r="I96" i="70"/>
  <c r="H96" i="70"/>
  <c r="G96" i="70"/>
  <c r="F96" i="70"/>
  <c r="E96" i="70"/>
  <c r="D96" i="70"/>
  <c r="AV95" i="70"/>
  <c r="AU95" i="70"/>
  <c r="AT95" i="70"/>
  <c r="AS95" i="70"/>
  <c r="AR95" i="70"/>
  <c r="AQ95" i="70"/>
  <c r="AP95" i="70"/>
  <c r="AO95" i="70"/>
  <c r="AN95" i="70"/>
  <c r="AM95" i="70"/>
  <c r="AL95" i="70"/>
  <c r="AK95" i="70"/>
  <c r="AJ95" i="70"/>
  <c r="AI95" i="70"/>
  <c r="AH95" i="70"/>
  <c r="AG95" i="70"/>
  <c r="AF95" i="70"/>
  <c r="AE95" i="70"/>
  <c r="AD95" i="70"/>
  <c r="AC95" i="70"/>
  <c r="AB95" i="70"/>
  <c r="AA95" i="70"/>
  <c r="Z95" i="70"/>
  <c r="Y95" i="70"/>
  <c r="X95" i="70"/>
  <c r="W95" i="70"/>
  <c r="V95" i="70"/>
  <c r="U95" i="70"/>
  <c r="T95" i="70"/>
  <c r="S95" i="70"/>
  <c r="R95" i="70"/>
  <c r="Q95" i="70"/>
  <c r="P95" i="70"/>
  <c r="O95" i="70"/>
  <c r="N95" i="70"/>
  <c r="M95" i="70"/>
  <c r="L95" i="70"/>
  <c r="K95" i="70"/>
  <c r="J95" i="70"/>
  <c r="I95" i="70"/>
  <c r="H95" i="70"/>
  <c r="G95" i="70"/>
  <c r="F95" i="70"/>
  <c r="E95" i="70"/>
  <c r="D95" i="70"/>
  <c r="AV94" i="70"/>
  <c r="AU94" i="70"/>
  <c r="AT94" i="70"/>
  <c r="AS94" i="70"/>
  <c r="AR94" i="70"/>
  <c r="AQ94" i="70"/>
  <c r="AP94" i="70"/>
  <c r="AO94" i="70"/>
  <c r="AN94" i="70"/>
  <c r="AM94" i="70"/>
  <c r="AL94" i="70"/>
  <c r="AK94" i="70"/>
  <c r="AJ94" i="70"/>
  <c r="AI94" i="70"/>
  <c r="AH94" i="70"/>
  <c r="AG94" i="70"/>
  <c r="AF94" i="70"/>
  <c r="AE94" i="70"/>
  <c r="AD94" i="70"/>
  <c r="AC94" i="70"/>
  <c r="AB94" i="70"/>
  <c r="AA94" i="70"/>
  <c r="Z94" i="70"/>
  <c r="Y94" i="70"/>
  <c r="X94" i="70"/>
  <c r="W94" i="70"/>
  <c r="V94" i="70"/>
  <c r="U94" i="70"/>
  <c r="T94" i="70"/>
  <c r="S94" i="70"/>
  <c r="R94" i="70"/>
  <c r="Q94" i="70"/>
  <c r="P94" i="70"/>
  <c r="O94" i="70"/>
  <c r="N94" i="70"/>
  <c r="M94" i="70"/>
  <c r="L94" i="70"/>
  <c r="K94" i="70"/>
  <c r="J94" i="70"/>
  <c r="I94" i="70"/>
  <c r="H94" i="70"/>
  <c r="G94" i="70"/>
  <c r="F94" i="70"/>
  <c r="E94" i="70"/>
  <c r="D94" i="70"/>
  <c r="AV93" i="70"/>
  <c r="AU93" i="70"/>
  <c r="AT93" i="70"/>
  <c r="AS93" i="70"/>
  <c r="AR93" i="70"/>
  <c r="AQ93" i="70"/>
  <c r="AP93" i="70"/>
  <c r="AO93" i="70"/>
  <c r="AN93" i="70"/>
  <c r="AM93" i="70"/>
  <c r="AL93" i="70"/>
  <c r="AK93" i="70"/>
  <c r="AJ93" i="70"/>
  <c r="AI93" i="70"/>
  <c r="AH93" i="70"/>
  <c r="AG93" i="70"/>
  <c r="AF93" i="70"/>
  <c r="AE93" i="70"/>
  <c r="AD93" i="70"/>
  <c r="AC93" i="70"/>
  <c r="AB93" i="70"/>
  <c r="AA93" i="70"/>
  <c r="Z93" i="70"/>
  <c r="Y93" i="70"/>
  <c r="X93" i="70"/>
  <c r="W93" i="70"/>
  <c r="V93" i="70"/>
  <c r="U93" i="70"/>
  <c r="T93" i="70"/>
  <c r="S93" i="70"/>
  <c r="R93" i="70"/>
  <c r="Q93" i="70"/>
  <c r="P93" i="70"/>
  <c r="O93" i="70"/>
  <c r="N93" i="70"/>
  <c r="M93" i="70"/>
  <c r="L93" i="70"/>
  <c r="K93" i="70"/>
  <c r="J93" i="70"/>
  <c r="I93" i="70"/>
  <c r="H93" i="70"/>
  <c r="G93" i="70"/>
  <c r="F93" i="70"/>
  <c r="E93" i="70"/>
  <c r="D93" i="70"/>
  <c r="AV92" i="70"/>
  <c r="AU92" i="70"/>
  <c r="AT92" i="70"/>
  <c r="AS92" i="70"/>
  <c r="AR92" i="70"/>
  <c r="AQ92" i="70"/>
  <c r="AP92" i="70"/>
  <c r="AO92" i="70"/>
  <c r="AN92" i="70"/>
  <c r="AM92" i="70"/>
  <c r="AL92" i="70"/>
  <c r="AK92" i="70"/>
  <c r="AJ92" i="70"/>
  <c r="AI92" i="70"/>
  <c r="AH92" i="70"/>
  <c r="AG92" i="70"/>
  <c r="AF92" i="70"/>
  <c r="AE92" i="70"/>
  <c r="AD92" i="70"/>
  <c r="AC92" i="70"/>
  <c r="AB92" i="70"/>
  <c r="AA92" i="70"/>
  <c r="Z92" i="70"/>
  <c r="Y92" i="70"/>
  <c r="X92" i="70"/>
  <c r="W92" i="70"/>
  <c r="V92" i="70"/>
  <c r="U92" i="70"/>
  <c r="T92" i="70"/>
  <c r="S92" i="70"/>
  <c r="R92" i="70"/>
  <c r="Q92" i="70"/>
  <c r="P92" i="70"/>
  <c r="O92" i="70"/>
  <c r="N92" i="70"/>
  <c r="M92" i="70"/>
  <c r="L92" i="70"/>
  <c r="K92" i="70"/>
  <c r="J92" i="70"/>
  <c r="I92" i="70"/>
  <c r="H92" i="70"/>
  <c r="G92" i="70"/>
  <c r="F92" i="70"/>
  <c r="E92" i="70"/>
  <c r="D92" i="70"/>
  <c r="AV91" i="70"/>
  <c r="AU91" i="70"/>
  <c r="AT91" i="70"/>
  <c r="AS91" i="70"/>
  <c r="AR91" i="70"/>
  <c r="AQ91" i="70"/>
  <c r="AP91" i="70"/>
  <c r="AO91" i="70"/>
  <c r="AN91" i="70"/>
  <c r="AM91" i="70"/>
  <c r="AL91" i="70"/>
  <c r="AK91" i="70"/>
  <c r="AJ91" i="70"/>
  <c r="AI91" i="70"/>
  <c r="AH91" i="70"/>
  <c r="AG91" i="70"/>
  <c r="AF91" i="70"/>
  <c r="AE91" i="70"/>
  <c r="AD91" i="70"/>
  <c r="AC91" i="70"/>
  <c r="AB91" i="70"/>
  <c r="AA91" i="70"/>
  <c r="Z91" i="70"/>
  <c r="Y91" i="70"/>
  <c r="X91" i="70"/>
  <c r="W91" i="70"/>
  <c r="V91" i="70"/>
  <c r="U91" i="70"/>
  <c r="T91" i="70"/>
  <c r="S91" i="70"/>
  <c r="R91" i="70"/>
  <c r="Q91" i="70"/>
  <c r="P91" i="70"/>
  <c r="O91" i="70"/>
  <c r="N91" i="70"/>
  <c r="M91" i="70"/>
  <c r="L91" i="70"/>
  <c r="K91" i="70"/>
  <c r="J91" i="70"/>
  <c r="I91" i="70"/>
  <c r="H91" i="70"/>
  <c r="G91" i="70"/>
  <c r="F91" i="70"/>
  <c r="E91" i="70"/>
  <c r="D91" i="70"/>
  <c r="AV90" i="70"/>
  <c r="AU90" i="70"/>
  <c r="AT90" i="70"/>
  <c r="AS90" i="70"/>
  <c r="AR90" i="70"/>
  <c r="AQ90" i="70"/>
  <c r="AP90" i="70"/>
  <c r="AO90" i="70"/>
  <c r="AN90" i="70"/>
  <c r="AM90" i="70"/>
  <c r="AL90" i="70"/>
  <c r="AK90" i="70"/>
  <c r="AJ90" i="70"/>
  <c r="AI90" i="70"/>
  <c r="AH90" i="70"/>
  <c r="AG90" i="70"/>
  <c r="AF90" i="70"/>
  <c r="AE90" i="70"/>
  <c r="AD90" i="70"/>
  <c r="AC90" i="70"/>
  <c r="AB90" i="70"/>
  <c r="AA90" i="70"/>
  <c r="Z90" i="70"/>
  <c r="Y90" i="70"/>
  <c r="X90" i="70"/>
  <c r="W90" i="70"/>
  <c r="V90" i="70"/>
  <c r="U90" i="70"/>
  <c r="T90" i="70"/>
  <c r="S90" i="70"/>
  <c r="R90" i="70"/>
  <c r="Q90" i="70"/>
  <c r="P90" i="70"/>
  <c r="O90" i="70"/>
  <c r="N90" i="70"/>
  <c r="M90" i="70"/>
  <c r="L90" i="70"/>
  <c r="K90" i="70"/>
  <c r="J90" i="70"/>
  <c r="I90" i="70"/>
  <c r="H90" i="70"/>
  <c r="G90" i="70"/>
  <c r="F90" i="70"/>
  <c r="E90" i="70"/>
  <c r="D90" i="70"/>
  <c r="AV89" i="70"/>
  <c r="AU89" i="70"/>
  <c r="AT89" i="70"/>
  <c r="AS89" i="70"/>
  <c r="AR89" i="70"/>
  <c r="AQ89" i="70"/>
  <c r="AP89" i="70"/>
  <c r="AO89" i="70"/>
  <c r="AN89" i="70"/>
  <c r="AM89" i="70"/>
  <c r="AL89" i="70"/>
  <c r="AK89" i="70"/>
  <c r="AJ89" i="70"/>
  <c r="AI89" i="70"/>
  <c r="AH89" i="70"/>
  <c r="AG89" i="70"/>
  <c r="AF89" i="70"/>
  <c r="AE89" i="70"/>
  <c r="AD89" i="70"/>
  <c r="AC89" i="70"/>
  <c r="AB89" i="70"/>
  <c r="AA89" i="70"/>
  <c r="Z89" i="70"/>
  <c r="Y89" i="70"/>
  <c r="X89" i="70"/>
  <c r="W89" i="70"/>
  <c r="V89" i="70"/>
  <c r="U89" i="70"/>
  <c r="T89" i="70"/>
  <c r="S89" i="70"/>
  <c r="R89" i="70"/>
  <c r="Q89" i="70"/>
  <c r="P89" i="70"/>
  <c r="O89" i="70"/>
  <c r="N89" i="70"/>
  <c r="M89" i="70"/>
  <c r="L89" i="70"/>
  <c r="K89" i="70"/>
  <c r="J89" i="70"/>
  <c r="I89" i="70"/>
  <c r="H89" i="70"/>
  <c r="G89" i="70"/>
  <c r="F89" i="70"/>
  <c r="E89" i="70"/>
  <c r="D89" i="70"/>
  <c r="AV88" i="70"/>
  <c r="AU88" i="70"/>
  <c r="AT88" i="70"/>
  <c r="AS88" i="70"/>
  <c r="AR88" i="70"/>
  <c r="AQ88" i="70"/>
  <c r="AP88" i="70"/>
  <c r="AO88" i="70"/>
  <c r="AN88" i="70"/>
  <c r="AM88" i="70"/>
  <c r="AL88" i="70"/>
  <c r="AK88" i="70"/>
  <c r="AJ88" i="70"/>
  <c r="AI88" i="70"/>
  <c r="AH88" i="70"/>
  <c r="AG88" i="70"/>
  <c r="AF88" i="70"/>
  <c r="AE88" i="70"/>
  <c r="AD88" i="70"/>
  <c r="AC88" i="70"/>
  <c r="AB88" i="70"/>
  <c r="AA88" i="70"/>
  <c r="Z88" i="70"/>
  <c r="Y88" i="70"/>
  <c r="X88" i="70"/>
  <c r="W88" i="70"/>
  <c r="V88" i="70"/>
  <c r="U88" i="70"/>
  <c r="T88" i="70"/>
  <c r="S88" i="70"/>
  <c r="R88" i="70"/>
  <c r="Q88" i="70"/>
  <c r="P88" i="70"/>
  <c r="O88" i="70"/>
  <c r="N88" i="70"/>
  <c r="M88" i="70"/>
  <c r="L88" i="70"/>
  <c r="K88" i="70"/>
  <c r="J88" i="70"/>
  <c r="I88" i="70"/>
  <c r="H88" i="70"/>
  <c r="G88" i="70"/>
  <c r="F88" i="70"/>
  <c r="E88" i="70"/>
  <c r="D88" i="70"/>
  <c r="AV87" i="70"/>
  <c r="AU87" i="70"/>
  <c r="AT87" i="70"/>
  <c r="AS87" i="70"/>
  <c r="AR87" i="70"/>
  <c r="AQ87" i="70"/>
  <c r="AP87" i="70"/>
  <c r="AO87" i="70"/>
  <c r="AN87" i="70"/>
  <c r="AM87" i="70"/>
  <c r="AL87" i="70"/>
  <c r="AK87" i="70"/>
  <c r="AJ87" i="70"/>
  <c r="AI87" i="70"/>
  <c r="AH87" i="70"/>
  <c r="AG87" i="70"/>
  <c r="AF87" i="70"/>
  <c r="AE87" i="70"/>
  <c r="AD87" i="70"/>
  <c r="AC87" i="70"/>
  <c r="AB87" i="70"/>
  <c r="AA87" i="70"/>
  <c r="Z87" i="70"/>
  <c r="Y87" i="70"/>
  <c r="X87" i="70"/>
  <c r="W87" i="70"/>
  <c r="V87" i="70"/>
  <c r="U87" i="70"/>
  <c r="T87" i="70"/>
  <c r="S87" i="70"/>
  <c r="R87" i="70"/>
  <c r="Q87" i="70"/>
  <c r="P87" i="70"/>
  <c r="O87" i="70"/>
  <c r="N87" i="70"/>
  <c r="M87" i="70"/>
  <c r="L87" i="70"/>
  <c r="K87" i="70"/>
  <c r="J87" i="70"/>
  <c r="I87" i="70"/>
  <c r="H87" i="70"/>
  <c r="G87" i="70"/>
  <c r="F87" i="70"/>
  <c r="E87" i="70"/>
  <c r="D87" i="70"/>
  <c r="AV86" i="70"/>
  <c r="AU86" i="70"/>
  <c r="AT86" i="70"/>
  <c r="AS86" i="70"/>
  <c r="AR86" i="70"/>
  <c r="AQ86" i="70"/>
  <c r="AP86" i="70"/>
  <c r="AO86" i="70"/>
  <c r="AN86" i="70"/>
  <c r="AM86" i="70"/>
  <c r="AL86" i="70"/>
  <c r="AK86" i="70"/>
  <c r="AJ86" i="70"/>
  <c r="AI86" i="70"/>
  <c r="AH86" i="70"/>
  <c r="AG86" i="70"/>
  <c r="AF86" i="70"/>
  <c r="AE86" i="70"/>
  <c r="AD86" i="70"/>
  <c r="AC86" i="70"/>
  <c r="AB86" i="70"/>
  <c r="AA86" i="70"/>
  <c r="Z86" i="70"/>
  <c r="Y86" i="70"/>
  <c r="X86" i="70"/>
  <c r="W86" i="70"/>
  <c r="V86" i="70"/>
  <c r="U86" i="70"/>
  <c r="T86" i="70"/>
  <c r="S86" i="70"/>
  <c r="R86" i="70"/>
  <c r="Q86" i="70"/>
  <c r="P86" i="70"/>
  <c r="O86" i="70"/>
  <c r="N86" i="70"/>
  <c r="M86" i="70"/>
  <c r="L86" i="70"/>
  <c r="K86" i="70"/>
  <c r="J86" i="70"/>
  <c r="I86" i="70"/>
  <c r="H86" i="70"/>
  <c r="G86" i="70"/>
  <c r="F86" i="70"/>
  <c r="E86" i="70"/>
  <c r="D86" i="70"/>
  <c r="AV85" i="70"/>
  <c r="AU85" i="70"/>
  <c r="AT85" i="70"/>
  <c r="AS85" i="70"/>
  <c r="AR85" i="70"/>
  <c r="AQ85" i="70"/>
  <c r="AP85" i="70"/>
  <c r="AO85" i="70"/>
  <c r="AN85" i="70"/>
  <c r="AM85" i="70"/>
  <c r="AL85" i="70"/>
  <c r="AK85" i="70"/>
  <c r="AJ85" i="70"/>
  <c r="AI85" i="70"/>
  <c r="AH85" i="70"/>
  <c r="AG85" i="70"/>
  <c r="AF85" i="70"/>
  <c r="AE85" i="70"/>
  <c r="AD85" i="70"/>
  <c r="AC85" i="70"/>
  <c r="AB85" i="70"/>
  <c r="AA85" i="70"/>
  <c r="Z85" i="70"/>
  <c r="Y85" i="70"/>
  <c r="X85" i="70"/>
  <c r="W85" i="70"/>
  <c r="V85" i="70"/>
  <c r="U85" i="70"/>
  <c r="T85" i="70"/>
  <c r="S85" i="70"/>
  <c r="R85" i="70"/>
  <c r="Q85" i="70"/>
  <c r="P85" i="70"/>
  <c r="O85" i="70"/>
  <c r="N85" i="70"/>
  <c r="M85" i="70"/>
  <c r="L85" i="70"/>
  <c r="K85" i="70"/>
  <c r="J85" i="70"/>
  <c r="I85" i="70"/>
  <c r="H85" i="70"/>
  <c r="G85" i="70"/>
  <c r="F85" i="70"/>
  <c r="E85" i="70"/>
  <c r="D85" i="70"/>
  <c r="AV84" i="70"/>
  <c r="AU84" i="70"/>
  <c r="AT84" i="70"/>
  <c r="AS84" i="70"/>
  <c r="AR84" i="70"/>
  <c r="AQ84" i="70"/>
  <c r="AP84" i="70"/>
  <c r="AO84" i="70"/>
  <c r="AN84" i="70"/>
  <c r="AM84" i="70"/>
  <c r="AL84" i="70"/>
  <c r="AK84" i="70"/>
  <c r="AJ84" i="70"/>
  <c r="AI84" i="70"/>
  <c r="AH84" i="70"/>
  <c r="AG84" i="70"/>
  <c r="AF84" i="70"/>
  <c r="AE84" i="70"/>
  <c r="AD84" i="70"/>
  <c r="AC84" i="70"/>
  <c r="AB84" i="70"/>
  <c r="AA84" i="70"/>
  <c r="Z84" i="70"/>
  <c r="Y84" i="70"/>
  <c r="X84" i="70"/>
  <c r="W84" i="70"/>
  <c r="V84" i="70"/>
  <c r="U84" i="70"/>
  <c r="T84" i="70"/>
  <c r="S84" i="70"/>
  <c r="R84" i="70"/>
  <c r="Q84" i="70"/>
  <c r="P84" i="70"/>
  <c r="O84" i="70"/>
  <c r="N84" i="70"/>
  <c r="M84" i="70"/>
  <c r="L84" i="70"/>
  <c r="K84" i="70"/>
  <c r="J84" i="70"/>
  <c r="I84" i="70"/>
  <c r="H84" i="70"/>
  <c r="G84" i="70"/>
  <c r="F84" i="70"/>
  <c r="E84" i="70"/>
  <c r="D84" i="70"/>
  <c r="AV83" i="70"/>
  <c r="AU83" i="70"/>
  <c r="AT83" i="70"/>
  <c r="AS83" i="70"/>
  <c r="AR83" i="70"/>
  <c r="AQ83" i="70"/>
  <c r="AP83" i="70"/>
  <c r="AO83" i="70"/>
  <c r="AN83" i="70"/>
  <c r="AM83" i="70"/>
  <c r="AL83" i="70"/>
  <c r="AK83" i="70"/>
  <c r="AJ83" i="70"/>
  <c r="AI83" i="70"/>
  <c r="AH83" i="70"/>
  <c r="AG83" i="70"/>
  <c r="AF83" i="70"/>
  <c r="AE83" i="70"/>
  <c r="AD83" i="70"/>
  <c r="AC83" i="70"/>
  <c r="AB83" i="70"/>
  <c r="AA83" i="70"/>
  <c r="Z83" i="70"/>
  <c r="Y83" i="70"/>
  <c r="X83" i="70"/>
  <c r="W83" i="70"/>
  <c r="V83" i="70"/>
  <c r="U83" i="70"/>
  <c r="T83" i="70"/>
  <c r="S83" i="70"/>
  <c r="R83" i="70"/>
  <c r="Q83" i="70"/>
  <c r="P83" i="70"/>
  <c r="O83" i="70"/>
  <c r="N83" i="70"/>
  <c r="M83" i="70"/>
  <c r="L83" i="70"/>
  <c r="K83" i="70"/>
  <c r="J83" i="70"/>
  <c r="I83" i="70"/>
  <c r="H83" i="70"/>
  <c r="G83" i="70"/>
  <c r="F83" i="70"/>
  <c r="E83" i="70"/>
  <c r="D83" i="70"/>
  <c r="AV82" i="70"/>
  <c r="AU82" i="70"/>
  <c r="AT82" i="70"/>
  <c r="AS82" i="70"/>
  <c r="AR82" i="70"/>
  <c r="AQ82" i="70"/>
  <c r="AP82" i="70"/>
  <c r="AO82" i="70"/>
  <c r="AN82" i="70"/>
  <c r="AM82" i="70"/>
  <c r="AL82" i="70"/>
  <c r="AK82" i="70"/>
  <c r="AJ82" i="70"/>
  <c r="AI82" i="70"/>
  <c r="AH82" i="70"/>
  <c r="AG82" i="70"/>
  <c r="AF82" i="70"/>
  <c r="AE82" i="70"/>
  <c r="AD82" i="70"/>
  <c r="AC82" i="70"/>
  <c r="AB82" i="70"/>
  <c r="AA82" i="70"/>
  <c r="Z82" i="70"/>
  <c r="Y82" i="70"/>
  <c r="X82" i="70"/>
  <c r="W82" i="70"/>
  <c r="V82" i="70"/>
  <c r="U82" i="70"/>
  <c r="T82" i="70"/>
  <c r="S82" i="70"/>
  <c r="R82" i="70"/>
  <c r="Q82" i="70"/>
  <c r="P82" i="70"/>
  <c r="O82" i="70"/>
  <c r="N82" i="70"/>
  <c r="M82" i="70"/>
  <c r="L82" i="70"/>
  <c r="K82" i="70"/>
  <c r="J82" i="70"/>
  <c r="I82" i="70"/>
  <c r="H82" i="70"/>
  <c r="G82" i="70"/>
  <c r="F82" i="70"/>
  <c r="E82" i="70"/>
  <c r="D82" i="70"/>
  <c r="AV81" i="70"/>
  <c r="AU81" i="70"/>
  <c r="AT81" i="70"/>
  <c r="AS81" i="70"/>
  <c r="AR81" i="70"/>
  <c r="AQ81" i="70"/>
  <c r="AP81" i="70"/>
  <c r="AO81" i="70"/>
  <c r="AN81" i="70"/>
  <c r="AM81" i="70"/>
  <c r="AL81" i="70"/>
  <c r="AK81" i="70"/>
  <c r="AJ81" i="70"/>
  <c r="AI81" i="70"/>
  <c r="AH81" i="70"/>
  <c r="AG81" i="70"/>
  <c r="AF81" i="70"/>
  <c r="AE81" i="70"/>
  <c r="AD81" i="70"/>
  <c r="AC81" i="70"/>
  <c r="AB81" i="70"/>
  <c r="AA81" i="70"/>
  <c r="Z81" i="70"/>
  <c r="Y81" i="70"/>
  <c r="X81" i="70"/>
  <c r="W81" i="70"/>
  <c r="V81" i="70"/>
  <c r="U81" i="70"/>
  <c r="T81" i="70"/>
  <c r="S81" i="70"/>
  <c r="R81" i="70"/>
  <c r="Q81" i="70"/>
  <c r="P81" i="70"/>
  <c r="O81" i="70"/>
  <c r="N81" i="70"/>
  <c r="M81" i="70"/>
  <c r="L81" i="70"/>
  <c r="K81" i="70"/>
  <c r="J81" i="70"/>
  <c r="I81" i="70"/>
  <c r="H81" i="70"/>
  <c r="G81" i="70"/>
  <c r="F81" i="70"/>
  <c r="E81" i="70"/>
  <c r="D81" i="70"/>
  <c r="AV80" i="70"/>
  <c r="AU80" i="70"/>
  <c r="AT80" i="70"/>
  <c r="AS80" i="70"/>
  <c r="AR80" i="70"/>
  <c r="AQ80" i="70"/>
  <c r="AP80" i="70"/>
  <c r="AO80" i="70"/>
  <c r="AN80" i="70"/>
  <c r="AM80" i="70"/>
  <c r="AL80" i="70"/>
  <c r="AK80" i="70"/>
  <c r="AJ80" i="70"/>
  <c r="AI80" i="70"/>
  <c r="AH80" i="70"/>
  <c r="AG80" i="70"/>
  <c r="AF80" i="70"/>
  <c r="AE80" i="70"/>
  <c r="AD80" i="70"/>
  <c r="AC80" i="70"/>
  <c r="AB80" i="70"/>
  <c r="AA80" i="70"/>
  <c r="Z80" i="70"/>
  <c r="Y80" i="70"/>
  <c r="X80" i="70"/>
  <c r="W80" i="70"/>
  <c r="V80" i="70"/>
  <c r="U80" i="70"/>
  <c r="T80" i="70"/>
  <c r="S80" i="70"/>
  <c r="R80" i="70"/>
  <c r="Q80" i="70"/>
  <c r="P80" i="70"/>
  <c r="O80" i="70"/>
  <c r="N80" i="70"/>
  <c r="M80" i="70"/>
  <c r="L80" i="70"/>
  <c r="K80" i="70"/>
  <c r="J80" i="70"/>
  <c r="I80" i="70"/>
  <c r="H80" i="70"/>
  <c r="G80" i="70"/>
  <c r="F80" i="70"/>
  <c r="E80" i="70"/>
  <c r="D80" i="70"/>
  <c r="AV79" i="70"/>
  <c r="AU79" i="70"/>
  <c r="AT79" i="70"/>
  <c r="AS79" i="70"/>
  <c r="AR79" i="70"/>
  <c r="AQ79" i="70"/>
  <c r="AP79" i="70"/>
  <c r="AO79" i="70"/>
  <c r="AN79" i="70"/>
  <c r="AM79" i="70"/>
  <c r="AL79" i="70"/>
  <c r="AK79" i="70"/>
  <c r="AJ79" i="70"/>
  <c r="AI79" i="70"/>
  <c r="AH79" i="70"/>
  <c r="AG79" i="70"/>
  <c r="AF79" i="70"/>
  <c r="AE79" i="70"/>
  <c r="AD79" i="70"/>
  <c r="AC79" i="70"/>
  <c r="AB79" i="70"/>
  <c r="AA79" i="70"/>
  <c r="Z79" i="70"/>
  <c r="Y79" i="70"/>
  <c r="X79" i="70"/>
  <c r="W79" i="70"/>
  <c r="V79" i="70"/>
  <c r="U79" i="70"/>
  <c r="T79" i="70"/>
  <c r="S79" i="70"/>
  <c r="R79" i="70"/>
  <c r="Q79" i="70"/>
  <c r="P79" i="70"/>
  <c r="O79" i="70"/>
  <c r="N79" i="70"/>
  <c r="M79" i="70"/>
  <c r="L79" i="70"/>
  <c r="K79" i="70"/>
  <c r="J79" i="70"/>
  <c r="I79" i="70"/>
  <c r="H79" i="70"/>
  <c r="G79" i="70"/>
  <c r="F79" i="70"/>
  <c r="E79" i="70"/>
  <c r="D79" i="70"/>
  <c r="AV78" i="70"/>
  <c r="AU78" i="70"/>
  <c r="AT78" i="70"/>
  <c r="AS78" i="70"/>
  <c r="AR78" i="70"/>
  <c r="AQ78" i="70"/>
  <c r="AP78" i="70"/>
  <c r="AO78" i="70"/>
  <c r="AN78" i="70"/>
  <c r="AM78" i="70"/>
  <c r="AL78" i="70"/>
  <c r="AK78" i="70"/>
  <c r="AJ78" i="70"/>
  <c r="AI78" i="70"/>
  <c r="AH78" i="70"/>
  <c r="AG78" i="70"/>
  <c r="AF78" i="70"/>
  <c r="AE78" i="70"/>
  <c r="AD78" i="70"/>
  <c r="AC78" i="70"/>
  <c r="AB78" i="70"/>
  <c r="AA78" i="70"/>
  <c r="Z78" i="70"/>
  <c r="Y78" i="70"/>
  <c r="X78" i="70"/>
  <c r="W78" i="70"/>
  <c r="V78" i="70"/>
  <c r="U78" i="70"/>
  <c r="T78" i="70"/>
  <c r="S78" i="70"/>
  <c r="R78" i="70"/>
  <c r="Q78" i="70"/>
  <c r="P78" i="70"/>
  <c r="O78" i="70"/>
  <c r="N78" i="70"/>
  <c r="M78" i="70"/>
  <c r="L78" i="70"/>
  <c r="K78" i="70"/>
  <c r="J78" i="70"/>
  <c r="I78" i="70"/>
  <c r="H78" i="70"/>
  <c r="G78" i="70"/>
  <c r="F78" i="70"/>
  <c r="E78" i="70"/>
  <c r="D78" i="70"/>
  <c r="AV77" i="70"/>
  <c r="AU77" i="70"/>
  <c r="AT77" i="70"/>
  <c r="AS77" i="70"/>
  <c r="AR77" i="70"/>
  <c r="AQ77" i="70"/>
  <c r="AP77" i="70"/>
  <c r="AO77" i="70"/>
  <c r="AN77" i="70"/>
  <c r="AM77" i="70"/>
  <c r="AL77" i="70"/>
  <c r="AK77" i="70"/>
  <c r="AJ77" i="70"/>
  <c r="AI77" i="70"/>
  <c r="AH77" i="70"/>
  <c r="AG77" i="70"/>
  <c r="AF77" i="70"/>
  <c r="AE77" i="70"/>
  <c r="AD77" i="70"/>
  <c r="AC77" i="70"/>
  <c r="AB77" i="70"/>
  <c r="AA77" i="70"/>
  <c r="Z77" i="70"/>
  <c r="Y77" i="70"/>
  <c r="X77" i="70"/>
  <c r="W77" i="70"/>
  <c r="V77" i="70"/>
  <c r="U77" i="70"/>
  <c r="T77" i="70"/>
  <c r="S77" i="70"/>
  <c r="R77" i="70"/>
  <c r="Q77" i="70"/>
  <c r="P77" i="70"/>
  <c r="O77" i="70"/>
  <c r="N77" i="70"/>
  <c r="M77" i="70"/>
  <c r="L77" i="70"/>
  <c r="K77" i="70"/>
  <c r="J77" i="70"/>
  <c r="I77" i="70"/>
  <c r="H77" i="70"/>
  <c r="G77" i="70"/>
  <c r="F77" i="70"/>
  <c r="E77" i="70"/>
  <c r="D77" i="70"/>
  <c r="AV76" i="70"/>
  <c r="AU76" i="70"/>
  <c r="AT76" i="70"/>
  <c r="AS76" i="70"/>
  <c r="AR76" i="70"/>
  <c r="AQ76" i="70"/>
  <c r="AP76" i="70"/>
  <c r="AO76" i="70"/>
  <c r="AN76" i="70"/>
  <c r="AM76" i="70"/>
  <c r="AL76" i="70"/>
  <c r="AK76" i="70"/>
  <c r="AJ76" i="70"/>
  <c r="AI76" i="70"/>
  <c r="AH76" i="70"/>
  <c r="AG76" i="70"/>
  <c r="AF76" i="70"/>
  <c r="AE76" i="70"/>
  <c r="AD76" i="70"/>
  <c r="AC76" i="70"/>
  <c r="AB76" i="70"/>
  <c r="AA76" i="70"/>
  <c r="Z76" i="70"/>
  <c r="Y76" i="70"/>
  <c r="X76" i="70"/>
  <c r="W76" i="70"/>
  <c r="V76" i="70"/>
  <c r="U76" i="70"/>
  <c r="T76" i="70"/>
  <c r="S76" i="70"/>
  <c r="R76" i="70"/>
  <c r="Q76" i="70"/>
  <c r="P76" i="70"/>
  <c r="O76" i="70"/>
  <c r="N76" i="70"/>
  <c r="M76" i="70"/>
  <c r="L76" i="70"/>
  <c r="K76" i="70"/>
  <c r="J76" i="70"/>
  <c r="I76" i="70"/>
  <c r="H76" i="70"/>
  <c r="G76" i="70"/>
  <c r="F76" i="70"/>
  <c r="E76" i="70"/>
  <c r="D76" i="70"/>
  <c r="AV75" i="70"/>
  <c r="AU75" i="70"/>
  <c r="AT75" i="70"/>
  <c r="AS75" i="70"/>
  <c r="AR75" i="70"/>
  <c r="AQ75" i="70"/>
  <c r="AP75" i="70"/>
  <c r="AO75" i="70"/>
  <c r="AN75" i="70"/>
  <c r="AM75" i="70"/>
  <c r="AL75" i="70"/>
  <c r="AK75" i="70"/>
  <c r="AJ75" i="70"/>
  <c r="AI75" i="70"/>
  <c r="AH75" i="70"/>
  <c r="AG75" i="70"/>
  <c r="AF75" i="70"/>
  <c r="AE75" i="70"/>
  <c r="AD75" i="70"/>
  <c r="AC75" i="70"/>
  <c r="AB75" i="70"/>
  <c r="AA75" i="70"/>
  <c r="Z75" i="70"/>
  <c r="Y75" i="70"/>
  <c r="X75" i="70"/>
  <c r="W75" i="70"/>
  <c r="V75" i="70"/>
  <c r="U75" i="70"/>
  <c r="T75" i="70"/>
  <c r="S75" i="70"/>
  <c r="R75" i="70"/>
  <c r="Q75" i="70"/>
  <c r="P75" i="70"/>
  <c r="O75" i="70"/>
  <c r="N75" i="70"/>
  <c r="M75" i="70"/>
  <c r="L75" i="70"/>
  <c r="K75" i="70"/>
  <c r="J75" i="70"/>
  <c r="I75" i="70"/>
  <c r="H75" i="70"/>
  <c r="G75" i="70"/>
  <c r="F75" i="70"/>
  <c r="E75" i="70"/>
  <c r="D75" i="70"/>
  <c r="AV74" i="70"/>
  <c r="AU74" i="70"/>
  <c r="AT74" i="70"/>
  <c r="AS74" i="70"/>
  <c r="AR74" i="70"/>
  <c r="AQ74" i="70"/>
  <c r="AP74" i="70"/>
  <c r="AO74" i="70"/>
  <c r="AN74" i="70"/>
  <c r="AM74" i="70"/>
  <c r="AL74" i="70"/>
  <c r="AK74" i="70"/>
  <c r="AJ74" i="70"/>
  <c r="AI74" i="70"/>
  <c r="AH74" i="70"/>
  <c r="AG74" i="70"/>
  <c r="AF74" i="70"/>
  <c r="AE74" i="70"/>
  <c r="AD74" i="70"/>
  <c r="AC74" i="70"/>
  <c r="AB74" i="70"/>
  <c r="AA74" i="70"/>
  <c r="Z74" i="70"/>
  <c r="Y74" i="70"/>
  <c r="X74" i="70"/>
  <c r="W74" i="70"/>
  <c r="V74" i="70"/>
  <c r="U74" i="70"/>
  <c r="T74" i="70"/>
  <c r="S74" i="70"/>
  <c r="R74" i="70"/>
  <c r="Q74" i="70"/>
  <c r="P74" i="70"/>
  <c r="O74" i="70"/>
  <c r="N74" i="70"/>
  <c r="M74" i="70"/>
  <c r="L74" i="70"/>
  <c r="K74" i="70"/>
  <c r="J74" i="70"/>
  <c r="I74" i="70"/>
  <c r="H74" i="70"/>
  <c r="G74" i="70"/>
  <c r="F74" i="70"/>
  <c r="E74" i="70"/>
  <c r="D74" i="70"/>
  <c r="Y72" i="70"/>
  <c r="X72" i="70"/>
  <c r="W72" i="70"/>
  <c r="V72" i="70"/>
  <c r="U72" i="70"/>
  <c r="T72" i="70"/>
  <c r="S72" i="70"/>
  <c r="R72" i="70"/>
  <c r="Q72" i="70"/>
  <c r="P72" i="70"/>
  <c r="O72" i="70"/>
  <c r="N72" i="70"/>
  <c r="M72" i="70"/>
  <c r="L72" i="70"/>
  <c r="K72" i="70"/>
  <c r="J72" i="70"/>
  <c r="I72" i="70"/>
  <c r="H72" i="70"/>
  <c r="G72" i="70"/>
  <c r="F72" i="70"/>
  <c r="E72" i="70"/>
  <c r="D72" i="70"/>
  <c r="Y71" i="70"/>
  <c r="X71" i="70"/>
  <c r="W71" i="70"/>
  <c r="V71" i="70"/>
  <c r="U71" i="70"/>
  <c r="T71" i="70"/>
  <c r="S71" i="70"/>
  <c r="R71" i="70"/>
  <c r="Q71" i="70"/>
  <c r="P71" i="70"/>
  <c r="O71" i="70"/>
  <c r="N71" i="70"/>
  <c r="M71" i="70"/>
  <c r="L71" i="70"/>
  <c r="K71" i="70"/>
  <c r="J71" i="70"/>
  <c r="I71" i="70"/>
  <c r="H71" i="70"/>
  <c r="G71" i="70"/>
  <c r="F71" i="70"/>
  <c r="E71" i="70"/>
  <c r="D71" i="70"/>
  <c r="Y70" i="70"/>
  <c r="X70" i="70"/>
  <c r="W70" i="70"/>
  <c r="V70" i="70"/>
  <c r="U70" i="70"/>
  <c r="T70" i="70"/>
  <c r="S70" i="70"/>
  <c r="R70" i="70"/>
  <c r="Q70" i="70"/>
  <c r="P70" i="70"/>
  <c r="O70" i="70"/>
  <c r="N70" i="70"/>
  <c r="M70" i="70"/>
  <c r="L70" i="70"/>
  <c r="K70" i="70"/>
  <c r="J70" i="70"/>
  <c r="I70" i="70"/>
  <c r="H70" i="70"/>
  <c r="G70" i="70"/>
  <c r="F70" i="70"/>
  <c r="E70" i="70"/>
  <c r="D70" i="70"/>
  <c r="Z69" i="70"/>
  <c r="Y69" i="70"/>
  <c r="X69" i="70"/>
  <c r="W69" i="70"/>
  <c r="V69" i="70"/>
  <c r="U69" i="70"/>
  <c r="T69" i="70"/>
  <c r="S69" i="70"/>
  <c r="R69" i="70"/>
  <c r="Q69" i="70"/>
  <c r="P69" i="70"/>
  <c r="O69" i="70"/>
  <c r="N69" i="70"/>
  <c r="M69" i="70"/>
  <c r="L69" i="70"/>
  <c r="K69" i="70"/>
  <c r="J69" i="70"/>
  <c r="I69" i="70"/>
  <c r="H69" i="70"/>
  <c r="G69" i="70"/>
  <c r="F69" i="70"/>
  <c r="E69" i="70"/>
  <c r="D69" i="70"/>
  <c r="AV68" i="70"/>
  <c r="AU68" i="70"/>
  <c r="AT68" i="70"/>
  <c r="AS68" i="70"/>
  <c r="AR68" i="70"/>
  <c r="AQ68" i="70"/>
  <c r="AP68" i="70"/>
  <c r="AO68" i="70"/>
  <c r="AN68" i="70"/>
  <c r="AM68" i="70"/>
  <c r="AL68" i="70"/>
  <c r="AK68" i="70"/>
  <c r="AJ68" i="70"/>
  <c r="AI68" i="70"/>
  <c r="AH68" i="70"/>
  <c r="AG68" i="70"/>
  <c r="AF68" i="70"/>
  <c r="AE68" i="70"/>
  <c r="AD68" i="70"/>
  <c r="AC68" i="70"/>
  <c r="AB68" i="70"/>
  <c r="AA68" i="70"/>
  <c r="Z68" i="70"/>
  <c r="Y68" i="70"/>
  <c r="X68" i="70"/>
  <c r="W68" i="70"/>
  <c r="V68" i="70"/>
  <c r="U68" i="70"/>
  <c r="T68" i="70"/>
  <c r="S68" i="70"/>
  <c r="R68" i="70"/>
  <c r="Q68" i="70"/>
  <c r="P68" i="70"/>
  <c r="O68" i="70"/>
  <c r="N68" i="70"/>
  <c r="M68" i="70"/>
  <c r="L68" i="70"/>
  <c r="K68" i="70"/>
  <c r="J68" i="70"/>
  <c r="I68" i="70"/>
  <c r="H68" i="70"/>
  <c r="G68" i="70"/>
  <c r="F68" i="70"/>
  <c r="E68" i="70"/>
  <c r="D68" i="70"/>
  <c r="AV67" i="70"/>
  <c r="AU67" i="70"/>
  <c r="AT67" i="70"/>
  <c r="AS67" i="70"/>
  <c r="AR67" i="70"/>
  <c r="AQ67" i="70"/>
  <c r="AP67" i="70"/>
  <c r="AO67" i="70"/>
  <c r="AN67" i="70"/>
  <c r="AM67" i="70"/>
  <c r="AL67" i="70"/>
  <c r="AK67" i="70"/>
  <c r="AJ67" i="70"/>
  <c r="AI67" i="70"/>
  <c r="AH67" i="70"/>
  <c r="AG67" i="70"/>
  <c r="AF67" i="70"/>
  <c r="AE67" i="70"/>
  <c r="AD67" i="70"/>
  <c r="AC67" i="70"/>
  <c r="AB67" i="70"/>
  <c r="AA67" i="70"/>
  <c r="Z67" i="70"/>
  <c r="Y67" i="70"/>
  <c r="X67" i="70"/>
  <c r="W67" i="70"/>
  <c r="V67" i="70"/>
  <c r="U67" i="70"/>
  <c r="T67" i="70"/>
  <c r="S67" i="70"/>
  <c r="R67" i="70"/>
  <c r="Q67" i="70"/>
  <c r="P67" i="70"/>
  <c r="O67" i="70"/>
  <c r="N67" i="70"/>
  <c r="M67" i="70"/>
  <c r="L67" i="70"/>
  <c r="K67" i="70"/>
  <c r="J67" i="70"/>
  <c r="I67" i="70"/>
  <c r="H67" i="70"/>
  <c r="G67" i="70"/>
  <c r="F67" i="70"/>
  <c r="E67" i="70"/>
  <c r="D67" i="70"/>
  <c r="AV66" i="70"/>
  <c r="AU66" i="70"/>
  <c r="AT66" i="70"/>
  <c r="AS66" i="70"/>
  <c r="AR66" i="70"/>
  <c r="AQ66" i="70"/>
  <c r="AP66" i="70"/>
  <c r="AO66" i="70"/>
  <c r="AN66" i="70"/>
  <c r="AM66" i="70"/>
  <c r="AL66" i="70"/>
  <c r="AK66" i="70"/>
  <c r="AJ66" i="70"/>
  <c r="AI66" i="70"/>
  <c r="AH66" i="70"/>
  <c r="AG66" i="70"/>
  <c r="AF66" i="70"/>
  <c r="AE66" i="70"/>
  <c r="AD66" i="70"/>
  <c r="AC66" i="70"/>
  <c r="AB66" i="70"/>
  <c r="AA66" i="70"/>
  <c r="Z66" i="70"/>
  <c r="Y66" i="70"/>
  <c r="X66" i="70"/>
  <c r="W66" i="70"/>
  <c r="V66" i="70"/>
  <c r="U66" i="70"/>
  <c r="T66" i="70"/>
  <c r="S66" i="70"/>
  <c r="R66" i="70"/>
  <c r="Q66" i="70"/>
  <c r="P66" i="70"/>
  <c r="O66" i="70"/>
  <c r="N66" i="70"/>
  <c r="M66" i="70"/>
  <c r="L66" i="70"/>
  <c r="K66" i="70"/>
  <c r="J66" i="70"/>
  <c r="I66" i="70"/>
  <c r="H66" i="70"/>
  <c r="G66" i="70"/>
  <c r="F66" i="70"/>
  <c r="E66" i="70"/>
  <c r="D66" i="70"/>
  <c r="AV65" i="70"/>
  <c r="AU65" i="70"/>
  <c r="AT65" i="70"/>
  <c r="AS65" i="70"/>
  <c r="AR65" i="70"/>
  <c r="AQ65" i="70"/>
  <c r="AP65" i="70"/>
  <c r="AO65" i="70"/>
  <c r="AN65" i="70"/>
  <c r="AM65" i="70"/>
  <c r="AL65" i="70"/>
  <c r="AK65" i="70"/>
  <c r="AJ65" i="70"/>
  <c r="AI65" i="70"/>
  <c r="AH65" i="70"/>
  <c r="AG65" i="70"/>
  <c r="AF65" i="70"/>
  <c r="AE65" i="70"/>
  <c r="AD65" i="70"/>
  <c r="AC65" i="70"/>
  <c r="AB65" i="70"/>
  <c r="AA65" i="70"/>
  <c r="Z65" i="70"/>
  <c r="Y65" i="70"/>
  <c r="X65" i="70"/>
  <c r="W65" i="70"/>
  <c r="V65" i="70"/>
  <c r="U65" i="70"/>
  <c r="T65" i="70"/>
  <c r="S65" i="70"/>
  <c r="R65" i="70"/>
  <c r="Q65" i="70"/>
  <c r="P65" i="70"/>
  <c r="O65" i="70"/>
  <c r="N65" i="70"/>
  <c r="M65" i="70"/>
  <c r="L65" i="70"/>
  <c r="K65" i="70"/>
  <c r="J65" i="70"/>
  <c r="I65" i="70"/>
  <c r="H65" i="70"/>
  <c r="G65" i="70"/>
  <c r="F65" i="70"/>
  <c r="E65" i="70"/>
  <c r="D65"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G64" i="70"/>
  <c r="F64" i="70"/>
  <c r="E64" i="70"/>
  <c r="D64" i="70"/>
  <c r="AV63" i="70"/>
  <c r="AU63" i="70"/>
  <c r="AT63" i="70"/>
  <c r="AS63" i="70"/>
  <c r="AR63" i="70"/>
  <c r="AQ63" i="70"/>
  <c r="AP63" i="70"/>
  <c r="AO63" i="70"/>
  <c r="AN63" i="70"/>
  <c r="AM63" i="70"/>
  <c r="AL63" i="70"/>
  <c r="AK63" i="70"/>
  <c r="AJ63" i="70"/>
  <c r="AI63" i="70"/>
  <c r="AH63" i="70"/>
  <c r="AG63" i="70"/>
  <c r="AF63" i="70"/>
  <c r="AE63" i="70"/>
  <c r="AD63" i="70"/>
  <c r="AC63" i="70"/>
  <c r="AB63" i="70"/>
  <c r="AA63" i="70"/>
  <c r="Z63" i="70"/>
  <c r="Y63" i="70"/>
  <c r="X63" i="70"/>
  <c r="W63" i="70"/>
  <c r="V63" i="70"/>
  <c r="U63" i="70"/>
  <c r="T63" i="70"/>
  <c r="S63" i="70"/>
  <c r="R63" i="70"/>
  <c r="Q63" i="70"/>
  <c r="P63" i="70"/>
  <c r="O63" i="70"/>
  <c r="N63" i="70"/>
  <c r="M63" i="70"/>
  <c r="L63" i="70"/>
  <c r="K63" i="70"/>
  <c r="J63" i="70"/>
  <c r="I63" i="70"/>
  <c r="H63" i="70"/>
  <c r="G63" i="70"/>
  <c r="F63" i="70"/>
  <c r="E63" i="70"/>
  <c r="D63" i="70"/>
  <c r="AV62" i="70"/>
  <c r="AU62" i="70"/>
  <c r="AT62" i="70"/>
  <c r="AS62" i="70"/>
  <c r="AR62" i="70"/>
  <c r="AQ62" i="70"/>
  <c r="AP62" i="70"/>
  <c r="AO62" i="70"/>
  <c r="AN62" i="70"/>
  <c r="AM62" i="70"/>
  <c r="AL62" i="70"/>
  <c r="AK62" i="70"/>
  <c r="AJ62" i="70"/>
  <c r="AI62" i="70"/>
  <c r="AH62" i="70"/>
  <c r="AG62" i="70"/>
  <c r="AF62" i="70"/>
  <c r="AE62" i="70"/>
  <c r="AD62" i="70"/>
  <c r="AC62" i="70"/>
  <c r="AB62" i="70"/>
  <c r="AA62" i="70"/>
  <c r="Z62" i="70"/>
  <c r="Y62" i="70"/>
  <c r="X62" i="70"/>
  <c r="W62" i="70"/>
  <c r="V62" i="70"/>
  <c r="U62" i="70"/>
  <c r="T62" i="70"/>
  <c r="S62" i="70"/>
  <c r="R62" i="70"/>
  <c r="Q62" i="70"/>
  <c r="P62" i="70"/>
  <c r="O62" i="70"/>
  <c r="N62" i="70"/>
  <c r="M62" i="70"/>
  <c r="L62" i="70"/>
  <c r="K62" i="70"/>
  <c r="J62" i="70"/>
  <c r="I62" i="70"/>
  <c r="H62" i="70"/>
  <c r="G62" i="70"/>
  <c r="F62" i="70"/>
  <c r="E62" i="70"/>
  <c r="D62" i="70"/>
  <c r="AV61" i="70"/>
  <c r="AU61" i="70"/>
  <c r="AT61" i="70"/>
  <c r="AS61" i="70"/>
  <c r="AR61" i="70"/>
  <c r="AQ61" i="70"/>
  <c r="AP61" i="70"/>
  <c r="AO61" i="70"/>
  <c r="AN61" i="70"/>
  <c r="AM61" i="70"/>
  <c r="AL61" i="70"/>
  <c r="AK61" i="70"/>
  <c r="AJ61" i="70"/>
  <c r="AI61" i="70"/>
  <c r="AH61" i="70"/>
  <c r="AG61" i="70"/>
  <c r="AF61" i="70"/>
  <c r="AE61" i="70"/>
  <c r="AD61" i="70"/>
  <c r="AC61" i="70"/>
  <c r="AB61" i="70"/>
  <c r="AA61" i="70"/>
  <c r="Z61" i="70"/>
  <c r="Y61" i="70"/>
  <c r="X61" i="70"/>
  <c r="W61" i="70"/>
  <c r="V61" i="70"/>
  <c r="U61" i="70"/>
  <c r="T61" i="70"/>
  <c r="S61" i="70"/>
  <c r="R61" i="70"/>
  <c r="Q61" i="70"/>
  <c r="P61" i="70"/>
  <c r="O61" i="70"/>
  <c r="N61" i="70"/>
  <c r="M61" i="70"/>
  <c r="L61" i="70"/>
  <c r="K61" i="70"/>
  <c r="J61" i="70"/>
  <c r="I61" i="70"/>
  <c r="H61" i="70"/>
  <c r="G61" i="70"/>
  <c r="F61" i="70"/>
  <c r="E61" i="70"/>
  <c r="D61" i="70"/>
  <c r="AV60" i="70"/>
  <c r="AU60" i="70"/>
  <c r="AT60" i="70"/>
  <c r="AS60" i="70"/>
  <c r="AR60" i="70"/>
  <c r="AQ60" i="70"/>
  <c r="AP60" i="70"/>
  <c r="AO60" i="70"/>
  <c r="AN60" i="70"/>
  <c r="AM60" i="70"/>
  <c r="AL60" i="70"/>
  <c r="AK60" i="70"/>
  <c r="AJ60" i="70"/>
  <c r="AI60" i="70"/>
  <c r="AH60" i="70"/>
  <c r="AG60" i="70"/>
  <c r="AF60" i="70"/>
  <c r="AE60" i="70"/>
  <c r="AD60" i="70"/>
  <c r="AC60" i="70"/>
  <c r="AB60" i="70"/>
  <c r="AA60" i="70"/>
  <c r="Z60" i="70"/>
  <c r="Y60" i="70"/>
  <c r="X60" i="70"/>
  <c r="W60" i="70"/>
  <c r="V60" i="70"/>
  <c r="U60" i="70"/>
  <c r="T60" i="70"/>
  <c r="S60" i="70"/>
  <c r="R60" i="70"/>
  <c r="Q60" i="70"/>
  <c r="P60" i="70"/>
  <c r="O60" i="70"/>
  <c r="N60" i="70"/>
  <c r="M60" i="70"/>
  <c r="L60" i="70"/>
  <c r="K60" i="70"/>
  <c r="J60" i="70"/>
  <c r="I60" i="70"/>
  <c r="H60" i="70"/>
  <c r="G60" i="70"/>
  <c r="F60" i="70"/>
  <c r="E60" i="70"/>
  <c r="D60" i="70"/>
  <c r="AV59" i="70"/>
  <c r="AU59" i="70"/>
  <c r="AT59" i="70"/>
  <c r="AS59" i="70"/>
  <c r="AR59" i="70"/>
  <c r="AQ59" i="70"/>
  <c r="AP59" i="70"/>
  <c r="AO59" i="70"/>
  <c r="AN59" i="70"/>
  <c r="AM59" i="70"/>
  <c r="AL59" i="70"/>
  <c r="AK59" i="70"/>
  <c r="AJ59" i="70"/>
  <c r="AI59" i="70"/>
  <c r="AH59" i="70"/>
  <c r="AG59" i="70"/>
  <c r="AF59" i="70"/>
  <c r="AE59" i="70"/>
  <c r="AD59" i="70"/>
  <c r="AC59" i="70"/>
  <c r="AB59" i="70"/>
  <c r="AA59" i="70"/>
  <c r="Z59" i="70"/>
  <c r="Y59" i="70"/>
  <c r="X59" i="70"/>
  <c r="W59" i="70"/>
  <c r="V59" i="70"/>
  <c r="U59" i="70"/>
  <c r="T59" i="70"/>
  <c r="S59" i="70"/>
  <c r="R59" i="70"/>
  <c r="Q59" i="70"/>
  <c r="P59" i="70"/>
  <c r="O59" i="70"/>
  <c r="N59" i="70"/>
  <c r="M59" i="70"/>
  <c r="L59" i="70"/>
  <c r="K59" i="70"/>
  <c r="J59" i="70"/>
  <c r="I59" i="70"/>
  <c r="H59" i="70"/>
  <c r="G59" i="70"/>
  <c r="F59" i="70"/>
  <c r="E59" i="70"/>
  <c r="D59" i="70"/>
  <c r="AV58" i="70"/>
  <c r="AU58" i="70"/>
  <c r="AT58" i="70"/>
  <c r="AS58" i="70"/>
  <c r="AR58" i="70"/>
  <c r="AQ58" i="70"/>
  <c r="AP58" i="70"/>
  <c r="AO58" i="70"/>
  <c r="AN58" i="70"/>
  <c r="AM58" i="70"/>
  <c r="AL58" i="70"/>
  <c r="AK58" i="70"/>
  <c r="AJ58" i="70"/>
  <c r="AI58" i="70"/>
  <c r="AH58" i="70"/>
  <c r="AG58" i="70"/>
  <c r="AF58" i="70"/>
  <c r="AE58" i="70"/>
  <c r="AD58" i="70"/>
  <c r="AC58" i="70"/>
  <c r="AB58" i="70"/>
  <c r="AA58" i="70"/>
  <c r="Z58" i="70"/>
  <c r="Y58" i="70"/>
  <c r="X58" i="70"/>
  <c r="W58" i="70"/>
  <c r="V58" i="70"/>
  <c r="U58" i="70"/>
  <c r="T58" i="70"/>
  <c r="S58" i="70"/>
  <c r="R58" i="70"/>
  <c r="Q58" i="70"/>
  <c r="P58" i="70"/>
  <c r="O58" i="70"/>
  <c r="N58" i="70"/>
  <c r="M58" i="70"/>
  <c r="L58" i="70"/>
  <c r="K58" i="70"/>
  <c r="J58" i="70"/>
  <c r="I58" i="70"/>
  <c r="H58" i="70"/>
  <c r="G58" i="70"/>
  <c r="F58" i="70"/>
  <c r="E58" i="70"/>
  <c r="D58" i="70"/>
  <c r="AV57" i="70"/>
  <c r="AU57" i="70"/>
  <c r="AT57" i="70"/>
  <c r="AS57" i="70"/>
  <c r="AR57" i="70"/>
  <c r="AQ57" i="70"/>
  <c r="AP57" i="70"/>
  <c r="AO57" i="70"/>
  <c r="AN57" i="70"/>
  <c r="AM57" i="70"/>
  <c r="AL57" i="70"/>
  <c r="AK57" i="70"/>
  <c r="AJ57" i="70"/>
  <c r="AI57" i="70"/>
  <c r="AH57" i="70"/>
  <c r="AG57" i="70"/>
  <c r="AF57" i="70"/>
  <c r="AE57" i="70"/>
  <c r="AD57" i="70"/>
  <c r="AC57" i="70"/>
  <c r="AB57" i="70"/>
  <c r="AA57" i="70"/>
  <c r="Z57" i="70"/>
  <c r="Y57" i="70"/>
  <c r="X57" i="70"/>
  <c r="W57" i="70"/>
  <c r="V57" i="70"/>
  <c r="U57" i="70"/>
  <c r="T57" i="70"/>
  <c r="S57" i="70"/>
  <c r="R57" i="70"/>
  <c r="Q57" i="70"/>
  <c r="P57" i="70"/>
  <c r="O57" i="70"/>
  <c r="N57" i="70"/>
  <c r="M57" i="70"/>
  <c r="L57" i="70"/>
  <c r="K57" i="70"/>
  <c r="J57" i="70"/>
  <c r="I57" i="70"/>
  <c r="H57" i="70"/>
  <c r="G57" i="70"/>
  <c r="F57" i="70"/>
  <c r="E57" i="70"/>
  <c r="D57" i="70"/>
  <c r="AV56" i="70"/>
  <c r="AU56" i="70"/>
  <c r="AT56" i="70"/>
  <c r="AS56" i="70"/>
  <c r="AR56" i="70"/>
  <c r="AQ56" i="70"/>
  <c r="AP56" i="70"/>
  <c r="AO56" i="70"/>
  <c r="AN56" i="70"/>
  <c r="AM56" i="70"/>
  <c r="AL56" i="70"/>
  <c r="AK56" i="70"/>
  <c r="AJ56" i="70"/>
  <c r="AI56" i="70"/>
  <c r="AH56" i="70"/>
  <c r="AG56" i="70"/>
  <c r="AF56" i="70"/>
  <c r="AE56" i="70"/>
  <c r="AD56" i="70"/>
  <c r="AC56" i="70"/>
  <c r="AB56" i="70"/>
  <c r="AA56" i="70"/>
  <c r="Z56" i="70"/>
  <c r="Y56" i="70"/>
  <c r="X56" i="70"/>
  <c r="W56" i="70"/>
  <c r="V56" i="70"/>
  <c r="U56" i="70"/>
  <c r="T56" i="70"/>
  <c r="S56" i="70"/>
  <c r="R56" i="70"/>
  <c r="Q56" i="70"/>
  <c r="P56" i="70"/>
  <c r="O56" i="70"/>
  <c r="N56" i="70"/>
  <c r="M56" i="70"/>
  <c r="L56" i="70"/>
  <c r="K56" i="70"/>
  <c r="J56" i="70"/>
  <c r="I56" i="70"/>
  <c r="H56" i="70"/>
  <c r="G56" i="70"/>
  <c r="F56" i="70"/>
  <c r="E56" i="70"/>
  <c r="D56" i="70"/>
  <c r="AV55" i="70"/>
  <c r="AU55" i="70"/>
  <c r="AT55" i="70"/>
  <c r="AS55" i="70"/>
  <c r="AR55" i="70"/>
  <c r="AQ55" i="70"/>
  <c r="AP55" i="70"/>
  <c r="AO55" i="70"/>
  <c r="AN55" i="70"/>
  <c r="AM55" i="70"/>
  <c r="AL55" i="70"/>
  <c r="AK55" i="70"/>
  <c r="AJ55" i="70"/>
  <c r="AI55" i="70"/>
  <c r="AH55" i="70"/>
  <c r="AG55" i="70"/>
  <c r="AF55" i="70"/>
  <c r="AE55" i="70"/>
  <c r="AD55" i="70"/>
  <c r="AC55" i="70"/>
  <c r="AB55" i="70"/>
  <c r="AA55" i="70"/>
  <c r="Z55" i="70"/>
  <c r="Y55" i="70"/>
  <c r="X55" i="70"/>
  <c r="W55" i="70"/>
  <c r="V55" i="70"/>
  <c r="U55" i="70"/>
  <c r="T55" i="70"/>
  <c r="S55" i="70"/>
  <c r="R55" i="70"/>
  <c r="Q55" i="70"/>
  <c r="P55" i="70"/>
  <c r="O55" i="70"/>
  <c r="N55" i="70"/>
  <c r="M55" i="70"/>
  <c r="L55" i="70"/>
  <c r="K55" i="70"/>
  <c r="J55" i="70"/>
  <c r="I55" i="70"/>
  <c r="H55" i="70"/>
  <c r="G55" i="70"/>
  <c r="F55" i="70"/>
  <c r="E55" i="70"/>
  <c r="D55" i="70"/>
  <c r="AV54" i="70"/>
  <c r="AU54" i="70"/>
  <c r="AT54" i="70"/>
  <c r="AS54" i="70"/>
  <c r="AR54" i="70"/>
  <c r="AQ54" i="70"/>
  <c r="AP54" i="70"/>
  <c r="AO54" i="70"/>
  <c r="AN54" i="70"/>
  <c r="AM54" i="70"/>
  <c r="AL54" i="70"/>
  <c r="AK54" i="70"/>
  <c r="AJ54" i="70"/>
  <c r="AI54" i="70"/>
  <c r="AH54" i="70"/>
  <c r="AG54" i="70"/>
  <c r="AF54" i="70"/>
  <c r="AE54" i="70"/>
  <c r="AD54" i="70"/>
  <c r="AC54" i="70"/>
  <c r="AB54" i="70"/>
  <c r="AA54" i="70"/>
  <c r="Z54" i="70"/>
  <c r="Y54" i="70"/>
  <c r="X54" i="70"/>
  <c r="W54" i="70"/>
  <c r="V54" i="70"/>
  <c r="U54" i="70"/>
  <c r="T54" i="70"/>
  <c r="S54" i="70"/>
  <c r="R54" i="70"/>
  <c r="Q54" i="70"/>
  <c r="P54" i="70"/>
  <c r="O54" i="70"/>
  <c r="N54" i="70"/>
  <c r="M54" i="70"/>
  <c r="L54" i="70"/>
  <c r="K54" i="70"/>
  <c r="J54" i="70"/>
  <c r="I54" i="70"/>
  <c r="H54" i="70"/>
  <c r="G54" i="70"/>
  <c r="F54" i="70"/>
  <c r="E54" i="70"/>
  <c r="D54" i="70"/>
  <c r="AV53" i="70"/>
  <c r="AU53" i="70"/>
  <c r="AT53" i="70"/>
  <c r="AS53" i="70"/>
  <c r="AR53" i="70"/>
  <c r="AQ53" i="70"/>
  <c r="AP53" i="70"/>
  <c r="AO53" i="70"/>
  <c r="AN53" i="70"/>
  <c r="AM53" i="70"/>
  <c r="AL53" i="70"/>
  <c r="AK53" i="70"/>
  <c r="AJ53" i="70"/>
  <c r="AI53" i="70"/>
  <c r="AH53" i="70"/>
  <c r="AG53" i="70"/>
  <c r="AF53" i="70"/>
  <c r="AE53" i="70"/>
  <c r="AD53" i="70"/>
  <c r="AC53" i="70"/>
  <c r="AB53" i="70"/>
  <c r="AA53" i="70"/>
  <c r="Z53" i="70"/>
  <c r="Y53" i="70"/>
  <c r="X53" i="70"/>
  <c r="W53" i="70"/>
  <c r="V53" i="70"/>
  <c r="U53" i="70"/>
  <c r="T53" i="70"/>
  <c r="S53" i="70"/>
  <c r="R53" i="70"/>
  <c r="Q53" i="70"/>
  <c r="P53" i="70"/>
  <c r="O53" i="70"/>
  <c r="N53" i="70"/>
  <c r="M53" i="70"/>
  <c r="L53" i="70"/>
  <c r="K53" i="70"/>
  <c r="J53" i="70"/>
  <c r="I53" i="70"/>
  <c r="H53" i="70"/>
  <c r="G53" i="70"/>
  <c r="F53" i="70"/>
  <c r="E53" i="70"/>
  <c r="D53" i="70"/>
  <c r="AV52" i="70"/>
  <c r="AU52" i="70"/>
  <c r="AT52" i="70"/>
  <c r="AS52" i="70"/>
  <c r="AR52" i="70"/>
  <c r="AQ52" i="70"/>
  <c r="AP52" i="70"/>
  <c r="AO52" i="70"/>
  <c r="AN52" i="70"/>
  <c r="AM52" i="70"/>
  <c r="AL52" i="70"/>
  <c r="AK52" i="70"/>
  <c r="AJ52" i="70"/>
  <c r="AI52" i="70"/>
  <c r="AH52" i="70"/>
  <c r="AG52" i="70"/>
  <c r="AF52" i="70"/>
  <c r="AE52" i="70"/>
  <c r="AD52" i="70"/>
  <c r="AC52" i="70"/>
  <c r="AB52" i="70"/>
  <c r="AA52" i="70"/>
  <c r="Z52" i="70"/>
  <c r="Y52" i="70"/>
  <c r="X52" i="70"/>
  <c r="W52" i="70"/>
  <c r="V52" i="70"/>
  <c r="U52" i="70"/>
  <c r="T52" i="70"/>
  <c r="S52" i="70"/>
  <c r="R52" i="70"/>
  <c r="Q52" i="70"/>
  <c r="P52" i="70"/>
  <c r="O52" i="70"/>
  <c r="N52" i="70"/>
  <c r="M52" i="70"/>
  <c r="L52" i="70"/>
  <c r="K52" i="70"/>
  <c r="J52" i="70"/>
  <c r="I52" i="70"/>
  <c r="H52" i="70"/>
  <c r="G52" i="70"/>
  <c r="F52" i="70"/>
  <c r="E52" i="70"/>
  <c r="D52" i="70"/>
  <c r="AV51" i="70"/>
  <c r="AU51" i="70"/>
  <c r="AT51" i="70"/>
  <c r="AS51" i="70"/>
  <c r="AR51" i="70"/>
  <c r="AQ51" i="70"/>
  <c r="AP51" i="70"/>
  <c r="AO51" i="70"/>
  <c r="AN51" i="70"/>
  <c r="AM51" i="70"/>
  <c r="AL51" i="70"/>
  <c r="AK51" i="70"/>
  <c r="AJ51" i="70"/>
  <c r="AI51" i="70"/>
  <c r="AH51" i="70"/>
  <c r="AG51" i="70"/>
  <c r="AF51" i="70"/>
  <c r="AE51" i="70"/>
  <c r="AD51" i="70"/>
  <c r="AC51" i="70"/>
  <c r="AB51" i="70"/>
  <c r="AA51" i="70"/>
  <c r="Z51" i="70"/>
  <c r="Y51" i="70"/>
  <c r="X51" i="70"/>
  <c r="W51" i="70"/>
  <c r="V51" i="70"/>
  <c r="U51" i="70"/>
  <c r="T51" i="70"/>
  <c r="S51" i="70"/>
  <c r="R51" i="70"/>
  <c r="Q51" i="70"/>
  <c r="P51" i="70"/>
  <c r="O51" i="70"/>
  <c r="N51" i="70"/>
  <c r="M51" i="70"/>
  <c r="L51" i="70"/>
  <c r="K51" i="70"/>
  <c r="J51" i="70"/>
  <c r="I51" i="70"/>
  <c r="H51" i="70"/>
  <c r="G51" i="70"/>
  <c r="F51" i="70"/>
  <c r="E51" i="70"/>
  <c r="D51" i="70"/>
  <c r="AV50" i="70"/>
  <c r="AU50" i="70"/>
  <c r="AT50" i="70"/>
  <c r="AS50" i="70"/>
  <c r="AR50" i="70"/>
  <c r="AQ50" i="70"/>
  <c r="AP50" i="70"/>
  <c r="AO50" i="70"/>
  <c r="AN50" i="70"/>
  <c r="AM50" i="70"/>
  <c r="AL50" i="70"/>
  <c r="AK50" i="70"/>
  <c r="AJ50" i="70"/>
  <c r="AI50" i="70"/>
  <c r="AH50" i="70"/>
  <c r="AG50" i="70"/>
  <c r="AF50" i="70"/>
  <c r="AE50" i="70"/>
  <c r="AD50" i="70"/>
  <c r="AC50" i="70"/>
  <c r="AB50" i="70"/>
  <c r="AA50" i="70"/>
  <c r="Z50" i="70"/>
  <c r="Y50" i="70"/>
  <c r="X50" i="70"/>
  <c r="W50" i="70"/>
  <c r="V50" i="70"/>
  <c r="U50" i="70"/>
  <c r="T50" i="70"/>
  <c r="S50" i="70"/>
  <c r="R50" i="70"/>
  <c r="Q50" i="70"/>
  <c r="P50" i="70"/>
  <c r="O50" i="70"/>
  <c r="N50" i="70"/>
  <c r="M50" i="70"/>
  <c r="L50" i="70"/>
  <c r="K50" i="70"/>
  <c r="J50" i="70"/>
  <c r="I50" i="70"/>
  <c r="H50" i="70"/>
  <c r="G50" i="70"/>
  <c r="F50" i="70"/>
  <c r="E50" i="70"/>
  <c r="D50" i="70"/>
  <c r="AV49" i="70"/>
  <c r="AU49" i="70"/>
  <c r="AT49" i="70"/>
  <c r="AS49" i="70"/>
  <c r="AR49" i="70"/>
  <c r="AQ49" i="70"/>
  <c r="AP49" i="70"/>
  <c r="AO49" i="70"/>
  <c r="AN49" i="70"/>
  <c r="AM49" i="70"/>
  <c r="AL49" i="70"/>
  <c r="AK49" i="70"/>
  <c r="AJ49" i="70"/>
  <c r="AI49" i="70"/>
  <c r="AH49" i="70"/>
  <c r="AG49" i="70"/>
  <c r="AF49" i="70"/>
  <c r="AE49" i="70"/>
  <c r="AD49" i="70"/>
  <c r="AC49" i="70"/>
  <c r="AB49" i="70"/>
  <c r="AA49" i="70"/>
  <c r="Z49" i="70"/>
  <c r="Y49" i="70"/>
  <c r="X49" i="70"/>
  <c r="W49" i="70"/>
  <c r="V49" i="70"/>
  <c r="U49" i="70"/>
  <c r="T49" i="70"/>
  <c r="S49" i="70"/>
  <c r="R49" i="70"/>
  <c r="Q49" i="70"/>
  <c r="P49" i="70"/>
  <c r="O49" i="70"/>
  <c r="N49" i="70"/>
  <c r="M49" i="70"/>
  <c r="L49" i="70"/>
  <c r="K49" i="70"/>
  <c r="J49" i="70"/>
  <c r="I49" i="70"/>
  <c r="H49" i="70"/>
  <c r="G49" i="70"/>
  <c r="F49" i="70"/>
  <c r="E49" i="70"/>
  <c r="D49" i="70"/>
  <c r="AV48" i="70"/>
  <c r="AU48" i="70"/>
  <c r="AT48" i="70"/>
  <c r="AS48" i="70"/>
  <c r="AR48" i="70"/>
  <c r="AQ48" i="70"/>
  <c r="AP48" i="70"/>
  <c r="AO48" i="70"/>
  <c r="AN48" i="70"/>
  <c r="AM48" i="70"/>
  <c r="AL48" i="70"/>
  <c r="AK48" i="70"/>
  <c r="AJ48" i="70"/>
  <c r="AI48" i="70"/>
  <c r="AH48" i="70"/>
  <c r="AG48" i="70"/>
  <c r="AF48" i="70"/>
  <c r="AE48" i="70"/>
  <c r="AD48" i="70"/>
  <c r="AC48" i="70"/>
  <c r="AB48" i="70"/>
  <c r="AA48" i="70"/>
  <c r="Z48" i="70"/>
  <c r="Y48" i="70"/>
  <c r="X48" i="70"/>
  <c r="W48" i="70"/>
  <c r="V48" i="70"/>
  <c r="U48" i="70"/>
  <c r="T48" i="70"/>
  <c r="S48" i="70"/>
  <c r="R48" i="70"/>
  <c r="Q48" i="70"/>
  <c r="P48" i="70"/>
  <c r="O48" i="70"/>
  <c r="N48" i="70"/>
  <c r="M48" i="70"/>
  <c r="L48" i="70"/>
  <c r="K48" i="70"/>
  <c r="J48" i="70"/>
  <c r="I48" i="70"/>
  <c r="H48" i="70"/>
  <c r="G48" i="70"/>
  <c r="F48" i="70"/>
  <c r="E48" i="70"/>
  <c r="D48" i="70"/>
  <c r="AV47" i="70"/>
  <c r="AU47" i="70"/>
  <c r="AT47" i="70"/>
  <c r="AS47" i="70"/>
  <c r="AR47" i="70"/>
  <c r="AQ47" i="70"/>
  <c r="AP47" i="70"/>
  <c r="AO47" i="70"/>
  <c r="AN47" i="70"/>
  <c r="AM47" i="70"/>
  <c r="AL47" i="70"/>
  <c r="AK47" i="70"/>
  <c r="AJ47" i="70"/>
  <c r="AI47" i="70"/>
  <c r="AH47" i="70"/>
  <c r="AG47" i="70"/>
  <c r="AF47" i="70"/>
  <c r="AE47" i="70"/>
  <c r="AD47" i="70"/>
  <c r="AC47" i="70"/>
  <c r="AB47" i="70"/>
  <c r="AA47" i="70"/>
  <c r="Z47" i="70"/>
  <c r="Y47" i="70"/>
  <c r="X47" i="70"/>
  <c r="W47" i="70"/>
  <c r="V47" i="70"/>
  <c r="U47" i="70"/>
  <c r="T47" i="70"/>
  <c r="S47" i="70"/>
  <c r="R47" i="70"/>
  <c r="Q47" i="70"/>
  <c r="P47" i="70"/>
  <c r="O47" i="70"/>
  <c r="N47" i="70"/>
  <c r="M47" i="70"/>
  <c r="L47" i="70"/>
  <c r="K47" i="70"/>
  <c r="J47" i="70"/>
  <c r="I47" i="70"/>
  <c r="H47" i="70"/>
  <c r="G47" i="70"/>
  <c r="F47" i="70"/>
  <c r="E47" i="70"/>
  <c r="D47" i="70"/>
  <c r="AV46" i="70"/>
  <c r="AU46" i="70"/>
  <c r="AT46" i="70"/>
  <c r="AS46" i="70"/>
  <c r="AR46" i="70"/>
  <c r="AQ46" i="70"/>
  <c r="AP46" i="70"/>
  <c r="AO46" i="70"/>
  <c r="AN46" i="70"/>
  <c r="AM46" i="70"/>
  <c r="AL46" i="70"/>
  <c r="AK46" i="70"/>
  <c r="AJ46" i="70"/>
  <c r="AI46" i="70"/>
  <c r="AH46" i="70"/>
  <c r="AG46" i="70"/>
  <c r="AF46" i="70"/>
  <c r="AE46" i="70"/>
  <c r="AD46" i="70"/>
  <c r="AC46" i="70"/>
  <c r="AB46" i="70"/>
  <c r="AA46" i="70"/>
  <c r="Z46" i="70"/>
  <c r="Y46" i="70"/>
  <c r="X46" i="70"/>
  <c r="W46" i="70"/>
  <c r="V46" i="70"/>
  <c r="U46" i="70"/>
  <c r="T46" i="70"/>
  <c r="S46" i="70"/>
  <c r="R46" i="70"/>
  <c r="Q46" i="70"/>
  <c r="P46" i="70"/>
  <c r="O46" i="70"/>
  <c r="N46" i="70"/>
  <c r="M46" i="70"/>
  <c r="L46" i="70"/>
  <c r="K46" i="70"/>
  <c r="J46" i="70"/>
  <c r="I46" i="70"/>
  <c r="H46" i="70"/>
  <c r="G46" i="70"/>
  <c r="F46" i="70"/>
  <c r="E46" i="70"/>
  <c r="D46" i="70"/>
  <c r="AV45" i="70"/>
  <c r="AU45" i="70"/>
  <c r="AT45" i="70"/>
  <c r="AS45" i="70"/>
  <c r="AR45" i="70"/>
  <c r="AQ45" i="70"/>
  <c r="AP45" i="70"/>
  <c r="AO45" i="70"/>
  <c r="AN45" i="70"/>
  <c r="AM45" i="70"/>
  <c r="AL45" i="70"/>
  <c r="AK45" i="70"/>
  <c r="AJ45" i="70"/>
  <c r="AI45" i="70"/>
  <c r="AH45" i="70"/>
  <c r="AG45" i="70"/>
  <c r="AF45" i="70"/>
  <c r="AE45" i="70"/>
  <c r="AD45" i="70"/>
  <c r="AC45" i="70"/>
  <c r="AB45" i="70"/>
  <c r="AA45" i="70"/>
  <c r="Z45" i="70"/>
  <c r="Y45" i="70"/>
  <c r="X45" i="70"/>
  <c r="W45" i="70"/>
  <c r="V45" i="70"/>
  <c r="U45" i="70"/>
  <c r="T45" i="70"/>
  <c r="S45" i="70"/>
  <c r="R45" i="70"/>
  <c r="Q45" i="70"/>
  <c r="P45" i="70"/>
  <c r="O45" i="70"/>
  <c r="N45" i="70"/>
  <c r="M45" i="70"/>
  <c r="L45" i="70"/>
  <c r="K45" i="70"/>
  <c r="J45" i="70"/>
  <c r="I45" i="70"/>
  <c r="H45" i="70"/>
  <c r="G45" i="70"/>
  <c r="F45" i="70"/>
  <c r="E45" i="70"/>
  <c r="D45" i="70"/>
  <c r="AV44" i="70"/>
  <c r="AU44" i="70"/>
  <c r="AT44" i="70"/>
  <c r="AS44" i="70"/>
  <c r="AR44" i="70"/>
  <c r="AQ44" i="70"/>
  <c r="AP44" i="70"/>
  <c r="AO44" i="70"/>
  <c r="AN44" i="70"/>
  <c r="AM44" i="70"/>
  <c r="AL44" i="70"/>
  <c r="AK44" i="70"/>
  <c r="AJ44" i="70"/>
  <c r="AI44" i="70"/>
  <c r="AH44" i="70"/>
  <c r="AG44" i="70"/>
  <c r="AF44" i="70"/>
  <c r="AE44" i="70"/>
  <c r="AD44" i="70"/>
  <c r="AC44" i="70"/>
  <c r="AB44" i="70"/>
  <c r="AA44" i="70"/>
  <c r="Z44" i="70"/>
  <c r="Y44" i="70"/>
  <c r="X44" i="70"/>
  <c r="W44" i="70"/>
  <c r="V44" i="70"/>
  <c r="U44" i="70"/>
  <c r="T44" i="70"/>
  <c r="S44" i="70"/>
  <c r="R44" i="70"/>
  <c r="Q44" i="70"/>
  <c r="P44" i="70"/>
  <c r="O44" i="70"/>
  <c r="N44" i="70"/>
  <c r="M44" i="70"/>
  <c r="L44" i="70"/>
  <c r="K44" i="70"/>
  <c r="J44" i="70"/>
  <c r="I44" i="70"/>
  <c r="H44" i="70"/>
  <c r="G44" i="70"/>
  <c r="F44" i="70"/>
  <c r="E44" i="70"/>
  <c r="D44" i="70"/>
  <c r="AV43" i="70"/>
  <c r="AU43" i="70"/>
  <c r="AT43" i="70"/>
  <c r="AS43" i="70"/>
  <c r="AR43" i="70"/>
  <c r="AQ43" i="70"/>
  <c r="AP43" i="70"/>
  <c r="AO43" i="70"/>
  <c r="AN43" i="70"/>
  <c r="AM43" i="70"/>
  <c r="AL43" i="70"/>
  <c r="AK43" i="70"/>
  <c r="AJ43" i="70"/>
  <c r="AI43" i="70"/>
  <c r="AH43" i="70"/>
  <c r="AG43" i="70"/>
  <c r="AF43" i="70"/>
  <c r="AE43" i="70"/>
  <c r="AD43" i="70"/>
  <c r="AC43" i="70"/>
  <c r="AB43" i="70"/>
  <c r="AA43" i="70"/>
  <c r="Z43" i="70"/>
  <c r="Y43" i="70"/>
  <c r="X43" i="70"/>
  <c r="W43" i="70"/>
  <c r="V43" i="70"/>
  <c r="U43" i="70"/>
  <c r="T43" i="70"/>
  <c r="S43" i="70"/>
  <c r="R43" i="70"/>
  <c r="Q43" i="70"/>
  <c r="P43" i="70"/>
  <c r="O43" i="70"/>
  <c r="N43" i="70"/>
  <c r="M43" i="70"/>
  <c r="L43" i="70"/>
  <c r="K43" i="70"/>
  <c r="J43" i="70"/>
  <c r="I43" i="70"/>
  <c r="H43" i="70"/>
  <c r="G43" i="70"/>
  <c r="F43" i="70"/>
  <c r="E43" i="70"/>
  <c r="D43" i="70"/>
  <c r="AV42" i="70"/>
  <c r="AU42" i="70"/>
  <c r="AT42" i="70"/>
  <c r="AS42" i="70"/>
  <c r="AR42" i="70"/>
  <c r="AQ42" i="70"/>
  <c r="AP42" i="70"/>
  <c r="AO42" i="70"/>
  <c r="AN42" i="70"/>
  <c r="AM42" i="70"/>
  <c r="AL42" i="70"/>
  <c r="AK42" i="70"/>
  <c r="AJ42" i="70"/>
  <c r="AI42" i="70"/>
  <c r="AH42" i="70"/>
  <c r="AG42" i="70"/>
  <c r="AF42" i="70"/>
  <c r="AE42" i="70"/>
  <c r="AD42" i="70"/>
  <c r="AC42" i="70"/>
  <c r="AB42" i="70"/>
  <c r="AA42" i="70"/>
  <c r="Z42" i="70"/>
  <c r="Y42" i="70"/>
  <c r="X42" i="70"/>
  <c r="W42" i="70"/>
  <c r="V42" i="70"/>
  <c r="U42" i="70"/>
  <c r="T42" i="70"/>
  <c r="S42" i="70"/>
  <c r="R42" i="70"/>
  <c r="Q42" i="70"/>
  <c r="P42" i="70"/>
  <c r="O42" i="70"/>
  <c r="N42" i="70"/>
  <c r="M42" i="70"/>
  <c r="L42" i="70"/>
  <c r="K42" i="70"/>
  <c r="J42" i="70"/>
  <c r="I42" i="70"/>
  <c r="H42" i="70"/>
  <c r="G42" i="70"/>
  <c r="F42" i="70"/>
  <c r="E42" i="70"/>
  <c r="D42" i="70"/>
  <c r="AV41" i="70"/>
  <c r="AU41" i="70"/>
  <c r="AT41" i="70"/>
  <c r="AS41" i="70"/>
  <c r="AR41" i="70"/>
  <c r="AQ41" i="70"/>
  <c r="AP41" i="70"/>
  <c r="AO41" i="70"/>
  <c r="AN41" i="70"/>
  <c r="AM41" i="70"/>
  <c r="AL41" i="70"/>
  <c r="AK41" i="70"/>
  <c r="AJ41" i="70"/>
  <c r="AI41" i="70"/>
  <c r="AH41" i="70"/>
  <c r="AG41" i="70"/>
  <c r="AF41" i="70"/>
  <c r="AE41" i="70"/>
  <c r="AD41" i="70"/>
  <c r="AC41" i="70"/>
  <c r="AB41" i="70"/>
  <c r="AA41" i="70"/>
  <c r="Z41" i="70"/>
  <c r="Y41" i="70"/>
  <c r="X41" i="70"/>
  <c r="W41" i="70"/>
  <c r="V41" i="70"/>
  <c r="U41" i="70"/>
  <c r="T41" i="70"/>
  <c r="S41" i="70"/>
  <c r="R41" i="70"/>
  <c r="Q41" i="70"/>
  <c r="P41" i="70"/>
  <c r="O41" i="70"/>
  <c r="N41" i="70"/>
  <c r="M41" i="70"/>
  <c r="L41" i="70"/>
  <c r="K41" i="70"/>
  <c r="J41" i="70"/>
  <c r="I41" i="70"/>
  <c r="H41" i="70"/>
  <c r="G41" i="70"/>
  <c r="F41" i="70"/>
  <c r="E41" i="70"/>
  <c r="D41" i="70"/>
  <c r="AU36" i="70"/>
  <c r="AT36" i="70"/>
  <c r="AS36" i="70"/>
  <c r="AR36" i="70"/>
  <c r="AP36" i="70"/>
  <c r="AO36" i="70"/>
  <c r="AN36" i="70"/>
  <c r="AM36" i="70"/>
  <c r="AK36" i="70"/>
  <c r="AJ36" i="70"/>
  <c r="AI36" i="70"/>
  <c r="AH36" i="70"/>
  <c r="AF36" i="70"/>
  <c r="AE36" i="70"/>
  <c r="AD36" i="70"/>
  <c r="AC36" i="70"/>
  <c r="AA36" i="70"/>
  <c r="Z36" i="70"/>
  <c r="Y36" i="70"/>
  <c r="X36" i="70"/>
  <c r="W36" i="70"/>
  <c r="V36" i="70"/>
  <c r="U36" i="70"/>
  <c r="T36" i="70"/>
  <c r="S36" i="70"/>
  <c r="R36" i="70"/>
  <c r="Q36" i="70"/>
  <c r="P36" i="70"/>
  <c r="O36" i="70"/>
  <c r="N36" i="70"/>
  <c r="M36" i="70"/>
  <c r="L36" i="70"/>
  <c r="K36" i="70"/>
  <c r="J36" i="70"/>
  <c r="I36" i="70"/>
  <c r="H36" i="70"/>
  <c r="G36" i="70"/>
  <c r="F36" i="70"/>
  <c r="E36" i="70"/>
  <c r="D36" i="70"/>
  <c r="AV35" i="70"/>
  <c r="AU35" i="70"/>
  <c r="AT35" i="70"/>
  <c r="AS35" i="70"/>
  <c r="AR35" i="70"/>
  <c r="AQ35" i="70"/>
  <c r="AP35" i="70"/>
  <c r="AO35" i="70"/>
  <c r="AN35" i="70"/>
  <c r="AM35" i="70"/>
  <c r="AL35" i="70"/>
  <c r="AK35" i="70"/>
  <c r="AJ35" i="70"/>
  <c r="AI35" i="70"/>
  <c r="AH35" i="70"/>
  <c r="AG35" i="70"/>
  <c r="AF35" i="70"/>
  <c r="AE35" i="70"/>
  <c r="AD35" i="70"/>
  <c r="AC35" i="70"/>
  <c r="AB35" i="70"/>
  <c r="AA35" i="70"/>
  <c r="Z35" i="70"/>
  <c r="Y35" i="70"/>
  <c r="X35" i="70"/>
  <c r="W35" i="70"/>
  <c r="V35" i="70"/>
  <c r="U35" i="70"/>
  <c r="T35" i="70"/>
  <c r="S35" i="70"/>
  <c r="R35" i="70"/>
  <c r="Q35" i="70"/>
  <c r="P35" i="70"/>
  <c r="O35" i="70"/>
  <c r="N35" i="70"/>
  <c r="M35" i="70"/>
  <c r="L35" i="70"/>
  <c r="K35" i="70"/>
  <c r="J35" i="70"/>
  <c r="I35" i="70"/>
  <c r="H35" i="70"/>
  <c r="G35" i="70"/>
  <c r="F35" i="70"/>
  <c r="E35" i="70"/>
  <c r="D35" i="70"/>
  <c r="Y34" i="70"/>
  <c r="X34" i="70"/>
  <c r="W34" i="70"/>
  <c r="V34" i="70"/>
  <c r="U34" i="70"/>
  <c r="T34" i="70"/>
  <c r="S34" i="70"/>
  <c r="R34" i="70"/>
  <c r="Q34" i="70"/>
  <c r="P34" i="70"/>
  <c r="O34" i="70"/>
  <c r="N34" i="70"/>
  <c r="M34" i="70"/>
  <c r="L34" i="70"/>
  <c r="K34" i="70"/>
  <c r="J34" i="70"/>
  <c r="I34" i="70"/>
  <c r="H34" i="70"/>
  <c r="G34" i="70"/>
  <c r="F34" i="70"/>
  <c r="E34" i="70"/>
  <c r="D34" i="70"/>
  <c r="Y33" i="70"/>
  <c r="X33" i="70"/>
  <c r="W33" i="70"/>
  <c r="V33" i="70"/>
  <c r="U33" i="70"/>
  <c r="T33" i="70"/>
  <c r="S33" i="70"/>
  <c r="R33" i="70"/>
  <c r="Q33" i="70"/>
  <c r="P33" i="70"/>
  <c r="O33" i="70"/>
  <c r="N33" i="70"/>
  <c r="M33" i="70"/>
  <c r="L33" i="70"/>
  <c r="K33" i="70"/>
  <c r="J33" i="70"/>
  <c r="I33" i="70"/>
  <c r="H33" i="70"/>
  <c r="G33" i="70"/>
  <c r="F33" i="70"/>
  <c r="E33" i="70"/>
  <c r="D33" i="70"/>
  <c r="Y32" i="70"/>
  <c r="X32" i="70"/>
  <c r="W32" i="70"/>
  <c r="V32" i="70"/>
  <c r="U32" i="70"/>
  <c r="T32" i="70"/>
  <c r="S32" i="70"/>
  <c r="R32" i="70"/>
  <c r="Q32" i="70"/>
  <c r="P32" i="70"/>
  <c r="O32" i="70"/>
  <c r="N32" i="70"/>
  <c r="M32" i="70"/>
  <c r="L32" i="70"/>
  <c r="K32" i="70"/>
  <c r="J32" i="70"/>
  <c r="I32" i="70"/>
  <c r="H32" i="70"/>
  <c r="G32" i="70"/>
  <c r="F32" i="70"/>
  <c r="E32" i="70"/>
  <c r="D32" i="70"/>
  <c r="AU31" i="70"/>
  <c r="AT31" i="70"/>
  <c r="AS31" i="70"/>
  <c r="AR31" i="70"/>
  <c r="AP31" i="70"/>
  <c r="AO31" i="70"/>
  <c r="AN31" i="70"/>
  <c r="AM31" i="70"/>
  <c r="AK31" i="70"/>
  <c r="AJ31" i="70"/>
  <c r="AI31" i="70"/>
  <c r="AH31" i="70"/>
  <c r="AF31" i="70"/>
  <c r="AE31" i="70"/>
  <c r="AD31" i="70"/>
  <c r="AC31" i="70"/>
  <c r="AA31" i="70"/>
  <c r="Z31" i="70"/>
  <c r="Y31" i="70"/>
  <c r="X31" i="70"/>
  <c r="W31" i="70"/>
  <c r="V31" i="70"/>
  <c r="U31" i="70"/>
  <c r="T31" i="70"/>
  <c r="S31" i="70"/>
  <c r="R31" i="70"/>
  <c r="Q31" i="70"/>
  <c r="P31" i="70"/>
  <c r="O31" i="70"/>
  <c r="N31" i="70"/>
  <c r="M31" i="70"/>
  <c r="L31" i="70"/>
  <c r="K31" i="70"/>
  <c r="J31" i="70"/>
  <c r="I31" i="70"/>
  <c r="H31" i="70"/>
  <c r="G31" i="70"/>
  <c r="F31" i="70"/>
  <c r="E31" i="70"/>
  <c r="D31" i="70"/>
  <c r="AU30" i="70"/>
  <c r="AT30" i="70"/>
  <c r="AS30" i="70"/>
  <c r="AR30" i="70"/>
  <c r="AP30" i="70"/>
  <c r="AO30" i="70"/>
  <c r="AN30" i="70"/>
  <c r="AM30" i="70"/>
  <c r="AK30" i="70"/>
  <c r="AJ30" i="70"/>
  <c r="AI30" i="70"/>
  <c r="AH30" i="70"/>
  <c r="AF30" i="70"/>
  <c r="AE30" i="70"/>
  <c r="AD30" i="70"/>
  <c r="AC30" i="70"/>
  <c r="AA30" i="70"/>
  <c r="Z30" i="70"/>
  <c r="Y30" i="70"/>
  <c r="X30" i="70"/>
  <c r="W30" i="70"/>
  <c r="V30" i="70"/>
  <c r="U30" i="70"/>
  <c r="T30" i="70"/>
  <c r="S30" i="70"/>
  <c r="R30" i="70"/>
  <c r="Q30" i="70"/>
  <c r="P30" i="70"/>
  <c r="O30" i="70"/>
  <c r="N30" i="70"/>
  <c r="M30" i="70"/>
  <c r="L30" i="70"/>
  <c r="K30" i="70"/>
  <c r="J30" i="70"/>
  <c r="I30" i="70"/>
  <c r="H30" i="70"/>
  <c r="G30" i="70"/>
  <c r="F30" i="70"/>
  <c r="E30" i="70"/>
  <c r="D30" i="70"/>
  <c r="Y29" i="70"/>
  <c r="X29" i="70"/>
  <c r="W29" i="70"/>
  <c r="V29" i="70"/>
  <c r="U29" i="70"/>
  <c r="T29" i="70"/>
  <c r="S29" i="70"/>
  <c r="R29" i="70"/>
  <c r="Q29" i="70"/>
  <c r="P29" i="70"/>
  <c r="O29" i="70"/>
  <c r="N29" i="70"/>
  <c r="M29" i="70"/>
  <c r="L29" i="70"/>
  <c r="K29" i="70"/>
  <c r="J29" i="70"/>
  <c r="I29" i="70"/>
  <c r="H29" i="70"/>
  <c r="G29" i="70"/>
  <c r="F29" i="70"/>
  <c r="E29" i="70"/>
  <c r="D29" i="70"/>
  <c r="Y28" i="70"/>
  <c r="X28" i="70"/>
  <c r="W28" i="70"/>
  <c r="V28" i="70"/>
  <c r="U28" i="70"/>
  <c r="T28" i="70"/>
  <c r="S28" i="70"/>
  <c r="R28" i="70"/>
  <c r="Q28" i="70"/>
  <c r="P28" i="70"/>
  <c r="O28" i="70"/>
  <c r="N28" i="70"/>
  <c r="M28" i="70"/>
  <c r="L28" i="70"/>
  <c r="K28" i="70"/>
  <c r="J28" i="70"/>
  <c r="I28" i="70"/>
  <c r="H28" i="70"/>
  <c r="G28" i="70"/>
  <c r="F28" i="70"/>
  <c r="E28" i="70"/>
  <c r="D28" i="70"/>
  <c r="Y27" i="70"/>
  <c r="X27" i="70"/>
  <c r="W27" i="70"/>
  <c r="V27" i="70"/>
  <c r="U27" i="70"/>
  <c r="T27" i="70"/>
  <c r="S27" i="70"/>
  <c r="R27" i="70"/>
  <c r="Q27" i="70"/>
  <c r="P27" i="70"/>
  <c r="O27" i="70"/>
  <c r="N27" i="70"/>
  <c r="M27" i="70"/>
  <c r="L27" i="70"/>
  <c r="K27" i="70"/>
  <c r="J27" i="70"/>
  <c r="I27" i="70"/>
  <c r="H27" i="70"/>
  <c r="G27" i="70"/>
  <c r="F27" i="70"/>
  <c r="E27" i="70"/>
  <c r="D27" i="70"/>
  <c r="AV26" i="70"/>
  <c r="AU26" i="70"/>
  <c r="AT26" i="70"/>
  <c r="AS26" i="70"/>
  <c r="AR26" i="70"/>
  <c r="AQ26" i="70"/>
  <c r="AP26" i="70"/>
  <c r="AO26" i="70"/>
  <c r="AN26" i="70"/>
  <c r="AM26" i="70"/>
  <c r="AL26" i="70"/>
  <c r="AK26" i="70"/>
  <c r="AJ26" i="70"/>
  <c r="AI26" i="70"/>
  <c r="AH26" i="70"/>
  <c r="AG26" i="70"/>
  <c r="AF26" i="70"/>
  <c r="AE26" i="70"/>
  <c r="AD26" i="70"/>
  <c r="AC26" i="70"/>
  <c r="AB26" i="70"/>
  <c r="AA26" i="70"/>
  <c r="Z26" i="70"/>
  <c r="Y26" i="70"/>
  <c r="X26" i="70"/>
  <c r="W26" i="70"/>
  <c r="V26" i="70"/>
  <c r="U26" i="70"/>
  <c r="T26" i="70"/>
  <c r="S26" i="70"/>
  <c r="R26" i="70"/>
  <c r="Q26" i="70"/>
  <c r="P26" i="70"/>
  <c r="O26" i="70"/>
  <c r="N26" i="70"/>
  <c r="M26" i="70"/>
  <c r="L26" i="70"/>
  <c r="K26" i="70"/>
  <c r="J26" i="70"/>
  <c r="I26" i="70"/>
  <c r="H26" i="70"/>
  <c r="G26" i="70"/>
  <c r="F26" i="70"/>
  <c r="E26" i="70"/>
  <c r="D26" i="70"/>
  <c r="Y25" i="70"/>
  <c r="X25" i="70"/>
  <c r="W25" i="70"/>
  <c r="V25" i="70"/>
  <c r="U25" i="70"/>
  <c r="T25" i="70"/>
  <c r="S25" i="70"/>
  <c r="R25" i="70"/>
  <c r="Q25" i="70"/>
  <c r="P25" i="70"/>
  <c r="O25" i="70"/>
  <c r="N25" i="70"/>
  <c r="M25" i="70"/>
  <c r="L25" i="70"/>
  <c r="K25" i="70"/>
  <c r="J25" i="70"/>
  <c r="I25" i="70"/>
  <c r="H25" i="70"/>
  <c r="G25" i="70"/>
  <c r="F25" i="70"/>
  <c r="E25" i="70"/>
  <c r="D25" i="70"/>
  <c r="Y24" i="70"/>
  <c r="X24" i="70"/>
  <c r="W24" i="70"/>
  <c r="V24" i="70"/>
  <c r="U24" i="70"/>
  <c r="T24" i="70"/>
  <c r="S24" i="70"/>
  <c r="R24" i="70"/>
  <c r="Q24" i="70"/>
  <c r="P24" i="70"/>
  <c r="O24" i="70"/>
  <c r="N24" i="70"/>
  <c r="M24" i="70"/>
  <c r="L24" i="70"/>
  <c r="K24" i="70"/>
  <c r="J24" i="70"/>
  <c r="I24" i="70"/>
  <c r="H24" i="70"/>
  <c r="G24" i="70"/>
  <c r="F24" i="70"/>
  <c r="E24" i="70"/>
  <c r="D24" i="70"/>
  <c r="Y23" i="70"/>
  <c r="X23" i="70"/>
  <c r="W23" i="70"/>
  <c r="V23" i="70"/>
  <c r="U23" i="70"/>
  <c r="T23" i="70"/>
  <c r="S23" i="70"/>
  <c r="R23" i="70"/>
  <c r="Q23" i="70"/>
  <c r="P23" i="70"/>
  <c r="O23" i="70"/>
  <c r="N23" i="70"/>
  <c r="M23" i="70"/>
  <c r="L23" i="70"/>
  <c r="K23" i="70"/>
  <c r="J23" i="70"/>
  <c r="I23" i="70"/>
  <c r="H23" i="70"/>
  <c r="G23" i="70"/>
  <c r="F23" i="70"/>
  <c r="E23" i="70"/>
  <c r="D23" i="70"/>
  <c r="AV22" i="70"/>
  <c r="AU22" i="70"/>
  <c r="AT22" i="70"/>
  <c r="AS22" i="70"/>
  <c r="AR22" i="70"/>
  <c r="AQ22" i="70"/>
  <c r="AP22" i="70"/>
  <c r="AO22" i="70"/>
  <c r="AN22" i="70"/>
  <c r="AM22" i="70"/>
  <c r="AL22" i="70"/>
  <c r="AK22" i="70"/>
  <c r="AJ22" i="70"/>
  <c r="AI22" i="70"/>
  <c r="AH22" i="70"/>
  <c r="AG22" i="70"/>
  <c r="AF22" i="70"/>
  <c r="AE22" i="70"/>
  <c r="AD22" i="70"/>
  <c r="AC22" i="70"/>
  <c r="AB22" i="70"/>
  <c r="AA22" i="70"/>
  <c r="Z22" i="70"/>
  <c r="Y22" i="70"/>
  <c r="X22" i="70"/>
  <c r="W22" i="70"/>
  <c r="V22" i="70"/>
  <c r="U22" i="70"/>
  <c r="T22" i="70"/>
  <c r="S22" i="70"/>
  <c r="R22" i="70"/>
  <c r="Q22" i="70"/>
  <c r="P22" i="70"/>
  <c r="O22" i="70"/>
  <c r="N22" i="70"/>
  <c r="M22" i="70"/>
  <c r="L22" i="70"/>
  <c r="K22" i="70"/>
  <c r="J22" i="70"/>
  <c r="I22" i="70"/>
  <c r="H22" i="70"/>
  <c r="G22" i="70"/>
  <c r="F22" i="70"/>
  <c r="E22" i="70"/>
  <c r="D22" i="70"/>
  <c r="Z21" i="70"/>
  <c r="Y21" i="70"/>
  <c r="X21" i="70"/>
  <c r="W21" i="70"/>
  <c r="V21" i="70"/>
  <c r="U21" i="70"/>
  <c r="T21" i="70"/>
  <c r="S21" i="70"/>
  <c r="R21" i="70"/>
  <c r="Q21" i="70"/>
  <c r="P21" i="70"/>
  <c r="O21" i="70"/>
  <c r="N21" i="70"/>
  <c r="M21" i="70"/>
  <c r="L21" i="70"/>
  <c r="K21" i="70"/>
  <c r="J21" i="70"/>
  <c r="I21" i="70"/>
  <c r="H21" i="70"/>
  <c r="G21" i="70"/>
  <c r="F21" i="70"/>
  <c r="E21" i="70"/>
  <c r="D21" i="70"/>
  <c r="AV20" i="70"/>
  <c r="AU20" i="70"/>
  <c r="AT20" i="70"/>
  <c r="AS20" i="70"/>
  <c r="AR20" i="70"/>
  <c r="AQ20" i="70"/>
  <c r="AP20" i="70"/>
  <c r="AO20" i="70"/>
  <c r="AN20" i="70"/>
  <c r="AM20" i="70"/>
  <c r="AL20" i="70"/>
  <c r="AK20" i="70"/>
  <c r="AJ20" i="70"/>
  <c r="AI20" i="70"/>
  <c r="AH20" i="70"/>
  <c r="AG20" i="70"/>
  <c r="AF20" i="70"/>
  <c r="AE20" i="70"/>
  <c r="AD20" i="70"/>
  <c r="AC20" i="70"/>
  <c r="AB20" i="70"/>
  <c r="AA20" i="70"/>
  <c r="Z20" i="70"/>
  <c r="Y20" i="70"/>
  <c r="X20" i="70"/>
  <c r="W20" i="70"/>
  <c r="V20" i="70"/>
  <c r="U20" i="70"/>
  <c r="T20" i="70"/>
  <c r="S20" i="70"/>
  <c r="R20" i="70"/>
  <c r="Q20" i="70"/>
  <c r="P20" i="70"/>
  <c r="O20" i="70"/>
  <c r="N20" i="70"/>
  <c r="M20" i="70"/>
  <c r="L20" i="70"/>
  <c r="K20" i="70"/>
  <c r="J20" i="70"/>
  <c r="I20" i="70"/>
  <c r="H20" i="70"/>
  <c r="G20" i="70"/>
  <c r="F20" i="70"/>
  <c r="E20" i="70"/>
  <c r="D20" i="70"/>
  <c r="Y19" i="70"/>
  <c r="X19" i="70"/>
  <c r="W19" i="70"/>
  <c r="V19" i="70"/>
  <c r="U19" i="70"/>
  <c r="T19" i="70"/>
  <c r="S19" i="70"/>
  <c r="R19" i="70"/>
  <c r="Q19" i="70"/>
  <c r="P19" i="70"/>
  <c r="O19" i="70"/>
  <c r="N19" i="70"/>
  <c r="M19" i="70"/>
  <c r="L19" i="70"/>
  <c r="K19" i="70"/>
  <c r="J19" i="70"/>
  <c r="I19" i="70"/>
  <c r="H19" i="70"/>
  <c r="G19" i="70"/>
  <c r="F19" i="70"/>
  <c r="E19" i="70"/>
  <c r="D19" i="70"/>
  <c r="Y18" i="70"/>
  <c r="X18" i="70"/>
  <c r="W18" i="70"/>
  <c r="V18" i="70"/>
  <c r="U18" i="70"/>
  <c r="T18" i="70"/>
  <c r="S18" i="70"/>
  <c r="R18" i="70"/>
  <c r="Q18" i="70"/>
  <c r="P18" i="70"/>
  <c r="O18" i="70"/>
  <c r="N18" i="70"/>
  <c r="M18" i="70"/>
  <c r="L18" i="70"/>
  <c r="K18" i="70"/>
  <c r="J18" i="70"/>
  <c r="I18" i="70"/>
  <c r="H18" i="70"/>
  <c r="G18" i="70"/>
  <c r="F18" i="70"/>
  <c r="E18" i="70"/>
  <c r="D18" i="70"/>
  <c r="Y17" i="70"/>
  <c r="X17" i="70"/>
  <c r="W17" i="70"/>
  <c r="V17" i="70"/>
  <c r="U17" i="70"/>
  <c r="T17" i="70"/>
  <c r="S17" i="70"/>
  <c r="R17" i="70"/>
  <c r="Q17" i="70"/>
  <c r="P17" i="70"/>
  <c r="O17" i="70"/>
  <c r="N17" i="70"/>
  <c r="M17" i="70"/>
  <c r="L17" i="70"/>
  <c r="K17" i="70"/>
  <c r="J17" i="70"/>
  <c r="I17" i="70"/>
  <c r="H17" i="70"/>
  <c r="G17" i="70"/>
  <c r="F17" i="70"/>
  <c r="E17" i="70"/>
  <c r="D17" i="70"/>
  <c r="AV16" i="70"/>
  <c r="AU16" i="70"/>
  <c r="AT16" i="70"/>
  <c r="AS16" i="70"/>
  <c r="AR16" i="70"/>
  <c r="AQ16" i="70"/>
  <c r="AP16" i="70"/>
  <c r="AO16" i="70"/>
  <c r="AN16" i="70"/>
  <c r="AM16" i="70"/>
  <c r="AL16" i="70"/>
  <c r="AK16" i="70"/>
  <c r="AJ16" i="70"/>
  <c r="AI16" i="70"/>
  <c r="AH16" i="70"/>
  <c r="AG16" i="70"/>
  <c r="AF16" i="70"/>
  <c r="AE16" i="70"/>
  <c r="AD16" i="70"/>
  <c r="AC16" i="70"/>
  <c r="AB16" i="70"/>
  <c r="AA16" i="70"/>
  <c r="Z16" i="70"/>
  <c r="Y16" i="70"/>
  <c r="X16" i="70"/>
  <c r="W16" i="70"/>
  <c r="V16" i="70"/>
  <c r="U16" i="70"/>
  <c r="T16" i="70"/>
  <c r="S16" i="70"/>
  <c r="R16" i="70"/>
  <c r="Q16" i="70"/>
  <c r="P16" i="70"/>
  <c r="O16" i="70"/>
  <c r="N16" i="70"/>
  <c r="M16" i="70"/>
  <c r="L16" i="70"/>
  <c r="K16" i="70"/>
  <c r="J16" i="70"/>
  <c r="I16" i="70"/>
  <c r="H16" i="70"/>
  <c r="G16" i="70"/>
  <c r="F16" i="70"/>
  <c r="E16" i="70"/>
  <c r="D16" i="70"/>
  <c r="Y15" i="70"/>
  <c r="X15" i="70"/>
  <c r="W15" i="70"/>
  <c r="V15" i="70"/>
  <c r="U15" i="70"/>
  <c r="T15" i="70"/>
  <c r="S15" i="70"/>
  <c r="R15" i="70"/>
  <c r="Q15" i="70"/>
  <c r="P15" i="70"/>
  <c r="O15" i="70"/>
  <c r="N15" i="70"/>
  <c r="M15" i="70"/>
  <c r="L15" i="70"/>
  <c r="K15" i="70"/>
  <c r="J15" i="70"/>
  <c r="I15" i="70"/>
  <c r="H15" i="70"/>
  <c r="G15" i="70"/>
  <c r="F15" i="70"/>
  <c r="E15" i="70"/>
  <c r="D15" i="70"/>
  <c r="Y14" i="70"/>
  <c r="X14" i="70"/>
  <c r="W14" i="70"/>
  <c r="V14" i="70"/>
  <c r="U14" i="70"/>
  <c r="T14" i="70"/>
  <c r="S14" i="70"/>
  <c r="R14" i="70"/>
  <c r="Q14" i="70"/>
  <c r="P14" i="70"/>
  <c r="O14" i="70"/>
  <c r="N14" i="70"/>
  <c r="M14" i="70"/>
  <c r="L14" i="70"/>
  <c r="K14" i="70"/>
  <c r="J14" i="70"/>
  <c r="I14" i="70"/>
  <c r="H14" i="70"/>
  <c r="G14" i="70"/>
  <c r="F14" i="70"/>
  <c r="E14" i="70"/>
  <c r="D14" i="70"/>
  <c r="AV13" i="70"/>
  <c r="AU13" i="70"/>
  <c r="AT13" i="70"/>
  <c r="AS13" i="70"/>
  <c r="AR13" i="70"/>
  <c r="AQ13" i="70"/>
  <c r="AP13" i="70"/>
  <c r="AO13" i="70"/>
  <c r="AN13" i="70"/>
  <c r="AM13" i="70"/>
  <c r="AL13" i="70"/>
  <c r="AK13" i="70"/>
  <c r="AJ13" i="70"/>
  <c r="AI13" i="70"/>
  <c r="AH13" i="70"/>
  <c r="AG13" i="70"/>
  <c r="AF13" i="70"/>
  <c r="AE13" i="70"/>
  <c r="AD13" i="70"/>
  <c r="AC13" i="70"/>
  <c r="AB13" i="70"/>
  <c r="AA13" i="70"/>
  <c r="Z13" i="70"/>
  <c r="Y13" i="70"/>
  <c r="X13" i="70"/>
  <c r="W13" i="70"/>
  <c r="V13" i="70"/>
  <c r="U13" i="70"/>
  <c r="T13" i="70"/>
  <c r="S13" i="70"/>
  <c r="R13" i="70"/>
  <c r="Q13" i="70"/>
  <c r="P13" i="70"/>
  <c r="O13" i="70"/>
  <c r="N13" i="70"/>
  <c r="M13" i="70"/>
  <c r="L13" i="70"/>
  <c r="K13" i="70"/>
  <c r="J13" i="70"/>
  <c r="I13" i="70"/>
  <c r="H13" i="70"/>
  <c r="G13" i="70"/>
  <c r="F13" i="70"/>
  <c r="E13" i="70"/>
  <c r="D13" i="70"/>
  <c r="AV12" i="70"/>
  <c r="AU12" i="70"/>
  <c r="AT12" i="70"/>
  <c r="AS12" i="70"/>
  <c r="AR12" i="70"/>
  <c r="AQ12" i="70"/>
  <c r="AP12" i="70"/>
  <c r="AO12" i="70"/>
  <c r="AN12" i="70"/>
  <c r="AM12" i="70"/>
  <c r="AL12" i="70"/>
  <c r="AK12" i="70"/>
  <c r="AJ12" i="70"/>
  <c r="AI12" i="70"/>
  <c r="AH12" i="70"/>
  <c r="AG12" i="70"/>
  <c r="AF12" i="70"/>
  <c r="AE12" i="70"/>
  <c r="AD12" i="70"/>
  <c r="AC12" i="70"/>
  <c r="AB12" i="70"/>
  <c r="AA12" i="70"/>
  <c r="Z12" i="70"/>
  <c r="Y12" i="70"/>
  <c r="X12" i="70"/>
  <c r="W12" i="70"/>
  <c r="V12" i="70"/>
  <c r="U12" i="70"/>
  <c r="T12" i="70"/>
  <c r="S12" i="70"/>
  <c r="R12" i="70"/>
  <c r="Q12" i="70"/>
  <c r="P12" i="70"/>
  <c r="O12" i="70"/>
  <c r="N12" i="70"/>
  <c r="M12" i="70"/>
  <c r="L12" i="70"/>
  <c r="K12" i="70"/>
  <c r="J12" i="70"/>
  <c r="I12" i="70"/>
  <c r="H12" i="70"/>
  <c r="G12" i="70"/>
  <c r="F12" i="70"/>
  <c r="E12" i="70"/>
  <c r="D12" i="70"/>
  <c r="AV11" i="70"/>
  <c r="AU11" i="70"/>
  <c r="AT11" i="70"/>
  <c r="AS11" i="70"/>
  <c r="AR11" i="70"/>
  <c r="AQ11" i="70"/>
  <c r="AP11" i="70"/>
  <c r="AO11" i="70"/>
  <c r="AN11" i="70"/>
  <c r="AM11" i="70"/>
  <c r="AL11" i="70"/>
  <c r="AK11" i="70"/>
  <c r="AJ11" i="70"/>
  <c r="AI11" i="70"/>
  <c r="AH11" i="70"/>
  <c r="AG11" i="70"/>
  <c r="AF11" i="70"/>
  <c r="AE11" i="70"/>
  <c r="AD11"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AV10" i="70"/>
  <c r="AU10" i="70"/>
  <c r="AT10" i="70"/>
  <c r="AS10" i="70"/>
  <c r="AR10" i="70"/>
  <c r="AQ10" i="70"/>
  <c r="AP10" i="70"/>
  <c r="AO10" i="70"/>
  <c r="AN10" i="70"/>
  <c r="AM10" i="70"/>
  <c r="AL10" i="70"/>
  <c r="AK10" i="70"/>
  <c r="AJ10" i="70"/>
  <c r="AI10" i="70"/>
  <c r="AH10" i="70"/>
  <c r="AG10" i="70"/>
  <c r="AF10" i="70"/>
  <c r="AE10" i="70"/>
  <c r="AD10" i="70"/>
  <c r="AC10" i="70"/>
  <c r="AB10" i="70"/>
  <c r="AA10" i="70"/>
  <c r="Z10" i="70"/>
  <c r="Y10" i="70"/>
  <c r="X10" i="70"/>
  <c r="W10" i="70"/>
  <c r="V10" i="70"/>
  <c r="U10" i="70"/>
  <c r="T10" i="70"/>
  <c r="S10" i="70"/>
  <c r="R10" i="70"/>
  <c r="Q10" i="70"/>
  <c r="P10" i="70"/>
  <c r="O10" i="70"/>
  <c r="N10" i="70"/>
  <c r="M10" i="70"/>
  <c r="L10" i="70"/>
  <c r="K10" i="70"/>
  <c r="J10" i="70"/>
  <c r="I10" i="70"/>
  <c r="H10" i="70"/>
  <c r="G10" i="70"/>
  <c r="F10" i="70"/>
  <c r="E10" i="70"/>
  <c r="D10" i="70"/>
  <c r="AV9" i="70"/>
  <c r="AU9" i="70"/>
  <c r="AT9" i="70"/>
  <c r="AS9" i="70"/>
  <c r="AR9" i="70"/>
  <c r="AQ9" i="70"/>
  <c r="AP9" i="70"/>
  <c r="AO9" i="70"/>
  <c r="AN9" i="70"/>
  <c r="AM9" i="70"/>
  <c r="AL9" i="70"/>
  <c r="AK9" i="70"/>
  <c r="AJ9" i="70"/>
  <c r="AI9" i="70"/>
  <c r="AH9" i="70"/>
  <c r="AG9" i="70"/>
  <c r="AF9" i="70"/>
  <c r="AE9" i="70"/>
  <c r="AD9" i="70"/>
  <c r="AC9" i="70"/>
  <c r="AB9" i="70"/>
  <c r="AA9" i="70"/>
  <c r="Z9" i="70"/>
  <c r="Y9" i="70"/>
  <c r="X9" i="70"/>
  <c r="W9" i="70"/>
  <c r="V9" i="70"/>
  <c r="U9" i="70"/>
  <c r="T9" i="70"/>
  <c r="S9" i="70"/>
  <c r="R9" i="70"/>
  <c r="Q9" i="70"/>
  <c r="P9" i="70"/>
  <c r="O9" i="70"/>
  <c r="N9" i="70"/>
  <c r="M9" i="70"/>
  <c r="L9" i="70"/>
  <c r="K9" i="70"/>
  <c r="J9" i="70"/>
  <c r="I9" i="70"/>
  <c r="H9" i="70"/>
  <c r="G9" i="70"/>
  <c r="F9" i="70"/>
  <c r="E9" i="70"/>
  <c r="D9" i="70"/>
  <c r="AV8" i="70"/>
  <c r="AU8" i="70"/>
  <c r="AT8" i="70"/>
  <c r="AS8" i="70"/>
  <c r="AR8" i="70"/>
  <c r="AQ8" i="70"/>
  <c r="AP8" i="70"/>
  <c r="AO8" i="70"/>
  <c r="AN8" i="70"/>
  <c r="AM8" i="70"/>
  <c r="AL8" i="70"/>
  <c r="AK8" i="70"/>
  <c r="AJ8" i="70"/>
  <c r="AI8" i="70"/>
  <c r="AH8" i="70"/>
  <c r="AG8" i="70"/>
  <c r="AF8" i="70"/>
  <c r="AE8" i="70"/>
  <c r="AD8" i="70"/>
  <c r="AC8" i="70"/>
  <c r="AB8" i="70"/>
  <c r="AA8" i="70"/>
  <c r="Z8" i="70"/>
  <c r="Y8" i="70"/>
  <c r="X8" i="70"/>
  <c r="W8" i="70"/>
  <c r="V8" i="70"/>
  <c r="U8" i="70"/>
  <c r="T8" i="70"/>
  <c r="S8" i="70"/>
  <c r="R8" i="70"/>
  <c r="Q8" i="70"/>
  <c r="P8" i="70"/>
  <c r="O8" i="70"/>
  <c r="N8" i="70"/>
  <c r="M8" i="70"/>
  <c r="L8" i="70"/>
  <c r="K8" i="70"/>
  <c r="J8" i="70"/>
  <c r="I8" i="70"/>
  <c r="H8" i="70"/>
  <c r="G8" i="70"/>
  <c r="F8" i="70"/>
  <c r="E8" i="70"/>
  <c r="D8" i="70"/>
  <c r="AV7" i="70"/>
  <c r="AU7" i="70"/>
  <c r="AT7" i="70"/>
  <c r="AS7" i="70"/>
  <c r="AR7" i="70"/>
  <c r="AQ7" i="70"/>
  <c r="AP7" i="70"/>
  <c r="AO7" i="70"/>
  <c r="AN7" i="70"/>
  <c r="AM7" i="70"/>
  <c r="AL7" i="70"/>
  <c r="AK7" i="70"/>
  <c r="AJ7" i="70"/>
  <c r="AI7" i="70"/>
  <c r="AH7" i="70"/>
  <c r="AG7" i="70"/>
  <c r="AF7" i="70"/>
  <c r="AE7" i="70"/>
  <c r="AD7" i="70"/>
  <c r="AC7" i="70"/>
  <c r="AB7" i="70"/>
  <c r="AA7" i="70"/>
  <c r="Z7" i="70"/>
  <c r="Y7" i="70"/>
  <c r="X7" i="70"/>
  <c r="W7" i="70"/>
  <c r="V7" i="70"/>
  <c r="U7" i="70"/>
  <c r="T7" i="70"/>
  <c r="S7" i="70"/>
  <c r="R7" i="70"/>
  <c r="Q7" i="70"/>
  <c r="P7" i="70"/>
  <c r="O7" i="70"/>
  <c r="N7" i="70"/>
  <c r="M7" i="70"/>
  <c r="L7" i="70"/>
  <c r="K7" i="70"/>
  <c r="J7" i="70"/>
  <c r="I7" i="70"/>
  <c r="H7" i="70"/>
  <c r="G7" i="70"/>
  <c r="F7" i="70"/>
  <c r="E7" i="70"/>
  <c r="D7" i="70"/>
  <c r="AV6" i="70"/>
  <c r="AU6" i="70"/>
  <c r="AT6" i="70"/>
  <c r="AS6" i="70"/>
  <c r="AR6" i="70"/>
  <c r="AQ6" i="70"/>
  <c r="AP6" i="70"/>
  <c r="AO6" i="70"/>
  <c r="AN6" i="70"/>
  <c r="AM6" i="70"/>
  <c r="AL6" i="70"/>
  <c r="AK6" i="70"/>
  <c r="AJ6" i="70"/>
  <c r="AI6" i="70"/>
  <c r="AH6" i="70"/>
  <c r="AG6" i="70"/>
  <c r="AF6" i="70"/>
  <c r="AE6" i="70"/>
  <c r="AD6" i="70"/>
  <c r="AC6" i="70"/>
  <c r="AB6" i="70"/>
  <c r="AA6" i="70"/>
  <c r="Z6" i="70"/>
  <c r="Y6" i="70"/>
  <c r="X6" i="70"/>
  <c r="W6" i="70"/>
  <c r="V6" i="70"/>
  <c r="U6" i="70"/>
  <c r="T6" i="70"/>
  <c r="S6" i="70"/>
  <c r="R6" i="70"/>
  <c r="Q6" i="70"/>
  <c r="P6" i="70"/>
  <c r="O6" i="70"/>
  <c r="N6" i="70"/>
  <c r="M6" i="70"/>
  <c r="L6" i="70"/>
  <c r="K6" i="70"/>
  <c r="J6" i="70"/>
  <c r="I6" i="70"/>
  <c r="H6" i="70"/>
  <c r="G6" i="70"/>
  <c r="F6" i="70"/>
  <c r="E6" i="70"/>
  <c r="D6" i="70"/>
  <c r="AV5" i="70"/>
  <c r="AU5" i="70"/>
  <c r="AT5" i="70"/>
  <c r="AS5" i="70"/>
  <c r="AR5" i="70"/>
  <c r="AQ5" i="70"/>
  <c r="AP5" i="70"/>
  <c r="AO5" i="70"/>
  <c r="AN5" i="70"/>
  <c r="AM5" i="70"/>
  <c r="AL5" i="70"/>
  <c r="AK5" i="70"/>
  <c r="AJ5" i="70"/>
  <c r="AI5" i="70"/>
  <c r="AH5" i="70"/>
  <c r="AG5" i="70"/>
  <c r="AF5" i="70"/>
  <c r="AE5" i="70"/>
  <c r="AD5" i="70"/>
  <c r="AC5" i="70"/>
  <c r="AB5" i="70"/>
  <c r="AA5" i="70"/>
  <c r="Z5" i="70"/>
  <c r="Y5" i="70"/>
  <c r="X5" i="70"/>
  <c r="W5" i="70"/>
  <c r="V5" i="70"/>
  <c r="U5" i="70"/>
  <c r="T5" i="70"/>
  <c r="S5" i="70"/>
  <c r="R5" i="70"/>
  <c r="Q5" i="70"/>
  <c r="P5" i="70"/>
  <c r="O5" i="70"/>
  <c r="N5" i="70"/>
  <c r="M5" i="70"/>
  <c r="L5" i="70"/>
  <c r="K5" i="70"/>
  <c r="J5" i="70"/>
  <c r="I5" i="70"/>
  <c r="H5" i="70"/>
  <c r="G5" i="70"/>
  <c r="F5" i="70"/>
  <c r="E5" i="70"/>
  <c r="D5" i="70"/>
  <c r="F29" i="77"/>
  <c r="F31" i="77" s="1"/>
  <c r="F16" i="77"/>
  <c r="F15" i="77"/>
  <c r="F13" i="77"/>
  <c r="F7" i="77"/>
  <c r="F8" i="77" s="1"/>
  <c r="AL67" i="75"/>
  <c r="AL66" i="75"/>
  <c r="AL63" i="75"/>
  <c r="AL62" i="75"/>
  <c r="X58" i="75"/>
  <c r="AC57" i="75"/>
  <c r="X57" i="75"/>
  <c r="S57" i="75"/>
  <c r="N57" i="75"/>
  <c r="J57" i="75"/>
  <c r="I57" i="75"/>
  <c r="E57" i="75"/>
  <c r="D57" i="75"/>
  <c r="AI56" i="75"/>
  <c r="AJ56" i="75" s="1"/>
  <c r="AD56" i="75"/>
  <c r="AE56" i="75" s="1"/>
  <c r="AF56" i="75" s="1"/>
  <c r="AA56" i="75"/>
  <c r="X54" i="75"/>
  <c r="S54" i="75"/>
  <c r="N54" i="75"/>
  <c r="I54" i="75"/>
  <c r="D54" i="75"/>
  <c r="X47" i="75"/>
  <c r="T47" i="75"/>
  <c r="Q47" i="75"/>
  <c r="P47" i="75"/>
  <c r="O47" i="75"/>
  <c r="G47" i="75"/>
  <c r="F47" i="75"/>
  <c r="D47" i="75"/>
  <c r="AG43" i="75"/>
  <c r="AL43" i="75" s="1"/>
  <c r="AQ43" i="75" s="1"/>
  <c r="AV43" i="75" s="1"/>
  <c r="AB43" i="75"/>
  <c r="H40" i="75"/>
  <c r="AV38" i="75"/>
  <c r="AQ38" i="75"/>
  <c r="AL38" i="75"/>
  <c r="AG38" i="75"/>
  <c r="AB38" i="75"/>
  <c r="Y38" i="75"/>
  <c r="W38" i="75"/>
  <c r="T38" i="75"/>
  <c r="U38" i="75" s="1"/>
  <c r="V38" i="75" s="1"/>
  <c r="O38" i="75"/>
  <c r="J38" i="75"/>
  <c r="D38" i="75"/>
  <c r="X37" i="75"/>
  <c r="S37" i="75"/>
  <c r="I37" i="75"/>
  <c r="D37" i="75"/>
  <c r="AV36" i="75"/>
  <c r="AQ36" i="75"/>
  <c r="AL36" i="75"/>
  <c r="AG36" i="75"/>
  <c r="Y36" i="75"/>
  <c r="AB36" i="75" s="1"/>
  <c r="T36" i="75"/>
  <c r="R36" i="75"/>
  <c r="O36" i="75"/>
  <c r="P36" i="75" s="1"/>
  <c r="Q36" i="75" s="1"/>
  <c r="K36" i="75"/>
  <c r="J36" i="75"/>
  <c r="E36" i="75"/>
  <c r="F36" i="75" s="1"/>
  <c r="G36" i="75" s="1"/>
  <c r="Y35" i="75"/>
  <c r="U35" i="75"/>
  <c r="T35" i="75"/>
  <c r="O35" i="75"/>
  <c r="P35" i="75" s="1"/>
  <c r="Q35" i="75" s="1"/>
  <c r="J35" i="75"/>
  <c r="F35" i="75"/>
  <c r="G35" i="75" s="1"/>
  <c r="E35" i="75"/>
  <c r="AU34" i="75"/>
  <c r="AT34" i="75"/>
  <c r="AS34" i="75"/>
  <c r="AR34" i="75"/>
  <c r="AV34" i="75" s="1"/>
  <c r="AP34" i="75"/>
  <c r="AO34" i="75"/>
  <c r="AN34" i="75"/>
  <c r="AM34" i="75"/>
  <c r="AJ34" i="75"/>
  <c r="AI34" i="75"/>
  <c r="AH34" i="75"/>
  <c r="AF34" i="75"/>
  <c r="AE34" i="75"/>
  <c r="AD34" i="75"/>
  <c r="AC34" i="75"/>
  <c r="AB34" i="75"/>
  <c r="AA34" i="75"/>
  <c r="Z34" i="75"/>
  <c r="Y34" i="75"/>
  <c r="Y57" i="75" s="1"/>
  <c r="Y58" i="75" s="1"/>
  <c r="T34" i="75"/>
  <c r="O34" i="75"/>
  <c r="K34" i="75"/>
  <c r="J34" i="75"/>
  <c r="E34" i="75"/>
  <c r="F34" i="75" s="1"/>
  <c r="AD33" i="75"/>
  <c r="AC33" i="75"/>
  <c r="Y33" i="75"/>
  <c r="U33" i="75"/>
  <c r="V33" i="75" s="1"/>
  <c r="T33" i="75"/>
  <c r="O33" i="75"/>
  <c r="P33" i="75" s="1"/>
  <c r="Q33" i="75" s="1"/>
  <c r="J33" i="75"/>
  <c r="F33" i="75"/>
  <c r="G33" i="75" s="1"/>
  <c r="E33" i="75"/>
  <c r="AV32" i="75"/>
  <c r="AQ32" i="75"/>
  <c r="AL32" i="75"/>
  <c r="AG32" i="75"/>
  <c r="AB32" i="75"/>
  <c r="Y32" i="75"/>
  <c r="T32" i="75"/>
  <c r="O32" i="75"/>
  <c r="J32" i="75"/>
  <c r="K32" i="75" s="1"/>
  <c r="L32" i="75" s="1"/>
  <c r="F32" i="75"/>
  <c r="G32" i="75" s="1"/>
  <c r="E32" i="75"/>
  <c r="AV31" i="75"/>
  <c r="AQ31" i="75"/>
  <c r="AL31" i="75"/>
  <c r="AG31" i="75"/>
  <c r="Y31" i="75"/>
  <c r="AB31" i="75" s="1"/>
  <c r="U31" i="75"/>
  <c r="V31" i="75" s="1"/>
  <c r="T31" i="75"/>
  <c r="W31" i="75" s="1"/>
  <c r="P31" i="75"/>
  <c r="Q31" i="75" s="1"/>
  <c r="O31" i="75"/>
  <c r="M31" i="75"/>
  <c r="J31" i="75"/>
  <c r="K31" i="75" s="1"/>
  <c r="L31" i="75" s="1"/>
  <c r="I31" i="75"/>
  <c r="H31" i="75"/>
  <c r="G31" i="75"/>
  <c r="AV30" i="75"/>
  <c r="AQ30" i="75"/>
  <c r="AL30" i="75"/>
  <c r="AG30" i="75"/>
  <c r="AB30" i="75"/>
  <c r="Y30" i="75"/>
  <c r="W30" i="75"/>
  <c r="V30" i="75"/>
  <c r="U30" i="75"/>
  <c r="O30" i="75"/>
  <c r="P30" i="75" s="1"/>
  <c r="Q30" i="75" s="1"/>
  <c r="R30" i="75" s="1"/>
  <c r="N30" i="75"/>
  <c r="N37" i="75" s="1"/>
  <c r="J30" i="75"/>
  <c r="L30" i="75" s="1"/>
  <c r="M30" i="75" s="1"/>
  <c r="F30" i="75"/>
  <c r="F37" i="75" s="1"/>
  <c r="Y29" i="75"/>
  <c r="U29" i="75"/>
  <c r="T29" i="75"/>
  <c r="O29" i="75"/>
  <c r="J29" i="75"/>
  <c r="G29" i="75"/>
  <c r="F29" i="75"/>
  <c r="E29" i="75"/>
  <c r="X27" i="75"/>
  <c r="N27" i="75"/>
  <c r="I27" i="75"/>
  <c r="Y26" i="75"/>
  <c r="T26" i="75"/>
  <c r="P26" i="75"/>
  <c r="Q26" i="75" s="1"/>
  <c r="O26" i="75"/>
  <c r="J26" i="75"/>
  <c r="K26" i="75" s="1"/>
  <c r="E26" i="75"/>
  <c r="Y25" i="75"/>
  <c r="T25" i="75"/>
  <c r="U25" i="75" s="1"/>
  <c r="O25" i="75"/>
  <c r="K25" i="75"/>
  <c r="J25" i="75"/>
  <c r="F25" i="75"/>
  <c r="E25" i="75"/>
  <c r="X24" i="75"/>
  <c r="S24" i="75"/>
  <c r="N24" i="75"/>
  <c r="O24" i="75" s="1"/>
  <c r="O27" i="75" s="1"/>
  <c r="I24" i="75"/>
  <c r="G24" i="75"/>
  <c r="F24" i="75"/>
  <c r="E24" i="75"/>
  <c r="E27" i="75" s="1"/>
  <c r="D24" i="75"/>
  <c r="D27" i="75" s="1"/>
  <c r="X22" i="75"/>
  <c r="S22" i="75"/>
  <c r="X55" i="75" s="1"/>
  <c r="D22" i="75"/>
  <c r="Y21" i="75"/>
  <c r="X21" i="75"/>
  <c r="S21" i="75"/>
  <c r="Q21" i="75"/>
  <c r="P21" i="75"/>
  <c r="O21" i="75"/>
  <c r="N21" i="75"/>
  <c r="L21" i="75"/>
  <c r="M21" i="75" s="1"/>
  <c r="J21" i="75"/>
  <c r="K21" i="75" s="1"/>
  <c r="I21" i="75"/>
  <c r="E21" i="75"/>
  <c r="Y20" i="75"/>
  <c r="U20" i="75"/>
  <c r="T20" i="75"/>
  <c r="O20" i="75"/>
  <c r="K20" i="75"/>
  <c r="L20" i="75" s="1"/>
  <c r="J20" i="75"/>
  <c r="G20" i="75"/>
  <c r="H20" i="75" s="1"/>
  <c r="F20" i="75"/>
  <c r="Y19" i="75"/>
  <c r="T19" i="75"/>
  <c r="U19" i="75" s="1"/>
  <c r="V19" i="75" s="1"/>
  <c r="P19" i="75"/>
  <c r="O19" i="75"/>
  <c r="L19" i="75"/>
  <c r="M19" i="75" s="1"/>
  <c r="J19" i="75"/>
  <c r="K19" i="75" s="1"/>
  <c r="E19" i="75"/>
  <c r="Y18" i="75"/>
  <c r="T18" i="75"/>
  <c r="O18" i="75"/>
  <c r="J18" i="75"/>
  <c r="G18" i="75"/>
  <c r="H18" i="75" s="1"/>
  <c r="F18" i="75"/>
  <c r="E18" i="75"/>
  <c r="Y17" i="75"/>
  <c r="T17" i="75"/>
  <c r="U17" i="75" s="1"/>
  <c r="V17" i="75" s="1"/>
  <c r="S17" i="75"/>
  <c r="Q17" i="75"/>
  <c r="O17" i="75"/>
  <c r="P17" i="75" s="1"/>
  <c r="K17" i="75"/>
  <c r="L17" i="75" s="1"/>
  <c r="M17" i="75" s="1"/>
  <c r="J17" i="75"/>
  <c r="E17" i="75"/>
  <c r="Y16" i="75"/>
  <c r="U16" i="75"/>
  <c r="T16" i="75"/>
  <c r="O16" i="75"/>
  <c r="J16" i="75"/>
  <c r="E16" i="75"/>
  <c r="Y15" i="75"/>
  <c r="T15" i="75"/>
  <c r="O15" i="75"/>
  <c r="K15" i="75"/>
  <c r="L15" i="75" s="1"/>
  <c r="J15" i="75"/>
  <c r="E15" i="75"/>
  <c r="AV13" i="75"/>
  <c r="AQ13" i="75"/>
  <c r="AL13" i="75"/>
  <c r="AG13" i="75"/>
  <c r="Y13" i="75"/>
  <c r="AB13" i="75" s="1"/>
  <c r="X13" i="75"/>
  <c r="V13" i="75"/>
  <c r="U13" i="75"/>
  <c r="T13" i="75"/>
  <c r="W13" i="75" s="1"/>
  <c r="N13" i="75"/>
  <c r="K13" i="75"/>
  <c r="L13" i="75" s="1"/>
  <c r="J13" i="75"/>
  <c r="I13" i="75"/>
  <c r="F13" i="75"/>
  <c r="G13" i="75" s="1"/>
  <c r="E13" i="75"/>
  <c r="H13" i="75" s="1"/>
  <c r="Y12" i="75"/>
  <c r="T12" i="75"/>
  <c r="O12" i="75"/>
  <c r="J12" i="75"/>
  <c r="F12" i="75"/>
  <c r="E12" i="75"/>
  <c r="AV11" i="75"/>
  <c r="AQ11" i="75"/>
  <c r="AL11" i="75"/>
  <c r="AG11" i="75"/>
  <c r="AB11" i="75"/>
  <c r="Y11" i="75"/>
  <c r="T11" i="75"/>
  <c r="U11" i="75" s="1"/>
  <c r="V11" i="75" s="1"/>
  <c r="W11" i="75" s="1"/>
  <c r="P11" i="75"/>
  <c r="Q11" i="75" s="1"/>
  <c r="O11" i="75"/>
  <c r="K11" i="75"/>
  <c r="L11" i="75" s="1"/>
  <c r="J11" i="75"/>
  <c r="M11" i="75" s="1"/>
  <c r="F11" i="75"/>
  <c r="E11" i="75"/>
  <c r="Y10" i="75"/>
  <c r="T10" i="75"/>
  <c r="Q10" i="75"/>
  <c r="Q54" i="75" s="1"/>
  <c r="P10" i="75"/>
  <c r="O10" i="75"/>
  <c r="J10" i="75"/>
  <c r="F10" i="75"/>
  <c r="G10" i="75" s="1"/>
  <c r="G54" i="75" s="1"/>
  <c r="E10" i="75"/>
  <c r="Y9" i="75"/>
  <c r="V9" i="75"/>
  <c r="U9" i="75"/>
  <c r="T9" i="75"/>
  <c r="W9" i="75" s="1"/>
  <c r="R9" i="75"/>
  <c r="O9" i="75"/>
  <c r="P9" i="75" s="1"/>
  <c r="Q9" i="75" s="1"/>
  <c r="K9" i="75"/>
  <c r="L9" i="75" s="1"/>
  <c r="J9" i="75"/>
  <c r="M9" i="75" s="1"/>
  <c r="H9" i="75"/>
  <c r="G9" i="75"/>
  <c r="F9" i="75"/>
  <c r="F54" i="75" s="1"/>
  <c r="E9" i="75"/>
  <c r="Y8" i="75"/>
  <c r="U8" i="75"/>
  <c r="V8" i="75" s="1"/>
  <c r="T8" i="75"/>
  <c r="P8" i="75"/>
  <c r="Q8" i="75" s="1"/>
  <c r="O8" i="75"/>
  <c r="K8" i="75"/>
  <c r="L8" i="75" s="1"/>
  <c r="J8" i="75"/>
  <c r="M8" i="75" s="1"/>
  <c r="F8" i="75"/>
  <c r="G8" i="75" s="1"/>
  <c r="E8" i="75"/>
  <c r="Z7" i="75"/>
  <c r="Y7" i="75"/>
  <c r="V7" i="75"/>
  <c r="V56" i="74" s="1"/>
  <c r="U7" i="75"/>
  <c r="T7" i="75"/>
  <c r="W7" i="75" s="1"/>
  <c r="R7" i="75"/>
  <c r="Q7" i="75"/>
  <c r="Q56" i="74" s="1"/>
  <c r="P7" i="75"/>
  <c r="P56" i="74" s="1"/>
  <c r="O7" i="75"/>
  <c r="K7" i="75"/>
  <c r="J7" i="75"/>
  <c r="F7" i="75"/>
  <c r="E7" i="75"/>
  <c r="Y6" i="75"/>
  <c r="L6" i="75"/>
  <c r="AL66" i="74"/>
  <c r="AQ66" i="74" s="1"/>
  <c r="AV66" i="74" s="1"/>
  <c r="AG66" i="74"/>
  <c r="AB66" i="74"/>
  <c r="W66" i="74"/>
  <c r="X63" i="74"/>
  <c r="W63" i="74"/>
  <c r="T63" i="74"/>
  <c r="Q63" i="74"/>
  <c r="P63" i="74"/>
  <c r="O63" i="74"/>
  <c r="G63" i="74"/>
  <c r="F63" i="74"/>
  <c r="D63" i="74"/>
  <c r="K62" i="74"/>
  <c r="AS61" i="74"/>
  <c r="AO61" i="74"/>
  <c r="AK61" i="74"/>
  <c r="AC61" i="74"/>
  <c r="AA61" i="74"/>
  <c r="Z61" i="74"/>
  <c r="AU60" i="74"/>
  <c r="AR60" i="74" s="1"/>
  <c r="AT60" i="74"/>
  <c r="AP60" i="74"/>
  <c r="AO60" i="74"/>
  <c r="AN60" i="74"/>
  <c r="AM60" i="74"/>
  <c r="AK60" i="74"/>
  <c r="AJ60" i="74"/>
  <c r="AI60" i="74"/>
  <c r="AH60" i="74"/>
  <c r="AF60" i="74"/>
  <c r="AE60" i="74"/>
  <c r="AD60" i="74"/>
  <c r="AC60" i="74"/>
  <c r="AA60" i="74"/>
  <c r="Z60" i="74"/>
  <c r="AD59" i="74"/>
  <c r="AD61" i="74" s="1"/>
  <c r="AE56" i="74"/>
  <c r="X56" i="74"/>
  <c r="U56" i="74"/>
  <c r="T56" i="74"/>
  <c r="S56" i="74"/>
  <c r="O56" i="74"/>
  <c r="N56" i="74"/>
  <c r="K56" i="74"/>
  <c r="J56" i="74"/>
  <c r="I56" i="74"/>
  <c r="E56" i="74"/>
  <c r="AC55" i="74"/>
  <c r="AA55" i="74"/>
  <c r="Y55" i="74"/>
  <c r="AD55" i="74" s="1"/>
  <c r="X55" i="74"/>
  <c r="V55" i="74"/>
  <c r="U55" i="74"/>
  <c r="Z55" i="74" s="1"/>
  <c r="T55" i="74"/>
  <c r="S55" i="74"/>
  <c r="Q55" i="74"/>
  <c r="P55" i="74"/>
  <c r="O55" i="74"/>
  <c r="N55" i="74"/>
  <c r="L55" i="74"/>
  <c r="K55" i="74"/>
  <c r="J55" i="74"/>
  <c r="I55" i="74"/>
  <c r="G55" i="74"/>
  <c r="F55" i="74"/>
  <c r="E55" i="74"/>
  <c r="D55" i="74"/>
  <c r="Y54" i="74"/>
  <c r="X54" i="74"/>
  <c r="V54" i="74"/>
  <c r="U54" i="74"/>
  <c r="Z54" i="74" s="1"/>
  <c r="T54" i="74"/>
  <c r="S54" i="74"/>
  <c r="Q54" i="74"/>
  <c r="P54" i="74"/>
  <c r="O54" i="74"/>
  <c r="N54" i="74"/>
  <c r="L54" i="74"/>
  <c r="K54" i="74"/>
  <c r="J54" i="74"/>
  <c r="I54" i="74"/>
  <c r="G54" i="74"/>
  <c r="F54" i="74"/>
  <c r="E54" i="74"/>
  <c r="D54" i="74"/>
  <c r="Y52" i="74"/>
  <c r="X52" i="74"/>
  <c r="Q52" i="74"/>
  <c r="P52" i="74"/>
  <c r="N52" i="74"/>
  <c r="Y51" i="74"/>
  <c r="AD51" i="74" s="1"/>
  <c r="AD52" i="74" s="1"/>
  <c r="X51" i="74"/>
  <c r="AC51" i="74" s="1"/>
  <c r="AH51" i="74" s="1"/>
  <c r="AM51" i="74" s="1"/>
  <c r="AR51" i="74" s="1"/>
  <c r="AR52" i="74" s="1"/>
  <c r="V51" i="74"/>
  <c r="U51" i="74"/>
  <c r="T51" i="74"/>
  <c r="T52" i="74" s="1"/>
  <c r="S51" i="74"/>
  <c r="Q51" i="74"/>
  <c r="P51" i="74"/>
  <c r="Z51" i="74" s="1"/>
  <c r="AE51" i="74" s="1"/>
  <c r="AJ51" i="74" s="1"/>
  <c r="AO51" i="74" s="1"/>
  <c r="AT51" i="74" s="1"/>
  <c r="AT52" i="74" s="1"/>
  <c r="O51" i="74"/>
  <c r="N51" i="74"/>
  <c r="L51" i="74"/>
  <c r="K51" i="74"/>
  <c r="J51" i="74"/>
  <c r="I51" i="74"/>
  <c r="F51" i="74"/>
  <c r="E51" i="74"/>
  <c r="D51" i="74"/>
  <c r="D52" i="74" s="1"/>
  <c r="Z50" i="74"/>
  <c r="Y50" i="74"/>
  <c r="X50" i="74"/>
  <c r="Q50" i="74"/>
  <c r="AO49" i="74"/>
  <c r="Z49" i="74"/>
  <c r="AE49" i="74" s="1"/>
  <c r="AJ49" i="74" s="1"/>
  <c r="AJ50" i="74" s="1"/>
  <c r="Y49" i="74"/>
  <c r="AD49" i="74" s="1"/>
  <c r="X49" i="74"/>
  <c r="V49" i="74"/>
  <c r="U49" i="74"/>
  <c r="T49" i="74"/>
  <c r="S49" i="74"/>
  <c r="Q49" i="74"/>
  <c r="P49" i="74"/>
  <c r="P50" i="74" s="1"/>
  <c r="O49" i="74"/>
  <c r="N49" i="74"/>
  <c r="N50" i="74" s="1"/>
  <c r="L49" i="74"/>
  <c r="K49" i="74"/>
  <c r="J49" i="74"/>
  <c r="I49" i="74"/>
  <c r="F49" i="74"/>
  <c r="E49" i="74"/>
  <c r="D49" i="74"/>
  <c r="D50" i="74" s="1"/>
  <c r="AU46" i="74"/>
  <c r="AT46" i="74"/>
  <c r="AS46" i="74"/>
  <c r="AR46" i="74"/>
  <c r="AP46" i="74"/>
  <c r="AO46" i="74"/>
  <c r="AN46" i="74"/>
  <c r="AM46" i="74"/>
  <c r="AK46" i="74"/>
  <c r="AJ46" i="74"/>
  <c r="AI46" i="74"/>
  <c r="AH46" i="74"/>
  <c r="AF46" i="74"/>
  <c r="AE46" i="74"/>
  <c r="AD46" i="74"/>
  <c r="AC46" i="74"/>
  <c r="AA46" i="74"/>
  <c r="Z46" i="74"/>
  <c r="Y46" i="74"/>
  <c r="X46" i="74"/>
  <c r="V46" i="74"/>
  <c r="V50" i="74" s="1"/>
  <c r="U46" i="74"/>
  <c r="T46" i="74"/>
  <c r="T50" i="74" s="1"/>
  <c r="S46" i="74"/>
  <c r="S52" i="74" s="1"/>
  <c r="Q46" i="74"/>
  <c r="P46" i="74"/>
  <c r="O46" i="74"/>
  <c r="N46" i="74"/>
  <c r="L46" i="74"/>
  <c r="K46" i="74"/>
  <c r="J46" i="74"/>
  <c r="J52" i="74" s="1"/>
  <c r="I46" i="74"/>
  <c r="G46" i="74"/>
  <c r="F46" i="74"/>
  <c r="E46" i="74"/>
  <c r="E52" i="74" s="1"/>
  <c r="D46" i="74"/>
  <c r="X42" i="74"/>
  <c r="Q42" i="74"/>
  <c r="V41" i="74"/>
  <c r="V62" i="74" s="1"/>
  <c r="Q41" i="74"/>
  <c r="Q62" i="74" s="1"/>
  <c r="O41" i="74"/>
  <c r="N41" i="74"/>
  <c r="N42" i="74" s="1"/>
  <c r="G41" i="74"/>
  <c r="G62" i="74" s="1"/>
  <c r="F41" i="74"/>
  <c r="F62" i="74" s="1"/>
  <c r="AA40" i="74"/>
  <c r="Z40" i="74"/>
  <c r="W40" i="74"/>
  <c r="R40" i="74"/>
  <c r="M40" i="74"/>
  <c r="H40" i="74"/>
  <c r="AE39" i="74"/>
  <c r="AF39" i="74" s="1"/>
  <c r="Z39" i="74"/>
  <c r="AA39" i="74" s="1"/>
  <c r="AC39" i="74" s="1"/>
  <c r="AD39" i="74" s="1"/>
  <c r="W39" i="74"/>
  <c r="R39" i="74"/>
  <c r="M39" i="74"/>
  <c r="H39" i="74"/>
  <c r="W38" i="74"/>
  <c r="R38" i="74"/>
  <c r="M38" i="74"/>
  <c r="M41" i="74" s="1"/>
  <c r="H38" i="74"/>
  <c r="Y37" i="74"/>
  <c r="Y41" i="74" s="1"/>
  <c r="X37" i="74"/>
  <c r="X41" i="74" s="1"/>
  <c r="X62" i="74" s="1"/>
  <c r="W37" i="74"/>
  <c r="V37" i="74"/>
  <c r="U37" i="74"/>
  <c r="U41" i="74" s="1"/>
  <c r="T37" i="74"/>
  <c r="T41" i="74" s="1"/>
  <c r="S37" i="74"/>
  <c r="S41" i="74" s="1"/>
  <c r="R37" i="74"/>
  <c r="Q37" i="74"/>
  <c r="P37" i="74"/>
  <c r="P41" i="74" s="1"/>
  <c r="P62" i="74" s="1"/>
  <c r="O37" i="74"/>
  <c r="N37" i="74"/>
  <c r="L37" i="74"/>
  <c r="M37" i="74" s="1"/>
  <c r="K37" i="74"/>
  <c r="K41" i="74" s="1"/>
  <c r="J37" i="74"/>
  <c r="J41" i="74" s="1"/>
  <c r="I37" i="74"/>
  <c r="I41" i="74" s="1"/>
  <c r="H37" i="74"/>
  <c r="H41" i="74" s="1"/>
  <c r="G37" i="74"/>
  <c r="F37" i="74"/>
  <c r="E37" i="74"/>
  <c r="E41" i="74" s="1"/>
  <c r="D37" i="74"/>
  <c r="D41" i="74" s="1"/>
  <c r="T35" i="74"/>
  <c r="Q35" i="74"/>
  <c r="O35" i="74"/>
  <c r="G35" i="74"/>
  <c r="D35" i="74"/>
  <c r="Z34" i="74"/>
  <c r="AA34" i="74" s="1"/>
  <c r="AC34" i="74" s="1"/>
  <c r="AD34" i="74" s="1"/>
  <c r="AE34" i="74" s="1"/>
  <c r="AF34" i="74" s="1"/>
  <c r="W34" i="74"/>
  <c r="R34" i="74"/>
  <c r="M34" i="74"/>
  <c r="H34" i="74"/>
  <c r="AD33" i="74"/>
  <c r="AE33" i="74" s="1"/>
  <c r="AF33" i="74" s="1"/>
  <c r="AC33" i="74"/>
  <c r="Z33" i="74"/>
  <c r="AA33" i="74" s="1"/>
  <c r="AB33" i="74" s="1"/>
  <c r="W33" i="74"/>
  <c r="R33" i="74"/>
  <c r="M33" i="74"/>
  <c r="H33" i="74"/>
  <c r="AE32" i="74"/>
  <c r="AF32" i="74" s="1"/>
  <c r="AB32" i="74"/>
  <c r="Z32" i="74"/>
  <c r="AA32" i="74" s="1"/>
  <c r="AC32" i="74" s="1"/>
  <c r="AD32" i="74" s="1"/>
  <c r="W32" i="74"/>
  <c r="R32" i="74"/>
  <c r="M32" i="74"/>
  <c r="H32" i="74"/>
  <c r="AA31" i="74"/>
  <c r="Z31" i="74"/>
  <c r="W31" i="74"/>
  <c r="R31" i="74"/>
  <c r="M31" i="74"/>
  <c r="H31" i="74"/>
  <c r="Y30" i="74"/>
  <c r="Y35" i="74" s="1"/>
  <c r="X30" i="74"/>
  <c r="X35" i="74" s="1"/>
  <c r="Q30" i="74"/>
  <c r="P30" i="74"/>
  <c r="P35" i="74" s="1"/>
  <c r="P42" i="74" s="1"/>
  <c r="O30" i="74"/>
  <c r="N30" i="74"/>
  <c r="N35" i="74" s="1"/>
  <c r="K30" i="74"/>
  <c r="K35" i="74" s="1"/>
  <c r="J30" i="74"/>
  <c r="J35" i="74" s="1"/>
  <c r="G30" i="74"/>
  <c r="F30" i="74"/>
  <c r="F35" i="74" s="1"/>
  <c r="E30" i="74"/>
  <c r="E35" i="74" s="1"/>
  <c r="D30" i="74"/>
  <c r="AV29" i="74"/>
  <c r="AQ29" i="74"/>
  <c r="AL29" i="74"/>
  <c r="AG29" i="74"/>
  <c r="AB29" i="74"/>
  <c r="W29" i="74"/>
  <c r="R29" i="74"/>
  <c r="M29" i="74"/>
  <c r="H29" i="74"/>
  <c r="Y28" i="74"/>
  <c r="W28" i="74"/>
  <c r="V28" i="74"/>
  <c r="V47" i="75" s="1"/>
  <c r="U28" i="74"/>
  <c r="S28" i="74"/>
  <c r="R28" i="74"/>
  <c r="R47" i="75" s="1"/>
  <c r="N28" i="74"/>
  <c r="N47" i="75" s="1"/>
  <c r="L28" i="74"/>
  <c r="K28" i="74"/>
  <c r="K47" i="75" s="1"/>
  <c r="J28" i="74"/>
  <c r="I28" i="74"/>
  <c r="H28" i="74"/>
  <c r="H47" i="75" s="1"/>
  <c r="E28" i="74"/>
  <c r="E47" i="75" s="1"/>
  <c r="Z27" i="74"/>
  <c r="W27" i="74"/>
  <c r="R27" i="74"/>
  <c r="M27" i="74"/>
  <c r="H27" i="74"/>
  <c r="AB26" i="74"/>
  <c r="AA26" i="74"/>
  <c r="AC26" i="74" s="1"/>
  <c r="AD26" i="74" s="1"/>
  <c r="AE26" i="74" s="1"/>
  <c r="AF26" i="74" s="1"/>
  <c r="AH26" i="74" s="1"/>
  <c r="AI26" i="74" s="1"/>
  <c r="AJ26" i="74" s="1"/>
  <c r="AK26" i="74" s="1"/>
  <c r="Z26" i="74"/>
  <c r="W26" i="74"/>
  <c r="R26" i="74"/>
  <c r="M26" i="74"/>
  <c r="H26" i="74"/>
  <c r="Z25" i="74"/>
  <c r="W25" i="74"/>
  <c r="V25" i="74"/>
  <c r="V30" i="74" s="1"/>
  <c r="V35" i="74" s="1"/>
  <c r="V42" i="74" s="1"/>
  <c r="U25" i="74"/>
  <c r="T25" i="74"/>
  <c r="T30" i="74" s="1"/>
  <c r="R25" i="74"/>
  <c r="M25" i="74"/>
  <c r="H25" i="74"/>
  <c r="AB24" i="74"/>
  <c r="Z24" i="74"/>
  <c r="AA24" i="74" s="1"/>
  <c r="AC24" i="74" s="1"/>
  <c r="AD24" i="74" s="1"/>
  <c r="AE24" i="74" s="1"/>
  <c r="AF24" i="74" s="1"/>
  <c r="AH24" i="74" s="1"/>
  <c r="AI24" i="74" s="1"/>
  <c r="AJ24" i="74" s="1"/>
  <c r="AK24" i="74" s="1"/>
  <c r="W24" i="74"/>
  <c r="R24" i="74"/>
  <c r="M24" i="74"/>
  <c r="H24" i="74"/>
  <c r="AB23" i="74"/>
  <c r="AA23" i="74"/>
  <c r="AA21" i="75" s="1"/>
  <c r="Z23" i="74"/>
  <c r="Z21" i="75" s="1"/>
  <c r="AB21" i="75" s="1"/>
  <c r="W23" i="74"/>
  <c r="R23" i="74"/>
  <c r="M23" i="74"/>
  <c r="H23" i="74"/>
  <c r="W22" i="74"/>
  <c r="R22" i="74"/>
  <c r="M22" i="74"/>
  <c r="H22" i="74"/>
  <c r="AF19" i="74"/>
  <c r="AB19" i="74"/>
  <c r="AA19" i="74"/>
  <c r="AC19" i="74" s="1"/>
  <c r="AD19" i="74" s="1"/>
  <c r="AE19" i="74" s="1"/>
  <c r="Z19" i="74"/>
  <c r="W19" i="74"/>
  <c r="R19" i="74"/>
  <c r="M19" i="74"/>
  <c r="H19" i="74"/>
  <c r="AD18" i="74"/>
  <c r="AE18" i="74" s="1"/>
  <c r="AF18" i="74" s="1"/>
  <c r="AG18" i="74" s="1"/>
  <c r="AC18" i="74"/>
  <c r="AA18" i="74"/>
  <c r="AB18" i="74" s="1"/>
  <c r="Z18" i="74"/>
  <c r="W18" i="74"/>
  <c r="R18" i="74"/>
  <c r="M18" i="74"/>
  <c r="H18" i="74"/>
  <c r="W17" i="74"/>
  <c r="R17" i="74"/>
  <c r="M17" i="74"/>
  <c r="H17" i="74"/>
  <c r="Z16" i="74"/>
  <c r="Z8" i="75" s="1"/>
  <c r="W16" i="74"/>
  <c r="R16" i="74"/>
  <c r="M16" i="74"/>
  <c r="H16" i="74"/>
  <c r="H55" i="74" s="1"/>
  <c r="AB15" i="74"/>
  <c r="Z15" i="74"/>
  <c r="AA15" i="74" s="1"/>
  <c r="AC15" i="74" s="1"/>
  <c r="AD15" i="74" s="1"/>
  <c r="AE15" i="74" s="1"/>
  <c r="AF15" i="74" s="1"/>
  <c r="W15" i="74"/>
  <c r="R15" i="74"/>
  <c r="M15" i="74"/>
  <c r="H15" i="74"/>
  <c r="W14" i="74"/>
  <c r="R14" i="74"/>
  <c r="M14" i="74"/>
  <c r="H14" i="74"/>
  <c r="Z13" i="74"/>
  <c r="W13" i="74"/>
  <c r="R13" i="74"/>
  <c r="M13" i="74"/>
  <c r="H13" i="74"/>
  <c r="W12" i="74"/>
  <c r="R12" i="74"/>
  <c r="M12" i="74"/>
  <c r="H12" i="74"/>
  <c r="Z10" i="74"/>
  <c r="W10" i="74"/>
  <c r="R10" i="74"/>
  <c r="M10" i="74"/>
  <c r="H10" i="74"/>
  <c r="W9" i="74"/>
  <c r="R9" i="74"/>
  <c r="M9" i="74"/>
  <c r="H9" i="74"/>
  <c r="W8" i="74"/>
  <c r="R8" i="74"/>
  <c r="M8" i="74"/>
  <c r="H8" i="74"/>
  <c r="W7" i="74"/>
  <c r="R7" i="74"/>
  <c r="M7" i="74"/>
  <c r="H7" i="74"/>
  <c r="H54" i="74" s="1"/>
  <c r="Y187" i="73"/>
  <c r="AM186" i="73"/>
  <c r="AK186" i="73"/>
  <c r="AJ186" i="73"/>
  <c r="AI186" i="73"/>
  <c r="AH186" i="73"/>
  <c r="AF186" i="73"/>
  <c r="AE186" i="73"/>
  <c r="AF185" i="73"/>
  <c r="AE185" i="73"/>
  <c r="V173" i="73"/>
  <c r="N173" i="73"/>
  <c r="Y172" i="73"/>
  <c r="X172" i="73"/>
  <c r="V172" i="73"/>
  <c r="U172" i="73"/>
  <c r="U173" i="73" s="1"/>
  <c r="T172" i="73"/>
  <c r="Q172" i="73"/>
  <c r="Q173" i="73" s="1"/>
  <c r="P172" i="73"/>
  <c r="O172" i="73"/>
  <c r="N172" i="73"/>
  <c r="K172" i="73"/>
  <c r="T171" i="73"/>
  <c r="Q171" i="73"/>
  <c r="F171" i="73"/>
  <c r="E171" i="73"/>
  <c r="Y170" i="73"/>
  <c r="U170" i="73"/>
  <c r="S170" i="73"/>
  <c r="S173" i="73" s="1"/>
  <c r="Q170" i="73"/>
  <c r="O170" i="73"/>
  <c r="O173" i="73" s="1"/>
  <c r="N170" i="73"/>
  <c r="F170" i="73"/>
  <c r="F173" i="73" s="1"/>
  <c r="E170" i="73"/>
  <c r="E173" i="73" s="1"/>
  <c r="Y168" i="73"/>
  <c r="X168" i="73"/>
  <c r="X170" i="73" s="1"/>
  <c r="V168" i="73"/>
  <c r="V170" i="73" s="1"/>
  <c r="U168" i="73"/>
  <c r="T168" i="73"/>
  <c r="T170" i="73" s="1"/>
  <c r="T173" i="73" s="1"/>
  <c r="S168" i="73"/>
  <c r="Q168" i="73"/>
  <c r="P168" i="73"/>
  <c r="P170" i="73" s="1"/>
  <c r="O168" i="73"/>
  <c r="N168" i="73"/>
  <c r="L168" i="73"/>
  <c r="L170" i="73" s="1"/>
  <c r="L173" i="73" s="1"/>
  <c r="K168" i="73"/>
  <c r="K170" i="73" s="1"/>
  <c r="J168" i="73"/>
  <c r="J170" i="73" s="1"/>
  <c r="J173" i="73" s="1"/>
  <c r="I168" i="73"/>
  <c r="I170" i="73" s="1"/>
  <c r="I173" i="73" s="1"/>
  <c r="F168" i="73"/>
  <c r="E168" i="73"/>
  <c r="D168" i="73"/>
  <c r="D170" i="73" s="1"/>
  <c r="D173" i="73" s="1"/>
  <c r="AR167" i="73"/>
  <c r="AM167" i="73"/>
  <c r="AH167" i="73"/>
  <c r="AA167" i="73"/>
  <c r="AC167" i="73" s="1"/>
  <c r="H167" i="73"/>
  <c r="AR166" i="73"/>
  <c r="AM166" i="73"/>
  <c r="AH166" i="73"/>
  <c r="AC166" i="73"/>
  <c r="H166" i="73"/>
  <c r="Z165" i="73"/>
  <c r="S165" i="73"/>
  <c r="G165" i="73"/>
  <c r="H165" i="73" s="1"/>
  <c r="D165" i="73"/>
  <c r="AR164" i="73"/>
  <c r="AM164" i="73"/>
  <c r="AH164" i="73"/>
  <c r="AC164" i="73"/>
  <c r="D164" i="73"/>
  <c r="H164" i="73" s="1"/>
  <c r="AD163" i="73"/>
  <c r="AD163" i="70" s="1"/>
  <c r="K163" i="73"/>
  <c r="G163" i="73"/>
  <c r="D163" i="73"/>
  <c r="H163" i="73" s="1"/>
  <c r="F161" i="73"/>
  <c r="E161" i="73"/>
  <c r="E158" i="73"/>
  <c r="D158" i="73"/>
  <c r="D157" i="73"/>
  <c r="AA155" i="73"/>
  <c r="Z155" i="73"/>
  <c r="Y155" i="73"/>
  <c r="X155" i="73"/>
  <c r="V155" i="73"/>
  <c r="V152" i="73" s="1"/>
  <c r="U155" i="73"/>
  <c r="Q155" i="73"/>
  <c r="Q151" i="73" s="1"/>
  <c r="P155" i="73"/>
  <c r="O155" i="73"/>
  <c r="N155" i="73"/>
  <c r="N151" i="73" s="1"/>
  <c r="L155" i="73"/>
  <c r="K155" i="73"/>
  <c r="J155" i="73"/>
  <c r="I155" i="73"/>
  <c r="G155" i="73"/>
  <c r="G152" i="73" s="1"/>
  <c r="E155" i="73"/>
  <c r="AV154" i="73"/>
  <c r="AQ154" i="73"/>
  <c r="AK154" i="73"/>
  <c r="AG154" i="73"/>
  <c r="AB154" i="73"/>
  <c r="V154" i="73"/>
  <c r="T154" i="73"/>
  <c r="W154" i="73" s="1"/>
  <c r="S154" i="73"/>
  <c r="R154" i="73"/>
  <c r="M154" i="73"/>
  <c r="F154" i="73"/>
  <c r="H154" i="73" s="1"/>
  <c r="V153" i="73"/>
  <c r="X152" i="73"/>
  <c r="U152" i="73"/>
  <c r="T152" i="73"/>
  <c r="S152" i="73"/>
  <c r="O152" i="73"/>
  <c r="N152" i="73"/>
  <c r="K152" i="73"/>
  <c r="I152" i="73"/>
  <c r="E152" i="73"/>
  <c r="U151" i="73"/>
  <c r="T151" i="73"/>
  <c r="S151" i="73"/>
  <c r="O151" i="73"/>
  <c r="K151" i="73"/>
  <c r="I151" i="73"/>
  <c r="X148" i="73"/>
  <c r="AD145" i="73"/>
  <c r="AE145" i="73" s="1"/>
  <c r="AF145" i="73" s="1"/>
  <c r="AH145" i="73" s="1"/>
  <c r="AI145" i="73" s="1"/>
  <c r="AJ145" i="73" s="1"/>
  <c r="AK145" i="73" s="1"/>
  <c r="AM145" i="73" s="1"/>
  <c r="AN145" i="73" s="1"/>
  <c r="AO145" i="73" s="1"/>
  <c r="AP145" i="73" s="1"/>
  <c r="AR145" i="73" s="1"/>
  <c r="AS145" i="73" s="1"/>
  <c r="AT145" i="73" s="1"/>
  <c r="AU145" i="73" s="1"/>
  <c r="AA145" i="73"/>
  <c r="AC145" i="73" s="1"/>
  <c r="Y145" i="73"/>
  <c r="X145" i="73"/>
  <c r="F17" i="77" s="1"/>
  <c r="T145" i="73"/>
  <c r="S145" i="73"/>
  <c r="Q145" i="73"/>
  <c r="P145" i="73"/>
  <c r="O145" i="73"/>
  <c r="N145" i="73"/>
  <c r="L145" i="73"/>
  <c r="K145" i="73"/>
  <c r="J145" i="73"/>
  <c r="I145" i="73"/>
  <c r="F145" i="73"/>
  <c r="E145" i="73"/>
  <c r="AA144" i="73"/>
  <c r="AC144" i="73" s="1"/>
  <c r="AD144" i="73" s="1"/>
  <c r="AE144" i="73" s="1"/>
  <c r="AF144" i="73" s="1"/>
  <c r="AH144" i="73" s="1"/>
  <c r="AI144" i="73" s="1"/>
  <c r="AJ144" i="73" s="1"/>
  <c r="AK144" i="73" s="1"/>
  <c r="AM144" i="73" s="1"/>
  <c r="AN144" i="73" s="1"/>
  <c r="AO144" i="73" s="1"/>
  <c r="AP144" i="73" s="1"/>
  <c r="AR144" i="73" s="1"/>
  <c r="AS144" i="73" s="1"/>
  <c r="AT144" i="73" s="1"/>
  <c r="AU144" i="73" s="1"/>
  <c r="Y136" i="73"/>
  <c r="X136" i="73"/>
  <c r="V136" i="73"/>
  <c r="U136" i="73"/>
  <c r="T136" i="73"/>
  <c r="S136" i="73"/>
  <c r="Q136" i="73"/>
  <c r="P136" i="73"/>
  <c r="O136" i="73"/>
  <c r="N136" i="73"/>
  <c r="L136" i="73"/>
  <c r="K136" i="73"/>
  <c r="J136" i="73"/>
  <c r="I136" i="73"/>
  <c r="F136" i="73"/>
  <c r="E136" i="73"/>
  <c r="D136" i="73"/>
  <c r="Y135" i="73"/>
  <c r="X135" i="73"/>
  <c r="V135" i="73"/>
  <c r="U135" i="73"/>
  <c r="T135" i="73"/>
  <c r="S135" i="73"/>
  <c r="Q135" i="73"/>
  <c r="P135" i="73"/>
  <c r="O135" i="73"/>
  <c r="N135" i="73"/>
  <c r="L135" i="73"/>
  <c r="K135" i="73"/>
  <c r="J135" i="73"/>
  <c r="I135" i="73"/>
  <c r="F135" i="73"/>
  <c r="E135" i="73"/>
  <c r="D135" i="73"/>
  <c r="Y134" i="73"/>
  <c r="X134" i="73"/>
  <c r="V134" i="73"/>
  <c r="U134" i="73"/>
  <c r="T134" i="73"/>
  <c r="S134" i="73"/>
  <c r="Q134" i="73"/>
  <c r="P134" i="73"/>
  <c r="O134" i="73"/>
  <c r="N134" i="73"/>
  <c r="L134" i="73"/>
  <c r="K134" i="73"/>
  <c r="J134" i="73"/>
  <c r="I134" i="73"/>
  <c r="F134" i="73"/>
  <c r="E134" i="73"/>
  <c r="D134" i="73"/>
  <c r="Y133" i="73"/>
  <c r="X133" i="73"/>
  <c r="V133" i="73"/>
  <c r="U133" i="73"/>
  <c r="T133" i="73"/>
  <c r="S133" i="73"/>
  <c r="Q133" i="73"/>
  <c r="P133" i="73"/>
  <c r="O133" i="73"/>
  <c r="N133" i="73"/>
  <c r="L133" i="73"/>
  <c r="K133" i="73"/>
  <c r="J133" i="73"/>
  <c r="I133" i="73"/>
  <c r="F133" i="73"/>
  <c r="E133" i="73"/>
  <c r="D133" i="73"/>
  <c r="Y131" i="73"/>
  <c r="X131" i="73"/>
  <c r="V131" i="73"/>
  <c r="S131" i="73"/>
  <c r="Q131" i="73"/>
  <c r="P131" i="73"/>
  <c r="N131" i="73"/>
  <c r="K131" i="73"/>
  <c r="I131" i="73"/>
  <c r="Y130" i="73"/>
  <c r="X130" i="73"/>
  <c r="V130" i="73"/>
  <c r="U130" i="73"/>
  <c r="U131" i="73" s="1"/>
  <c r="T130" i="73"/>
  <c r="T131" i="73" s="1"/>
  <c r="S130" i="73"/>
  <c r="Q130" i="73"/>
  <c r="P130" i="73"/>
  <c r="O130" i="73"/>
  <c r="O131" i="73" s="1"/>
  <c r="N130" i="73"/>
  <c r="L130" i="73"/>
  <c r="L131" i="73" s="1"/>
  <c r="K130" i="73"/>
  <c r="J130" i="73"/>
  <c r="J131" i="73" s="1"/>
  <c r="I130" i="73"/>
  <c r="F130" i="73"/>
  <c r="F131" i="73" s="1"/>
  <c r="E130" i="73"/>
  <c r="E131" i="73" s="1"/>
  <c r="D130" i="73"/>
  <c r="D131" i="73" s="1"/>
  <c r="AA129" i="73"/>
  <c r="W129" i="73"/>
  <c r="R129" i="73"/>
  <c r="M129" i="73"/>
  <c r="AA128" i="73"/>
  <c r="AC128" i="73" s="1"/>
  <c r="Z128" i="73"/>
  <c r="W128" i="73"/>
  <c r="R128" i="73"/>
  <c r="R130" i="73" s="1"/>
  <c r="R131" i="73" s="1"/>
  <c r="M128" i="73"/>
  <c r="Z127" i="73"/>
  <c r="W127" i="73"/>
  <c r="R127" i="73"/>
  <c r="M127" i="73"/>
  <c r="AD126" i="73"/>
  <c r="AE126" i="73" s="1"/>
  <c r="AF126" i="73" s="1"/>
  <c r="AB126" i="73"/>
  <c r="Z126" i="73"/>
  <c r="AA126" i="73" s="1"/>
  <c r="AC126" i="73" s="1"/>
  <c r="W126" i="73"/>
  <c r="R126" i="73"/>
  <c r="M126" i="73"/>
  <c r="G126" i="73"/>
  <c r="G130" i="73" s="1"/>
  <c r="G131" i="73" s="1"/>
  <c r="Z125" i="73"/>
  <c r="W125" i="73"/>
  <c r="W130" i="73" s="1"/>
  <c r="R125" i="73"/>
  <c r="M125" i="73"/>
  <c r="AB124" i="73"/>
  <c r="Y124" i="73"/>
  <c r="X124" i="73"/>
  <c r="W124" i="73"/>
  <c r="V124" i="73"/>
  <c r="U124" i="73"/>
  <c r="T124" i="73"/>
  <c r="S124" i="73"/>
  <c r="Q124" i="73"/>
  <c r="P124" i="73"/>
  <c r="O124" i="73"/>
  <c r="N124" i="73"/>
  <c r="L124" i="73"/>
  <c r="K124" i="73"/>
  <c r="J124" i="73"/>
  <c r="I124" i="73"/>
  <c r="AI123" i="73"/>
  <c r="AH123" i="73"/>
  <c r="AE123" i="73"/>
  <c r="AD123" i="73"/>
  <c r="AC123" i="73"/>
  <c r="AA123" i="73"/>
  <c r="AF123" i="73" s="1"/>
  <c r="Z123" i="73"/>
  <c r="AB123" i="73" s="1"/>
  <c r="W123" i="73"/>
  <c r="R123" i="73"/>
  <c r="M123" i="73"/>
  <c r="H123" i="73"/>
  <c r="P121" i="73"/>
  <c r="N121" i="73"/>
  <c r="F121" i="73"/>
  <c r="U120" i="73"/>
  <c r="U121" i="73" s="1"/>
  <c r="T120" i="73"/>
  <c r="T121" i="73" s="1"/>
  <c r="L120" i="73"/>
  <c r="L121" i="73" s="1"/>
  <c r="K120" i="73"/>
  <c r="K121" i="73" s="1"/>
  <c r="J120" i="73"/>
  <c r="J121" i="73" s="1"/>
  <c r="AD119" i="73"/>
  <c r="Z119" i="73"/>
  <c r="AA119" i="73" s="1"/>
  <c r="AC119" i="73" s="1"/>
  <c r="W119" i="73"/>
  <c r="R119" i="73"/>
  <c r="M119" i="73"/>
  <c r="H119" i="73"/>
  <c r="U118" i="73"/>
  <c r="T118" i="73"/>
  <c r="S118" i="73"/>
  <c r="S120" i="73" s="1"/>
  <c r="S121" i="73" s="1"/>
  <c r="Q118" i="73"/>
  <c r="Q120" i="73" s="1"/>
  <c r="Q121" i="73" s="1"/>
  <c r="P118" i="73"/>
  <c r="P120" i="73" s="1"/>
  <c r="O118" i="73"/>
  <c r="O120" i="73" s="1"/>
  <c r="O121" i="73" s="1"/>
  <c r="N118" i="73"/>
  <c r="N120" i="73" s="1"/>
  <c r="L118" i="73"/>
  <c r="K118" i="73"/>
  <c r="J118" i="73"/>
  <c r="I118" i="73"/>
  <c r="I120" i="73" s="1"/>
  <c r="I121" i="73" s="1"/>
  <c r="G118" i="73"/>
  <c r="G120" i="73" s="1"/>
  <c r="G121" i="73" s="1"/>
  <c r="F118" i="73"/>
  <c r="F120" i="73" s="1"/>
  <c r="E118" i="73"/>
  <c r="E120" i="73" s="1"/>
  <c r="E121" i="73" s="1"/>
  <c r="D118" i="73"/>
  <c r="D120" i="73" s="1"/>
  <c r="D121" i="73" s="1"/>
  <c r="V117" i="73"/>
  <c r="R117" i="73"/>
  <c r="M117" i="73"/>
  <c r="H117" i="73"/>
  <c r="AC116" i="73"/>
  <c r="Y116" i="73"/>
  <c r="AD116" i="73" s="1"/>
  <c r="X116" i="73"/>
  <c r="X187" i="73" s="1"/>
  <c r="V116" i="73"/>
  <c r="U116" i="73"/>
  <c r="T116" i="73"/>
  <c r="S116" i="73"/>
  <c r="Q116" i="73"/>
  <c r="Q187" i="73" s="1"/>
  <c r="P116" i="73"/>
  <c r="O116" i="73"/>
  <c r="N116" i="73"/>
  <c r="M116" i="73"/>
  <c r="L116" i="73"/>
  <c r="K116" i="73"/>
  <c r="J116" i="73"/>
  <c r="I116" i="73"/>
  <c r="G116" i="73"/>
  <c r="F116" i="73"/>
  <c r="E116" i="73"/>
  <c r="D116" i="73"/>
  <c r="AD115" i="73"/>
  <c r="W115" i="73"/>
  <c r="W116" i="73" s="1"/>
  <c r="R115" i="73"/>
  <c r="M115" i="73"/>
  <c r="H115" i="73"/>
  <c r="H116" i="73" s="1"/>
  <c r="AV114" i="73"/>
  <c r="AQ114" i="73"/>
  <c r="AL114" i="73"/>
  <c r="AG114" i="73"/>
  <c r="AB114" i="73"/>
  <c r="W114" i="73"/>
  <c r="R114" i="73"/>
  <c r="M114" i="73"/>
  <c r="M118" i="73" s="1"/>
  <c r="M120" i="73" s="1"/>
  <c r="M121" i="73" s="1"/>
  <c r="H114" i="73"/>
  <c r="AU113" i="73"/>
  <c r="AU186" i="73" s="1"/>
  <c r="AT113" i="73"/>
  <c r="AS113" i="73"/>
  <c r="AR113" i="73"/>
  <c r="AP113" i="73"/>
  <c r="AP186" i="73" s="1"/>
  <c r="AO113" i="73"/>
  <c r="AO186" i="73" s="1"/>
  <c r="AN113" i="73"/>
  <c r="AN186" i="73" s="1"/>
  <c r="AM113" i="73"/>
  <c r="Y113" i="73"/>
  <c r="X113" i="73"/>
  <c r="V113" i="73"/>
  <c r="U113" i="73"/>
  <c r="T113" i="73"/>
  <c r="T186" i="73" s="1"/>
  <c r="S113" i="73"/>
  <c r="Q113" i="73"/>
  <c r="P113" i="73"/>
  <c r="O113" i="73"/>
  <c r="N113" i="73"/>
  <c r="L113" i="73"/>
  <c r="K113" i="73"/>
  <c r="J113" i="73"/>
  <c r="I113" i="73"/>
  <c r="H113" i="73"/>
  <c r="G113" i="73"/>
  <c r="F113" i="73"/>
  <c r="E113" i="73"/>
  <c r="D113" i="73"/>
  <c r="AF112" i="73"/>
  <c r="AC112" i="73"/>
  <c r="W112" i="73"/>
  <c r="W113" i="73" s="1"/>
  <c r="R112" i="73"/>
  <c r="M112" i="73"/>
  <c r="M113" i="73" s="1"/>
  <c r="H112" i="73"/>
  <c r="AP111" i="73"/>
  <c r="AN111" i="73"/>
  <c r="AS111" i="73" s="1"/>
  <c r="AS185" i="73" s="1"/>
  <c r="AK111" i="73"/>
  <c r="AK185" i="73" s="1"/>
  <c r="AJ111" i="73"/>
  <c r="AO111" i="73" s="1"/>
  <c r="AI111" i="73"/>
  <c r="AI185" i="73" s="1"/>
  <c r="AH111" i="73"/>
  <c r="Y111" i="73"/>
  <c r="AD185" i="73" s="1"/>
  <c r="X111" i="73"/>
  <c r="AC185" i="73" s="1"/>
  <c r="V111" i="73"/>
  <c r="U111" i="73"/>
  <c r="T111" i="73"/>
  <c r="T185" i="73" s="1"/>
  <c r="S111" i="73"/>
  <c r="Q111" i="73"/>
  <c r="P111" i="73"/>
  <c r="O111" i="73"/>
  <c r="N111" i="73"/>
  <c r="M111" i="73"/>
  <c r="L111" i="73"/>
  <c r="K111" i="73"/>
  <c r="J111" i="73"/>
  <c r="I111" i="73"/>
  <c r="G111" i="73"/>
  <c r="F111" i="73"/>
  <c r="E111" i="73"/>
  <c r="D111" i="73"/>
  <c r="AC110" i="73"/>
  <c r="W110" i="73"/>
  <c r="R110" i="73"/>
  <c r="M110" i="73"/>
  <c r="H110" i="73"/>
  <c r="H111" i="73" s="1"/>
  <c r="Y109" i="73"/>
  <c r="X109" i="73"/>
  <c r="V109" i="73"/>
  <c r="U109" i="73"/>
  <c r="T109" i="73"/>
  <c r="S109" i="73"/>
  <c r="Q109" i="73"/>
  <c r="P109" i="73"/>
  <c r="O109" i="73"/>
  <c r="N109" i="73"/>
  <c r="M109" i="73"/>
  <c r="L109" i="73"/>
  <c r="K109" i="73"/>
  <c r="J109" i="73"/>
  <c r="I109" i="73"/>
  <c r="AI108" i="73"/>
  <c r="AI112" i="73" s="1"/>
  <c r="AH108" i="73"/>
  <c r="AF108" i="73"/>
  <c r="AD108" i="73"/>
  <c r="AC108" i="73"/>
  <c r="AA108" i="73"/>
  <c r="Z108" i="73"/>
  <c r="W108" i="73"/>
  <c r="R108" i="73"/>
  <c r="M108" i="73"/>
  <c r="H108" i="73"/>
  <c r="P105" i="73"/>
  <c r="P106" i="73" s="1"/>
  <c r="L105" i="73"/>
  <c r="L106" i="73" s="1"/>
  <c r="K105" i="73"/>
  <c r="K106" i="73" s="1"/>
  <c r="AV104" i="73"/>
  <c r="AQ104" i="73"/>
  <c r="AL104" i="73"/>
  <c r="AG104" i="73"/>
  <c r="AB104" i="73"/>
  <c r="W104" i="73"/>
  <c r="R104" i="73"/>
  <c r="M104" i="73"/>
  <c r="H104" i="73"/>
  <c r="U103" i="73"/>
  <c r="T103" i="73"/>
  <c r="S103" i="73"/>
  <c r="S105" i="73" s="1"/>
  <c r="Q103" i="73"/>
  <c r="P103" i="73"/>
  <c r="O103" i="73"/>
  <c r="N103" i="73"/>
  <c r="L103" i="73"/>
  <c r="K103" i="73"/>
  <c r="J103" i="73"/>
  <c r="I103" i="73"/>
  <c r="G103" i="73"/>
  <c r="F103" i="73"/>
  <c r="F105" i="73" s="1"/>
  <c r="F106" i="73" s="1"/>
  <c r="E103" i="73"/>
  <c r="D103" i="73"/>
  <c r="V102" i="73"/>
  <c r="R102" i="73"/>
  <c r="M102" i="73"/>
  <c r="H102" i="73"/>
  <c r="AA101" i="73"/>
  <c r="Y101" i="73"/>
  <c r="T101" i="73"/>
  <c r="S101" i="73"/>
  <c r="Q101" i="73"/>
  <c r="K101" i="73"/>
  <c r="W100" i="73"/>
  <c r="R100" i="73"/>
  <c r="M100" i="73"/>
  <c r="H100" i="73"/>
  <c r="Z99" i="73"/>
  <c r="W99" i="73"/>
  <c r="R99" i="73"/>
  <c r="M99" i="73"/>
  <c r="H99" i="73"/>
  <c r="V98" i="73"/>
  <c r="T98" i="73"/>
  <c r="Q98" i="73"/>
  <c r="Q182" i="73" s="1"/>
  <c r="P98" i="73"/>
  <c r="O98" i="73"/>
  <c r="L98" i="73"/>
  <c r="F98" i="73"/>
  <c r="W97" i="73"/>
  <c r="R97" i="73"/>
  <c r="M97" i="73"/>
  <c r="H97" i="73"/>
  <c r="AJ96" i="73"/>
  <c r="AE96" i="73"/>
  <c r="AD96" i="73"/>
  <c r="Z96" i="73"/>
  <c r="Z181" i="73" s="1"/>
  <c r="Y96" i="73"/>
  <c r="X96" i="73"/>
  <c r="V96" i="73"/>
  <c r="U96" i="73"/>
  <c r="U181" i="73" s="1"/>
  <c r="T96" i="73"/>
  <c r="S96" i="73"/>
  <c r="R96" i="73"/>
  <c r="Q96" i="73"/>
  <c r="P96" i="73"/>
  <c r="O96" i="73"/>
  <c r="N96" i="73"/>
  <c r="L96" i="73"/>
  <c r="K96" i="73"/>
  <c r="J96" i="73"/>
  <c r="I96" i="73"/>
  <c r="G96" i="73"/>
  <c r="F96" i="73"/>
  <c r="E96" i="73"/>
  <c r="D96" i="73"/>
  <c r="W95" i="73"/>
  <c r="R95" i="73"/>
  <c r="M95" i="73"/>
  <c r="M96" i="73" s="1"/>
  <c r="H95" i="73"/>
  <c r="V94" i="73"/>
  <c r="T94" i="73"/>
  <c r="Q94" i="73"/>
  <c r="P94" i="73"/>
  <c r="L94" i="73"/>
  <c r="J94" i="73"/>
  <c r="F94" i="73"/>
  <c r="W93" i="73"/>
  <c r="R93" i="73"/>
  <c r="M93" i="73"/>
  <c r="H93" i="73"/>
  <c r="Y92" i="73"/>
  <c r="X92" i="73"/>
  <c r="V92" i="73"/>
  <c r="V101" i="73" s="1"/>
  <c r="V183" i="73" s="1"/>
  <c r="U92" i="73"/>
  <c r="U105" i="73" s="1"/>
  <c r="U106" i="73" s="1"/>
  <c r="T92" i="73"/>
  <c r="T105" i="73" s="1"/>
  <c r="T106" i="73" s="1"/>
  <c r="S92" i="73"/>
  <c r="S98" i="73" s="1"/>
  <c r="Q92" i="73"/>
  <c r="Q105" i="73" s="1"/>
  <c r="Q106" i="73" s="1"/>
  <c r="P92" i="73"/>
  <c r="P101" i="73" s="1"/>
  <c r="O92" i="73"/>
  <c r="O94" i="73" s="1"/>
  <c r="N92" i="73"/>
  <c r="L92" i="73"/>
  <c r="L101" i="73" s="1"/>
  <c r="K92" i="73"/>
  <c r="K98" i="73" s="1"/>
  <c r="J92" i="73"/>
  <c r="I92" i="73"/>
  <c r="G92" i="73"/>
  <c r="G94" i="73" s="1"/>
  <c r="F92" i="73"/>
  <c r="F101" i="73" s="1"/>
  <c r="E92" i="73"/>
  <c r="E105" i="73" s="1"/>
  <c r="D92" i="73"/>
  <c r="D105" i="73" s="1"/>
  <c r="D106" i="73" s="1"/>
  <c r="AU91" i="73"/>
  <c r="AT91" i="73"/>
  <c r="AS91" i="73"/>
  <c r="AR91" i="73"/>
  <c r="AP91" i="73"/>
  <c r="AO91" i="73"/>
  <c r="AN91" i="73"/>
  <c r="AM91" i="73"/>
  <c r="AK91" i="73"/>
  <c r="AJ91" i="73"/>
  <c r="AI91" i="73"/>
  <c r="AH91" i="73"/>
  <c r="AF91" i="73"/>
  <c r="AE91" i="73"/>
  <c r="AD91" i="73"/>
  <c r="AC91" i="73"/>
  <c r="AB91" i="73"/>
  <c r="AA91" i="73"/>
  <c r="Z91" i="73"/>
  <c r="Y91" i="73"/>
  <c r="X91" i="73"/>
  <c r="V91" i="73"/>
  <c r="U91" i="73"/>
  <c r="T91" i="73"/>
  <c r="S91" i="73"/>
  <c r="Q91" i="73"/>
  <c r="P91" i="73"/>
  <c r="O91" i="73"/>
  <c r="N91" i="73"/>
  <c r="L91" i="73"/>
  <c r="E91" i="73"/>
  <c r="D91" i="73"/>
  <c r="O90" i="73"/>
  <c r="N90" i="73"/>
  <c r="L90" i="73"/>
  <c r="K90" i="73"/>
  <c r="J90" i="73"/>
  <c r="I90" i="73"/>
  <c r="G90" i="73"/>
  <c r="F90" i="73"/>
  <c r="E90" i="73"/>
  <c r="D90" i="73"/>
  <c r="Y89" i="73"/>
  <c r="X89" i="73"/>
  <c r="V89" i="73"/>
  <c r="U89" i="73"/>
  <c r="T89" i="73"/>
  <c r="S89" i="73"/>
  <c r="Q89" i="73"/>
  <c r="P89" i="73"/>
  <c r="O89" i="73"/>
  <c r="N89" i="73"/>
  <c r="L89" i="73"/>
  <c r="K89" i="73"/>
  <c r="J89" i="73"/>
  <c r="I89" i="73"/>
  <c r="AI88" i="73"/>
  <c r="AH88" i="73"/>
  <c r="AF88" i="73"/>
  <c r="AD88" i="73"/>
  <c r="AC88" i="73"/>
  <c r="AB88" i="73"/>
  <c r="AA88" i="73"/>
  <c r="Z88" i="73"/>
  <c r="W88" i="73"/>
  <c r="R88" i="73"/>
  <c r="M88" i="73"/>
  <c r="H88" i="73"/>
  <c r="W87" i="73"/>
  <c r="R87" i="73"/>
  <c r="M87" i="73"/>
  <c r="H87" i="73"/>
  <c r="S86" i="73"/>
  <c r="I86" i="73"/>
  <c r="E86" i="73"/>
  <c r="O85" i="73"/>
  <c r="O86" i="73" s="1"/>
  <c r="N85" i="73"/>
  <c r="N86" i="73" s="1"/>
  <c r="L85" i="73"/>
  <c r="L86" i="73" s="1"/>
  <c r="K85" i="73"/>
  <c r="K86" i="73" s="1"/>
  <c r="J85" i="73"/>
  <c r="J86" i="73" s="1"/>
  <c r="I85" i="73"/>
  <c r="G85" i="73"/>
  <c r="G86" i="73" s="1"/>
  <c r="F85" i="73"/>
  <c r="F86" i="73" s="1"/>
  <c r="E85" i="73"/>
  <c r="D85" i="73"/>
  <c r="D86" i="73" s="1"/>
  <c r="AV84" i="73"/>
  <c r="AQ84" i="73"/>
  <c r="AL84" i="73"/>
  <c r="AL91" i="73" s="1"/>
  <c r="AG84" i="73"/>
  <c r="AB84" i="73"/>
  <c r="W84" i="73"/>
  <c r="R84" i="73"/>
  <c r="R91" i="73" s="1"/>
  <c r="M84" i="73"/>
  <c r="K84" i="73"/>
  <c r="J84" i="73"/>
  <c r="I84" i="73"/>
  <c r="I91" i="73" s="1"/>
  <c r="G84" i="73"/>
  <c r="G91" i="73" s="1"/>
  <c r="F84" i="73"/>
  <c r="F91" i="73" s="1"/>
  <c r="E84" i="73"/>
  <c r="D84" i="73"/>
  <c r="T83" i="73"/>
  <c r="U83" i="73" s="1"/>
  <c r="S83" i="73"/>
  <c r="S85" i="73" s="1"/>
  <c r="R83" i="73"/>
  <c r="O83" i="73"/>
  <c r="P83" i="73" s="1"/>
  <c r="M83" i="73"/>
  <c r="H83" i="73"/>
  <c r="Y79" i="73"/>
  <c r="X79" i="73"/>
  <c r="W79" i="73"/>
  <c r="V79" i="73"/>
  <c r="U79" i="73"/>
  <c r="T79" i="73"/>
  <c r="S79" i="73"/>
  <c r="Q79" i="73"/>
  <c r="P79" i="73"/>
  <c r="O79" i="73"/>
  <c r="N79" i="73"/>
  <c r="L79" i="73"/>
  <c r="K79" i="73"/>
  <c r="J79" i="73"/>
  <c r="I79" i="73"/>
  <c r="W78" i="73"/>
  <c r="W96" i="73" s="1"/>
  <c r="R78" i="73"/>
  <c r="M78" i="73"/>
  <c r="H78" i="73"/>
  <c r="N77" i="73"/>
  <c r="I77" i="73"/>
  <c r="G77" i="73"/>
  <c r="F77" i="73"/>
  <c r="N76" i="73"/>
  <c r="L76" i="73"/>
  <c r="L77" i="73" s="1"/>
  <c r="K76" i="73"/>
  <c r="K77" i="73" s="1"/>
  <c r="J76" i="73"/>
  <c r="J77" i="73" s="1"/>
  <c r="I76" i="73"/>
  <c r="G76" i="73"/>
  <c r="F76" i="73"/>
  <c r="E76" i="73"/>
  <c r="E77" i="73" s="1"/>
  <c r="AV75" i="73"/>
  <c r="AQ75" i="73"/>
  <c r="AQ91" i="73" s="1"/>
  <c r="AL75" i="73"/>
  <c r="AG75" i="73"/>
  <c r="AG91" i="73" s="1"/>
  <c r="AB75" i="73"/>
  <c r="W75" i="73"/>
  <c r="W91" i="73" s="1"/>
  <c r="R75" i="73"/>
  <c r="L75" i="73"/>
  <c r="K75" i="73"/>
  <c r="K91" i="73" s="1"/>
  <c r="J75" i="73"/>
  <c r="I75" i="73"/>
  <c r="M75" i="73" s="1"/>
  <c r="G75" i="73"/>
  <c r="F75" i="73"/>
  <c r="E75" i="73"/>
  <c r="D75" i="73"/>
  <c r="O74" i="73"/>
  <c r="M74" i="73"/>
  <c r="H74" i="73"/>
  <c r="F72" i="73"/>
  <c r="V71" i="73"/>
  <c r="N71" i="73"/>
  <c r="E71" i="73"/>
  <c r="Y70" i="73"/>
  <c r="X70" i="73"/>
  <c r="V70" i="73"/>
  <c r="U70" i="73"/>
  <c r="T70" i="73"/>
  <c r="S70" i="73"/>
  <c r="Q70" i="73"/>
  <c r="P70" i="73"/>
  <c r="O70" i="73"/>
  <c r="N70" i="73"/>
  <c r="L70" i="73"/>
  <c r="K70" i="73"/>
  <c r="J70" i="73"/>
  <c r="I70" i="73"/>
  <c r="H70" i="73"/>
  <c r="G70" i="73"/>
  <c r="F70" i="73"/>
  <c r="E70" i="73"/>
  <c r="D70" i="73"/>
  <c r="D71" i="73" s="1"/>
  <c r="AA69" i="73"/>
  <c r="AC69" i="73" s="1"/>
  <c r="W69" i="73"/>
  <c r="Y68" i="73"/>
  <c r="U68" i="73"/>
  <c r="N68" i="73"/>
  <c r="K68" i="73"/>
  <c r="J68" i="73"/>
  <c r="I68" i="73"/>
  <c r="F68" i="73"/>
  <c r="W67" i="73"/>
  <c r="Z66" i="73"/>
  <c r="W66" i="73"/>
  <c r="AA65" i="73"/>
  <c r="Y65" i="73"/>
  <c r="V65" i="73"/>
  <c r="V177" i="73" s="1"/>
  <c r="U65" i="73"/>
  <c r="S65" i="73"/>
  <c r="S177" i="73" s="1"/>
  <c r="N65" i="73"/>
  <c r="L65" i="73"/>
  <c r="E65" i="73"/>
  <c r="D65" i="73"/>
  <c r="W64" i="73"/>
  <c r="AA63" i="73"/>
  <c r="Z63" i="73"/>
  <c r="Y63" i="73"/>
  <c r="X63" i="73"/>
  <c r="V63" i="73"/>
  <c r="V176" i="73" s="1"/>
  <c r="U63" i="73"/>
  <c r="U176" i="73" s="1"/>
  <c r="T63" i="73"/>
  <c r="S63" i="73"/>
  <c r="Q63" i="73"/>
  <c r="Q176" i="73" s="1"/>
  <c r="P63" i="73"/>
  <c r="O63" i="73"/>
  <c r="T176" i="73" s="1"/>
  <c r="N63" i="73"/>
  <c r="L63" i="73"/>
  <c r="K63" i="73"/>
  <c r="J63" i="73"/>
  <c r="I63" i="73"/>
  <c r="G63" i="73"/>
  <c r="F63" i="73"/>
  <c r="E63" i="73"/>
  <c r="D63" i="73"/>
  <c r="W62" i="73"/>
  <c r="AE61" i="73"/>
  <c r="Y61" i="73"/>
  <c r="X61" i="73"/>
  <c r="V61" i="73"/>
  <c r="V175" i="73" s="1"/>
  <c r="Q61" i="73"/>
  <c r="N61" i="73"/>
  <c r="L61" i="73"/>
  <c r="G61" i="73"/>
  <c r="E61" i="73"/>
  <c r="W60" i="73"/>
  <c r="Y59" i="73"/>
  <c r="Y71" i="73" s="1"/>
  <c r="X59" i="73"/>
  <c r="X65" i="73" s="1"/>
  <c r="V59" i="73"/>
  <c r="V68" i="73" s="1"/>
  <c r="U59" i="73"/>
  <c r="U61" i="73" s="1"/>
  <c r="T59" i="73"/>
  <c r="S59" i="73"/>
  <c r="Q59" i="73"/>
  <c r="Q65" i="73" s="1"/>
  <c r="P59" i="73"/>
  <c r="P65" i="73" s="1"/>
  <c r="O59" i="73"/>
  <c r="N59" i="73"/>
  <c r="L59" i="73"/>
  <c r="L71" i="73" s="1"/>
  <c r="K59" i="73"/>
  <c r="K71" i="73" s="1"/>
  <c r="J59" i="73"/>
  <c r="J61" i="73" s="1"/>
  <c r="I59" i="73"/>
  <c r="I61" i="73" s="1"/>
  <c r="G59" i="73"/>
  <c r="G68" i="73" s="1"/>
  <c r="F59" i="73"/>
  <c r="F71" i="73" s="1"/>
  <c r="E59" i="73"/>
  <c r="E68" i="73" s="1"/>
  <c r="D59" i="73"/>
  <c r="D61" i="73" s="1"/>
  <c r="AU58" i="73"/>
  <c r="AT58" i="73"/>
  <c r="AS58" i="73"/>
  <c r="AR58" i="73"/>
  <c r="AQ58" i="73"/>
  <c r="AP58" i="73"/>
  <c r="AO58" i="73"/>
  <c r="AN58" i="73"/>
  <c r="AM58" i="73"/>
  <c r="AK58" i="73"/>
  <c r="AJ58" i="73"/>
  <c r="AI58" i="73"/>
  <c r="AH58" i="73"/>
  <c r="AF58" i="73"/>
  <c r="AE58" i="73"/>
  <c r="AD58" i="73"/>
  <c r="AC58" i="73"/>
  <c r="AB58" i="73"/>
  <c r="AA58" i="73"/>
  <c r="Z58" i="73"/>
  <c r="Y58" i="73"/>
  <c r="X58" i="73"/>
  <c r="V58" i="73"/>
  <c r="U58" i="73"/>
  <c r="T58" i="73"/>
  <c r="S58" i="73"/>
  <c r="Q58" i="73"/>
  <c r="P58" i="73"/>
  <c r="O58" i="73"/>
  <c r="N58" i="73"/>
  <c r="J58" i="73"/>
  <c r="I58" i="73"/>
  <c r="G58" i="73"/>
  <c r="F58" i="73"/>
  <c r="N57" i="73"/>
  <c r="L57" i="73"/>
  <c r="K57" i="73"/>
  <c r="J57" i="73"/>
  <c r="I57" i="73"/>
  <c r="G57" i="73"/>
  <c r="F57" i="73"/>
  <c r="E57" i="73"/>
  <c r="D57" i="73"/>
  <c r="Y56" i="73"/>
  <c r="X56" i="73"/>
  <c r="V56" i="73"/>
  <c r="U56" i="73"/>
  <c r="T56" i="73"/>
  <c r="S56" i="73"/>
  <c r="Q56" i="73"/>
  <c r="P56" i="73"/>
  <c r="O56" i="73"/>
  <c r="N56" i="73"/>
  <c r="L56" i="73"/>
  <c r="K56" i="73"/>
  <c r="J56" i="73"/>
  <c r="I56" i="73"/>
  <c r="AJ55" i="73"/>
  <c r="AI55" i="73"/>
  <c r="AH55" i="73"/>
  <c r="AE55" i="73"/>
  <c r="AD55" i="73"/>
  <c r="AC55" i="73"/>
  <c r="AA55" i="73"/>
  <c r="Z55" i="73"/>
  <c r="W55" i="73"/>
  <c r="W54" i="73"/>
  <c r="N53" i="73"/>
  <c r="L53" i="73"/>
  <c r="K53" i="73"/>
  <c r="T52" i="73"/>
  <c r="T53" i="73" s="1"/>
  <c r="S52" i="73"/>
  <c r="S53" i="73" s="1"/>
  <c r="N52" i="73"/>
  <c r="L52" i="73"/>
  <c r="K52" i="73"/>
  <c r="J52" i="73"/>
  <c r="J53" i="73" s="1"/>
  <c r="I52" i="73"/>
  <c r="I53" i="73" s="1"/>
  <c r="G52" i="73"/>
  <c r="G53" i="73" s="1"/>
  <c r="F52" i="73"/>
  <c r="F53" i="73" s="1"/>
  <c r="E52" i="73"/>
  <c r="E53" i="73" s="1"/>
  <c r="D52" i="73"/>
  <c r="D53" i="73" s="1"/>
  <c r="AV51" i="73"/>
  <c r="AQ51" i="73"/>
  <c r="AL51" i="73"/>
  <c r="AL58" i="73" s="1"/>
  <c r="AG51" i="73"/>
  <c r="AG58" i="73" s="1"/>
  <c r="AB51" i="73"/>
  <c r="W51" i="73"/>
  <c r="W58" i="73" s="1"/>
  <c r="K51" i="73"/>
  <c r="K58" i="73" s="1"/>
  <c r="J51" i="73"/>
  <c r="I51" i="73"/>
  <c r="G51" i="73"/>
  <c r="F51" i="73"/>
  <c r="E51" i="73"/>
  <c r="D51" i="73"/>
  <c r="U50" i="73"/>
  <c r="V50" i="73" s="1"/>
  <c r="T50" i="73"/>
  <c r="S50" i="73"/>
  <c r="O50" i="73"/>
  <c r="P50" i="73" s="1"/>
  <c r="Y46" i="73"/>
  <c r="X46" i="73"/>
  <c r="V46" i="73"/>
  <c r="U46" i="73"/>
  <c r="T46" i="73"/>
  <c r="S46" i="73"/>
  <c r="Q46" i="73"/>
  <c r="P46" i="73"/>
  <c r="O46" i="73"/>
  <c r="N46" i="73"/>
  <c r="L46" i="73"/>
  <c r="K46" i="73"/>
  <c r="J46" i="73"/>
  <c r="I46" i="73"/>
  <c r="W45" i="73"/>
  <c r="W46" i="73" s="1"/>
  <c r="R45" i="73"/>
  <c r="M45" i="73"/>
  <c r="H45" i="73"/>
  <c r="J44" i="73"/>
  <c r="I44" i="73"/>
  <c r="N43" i="73"/>
  <c r="N44" i="73" s="1"/>
  <c r="L43" i="73"/>
  <c r="L44" i="73" s="1"/>
  <c r="K43" i="73"/>
  <c r="K44" i="73" s="1"/>
  <c r="J43" i="73"/>
  <c r="I43" i="73"/>
  <c r="G43" i="73"/>
  <c r="G44" i="73" s="1"/>
  <c r="F43" i="73"/>
  <c r="F44" i="73" s="1"/>
  <c r="E43" i="73"/>
  <c r="E44" i="73" s="1"/>
  <c r="D43" i="73"/>
  <c r="AV42" i="73"/>
  <c r="AQ42" i="73"/>
  <c r="AL42" i="73"/>
  <c r="AG42" i="73"/>
  <c r="AB42" i="73"/>
  <c r="W42" i="73"/>
  <c r="L42" i="73"/>
  <c r="L58" i="73" s="1"/>
  <c r="K42" i="73"/>
  <c r="J42" i="73"/>
  <c r="I42" i="73"/>
  <c r="G42" i="73"/>
  <c r="F42" i="73"/>
  <c r="E42" i="73"/>
  <c r="E58" i="73" s="1"/>
  <c r="D42" i="73"/>
  <c r="P41" i="73"/>
  <c r="O41" i="73"/>
  <c r="Q37" i="73"/>
  <c r="G37" i="73"/>
  <c r="AD35" i="73"/>
  <c r="AC35" i="73"/>
  <c r="AB35" i="73"/>
  <c r="AA35" i="73"/>
  <c r="Z35" i="73"/>
  <c r="W35" i="73"/>
  <c r="L35" i="73"/>
  <c r="L37" i="73" s="1"/>
  <c r="H35" i="73"/>
  <c r="AA31" i="73"/>
  <c r="Z31" i="73"/>
  <c r="AA30" i="73"/>
  <c r="Z30" i="73"/>
  <c r="Y28" i="73"/>
  <c r="X28" i="73"/>
  <c r="V28" i="73"/>
  <c r="U28" i="73"/>
  <c r="T28" i="73"/>
  <c r="S28" i="73"/>
  <c r="W28" i="73" s="1"/>
  <c r="Q28" i="73"/>
  <c r="R28" i="73" s="1"/>
  <c r="P28" i="73"/>
  <c r="O28" i="73"/>
  <c r="N28" i="73"/>
  <c r="L28" i="73"/>
  <c r="K28" i="73"/>
  <c r="J28" i="73"/>
  <c r="I28" i="73"/>
  <c r="M28" i="73" s="1"/>
  <c r="G28" i="73"/>
  <c r="F28" i="73"/>
  <c r="E28" i="73"/>
  <c r="D28" i="73"/>
  <c r="AD26" i="73"/>
  <c r="AE26" i="73" s="1"/>
  <c r="AF26" i="73" s="1"/>
  <c r="AH26" i="73" s="1"/>
  <c r="AC26" i="73"/>
  <c r="AB26" i="73"/>
  <c r="AA26" i="73"/>
  <c r="Z26" i="73"/>
  <c r="T26" i="73"/>
  <c r="W26" i="73" s="1"/>
  <c r="R26" i="73"/>
  <c r="M26" i="73"/>
  <c r="G26" i="73"/>
  <c r="W24" i="73"/>
  <c r="R24" i="73"/>
  <c r="M24" i="73"/>
  <c r="G24" i="73"/>
  <c r="Z22" i="73"/>
  <c r="W22" i="73"/>
  <c r="R22" i="73"/>
  <c r="M22" i="73"/>
  <c r="G22" i="73"/>
  <c r="G145" i="73" s="1"/>
  <c r="W21" i="73"/>
  <c r="R21" i="73"/>
  <c r="M21" i="73"/>
  <c r="G21" i="73"/>
  <c r="AV20" i="73"/>
  <c r="AQ20" i="73"/>
  <c r="AL20" i="73"/>
  <c r="AG20" i="73"/>
  <c r="AB20" i="73"/>
  <c r="W20" i="73"/>
  <c r="R20" i="73"/>
  <c r="M20" i="73"/>
  <c r="G20" i="73"/>
  <c r="Y18" i="73"/>
  <c r="X18" i="73"/>
  <c r="V18" i="73"/>
  <c r="U18" i="73"/>
  <c r="T18" i="73"/>
  <c r="S18" i="73"/>
  <c r="W18" i="73" s="1"/>
  <c r="Q18" i="73"/>
  <c r="P18" i="73"/>
  <c r="O18" i="73"/>
  <c r="N18" i="73"/>
  <c r="R18" i="73" s="1"/>
  <c r="L18" i="73"/>
  <c r="K18" i="73"/>
  <c r="J18" i="73"/>
  <c r="M18" i="73" s="1"/>
  <c r="I18" i="73"/>
  <c r="F18" i="73"/>
  <c r="E18" i="73"/>
  <c r="D18" i="73"/>
  <c r="K17" i="73"/>
  <c r="K141" i="73" s="1"/>
  <c r="I17" i="73"/>
  <c r="I141" i="73" s="1"/>
  <c r="AD16" i="73"/>
  <c r="AD9" i="75" s="1"/>
  <c r="AD10" i="75" s="1"/>
  <c r="AC16" i="73"/>
  <c r="AC9" i="75" s="1"/>
  <c r="AB16" i="73"/>
  <c r="AA16" i="73"/>
  <c r="Z16" i="73"/>
  <c r="Z9" i="75" s="1"/>
  <c r="Z10" i="75" s="1"/>
  <c r="W16" i="73"/>
  <c r="R16" i="73"/>
  <c r="M16" i="73"/>
  <c r="G16" i="73"/>
  <c r="G136" i="73" s="1"/>
  <c r="X15" i="73"/>
  <c r="V15" i="73"/>
  <c r="U15" i="73"/>
  <c r="T15" i="73"/>
  <c r="S15" i="73"/>
  <c r="Q15" i="73"/>
  <c r="P15" i="73"/>
  <c r="O15" i="73"/>
  <c r="N15" i="73"/>
  <c r="L15" i="73"/>
  <c r="K15" i="73"/>
  <c r="J15" i="73"/>
  <c r="I15" i="73"/>
  <c r="H15" i="73"/>
  <c r="F15" i="73"/>
  <c r="E15" i="73"/>
  <c r="D15" i="73"/>
  <c r="Y14" i="73"/>
  <c r="Y15" i="73" s="1"/>
  <c r="Y17" i="73" s="1"/>
  <c r="W14" i="73"/>
  <c r="R14" i="73"/>
  <c r="M14" i="73"/>
  <c r="G14" i="73"/>
  <c r="W13" i="73"/>
  <c r="R13" i="73"/>
  <c r="M13" i="73"/>
  <c r="G13" i="73"/>
  <c r="Z12" i="73"/>
  <c r="W12" i="73"/>
  <c r="R12" i="73"/>
  <c r="M12" i="73"/>
  <c r="G12" i="73"/>
  <c r="W11" i="73"/>
  <c r="R11" i="73"/>
  <c r="M11" i="73"/>
  <c r="G11" i="73"/>
  <c r="W10" i="73"/>
  <c r="R10" i="73"/>
  <c r="M10" i="73"/>
  <c r="G10" i="73"/>
  <c r="W9" i="73"/>
  <c r="W15" i="73" s="1"/>
  <c r="R9" i="73"/>
  <c r="R15" i="73" s="1"/>
  <c r="M9" i="73"/>
  <c r="M15" i="73" s="1"/>
  <c r="G9" i="73"/>
  <c r="Y8" i="73"/>
  <c r="X8" i="73"/>
  <c r="X17" i="73" s="1"/>
  <c r="V8" i="73"/>
  <c r="V17" i="73" s="1"/>
  <c r="U8" i="73"/>
  <c r="T8" i="73"/>
  <c r="S8" i="73"/>
  <c r="Q8" i="73"/>
  <c r="P8" i="73"/>
  <c r="O8" i="73"/>
  <c r="N8" i="73"/>
  <c r="L8" i="73"/>
  <c r="L17" i="73" s="1"/>
  <c r="K8" i="73"/>
  <c r="J8" i="73"/>
  <c r="J17" i="73" s="1"/>
  <c r="I8" i="73"/>
  <c r="H8" i="73"/>
  <c r="H17" i="73" s="1"/>
  <c r="F8" i="73"/>
  <c r="F47" i="74" s="1"/>
  <c r="E8" i="73"/>
  <c r="E47" i="74" s="1"/>
  <c r="D8" i="73"/>
  <c r="AH7" i="73"/>
  <c r="AD7" i="73"/>
  <c r="AC7" i="73"/>
  <c r="AB7" i="73"/>
  <c r="AA7" i="73"/>
  <c r="Z7" i="73"/>
  <c r="W7" i="73"/>
  <c r="R7" i="73"/>
  <c r="M7" i="73"/>
  <c r="G7" i="73"/>
  <c r="G135" i="73" s="1"/>
  <c r="W6" i="73"/>
  <c r="R6" i="73"/>
  <c r="M6" i="73"/>
  <c r="G6" i="73"/>
  <c r="G134" i="73" s="1"/>
  <c r="W5" i="73"/>
  <c r="W8" i="73" s="1"/>
  <c r="R5" i="73"/>
  <c r="R8" i="73" s="1"/>
  <c r="M5" i="73"/>
  <c r="M8" i="73" s="1"/>
  <c r="G5" i="73"/>
  <c r="G133" i="73" s="1"/>
  <c r="AK61" i="66"/>
  <c r="AD59" i="66"/>
  <c r="AC61" i="65"/>
  <c r="AE61" i="65"/>
  <c r="AD61" i="65"/>
  <c r="AA44" i="65"/>
  <c r="Z44" i="65"/>
  <c r="Z53" i="65"/>
  <c r="AA53" i="65"/>
  <c r="AB57" i="65"/>
  <c r="Y121" i="65"/>
  <c r="Y37" i="66"/>
  <c r="Y28" i="66"/>
  <c r="Y38" i="67"/>
  <c r="Y36" i="67"/>
  <c r="Y35" i="67"/>
  <c r="Y34" i="67"/>
  <c r="Y33" i="67"/>
  <c r="Y32" i="67"/>
  <c r="Y29" i="67"/>
  <c r="Y31" i="67"/>
  <c r="Y30" i="67"/>
  <c r="Y26" i="67"/>
  <c r="Y25" i="67"/>
  <c r="Y24" i="67"/>
  <c r="Y21" i="67"/>
  <c r="Y19" i="67"/>
  <c r="Y18" i="67"/>
  <c r="Y16" i="67"/>
  <c r="Y15" i="67"/>
  <c r="Y13" i="67"/>
  <c r="Y12" i="67"/>
  <c r="Y11" i="67"/>
  <c r="Y10" i="67"/>
  <c r="Y9" i="67"/>
  <c r="Y8" i="67"/>
  <c r="Y7" i="67"/>
  <c r="Y6" i="67"/>
  <c r="Y20" i="67"/>
  <c r="Y17" i="67"/>
  <c r="Y54" i="67"/>
  <c r="Y56" i="66"/>
  <c r="Y172" i="65"/>
  <c r="Y117" i="65"/>
  <c r="Y14" i="65"/>
  <c r="Y55" i="66"/>
  <c r="Y54" i="66"/>
  <c r="Z60" i="66"/>
  <c r="Y51" i="66"/>
  <c r="Y49" i="66"/>
  <c r="Y145" i="65"/>
  <c r="U172" i="65"/>
  <c r="X145" i="65"/>
  <c r="Y21" i="56"/>
  <c r="Y124" i="65"/>
  <c r="Y116" i="65"/>
  <c r="Y113" i="65"/>
  <c r="Y111" i="65"/>
  <c r="Y109" i="65"/>
  <c r="Y96" i="65"/>
  <c r="Y89" i="65"/>
  <c r="Y63" i="65"/>
  <c r="Y56" i="65"/>
  <c r="Y15" i="65"/>
  <c r="F29" i="69"/>
  <c r="F31" i="69" s="1"/>
  <c r="F15" i="69"/>
  <c r="F13" i="69"/>
  <c r="F7" i="69"/>
  <c r="F8" i="69" s="1"/>
  <c r="F16" i="69" s="1"/>
  <c r="AL67" i="67"/>
  <c r="AL66" i="67"/>
  <c r="AL63" i="67"/>
  <c r="AL62" i="67"/>
  <c r="X58" i="67"/>
  <c r="X57" i="67"/>
  <c r="S57" i="67"/>
  <c r="N57" i="67"/>
  <c r="I57" i="67"/>
  <c r="D57" i="67"/>
  <c r="AI56" i="67"/>
  <c r="AD56" i="67"/>
  <c r="AE56" i="67" s="1"/>
  <c r="AF56" i="67" s="1"/>
  <c r="X54" i="67"/>
  <c r="S54" i="67"/>
  <c r="N54" i="67"/>
  <c r="I54" i="67"/>
  <c r="D54" i="67"/>
  <c r="X47" i="67"/>
  <c r="T47" i="67"/>
  <c r="Q47" i="67"/>
  <c r="P47" i="67"/>
  <c r="O47" i="67"/>
  <c r="G47" i="67"/>
  <c r="F47" i="67"/>
  <c r="D47" i="67"/>
  <c r="AB43" i="67"/>
  <c r="AG43" i="67" s="1"/>
  <c r="AL43" i="67" s="1"/>
  <c r="AQ43" i="67" s="1"/>
  <c r="AV43" i="67" s="1"/>
  <c r="H40" i="67"/>
  <c r="AV38" i="67"/>
  <c r="AQ38" i="67"/>
  <c r="AL38" i="67"/>
  <c r="AG38" i="67"/>
  <c r="AB38" i="67"/>
  <c r="T38" i="67"/>
  <c r="U38" i="67" s="1"/>
  <c r="V38" i="67" s="1"/>
  <c r="O38" i="67"/>
  <c r="J38" i="67"/>
  <c r="D38" i="67"/>
  <c r="X37" i="67"/>
  <c r="X39" i="67" s="1"/>
  <c r="S37" i="67"/>
  <c r="D37" i="67"/>
  <c r="AV36" i="67"/>
  <c r="AQ36" i="67"/>
  <c r="AL36" i="67"/>
  <c r="AG36" i="67"/>
  <c r="AB36" i="67"/>
  <c r="T36" i="67"/>
  <c r="O36" i="67"/>
  <c r="J36" i="67"/>
  <c r="K36" i="67" s="1"/>
  <c r="G36" i="67"/>
  <c r="F36" i="67"/>
  <c r="E36" i="67"/>
  <c r="T35" i="67"/>
  <c r="U35" i="67" s="1"/>
  <c r="Q35" i="67"/>
  <c r="P35" i="67"/>
  <c r="O35" i="67"/>
  <c r="J35" i="67"/>
  <c r="K35" i="67" s="1"/>
  <c r="E35" i="67"/>
  <c r="AV34" i="67"/>
  <c r="AU34" i="67"/>
  <c r="AT34" i="67"/>
  <c r="AS34" i="67"/>
  <c r="AR34" i="67"/>
  <c r="AQ34" i="67"/>
  <c r="AP34" i="67"/>
  <c r="AO34" i="67"/>
  <c r="AN34" i="67"/>
  <c r="AM34" i="67"/>
  <c r="AJ34" i="67"/>
  <c r="AI34" i="67"/>
  <c r="AH34" i="67"/>
  <c r="AF34" i="67"/>
  <c r="AE34" i="67"/>
  <c r="AD34" i="67"/>
  <c r="AC34" i="67"/>
  <c r="AC57" i="67" s="1"/>
  <c r="AA34" i="67"/>
  <c r="Z34" i="67"/>
  <c r="AB34" i="67" s="1"/>
  <c r="T34" i="67"/>
  <c r="O34" i="67"/>
  <c r="O57" i="67" s="1"/>
  <c r="J34" i="67"/>
  <c r="K34" i="67" s="1"/>
  <c r="G34" i="67"/>
  <c r="F34" i="67"/>
  <c r="E34" i="67"/>
  <c r="E57" i="67" s="1"/>
  <c r="AC33" i="67"/>
  <c r="T33" i="67"/>
  <c r="U33" i="67" s="1"/>
  <c r="Q33" i="67"/>
  <c r="P33" i="67"/>
  <c r="O33" i="67"/>
  <c r="R33" i="67" s="1"/>
  <c r="J33" i="67"/>
  <c r="E33" i="67"/>
  <c r="AV32" i="67"/>
  <c r="AQ32" i="67"/>
  <c r="AL32" i="67"/>
  <c r="AG32" i="67"/>
  <c r="AB32" i="67"/>
  <c r="T32" i="67"/>
  <c r="U32" i="67" s="1"/>
  <c r="V32" i="67" s="1"/>
  <c r="P32" i="67"/>
  <c r="Q32" i="67" s="1"/>
  <c r="O32" i="67"/>
  <c r="R32" i="67" s="1"/>
  <c r="J32" i="67"/>
  <c r="F32" i="67"/>
  <c r="G32" i="67" s="1"/>
  <c r="E32" i="67"/>
  <c r="AV31" i="67"/>
  <c r="AQ31" i="67"/>
  <c r="AL31" i="67"/>
  <c r="AG31" i="67"/>
  <c r="AB31" i="67"/>
  <c r="T31" i="67"/>
  <c r="P31" i="67"/>
  <c r="Q31" i="67" s="1"/>
  <c r="O31" i="67"/>
  <c r="R31" i="67" s="1"/>
  <c r="J31" i="67"/>
  <c r="K31" i="67" s="1"/>
  <c r="L31" i="67" s="1"/>
  <c r="I31" i="67"/>
  <c r="G31" i="67"/>
  <c r="H31" i="67" s="1"/>
  <c r="AV30" i="67"/>
  <c r="AQ30" i="67"/>
  <c r="AL30" i="67"/>
  <c r="AG30" i="67"/>
  <c r="AB30" i="67"/>
  <c r="U30" i="67"/>
  <c r="N30" i="67"/>
  <c r="J30" i="67"/>
  <c r="F30" i="67"/>
  <c r="V29" i="67"/>
  <c r="U29" i="67"/>
  <c r="T29" i="67"/>
  <c r="T37" i="67" s="1"/>
  <c r="O29" i="67"/>
  <c r="J29" i="67"/>
  <c r="E29" i="67"/>
  <c r="F29" i="67" s="1"/>
  <c r="S27" i="67"/>
  <c r="D27" i="67"/>
  <c r="U26" i="67"/>
  <c r="V26" i="67" s="1"/>
  <c r="T26" i="67"/>
  <c r="W26" i="67" s="1"/>
  <c r="O26" i="67"/>
  <c r="K26" i="67"/>
  <c r="L26" i="67" s="1"/>
  <c r="J26" i="67"/>
  <c r="E26" i="67"/>
  <c r="F26" i="67" s="1"/>
  <c r="G26" i="67" s="1"/>
  <c r="U25" i="67"/>
  <c r="V25" i="67" s="1"/>
  <c r="T25" i="67"/>
  <c r="O25" i="67"/>
  <c r="P25" i="67" s="1"/>
  <c r="J25" i="67"/>
  <c r="E25" i="67"/>
  <c r="X24" i="67"/>
  <c r="X27" i="67" s="1"/>
  <c r="S24" i="67"/>
  <c r="N24" i="67"/>
  <c r="O24" i="67" s="1"/>
  <c r="P24" i="67" s="1"/>
  <c r="I24" i="67"/>
  <c r="D24" i="67"/>
  <c r="N22" i="67"/>
  <c r="I22" i="67"/>
  <c r="D22" i="67"/>
  <c r="X21" i="67"/>
  <c r="S21" i="67"/>
  <c r="T21" i="67" s="1"/>
  <c r="P21" i="67"/>
  <c r="Q21" i="67" s="1"/>
  <c r="O21" i="67"/>
  <c r="N21" i="67"/>
  <c r="R21" i="67" s="1"/>
  <c r="K21" i="67"/>
  <c r="L21" i="67" s="1"/>
  <c r="J21" i="67"/>
  <c r="I21" i="67"/>
  <c r="F21" i="67"/>
  <c r="E21" i="67"/>
  <c r="V20" i="67"/>
  <c r="U20" i="67"/>
  <c r="T20" i="67"/>
  <c r="W20" i="67" s="1"/>
  <c r="P20" i="67"/>
  <c r="O20" i="67"/>
  <c r="J20" i="67"/>
  <c r="H20" i="67"/>
  <c r="G20" i="67"/>
  <c r="F20" i="67"/>
  <c r="T19" i="67"/>
  <c r="Q19" i="67"/>
  <c r="P19" i="67"/>
  <c r="O19" i="67"/>
  <c r="R19" i="67" s="1"/>
  <c r="K19" i="67"/>
  <c r="L19" i="67" s="1"/>
  <c r="J19" i="67"/>
  <c r="M19" i="67" s="1"/>
  <c r="E19" i="67"/>
  <c r="U18" i="67"/>
  <c r="V18" i="67" s="1"/>
  <c r="T18" i="67"/>
  <c r="O18" i="67"/>
  <c r="J18" i="67"/>
  <c r="G18" i="67"/>
  <c r="F18" i="67"/>
  <c r="E18" i="67"/>
  <c r="H18" i="67" s="1"/>
  <c r="S17" i="67"/>
  <c r="O17" i="67"/>
  <c r="P17" i="67" s="1"/>
  <c r="L17" i="67"/>
  <c r="K17" i="67"/>
  <c r="J17" i="67"/>
  <c r="F17" i="67"/>
  <c r="G17" i="67" s="1"/>
  <c r="E17" i="67"/>
  <c r="V16" i="67"/>
  <c r="U16" i="67"/>
  <c r="T16" i="67"/>
  <c r="W16" i="67" s="1"/>
  <c r="R16" i="67"/>
  <c r="P16" i="67"/>
  <c r="Q16" i="67" s="1"/>
  <c r="O16" i="67"/>
  <c r="J16" i="67"/>
  <c r="E16" i="67"/>
  <c r="T15" i="67"/>
  <c r="O15" i="67"/>
  <c r="P15" i="67" s="1"/>
  <c r="J15" i="67"/>
  <c r="F15" i="67"/>
  <c r="G15" i="67" s="1"/>
  <c r="E15" i="67"/>
  <c r="AV13" i="67"/>
  <c r="AQ13" i="67"/>
  <c r="AL13" i="67"/>
  <c r="AG13" i="67"/>
  <c r="AB13" i="67"/>
  <c r="X13" i="67"/>
  <c r="X22" i="67" s="1"/>
  <c r="U13" i="67"/>
  <c r="T13" i="67"/>
  <c r="N13" i="67"/>
  <c r="I13" i="67"/>
  <c r="E13" i="67"/>
  <c r="T12" i="67"/>
  <c r="O12" i="67"/>
  <c r="J12" i="67"/>
  <c r="F12" i="67"/>
  <c r="E12" i="67"/>
  <c r="AV11" i="67"/>
  <c r="AQ11" i="67"/>
  <c r="AL11" i="67"/>
  <c r="AG11" i="67"/>
  <c r="AB11" i="67"/>
  <c r="T11" i="67"/>
  <c r="O11" i="67"/>
  <c r="P11" i="67" s="1"/>
  <c r="Q11" i="67" s="1"/>
  <c r="J11" i="67"/>
  <c r="E11" i="67"/>
  <c r="T10" i="67"/>
  <c r="T54" i="67" s="1"/>
  <c r="O10" i="67"/>
  <c r="J10" i="67"/>
  <c r="E10" i="67"/>
  <c r="T9" i="67"/>
  <c r="O9" i="67"/>
  <c r="P9" i="67" s="1"/>
  <c r="Q9" i="67" s="1"/>
  <c r="M9" i="67"/>
  <c r="L9" i="67"/>
  <c r="J9" i="67"/>
  <c r="K9" i="67" s="1"/>
  <c r="E9" i="67"/>
  <c r="F9" i="67" s="1"/>
  <c r="G9" i="67" s="1"/>
  <c r="T8" i="67"/>
  <c r="O8" i="67"/>
  <c r="P8" i="67" s="1"/>
  <c r="Q8" i="67" s="1"/>
  <c r="J8" i="67"/>
  <c r="E8" i="67"/>
  <c r="T7" i="67"/>
  <c r="O7" i="67"/>
  <c r="J7" i="67"/>
  <c r="E7" i="67"/>
  <c r="L6" i="67"/>
  <c r="AB66" i="66"/>
  <c r="AG66" i="66" s="1"/>
  <c r="AL66" i="66" s="1"/>
  <c r="AQ66" i="66" s="1"/>
  <c r="AV66" i="66" s="1"/>
  <c r="W66" i="66"/>
  <c r="X63" i="66"/>
  <c r="T63" i="66"/>
  <c r="Q63" i="66"/>
  <c r="P63" i="66"/>
  <c r="O63" i="66"/>
  <c r="G63" i="66"/>
  <c r="F63" i="66"/>
  <c r="E63" i="66"/>
  <c r="D63" i="66"/>
  <c r="AS61" i="66"/>
  <c r="AO61" i="66"/>
  <c r="AD61" i="66"/>
  <c r="AC61" i="66"/>
  <c r="AA61" i="66"/>
  <c r="Z61" i="66"/>
  <c r="AU60" i="66"/>
  <c r="AR60" i="66" s="1"/>
  <c r="AT60" i="66"/>
  <c r="AP60" i="66"/>
  <c r="AO60" i="66"/>
  <c r="AN60" i="66"/>
  <c r="AM60" i="66"/>
  <c r="AK60" i="66"/>
  <c r="AJ60" i="66"/>
  <c r="AI60" i="66"/>
  <c r="AH60" i="66"/>
  <c r="AF60" i="66"/>
  <c r="AE60" i="66"/>
  <c r="AD60" i="66"/>
  <c r="AC60" i="66"/>
  <c r="AA60" i="66"/>
  <c r="Z31" i="66"/>
  <c r="AA31" i="66" s="1"/>
  <c r="X56" i="66"/>
  <c r="T56" i="66"/>
  <c r="S56" i="66"/>
  <c r="O56" i="66"/>
  <c r="N56" i="66"/>
  <c r="J56" i="66"/>
  <c r="I56" i="66"/>
  <c r="E56" i="66"/>
  <c r="X55" i="66"/>
  <c r="V55" i="66"/>
  <c r="U55" i="66"/>
  <c r="T55" i="66"/>
  <c r="S55" i="66"/>
  <c r="Q55" i="66"/>
  <c r="P55" i="66"/>
  <c r="O55" i="66"/>
  <c r="N55" i="66"/>
  <c r="L55" i="66"/>
  <c r="K55" i="66"/>
  <c r="J55" i="66"/>
  <c r="I55" i="66"/>
  <c r="G55" i="66"/>
  <c r="F55" i="66"/>
  <c r="E55" i="66"/>
  <c r="D55" i="66"/>
  <c r="X54" i="66"/>
  <c r="V54" i="66"/>
  <c r="U54" i="66"/>
  <c r="T54" i="66"/>
  <c r="S54" i="66"/>
  <c r="Q54" i="66"/>
  <c r="P54" i="66"/>
  <c r="O54" i="66"/>
  <c r="N54" i="66"/>
  <c r="L54" i="66"/>
  <c r="K54" i="66"/>
  <c r="J54" i="66"/>
  <c r="I54" i="66"/>
  <c r="G54" i="66"/>
  <c r="F54" i="66"/>
  <c r="E54" i="66"/>
  <c r="D54" i="66"/>
  <c r="O52" i="66"/>
  <c r="N52" i="66"/>
  <c r="X51" i="66"/>
  <c r="V51" i="66"/>
  <c r="AA51" i="66" s="1"/>
  <c r="AF51" i="66" s="1"/>
  <c r="AK51" i="66" s="1"/>
  <c r="AP51" i="66" s="1"/>
  <c r="AU51" i="66" s="1"/>
  <c r="U51" i="66"/>
  <c r="Z51" i="66" s="1"/>
  <c r="AE51" i="66" s="1"/>
  <c r="AJ51" i="66" s="1"/>
  <c r="AO51" i="66" s="1"/>
  <c r="AT51" i="66" s="1"/>
  <c r="T51" i="66"/>
  <c r="T52" i="66" s="1"/>
  <c r="S51" i="66"/>
  <c r="Q51" i="66"/>
  <c r="P51" i="66"/>
  <c r="O51" i="66"/>
  <c r="N51" i="66"/>
  <c r="L51" i="66"/>
  <c r="K51" i="66"/>
  <c r="J51" i="66"/>
  <c r="I51" i="66"/>
  <c r="F51" i="66"/>
  <c r="E51" i="66"/>
  <c r="D51" i="66"/>
  <c r="AC49" i="66"/>
  <c r="AH49" i="66" s="1"/>
  <c r="AM49" i="66" s="1"/>
  <c r="AR49" i="66" s="1"/>
  <c r="X49" i="66"/>
  <c r="V49" i="66"/>
  <c r="AA49" i="66" s="1"/>
  <c r="AF49" i="66" s="1"/>
  <c r="AK49" i="66" s="1"/>
  <c r="AP49" i="66" s="1"/>
  <c r="AU49" i="66" s="1"/>
  <c r="U49" i="66"/>
  <c r="Z49" i="66" s="1"/>
  <c r="AE49" i="66" s="1"/>
  <c r="AJ49" i="66" s="1"/>
  <c r="AO49" i="66" s="1"/>
  <c r="AT49" i="66" s="1"/>
  <c r="T49" i="66"/>
  <c r="AD49" i="66" s="1"/>
  <c r="AI49" i="66" s="1"/>
  <c r="AN49" i="66" s="1"/>
  <c r="AS49" i="66" s="1"/>
  <c r="S49" i="66"/>
  <c r="Q49" i="66"/>
  <c r="P49" i="66"/>
  <c r="O49" i="66"/>
  <c r="N49" i="66"/>
  <c r="L49" i="66"/>
  <c r="K49" i="66"/>
  <c r="J49" i="66"/>
  <c r="I49" i="66"/>
  <c r="F49" i="66"/>
  <c r="E49" i="66"/>
  <c r="D49" i="66"/>
  <c r="AU46" i="66"/>
  <c r="AU52" i="66" s="1"/>
  <c r="AT46" i="66"/>
  <c r="AT52" i="66" s="1"/>
  <c r="AS46" i="66"/>
  <c r="AR46" i="66"/>
  <c r="AP46" i="66"/>
  <c r="AP50" i="66" s="1"/>
  <c r="AO46" i="66"/>
  <c r="AO50" i="66" s="1"/>
  <c r="AN46" i="66"/>
  <c r="AM46" i="66"/>
  <c r="AM50" i="66" s="1"/>
  <c r="AK46" i="66"/>
  <c r="AJ46" i="66"/>
  <c r="AI46" i="66"/>
  <c r="AH46" i="66"/>
  <c r="AH50" i="66" s="1"/>
  <c r="AF46" i="66"/>
  <c r="AF52" i="66" s="1"/>
  <c r="AE46" i="66"/>
  <c r="AE52" i="66" s="1"/>
  <c r="AD46" i="66"/>
  <c r="AC46" i="66"/>
  <c r="AA46" i="66"/>
  <c r="AA52" i="66" s="1"/>
  <c r="Z46" i="66"/>
  <c r="Z52" i="66" s="1"/>
  <c r="Y46" i="66"/>
  <c r="X46" i="66"/>
  <c r="V46" i="66"/>
  <c r="V50" i="66" s="1"/>
  <c r="U46" i="66"/>
  <c r="U50" i="66" s="1"/>
  <c r="T46" i="66"/>
  <c r="T50" i="66" s="1"/>
  <c r="S46" i="66"/>
  <c r="S50" i="66" s="1"/>
  <c r="Q46" i="66"/>
  <c r="Q50" i="66" s="1"/>
  <c r="P46" i="66"/>
  <c r="P50" i="66" s="1"/>
  <c r="O46" i="66"/>
  <c r="O50" i="66" s="1"/>
  <c r="N46" i="66"/>
  <c r="N50" i="66" s="1"/>
  <c r="L46" i="66"/>
  <c r="L52" i="66" s="1"/>
  <c r="K46" i="66"/>
  <c r="K52" i="66" s="1"/>
  <c r="J46" i="66"/>
  <c r="J52" i="66" s="1"/>
  <c r="I46" i="66"/>
  <c r="I52" i="66" s="1"/>
  <c r="G46" i="66"/>
  <c r="F46" i="66"/>
  <c r="F52" i="66" s="1"/>
  <c r="E46" i="66"/>
  <c r="E52" i="66" s="1"/>
  <c r="D46" i="66"/>
  <c r="K41" i="66"/>
  <c r="K42" i="66" s="1"/>
  <c r="Z40" i="66"/>
  <c r="AA40" i="66" s="1"/>
  <c r="W40" i="66"/>
  <c r="R40" i="66"/>
  <c r="M40" i="66"/>
  <c r="H40" i="66"/>
  <c r="Z39" i="66"/>
  <c r="AA39" i="66" s="1"/>
  <c r="W39" i="66"/>
  <c r="R39" i="66"/>
  <c r="M39" i="66"/>
  <c r="H39" i="66"/>
  <c r="W38" i="66"/>
  <c r="R38" i="66"/>
  <c r="M38" i="66"/>
  <c r="H38" i="66"/>
  <c r="X37" i="66"/>
  <c r="X41" i="66" s="1"/>
  <c r="V37" i="66"/>
  <c r="V41" i="66" s="1"/>
  <c r="U37" i="66"/>
  <c r="U41" i="66" s="1"/>
  <c r="T37" i="66"/>
  <c r="T41" i="66" s="1"/>
  <c r="S37" i="66"/>
  <c r="S41" i="66" s="1"/>
  <c r="Q37" i="66"/>
  <c r="Q41" i="66" s="1"/>
  <c r="P37" i="66"/>
  <c r="P41" i="66" s="1"/>
  <c r="O37" i="66"/>
  <c r="O41" i="66" s="1"/>
  <c r="N37" i="66"/>
  <c r="N41" i="66" s="1"/>
  <c r="L37" i="66"/>
  <c r="L41" i="66" s="1"/>
  <c r="K37" i="66"/>
  <c r="J37" i="66"/>
  <c r="J41" i="66" s="1"/>
  <c r="I37" i="66"/>
  <c r="I41" i="66" s="1"/>
  <c r="I42" i="66" s="1"/>
  <c r="H37" i="66"/>
  <c r="H41" i="66" s="1"/>
  <c r="G37" i="66"/>
  <c r="G41" i="66" s="1"/>
  <c r="F37" i="66"/>
  <c r="F41" i="66" s="1"/>
  <c r="E37" i="66"/>
  <c r="E41" i="66" s="1"/>
  <c r="D37" i="66"/>
  <c r="D41" i="66" s="1"/>
  <c r="I35" i="66"/>
  <c r="Z34" i="66"/>
  <c r="AA34" i="66" s="1"/>
  <c r="W34" i="66"/>
  <c r="R34" i="66"/>
  <c r="M34" i="66"/>
  <c r="H34" i="66"/>
  <c r="Z33" i="66"/>
  <c r="AA33" i="66" s="1"/>
  <c r="W33" i="66"/>
  <c r="R33" i="66"/>
  <c r="M33" i="66"/>
  <c r="H33" i="66"/>
  <c r="Z32" i="66"/>
  <c r="AA32" i="66" s="1"/>
  <c r="W32" i="66"/>
  <c r="R32" i="66"/>
  <c r="M32" i="66"/>
  <c r="H32" i="66"/>
  <c r="W31" i="66"/>
  <c r="R31" i="66"/>
  <c r="M31" i="66"/>
  <c r="H31" i="66"/>
  <c r="X30" i="66"/>
  <c r="X35" i="66" s="1"/>
  <c r="Q30" i="66"/>
  <c r="Q35" i="66" s="1"/>
  <c r="P30" i="66"/>
  <c r="P35" i="66" s="1"/>
  <c r="O30" i="66"/>
  <c r="O35" i="66" s="1"/>
  <c r="K30" i="66"/>
  <c r="K35" i="66" s="1"/>
  <c r="I30" i="66"/>
  <c r="G30" i="66"/>
  <c r="G35" i="66" s="1"/>
  <c r="F30" i="66"/>
  <c r="F35" i="66" s="1"/>
  <c r="D30" i="66"/>
  <c r="D35" i="66" s="1"/>
  <c r="AV29" i="66"/>
  <c r="AQ29" i="66"/>
  <c r="AL29" i="66"/>
  <c r="AG29" i="66"/>
  <c r="AB29" i="66"/>
  <c r="W29" i="66"/>
  <c r="R29" i="66"/>
  <c r="M29" i="66"/>
  <c r="H29" i="66"/>
  <c r="V28" i="66"/>
  <c r="V47" i="67" s="1"/>
  <c r="U28" i="66"/>
  <c r="U47" i="67" s="1"/>
  <c r="S28" i="66"/>
  <c r="S30" i="66" s="1"/>
  <c r="S35" i="66" s="1"/>
  <c r="R28" i="66"/>
  <c r="R47" i="67" s="1"/>
  <c r="N28" i="66"/>
  <c r="N47" i="67" s="1"/>
  <c r="L28" i="66"/>
  <c r="L47" i="67" s="1"/>
  <c r="K28" i="66"/>
  <c r="K47" i="67" s="1"/>
  <c r="J28" i="66"/>
  <c r="J47" i="67" s="1"/>
  <c r="I28" i="66"/>
  <c r="I47" i="67" s="1"/>
  <c r="H28" i="66"/>
  <c r="H47" i="67" s="1"/>
  <c r="E28" i="66"/>
  <c r="Z27" i="66"/>
  <c r="Z19" i="67" s="1"/>
  <c r="W27" i="66"/>
  <c r="R27" i="66"/>
  <c r="M27" i="66"/>
  <c r="H27" i="66"/>
  <c r="Z26" i="66"/>
  <c r="AA26" i="66" s="1"/>
  <c r="AB26" i="66" s="1"/>
  <c r="W26" i="66"/>
  <c r="R26" i="66"/>
  <c r="M26" i="66"/>
  <c r="H26" i="66"/>
  <c r="T25" i="66"/>
  <c r="T30" i="66" s="1"/>
  <c r="T35" i="66" s="1"/>
  <c r="R25" i="66"/>
  <c r="M25" i="66"/>
  <c r="H25" i="66"/>
  <c r="Z24" i="66"/>
  <c r="AA24" i="66" s="1"/>
  <c r="W24" i="66"/>
  <c r="R24" i="66"/>
  <c r="M24" i="66"/>
  <c r="H24" i="66"/>
  <c r="W23" i="66"/>
  <c r="R23" i="66"/>
  <c r="M23" i="66"/>
  <c r="H23" i="66"/>
  <c r="W22" i="66"/>
  <c r="R22" i="66"/>
  <c r="M22" i="66"/>
  <c r="H22" i="66"/>
  <c r="Z19" i="66"/>
  <c r="AA19" i="66" s="1"/>
  <c r="W19" i="66"/>
  <c r="R19" i="66"/>
  <c r="M19" i="66"/>
  <c r="H19" i="66"/>
  <c r="Z18" i="66"/>
  <c r="AA18" i="66" s="1"/>
  <c r="W18" i="66"/>
  <c r="R18" i="66"/>
  <c r="M18" i="66"/>
  <c r="H18" i="66"/>
  <c r="W17" i="66"/>
  <c r="R17" i="66"/>
  <c r="M17" i="66"/>
  <c r="H17" i="66"/>
  <c r="W16" i="66"/>
  <c r="R16" i="66"/>
  <c r="M16" i="66"/>
  <c r="H16" i="66"/>
  <c r="H55" i="66" s="1"/>
  <c r="Z15" i="66"/>
  <c r="AA15" i="66" s="1"/>
  <c r="W15" i="66"/>
  <c r="R15" i="66"/>
  <c r="M15" i="66"/>
  <c r="H15" i="66"/>
  <c r="W14" i="66"/>
  <c r="R14" i="66"/>
  <c r="M14" i="66"/>
  <c r="H14" i="66"/>
  <c r="W13" i="66"/>
  <c r="R13" i="66"/>
  <c r="M13" i="66"/>
  <c r="H13" i="66"/>
  <c r="W12" i="66"/>
  <c r="R12" i="66"/>
  <c r="M12" i="66"/>
  <c r="H12" i="66"/>
  <c r="W10" i="66"/>
  <c r="R10" i="66"/>
  <c r="M10" i="66"/>
  <c r="H10" i="66"/>
  <c r="W9" i="66"/>
  <c r="R9" i="66"/>
  <c r="M9" i="66"/>
  <c r="H9" i="66"/>
  <c r="W8" i="66"/>
  <c r="R8" i="66"/>
  <c r="M8" i="66"/>
  <c r="H8" i="66"/>
  <c r="W7" i="66"/>
  <c r="R7" i="66"/>
  <c r="M7" i="66"/>
  <c r="H7" i="66"/>
  <c r="H54" i="66" s="1"/>
  <c r="S186" i="65"/>
  <c r="X172" i="65"/>
  <c r="V172" i="65"/>
  <c r="V173" i="65" s="1"/>
  <c r="U173" i="65"/>
  <c r="T172" i="65"/>
  <c r="T173" i="65" s="1"/>
  <c r="Q172" i="65"/>
  <c r="Q173" i="65" s="1"/>
  <c r="P172" i="65"/>
  <c r="O172" i="65"/>
  <c r="N172" i="65"/>
  <c r="K172" i="65"/>
  <c r="T171" i="65"/>
  <c r="Q171" i="65"/>
  <c r="F171" i="65"/>
  <c r="E171" i="65"/>
  <c r="Q170" i="65"/>
  <c r="P170" i="65"/>
  <c r="O170" i="65"/>
  <c r="X168" i="65"/>
  <c r="X170" i="65" s="1"/>
  <c r="V168" i="65"/>
  <c r="V170" i="65" s="1"/>
  <c r="U168" i="65"/>
  <c r="U170" i="65" s="1"/>
  <c r="T168" i="65"/>
  <c r="T170" i="65" s="1"/>
  <c r="Q168" i="65"/>
  <c r="P168" i="65"/>
  <c r="O168" i="65"/>
  <c r="N168" i="65"/>
  <c r="N170" i="65" s="1"/>
  <c r="L168" i="65"/>
  <c r="L170" i="65" s="1"/>
  <c r="L173" i="65" s="1"/>
  <c r="J168" i="65"/>
  <c r="J170" i="65" s="1"/>
  <c r="J173" i="65" s="1"/>
  <c r="I168" i="65"/>
  <c r="I170" i="65" s="1"/>
  <c r="I173" i="65" s="1"/>
  <c r="F168" i="65"/>
  <c r="F170" i="65" s="1"/>
  <c r="F173" i="65" s="1"/>
  <c r="E168" i="65"/>
  <c r="E170" i="65" s="1"/>
  <c r="E173" i="65" s="1"/>
  <c r="AR167" i="65"/>
  <c r="AM167" i="65"/>
  <c r="AH167" i="65"/>
  <c r="AA167" i="65"/>
  <c r="AC167" i="65" s="1"/>
  <c r="H167" i="65"/>
  <c r="AR166" i="65"/>
  <c r="AM166" i="65"/>
  <c r="AH166" i="65"/>
  <c r="AC166" i="65"/>
  <c r="H166" i="65"/>
  <c r="Y168" i="65"/>
  <c r="Y170" i="65" s="1"/>
  <c r="S165" i="65"/>
  <c r="S168" i="65" s="1"/>
  <c r="S170" i="65" s="1"/>
  <c r="S173" i="65" s="1"/>
  <c r="H165" i="65"/>
  <c r="G165" i="65"/>
  <c r="D165" i="65"/>
  <c r="AR164" i="65"/>
  <c r="AM164" i="65"/>
  <c r="AH164" i="65"/>
  <c r="AC164" i="65"/>
  <c r="D164" i="65"/>
  <c r="H164" i="65" s="1"/>
  <c r="AC163" i="65"/>
  <c r="AD163" i="65" s="1"/>
  <c r="K163" i="65"/>
  <c r="K168" i="65" s="1"/>
  <c r="K170" i="65" s="1"/>
  <c r="K173" i="65" s="1"/>
  <c r="G163" i="65"/>
  <c r="G168" i="65" s="1"/>
  <c r="G170" i="65" s="1"/>
  <c r="G173" i="65" s="1"/>
  <c r="D163" i="65"/>
  <c r="H163" i="65" s="1"/>
  <c r="F161" i="65"/>
  <c r="E161" i="65"/>
  <c r="E158" i="65"/>
  <c r="D158" i="65"/>
  <c r="D157" i="65"/>
  <c r="AA155" i="65"/>
  <c r="Z155" i="65"/>
  <c r="Y155" i="65"/>
  <c r="X155" i="65"/>
  <c r="U155" i="65"/>
  <c r="Q155" i="65"/>
  <c r="Q152" i="65" s="1"/>
  <c r="P155" i="65"/>
  <c r="O155" i="65"/>
  <c r="N155" i="65"/>
  <c r="L155" i="65"/>
  <c r="K155" i="65"/>
  <c r="J155" i="65"/>
  <c r="I155" i="65"/>
  <c r="M155" i="65" s="1"/>
  <c r="G155" i="65"/>
  <c r="E155" i="65"/>
  <c r="AV154" i="65"/>
  <c r="AQ154" i="65"/>
  <c r="AK154" i="65"/>
  <c r="AJ61" i="66" s="1"/>
  <c r="AG154" i="65"/>
  <c r="AB154" i="65"/>
  <c r="V154" i="65"/>
  <c r="V155" i="65" s="1"/>
  <c r="T154" i="65"/>
  <c r="S154" i="65"/>
  <c r="W154" i="65" s="1"/>
  <c r="R154" i="65"/>
  <c r="M154" i="65"/>
  <c r="F154" i="65"/>
  <c r="H154" i="65" s="1"/>
  <c r="V153" i="65"/>
  <c r="X152" i="65"/>
  <c r="U152" i="65"/>
  <c r="T152" i="65"/>
  <c r="S152" i="65"/>
  <c r="O152" i="65"/>
  <c r="N152" i="65"/>
  <c r="L152" i="65"/>
  <c r="K152" i="65"/>
  <c r="J152" i="65"/>
  <c r="I152" i="65"/>
  <c r="G152" i="65"/>
  <c r="X151" i="65"/>
  <c r="U151" i="65"/>
  <c r="T151" i="65"/>
  <c r="S151" i="65"/>
  <c r="Q151" i="65"/>
  <c r="O151" i="65"/>
  <c r="N151" i="65"/>
  <c r="L151" i="65"/>
  <c r="K151" i="65"/>
  <c r="J151" i="65"/>
  <c r="I151" i="65"/>
  <c r="G151" i="65"/>
  <c r="AA145" i="65"/>
  <c r="AC145" i="65" s="1"/>
  <c r="AD145" i="65" s="1"/>
  <c r="AE145" i="65" s="1"/>
  <c r="F17" i="69"/>
  <c r="V145" i="65"/>
  <c r="U145" i="65"/>
  <c r="T145" i="65"/>
  <c r="S145" i="65"/>
  <c r="Q145" i="65"/>
  <c r="P145" i="65"/>
  <c r="O145" i="65"/>
  <c r="N145" i="65"/>
  <c r="L145" i="65"/>
  <c r="K145" i="65"/>
  <c r="J145" i="65"/>
  <c r="I145" i="65"/>
  <c r="F145" i="65"/>
  <c r="E145" i="65"/>
  <c r="X136" i="65"/>
  <c r="V136" i="65"/>
  <c r="U136" i="65"/>
  <c r="T136" i="65"/>
  <c r="S136" i="65"/>
  <c r="Q136" i="65"/>
  <c r="P136" i="65"/>
  <c r="O136" i="65"/>
  <c r="N136" i="65"/>
  <c r="L136" i="65"/>
  <c r="K136" i="65"/>
  <c r="J136" i="65"/>
  <c r="I136" i="65"/>
  <c r="F136" i="65"/>
  <c r="E136" i="65"/>
  <c r="D136" i="65"/>
  <c r="X135" i="65"/>
  <c r="V135" i="65"/>
  <c r="U135" i="65"/>
  <c r="T135" i="65"/>
  <c r="S135" i="65"/>
  <c r="Q135" i="65"/>
  <c r="P135" i="65"/>
  <c r="O135" i="65"/>
  <c r="N135" i="65"/>
  <c r="L135" i="65"/>
  <c r="K135" i="65"/>
  <c r="J135" i="65"/>
  <c r="I135" i="65"/>
  <c r="F135" i="65"/>
  <c r="E135" i="65"/>
  <c r="D135" i="65"/>
  <c r="X134" i="65"/>
  <c r="V134" i="65"/>
  <c r="U134" i="65"/>
  <c r="T134" i="65"/>
  <c r="S134" i="65"/>
  <c r="Q134" i="65"/>
  <c r="P134" i="65"/>
  <c r="O134" i="65"/>
  <c r="N134" i="65"/>
  <c r="L134" i="65"/>
  <c r="K134" i="65"/>
  <c r="J134" i="65"/>
  <c r="I134" i="65"/>
  <c r="F134" i="65"/>
  <c r="E134" i="65"/>
  <c r="D134" i="65"/>
  <c r="X133" i="65"/>
  <c r="V133" i="65"/>
  <c r="U133" i="65"/>
  <c r="T133" i="65"/>
  <c r="S133" i="65"/>
  <c r="Q133" i="65"/>
  <c r="P133" i="65"/>
  <c r="O133" i="65"/>
  <c r="N133" i="65"/>
  <c r="L133" i="65"/>
  <c r="K133" i="65"/>
  <c r="J133" i="65"/>
  <c r="I133" i="65"/>
  <c r="F133" i="65"/>
  <c r="E133" i="65"/>
  <c r="D133" i="65"/>
  <c r="X131" i="65"/>
  <c r="V131" i="65"/>
  <c r="U131" i="65"/>
  <c r="N131" i="65"/>
  <c r="L131" i="65"/>
  <c r="K131" i="65"/>
  <c r="J131" i="65"/>
  <c r="I131" i="65"/>
  <c r="F131" i="65"/>
  <c r="E131" i="65"/>
  <c r="D131" i="65"/>
  <c r="X130" i="65"/>
  <c r="V130" i="65"/>
  <c r="U130" i="65"/>
  <c r="T130" i="65"/>
  <c r="T131" i="65" s="1"/>
  <c r="S130" i="65"/>
  <c r="S131" i="65" s="1"/>
  <c r="R130" i="65"/>
  <c r="Q130" i="65"/>
  <c r="Q131" i="65" s="1"/>
  <c r="P130" i="65"/>
  <c r="P131" i="65" s="1"/>
  <c r="O130" i="65"/>
  <c r="O131" i="65" s="1"/>
  <c r="N130" i="65"/>
  <c r="L130" i="65"/>
  <c r="K130" i="65"/>
  <c r="J130" i="65"/>
  <c r="I130" i="65"/>
  <c r="F130" i="65"/>
  <c r="E130" i="65"/>
  <c r="D130" i="65"/>
  <c r="W129" i="65"/>
  <c r="R129" i="65"/>
  <c r="M129" i="65"/>
  <c r="W128" i="65"/>
  <c r="R128" i="65"/>
  <c r="M128" i="65"/>
  <c r="W127" i="65"/>
  <c r="R127" i="65"/>
  <c r="M127" i="65"/>
  <c r="W126" i="65"/>
  <c r="R126" i="65"/>
  <c r="M126" i="65"/>
  <c r="G126" i="65"/>
  <c r="G130" i="65" s="1"/>
  <c r="G131" i="65" s="1"/>
  <c r="Z125" i="65"/>
  <c r="W125" i="65"/>
  <c r="W130" i="65" s="1"/>
  <c r="W131" i="65" s="1"/>
  <c r="R125" i="65"/>
  <c r="M125" i="65"/>
  <c r="M130" i="65" s="1"/>
  <c r="X124" i="65"/>
  <c r="W124" i="65"/>
  <c r="V124" i="65"/>
  <c r="U124" i="65"/>
  <c r="T124" i="65"/>
  <c r="S124" i="65"/>
  <c r="R124" i="65"/>
  <c r="Q124" i="65"/>
  <c r="P124" i="65"/>
  <c r="O124" i="65"/>
  <c r="N124" i="65"/>
  <c r="L124" i="65"/>
  <c r="K124" i="65"/>
  <c r="J124" i="65"/>
  <c r="I124" i="65"/>
  <c r="AD123" i="65"/>
  <c r="AC123" i="65"/>
  <c r="AA123" i="65"/>
  <c r="Z123" i="65"/>
  <c r="W123" i="65"/>
  <c r="R123" i="65"/>
  <c r="M123" i="65"/>
  <c r="M124" i="65" s="1"/>
  <c r="H123" i="65"/>
  <c r="I121" i="65"/>
  <c r="G121" i="65"/>
  <c r="F121" i="65"/>
  <c r="U120" i="65"/>
  <c r="U121" i="65" s="1"/>
  <c r="T120" i="65"/>
  <c r="T121" i="65" s="1"/>
  <c r="S120" i="65"/>
  <c r="S121" i="65" s="1"/>
  <c r="I120" i="65"/>
  <c r="G120" i="65"/>
  <c r="F120" i="65"/>
  <c r="E120" i="65"/>
  <c r="E121" i="65" s="1"/>
  <c r="D120" i="65"/>
  <c r="D121" i="65" s="1"/>
  <c r="W119" i="65"/>
  <c r="R119" i="65"/>
  <c r="M119" i="65"/>
  <c r="H119" i="65"/>
  <c r="U118" i="65"/>
  <c r="T118" i="65"/>
  <c r="S118" i="65"/>
  <c r="Q118" i="65"/>
  <c r="Q120" i="65" s="1"/>
  <c r="Q121" i="65" s="1"/>
  <c r="P118" i="65"/>
  <c r="P120" i="65" s="1"/>
  <c r="P121" i="65" s="1"/>
  <c r="O118" i="65"/>
  <c r="O120" i="65" s="1"/>
  <c r="O121" i="65" s="1"/>
  <c r="N118" i="65"/>
  <c r="N120" i="65" s="1"/>
  <c r="N121" i="65" s="1"/>
  <c r="M118" i="65"/>
  <c r="L118" i="65"/>
  <c r="L120" i="65" s="1"/>
  <c r="L121" i="65" s="1"/>
  <c r="K118" i="65"/>
  <c r="K120" i="65" s="1"/>
  <c r="K121" i="65" s="1"/>
  <c r="J118" i="65"/>
  <c r="J120" i="65" s="1"/>
  <c r="J121" i="65" s="1"/>
  <c r="I118" i="65"/>
  <c r="G118" i="65"/>
  <c r="F118" i="65"/>
  <c r="E118" i="65"/>
  <c r="D118" i="65"/>
  <c r="V117" i="65"/>
  <c r="X117" i="65" s="1"/>
  <c r="R117" i="65"/>
  <c r="M117" i="65"/>
  <c r="H117" i="65"/>
  <c r="AA116" i="65"/>
  <c r="AF116" i="65" s="1"/>
  <c r="Z116" i="65"/>
  <c r="Z187" i="65" s="1"/>
  <c r="Y187" i="65"/>
  <c r="X116" i="65"/>
  <c r="W116" i="65"/>
  <c r="V116" i="65"/>
  <c r="U116" i="65"/>
  <c r="T116" i="65"/>
  <c r="T187" i="65" s="1"/>
  <c r="S116" i="65"/>
  <c r="S187" i="65" s="1"/>
  <c r="Q116" i="65"/>
  <c r="P116" i="65"/>
  <c r="O116" i="65"/>
  <c r="N116" i="65"/>
  <c r="L116" i="65"/>
  <c r="K116" i="65"/>
  <c r="J116" i="65"/>
  <c r="I116" i="65"/>
  <c r="H116" i="65"/>
  <c r="G116" i="65"/>
  <c r="F116" i="65"/>
  <c r="E116" i="65"/>
  <c r="D116" i="65"/>
  <c r="W115" i="65"/>
  <c r="R115" i="65"/>
  <c r="R116" i="65" s="1"/>
  <c r="M115" i="65"/>
  <c r="M116" i="65" s="1"/>
  <c r="H115" i="65"/>
  <c r="AV114" i="65"/>
  <c r="AQ114" i="65"/>
  <c r="AL114" i="65"/>
  <c r="AG114" i="65"/>
  <c r="AB114" i="65"/>
  <c r="W114" i="65"/>
  <c r="R114" i="65"/>
  <c r="M114" i="65"/>
  <c r="H114" i="65"/>
  <c r="AC186" i="65"/>
  <c r="AA186" i="65"/>
  <c r="X113" i="65"/>
  <c r="V113" i="65"/>
  <c r="V186" i="65" s="1"/>
  <c r="U113" i="65"/>
  <c r="U186" i="65" s="1"/>
  <c r="T113" i="65"/>
  <c r="S113" i="65"/>
  <c r="Q113" i="65"/>
  <c r="P113" i="65"/>
  <c r="O113" i="65"/>
  <c r="N113" i="65"/>
  <c r="L113" i="65"/>
  <c r="K113" i="65"/>
  <c r="J113" i="65"/>
  <c r="I113" i="65"/>
  <c r="G113" i="65"/>
  <c r="F113" i="65"/>
  <c r="E113" i="65"/>
  <c r="D113" i="65"/>
  <c r="AA112" i="65"/>
  <c r="W112" i="65"/>
  <c r="W113" i="65" s="1"/>
  <c r="R112" i="65"/>
  <c r="R113" i="65" s="1"/>
  <c r="M112" i="65"/>
  <c r="M113" i="65" s="1"/>
  <c r="H112" i="65"/>
  <c r="H113" i="65" s="1"/>
  <c r="X111" i="65"/>
  <c r="W111" i="65"/>
  <c r="V111" i="65"/>
  <c r="V185" i="65" s="1"/>
  <c r="U111" i="65"/>
  <c r="U185" i="65" s="1"/>
  <c r="T111" i="65"/>
  <c r="T185" i="65" s="1"/>
  <c r="S111" i="65"/>
  <c r="S185" i="65" s="1"/>
  <c r="R111" i="65"/>
  <c r="Q111" i="65"/>
  <c r="P111" i="65"/>
  <c r="O111" i="65"/>
  <c r="N111" i="65"/>
  <c r="L111" i="65"/>
  <c r="K111" i="65"/>
  <c r="J111" i="65"/>
  <c r="I111" i="65"/>
  <c r="G111" i="65"/>
  <c r="F111" i="65"/>
  <c r="E111" i="65"/>
  <c r="D111" i="65"/>
  <c r="W110" i="65"/>
  <c r="R110" i="65"/>
  <c r="R118" i="65" s="1"/>
  <c r="M110" i="65"/>
  <c r="M111" i="65" s="1"/>
  <c r="H110" i="65"/>
  <c r="H118" i="65" s="1"/>
  <c r="X109" i="65"/>
  <c r="V109" i="65"/>
  <c r="U109" i="65"/>
  <c r="T109" i="65"/>
  <c r="S109" i="65"/>
  <c r="Q109" i="65"/>
  <c r="P109" i="65"/>
  <c r="O109" i="65"/>
  <c r="N109" i="65"/>
  <c r="L109" i="65"/>
  <c r="K109" i="65"/>
  <c r="J109" i="65"/>
  <c r="I109" i="65"/>
  <c r="AJ108" i="65"/>
  <c r="AO108" i="65" s="1"/>
  <c r="AH108" i="65"/>
  <c r="AF108" i="65"/>
  <c r="AE108" i="65"/>
  <c r="AC108" i="65"/>
  <c r="AA108" i="65"/>
  <c r="Z108" i="65"/>
  <c r="AD108" i="65"/>
  <c r="W108" i="65"/>
  <c r="W109" i="65" s="1"/>
  <c r="R108" i="65"/>
  <c r="M108" i="65"/>
  <c r="H108" i="65"/>
  <c r="I105" i="65"/>
  <c r="AV104" i="65"/>
  <c r="AQ104" i="65"/>
  <c r="AL104" i="65"/>
  <c r="AG104" i="65"/>
  <c r="AB104" i="65"/>
  <c r="W104" i="65"/>
  <c r="R104" i="65"/>
  <c r="M104" i="65"/>
  <c r="H104" i="65"/>
  <c r="U103" i="65"/>
  <c r="T103" i="65"/>
  <c r="S103" i="65"/>
  <c r="Q103" i="65"/>
  <c r="P103" i="65"/>
  <c r="O103" i="65"/>
  <c r="N103" i="65"/>
  <c r="L103" i="65"/>
  <c r="K103" i="65"/>
  <c r="J103" i="65"/>
  <c r="I103" i="65"/>
  <c r="G103" i="65"/>
  <c r="F103" i="65"/>
  <c r="E103" i="65"/>
  <c r="D103" i="65"/>
  <c r="V102" i="65"/>
  <c r="X102" i="65" s="1"/>
  <c r="R102" i="65"/>
  <c r="M102" i="65"/>
  <c r="H102" i="65"/>
  <c r="K101" i="65"/>
  <c r="W100" i="65"/>
  <c r="W101" i="65" s="1"/>
  <c r="R100" i="65"/>
  <c r="M100" i="65"/>
  <c r="H100" i="65"/>
  <c r="W99" i="65"/>
  <c r="R99" i="65"/>
  <c r="M99" i="65"/>
  <c r="H99" i="65"/>
  <c r="T98" i="65"/>
  <c r="P98" i="65"/>
  <c r="D98" i="65"/>
  <c r="W97" i="65"/>
  <c r="W98" i="65" s="1"/>
  <c r="R97" i="65"/>
  <c r="M97" i="65"/>
  <c r="H97" i="65"/>
  <c r="AA96" i="65"/>
  <c r="AA181" i="65" s="1"/>
  <c r="Z96" i="65"/>
  <c r="Z181" i="65" s="1"/>
  <c r="X96" i="65"/>
  <c r="X181" i="65" s="1"/>
  <c r="V96" i="65"/>
  <c r="V181" i="65" s="1"/>
  <c r="U96" i="65"/>
  <c r="U181" i="65" s="1"/>
  <c r="T96" i="65"/>
  <c r="T181" i="65" s="1"/>
  <c r="S96" i="65"/>
  <c r="S181" i="65" s="1"/>
  <c r="Q96" i="65"/>
  <c r="Q181" i="65" s="1"/>
  <c r="P96" i="65"/>
  <c r="O96" i="65"/>
  <c r="N96" i="65"/>
  <c r="M96" i="65"/>
  <c r="L96" i="65"/>
  <c r="K96" i="65"/>
  <c r="J96" i="65"/>
  <c r="I96" i="65"/>
  <c r="G96" i="65"/>
  <c r="F96" i="65"/>
  <c r="E96" i="65"/>
  <c r="D96" i="65"/>
  <c r="W95" i="65"/>
  <c r="W96" i="65" s="1"/>
  <c r="R95" i="65"/>
  <c r="R96" i="65" s="1"/>
  <c r="M95" i="65"/>
  <c r="H95" i="65"/>
  <c r="H96" i="65" s="1"/>
  <c r="V94" i="65"/>
  <c r="S94" i="65"/>
  <c r="Q94" i="65"/>
  <c r="F94" i="65"/>
  <c r="W93" i="65"/>
  <c r="R93" i="65"/>
  <c r="M93" i="65"/>
  <c r="H93" i="65"/>
  <c r="X92" i="65"/>
  <c r="V92" i="65"/>
  <c r="U92" i="65"/>
  <c r="U105" i="65" s="1"/>
  <c r="U106" i="65" s="1"/>
  <c r="T92" i="65"/>
  <c r="T105" i="65" s="1"/>
  <c r="T106" i="65" s="1"/>
  <c r="S92" i="65"/>
  <c r="W92" i="65" s="1"/>
  <c r="Q92" i="65"/>
  <c r="Q105" i="65" s="1"/>
  <c r="Q106" i="65" s="1"/>
  <c r="P92" i="65"/>
  <c r="P94" i="65" s="1"/>
  <c r="O92" i="65"/>
  <c r="N92" i="65"/>
  <c r="N98" i="65" s="1"/>
  <c r="L92" i="65"/>
  <c r="K92" i="65"/>
  <c r="J92" i="65"/>
  <c r="I92" i="65"/>
  <c r="I101" i="65" s="1"/>
  <c r="G92" i="65"/>
  <c r="G105" i="65" s="1"/>
  <c r="G106" i="65" s="1"/>
  <c r="F92" i="65"/>
  <c r="F105" i="65" s="1"/>
  <c r="F106" i="65" s="1"/>
  <c r="E92" i="65"/>
  <c r="E105" i="65" s="1"/>
  <c r="E106" i="65" s="1"/>
  <c r="D92" i="65"/>
  <c r="H92" i="65" s="1"/>
  <c r="AU91" i="65"/>
  <c r="AT91" i="65"/>
  <c r="AS91" i="65"/>
  <c r="AR91" i="65"/>
  <c r="AP91" i="65"/>
  <c r="AO91" i="65"/>
  <c r="AN91" i="65"/>
  <c r="AM91" i="65"/>
  <c r="AK91" i="65"/>
  <c r="AJ91" i="65"/>
  <c r="AI91" i="65"/>
  <c r="AH91" i="65"/>
  <c r="AF91" i="65"/>
  <c r="AE91" i="65"/>
  <c r="AD91" i="65"/>
  <c r="AC91" i="65"/>
  <c r="AA91" i="65"/>
  <c r="Z91" i="65"/>
  <c r="Y91" i="65"/>
  <c r="X91" i="65"/>
  <c r="V91" i="65"/>
  <c r="U91" i="65"/>
  <c r="T91" i="65"/>
  <c r="S91" i="65"/>
  <c r="Q91" i="65"/>
  <c r="P91" i="65"/>
  <c r="O91" i="65"/>
  <c r="N91" i="65"/>
  <c r="I91" i="65"/>
  <c r="G91" i="65"/>
  <c r="N90" i="65"/>
  <c r="L90" i="65"/>
  <c r="K90" i="65"/>
  <c r="J90" i="65"/>
  <c r="I90" i="65"/>
  <c r="G90" i="65"/>
  <c r="F90" i="65"/>
  <c r="E90" i="65"/>
  <c r="D90" i="65"/>
  <c r="X89" i="65"/>
  <c r="V89" i="65"/>
  <c r="U89" i="65"/>
  <c r="T89" i="65"/>
  <c r="S89" i="65"/>
  <c r="Q89" i="65"/>
  <c r="P89" i="65"/>
  <c r="O89" i="65"/>
  <c r="N89" i="65"/>
  <c r="L89" i="65"/>
  <c r="K89" i="65"/>
  <c r="J89" i="65"/>
  <c r="I89" i="65"/>
  <c r="AH88" i="65"/>
  <c r="AF88" i="65"/>
  <c r="AC88" i="65"/>
  <c r="AA88" i="65"/>
  <c r="Z88" i="65"/>
  <c r="AE88" i="65" s="1"/>
  <c r="W88" i="65"/>
  <c r="R88" i="65"/>
  <c r="M88" i="65"/>
  <c r="H88" i="65"/>
  <c r="W87" i="65"/>
  <c r="R87" i="65"/>
  <c r="M87" i="65"/>
  <c r="H87" i="65"/>
  <c r="N85" i="65"/>
  <c r="N86" i="65" s="1"/>
  <c r="L85" i="65"/>
  <c r="L86" i="65" s="1"/>
  <c r="K85" i="65"/>
  <c r="K86" i="65" s="1"/>
  <c r="J85" i="65"/>
  <c r="J86" i="65" s="1"/>
  <c r="I85" i="65"/>
  <c r="I86" i="65" s="1"/>
  <c r="G85" i="65"/>
  <c r="G86" i="65" s="1"/>
  <c r="F85" i="65"/>
  <c r="F86" i="65" s="1"/>
  <c r="E85" i="65"/>
  <c r="E86" i="65" s="1"/>
  <c r="D85" i="65"/>
  <c r="D86" i="65" s="1"/>
  <c r="AV84" i="65"/>
  <c r="AQ84" i="65"/>
  <c r="AL84" i="65"/>
  <c r="AG84" i="65"/>
  <c r="AB84" i="65"/>
  <c r="W84" i="65"/>
  <c r="W91" i="65" s="1"/>
  <c r="R84" i="65"/>
  <c r="M84" i="65"/>
  <c r="K84" i="65"/>
  <c r="J84" i="65"/>
  <c r="J91" i="65" s="1"/>
  <c r="I84" i="65"/>
  <c r="G84" i="65"/>
  <c r="F84" i="65"/>
  <c r="F91" i="65" s="1"/>
  <c r="E84" i="65"/>
  <c r="D84" i="65"/>
  <c r="S83" i="65"/>
  <c r="R83" i="65"/>
  <c r="O83" i="65"/>
  <c r="M83" i="65"/>
  <c r="H83" i="65"/>
  <c r="X79" i="65"/>
  <c r="W79" i="65"/>
  <c r="V79" i="65"/>
  <c r="U79" i="65"/>
  <c r="T79" i="65"/>
  <c r="S79" i="65"/>
  <c r="Q79" i="65"/>
  <c r="P79" i="65"/>
  <c r="O79" i="65"/>
  <c r="N79" i="65"/>
  <c r="L79" i="65"/>
  <c r="K79" i="65"/>
  <c r="J79" i="65"/>
  <c r="I79" i="65"/>
  <c r="W78" i="65"/>
  <c r="R78" i="65"/>
  <c r="M78" i="65"/>
  <c r="H78" i="65"/>
  <c r="K77" i="65"/>
  <c r="I77" i="65"/>
  <c r="N76" i="65"/>
  <c r="N77" i="65" s="1"/>
  <c r="L76" i="65"/>
  <c r="L77" i="65" s="1"/>
  <c r="K76" i="65"/>
  <c r="J76" i="65"/>
  <c r="J77" i="65" s="1"/>
  <c r="I76" i="65"/>
  <c r="G76" i="65"/>
  <c r="G77" i="65" s="1"/>
  <c r="F76" i="65"/>
  <c r="F77" i="65" s="1"/>
  <c r="E76" i="65"/>
  <c r="E77" i="65" s="1"/>
  <c r="AV75" i="65"/>
  <c r="AQ75" i="65"/>
  <c r="AL75" i="65"/>
  <c r="AG75" i="65"/>
  <c r="AB75" i="65"/>
  <c r="W75" i="65"/>
  <c r="R75" i="65"/>
  <c r="L75" i="65"/>
  <c r="L91" i="65" s="1"/>
  <c r="K75" i="65"/>
  <c r="J75" i="65"/>
  <c r="I75" i="65"/>
  <c r="M75" i="65" s="1"/>
  <c r="G75" i="65"/>
  <c r="F75" i="65"/>
  <c r="E75" i="65"/>
  <c r="D75" i="65"/>
  <c r="O74" i="65"/>
  <c r="M74" i="65"/>
  <c r="H74" i="65"/>
  <c r="P71" i="65"/>
  <c r="O71" i="65"/>
  <c r="N71" i="65"/>
  <c r="L71" i="65"/>
  <c r="X70" i="65"/>
  <c r="V70" i="65"/>
  <c r="U70" i="65"/>
  <c r="T70" i="65"/>
  <c r="S70" i="65"/>
  <c r="Q70" i="65"/>
  <c r="P70" i="65"/>
  <c r="O70" i="65"/>
  <c r="N70" i="65"/>
  <c r="L70" i="65"/>
  <c r="K70" i="65"/>
  <c r="J70" i="65"/>
  <c r="I70" i="65"/>
  <c r="H70" i="65"/>
  <c r="G70" i="65"/>
  <c r="F70" i="65"/>
  <c r="E70" i="65"/>
  <c r="D70" i="65"/>
  <c r="W69" i="65"/>
  <c r="O68" i="65"/>
  <c r="N68" i="65"/>
  <c r="L68" i="65"/>
  <c r="K68" i="65"/>
  <c r="W67" i="65"/>
  <c r="W66" i="65"/>
  <c r="L65" i="65"/>
  <c r="J65" i="65"/>
  <c r="I65" i="65"/>
  <c r="G65" i="65"/>
  <c r="F65" i="65"/>
  <c r="W64" i="65"/>
  <c r="AC63" i="65"/>
  <c r="X63" i="65"/>
  <c r="V63" i="65"/>
  <c r="U63" i="65"/>
  <c r="T63" i="65"/>
  <c r="S63" i="65"/>
  <c r="Q63" i="65"/>
  <c r="P63" i="65"/>
  <c r="O63" i="65"/>
  <c r="N63" i="65"/>
  <c r="L63" i="65"/>
  <c r="K63" i="65"/>
  <c r="J63" i="65"/>
  <c r="I63" i="65"/>
  <c r="G63" i="65"/>
  <c r="F63" i="65"/>
  <c r="E63" i="65"/>
  <c r="D63" i="65"/>
  <c r="W62" i="65"/>
  <c r="W63" i="65" s="1"/>
  <c r="X61" i="65"/>
  <c r="P61" i="65"/>
  <c r="O61" i="65"/>
  <c r="N61" i="65"/>
  <c r="W60" i="65"/>
  <c r="X59" i="65"/>
  <c r="X65" i="65" s="1"/>
  <c r="V59" i="65"/>
  <c r="V65" i="65" s="1"/>
  <c r="U59" i="65"/>
  <c r="T59" i="65"/>
  <c r="S59" i="65"/>
  <c r="Q59" i="65"/>
  <c r="P59" i="65"/>
  <c r="P65" i="65" s="1"/>
  <c r="O59" i="65"/>
  <c r="O65" i="65" s="1"/>
  <c r="N59" i="65"/>
  <c r="N65" i="65" s="1"/>
  <c r="L59" i="65"/>
  <c r="L61" i="65" s="1"/>
  <c r="K59" i="65"/>
  <c r="K71" i="65" s="1"/>
  <c r="J59" i="65"/>
  <c r="J68" i="65" s="1"/>
  <c r="I59" i="65"/>
  <c r="I68" i="65" s="1"/>
  <c r="G59" i="65"/>
  <c r="G68" i="65" s="1"/>
  <c r="F59" i="65"/>
  <c r="F68" i="65" s="1"/>
  <c r="E59" i="65"/>
  <c r="E65" i="65" s="1"/>
  <c r="D59" i="65"/>
  <c r="D65" i="65" s="1"/>
  <c r="AV58" i="65"/>
  <c r="AU58" i="65"/>
  <c r="AT58" i="65"/>
  <c r="AS58" i="65"/>
  <c r="AR58" i="65"/>
  <c r="AP58" i="65"/>
  <c r="AO58" i="65"/>
  <c r="AN58" i="65"/>
  <c r="AM58" i="65"/>
  <c r="AK58" i="65"/>
  <c r="AJ58" i="65"/>
  <c r="AI58" i="65"/>
  <c r="AH58" i="65"/>
  <c r="AF58" i="65"/>
  <c r="AE58" i="65"/>
  <c r="AD58" i="65"/>
  <c r="AC58" i="65"/>
  <c r="AA58" i="65"/>
  <c r="Z58" i="65"/>
  <c r="Y58" i="65"/>
  <c r="X58" i="65"/>
  <c r="V58" i="65"/>
  <c r="U58" i="65"/>
  <c r="T58" i="65"/>
  <c r="S58" i="65"/>
  <c r="Q58" i="65"/>
  <c r="P58" i="65"/>
  <c r="O58" i="65"/>
  <c r="N58" i="65"/>
  <c r="L58" i="65"/>
  <c r="N57" i="65"/>
  <c r="L57" i="65"/>
  <c r="K57" i="65"/>
  <c r="J57" i="65"/>
  <c r="I57" i="65"/>
  <c r="G57" i="65"/>
  <c r="F57" i="65"/>
  <c r="E57" i="65"/>
  <c r="D57" i="65"/>
  <c r="X56" i="65"/>
  <c r="V56" i="65"/>
  <c r="U56" i="65"/>
  <c r="T56" i="65"/>
  <c r="S56" i="65"/>
  <c r="Q56" i="65"/>
  <c r="P56" i="65"/>
  <c r="O56" i="65"/>
  <c r="N56" i="65"/>
  <c r="L56" i="65"/>
  <c r="K56" i="65"/>
  <c r="J56" i="65"/>
  <c r="I56" i="65"/>
  <c r="AH55" i="65"/>
  <c r="AF55" i="65"/>
  <c r="AE55" i="65"/>
  <c r="AC55" i="65"/>
  <c r="AA55" i="65"/>
  <c r="Z55" i="65"/>
  <c r="W55" i="65"/>
  <c r="W54" i="65"/>
  <c r="L53" i="65"/>
  <c r="K53" i="65"/>
  <c r="J53" i="65"/>
  <c r="I53" i="65"/>
  <c r="Q52" i="65"/>
  <c r="Q53" i="65" s="1"/>
  <c r="P52" i="65"/>
  <c r="P53" i="65" s="1"/>
  <c r="O52" i="65"/>
  <c r="O53" i="65" s="1"/>
  <c r="N52" i="65"/>
  <c r="N53" i="65" s="1"/>
  <c r="L52" i="65"/>
  <c r="K52" i="65"/>
  <c r="J52" i="65"/>
  <c r="I52" i="65"/>
  <c r="G52" i="65"/>
  <c r="G53" i="65" s="1"/>
  <c r="F52" i="65"/>
  <c r="F53" i="65" s="1"/>
  <c r="E52" i="65"/>
  <c r="E53" i="65" s="1"/>
  <c r="D52" i="65"/>
  <c r="D53" i="65" s="1"/>
  <c r="AV51" i="65"/>
  <c r="AQ51" i="65"/>
  <c r="AQ58" i="65" s="1"/>
  <c r="AL51" i="65"/>
  <c r="AL58" i="65" s="1"/>
  <c r="AG51" i="65"/>
  <c r="AG58" i="65" s="1"/>
  <c r="AB51" i="65"/>
  <c r="W51" i="65"/>
  <c r="W58" i="65" s="1"/>
  <c r="K51" i="65"/>
  <c r="K58" i="65" s="1"/>
  <c r="J51" i="65"/>
  <c r="J58" i="65" s="1"/>
  <c r="I51" i="65"/>
  <c r="I58" i="65" s="1"/>
  <c r="G51" i="65"/>
  <c r="G58" i="65" s="1"/>
  <c r="F51" i="65"/>
  <c r="F58" i="65" s="1"/>
  <c r="E51" i="65"/>
  <c r="H51" i="65" s="1"/>
  <c r="H58" i="65" s="1"/>
  <c r="D51" i="65"/>
  <c r="D58" i="65" s="1"/>
  <c r="S50" i="65"/>
  <c r="T50" i="65" s="1"/>
  <c r="P50" i="65"/>
  <c r="O50" i="65"/>
  <c r="O57" i="65" s="1"/>
  <c r="X46" i="65"/>
  <c r="W46" i="65"/>
  <c r="V46" i="65"/>
  <c r="U46" i="65"/>
  <c r="T46" i="65"/>
  <c r="S46" i="65"/>
  <c r="Q46" i="65"/>
  <c r="P46" i="65"/>
  <c r="O46" i="65"/>
  <c r="N46" i="65"/>
  <c r="L46" i="65"/>
  <c r="K46" i="65"/>
  <c r="J46" i="65"/>
  <c r="I46" i="65"/>
  <c r="W45" i="65"/>
  <c r="R45" i="65"/>
  <c r="M45" i="65"/>
  <c r="H45" i="65"/>
  <c r="J44" i="65"/>
  <c r="N43" i="65"/>
  <c r="N44" i="65" s="1"/>
  <c r="L43" i="65"/>
  <c r="L44" i="65" s="1"/>
  <c r="K43" i="65"/>
  <c r="K44" i="65" s="1"/>
  <c r="J43" i="65"/>
  <c r="I43" i="65"/>
  <c r="I44" i="65" s="1"/>
  <c r="G43" i="65"/>
  <c r="G44" i="65" s="1"/>
  <c r="F43" i="65"/>
  <c r="F44" i="65" s="1"/>
  <c r="E43" i="65"/>
  <c r="E44" i="65" s="1"/>
  <c r="D43" i="65"/>
  <c r="AV42" i="65"/>
  <c r="AQ42" i="65"/>
  <c r="AL42" i="65"/>
  <c r="AG42" i="65"/>
  <c r="AB42" i="65"/>
  <c r="W42" i="65"/>
  <c r="L42" i="65"/>
  <c r="K42" i="65"/>
  <c r="J42" i="65"/>
  <c r="I42" i="65"/>
  <c r="G42" i="65"/>
  <c r="F42" i="65"/>
  <c r="E42" i="65"/>
  <c r="D42" i="65"/>
  <c r="H42" i="65" s="1"/>
  <c r="O41" i="65"/>
  <c r="Q37" i="65"/>
  <c r="G37" i="65"/>
  <c r="Z35" i="65"/>
  <c r="W35" i="65"/>
  <c r="M35" i="65"/>
  <c r="L35" i="65"/>
  <c r="L37" i="65" s="1"/>
  <c r="H35" i="65"/>
  <c r="Z31" i="65"/>
  <c r="AA31" i="65" s="1"/>
  <c r="Z30" i="65"/>
  <c r="AA30" i="65" s="1"/>
  <c r="X28" i="65"/>
  <c r="V28" i="65"/>
  <c r="U28" i="65"/>
  <c r="T28" i="65"/>
  <c r="S28" i="65"/>
  <c r="W28" i="65" s="1"/>
  <c r="Q28" i="65"/>
  <c r="P28" i="65"/>
  <c r="O28" i="65"/>
  <c r="N28" i="65"/>
  <c r="R28" i="65" s="1"/>
  <c r="L28" i="65"/>
  <c r="K28" i="65"/>
  <c r="J28" i="65"/>
  <c r="M28" i="65" s="1"/>
  <c r="I28" i="65"/>
  <c r="G28" i="65"/>
  <c r="F28" i="65"/>
  <c r="E28" i="65"/>
  <c r="D28" i="65"/>
  <c r="H28" i="65" s="1"/>
  <c r="W26" i="65"/>
  <c r="T26" i="65"/>
  <c r="R26" i="65"/>
  <c r="M26" i="65"/>
  <c r="G26" i="65"/>
  <c r="W24" i="65"/>
  <c r="R24" i="65"/>
  <c r="M24" i="65"/>
  <c r="G24" i="65"/>
  <c r="Z22" i="65"/>
  <c r="W22" i="65"/>
  <c r="R22" i="65"/>
  <c r="M22" i="65"/>
  <c r="G22" i="65"/>
  <c r="G145" i="65" s="1"/>
  <c r="W21" i="65"/>
  <c r="R21" i="65"/>
  <c r="M21" i="65"/>
  <c r="G21" i="65"/>
  <c r="AV20" i="65"/>
  <c r="AQ20" i="65"/>
  <c r="AL20" i="65"/>
  <c r="AG20" i="65"/>
  <c r="AB20" i="65"/>
  <c r="W20" i="65"/>
  <c r="R20" i="65"/>
  <c r="M20" i="65"/>
  <c r="G20" i="65"/>
  <c r="X19" i="65"/>
  <c r="Y18" i="65"/>
  <c r="X18" i="65"/>
  <c r="V18" i="65"/>
  <c r="U18" i="65"/>
  <c r="W18" i="65" s="1"/>
  <c r="T18" i="65"/>
  <c r="S18" i="65"/>
  <c r="Q18" i="65"/>
  <c r="P18" i="65"/>
  <c r="O18" i="65"/>
  <c r="N18" i="65"/>
  <c r="R18" i="65" s="1"/>
  <c r="L18" i="65"/>
  <c r="K18" i="65"/>
  <c r="J18" i="65"/>
  <c r="I18" i="65"/>
  <c r="M18" i="65" s="1"/>
  <c r="G18" i="65"/>
  <c r="F18" i="65"/>
  <c r="E18" i="65"/>
  <c r="S17" i="65"/>
  <c r="S141" i="65" s="1"/>
  <c r="W16" i="65"/>
  <c r="R16" i="65"/>
  <c r="M16" i="65"/>
  <c r="G16" i="65"/>
  <c r="G136" i="65" s="1"/>
  <c r="X15" i="65"/>
  <c r="V15" i="65"/>
  <c r="U15" i="65"/>
  <c r="T15" i="65"/>
  <c r="S15" i="65"/>
  <c r="Q15" i="65"/>
  <c r="P15" i="65"/>
  <c r="O15" i="65"/>
  <c r="N15" i="65"/>
  <c r="L15" i="65"/>
  <c r="K15" i="65"/>
  <c r="J15" i="65"/>
  <c r="I15" i="65"/>
  <c r="H15" i="65"/>
  <c r="F15" i="65"/>
  <c r="E15" i="65"/>
  <c r="D15" i="65"/>
  <c r="W14" i="65"/>
  <c r="R14" i="65"/>
  <c r="M14" i="65"/>
  <c r="G14" i="65"/>
  <c r="W13" i="65"/>
  <c r="R13" i="65"/>
  <c r="M13" i="65"/>
  <c r="G13" i="65"/>
  <c r="W12" i="65"/>
  <c r="R12" i="65"/>
  <c r="M12" i="65"/>
  <c r="G12" i="65"/>
  <c r="W11" i="65"/>
  <c r="R11" i="65"/>
  <c r="M11" i="65"/>
  <c r="G11" i="65"/>
  <c r="W10" i="65"/>
  <c r="R10" i="65"/>
  <c r="M10" i="65"/>
  <c r="G10" i="65"/>
  <c r="W9" i="65"/>
  <c r="W15" i="65" s="1"/>
  <c r="R9" i="65"/>
  <c r="R15" i="65" s="1"/>
  <c r="M9" i="65"/>
  <c r="M15" i="65" s="1"/>
  <c r="G9" i="65"/>
  <c r="X8" i="65"/>
  <c r="X17" i="65" s="1"/>
  <c r="V8" i="65"/>
  <c r="V17" i="65" s="1"/>
  <c r="U8" i="65"/>
  <c r="U17" i="65" s="1"/>
  <c r="T8" i="65"/>
  <c r="T17" i="65" s="1"/>
  <c r="S8" i="65"/>
  <c r="Q8" i="65"/>
  <c r="P8" i="65"/>
  <c r="O8" i="65"/>
  <c r="O17" i="65" s="1"/>
  <c r="N8" i="65"/>
  <c r="N17" i="65" s="1"/>
  <c r="L8" i="65"/>
  <c r="L17" i="65" s="1"/>
  <c r="K8" i="65"/>
  <c r="K17" i="65" s="1"/>
  <c r="J8" i="65"/>
  <c r="J17" i="65" s="1"/>
  <c r="I8" i="65"/>
  <c r="I17" i="65" s="1"/>
  <c r="H8" i="65"/>
  <c r="H17" i="65" s="1"/>
  <c r="F8" i="65"/>
  <c r="F47" i="66" s="1"/>
  <c r="E8" i="65"/>
  <c r="E47" i="66" s="1"/>
  <c r="D8" i="65"/>
  <c r="D17" i="65" s="1"/>
  <c r="AC7" i="65"/>
  <c r="AA7" i="65"/>
  <c r="AB7" i="65" s="1"/>
  <c r="Z7" i="65"/>
  <c r="W7" i="65"/>
  <c r="R7" i="65"/>
  <c r="M7" i="65"/>
  <c r="G7" i="65"/>
  <c r="G135" i="65" s="1"/>
  <c r="W6" i="65"/>
  <c r="R6" i="65"/>
  <c r="M6" i="65"/>
  <c r="G6" i="65"/>
  <c r="G134" i="65" s="1"/>
  <c r="W5" i="65"/>
  <c r="W8" i="65" s="1"/>
  <c r="R5" i="65"/>
  <c r="R8" i="65" s="1"/>
  <c r="R17" i="65" s="1"/>
  <c r="M5" i="65"/>
  <c r="M8" i="65" s="1"/>
  <c r="G5" i="65"/>
  <c r="F36" i="60"/>
  <c r="F18" i="60"/>
  <c r="F17" i="60"/>
  <c r="F7" i="60"/>
  <c r="AB69" i="73" l="1"/>
  <c r="AE163" i="73"/>
  <c r="AE163" i="70" s="1"/>
  <c r="AC163" i="70"/>
  <c r="AD69" i="73"/>
  <c r="L141" i="73"/>
  <c r="L23" i="73"/>
  <c r="L25" i="73" s="1"/>
  <c r="L27" i="73" s="1"/>
  <c r="L19" i="73"/>
  <c r="AI26" i="73"/>
  <c r="AJ26" i="73" s="1"/>
  <c r="AK26" i="73" s="1"/>
  <c r="AM26" i="73" s="1"/>
  <c r="Y141" i="73"/>
  <c r="Y23" i="73"/>
  <c r="Y19" i="73"/>
  <c r="M140" i="73"/>
  <c r="M17" i="73"/>
  <c r="V141" i="73"/>
  <c r="V19" i="73"/>
  <c r="V23" i="73"/>
  <c r="R140" i="73"/>
  <c r="R17" i="73"/>
  <c r="X141" i="73"/>
  <c r="X19" i="73"/>
  <c r="X23" i="73"/>
  <c r="W140" i="73"/>
  <c r="W17" i="73"/>
  <c r="H141" i="73"/>
  <c r="H23" i="73"/>
  <c r="J141" i="73"/>
  <c r="J19" i="73"/>
  <c r="J23" i="73"/>
  <c r="N56" i="75"/>
  <c r="N53" i="75"/>
  <c r="N47" i="74"/>
  <c r="N48" i="74" s="1"/>
  <c r="N140" i="73"/>
  <c r="F17" i="73"/>
  <c r="P43" i="73"/>
  <c r="P44" i="73" s="1"/>
  <c r="O43" i="73"/>
  <c r="O44" i="73" s="1"/>
  <c r="O56" i="75"/>
  <c r="O47" i="74"/>
  <c r="O140" i="73"/>
  <c r="Q43" i="73"/>
  <c r="Q44" i="73" s="1"/>
  <c r="P57" i="73"/>
  <c r="P47" i="74"/>
  <c r="P48" i="74" s="1"/>
  <c r="P140" i="73"/>
  <c r="Q41" i="73"/>
  <c r="AM88" i="73"/>
  <c r="R101" i="73"/>
  <c r="R103" i="73"/>
  <c r="Q47" i="74"/>
  <c r="Q48" i="74" s="1"/>
  <c r="Q140" i="73"/>
  <c r="G49" i="74"/>
  <c r="G50" i="74" s="1"/>
  <c r="G51" i="74"/>
  <c r="G52" i="74" s="1"/>
  <c r="P52" i="73"/>
  <c r="P53" i="73" s="1"/>
  <c r="AN55" i="73"/>
  <c r="X177" i="73"/>
  <c r="AC65" i="73"/>
  <c r="AD61" i="73"/>
  <c r="AN88" i="73"/>
  <c r="W50" i="73"/>
  <c r="V52" i="73"/>
  <c r="V53" i="73" s="1"/>
  <c r="AA53" i="73" s="1"/>
  <c r="AF53" i="73" s="1"/>
  <c r="AK53" i="73" s="1"/>
  <c r="AP53" i="73" s="1"/>
  <c r="AU53" i="73" s="1"/>
  <c r="X50" i="73"/>
  <c r="Q52" i="73"/>
  <c r="Q53" i="73" s="1"/>
  <c r="AA61" i="73"/>
  <c r="D72" i="73"/>
  <c r="D53" i="75"/>
  <c r="D56" i="75"/>
  <c r="D47" i="74"/>
  <c r="D48" i="74" s="1"/>
  <c r="T56" i="75"/>
  <c r="T47" i="74"/>
  <c r="T48" i="74" s="1"/>
  <c r="T140" i="73"/>
  <c r="H28" i="73"/>
  <c r="U177" i="73"/>
  <c r="Z65" i="73"/>
  <c r="N105" i="73"/>
  <c r="N101" i="73"/>
  <c r="R92" i="73"/>
  <c r="N94" i="73"/>
  <c r="N98" i="73"/>
  <c r="U47" i="74"/>
  <c r="U140" i="73"/>
  <c r="M91" i="73"/>
  <c r="AI7" i="73"/>
  <c r="V47" i="74"/>
  <c r="AA47" i="74" s="1"/>
  <c r="V140" i="73"/>
  <c r="AA9" i="75"/>
  <c r="AA10" i="75" s="1"/>
  <c r="AB10" i="75" s="1"/>
  <c r="AA136" i="73"/>
  <c r="N17" i="73"/>
  <c r="AE35" i="73"/>
  <c r="Y183" i="73"/>
  <c r="AD101" i="73"/>
  <c r="AG126" i="73"/>
  <c r="S56" i="75"/>
  <c r="S53" i="75"/>
  <c r="S47" i="74"/>
  <c r="S48" i="74" s="1"/>
  <c r="S140" i="73"/>
  <c r="G8" i="73"/>
  <c r="L140" i="73" s="1"/>
  <c r="G15" i="73"/>
  <c r="O17" i="73"/>
  <c r="I23" i="73"/>
  <c r="H42" i="73"/>
  <c r="K137" i="73"/>
  <c r="K72" i="73"/>
  <c r="X176" i="73"/>
  <c r="AC63" i="73"/>
  <c r="Q85" i="73"/>
  <c r="Q86" i="73" s="1"/>
  <c r="P85" i="73"/>
  <c r="P86" i="73" s="1"/>
  <c r="P90" i="73"/>
  <c r="AP185" i="73"/>
  <c r="AU111" i="73"/>
  <c r="X56" i="75"/>
  <c r="X53" i="75"/>
  <c r="X47" i="74"/>
  <c r="X140" i="73"/>
  <c r="AC10" i="75"/>
  <c r="P17" i="73"/>
  <c r="L137" i="73"/>
  <c r="L72" i="73"/>
  <c r="I53" i="75"/>
  <c r="I56" i="75"/>
  <c r="I47" i="74"/>
  <c r="I140" i="73"/>
  <c r="Y53" i="75"/>
  <c r="Y56" i="75"/>
  <c r="Y47" i="74"/>
  <c r="AD47" i="74" s="1"/>
  <c r="Y140" i="73"/>
  <c r="Q17" i="73"/>
  <c r="K23" i="73"/>
  <c r="Z176" i="73"/>
  <c r="AE63" i="73"/>
  <c r="AA94" i="73"/>
  <c r="V180" i="73"/>
  <c r="J56" i="75"/>
  <c r="J53" i="75"/>
  <c r="J47" i="74"/>
  <c r="J140" i="73"/>
  <c r="O65" i="73"/>
  <c r="O61" i="73"/>
  <c r="O68" i="73"/>
  <c r="O71" i="73"/>
  <c r="AA176" i="73"/>
  <c r="AF63" i="73"/>
  <c r="K47" i="74"/>
  <c r="K140" i="73"/>
  <c r="S17" i="73"/>
  <c r="I19" i="73"/>
  <c r="AG26" i="73"/>
  <c r="D58" i="73"/>
  <c r="W65" i="73"/>
  <c r="L47" i="74"/>
  <c r="D17" i="73"/>
  <c r="D137" i="73" s="1"/>
  <c r="T17" i="73"/>
  <c r="Q177" i="73"/>
  <c r="E17" i="73"/>
  <c r="U17" i="73"/>
  <c r="K19" i="73"/>
  <c r="W59" i="73"/>
  <c r="S61" i="73"/>
  <c r="S175" i="73" s="1"/>
  <c r="S68" i="73"/>
  <c r="S178" i="73" s="1"/>
  <c r="S71" i="73"/>
  <c r="W111" i="73"/>
  <c r="O52" i="73"/>
  <c r="O53" i="73" s="1"/>
  <c r="AH135" i="73"/>
  <c r="Q175" i="73"/>
  <c r="W63" i="73"/>
  <c r="I65" i="73"/>
  <c r="Y176" i="73"/>
  <c r="AD63" i="73"/>
  <c r="AA183" i="73"/>
  <c r="AF101" i="73"/>
  <c r="U47" i="75"/>
  <c r="U62" i="74"/>
  <c r="U63" i="74"/>
  <c r="U30" i="74"/>
  <c r="U35" i="74" s="1"/>
  <c r="V145" i="73"/>
  <c r="U145" i="73"/>
  <c r="U52" i="73"/>
  <c r="U53" i="73" s="1"/>
  <c r="Z53" i="73" s="1"/>
  <c r="AE53" i="73" s="1"/>
  <c r="AJ53" i="73" s="1"/>
  <c r="AO53" i="73" s="1"/>
  <c r="AT53" i="73" s="1"/>
  <c r="AM55" i="73"/>
  <c r="T65" i="73"/>
  <c r="T61" i="73"/>
  <c r="T175" i="73" s="1"/>
  <c r="T71" i="73"/>
  <c r="W68" i="73"/>
  <c r="T85" i="73"/>
  <c r="T86" i="73" s="1"/>
  <c r="R109" i="73"/>
  <c r="R111" i="73"/>
  <c r="AV58" i="73"/>
  <c r="O57" i="73"/>
  <c r="Z175" i="73"/>
  <c r="AC61" i="73"/>
  <c r="L68" i="73"/>
  <c r="AK88" i="73"/>
  <c r="AD181" i="73"/>
  <c r="AI96" i="73"/>
  <c r="W109" i="73"/>
  <c r="AS186" i="73"/>
  <c r="AO55" i="73"/>
  <c r="V178" i="73"/>
  <c r="AE175" i="73"/>
  <c r="AJ61" i="73"/>
  <c r="AE181" i="73"/>
  <c r="AE108" i="73"/>
  <c r="Z112" i="73"/>
  <c r="AB108" i="73"/>
  <c r="Z110" i="73"/>
  <c r="AT186" i="73"/>
  <c r="Z135" i="73"/>
  <c r="X68" i="73"/>
  <c r="X71" i="73"/>
  <c r="Y177" i="73"/>
  <c r="P68" i="73"/>
  <c r="U178" i="73" s="1"/>
  <c r="E137" i="73"/>
  <c r="E72" i="73"/>
  <c r="H96" i="73"/>
  <c r="H103" i="73"/>
  <c r="AA135" i="73"/>
  <c r="F137" i="73"/>
  <c r="Y72" i="73"/>
  <c r="F61" i="73"/>
  <c r="AA177" i="73"/>
  <c r="AF65" i="73"/>
  <c r="T68" i="73"/>
  <c r="T178" i="73" s="1"/>
  <c r="I71" i="73"/>
  <c r="V72" i="73"/>
  <c r="P76" i="73"/>
  <c r="P77" i="73" s="1"/>
  <c r="O76" i="73"/>
  <c r="O77" i="73" s="1"/>
  <c r="H105" i="73"/>
  <c r="H106" i="73" s="1"/>
  <c r="X101" i="73"/>
  <c r="X98" i="73"/>
  <c r="X94" i="73"/>
  <c r="AJ181" i="73"/>
  <c r="AO96" i="73"/>
  <c r="X102" i="73"/>
  <c r="W102" i="73"/>
  <c r="W103" i="73" s="1"/>
  <c r="V103" i="73"/>
  <c r="V105" i="73" s="1"/>
  <c r="V106" i="73" s="1"/>
  <c r="AG108" i="73"/>
  <c r="M35" i="73"/>
  <c r="AB55" i="73"/>
  <c r="W70" i="73"/>
  <c r="W61" i="73"/>
  <c r="AD65" i="73"/>
  <c r="Z68" i="73"/>
  <c r="P74" i="73"/>
  <c r="AV91" i="73"/>
  <c r="Y98" i="73"/>
  <c r="Y94" i="73"/>
  <c r="R113" i="73"/>
  <c r="AC136" i="73"/>
  <c r="N35" i="73"/>
  <c r="R35" i="73" s="1"/>
  <c r="AC135" i="73"/>
  <c r="H59" i="73"/>
  <c r="G105" i="73"/>
  <c r="G106" i="73" s="1"/>
  <c r="G98" i="73"/>
  <c r="G101" i="73"/>
  <c r="E106" i="73"/>
  <c r="AI116" i="73"/>
  <c r="AD187" i="73"/>
  <c r="AD136" i="73"/>
  <c r="AE119" i="73"/>
  <c r="AD135" i="73"/>
  <c r="AA68" i="73"/>
  <c r="N137" i="73"/>
  <c r="N72" i="73"/>
  <c r="H84" i="73"/>
  <c r="H92" i="73"/>
  <c r="AM108" i="73"/>
  <c r="AH112" i="73"/>
  <c r="AH110" i="73"/>
  <c r="AD128" i="73"/>
  <c r="AE128" i="73" s="1"/>
  <c r="AF128" i="73" s="1"/>
  <c r="AH128" i="73" s="1"/>
  <c r="H51" i="73"/>
  <c r="H58" i="73" s="1"/>
  <c r="J71" i="73"/>
  <c r="J65" i="73"/>
  <c r="H75" i="73"/>
  <c r="U85" i="73"/>
  <c r="U86" i="73" s="1"/>
  <c r="Z86" i="73" s="1"/>
  <c r="AE86" i="73" s="1"/>
  <c r="AJ86" i="73" s="1"/>
  <c r="AO86" i="73" s="1"/>
  <c r="AT86" i="73" s="1"/>
  <c r="I105" i="73"/>
  <c r="I98" i="73"/>
  <c r="I94" i="73"/>
  <c r="M92" i="73"/>
  <c r="M101" i="73" s="1"/>
  <c r="I101" i="73"/>
  <c r="W105" i="73"/>
  <c r="S106" i="73"/>
  <c r="AE33" i="75"/>
  <c r="AE57" i="75" s="1"/>
  <c r="Z33" i="75"/>
  <c r="AF55" i="73"/>
  <c r="K65" i="73"/>
  <c r="K61" i="73"/>
  <c r="P71" i="73"/>
  <c r="V83" i="73"/>
  <c r="J101" i="73"/>
  <c r="J105" i="73"/>
  <c r="J106" i="73" s="1"/>
  <c r="J98" i="73"/>
  <c r="S183" i="73"/>
  <c r="AF33" i="75"/>
  <c r="AF57" i="75" s="1"/>
  <c r="AA33" i="75"/>
  <c r="P61" i="73"/>
  <c r="U175" i="73" s="1"/>
  <c r="F65" i="73"/>
  <c r="AD68" i="73"/>
  <c r="AA98" i="73"/>
  <c r="V182" i="73"/>
  <c r="T183" i="73"/>
  <c r="G65" i="73"/>
  <c r="Q71" i="73"/>
  <c r="T182" i="73"/>
  <c r="AA110" i="73"/>
  <c r="S186" i="73"/>
  <c r="AB128" i="73"/>
  <c r="Z185" i="73"/>
  <c r="U185" i="73"/>
  <c r="M131" i="73"/>
  <c r="M124" i="73"/>
  <c r="R124" i="73"/>
  <c r="AG15" i="74"/>
  <c r="AH15" i="74"/>
  <c r="AI15" i="74" s="1"/>
  <c r="AJ15" i="74" s="1"/>
  <c r="AK15" i="74" s="1"/>
  <c r="Q68" i="73"/>
  <c r="Q178" i="73" s="1"/>
  <c r="J91" i="73"/>
  <c r="O105" i="73"/>
  <c r="O106" i="73" s="1"/>
  <c r="O101" i="73"/>
  <c r="Q180" i="73"/>
  <c r="H101" i="73"/>
  <c r="AD112" i="73"/>
  <c r="AD110" i="73"/>
  <c r="AA185" i="73"/>
  <c r="V185" i="73"/>
  <c r="Z186" i="73"/>
  <c r="U186" i="73"/>
  <c r="Z130" i="73"/>
  <c r="AA125" i="73"/>
  <c r="U71" i="73"/>
  <c r="T180" i="73"/>
  <c r="T181" i="73"/>
  <c r="D101" i="73"/>
  <c r="AF110" i="73"/>
  <c r="R118" i="73"/>
  <c r="R120" i="73" s="1"/>
  <c r="R121" i="73" s="1"/>
  <c r="S187" i="73"/>
  <c r="AK34" i="75"/>
  <c r="AJ61" i="74"/>
  <c r="AL154" i="73"/>
  <c r="AC186" i="73"/>
  <c r="X186" i="73"/>
  <c r="V181" i="73"/>
  <c r="AA96" i="73"/>
  <c r="U187" i="73"/>
  <c r="Z116" i="73"/>
  <c r="AK123" i="73"/>
  <c r="S182" i="73"/>
  <c r="H98" i="73"/>
  <c r="AA112" i="73"/>
  <c r="V187" i="73"/>
  <c r="AA116" i="73"/>
  <c r="V118" i="73"/>
  <c r="V120" i="73" s="1"/>
  <c r="V121" i="73" s="1"/>
  <c r="W117" i="73"/>
  <c r="W118" i="73" s="1"/>
  <c r="W120" i="73" s="1"/>
  <c r="W121" i="73" s="1"/>
  <c r="AH18" i="74"/>
  <c r="AI18" i="74" s="1"/>
  <c r="AJ18" i="74" s="1"/>
  <c r="AK18" i="74" s="1"/>
  <c r="S176" i="73"/>
  <c r="D68" i="73"/>
  <c r="G71" i="73"/>
  <c r="X181" i="73"/>
  <c r="AC96" i="73"/>
  <c r="M98" i="73"/>
  <c r="D98" i="73"/>
  <c r="AK108" i="73"/>
  <c r="AH185" i="73"/>
  <c r="AM111" i="73"/>
  <c r="X117" i="73"/>
  <c r="AE88" i="73"/>
  <c r="AG88" i="73" s="1"/>
  <c r="Y181" i="73"/>
  <c r="AN108" i="73"/>
  <c r="AJ123" i="73"/>
  <c r="M130" i="73"/>
  <c r="H94" i="73"/>
  <c r="AO185" i="73"/>
  <c r="AT111" i="73"/>
  <c r="AC187" i="73"/>
  <c r="AH116" i="73"/>
  <c r="AC115" i="73"/>
  <c r="AG123" i="73"/>
  <c r="W92" i="73"/>
  <c r="M94" i="73"/>
  <c r="M103" i="73"/>
  <c r="D94" i="73"/>
  <c r="Q183" i="73"/>
  <c r="AI110" i="73"/>
  <c r="AM123" i="73"/>
  <c r="K173" i="73"/>
  <c r="R116" i="73"/>
  <c r="AC129" i="73"/>
  <c r="AB129" i="73"/>
  <c r="L152" i="73"/>
  <c r="L151" i="73"/>
  <c r="AN185" i="73"/>
  <c r="AR186" i="73"/>
  <c r="AA165" i="73"/>
  <c r="Z168" i="73"/>
  <c r="AN123" i="73"/>
  <c r="AA186" i="73"/>
  <c r="V186" i="73"/>
  <c r="AH126" i="73"/>
  <c r="G151" i="73"/>
  <c r="Q152" i="73"/>
  <c r="X173" i="73"/>
  <c r="Z173" i="73" s="1"/>
  <c r="S94" i="73"/>
  <c r="S180" i="73" s="1"/>
  <c r="H118" i="73"/>
  <c r="H120" i="73" s="1"/>
  <c r="H121" i="73" s="1"/>
  <c r="P152" i="73"/>
  <c r="P151" i="73"/>
  <c r="I42" i="74"/>
  <c r="E94" i="73"/>
  <c r="U94" i="73"/>
  <c r="E98" i="73"/>
  <c r="U98" i="73"/>
  <c r="AD186" i="73"/>
  <c r="Y186" i="73"/>
  <c r="T187" i="73"/>
  <c r="R155" i="73"/>
  <c r="AH34" i="74"/>
  <c r="AI34" i="74" s="1"/>
  <c r="AJ34" i="74" s="1"/>
  <c r="AK34" i="74" s="1"/>
  <c r="AG34" i="74"/>
  <c r="E101" i="73"/>
  <c r="U101" i="73"/>
  <c r="W131" i="73"/>
  <c r="X151" i="73"/>
  <c r="AB155" i="73"/>
  <c r="H168" i="73"/>
  <c r="X185" i="73"/>
  <c r="Q181" i="73"/>
  <c r="AB119" i="73"/>
  <c r="G168" i="73"/>
  <c r="G170" i="73" s="1"/>
  <c r="Y185" i="73"/>
  <c r="AM24" i="74"/>
  <c r="AN24" i="74" s="1"/>
  <c r="AO24" i="74" s="1"/>
  <c r="AP24" i="74" s="1"/>
  <c r="AL24" i="74"/>
  <c r="AM26" i="74"/>
  <c r="AN26" i="74" s="1"/>
  <c r="AO26" i="74" s="1"/>
  <c r="AP26" i="74" s="1"/>
  <c r="AL26" i="74"/>
  <c r="AI52" i="74"/>
  <c r="AG19" i="74"/>
  <c r="AH19" i="74"/>
  <c r="AI19" i="74" s="1"/>
  <c r="AJ19" i="74" s="1"/>
  <c r="AK19" i="74" s="1"/>
  <c r="K94" i="73"/>
  <c r="S181" i="73"/>
  <c r="Q185" i="73"/>
  <c r="Z136" i="73"/>
  <c r="E151" i="73"/>
  <c r="Z17" i="75"/>
  <c r="AA10" i="74"/>
  <c r="AG26" i="74"/>
  <c r="AJ185" i="73"/>
  <c r="S185" i="73"/>
  <c r="Q186" i="73"/>
  <c r="P173" i="73"/>
  <c r="AH39" i="74"/>
  <c r="AI39" i="74" s="1"/>
  <c r="AJ39" i="74" s="1"/>
  <c r="AK39" i="74" s="1"/>
  <c r="AG39" i="74"/>
  <c r="J42" i="74"/>
  <c r="J62" i="74"/>
  <c r="W155" i="73"/>
  <c r="AM52" i="74"/>
  <c r="T54" i="75"/>
  <c r="T22" i="75"/>
  <c r="U10" i="75"/>
  <c r="U18" i="75"/>
  <c r="V18" i="75" s="1"/>
  <c r="W18" i="75"/>
  <c r="AH33" i="74"/>
  <c r="AI33" i="74" s="1"/>
  <c r="AJ33" i="74" s="1"/>
  <c r="AK33" i="74" s="1"/>
  <c r="AG33" i="74"/>
  <c r="AO50" i="74"/>
  <c r="AT49" i="74"/>
  <c r="AT50" i="74" s="1"/>
  <c r="F155" i="73"/>
  <c r="AA13" i="74"/>
  <c r="AA54" i="74"/>
  <c r="J152" i="73"/>
  <c r="J151" i="73"/>
  <c r="AG24" i="74"/>
  <c r="I47" i="75"/>
  <c r="I63" i="74"/>
  <c r="I62" i="74"/>
  <c r="I30" i="74"/>
  <c r="I35" i="74" s="1"/>
  <c r="H30" i="74"/>
  <c r="H35" i="74" s="1"/>
  <c r="Q19" i="75"/>
  <c r="R19" i="75"/>
  <c r="Y54" i="75"/>
  <c r="AB9" i="75"/>
  <c r="M155" i="73"/>
  <c r="AC23" i="74"/>
  <c r="AB31" i="74"/>
  <c r="AC31" i="74"/>
  <c r="AD31" i="74" s="1"/>
  <c r="AE31" i="74" s="1"/>
  <c r="AF31" i="74" s="1"/>
  <c r="I52" i="74"/>
  <c r="I50" i="74"/>
  <c r="I48" i="74"/>
  <c r="AC52" i="74"/>
  <c r="V151" i="73"/>
  <c r="K52" i="74"/>
  <c r="K50" i="74"/>
  <c r="K48" i="74"/>
  <c r="AE52" i="74"/>
  <c r="AE50" i="74"/>
  <c r="Z20" i="75"/>
  <c r="AA25" i="74"/>
  <c r="L47" i="75"/>
  <c r="L63" i="74"/>
  <c r="L30" i="74"/>
  <c r="L35" i="74" s="1"/>
  <c r="M28" i="74"/>
  <c r="Z19" i="75"/>
  <c r="AA27" i="74"/>
  <c r="AI51" i="74"/>
  <c r="AN51" i="74" s="1"/>
  <c r="S47" i="75"/>
  <c r="S30" i="74"/>
  <c r="S35" i="74" s="1"/>
  <c r="S42" i="74" s="1"/>
  <c r="S63" i="74"/>
  <c r="S62" i="74"/>
  <c r="D62" i="74"/>
  <c r="D42" i="74"/>
  <c r="U42" i="74"/>
  <c r="AJ52" i="74"/>
  <c r="AE55" i="74"/>
  <c r="AH55" i="74" s="1"/>
  <c r="M16" i="75"/>
  <c r="K16" i="75"/>
  <c r="L16" i="75" s="1"/>
  <c r="W62" i="74"/>
  <c r="AG32" i="74"/>
  <c r="AH32" i="74"/>
  <c r="AI32" i="74" s="1"/>
  <c r="AJ32" i="74" s="1"/>
  <c r="AK32" i="74" s="1"/>
  <c r="AI49" i="74"/>
  <c r="AN49" i="74" s="1"/>
  <c r="AD50" i="74"/>
  <c r="K18" i="75"/>
  <c r="L18" i="75" s="1"/>
  <c r="M18" i="75"/>
  <c r="H42" i="74"/>
  <c r="Y42" i="74"/>
  <c r="AO52" i="74"/>
  <c r="V20" i="75"/>
  <c r="W20" i="75" s="1"/>
  <c r="O62" i="74"/>
  <c r="O42" i="74"/>
  <c r="Z52" i="74"/>
  <c r="R30" i="74"/>
  <c r="R35" i="74" s="1"/>
  <c r="K42" i="74"/>
  <c r="AC54" i="74"/>
  <c r="AF55" i="74"/>
  <c r="N62" i="74"/>
  <c r="E63" i="74"/>
  <c r="U56" i="75"/>
  <c r="V25" i="75"/>
  <c r="V56" i="75" s="1"/>
  <c r="H33" i="75"/>
  <c r="M38" i="75"/>
  <c r="K38" i="75"/>
  <c r="L38" i="75" s="1"/>
  <c r="AH52" i="74"/>
  <c r="Y56" i="74"/>
  <c r="O52" i="74"/>
  <c r="O50" i="74"/>
  <c r="O48" i="74"/>
  <c r="J47" i="75"/>
  <c r="J63" i="74"/>
  <c r="E48" i="74"/>
  <c r="K63" i="74"/>
  <c r="R8" i="75"/>
  <c r="M15" i="75"/>
  <c r="V16" i="75"/>
  <c r="W16" i="75" s="1"/>
  <c r="G27" i="75"/>
  <c r="J37" i="75"/>
  <c r="K29" i="75"/>
  <c r="H35" i="75"/>
  <c r="F42" i="74"/>
  <c r="E50" i="74"/>
  <c r="N63" i="74"/>
  <c r="W8" i="75"/>
  <c r="P15" i="75"/>
  <c r="Q15" i="75" s="1"/>
  <c r="G42" i="74"/>
  <c r="R67" i="74"/>
  <c r="F53" i="75"/>
  <c r="G12" i="75"/>
  <c r="G53" i="75" s="1"/>
  <c r="U15" i="75"/>
  <c r="V15" i="75" s="1"/>
  <c r="R41" i="74"/>
  <c r="R42" i="74" s="1"/>
  <c r="AB39" i="74"/>
  <c r="AA49" i="74"/>
  <c r="N22" i="75"/>
  <c r="O13" i="75"/>
  <c r="P13" i="75" s="1"/>
  <c r="Q13" i="75" s="1"/>
  <c r="T24" i="75"/>
  <c r="S27" i="75"/>
  <c r="S39" i="75" s="1"/>
  <c r="L26" i="75"/>
  <c r="M26" i="75"/>
  <c r="U52" i="74"/>
  <c r="U50" i="74"/>
  <c r="U48" i="74"/>
  <c r="AC49" i="74"/>
  <c r="AH49" i="74" s="1"/>
  <c r="AM49" i="74" s="1"/>
  <c r="AR49" i="74" s="1"/>
  <c r="AR50" i="74" s="1"/>
  <c r="AA51" i="74"/>
  <c r="AF51" i="74" s="1"/>
  <c r="AK51" i="74" s="1"/>
  <c r="AP51" i="74" s="1"/>
  <c r="AU51" i="74" s="1"/>
  <c r="AU52" i="74" s="1"/>
  <c r="F56" i="74"/>
  <c r="G7" i="75"/>
  <c r="G11" i="75"/>
  <c r="H11" i="75"/>
  <c r="T42" i="74"/>
  <c r="T62" i="74"/>
  <c r="O53" i="75"/>
  <c r="P12" i="75"/>
  <c r="K22" i="75"/>
  <c r="L7" i="75"/>
  <c r="L56" i="74" s="1"/>
  <c r="W26" i="75"/>
  <c r="W32" i="75"/>
  <c r="U32" i="75"/>
  <c r="V32" i="75" s="1"/>
  <c r="E42" i="74"/>
  <c r="AC40" i="74"/>
  <c r="AD40" i="74" s="1"/>
  <c r="AE40" i="74" s="1"/>
  <c r="AF40" i="74" s="1"/>
  <c r="AB40" i="74"/>
  <c r="S50" i="74"/>
  <c r="Y22" i="75"/>
  <c r="W30" i="74"/>
  <c r="W35" i="74" s="1"/>
  <c r="W47" i="75"/>
  <c r="W67" i="74"/>
  <c r="AB34" i="74"/>
  <c r="W41" i="74"/>
  <c r="F52" i="74"/>
  <c r="F50" i="74"/>
  <c r="F48" i="74"/>
  <c r="E62" i="74"/>
  <c r="R21" i="75"/>
  <c r="G34" i="75"/>
  <c r="G57" i="75" s="1"/>
  <c r="F57" i="75"/>
  <c r="H34" i="75"/>
  <c r="H57" i="75" s="1"/>
  <c r="T37" i="75"/>
  <c r="L41" i="74"/>
  <c r="H8" i="75"/>
  <c r="P54" i="75"/>
  <c r="R10" i="75"/>
  <c r="R54" i="75" s="1"/>
  <c r="F56" i="75"/>
  <c r="G25" i="75"/>
  <c r="E22" i="75"/>
  <c r="Y47" i="75"/>
  <c r="Y62" i="74"/>
  <c r="L52" i="74"/>
  <c r="H21" i="75"/>
  <c r="F21" i="75"/>
  <c r="G21" i="75" s="1"/>
  <c r="AD57" i="75"/>
  <c r="AG34" i="75"/>
  <c r="Z28" i="74"/>
  <c r="J48" i="74"/>
  <c r="J50" i="74"/>
  <c r="AH50" i="74"/>
  <c r="AH56" i="74"/>
  <c r="AF56" i="74"/>
  <c r="V63" i="74"/>
  <c r="H7" i="75"/>
  <c r="W17" i="75"/>
  <c r="K56" i="75"/>
  <c r="L25" i="75"/>
  <c r="L56" i="75" s="1"/>
  <c r="Y63" i="74"/>
  <c r="P20" i="75"/>
  <c r="Q20" i="75" s="1"/>
  <c r="D39" i="75"/>
  <c r="D41" i="75" s="1"/>
  <c r="O54" i="75"/>
  <c r="F16" i="75"/>
  <c r="G16" i="75" s="1"/>
  <c r="H16" i="75"/>
  <c r="F17" i="75"/>
  <c r="G17" i="75" s="1"/>
  <c r="H29" i="75"/>
  <c r="H37" i="75" s="1"/>
  <c r="G37" i="75"/>
  <c r="X39" i="75"/>
  <c r="V48" i="74"/>
  <c r="L50" i="74"/>
  <c r="V52" i="74"/>
  <c r="E53" i="75"/>
  <c r="P16" i="75"/>
  <c r="Q16" i="75" s="1"/>
  <c r="H24" i="75"/>
  <c r="O37" i="75"/>
  <c r="Y37" i="75"/>
  <c r="R26" i="75"/>
  <c r="P29" i="75"/>
  <c r="L34" i="75"/>
  <c r="AL34" i="75"/>
  <c r="R38" i="75"/>
  <c r="P24" i="75"/>
  <c r="AG33" i="75"/>
  <c r="J22" i="75"/>
  <c r="E54" i="75"/>
  <c r="R11" i="75"/>
  <c r="W21" i="75"/>
  <c r="E56" i="75"/>
  <c r="G30" i="75"/>
  <c r="H30" i="75" s="1"/>
  <c r="P34" i="75"/>
  <c r="R35" i="75"/>
  <c r="O57" i="75"/>
  <c r="V29" i="75"/>
  <c r="AQ34" i="75"/>
  <c r="AK56" i="75"/>
  <c r="AN56" i="75" s="1"/>
  <c r="K10" i="75"/>
  <c r="J54" i="75"/>
  <c r="T53" i="75"/>
  <c r="F15" i="75"/>
  <c r="G15" i="75" s="1"/>
  <c r="R17" i="75"/>
  <c r="U26" i="75"/>
  <c r="V26" i="75" s="1"/>
  <c r="H36" i="75"/>
  <c r="S55" i="75"/>
  <c r="S148" i="73" s="1"/>
  <c r="AM56" i="75"/>
  <c r="L48" i="74"/>
  <c r="M7" i="75"/>
  <c r="U12" i="75"/>
  <c r="I22" i="75"/>
  <c r="I39" i="75" s="1"/>
  <c r="M13" i="75"/>
  <c r="W19" i="75"/>
  <c r="M20" i="75"/>
  <c r="H32" i="75"/>
  <c r="V35" i="75"/>
  <c r="W35" i="75" s="1"/>
  <c r="N39" i="75"/>
  <c r="M36" i="75"/>
  <c r="Y24" i="75"/>
  <c r="Y27" i="75" s="1"/>
  <c r="R31" i="75"/>
  <c r="L36" i="75"/>
  <c r="M32" i="75"/>
  <c r="E37" i="75"/>
  <c r="R33" i="75"/>
  <c r="AA57" i="75"/>
  <c r="E38" i="75"/>
  <c r="F38" i="75" s="1"/>
  <c r="G38" i="75" s="1"/>
  <c r="P32" i="75"/>
  <c r="Q32" i="75" s="1"/>
  <c r="W33" i="75"/>
  <c r="T21" i="75"/>
  <c r="U21" i="75" s="1"/>
  <c r="V21" i="75" s="1"/>
  <c r="J24" i="75"/>
  <c r="P25" i="75"/>
  <c r="F26" i="75"/>
  <c r="G26" i="75" s="1"/>
  <c r="H26" i="75" s="1"/>
  <c r="K33" i="75"/>
  <c r="L33" i="75" s="1"/>
  <c r="U34" i="75"/>
  <c r="U37" i="75" s="1"/>
  <c r="K35" i="75"/>
  <c r="L35" i="75" s="1"/>
  <c r="U36" i="75"/>
  <c r="V36" i="75" s="1"/>
  <c r="P38" i="75"/>
  <c r="Q38" i="75" s="1"/>
  <c r="T57" i="75"/>
  <c r="P18" i="75"/>
  <c r="Q18" i="75" s="1"/>
  <c r="F19" i="75"/>
  <c r="G19" i="75" s="1"/>
  <c r="H10" i="75"/>
  <c r="H54" i="75" s="1"/>
  <c r="K12" i="75"/>
  <c r="AE163" i="65"/>
  <c r="AB155" i="65"/>
  <c r="Y152" i="65"/>
  <c r="Y151" i="65"/>
  <c r="AB91" i="65"/>
  <c r="AB58" i="65"/>
  <c r="AN50" i="66"/>
  <c r="AC26" i="66"/>
  <c r="AF145" i="65"/>
  <c r="R141" i="65"/>
  <c r="R19" i="65"/>
  <c r="R23" i="65"/>
  <c r="R25" i="65" s="1"/>
  <c r="R27" i="65" s="1"/>
  <c r="I141" i="65"/>
  <c r="I23" i="65"/>
  <c r="I19" i="65"/>
  <c r="K141" i="65"/>
  <c r="K23" i="65"/>
  <c r="K19" i="65"/>
  <c r="J141" i="65"/>
  <c r="J19" i="65"/>
  <c r="L141" i="65"/>
  <c r="L19" i="65"/>
  <c r="L23" i="65"/>
  <c r="L25" i="65" s="1"/>
  <c r="L27" i="65" s="1"/>
  <c r="N141" i="65"/>
  <c r="N19" i="65"/>
  <c r="N23" i="65"/>
  <c r="O141" i="65"/>
  <c r="O19" i="65"/>
  <c r="O23" i="65"/>
  <c r="P47" i="66"/>
  <c r="P48" i="66" s="1"/>
  <c r="P140" i="65"/>
  <c r="P17" i="65"/>
  <c r="J23" i="65"/>
  <c r="Q65" i="65"/>
  <c r="Q177" i="65" s="1"/>
  <c r="Q68" i="65"/>
  <c r="Q178" i="65" s="1"/>
  <c r="Q71" i="65"/>
  <c r="Q61" i="65"/>
  <c r="Q175" i="65" s="1"/>
  <c r="X142" i="65"/>
  <c r="X29" i="65"/>
  <c r="X34" i="65" s="1"/>
  <c r="G133" i="65"/>
  <c r="G8" i="65"/>
  <c r="U141" i="65"/>
  <c r="U19" i="65"/>
  <c r="U23" i="65"/>
  <c r="R140" i="65"/>
  <c r="W140" i="65"/>
  <c r="W17" i="65"/>
  <c r="V141" i="65"/>
  <c r="V19" i="65"/>
  <c r="V23" i="65"/>
  <c r="H141" i="65"/>
  <c r="H23" i="65"/>
  <c r="M140" i="65"/>
  <c r="M17" i="65"/>
  <c r="D141" i="65"/>
  <c r="D23" i="65"/>
  <c r="X141" i="65"/>
  <c r="X23" i="65"/>
  <c r="T141" i="65"/>
  <c r="T19" i="65"/>
  <c r="T23" i="65"/>
  <c r="AJ55" i="65"/>
  <c r="T65" i="65"/>
  <c r="T68" i="65"/>
  <c r="T71" i="65"/>
  <c r="T61" i="65"/>
  <c r="O85" i="65"/>
  <c r="O86" i="65" s="1"/>
  <c r="O90" i="65"/>
  <c r="S56" i="67"/>
  <c r="S53" i="67"/>
  <c r="S47" i="66"/>
  <c r="S48" i="66" s="1"/>
  <c r="S140" i="65"/>
  <c r="E17" i="65"/>
  <c r="AK55" i="65"/>
  <c r="U65" i="65"/>
  <c r="U68" i="65"/>
  <c r="U71" i="65"/>
  <c r="U61" i="65"/>
  <c r="P83" i="65"/>
  <c r="G49" i="66"/>
  <c r="G51" i="66"/>
  <c r="D56" i="67"/>
  <c r="D53" i="67"/>
  <c r="D47" i="66"/>
  <c r="T47" i="66"/>
  <c r="T140" i="65"/>
  <c r="F17" i="65"/>
  <c r="AJ88" i="65"/>
  <c r="AT108" i="65"/>
  <c r="AM55" i="65"/>
  <c r="AC65" i="65"/>
  <c r="S85" i="65"/>
  <c r="S86" i="65" s="1"/>
  <c r="T83" i="65"/>
  <c r="V47" i="66"/>
  <c r="V140" i="65"/>
  <c r="Z26" i="65"/>
  <c r="P57" i="65"/>
  <c r="AC176" i="65"/>
  <c r="AH63" i="65"/>
  <c r="AF187" i="65"/>
  <c r="AK116" i="65"/>
  <c r="AF115" i="65"/>
  <c r="U50" i="65"/>
  <c r="T52" i="65"/>
  <c r="T53" i="65" s="1"/>
  <c r="AK88" i="65"/>
  <c r="Q47" i="66"/>
  <c r="Q48" i="66" s="1"/>
  <c r="Q140" i="65"/>
  <c r="X56" i="67"/>
  <c r="X53" i="67"/>
  <c r="X47" i="66"/>
  <c r="X140" i="65"/>
  <c r="L137" i="65"/>
  <c r="L72" i="65"/>
  <c r="H75" i="65"/>
  <c r="I56" i="67"/>
  <c r="I53" i="67"/>
  <c r="I47" i="66"/>
  <c r="I140" i="65"/>
  <c r="S23" i="65"/>
  <c r="R143" i="65"/>
  <c r="AA65" i="65"/>
  <c r="N72" i="65"/>
  <c r="AV91" i="65"/>
  <c r="AM88" i="65"/>
  <c r="W70" i="65"/>
  <c r="O72" i="65"/>
  <c r="K47" i="66"/>
  <c r="K140" i="65"/>
  <c r="S19" i="65"/>
  <c r="K137" i="65"/>
  <c r="K72" i="65"/>
  <c r="P72" i="65"/>
  <c r="D91" i="65"/>
  <c r="H84" i="65"/>
  <c r="H91" i="65" s="1"/>
  <c r="L47" i="66"/>
  <c r="L140" i="65"/>
  <c r="G15" i="65"/>
  <c r="E91" i="65"/>
  <c r="S65" i="65"/>
  <c r="S177" i="65" s="1"/>
  <c r="S68" i="65"/>
  <c r="S178" i="65" s="1"/>
  <c r="S71" i="65"/>
  <c r="W59" i="65"/>
  <c r="W65" i="65" s="1"/>
  <c r="S61" i="65"/>
  <c r="S175" i="65" s="1"/>
  <c r="U47" i="66"/>
  <c r="U140" i="65"/>
  <c r="N56" i="67"/>
  <c r="N53" i="67"/>
  <c r="N47" i="66"/>
  <c r="N48" i="66" s="1"/>
  <c r="N140" i="65"/>
  <c r="O43" i="65"/>
  <c r="O44" i="65" s="1"/>
  <c r="O76" i="65"/>
  <c r="O77" i="65" s="1"/>
  <c r="J47" i="66"/>
  <c r="J140" i="65"/>
  <c r="O47" i="66"/>
  <c r="O48" i="66" s="1"/>
  <c r="O140" i="65"/>
  <c r="Q17" i="65"/>
  <c r="P41" i="65"/>
  <c r="P74" i="65"/>
  <c r="H98" i="65"/>
  <c r="S52" i="65"/>
  <c r="S53" i="65" s="1"/>
  <c r="K65" i="65"/>
  <c r="P68" i="65"/>
  <c r="H120" i="65"/>
  <c r="H121" i="65" s="1"/>
  <c r="Q176" i="65"/>
  <c r="M120" i="65"/>
  <c r="M121" i="65" s="1"/>
  <c r="Y186" i="65"/>
  <c r="V61" i="65"/>
  <c r="S176" i="65"/>
  <c r="R120" i="65"/>
  <c r="R121" i="65" s="1"/>
  <c r="Z186" i="65"/>
  <c r="Z112" i="65"/>
  <c r="X118" i="65"/>
  <c r="X120" i="65" s="1"/>
  <c r="X121" i="65" s="1"/>
  <c r="H59" i="65"/>
  <c r="D61" i="65"/>
  <c r="W61" i="65"/>
  <c r="T176" i="65"/>
  <c r="D71" i="65"/>
  <c r="V71" i="65"/>
  <c r="K91" i="65"/>
  <c r="J98" i="65"/>
  <c r="J94" i="65"/>
  <c r="M92" i="65"/>
  <c r="M101" i="65" s="1"/>
  <c r="Y102" i="65"/>
  <c r="X103" i="65"/>
  <c r="X105" i="65" s="1"/>
  <c r="AA125" i="65"/>
  <c r="E61" i="65"/>
  <c r="X175" i="65"/>
  <c r="U176" i="65"/>
  <c r="V68" i="65"/>
  <c r="E71" i="65"/>
  <c r="M91" i="65"/>
  <c r="K98" i="65"/>
  <c r="K94" i="65"/>
  <c r="K105" i="65"/>
  <c r="K106" i="65" s="1"/>
  <c r="H101" i="65"/>
  <c r="I106" i="65"/>
  <c r="AI108" i="65"/>
  <c r="N35" i="65"/>
  <c r="R35" i="65" s="1"/>
  <c r="Y135" i="65"/>
  <c r="E58" i="65"/>
  <c r="F61" i="65"/>
  <c r="V176" i="65"/>
  <c r="D68" i="65"/>
  <c r="F71" i="65"/>
  <c r="X71" i="65"/>
  <c r="R91" i="65"/>
  <c r="L98" i="65"/>
  <c r="L94" i="65"/>
  <c r="Q180" i="65" s="1"/>
  <c r="L105" i="65"/>
  <c r="L106" i="65" s="1"/>
  <c r="L101" i="65"/>
  <c r="J105" i="65"/>
  <c r="J106" i="65" s="1"/>
  <c r="Z135" i="65"/>
  <c r="G61" i="65"/>
  <c r="E68" i="65"/>
  <c r="X68" i="65"/>
  <c r="G71" i="65"/>
  <c r="V180" i="65"/>
  <c r="AA94" i="65"/>
  <c r="Y181" i="65"/>
  <c r="AD96" i="65"/>
  <c r="R101" i="65"/>
  <c r="R131" i="65"/>
  <c r="AA135" i="65"/>
  <c r="I61" i="65"/>
  <c r="X176" i="65"/>
  <c r="AB88" i="65"/>
  <c r="O94" i="65"/>
  <c r="O105" i="65"/>
  <c r="O106" i="65" s="1"/>
  <c r="O101" i="65"/>
  <c r="H103" i="65"/>
  <c r="O98" i="65"/>
  <c r="Z128" i="65"/>
  <c r="AC19" i="66"/>
  <c r="AB19" i="66"/>
  <c r="AD33" i="67"/>
  <c r="AB55" i="65"/>
  <c r="J61" i="65"/>
  <c r="I71" i="65"/>
  <c r="AG91" i="65"/>
  <c r="M103" i="65"/>
  <c r="AE33" i="67"/>
  <c r="Z33" i="67"/>
  <c r="AC135" i="65"/>
  <c r="K61" i="65"/>
  <c r="Z63" i="65"/>
  <c r="J71" i="65"/>
  <c r="AL91" i="65"/>
  <c r="AD88" i="65"/>
  <c r="R103" i="65"/>
  <c r="AC96" i="65"/>
  <c r="AK108" i="65"/>
  <c r="X187" i="65"/>
  <c r="AC116" i="65"/>
  <c r="AE123" i="65"/>
  <c r="AB123" i="65"/>
  <c r="AA35" i="65"/>
  <c r="AD55" i="65"/>
  <c r="AA63" i="65"/>
  <c r="AQ91" i="65"/>
  <c r="J101" i="65"/>
  <c r="AG108" i="65"/>
  <c r="AF123" i="65"/>
  <c r="Q98" i="65"/>
  <c r="Q182" i="65" s="1"/>
  <c r="AC31" i="66"/>
  <c r="AB31" i="66"/>
  <c r="D94" i="65"/>
  <c r="T94" i="65"/>
  <c r="AA187" i="65"/>
  <c r="AB24" i="66"/>
  <c r="AC24" i="66"/>
  <c r="E94" i="65"/>
  <c r="U94" i="65"/>
  <c r="S98" i="65"/>
  <c r="S182" i="65" s="1"/>
  <c r="N101" i="65"/>
  <c r="E152" i="65"/>
  <c r="E151" i="65"/>
  <c r="X173" i="65"/>
  <c r="Z173" i="65" s="1"/>
  <c r="AA173" i="65" s="1"/>
  <c r="AC173" i="65" s="1"/>
  <c r="AD173" i="65" s="1"/>
  <c r="AE173" i="65" s="1"/>
  <c r="AF173" i="65" s="1"/>
  <c r="AH173" i="65" s="1"/>
  <c r="AI173" i="65" s="1"/>
  <c r="AJ173" i="65" s="1"/>
  <c r="AK173" i="65" s="1"/>
  <c r="AM173" i="65" s="1"/>
  <c r="AN173" i="65" s="1"/>
  <c r="AO173" i="65" s="1"/>
  <c r="AP173" i="65" s="1"/>
  <c r="AR173" i="65" s="1"/>
  <c r="AS173" i="65" s="1"/>
  <c r="AT173" i="65" s="1"/>
  <c r="AU173" i="65" s="1"/>
  <c r="T182" i="65"/>
  <c r="N105" i="65"/>
  <c r="M109" i="65"/>
  <c r="G94" i="65"/>
  <c r="W94" i="65"/>
  <c r="E98" i="65"/>
  <c r="U98" i="65"/>
  <c r="P101" i="65"/>
  <c r="H111" i="65"/>
  <c r="X185" i="65"/>
  <c r="Z115" i="65"/>
  <c r="AB115" i="65" s="1"/>
  <c r="H94" i="65"/>
  <c r="X94" i="65"/>
  <c r="AE96" i="65"/>
  <c r="F98" i="65"/>
  <c r="V98" i="65"/>
  <c r="Q101" i="65"/>
  <c r="V103" i="65"/>
  <c r="V105" i="65" s="1"/>
  <c r="V106" i="65" s="1"/>
  <c r="P105" i="65"/>
  <c r="P106" i="65" s="1"/>
  <c r="AM108" i="65"/>
  <c r="AC112" i="65"/>
  <c r="AA115" i="65"/>
  <c r="AD116" i="65"/>
  <c r="H168" i="65"/>
  <c r="AC15" i="66"/>
  <c r="AB15" i="66"/>
  <c r="AC39" i="66"/>
  <c r="AB39" i="66"/>
  <c r="R92" i="65"/>
  <c r="R98" i="65" s="1"/>
  <c r="I94" i="65"/>
  <c r="AF96" i="65"/>
  <c r="G98" i="65"/>
  <c r="Q186" i="65"/>
  <c r="AE116" i="65"/>
  <c r="AH123" i="65"/>
  <c r="M131" i="65"/>
  <c r="X98" i="65"/>
  <c r="S101" i="65"/>
  <c r="AI123" i="65"/>
  <c r="Y136" i="65"/>
  <c r="P152" i="65"/>
  <c r="P151" i="65"/>
  <c r="R155" i="65"/>
  <c r="I98" i="65"/>
  <c r="D101" i="65"/>
  <c r="T101" i="65"/>
  <c r="S105" i="65"/>
  <c r="R109" i="65"/>
  <c r="Q187" i="65"/>
  <c r="V118" i="65"/>
  <c r="V120" i="65" s="1"/>
  <c r="V121" i="65" s="1"/>
  <c r="Z119" i="65"/>
  <c r="E101" i="65"/>
  <c r="U101" i="65"/>
  <c r="W102" i="65"/>
  <c r="W103" i="65" s="1"/>
  <c r="D105" i="65"/>
  <c r="T186" i="65"/>
  <c r="V152" i="65"/>
  <c r="V151" i="65"/>
  <c r="W155" i="65"/>
  <c r="AF163" i="65"/>
  <c r="AC18" i="66"/>
  <c r="AB18" i="66"/>
  <c r="M94" i="65"/>
  <c r="F101" i="65"/>
  <c r="V101" i="65"/>
  <c r="AB108" i="65"/>
  <c r="Z126" i="65"/>
  <c r="N94" i="65"/>
  <c r="S180" i="65" s="1"/>
  <c r="G101" i="65"/>
  <c r="N173" i="65"/>
  <c r="X101" i="65"/>
  <c r="U187" i="65"/>
  <c r="W117" i="65"/>
  <c r="W118" i="65" s="1"/>
  <c r="W120" i="65" s="1"/>
  <c r="W121" i="65" s="1"/>
  <c r="AK34" i="67"/>
  <c r="AL154" i="65"/>
  <c r="O173" i="65"/>
  <c r="X62" i="66"/>
  <c r="X42" i="66"/>
  <c r="Q185" i="65"/>
  <c r="X186" i="65"/>
  <c r="V187" i="65"/>
  <c r="P173" i="65"/>
  <c r="F62" i="66"/>
  <c r="F42" i="66"/>
  <c r="D168" i="65"/>
  <c r="D170" i="65" s="1"/>
  <c r="G62" i="66"/>
  <c r="G42" i="66"/>
  <c r="G12" i="67"/>
  <c r="G53" i="67" s="1"/>
  <c r="F53" i="67"/>
  <c r="Q25" i="67"/>
  <c r="Q56" i="67" s="1"/>
  <c r="P56" i="67"/>
  <c r="R25" i="67"/>
  <c r="R56" i="67" s="1"/>
  <c r="Z165" i="65"/>
  <c r="E47" i="67"/>
  <c r="E30" i="66"/>
  <c r="E35" i="66" s="1"/>
  <c r="E62" i="66"/>
  <c r="H42" i="66"/>
  <c r="V56" i="67"/>
  <c r="D52" i="66"/>
  <c r="D48" i="66"/>
  <c r="X52" i="66"/>
  <c r="X48" i="66"/>
  <c r="F155" i="65"/>
  <c r="Z23" i="66"/>
  <c r="AC32" i="66"/>
  <c r="AB32" i="66"/>
  <c r="AC34" i="66"/>
  <c r="AB34" i="66"/>
  <c r="Z54" i="66"/>
  <c r="H30" i="66"/>
  <c r="H35" i="66" s="1"/>
  <c r="Z10" i="66"/>
  <c r="M30" i="66"/>
  <c r="M35" i="66" s="1"/>
  <c r="M37" i="66"/>
  <c r="M41" i="66" s="1"/>
  <c r="AC40" i="66"/>
  <c r="AB40" i="66"/>
  <c r="G52" i="66"/>
  <c r="Z55" i="66"/>
  <c r="R30" i="66"/>
  <c r="R35" i="66" s="1"/>
  <c r="AC52" i="66"/>
  <c r="I55" i="67"/>
  <c r="I148" i="65" s="1"/>
  <c r="O62" i="66"/>
  <c r="O42" i="66"/>
  <c r="R8" i="67"/>
  <c r="P62" i="66"/>
  <c r="P42" i="66"/>
  <c r="Q62" i="66"/>
  <c r="Q42" i="66"/>
  <c r="Z13" i="66"/>
  <c r="S42" i="66"/>
  <c r="Z25" i="66"/>
  <c r="T62" i="66"/>
  <c r="T42" i="66"/>
  <c r="AI50" i="66"/>
  <c r="D50" i="66"/>
  <c r="K62" i="66"/>
  <c r="AC33" i="66"/>
  <c r="AB33" i="66"/>
  <c r="D62" i="66"/>
  <c r="D42" i="66"/>
  <c r="AJ50" i="66"/>
  <c r="X50" i="66"/>
  <c r="E42" i="66"/>
  <c r="AK50" i="66"/>
  <c r="AR50" i="66"/>
  <c r="AC51" i="66"/>
  <c r="AH51" i="66" s="1"/>
  <c r="E50" i="66"/>
  <c r="Y50" i="66"/>
  <c r="AS50" i="66"/>
  <c r="L62" i="66"/>
  <c r="Y63" i="66"/>
  <c r="J22" i="67"/>
  <c r="V13" i="67"/>
  <c r="W13" i="67" s="1"/>
  <c r="M18" i="67"/>
  <c r="N55" i="67"/>
  <c r="N148" i="65" s="1"/>
  <c r="W35" i="67"/>
  <c r="V35" i="67"/>
  <c r="F50" i="66"/>
  <c r="Z50" i="66"/>
  <c r="AT50" i="66"/>
  <c r="P52" i="66"/>
  <c r="AJ52" i="66"/>
  <c r="N62" i="66"/>
  <c r="K7" i="67"/>
  <c r="U8" i="67"/>
  <c r="V8" i="67" s="1"/>
  <c r="R9" i="67"/>
  <c r="J53" i="67"/>
  <c r="H17" i="67"/>
  <c r="R18" i="67"/>
  <c r="P18" i="67"/>
  <c r="Q18" i="67" s="1"/>
  <c r="G21" i="67"/>
  <c r="H21" i="67" s="1"/>
  <c r="T56" i="67"/>
  <c r="G50" i="66"/>
  <c r="AA50" i="66"/>
  <c r="AU50" i="66"/>
  <c r="Q52" i="66"/>
  <c r="AK52" i="66"/>
  <c r="I63" i="66"/>
  <c r="W9" i="67"/>
  <c r="M17" i="67"/>
  <c r="M21" i="67"/>
  <c r="H29" i="67"/>
  <c r="G29" i="67"/>
  <c r="H34" i="67"/>
  <c r="E38" i="67"/>
  <c r="F38" i="67" s="1"/>
  <c r="G38" i="67" s="1"/>
  <c r="H38" i="67"/>
  <c r="J30" i="66"/>
  <c r="J35" i="66" s="1"/>
  <c r="J42" i="66" s="1"/>
  <c r="I50" i="66"/>
  <c r="AC50" i="66"/>
  <c r="S52" i="66"/>
  <c r="J63" i="66"/>
  <c r="W18" i="67"/>
  <c r="J37" i="67"/>
  <c r="M31" i="67"/>
  <c r="W32" i="67"/>
  <c r="H36" i="67"/>
  <c r="M38" i="67"/>
  <c r="S47" i="67"/>
  <c r="J50" i="66"/>
  <c r="AD50" i="66"/>
  <c r="AD51" i="66"/>
  <c r="K63" i="66"/>
  <c r="O22" i="67"/>
  <c r="M11" i="67"/>
  <c r="O37" i="67"/>
  <c r="L34" i="67"/>
  <c r="M28" i="66"/>
  <c r="L30" i="66"/>
  <c r="L35" i="66" s="1"/>
  <c r="L42" i="66" s="1"/>
  <c r="R37" i="66"/>
  <c r="R41" i="66" s="1"/>
  <c r="R42" i="66" s="1"/>
  <c r="K50" i="66"/>
  <c r="AE50" i="66"/>
  <c r="U52" i="66"/>
  <c r="AO52" i="66"/>
  <c r="S62" i="66"/>
  <c r="L63" i="66"/>
  <c r="P7" i="67"/>
  <c r="F8" i="67"/>
  <c r="G8" i="67" s="1"/>
  <c r="Q17" i="67"/>
  <c r="R17" i="67" s="1"/>
  <c r="H26" i="67"/>
  <c r="M36" i="67"/>
  <c r="L36" i="67"/>
  <c r="V48" i="66"/>
  <c r="L50" i="66"/>
  <c r="AF50" i="66"/>
  <c r="V52" i="66"/>
  <c r="AP52" i="66"/>
  <c r="N63" i="66"/>
  <c r="R36" i="67"/>
  <c r="W38" i="67"/>
  <c r="N30" i="66"/>
  <c r="N35" i="66" s="1"/>
  <c r="N42" i="66" s="1"/>
  <c r="U62" i="66"/>
  <c r="R11" i="67"/>
  <c r="W31" i="67"/>
  <c r="Y57" i="67"/>
  <c r="W36" i="67"/>
  <c r="E48" i="66"/>
  <c r="V62" i="66"/>
  <c r="T22" i="67"/>
  <c r="E54" i="67"/>
  <c r="F10" i="67"/>
  <c r="F19" i="67"/>
  <c r="G19" i="67" s="1"/>
  <c r="M20" i="67"/>
  <c r="U21" i="67"/>
  <c r="V21" i="67" s="1"/>
  <c r="Q24" i="67"/>
  <c r="AA27" i="66"/>
  <c r="F48" i="66"/>
  <c r="U7" i="67"/>
  <c r="K8" i="67"/>
  <c r="L8" i="67" s="1"/>
  <c r="H15" i="67"/>
  <c r="H30" i="67"/>
  <c r="W37" i="66"/>
  <c r="W41" i="66" s="1"/>
  <c r="S63" i="66"/>
  <c r="R67" i="66"/>
  <c r="M15" i="67"/>
  <c r="Q20" i="67"/>
  <c r="R20" i="67" s="1"/>
  <c r="M33" i="67"/>
  <c r="W28" i="66"/>
  <c r="I48" i="66"/>
  <c r="O54" i="67"/>
  <c r="O30" i="67"/>
  <c r="P30" i="67" s="1"/>
  <c r="Q30" i="67" s="1"/>
  <c r="N37" i="67"/>
  <c r="AD57" i="67"/>
  <c r="H35" i="67"/>
  <c r="U25" i="66"/>
  <c r="Y47" i="67"/>
  <c r="J48" i="66"/>
  <c r="U63" i="66"/>
  <c r="E22" i="67"/>
  <c r="H9" i="67"/>
  <c r="R15" i="67"/>
  <c r="Q15" i="67"/>
  <c r="L35" i="67"/>
  <c r="M35" i="67" s="1"/>
  <c r="Z28" i="66"/>
  <c r="K48" i="66"/>
  <c r="I62" i="66"/>
  <c r="V63" i="66"/>
  <c r="F7" i="67"/>
  <c r="O13" i="67"/>
  <c r="P13" i="67" s="1"/>
  <c r="Q13" i="67" s="1"/>
  <c r="E56" i="67"/>
  <c r="D39" i="67"/>
  <c r="D41" i="67" s="1"/>
  <c r="L48" i="66"/>
  <c r="J62" i="66"/>
  <c r="E53" i="67"/>
  <c r="O27" i="67"/>
  <c r="W33" i="67"/>
  <c r="V33" i="67"/>
  <c r="R35" i="67"/>
  <c r="K12" i="67"/>
  <c r="K15" i="67"/>
  <c r="L15" i="67" s="1"/>
  <c r="W25" i="67"/>
  <c r="W56" i="67" s="1"/>
  <c r="M26" i="67"/>
  <c r="H32" i="67"/>
  <c r="E37" i="67"/>
  <c r="J56" i="67"/>
  <c r="R24" i="67"/>
  <c r="F25" i="67"/>
  <c r="P26" i="67"/>
  <c r="Q26" i="67" s="1"/>
  <c r="V30" i="67"/>
  <c r="W30" i="67" s="1"/>
  <c r="K32" i="67"/>
  <c r="L32" i="67" s="1"/>
  <c r="AG34" i="67"/>
  <c r="K38" i="67"/>
  <c r="L38" i="67" s="1"/>
  <c r="O53" i="67"/>
  <c r="U9" i="67"/>
  <c r="V9" i="67" s="1"/>
  <c r="K10" i="67"/>
  <c r="U11" i="67"/>
  <c r="V11" i="67" s="1"/>
  <c r="K29" i="67"/>
  <c r="F33" i="67"/>
  <c r="G33" i="67" s="1"/>
  <c r="G57" i="67" s="1"/>
  <c r="P34" i="67"/>
  <c r="F35" i="67"/>
  <c r="G35" i="67" s="1"/>
  <c r="P36" i="67"/>
  <c r="Q36" i="67" s="1"/>
  <c r="P12" i="67"/>
  <c r="F13" i="67"/>
  <c r="G13" i="67" s="1"/>
  <c r="F16" i="67"/>
  <c r="G16" i="67" s="1"/>
  <c r="T24" i="67"/>
  <c r="I37" i="67"/>
  <c r="J54" i="67"/>
  <c r="T57" i="67"/>
  <c r="E24" i="67"/>
  <c r="U31" i="67"/>
  <c r="V31" i="67" s="1"/>
  <c r="O56" i="67"/>
  <c r="S22" i="67"/>
  <c r="S39" i="67" s="1"/>
  <c r="K25" i="67"/>
  <c r="I27" i="67"/>
  <c r="P38" i="67"/>
  <c r="Q38" i="67" s="1"/>
  <c r="F57" i="67"/>
  <c r="P10" i="67"/>
  <c r="F11" i="67"/>
  <c r="G11" i="67" s="1"/>
  <c r="P29" i="67"/>
  <c r="G30" i="67"/>
  <c r="K33" i="67"/>
  <c r="L33" i="67" s="1"/>
  <c r="U34" i="67"/>
  <c r="U36" i="67"/>
  <c r="V36" i="67" s="1"/>
  <c r="T53" i="67"/>
  <c r="AJ56" i="67"/>
  <c r="AK56" i="67" s="1"/>
  <c r="U12" i="67"/>
  <c r="J13" i="67"/>
  <c r="K13" i="67" s="1"/>
  <c r="L13" i="67" s="1"/>
  <c r="U15" i="67"/>
  <c r="V15" i="67" s="1"/>
  <c r="K16" i="67"/>
  <c r="L16" i="67" s="1"/>
  <c r="T17" i="67"/>
  <c r="U17" i="67" s="1"/>
  <c r="V17" i="67" s="1"/>
  <c r="K20" i="67"/>
  <c r="L20" i="67" s="1"/>
  <c r="K18" i="67"/>
  <c r="L18" i="67" s="1"/>
  <c r="U19" i="67"/>
  <c r="V19" i="67" s="1"/>
  <c r="J24" i="67"/>
  <c r="L30" i="67"/>
  <c r="M30" i="67" s="1"/>
  <c r="J57" i="67"/>
  <c r="U10" i="67"/>
  <c r="K11" i="67"/>
  <c r="L11" i="67" s="1"/>
  <c r="N27" i="67"/>
  <c r="U56" i="67"/>
  <c r="W29" i="67"/>
  <c r="J6" i="64"/>
  <c r="J18" i="64"/>
  <c r="J19" i="64" s="1"/>
  <c r="J5" i="64"/>
  <c r="AL67" i="58"/>
  <c r="AL66" i="58"/>
  <c r="AL62" i="58"/>
  <c r="I6" i="64"/>
  <c r="I13" i="64"/>
  <c r="H13" i="64"/>
  <c r="H18" i="64" s="1"/>
  <c r="H19" i="64" s="1"/>
  <c r="F13" i="64"/>
  <c r="F18" i="64" s="1"/>
  <c r="F19" i="64" s="1"/>
  <c r="E13" i="64"/>
  <c r="E18" i="64" s="1"/>
  <c r="E19" i="64" s="1"/>
  <c r="D13" i="64"/>
  <c r="D18" i="64" s="1"/>
  <c r="D19" i="64" s="1"/>
  <c r="C13" i="64"/>
  <c r="C18" i="64" s="1"/>
  <c r="L13" i="64"/>
  <c r="AL63" i="58"/>
  <c r="AL62" i="63"/>
  <c r="N6" i="64"/>
  <c r="M5" i="64"/>
  <c r="Y31" i="57"/>
  <c r="Y28" i="57"/>
  <c r="Z28" i="57" s="1"/>
  <c r="AA28" i="57" s="1"/>
  <c r="AS61" i="57"/>
  <c r="AO61" i="57"/>
  <c r="AK61" i="57"/>
  <c r="AD61" i="57"/>
  <c r="AC61" i="57"/>
  <c r="AA61" i="57"/>
  <c r="Z61" i="57"/>
  <c r="AD59" i="57"/>
  <c r="AJ61" i="57"/>
  <c r="AK154" i="56"/>
  <c r="Z94" i="56"/>
  <c r="Z96" i="56"/>
  <c r="AA96" i="56"/>
  <c r="AA94" i="56"/>
  <c r="Y101" i="56"/>
  <c r="Y98" i="56"/>
  <c r="Y96" i="56"/>
  <c r="Y94" i="56"/>
  <c r="Y113" i="56"/>
  <c r="AR128" i="56"/>
  <c r="AS128" i="56" s="1"/>
  <c r="AM128" i="56"/>
  <c r="AN128" i="56" s="1"/>
  <c r="AH128" i="56"/>
  <c r="AI128" i="56" s="1"/>
  <c r="AR126" i="56"/>
  <c r="AS126" i="56" s="1"/>
  <c r="AR125" i="56"/>
  <c r="AS125" i="56" s="1"/>
  <c r="AM126" i="56"/>
  <c r="AN126" i="56" s="1"/>
  <c r="AM125" i="56"/>
  <c r="AN125" i="56" s="1"/>
  <c r="AH126" i="56"/>
  <c r="AI126" i="56" s="1"/>
  <c r="AH125" i="56"/>
  <c r="AI125" i="56" s="1"/>
  <c r="AC128" i="56"/>
  <c r="AD128" i="56" s="1"/>
  <c r="AC126" i="56"/>
  <c r="AD126" i="56" s="1"/>
  <c r="Y128" i="56"/>
  <c r="Z128" i="56" s="1"/>
  <c r="Z126" i="56"/>
  <c r="AA126" i="56" s="1"/>
  <c r="Y126" i="56"/>
  <c r="AD125" i="56"/>
  <c r="AE125" i="56" s="1"/>
  <c r="AC125" i="56"/>
  <c r="AA125" i="56"/>
  <c r="Z125" i="56"/>
  <c r="Y125" i="56"/>
  <c r="X172" i="56"/>
  <c r="X37" i="57"/>
  <c r="X24" i="58"/>
  <c r="X21" i="58"/>
  <c r="X13" i="58"/>
  <c r="K5" i="64"/>
  <c r="I5" i="64"/>
  <c r="I18" i="64" s="1"/>
  <c r="L6" i="64"/>
  <c r="G6" i="64"/>
  <c r="G8" i="64" s="1"/>
  <c r="G5" i="64"/>
  <c r="X56" i="57"/>
  <c r="X54" i="58"/>
  <c r="X54" i="63" s="1"/>
  <c r="X55" i="57"/>
  <c r="X55" i="62" s="1"/>
  <c r="X54" i="57"/>
  <c r="X51" i="57"/>
  <c r="X49" i="57"/>
  <c r="X30" i="57"/>
  <c r="X35" i="57" s="1"/>
  <c r="V172" i="56"/>
  <c r="X145" i="56"/>
  <c r="S143" i="56"/>
  <c r="X124" i="56"/>
  <c r="X116" i="56"/>
  <c r="X113" i="56"/>
  <c r="X111" i="56"/>
  <c r="X109" i="56"/>
  <c r="X96" i="56"/>
  <c r="X89" i="56"/>
  <c r="X63" i="56"/>
  <c r="X56" i="56"/>
  <c r="X15" i="56"/>
  <c r="AV58" i="63"/>
  <c r="AU58" i="63"/>
  <c r="AT58" i="63"/>
  <c r="AS58" i="63"/>
  <c r="AR58" i="63"/>
  <c r="AQ58" i="63"/>
  <c r="AP58" i="63"/>
  <c r="AO58" i="63"/>
  <c r="AN58" i="63"/>
  <c r="AM58" i="63"/>
  <c r="AU56" i="63"/>
  <c r="AT56" i="63"/>
  <c r="AS56" i="63"/>
  <c r="AR56" i="63"/>
  <c r="AP56" i="63"/>
  <c r="AO56" i="63"/>
  <c r="AN56" i="63"/>
  <c r="AM56" i="63"/>
  <c r="AV54" i="63"/>
  <c r="AU54" i="63"/>
  <c r="AT54" i="63"/>
  <c r="AS54" i="63"/>
  <c r="AR54" i="63"/>
  <c r="AQ54" i="63"/>
  <c r="AP54" i="63"/>
  <c r="AO54" i="63"/>
  <c r="AN54" i="63"/>
  <c r="AM54" i="63"/>
  <c r="AV53" i="63"/>
  <c r="AQ53" i="63"/>
  <c r="AK65" i="63"/>
  <c r="AJ65" i="63"/>
  <c r="AI65" i="63"/>
  <c r="AH65" i="63"/>
  <c r="AG65" i="63"/>
  <c r="AF65" i="63"/>
  <c r="AE65" i="63"/>
  <c r="AD65" i="63"/>
  <c r="AC65" i="63"/>
  <c r="AB65" i="63"/>
  <c r="AA65" i="63"/>
  <c r="Z65" i="63"/>
  <c r="Y65" i="63"/>
  <c r="X65" i="63"/>
  <c r="W65" i="63"/>
  <c r="V65" i="63"/>
  <c r="U65" i="63"/>
  <c r="T65" i="63"/>
  <c r="S65" i="63"/>
  <c r="R65" i="63"/>
  <c r="Q65" i="63"/>
  <c r="P65" i="63"/>
  <c r="O65" i="63"/>
  <c r="N65" i="63"/>
  <c r="M65" i="63"/>
  <c r="L65" i="63"/>
  <c r="K65" i="63"/>
  <c r="J65" i="63"/>
  <c r="I65" i="63"/>
  <c r="H65" i="63"/>
  <c r="G65" i="63"/>
  <c r="F65" i="63"/>
  <c r="E65" i="63"/>
  <c r="D65"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64" i="63"/>
  <c r="D64" i="63"/>
  <c r="AL63" i="63"/>
  <c r="AK63" i="63"/>
  <c r="AJ63" i="63"/>
  <c r="AI63" i="63"/>
  <c r="AH63" i="63"/>
  <c r="AG63" i="63"/>
  <c r="AF63" i="63"/>
  <c r="AE63" i="63"/>
  <c r="AD63" i="63"/>
  <c r="AC63" i="63"/>
  <c r="AB63" i="63"/>
  <c r="AA63" i="63"/>
  <c r="Z63" i="63"/>
  <c r="Y63" i="63"/>
  <c r="X63" i="63"/>
  <c r="W63" i="63"/>
  <c r="V63" i="63"/>
  <c r="U63" i="63"/>
  <c r="T63" i="63"/>
  <c r="S63" i="63"/>
  <c r="R63" i="63"/>
  <c r="Q63" i="63"/>
  <c r="P63" i="63"/>
  <c r="O63" i="63"/>
  <c r="N63" i="63"/>
  <c r="M63" i="63"/>
  <c r="L63" i="63"/>
  <c r="K63" i="63"/>
  <c r="J63" i="63"/>
  <c r="I63" i="63"/>
  <c r="H63" i="63"/>
  <c r="G63" i="63"/>
  <c r="F63" i="63"/>
  <c r="E63" i="63"/>
  <c r="D63" i="63"/>
  <c r="AK62" i="63"/>
  <c r="AJ62" i="63"/>
  <c r="AI62" i="63"/>
  <c r="AH62" i="63"/>
  <c r="AG62" i="63"/>
  <c r="AF62" i="63"/>
  <c r="AE62" i="63"/>
  <c r="AD62" i="63"/>
  <c r="AC62" i="63"/>
  <c r="AB62" i="63"/>
  <c r="AA62" i="63"/>
  <c r="Z62" i="63"/>
  <c r="Y62" i="63"/>
  <c r="X62" i="63"/>
  <c r="W62" i="63"/>
  <c r="V62" i="63"/>
  <c r="U62" i="63"/>
  <c r="T62" i="63"/>
  <c r="S62" i="63"/>
  <c r="R62" i="63"/>
  <c r="Q62" i="63"/>
  <c r="P62" i="63"/>
  <c r="O62" i="63"/>
  <c r="N62" i="63"/>
  <c r="M62" i="63"/>
  <c r="L62" i="63"/>
  <c r="K62" i="63"/>
  <c r="J62" i="63"/>
  <c r="I62" i="63"/>
  <c r="H62" i="63"/>
  <c r="G62" i="63"/>
  <c r="F62" i="63"/>
  <c r="E62" i="63"/>
  <c r="D62" i="63"/>
  <c r="AK61" i="63"/>
  <c r="AJ61" i="63"/>
  <c r="AI61" i="63"/>
  <c r="AH61" i="63"/>
  <c r="AG61" i="63"/>
  <c r="AF61" i="63"/>
  <c r="AE61" i="63"/>
  <c r="AD61" i="63"/>
  <c r="AC61" i="63"/>
  <c r="AB61" i="63"/>
  <c r="AA61" i="63"/>
  <c r="Z61" i="63"/>
  <c r="Y61" i="63"/>
  <c r="X61" i="63"/>
  <c r="W61" i="63"/>
  <c r="V61" i="63"/>
  <c r="U61" i="63"/>
  <c r="T61" i="63"/>
  <c r="S61" i="63"/>
  <c r="R61" i="63"/>
  <c r="Q61" i="63"/>
  <c r="P61" i="63"/>
  <c r="O61" i="63"/>
  <c r="N61" i="63"/>
  <c r="M61" i="63"/>
  <c r="L61" i="63"/>
  <c r="K61" i="63"/>
  <c r="J61" i="63"/>
  <c r="I61" i="63"/>
  <c r="H61" i="63"/>
  <c r="G61" i="63"/>
  <c r="F61" i="63"/>
  <c r="E61" i="63"/>
  <c r="D61" i="63"/>
  <c r="AL60" i="63"/>
  <c r="AK60" i="63"/>
  <c r="AJ60" i="63"/>
  <c r="AI60" i="63"/>
  <c r="AH60" i="63"/>
  <c r="AG60" i="63"/>
  <c r="AF60" i="63"/>
  <c r="AE60" i="63"/>
  <c r="AD60" i="63"/>
  <c r="AC60" i="63"/>
  <c r="AB60" i="63"/>
  <c r="AA60" i="63"/>
  <c r="Z60" i="63"/>
  <c r="Y60" i="63"/>
  <c r="X60" i="63"/>
  <c r="W60" i="63"/>
  <c r="V60" i="63"/>
  <c r="U60" i="63"/>
  <c r="T60" i="63"/>
  <c r="S60" i="63"/>
  <c r="R60" i="63"/>
  <c r="Q60" i="63"/>
  <c r="P60" i="63"/>
  <c r="O60" i="63"/>
  <c r="N60" i="63"/>
  <c r="M60" i="63"/>
  <c r="L60" i="63"/>
  <c r="K60" i="63"/>
  <c r="J60" i="63"/>
  <c r="I60" i="63"/>
  <c r="H60" i="63"/>
  <c r="G60" i="63"/>
  <c r="F60" i="63"/>
  <c r="E60" i="63"/>
  <c r="D60" i="63"/>
  <c r="AK59" i="63"/>
  <c r="AJ59" i="63"/>
  <c r="AI59" i="63"/>
  <c r="AH59" i="63"/>
  <c r="AG59" i="63"/>
  <c r="AF59" i="63"/>
  <c r="AE59" i="63"/>
  <c r="AD59" i="63"/>
  <c r="AC59" i="63"/>
  <c r="AB59" i="63"/>
  <c r="AA59" i="63"/>
  <c r="Z59" i="63"/>
  <c r="Y59" i="63"/>
  <c r="X59" i="63"/>
  <c r="W59" i="63"/>
  <c r="V59" i="63"/>
  <c r="U59" i="63"/>
  <c r="T59" i="63"/>
  <c r="S59" i="63"/>
  <c r="R59" i="63"/>
  <c r="Q59" i="63"/>
  <c r="P59" i="63"/>
  <c r="O59" i="63"/>
  <c r="N59" i="63"/>
  <c r="M59" i="63"/>
  <c r="L59" i="63"/>
  <c r="K59" i="63"/>
  <c r="J59" i="63"/>
  <c r="I59" i="63"/>
  <c r="H59" i="63"/>
  <c r="G59" i="63"/>
  <c r="F59" i="63"/>
  <c r="E59" i="63"/>
  <c r="D59" i="63"/>
  <c r="W58" i="63"/>
  <c r="V58" i="63"/>
  <c r="U58" i="63"/>
  <c r="T58" i="63"/>
  <c r="S58" i="63"/>
  <c r="R58" i="63"/>
  <c r="Q58" i="63"/>
  <c r="P58" i="63"/>
  <c r="O58" i="63"/>
  <c r="N58" i="63"/>
  <c r="M58" i="63"/>
  <c r="L58" i="63"/>
  <c r="K58" i="63"/>
  <c r="J58" i="63"/>
  <c r="I58" i="63"/>
  <c r="H58" i="63"/>
  <c r="G58" i="63"/>
  <c r="F58" i="63"/>
  <c r="E58" i="63"/>
  <c r="D58" i="63"/>
  <c r="W57" i="63"/>
  <c r="V57" i="63"/>
  <c r="U57" i="63"/>
  <c r="T57" i="63"/>
  <c r="S57" i="63"/>
  <c r="R57" i="63"/>
  <c r="Q57" i="63"/>
  <c r="P57" i="63"/>
  <c r="O57" i="63"/>
  <c r="N57" i="63"/>
  <c r="M57" i="63"/>
  <c r="L57" i="63"/>
  <c r="K57" i="63"/>
  <c r="J57" i="63"/>
  <c r="I57" i="63"/>
  <c r="H57" i="63"/>
  <c r="G57" i="63"/>
  <c r="F57" i="63"/>
  <c r="E57" i="63"/>
  <c r="D57" i="63"/>
  <c r="AK56" i="63"/>
  <c r="AJ56" i="63"/>
  <c r="AI56" i="63"/>
  <c r="AH56" i="63"/>
  <c r="AF56" i="63"/>
  <c r="AE56" i="63"/>
  <c r="AD56" i="63"/>
  <c r="AC56" i="63"/>
  <c r="W56" i="63"/>
  <c r="V56" i="63"/>
  <c r="U56" i="63"/>
  <c r="T56" i="63"/>
  <c r="S56" i="63"/>
  <c r="R56" i="63"/>
  <c r="Q56" i="63"/>
  <c r="P56" i="63"/>
  <c r="O56" i="63"/>
  <c r="N56" i="63"/>
  <c r="M56" i="63"/>
  <c r="L56" i="63"/>
  <c r="K56" i="63"/>
  <c r="J56" i="63"/>
  <c r="I56" i="63"/>
  <c r="H56" i="63"/>
  <c r="G56" i="63"/>
  <c r="F56" i="63"/>
  <c r="E56" i="63"/>
  <c r="D56" i="63"/>
  <c r="W55" i="63"/>
  <c r="V55" i="63"/>
  <c r="U55" i="63"/>
  <c r="T55" i="63"/>
  <c r="S55" i="63"/>
  <c r="R55" i="63"/>
  <c r="Q55" i="63"/>
  <c r="P55" i="63"/>
  <c r="O55" i="63"/>
  <c r="N55" i="63"/>
  <c r="M55" i="63"/>
  <c r="L55" i="63"/>
  <c r="K55" i="63"/>
  <c r="J55" i="63"/>
  <c r="I55" i="63"/>
  <c r="H55" i="63"/>
  <c r="G55" i="63"/>
  <c r="F55" i="63"/>
  <c r="E55" i="63"/>
  <c r="D55" i="63"/>
  <c r="AL54" i="63"/>
  <c r="AK54" i="63"/>
  <c r="AJ54" i="63"/>
  <c r="AI54" i="63"/>
  <c r="AH54" i="63"/>
  <c r="AG54" i="63"/>
  <c r="AF54" i="63"/>
  <c r="AE54" i="63"/>
  <c r="AD54" i="63"/>
  <c r="AC54" i="63"/>
  <c r="AB54" i="63"/>
  <c r="AA54" i="63"/>
  <c r="Z54" i="63"/>
  <c r="Y54" i="63"/>
  <c r="W54" i="63"/>
  <c r="V54" i="63"/>
  <c r="U54" i="63"/>
  <c r="T54" i="63"/>
  <c r="S54" i="63"/>
  <c r="R54" i="63"/>
  <c r="Q54" i="63"/>
  <c r="P54" i="63"/>
  <c r="O54" i="63"/>
  <c r="N54" i="63"/>
  <c r="M54" i="63"/>
  <c r="L54" i="63"/>
  <c r="K54" i="63"/>
  <c r="J54" i="63"/>
  <c r="I54" i="63"/>
  <c r="H54" i="63"/>
  <c r="G54" i="63"/>
  <c r="F54" i="63"/>
  <c r="E54" i="63"/>
  <c r="D54" i="63"/>
  <c r="AL53" i="63"/>
  <c r="AG53" i="63"/>
  <c r="AB53" i="63"/>
  <c r="W53" i="63"/>
  <c r="V53" i="63"/>
  <c r="U53" i="63"/>
  <c r="T53" i="63"/>
  <c r="S53" i="63"/>
  <c r="R53" i="63"/>
  <c r="Q53" i="63"/>
  <c r="P53" i="63"/>
  <c r="O53" i="63"/>
  <c r="N53" i="63"/>
  <c r="M53" i="63"/>
  <c r="L53" i="63"/>
  <c r="K53" i="63"/>
  <c r="J53" i="63"/>
  <c r="I53" i="63"/>
  <c r="H53" i="63"/>
  <c r="G53" i="63"/>
  <c r="F53" i="63"/>
  <c r="E53" i="63"/>
  <c r="D53" i="63"/>
  <c r="AV45" i="63"/>
  <c r="AU45" i="63"/>
  <c r="AT45" i="63"/>
  <c r="AS45" i="63"/>
  <c r="AR45" i="63"/>
  <c r="AQ45" i="63"/>
  <c r="AP45" i="63"/>
  <c r="AO45" i="63"/>
  <c r="AN45" i="63"/>
  <c r="AM45" i="63"/>
  <c r="AL45" i="63"/>
  <c r="AK45" i="63"/>
  <c r="AJ45" i="63"/>
  <c r="AI45" i="63"/>
  <c r="AH45" i="63"/>
  <c r="AG45" i="63"/>
  <c r="AF45" i="63"/>
  <c r="AE45" i="63"/>
  <c r="AD45" i="63"/>
  <c r="AC45" i="63"/>
  <c r="AB45" i="63"/>
  <c r="AA45" i="63"/>
  <c r="Z45" i="63"/>
  <c r="Y45" i="63"/>
  <c r="X45" i="63"/>
  <c r="W45" i="63"/>
  <c r="V45" i="63"/>
  <c r="U45" i="63"/>
  <c r="T45" i="63"/>
  <c r="S45" i="63"/>
  <c r="R45" i="63"/>
  <c r="Q45" i="63"/>
  <c r="P45" i="63"/>
  <c r="O45" i="63"/>
  <c r="N45" i="63"/>
  <c r="M45" i="63"/>
  <c r="L45" i="63"/>
  <c r="K45" i="63"/>
  <c r="J45" i="63"/>
  <c r="I45" i="63"/>
  <c r="H45" i="63"/>
  <c r="G45" i="63"/>
  <c r="F45" i="63"/>
  <c r="E45" i="63"/>
  <c r="AU44" i="63"/>
  <c r="AT44" i="63"/>
  <c r="AS44" i="63"/>
  <c r="AR44" i="63"/>
  <c r="AP44" i="63"/>
  <c r="AO44" i="63"/>
  <c r="AN44" i="63"/>
  <c r="AM44" i="63"/>
  <c r="AK44" i="63"/>
  <c r="AJ44" i="63"/>
  <c r="AI44" i="63"/>
  <c r="AH44" i="63"/>
  <c r="AF44" i="63"/>
  <c r="AE44" i="63"/>
  <c r="AD44" i="63"/>
  <c r="AC44" i="63"/>
  <c r="AA44" i="63"/>
  <c r="Z44" i="63"/>
  <c r="Y44" i="63"/>
  <c r="X44" i="63"/>
  <c r="V44" i="63"/>
  <c r="U44" i="63"/>
  <c r="T44" i="63"/>
  <c r="S44" i="63"/>
  <c r="R44" i="63"/>
  <c r="Q44" i="63"/>
  <c r="P44" i="63"/>
  <c r="O44" i="63"/>
  <c r="N44" i="63"/>
  <c r="M44" i="63"/>
  <c r="L44" i="63"/>
  <c r="K44" i="63"/>
  <c r="J44" i="63"/>
  <c r="I44" i="63"/>
  <c r="H44" i="63"/>
  <c r="G44" i="63"/>
  <c r="F44" i="63"/>
  <c r="E44" i="63"/>
  <c r="AV43" i="63"/>
  <c r="AU43" i="63"/>
  <c r="AT43" i="63"/>
  <c r="AS43" i="63"/>
  <c r="AR43" i="63"/>
  <c r="AQ43" i="63"/>
  <c r="AP43" i="63"/>
  <c r="AO43" i="63"/>
  <c r="AN43" i="63"/>
  <c r="AM43" i="63"/>
  <c r="AL43" i="63"/>
  <c r="AK43" i="63"/>
  <c r="AJ43" i="63"/>
  <c r="AI43" i="63"/>
  <c r="AH43" i="63"/>
  <c r="AG43" i="63"/>
  <c r="AF43" i="63"/>
  <c r="AE43" i="63"/>
  <c r="AD43" i="63"/>
  <c r="AC43" i="63"/>
  <c r="AB43" i="63"/>
  <c r="AA43" i="63"/>
  <c r="Z43" i="63"/>
  <c r="Y43" i="63"/>
  <c r="X43" i="63"/>
  <c r="W43" i="63"/>
  <c r="V43" i="63"/>
  <c r="U43" i="63"/>
  <c r="T43" i="63"/>
  <c r="S43" i="63"/>
  <c r="R43" i="63"/>
  <c r="Q43" i="63"/>
  <c r="P43" i="63"/>
  <c r="O43" i="63"/>
  <c r="N43" i="63"/>
  <c r="M43" i="63"/>
  <c r="L43" i="63"/>
  <c r="K43" i="63"/>
  <c r="J43" i="63"/>
  <c r="I43" i="63"/>
  <c r="H43" i="63"/>
  <c r="G43" i="63"/>
  <c r="F43" i="63"/>
  <c r="E43" i="63"/>
  <c r="W41" i="63"/>
  <c r="V41" i="63"/>
  <c r="U41" i="63"/>
  <c r="T41" i="63"/>
  <c r="S41" i="63"/>
  <c r="R41" i="63"/>
  <c r="Q41" i="63"/>
  <c r="P41" i="63"/>
  <c r="O41" i="63"/>
  <c r="N41" i="63"/>
  <c r="M41" i="63"/>
  <c r="L41" i="63"/>
  <c r="K41" i="63"/>
  <c r="J41" i="63"/>
  <c r="I41" i="63"/>
  <c r="H41" i="63"/>
  <c r="G41" i="63"/>
  <c r="F41" i="63"/>
  <c r="E41" i="63"/>
  <c r="AB40" i="63"/>
  <c r="X40" i="63"/>
  <c r="W40" i="63"/>
  <c r="V40" i="63"/>
  <c r="U40" i="63"/>
  <c r="T40" i="63"/>
  <c r="S40" i="63"/>
  <c r="R40" i="63"/>
  <c r="Q40" i="63"/>
  <c r="P40" i="63"/>
  <c r="O40" i="63"/>
  <c r="N40" i="63"/>
  <c r="M40" i="63"/>
  <c r="L40" i="63"/>
  <c r="K40" i="63"/>
  <c r="J40" i="63"/>
  <c r="I40" i="63"/>
  <c r="H40" i="63"/>
  <c r="G40" i="63"/>
  <c r="F40" i="63"/>
  <c r="E40" i="63"/>
  <c r="W39" i="63"/>
  <c r="V39" i="63"/>
  <c r="U39" i="63"/>
  <c r="T39" i="63"/>
  <c r="S39" i="63"/>
  <c r="R39" i="63"/>
  <c r="Q39" i="63"/>
  <c r="P39" i="63"/>
  <c r="O39" i="63"/>
  <c r="N39" i="63"/>
  <c r="M39" i="63"/>
  <c r="L39" i="63"/>
  <c r="K39" i="63"/>
  <c r="J39" i="63"/>
  <c r="I39" i="63"/>
  <c r="H39" i="63"/>
  <c r="G39" i="63"/>
  <c r="F39" i="63"/>
  <c r="E39" i="63"/>
  <c r="AV38" i="63"/>
  <c r="AU38" i="63"/>
  <c r="AT38" i="63"/>
  <c r="AS38" i="63"/>
  <c r="AR38" i="63"/>
  <c r="AQ38" i="63"/>
  <c r="AP38" i="63"/>
  <c r="AO38" i="63"/>
  <c r="AN38" i="63"/>
  <c r="AM38" i="63"/>
  <c r="AL38" i="63"/>
  <c r="AK38" i="63"/>
  <c r="AJ38" i="63"/>
  <c r="AI38" i="63"/>
  <c r="AH38" i="63"/>
  <c r="AG38" i="63"/>
  <c r="AF38" i="63"/>
  <c r="AE38" i="63"/>
  <c r="AD38" i="63"/>
  <c r="AC38" i="63"/>
  <c r="AA38" i="63"/>
  <c r="Z38" i="63"/>
  <c r="Y38" i="63"/>
  <c r="X38" i="63"/>
  <c r="W38" i="63"/>
  <c r="V38" i="63"/>
  <c r="U38" i="63"/>
  <c r="T38" i="63"/>
  <c r="S38" i="63"/>
  <c r="R38" i="63"/>
  <c r="Q38" i="63"/>
  <c r="P38" i="63"/>
  <c r="O38" i="63"/>
  <c r="N38" i="63"/>
  <c r="M38" i="63"/>
  <c r="L38" i="63"/>
  <c r="K38" i="63"/>
  <c r="J38" i="63"/>
  <c r="I38" i="63"/>
  <c r="H38" i="63"/>
  <c r="G38" i="63"/>
  <c r="F38" i="63"/>
  <c r="E38" i="63"/>
  <c r="W37" i="63"/>
  <c r="V37" i="63"/>
  <c r="U37" i="63"/>
  <c r="T37" i="63"/>
  <c r="S37" i="63"/>
  <c r="R37" i="63"/>
  <c r="Q37" i="63"/>
  <c r="P37" i="63"/>
  <c r="O37" i="63"/>
  <c r="N37" i="63"/>
  <c r="M37" i="63"/>
  <c r="L37" i="63"/>
  <c r="K37" i="63"/>
  <c r="J37" i="63"/>
  <c r="I37" i="63"/>
  <c r="H37" i="63"/>
  <c r="G37" i="63"/>
  <c r="F37" i="63"/>
  <c r="E37" i="63"/>
  <c r="AV36" i="63"/>
  <c r="AU36" i="63"/>
  <c r="AT36" i="63"/>
  <c r="AS36" i="63"/>
  <c r="AR36" i="63"/>
  <c r="AQ36" i="63"/>
  <c r="AP36" i="63"/>
  <c r="AO36" i="63"/>
  <c r="AN36" i="63"/>
  <c r="AM36" i="63"/>
  <c r="AL36" i="63"/>
  <c r="AK36" i="63"/>
  <c r="AJ36" i="63"/>
  <c r="AI36" i="63"/>
  <c r="AH36" i="63"/>
  <c r="AG36" i="63"/>
  <c r="AF36" i="63"/>
  <c r="AE36" i="63"/>
  <c r="AD36" i="63"/>
  <c r="AC36" i="63"/>
  <c r="AA36" i="63"/>
  <c r="Z36" i="63"/>
  <c r="Y36" i="63"/>
  <c r="X36" i="63"/>
  <c r="W36" i="63"/>
  <c r="V36" i="63"/>
  <c r="U36" i="63"/>
  <c r="T36" i="63"/>
  <c r="S36" i="63"/>
  <c r="R36" i="63"/>
  <c r="Q36" i="63"/>
  <c r="P36" i="63"/>
  <c r="O36" i="63"/>
  <c r="N36" i="63"/>
  <c r="M36" i="63"/>
  <c r="L36" i="63"/>
  <c r="K36" i="63"/>
  <c r="J36" i="63"/>
  <c r="I36" i="63"/>
  <c r="H36" i="63"/>
  <c r="G36" i="63"/>
  <c r="F36" i="63"/>
  <c r="E36" i="63"/>
  <c r="W35" i="63"/>
  <c r="V35" i="63"/>
  <c r="U35" i="63"/>
  <c r="T35" i="63"/>
  <c r="S35" i="63"/>
  <c r="R35" i="63"/>
  <c r="Q35" i="63"/>
  <c r="P35" i="63"/>
  <c r="O35" i="63"/>
  <c r="N35" i="63"/>
  <c r="M35" i="63"/>
  <c r="L35" i="63"/>
  <c r="K35" i="63"/>
  <c r="J35" i="63"/>
  <c r="I35" i="63"/>
  <c r="H35" i="63"/>
  <c r="G35" i="63"/>
  <c r="F35" i="63"/>
  <c r="E35" i="63"/>
  <c r="AV34" i="63"/>
  <c r="AU34" i="63"/>
  <c r="AT34" i="63"/>
  <c r="AS34" i="63"/>
  <c r="AR34" i="63"/>
  <c r="AQ34" i="63"/>
  <c r="AP34" i="63"/>
  <c r="AO34" i="63"/>
  <c r="AN34" i="63"/>
  <c r="AM34" i="63"/>
  <c r="X34" i="63"/>
  <c r="W34" i="63"/>
  <c r="V34" i="63"/>
  <c r="U34" i="63"/>
  <c r="T34" i="63"/>
  <c r="S34" i="63"/>
  <c r="R34" i="63"/>
  <c r="Q34" i="63"/>
  <c r="P34" i="63"/>
  <c r="O34" i="63"/>
  <c r="N34" i="63"/>
  <c r="M34" i="63"/>
  <c r="L34" i="63"/>
  <c r="K34" i="63"/>
  <c r="J34" i="63"/>
  <c r="I34" i="63"/>
  <c r="H34" i="63"/>
  <c r="G34" i="63"/>
  <c r="F34" i="63"/>
  <c r="E34" i="63"/>
  <c r="W33" i="63"/>
  <c r="V33" i="63"/>
  <c r="U33" i="63"/>
  <c r="T33" i="63"/>
  <c r="S33" i="63"/>
  <c r="R33" i="63"/>
  <c r="Q33" i="63"/>
  <c r="P33" i="63"/>
  <c r="O33" i="63"/>
  <c r="N33" i="63"/>
  <c r="M33" i="63"/>
  <c r="L33" i="63"/>
  <c r="K33" i="63"/>
  <c r="J33" i="63"/>
  <c r="I33" i="63"/>
  <c r="H33" i="63"/>
  <c r="G33" i="63"/>
  <c r="F33" i="63"/>
  <c r="E33" i="63"/>
  <c r="AV32" i="63"/>
  <c r="AU32" i="63"/>
  <c r="AT32" i="63"/>
  <c r="AS32" i="63"/>
  <c r="AR32" i="63"/>
  <c r="AQ32" i="63"/>
  <c r="AP32" i="63"/>
  <c r="AO32" i="63"/>
  <c r="AN32" i="63"/>
  <c r="AM32" i="63"/>
  <c r="AL32" i="63"/>
  <c r="AK32" i="63"/>
  <c r="AJ32" i="63"/>
  <c r="AI32" i="63"/>
  <c r="AH32" i="63"/>
  <c r="AG32" i="63"/>
  <c r="AF32" i="63"/>
  <c r="AE32" i="63"/>
  <c r="AD32" i="63"/>
  <c r="AC32" i="63"/>
  <c r="AA32" i="63"/>
  <c r="Z32" i="63"/>
  <c r="Y32" i="63"/>
  <c r="X32" i="63"/>
  <c r="W32" i="63"/>
  <c r="V32" i="63"/>
  <c r="U32" i="63"/>
  <c r="T32" i="63"/>
  <c r="S32" i="63"/>
  <c r="R32" i="63"/>
  <c r="Q32" i="63"/>
  <c r="P32" i="63"/>
  <c r="O32" i="63"/>
  <c r="N32" i="63"/>
  <c r="M32" i="63"/>
  <c r="L32" i="63"/>
  <c r="K32" i="63"/>
  <c r="J32" i="63"/>
  <c r="I32" i="63"/>
  <c r="H32" i="63"/>
  <c r="G32" i="63"/>
  <c r="F32" i="63"/>
  <c r="E32" i="63"/>
  <c r="AV31" i="63"/>
  <c r="AU31" i="63"/>
  <c r="AT31" i="63"/>
  <c r="AS31" i="63"/>
  <c r="AR31" i="63"/>
  <c r="AQ31" i="63"/>
  <c r="AP31" i="63"/>
  <c r="AO31" i="63"/>
  <c r="AN31" i="63"/>
  <c r="AM31" i="63"/>
  <c r="AL31" i="63"/>
  <c r="AK31" i="63"/>
  <c r="AJ31" i="63"/>
  <c r="AI31" i="63"/>
  <c r="AH31" i="63"/>
  <c r="AG31" i="63"/>
  <c r="AF31" i="63"/>
  <c r="AE31" i="63"/>
  <c r="AD31" i="63"/>
  <c r="AC31" i="63"/>
  <c r="AA31" i="63"/>
  <c r="Z31" i="63"/>
  <c r="Y31" i="63"/>
  <c r="X31" i="63"/>
  <c r="W31" i="63"/>
  <c r="V31" i="63"/>
  <c r="U31" i="63"/>
  <c r="T31" i="63"/>
  <c r="S31" i="63"/>
  <c r="R31" i="63"/>
  <c r="Q31" i="63"/>
  <c r="P31" i="63"/>
  <c r="O31" i="63"/>
  <c r="N31" i="63"/>
  <c r="M31" i="63"/>
  <c r="L31" i="63"/>
  <c r="K31" i="63"/>
  <c r="J31" i="63"/>
  <c r="I31" i="63"/>
  <c r="H31" i="63"/>
  <c r="G31" i="63"/>
  <c r="F31" i="63"/>
  <c r="E31" i="63"/>
  <c r="AV30" i="63"/>
  <c r="AU30" i="63"/>
  <c r="AT30" i="63"/>
  <c r="AS30" i="63"/>
  <c r="AR30" i="63"/>
  <c r="AQ30" i="63"/>
  <c r="AP30" i="63"/>
  <c r="AO30" i="63"/>
  <c r="AN30" i="63"/>
  <c r="AM30" i="63"/>
  <c r="AL30" i="63"/>
  <c r="AK30" i="63"/>
  <c r="AJ30" i="63"/>
  <c r="AI30" i="63"/>
  <c r="AH30" i="63"/>
  <c r="AG30" i="63"/>
  <c r="AF30" i="63"/>
  <c r="AE30" i="63"/>
  <c r="AD30" i="63"/>
  <c r="AC30" i="63"/>
  <c r="AA30" i="63"/>
  <c r="Z30" i="63"/>
  <c r="Y30" i="63"/>
  <c r="X30" i="63"/>
  <c r="W30" i="63"/>
  <c r="V30" i="63"/>
  <c r="U30" i="63"/>
  <c r="T30" i="63"/>
  <c r="S30" i="63"/>
  <c r="R30" i="63"/>
  <c r="Q30" i="63"/>
  <c r="P30" i="63"/>
  <c r="O30" i="63"/>
  <c r="N30" i="63"/>
  <c r="M30" i="63"/>
  <c r="L30" i="63"/>
  <c r="K30" i="63"/>
  <c r="J30" i="63"/>
  <c r="I30" i="63"/>
  <c r="H30" i="63"/>
  <c r="G30" i="63"/>
  <c r="F30" i="63"/>
  <c r="E30" i="63"/>
  <c r="W29" i="63"/>
  <c r="V29" i="63"/>
  <c r="U29" i="63"/>
  <c r="T29" i="63"/>
  <c r="S29" i="63"/>
  <c r="R29" i="63"/>
  <c r="Q29" i="63"/>
  <c r="P29" i="63"/>
  <c r="O29" i="63"/>
  <c r="N29" i="63"/>
  <c r="M29" i="63"/>
  <c r="L29" i="63"/>
  <c r="K29" i="63"/>
  <c r="J29" i="63"/>
  <c r="I29" i="63"/>
  <c r="H29" i="63"/>
  <c r="G29" i="63"/>
  <c r="F29" i="63"/>
  <c r="E29" i="63"/>
  <c r="AV28" i="63"/>
  <c r="AU28" i="63"/>
  <c r="AT28" i="63"/>
  <c r="AS28" i="63"/>
  <c r="AR28" i="63"/>
  <c r="AQ28" i="63"/>
  <c r="AP28" i="63"/>
  <c r="AO28" i="63"/>
  <c r="AN28" i="63"/>
  <c r="AM28" i="63"/>
  <c r="AL28" i="63"/>
  <c r="AK28" i="63"/>
  <c r="AJ28" i="63"/>
  <c r="AI28" i="63"/>
  <c r="AH28" i="63"/>
  <c r="AG28" i="63"/>
  <c r="AF28" i="63"/>
  <c r="AE28" i="63"/>
  <c r="AD28" i="63"/>
  <c r="AC28" i="63"/>
  <c r="AB28" i="63"/>
  <c r="AA28" i="63"/>
  <c r="Z28" i="63"/>
  <c r="Y28" i="63"/>
  <c r="X28" i="63"/>
  <c r="W28" i="63"/>
  <c r="V28" i="63"/>
  <c r="U28" i="63"/>
  <c r="T28" i="63"/>
  <c r="S28" i="63"/>
  <c r="R28" i="63"/>
  <c r="Q28" i="63"/>
  <c r="P28" i="63"/>
  <c r="O28" i="63"/>
  <c r="N28" i="63"/>
  <c r="M28" i="63"/>
  <c r="L28" i="63"/>
  <c r="K28" i="63"/>
  <c r="J28" i="63"/>
  <c r="I28" i="63"/>
  <c r="H28" i="63"/>
  <c r="G28" i="63"/>
  <c r="F28" i="63"/>
  <c r="E28" i="63"/>
  <c r="W27" i="63"/>
  <c r="V27" i="63"/>
  <c r="U27" i="63"/>
  <c r="T27" i="63"/>
  <c r="S27" i="63"/>
  <c r="R27" i="63"/>
  <c r="Q27" i="63"/>
  <c r="P27" i="63"/>
  <c r="O27" i="63"/>
  <c r="N27" i="63"/>
  <c r="M27" i="63"/>
  <c r="L27" i="63"/>
  <c r="K27" i="63"/>
  <c r="J27" i="63"/>
  <c r="I27" i="63"/>
  <c r="H27" i="63"/>
  <c r="G27" i="63"/>
  <c r="F27" i="63"/>
  <c r="E27" i="63"/>
  <c r="W26" i="63"/>
  <c r="V26" i="63"/>
  <c r="U26" i="63"/>
  <c r="T26" i="63"/>
  <c r="S26" i="63"/>
  <c r="R26" i="63"/>
  <c r="Q26" i="63"/>
  <c r="P26" i="63"/>
  <c r="O26" i="63"/>
  <c r="N26" i="63"/>
  <c r="M26" i="63"/>
  <c r="L26" i="63"/>
  <c r="K26" i="63"/>
  <c r="J26" i="63"/>
  <c r="I26" i="63"/>
  <c r="H26" i="63"/>
  <c r="G26" i="63"/>
  <c r="F26" i="63"/>
  <c r="E26" i="63"/>
  <c r="W25" i="63"/>
  <c r="V25" i="63"/>
  <c r="U25" i="63"/>
  <c r="T25" i="63"/>
  <c r="S25" i="63"/>
  <c r="R25" i="63"/>
  <c r="Q25" i="63"/>
  <c r="P25" i="63"/>
  <c r="O25" i="63"/>
  <c r="N25" i="63"/>
  <c r="M25" i="63"/>
  <c r="L25" i="63"/>
  <c r="K25" i="63"/>
  <c r="J25" i="63"/>
  <c r="I25" i="63"/>
  <c r="H25" i="63"/>
  <c r="G25" i="63"/>
  <c r="F25" i="63"/>
  <c r="E25" i="63"/>
  <c r="W24" i="63"/>
  <c r="V24" i="63"/>
  <c r="U24" i="63"/>
  <c r="T24" i="63"/>
  <c r="S24" i="63"/>
  <c r="R24" i="63"/>
  <c r="Q24" i="63"/>
  <c r="P24" i="63"/>
  <c r="O24" i="63"/>
  <c r="N24" i="63"/>
  <c r="M24" i="63"/>
  <c r="L24" i="63"/>
  <c r="K24" i="63"/>
  <c r="J24" i="63"/>
  <c r="I24" i="63"/>
  <c r="H24" i="63"/>
  <c r="G24" i="63"/>
  <c r="F24" i="63"/>
  <c r="E24" i="63"/>
  <c r="AV23" i="63"/>
  <c r="AU23" i="63"/>
  <c r="AT23" i="63"/>
  <c r="AS23" i="63"/>
  <c r="AR23" i="63"/>
  <c r="AQ23" i="63"/>
  <c r="AP23" i="63"/>
  <c r="AO23" i="63"/>
  <c r="AN23" i="63"/>
  <c r="AM23" i="63"/>
  <c r="AL23" i="63"/>
  <c r="AK23" i="63"/>
  <c r="AJ23" i="63"/>
  <c r="AI23" i="63"/>
  <c r="AH23" i="63"/>
  <c r="AG23" i="63"/>
  <c r="AF23" i="63"/>
  <c r="AE23" i="63"/>
  <c r="AD23" i="63"/>
  <c r="AC23" i="63"/>
  <c r="AB23" i="63"/>
  <c r="AA23" i="63"/>
  <c r="Z23" i="63"/>
  <c r="Y23" i="63"/>
  <c r="X23" i="63"/>
  <c r="W23" i="63"/>
  <c r="V23" i="63"/>
  <c r="U23" i="63"/>
  <c r="T23" i="63"/>
  <c r="S23" i="63"/>
  <c r="R23" i="63"/>
  <c r="Q23" i="63"/>
  <c r="P23" i="63"/>
  <c r="O23" i="63"/>
  <c r="N23" i="63"/>
  <c r="M23" i="63"/>
  <c r="L23" i="63"/>
  <c r="K23" i="63"/>
  <c r="J23" i="63"/>
  <c r="I23" i="63"/>
  <c r="H23" i="63"/>
  <c r="G23" i="63"/>
  <c r="F23" i="63"/>
  <c r="E23" i="63"/>
  <c r="W22" i="63"/>
  <c r="V22" i="63"/>
  <c r="U22" i="63"/>
  <c r="T22" i="63"/>
  <c r="S22" i="63"/>
  <c r="R22" i="63"/>
  <c r="Q22" i="63"/>
  <c r="P22" i="63"/>
  <c r="O22" i="63"/>
  <c r="N22" i="63"/>
  <c r="M22" i="63"/>
  <c r="L22" i="63"/>
  <c r="K22" i="63"/>
  <c r="J22" i="63"/>
  <c r="I22" i="63"/>
  <c r="H22" i="63"/>
  <c r="G22" i="63"/>
  <c r="F22" i="63"/>
  <c r="E22" i="63"/>
  <c r="W21" i="63"/>
  <c r="V21" i="63"/>
  <c r="U21" i="63"/>
  <c r="T21" i="63"/>
  <c r="S21" i="63"/>
  <c r="R21" i="63"/>
  <c r="Q21" i="63"/>
  <c r="P21" i="63"/>
  <c r="O21" i="63"/>
  <c r="N21" i="63"/>
  <c r="M21" i="63"/>
  <c r="L21" i="63"/>
  <c r="K21" i="63"/>
  <c r="J21" i="63"/>
  <c r="I21" i="63"/>
  <c r="H21" i="63"/>
  <c r="G21" i="63"/>
  <c r="F21" i="63"/>
  <c r="E21" i="63"/>
  <c r="W20" i="63"/>
  <c r="V20" i="63"/>
  <c r="U20" i="63"/>
  <c r="T20" i="63"/>
  <c r="S20" i="63"/>
  <c r="R20" i="63"/>
  <c r="Q20" i="63"/>
  <c r="P20" i="63"/>
  <c r="O20" i="63"/>
  <c r="N20" i="63"/>
  <c r="M20" i="63"/>
  <c r="L20" i="63"/>
  <c r="K20" i="63"/>
  <c r="J20" i="63"/>
  <c r="I20" i="63"/>
  <c r="H20" i="63"/>
  <c r="G20" i="63"/>
  <c r="F20" i="63"/>
  <c r="E20" i="63"/>
  <c r="W19" i="63"/>
  <c r="V19" i="63"/>
  <c r="U19" i="63"/>
  <c r="T19" i="63"/>
  <c r="S19" i="63"/>
  <c r="R19" i="63"/>
  <c r="Q19" i="63"/>
  <c r="P19" i="63"/>
  <c r="O19" i="63"/>
  <c r="N19" i="63"/>
  <c r="M19" i="63"/>
  <c r="L19" i="63"/>
  <c r="K19" i="63"/>
  <c r="J19" i="63"/>
  <c r="I19" i="63"/>
  <c r="H19" i="63"/>
  <c r="G19" i="63"/>
  <c r="F19" i="63"/>
  <c r="E19" i="63"/>
  <c r="W18" i="63"/>
  <c r="V18" i="63"/>
  <c r="U18" i="63"/>
  <c r="T18" i="63"/>
  <c r="S18" i="63"/>
  <c r="R18" i="63"/>
  <c r="Q18" i="63"/>
  <c r="P18" i="63"/>
  <c r="O18" i="63"/>
  <c r="N18" i="63"/>
  <c r="M18" i="63"/>
  <c r="L18" i="63"/>
  <c r="K18" i="63"/>
  <c r="J18" i="63"/>
  <c r="I18" i="63"/>
  <c r="H18" i="63"/>
  <c r="G18" i="63"/>
  <c r="F18" i="63"/>
  <c r="E18" i="63"/>
  <c r="W17" i="63"/>
  <c r="V17" i="63"/>
  <c r="U17" i="63"/>
  <c r="T17" i="63"/>
  <c r="S17" i="63"/>
  <c r="R17" i="63"/>
  <c r="Q17" i="63"/>
  <c r="P17" i="63"/>
  <c r="O17" i="63"/>
  <c r="N17" i="63"/>
  <c r="M17" i="63"/>
  <c r="L17" i="63"/>
  <c r="K17" i="63"/>
  <c r="J17" i="63"/>
  <c r="I17" i="63"/>
  <c r="H17" i="63"/>
  <c r="G17" i="63"/>
  <c r="F17" i="63"/>
  <c r="E17" i="63"/>
  <c r="W16" i="63"/>
  <c r="V16" i="63"/>
  <c r="U16" i="63"/>
  <c r="T16" i="63"/>
  <c r="S16" i="63"/>
  <c r="R16" i="63"/>
  <c r="Q16" i="63"/>
  <c r="P16" i="63"/>
  <c r="O16" i="63"/>
  <c r="N16" i="63"/>
  <c r="M16" i="63"/>
  <c r="L16" i="63"/>
  <c r="K16" i="63"/>
  <c r="J16" i="63"/>
  <c r="I16" i="63"/>
  <c r="H16" i="63"/>
  <c r="G16" i="63"/>
  <c r="F16" i="63"/>
  <c r="E16" i="63"/>
  <c r="W15" i="63"/>
  <c r="V15" i="63"/>
  <c r="U15" i="63"/>
  <c r="T15" i="63"/>
  <c r="S15" i="63"/>
  <c r="R15" i="63"/>
  <c r="Q15" i="63"/>
  <c r="P15" i="63"/>
  <c r="O15" i="63"/>
  <c r="N15" i="63"/>
  <c r="M15" i="63"/>
  <c r="L15" i="63"/>
  <c r="K15" i="63"/>
  <c r="J15" i="63"/>
  <c r="I15" i="63"/>
  <c r="H15" i="63"/>
  <c r="G15" i="63"/>
  <c r="F15" i="63"/>
  <c r="E15" i="63"/>
  <c r="AV14" i="63"/>
  <c r="AU14" i="63"/>
  <c r="AT14" i="63"/>
  <c r="AS14" i="63"/>
  <c r="AR14" i="63"/>
  <c r="AQ14" i="63"/>
  <c r="AP14" i="63"/>
  <c r="AO14" i="63"/>
  <c r="AN14" i="63"/>
  <c r="AM14" i="63"/>
  <c r="AL14" i="63"/>
  <c r="AK14" i="63"/>
  <c r="AJ14" i="63"/>
  <c r="AI14" i="63"/>
  <c r="AH14" i="63"/>
  <c r="AG14" i="63"/>
  <c r="AF14" i="63"/>
  <c r="AE14" i="63"/>
  <c r="AD14" i="63"/>
  <c r="AC14" i="63"/>
  <c r="AB14" i="63"/>
  <c r="AA14" i="63"/>
  <c r="Z14" i="63"/>
  <c r="Y14" i="63"/>
  <c r="X14" i="63"/>
  <c r="W14" i="63"/>
  <c r="V14" i="63"/>
  <c r="U14" i="63"/>
  <c r="T14" i="63"/>
  <c r="S14" i="63"/>
  <c r="R14" i="63"/>
  <c r="Q14" i="63"/>
  <c r="P14" i="63"/>
  <c r="O14" i="63"/>
  <c r="N14" i="63"/>
  <c r="M14" i="63"/>
  <c r="L14" i="63"/>
  <c r="K14" i="63"/>
  <c r="J14" i="63"/>
  <c r="I14" i="63"/>
  <c r="H14" i="63"/>
  <c r="G14" i="63"/>
  <c r="F14" i="63"/>
  <c r="E14" i="63"/>
  <c r="AV13" i="63"/>
  <c r="AU13" i="63"/>
  <c r="AT13" i="63"/>
  <c r="AS13" i="63"/>
  <c r="AR13" i="63"/>
  <c r="AQ13" i="63"/>
  <c r="AP13" i="63"/>
  <c r="AO13" i="63"/>
  <c r="AN13" i="63"/>
  <c r="AM13" i="63"/>
  <c r="AL13" i="63"/>
  <c r="AK13" i="63"/>
  <c r="AJ13" i="63"/>
  <c r="AI13" i="63"/>
  <c r="AH13" i="63"/>
  <c r="AG13" i="63"/>
  <c r="AF13" i="63"/>
  <c r="AE13" i="63"/>
  <c r="AD13" i="63"/>
  <c r="AC13" i="63"/>
  <c r="AA13" i="63"/>
  <c r="Z13" i="63"/>
  <c r="Y13" i="63"/>
  <c r="X13" i="63"/>
  <c r="W13" i="63"/>
  <c r="V13" i="63"/>
  <c r="U13" i="63"/>
  <c r="T13" i="63"/>
  <c r="S13" i="63"/>
  <c r="R13" i="63"/>
  <c r="Q13" i="63"/>
  <c r="P13" i="63"/>
  <c r="O13" i="63"/>
  <c r="N13" i="63"/>
  <c r="M13" i="63"/>
  <c r="L13" i="63"/>
  <c r="K13" i="63"/>
  <c r="J13" i="63"/>
  <c r="I13" i="63"/>
  <c r="H13" i="63"/>
  <c r="G13" i="63"/>
  <c r="F13" i="63"/>
  <c r="E13" i="63"/>
  <c r="W12" i="63"/>
  <c r="V12" i="63"/>
  <c r="U12" i="63"/>
  <c r="T12" i="63"/>
  <c r="S12" i="63"/>
  <c r="R12" i="63"/>
  <c r="Q12" i="63"/>
  <c r="P12" i="63"/>
  <c r="O12" i="63"/>
  <c r="N12" i="63"/>
  <c r="M12" i="63"/>
  <c r="L12" i="63"/>
  <c r="K12" i="63"/>
  <c r="J12" i="63"/>
  <c r="I12" i="63"/>
  <c r="H12" i="63"/>
  <c r="G12" i="63"/>
  <c r="F12" i="63"/>
  <c r="E12" i="63"/>
  <c r="AV11" i="63"/>
  <c r="AU11" i="63"/>
  <c r="AT11" i="63"/>
  <c r="AS11" i="63"/>
  <c r="AR11" i="63"/>
  <c r="AQ11" i="63"/>
  <c r="AP11" i="63"/>
  <c r="AO11" i="63"/>
  <c r="AN11" i="63"/>
  <c r="AM11" i="63"/>
  <c r="AL11" i="63"/>
  <c r="AK11" i="63"/>
  <c r="AJ11" i="63"/>
  <c r="AI11" i="63"/>
  <c r="AH11" i="63"/>
  <c r="AG11" i="63"/>
  <c r="AF11" i="63"/>
  <c r="AE11" i="63"/>
  <c r="AD11" i="63"/>
  <c r="AC11" i="63"/>
  <c r="AA11" i="63"/>
  <c r="Z11" i="63"/>
  <c r="Y11" i="63"/>
  <c r="X11" i="63"/>
  <c r="W11" i="63"/>
  <c r="V11" i="63"/>
  <c r="U11" i="63"/>
  <c r="T11" i="63"/>
  <c r="S11" i="63"/>
  <c r="R11" i="63"/>
  <c r="Q11" i="63"/>
  <c r="P11" i="63"/>
  <c r="O11" i="63"/>
  <c r="N11" i="63"/>
  <c r="M11" i="63"/>
  <c r="L11" i="63"/>
  <c r="K11" i="63"/>
  <c r="J11" i="63"/>
  <c r="I11" i="63"/>
  <c r="H11" i="63"/>
  <c r="G11" i="63"/>
  <c r="F11" i="63"/>
  <c r="E11" i="63"/>
  <c r="W10" i="63"/>
  <c r="V10" i="63"/>
  <c r="U10" i="63"/>
  <c r="T10" i="63"/>
  <c r="S10" i="63"/>
  <c r="R10" i="63"/>
  <c r="Q10" i="63"/>
  <c r="P10" i="63"/>
  <c r="O10" i="63"/>
  <c r="N10" i="63"/>
  <c r="M10" i="63"/>
  <c r="L10" i="63"/>
  <c r="K10" i="63"/>
  <c r="J10" i="63"/>
  <c r="I10" i="63"/>
  <c r="H10" i="63"/>
  <c r="G10" i="63"/>
  <c r="F10" i="63"/>
  <c r="E10" i="63"/>
  <c r="W9" i="63"/>
  <c r="V9" i="63"/>
  <c r="U9" i="63"/>
  <c r="T9" i="63"/>
  <c r="S9" i="63"/>
  <c r="R9" i="63"/>
  <c r="Q9" i="63"/>
  <c r="P9" i="63"/>
  <c r="O9" i="63"/>
  <c r="N9" i="63"/>
  <c r="M9" i="63"/>
  <c r="L9" i="63"/>
  <c r="K9" i="63"/>
  <c r="J9" i="63"/>
  <c r="I9" i="63"/>
  <c r="H9" i="63"/>
  <c r="G9" i="63"/>
  <c r="F9" i="63"/>
  <c r="E9" i="63"/>
  <c r="W8" i="63"/>
  <c r="V8" i="63"/>
  <c r="U8" i="63"/>
  <c r="T8" i="63"/>
  <c r="S8" i="63"/>
  <c r="R8" i="63"/>
  <c r="Q8" i="63"/>
  <c r="P8" i="63"/>
  <c r="O8" i="63"/>
  <c r="N8" i="63"/>
  <c r="M8" i="63"/>
  <c r="L8" i="63"/>
  <c r="K8" i="63"/>
  <c r="J8" i="63"/>
  <c r="I8" i="63"/>
  <c r="H8" i="63"/>
  <c r="G8" i="63"/>
  <c r="F8" i="63"/>
  <c r="E8" i="63"/>
  <c r="W7" i="63"/>
  <c r="V7" i="63"/>
  <c r="U7" i="63"/>
  <c r="T7" i="63"/>
  <c r="S7" i="63"/>
  <c r="R7" i="63"/>
  <c r="Q7" i="63"/>
  <c r="P7" i="63"/>
  <c r="O7" i="63"/>
  <c r="N7" i="63"/>
  <c r="M7" i="63"/>
  <c r="L7" i="63"/>
  <c r="K7" i="63"/>
  <c r="J7" i="63"/>
  <c r="I7" i="63"/>
  <c r="H7" i="63"/>
  <c r="G7" i="63"/>
  <c r="F7" i="63"/>
  <c r="E7" i="63"/>
  <c r="W6" i="63"/>
  <c r="V6" i="63"/>
  <c r="U6" i="63"/>
  <c r="T6" i="63"/>
  <c r="S6" i="63"/>
  <c r="R6" i="63"/>
  <c r="Q6" i="63"/>
  <c r="P6" i="63"/>
  <c r="O6" i="63"/>
  <c r="N6" i="63"/>
  <c r="M6" i="63"/>
  <c r="L6" i="63"/>
  <c r="K6" i="63"/>
  <c r="J6" i="63"/>
  <c r="I6" i="63"/>
  <c r="H6" i="63"/>
  <c r="G6" i="63"/>
  <c r="F6" i="63"/>
  <c r="E6" i="63"/>
  <c r="D45" i="63"/>
  <c r="D44" i="63"/>
  <c r="D43" i="63"/>
  <c r="D41" i="63"/>
  <c r="D40" i="63"/>
  <c r="D39" i="63"/>
  <c r="D38" i="63"/>
  <c r="D37" i="63"/>
  <c r="D36" i="63"/>
  <c r="D35" i="63"/>
  <c r="D34" i="63"/>
  <c r="D33" i="63"/>
  <c r="D32" i="63"/>
  <c r="D31" i="63"/>
  <c r="D30" i="63"/>
  <c r="D29" i="63"/>
  <c r="D28" i="63"/>
  <c r="D27" i="63"/>
  <c r="D26" i="63"/>
  <c r="D25" i="63"/>
  <c r="D24" i="63"/>
  <c r="D23" i="63"/>
  <c r="D22" i="63"/>
  <c r="D21" i="63"/>
  <c r="D20" i="63"/>
  <c r="D19" i="63"/>
  <c r="D18" i="63"/>
  <c r="D17" i="63"/>
  <c r="D16" i="63"/>
  <c r="D15" i="63"/>
  <c r="D14" i="63"/>
  <c r="D13" i="63"/>
  <c r="D12" i="63"/>
  <c r="D11" i="63"/>
  <c r="D10" i="63"/>
  <c r="D9" i="63"/>
  <c r="D8" i="63"/>
  <c r="D7" i="63"/>
  <c r="D6" i="63"/>
  <c r="AU67" i="62"/>
  <c r="AT67" i="62"/>
  <c r="AS67" i="62"/>
  <c r="AR67" i="62"/>
  <c r="AP67" i="62"/>
  <c r="AO67" i="62"/>
  <c r="AN67" i="62"/>
  <c r="AM67" i="62"/>
  <c r="AK67" i="62"/>
  <c r="AJ67" i="62"/>
  <c r="AI67" i="62"/>
  <c r="AH67" i="62"/>
  <c r="AF67" i="62"/>
  <c r="AE67" i="62"/>
  <c r="AD67" i="62"/>
  <c r="AC67" i="62"/>
  <c r="AA67" i="62"/>
  <c r="Z67" i="62"/>
  <c r="Y67" i="62"/>
  <c r="X67" i="62"/>
  <c r="V67" i="62"/>
  <c r="U67" i="62"/>
  <c r="T67" i="62"/>
  <c r="S67" i="62"/>
  <c r="Q67" i="62"/>
  <c r="P67" i="62"/>
  <c r="O67" i="62"/>
  <c r="N67" i="62"/>
  <c r="L67" i="62"/>
  <c r="K67" i="62"/>
  <c r="J67" i="62"/>
  <c r="I67" i="62"/>
  <c r="H67" i="62"/>
  <c r="G67" i="62"/>
  <c r="F67" i="62"/>
  <c r="E67" i="62"/>
  <c r="D67" i="62"/>
  <c r="AV66" i="62"/>
  <c r="AU66" i="62"/>
  <c r="AT66" i="62"/>
  <c r="AS66" i="62"/>
  <c r="AR66" i="62"/>
  <c r="AQ66" i="62"/>
  <c r="AP66" i="62"/>
  <c r="AO66" i="62"/>
  <c r="AN66" i="62"/>
  <c r="AM66" i="62"/>
  <c r="AL66" i="62"/>
  <c r="AK66" i="62"/>
  <c r="AJ66" i="62"/>
  <c r="AI66" i="62"/>
  <c r="AH66" i="62"/>
  <c r="AG66" i="62"/>
  <c r="AF66" i="62"/>
  <c r="AE66" i="62"/>
  <c r="AD66" i="62"/>
  <c r="AC66" i="62"/>
  <c r="AB66" i="62"/>
  <c r="AA66" i="62"/>
  <c r="Z66" i="62"/>
  <c r="Y66" i="62"/>
  <c r="X66" i="62"/>
  <c r="W66" i="62"/>
  <c r="V66" i="62"/>
  <c r="U66" i="62"/>
  <c r="T66" i="62"/>
  <c r="S66" i="62"/>
  <c r="R66" i="62"/>
  <c r="Q66" i="62"/>
  <c r="P66" i="62"/>
  <c r="O66" i="62"/>
  <c r="N66" i="62"/>
  <c r="M66" i="62"/>
  <c r="L66" i="62"/>
  <c r="K66" i="62"/>
  <c r="J66" i="62"/>
  <c r="I66" i="62"/>
  <c r="H66" i="62"/>
  <c r="G66" i="62"/>
  <c r="F66" i="62"/>
  <c r="E66" i="62"/>
  <c r="D66" i="62"/>
  <c r="AU65" i="62"/>
  <c r="AT65" i="62"/>
  <c r="AS65" i="62"/>
  <c r="AR65" i="62"/>
  <c r="AP65" i="62"/>
  <c r="AO65" i="62"/>
  <c r="AN65" i="62"/>
  <c r="AM65" i="62"/>
  <c r="AK65" i="62"/>
  <c r="AJ65" i="62"/>
  <c r="AI65" i="62"/>
  <c r="AH65" i="62"/>
  <c r="AF65" i="62"/>
  <c r="AE65" i="62"/>
  <c r="AD65" i="62"/>
  <c r="AC65" i="62"/>
  <c r="AA65" i="62"/>
  <c r="Z65" i="62"/>
  <c r="Y65" i="62"/>
  <c r="X65" i="62"/>
  <c r="W65" i="62"/>
  <c r="V65" i="62"/>
  <c r="U65" i="62"/>
  <c r="T65" i="62"/>
  <c r="S65" i="62"/>
  <c r="R65" i="62"/>
  <c r="Q65" i="62"/>
  <c r="P65" i="62"/>
  <c r="O65" i="62"/>
  <c r="N65" i="62"/>
  <c r="M65" i="62"/>
  <c r="L65" i="62"/>
  <c r="K65" i="62"/>
  <c r="J65" i="62"/>
  <c r="I65" i="62"/>
  <c r="H65" i="62"/>
  <c r="G65" i="62"/>
  <c r="F65" i="62"/>
  <c r="E65" i="62"/>
  <c r="D65" i="62"/>
  <c r="AU64" i="62"/>
  <c r="AT64" i="62"/>
  <c r="AS64" i="62"/>
  <c r="AR64" i="62"/>
  <c r="AP64" i="62"/>
  <c r="AO64" i="62"/>
  <c r="AN64" i="62"/>
  <c r="AM64" i="62"/>
  <c r="AK64" i="62"/>
  <c r="AJ64" i="62"/>
  <c r="AI64" i="62"/>
  <c r="AH64" i="62"/>
  <c r="AF64" i="62"/>
  <c r="AE64" i="62"/>
  <c r="AD64" i="62"/>
  <c r="AC64" i="62"/>
  <c r="AA64" i="62"/>
  <c r="Z64" i="62"/>
  <c r="Y64" i="62"/>
  <c r="X64" i="62"/>
  <c r="V64" i="62"/>
  <c r="U64" i="62"/>
  <c r="T64" i="62"/>
  <c r="S64" i="62"/>
  <c r="Q64" i="62"/>
  <c r="P64" i="62"/>
  <c r="O64" i="62"/>
  <c r="N64" i="62"/>
  <c r="L64" i="62"/>
  <c r="K64" i="62"/>
  <c r="J64" i="62"/>
  <c r="I64" i="62"/>
  <c r="H64" i="62"/>
  <c r="G64" i="62"/>
  <c r="F64" i="62"/>
  <c r="E64" i="62"/>
  <c r="D64" i="62"/>
  <c r="AV63" i="62"/>
  <c r="AQ63" i="62"/>
  <c r="AL63" i="62"/>
  <c r="AG63" i="62"/>
  <c r="AB63" i="62"/>
  <c r="R63" i="62"/>
  <c r="M63" i="62"/>
  <c r="H63" i="62"/>
  <c r="AV62" i="62"/>
  <c r="AQ62" i="62"/>
  <c r="AL62" i="62"/>
  <c r="AG62" i="62"/>
  <c r="AB62" i="62"/>
  <c r="R62" i="62"/>
  <c r="M62" i="62"/>
  <c r="H62" i="62"/>
  <c r="AV61" i="62"/>
  <c r="AU61" i="62"/>
  <c r="AT61" i="62"/>
  <c r="AS61" i="62"/>
  <c r="AR61" i="62"/>
  <c r="AQ61" i="62"/>
  <c r="AP61" i="62"/>
  <c r="AO61" i="62"/>
  <c r="AN61" i="62"/>
  <c r="AM61" i="62"/>
  <c r="AL61" i="62"/>
  <c r="AK61" i="62"/>
  <c r="AI61" i="62"/>
  <c r="AH61" i="62"/>
  <c r="AG61" i="62"/>
  <c r="AE61" i="62"/>
  <c r="AD61" i="62"/>
  <c r="AC61" i="62"/>
  <c r="AB61" i="62"/>
  <c r="AA61" i="62"/>
  <c r="Z61" i="62"/>
  <c r="Y61" i="62"/>
  <c r="X61" i="62"/>
  <c r="W61" i="62"/>
  <c r="V61" i="62"/>
  <c r="U61" i="62"/>
  <c r="T61" i="62"/>
  <c r="S61" i="62"/>
  <c r="R61" i="62"/>
  <c r="Q61" i="62"/>
  <c r="P61" i="62"/>
  <c r="O61" i="62"/>
  <c r="N61" i="62"/>
  <c r="M61" i="62"/>
  <c r="L61" i="62"/>
  <c r="K61" i="62"/>
  <c r="J61" i="62"/>
  <c r="I61" i="62"/>
  <c r="H61" i="62"/>
  <c r="G61" i="62"/>
  <c r="F61" i="62"/>
  <c r="E61" i="62"/>
  <c r="D61" i="62"/>
  <c r="AV60" i="62"/>
  <c r="AS60" i="62"/>
  <c r="AQ60" i="62"/>
  <c r="AL60" i="62"/>
  <c r="AI60" i="62"/>
  <c r="AG60" i="62"/>
  <c r="AB60" i="62"/>
  <c r="X60" i="62"/>
  <c r="W60" i="62"/>
  <c r="V60" i="62"/>
  <c r="U60" i="62"/>
  <c r="T60" i="62"/>
  <c r="S60" i="62"/>
  <c r="R60" i="62"/>
  <c r="Q60" i="62"/>
  <c r="P60" i="62"/>
  <c r="O60" i="62"/>
  <c r="N60" i="62"/>
  <c r="M60" i="62"/>
  <c r="L60" i="62"/>
  <c r="K60" i="62"/>
  <c r="J60" i="62"/>
  <c r="I60" i="62"/>
  <c r="H60" i="62"/>
  <c r="G60" i="62"/>
  <c r="F60" i="62"/>
  <c r="E60" i="62"/>
  <c r="D60" i="62"/>
  <c r="AV59" i="62"/>
  <c r="AU59" i="62"/>
  <c r="AT59" i="62"/>
  <c r="AS59" i="62"/>
  <c r="AR59" i="62"/>
  <c r="AQ59" i="62"/>
  <c r="AP59" i="62"/>
  <c r="AO59" i="62"/>
  <c r="AN59" i="62"/>
  <c r="AM59" i="62"/>
  <c r="AL59" i="62"/>
  <c r="AK59" i="62"/>
  <c r="AJ59" i="62"/>
  <c r="AI59" i="62"/>
  <c r="AH59" i="62"/>
  <c r="AG59" i="62"/>
  <c r="AF59" i="62"/>
  <c r="AE59" i="62"/>
  <c r="AD59" i="62"/>
  <c r="AC59" i="62"/>
  <c r="AB59" i="62"/>
  <c r="AA59" i="62"/>
  <c r="Z59" i="62"/>
  <c r="Y59" i="62"/>
  <c r="X59" i="62"/>
  <c r="W59" i="62"/>
  <c r="V59" i="62"/>
  <c r="U59" i="62"/>
  <c r="T59" i="62"/>
  <c r="S59" i="62"/>
  <c r="R59" i="62"/>
  <c r="Q59" i="62"/>
  <c r="P59" i="62"/>
  <c r="O59" i="62"/>
  <c r="N59" i="62"/>
  <c r="M59" i="62"/>
  <c r="L59" i="62"/>
  <c r="K59" i="62"/>
  <c r="J59" i="62"/>
  <c r="I59" i="62"/>
  <c r="H59" i="62"/>
  <c r="G59" i="62"/>
  <c r="F59" i="62"/>
  <c r="E59" i="62"/>
  <c r="D59" i="62"/>
  <c r="AV58" i="62"/>
  <c r="AU58" i="62"/>
  <c r="AT58" i="62"/>
  <c r="AS58" i="62"/>
  <c r="AR58" i="62"/>
  <c r="AQ58" i="62"/>
  <c r="AP58" i="62"/>
  <c r="AO58" i="62"/>
  <c r="AN58" i="62"/>
  <c r="AM58" i="62"/>
  <c r="AL58" i="62"/>
  <c r="AK58" i="62"/>
  <c r="AJ58" i="62"/>
  <c r="AI58" i="62"/>
  <c r="AH58" i="62"/>
  <c r="AG58" i="62"/>
  <c r="AF58" i="62"/>
  <c r="AE58" i="62"/>
  <c r="AD58" i="62"/>
  <c r="AC58" i="62"/>
  <c r="AB58" i="62"/>
  <c r="AA58" i="62"/>
  <c r="Z58" i="62"/>
  <c r="Y58" i="62"/>
  <c r="X58" i="62"/>
  <c r="W58" i="62"/>
  <c r="V58" i="62"/>
  <c r="U58" i="62"/>
  <c r="T58" i="62"/>
  <c r="S58" i="62"/>
  <c r="R58" i="62"/>
  <c r="Q58" i="62"/>
  <c r="P58" i="62"/>
  <c r="O58" i="62"/>
  <c r="N58" i="62"/>
  <c r="M58" i="62"/>
  <c r="L58" i="62"/>
  <c r="K58" i="62"/>
  <c r="J58" i="62"/>
  <c r="I58" i="62"/>
  <c r="H58" i="62"/>
  <c r="G58" i="62"/>
  <c r="F58" i="62"/>
  <c r="E58" i="62"/>
  <c r="D58" i="62"/>
  <c r="AV57" i="62"/>
  <c r="AU57" i="62"/>
  <c r="AT57" i="62"/>
  <c r="AS57" i="62"/>
  <c r="AR57" i="62"/>
  <c r="AQ57" i="62"/>
  <c r="AP57" i="62"/>
  <c r="AO57" i="62"/>
  <c r="AN57" i="62"/>
  <c r="AM57" i="62"/>
  <c r="AL57" i="62"/>
  <c r="AK57" i="62"/>
  <c r="AJ57" i="62"/>
  <c r="AI57" i="62"/>
  <c r="AH57" i="62"/>
  <c r="AG57" i="62"/>
  <c r="AF57" i="62"/>
  <c r="AE57" i="62"/>
  <c r="AD57" i="62"/>
  <c r="AC57" i="62"/>
  <c r="AB57" i="62"/>
  <c r="AA57" i="62"/>
  <c r="Z57" i="62"/>
  <c r="Y57" i="62"/>
  <c r="X57" i="62"/>
  <c r="W57" i="62"/>
  <c r="V57" i="62"/>
  <c r="U57" i="62"/>
  <c r="T57" i="62"/>
  <c r="S57" i="62"/>
  <c r="R57" i="62"/>
  <c r="Q57" i="62"/>
  <c r="P57" i="62"/>
  <c r="O57" i="62"/>
  <c r="N57" i="62"/>
  <c r="M57" i="62"/>
  <c r="L57" i="62"/>
  <c r="K57" i="62"/>
  <c r="J57" i="62"/>
  <c r="I57" i="62"/>
  <c r="H57" i="62"/>
  <c r="G57" i="62"/>
  <c r="F57" i="62"/>
  <c r="E57" i="62"/>
  <c r="D57" i="62"/>
  <c r="AV56" i="62"/>
  <c r="AQ56" i="62"/>
  <c r="AL56" i="62"/>
  <c r="AG56" i="62"/>
  <c r="AB56" i="62"/>
  <c r="W56" i="62"/>
  <c r="R56" i="62"/>
  <c r="M56" i="62"/>
  <c r="D56" i="62"/>
  <c r="AV55" i="62"/>
  <c r="AQ55" i="62"/>
  <c r="AL55" i="62"/>
  <c r="AG55" i="62"/>
  <c r="AB55" i="62"/>
  <c r="W55" i="62"/>
  <c r="R55" i="62"/>
  <c r="M55" i="62"/>
  <c r="AV54" i="62"/>
  <c r="AQ54" i="62"/>
  <c r="AL54" i="62"/>
  <c r="AG54" i="62"/>
  <c r="AB54" i="62"/>
  <c r="X54" i="62"/>
  <c r="W54" i="62"/>
  <c r="R54" i="62"/>
  <c r="M54" i="62"/>
  <c r="AV53" i="62"/>
  <c r="AQ53" i="62"/>
  <c r="AL53" i="62"/>
  <c r="AG53" i="62"/>
  <c r="AB53" i="62"/>
  <c r="W53" i="62"/>
  <c r="R53" i="62"/>
  <c r="M53" i="62"/>
  <c r="AV52" i="62"/>
  <c r="AQ52" i="62"/>
  <c r="AL52" i="62"/>
  <c r="AG52" i="62"/>
  <c r="AB52" i="62"/>
  <c r="W52" i="62"/>
  <c r="R52" i="62"/>
  <c r="M52" i="62"/>
  <c r="H52" i="62"/>
  <c r="AV51" i="62"/>
  <c r="AQ51" i="62"/>
  <c r="AL51" i="62"/>
  <c r="AG51" i="62"/>
  <c r="AB51" i="62"/>
  <c r="X51" i="62"/>
  <c r="W51" i="62"/>
  <c r="R51" i="62"/>
  <c r="M51" i="62"/>
  <c r="H51" i="62"/>
  <c r="AV50" i="62"/>
  <c r="AQ50" i="62"/>
  <c r="AL50" i="62"/>
  <c r="AG50" i="62"/>
  <c r="AB50" i="62"/>
  <c r="W50" i="62"/>
  <c r="R50" i="62"/>
  <c r="M50" i="62"/>
  <c r="H50" i="62"/>
  <c r="AV49" i="62"/>
  <c r="AQ49" i="62"/>
  <c r="AL49" i="62"/>
  <c r="AG49" i="62"/>
  <c r="AB49" i="62"/>
  <c r="X49" i="62"/>
  <c r="W49" i="62"/>
  <c r="R49" i="62"/>
  <c r="M49" i="62"/>
  <c r="H49" i="62"/>
  <c r="AV48" i="62"/>
  <c r="AQ48" i="62"/>
  <c r="AL48" i="62"/>
  <c r="AG48" i="62"/>
  <c r="AB48" i="62"/>
  <c r="W48" i="62"/>
  <c r="R48" i="62"/>
  <c r="M48" i="62"/>
  <c r="H48" i="62"/>
  <c r="AV47" i="62"/>
  <c r="AQ47" i="62"/>
  <c r="AL47" i="62"/>
  <c r="AG47" i="62"/>
  <c r="AB47" i="62"/>
  <c r="W47" i="62"/>
  <c r="R47" i="62"/>
  <c r="M47" i="62"/>
  <c r="H47" i="62"/>
  <c r="AV46" i="62"/>
  <c r="AU46" i="62"/>
  <c r="AT46" i="62"/>
  <c r="AS46" i="62"/>
  <c r="AR46" i="62"/>
  <c r="AQ46" i="62"/>
  <c r="AP46" i="62"/>
  <c r="AO46" i="62"/>
  <c r="AN46" i="62"/>
  <c r="AM46" i="62"/>
  <c r="AL46" i="62"/>
  <c r="AK46" i="62"/>
  <c r="AJ46" i="62"/>
  <c r="AI46" i="62"/>
  <c r="AH46" i="62"/>
  <c r="AG46" i="62"/>
  <c r="AF46" i="62"/>
  <c r="AE46" i="62"/>
  <c r="AD46" i="62"/>
  <c r="AC46" i="62"/>
  <c r="AB46" i="62"/>
  <c r="AA46" i="62"/>
  <c r="Z46" i="62"/>
  <c r="Y46" i="62"/>
  <c r="X46" i="62"/>
  <c r="W46" i="62"/>
  <c r="V46" i="62"/>
  <c r="U46" i="62"/>
  <c r="T46" i="62"/>
  <c r="S46" i="62"/>
  <c r="R46" i="62"/>
  <c r="Q46" i="62"/>
  <c r="P46" i="62"/>
  <c r="O46" i="62"/>
  <c r="N46" i="62"/>
  <c r="M46" i="62"/>
  <c r="L46" i="62"/>
  <c r="K46" i="62"/>
  <c r="J46" i="62"/>
  <c r="I46" i="62"/>
  <c r="H46" i="62"/>
  <c r="G46" i="62"/>
  <c r="F46" i="62"/>
  <c r="E46" i="62"/>
  <c r="D46" i="62"/>
  <c r="X40" i="62"/>
  <c r="V40" i="62"/>
  <c r="U40" i="62"/>
  <c r="T40" i="62"/>
  <c r="S40" i="62"/>
  <c r="Q40" i="62"/>
  <c r="P40" i="62"/>
  <c r="O40" i="62"/>
  <c r="N40" i="62"/>
  <c r="L40" i="62"/>
  <c r="K40" i="62"/>
  <c r="J40" i="62"/>
  <c r="I40" i="62"/>
  <c r="G40" i="62"/>
  <c r="F40" i="62"/>
  <c r="E40" i="62"/>
  <c r="X39" i="62"/>
  <c r="V39" i="62"/>
  <c r="U39" i="62"/>
  <c r="T39" i="62"/>
  <c r="S39" i="62"/>
  <c r="Q39" i="62"/>
  <c r="P39" i="62"/>
  <c r="O39" i="62"/>
  <c r="N39" i="62"/>
  <c r="L39" i="62"/>
  <c r="K39" i="62"/>
  <c r="J39" i="62"/>
  <c r="I39" i="62"/>
  <c r="G39" i="62"/>
  <c r="F39" i="62"/>
  <c r="E39" i="62"/>
  <c r="V38" i="62"/>
  <c r="U38" i="62"/>
  <c r="T38" i="62"/>
  <c r="S38" i="62"/>
  <c r="Q38" i="62"/>
  <c r="P38" i="62"/>
  <c r="O38" i="62"/>
  <c r="N38" i="62"/>
  <c r="L38" i="62"/>
  <c r="K38" i="62"/>
  <c r="J38" i="62"/>
  <c r="I38" i="62"/>
  <c r="G38" i="62"/>
  <c r="F38" i="62"/>
  <c r="E38" i="62"/>
  <c r="V37" i="62"/>
  <c r="U37" i="62"/>
  <c r="T37" i="62"/>
  <c r="S37" i="62"/>
  <c r="Q37" i="62"/>
  <c r="P37" i="62"/>
  <c r="O37" i="62"/>
  <c r="N37" i="62"/>
  <c r="L37" i="62"/>
  <c r="K37" i="62"/>
  <c r="J37" i="62"/>
  <c r="I37" i="62"/>
  <c r="G37" i="62"/>
  <c r="F37" i="62"/>
  <c r="E37" i="62"/>
  <c r="D40" i="62"/>
  <c r="D39" i="62"/>
  <c r="D38" i="62"/>
  <c r="D37" i="62"/>
  <c r="X34" i="62"/>
  <c r="V34" i="62"/>
  <c r="U34" i="62"/>
  <c r="T34" i="62"/>
  <c r="S34" i="62"/>
  <c r="Q34" i="62"/>
  <c r="P34" i="62"/>
  <c r="O34" i="62"/>
  <c r="N34" i="62"/>
  <c r="L34" i="62"/>
  <c r="K34" i="62"/>
  <c r="J34" i="62"/>
  <c r="I34" i="62"/>
  <c r="G34" i="62"/>
  <c r="F34" i="62"/>
  <c r="E34" i="62"/>
  <c r="X33" i="62"/>
  <c r="V33" i="62"/>
  <c r="U33" i="62"/>
  <c r="T33" i="62"/>
  <c r="S33" i="62"/>
  <c r="Q33" i="62"/>
  <c r="P33" i="62"/>
  <c r="O33" i="62"/>
  <c r="N33" i="62"/>
  <c r="L33" i="62"/>
  <c r="K33" i="62"/>
  <c r="J33" i="62"/>
  <c r="I33" i="62"/>
  <c r="G33" i="62"/>
  <c r="F33" i="62"/>
  <c r="E33" i="62"/>
  <c r="X32" i="62"/>
  <c r="V32" i="62"/>
  <c r="U32" i="62"/>
  <c r="T32" i="62"/>
  <c r="S32" i="62"/>
  <c r="Q32" i="62"/>
  <c r="P32" i="62"/>
  <c r="O32" i="62"/>
  <c r="N32" i="62"/>
  <c r="L32" i="62"/>
  <c r="K32" i="62"/>
  <c r="J32" i="62"/>
  <c r="I32" i="62"/>
  <c r="G32" i="62"/>
  <c r="F32" i="62"/>
  <c r="E32" i="62"/>
  <c r="X31" i="62"/>
  <c r="V31" i="62"/>
  <c r="U31" i="62"/>
  <c r="T31" i="62"/>
  <c r="S31" i="62"/>
  <c r="Q31" i="62"/>
  <c r="P31" i="62"/>
  <c r="O31" i="62"/>
  <c r="N31" i="62"/>
  <c r="L31" i="62"/>
  <c r="K31" i="62"/>
  <c r="J31" i="62"/>
  <c r="I31" i="62"/>
  <c r="G31" i="62"/>
  <c r="F31" i="62"/>
  <c r="E31" i="62"/>
  <c r="AU29" i="62"/>
  <c r="AT29" i="62"/>
  <c r="AS29" i="62"/>
  <c r="AR29" i="62"/>
  <c r="AP29" i="62"/>
  <c r="AO29" i="62"/>
  <c r="AN29" i="62"/>
  <c r="AM29" i="62"/>
  <c r="AK29" i="62"/>
  <c r="AJ29" i="62"/>
  <c r="AI29" i="62"/>
  <c r="AH29" i="62"/>
  <c r="AF29" i="62"/>
  <c r="AE29" i="62"/>
  <c r="AD29" i="62"/>
  <c r="AC29" i="62"/>
  <c r="AA29" i="62"/>
  <c r="Z29" i="62"/>
  <c r="Y29" i="62"/>
  <c r="X29" i="62"/>
  <c r="V29" i="62"/>
  <c r="U29" i="62"/>
  <c r="T29" i="62"/>
  <c r="S29" i="62"/>
  <c r="Q29" i="62"/>
  <c r="P29" i="62"/>
  <c r="O29" i="62"/>
  <c r="N29" i="62"/>
  <c r="L29" i="62"/>
  <c r="K29" i="62"/>
  <c r="J29" i="62"/>
  <c r="I29" i="62"/>
  <c r="G29" i="62"/>
  <c r="F29" i="62"/>
  <c r="E29" i="62"/>
  <c r="X28" i="62"/>
  <c r="V28" i="62"/>
  <c r="U28" i="62"/>
  <c r="T28" i="62"/>
  <c r="S28" i="62"/>
  <c r="Q28" i="62"/>
  <c r="P28" i="62"/>
  <c r="O28" i="62"/>
  <c r="N28" i="62"/>
  <c r="L28" i="62"/>
  <c r="K28" i="62"/>
  <c r="J28" i="62"/>
  <c r="I28" i="62"/>
  <c r="G28" i="62"/>
  <c r="F28" i="62"/>
  <c r="E28" i="62"/>
  <c r="X27" i="62"/>
  <c r="V27" i="62"/>
  <c r="U27" i="62"/>
  <c r="T27" i="62"/>
  <c r="S27" i="62"/>
  <c r="Q27" i="62"/>
  <c r="P27" i="62"/>
  <c r="O27" i="62"/>
  <c r="N27" i="62"/>
  <c r="L27" i="62"/>
  <c r="K27" i="62"/>
  <c r="J27" i="62"/>
  <c r="I27" i="62"/>
  <c r="G27" i="62"/>
  <c r="F27" i="62"/>
  <c r="E27" i="62"/>
  <c r="X26" i="62"/>
  <c r="V26" i="62"/>
  <c r="U26" i="62"/>
  <c r="T26" i="62"/>
  <c r="S26" i="62"/>
  <c r="Q26" i="62"/>
  <c r="P26" i="62"/>
  <c r="O26" i="62"/>
  <c r="N26" i="62"/>
  <c r="L26" i="62"/>
  <c r="K26" i="62"/>
  <c r="J26" i="62"/>
  <c r="I26" i="62"/>
  <c r="G26" i="62"/>
  <c r="F26" i="62"/>
  <c r="E26" i="62"/>
  <c r="X25" i="62"/>
  <c r="S25" i="62"/>
  <c r="Q25" i="62"/>
  <c r="P25" i="62"/>
  <c r="O25" i="62"/>
  <c r="N25" i="62"/>
  <c r="L25" i="62"/>
  <c r="K25" i="62"/>
  <c r="J25" i="62"/>
  <c r="I25" i="62"/>
  <c r="G25" i="62"/>
  <c r="F25" i="62"/>
  <c r="E25" i="62"/>
  <c r="X24" i="62"/>
  <c r="V24" i="62"/>
  <c r="U24" i="62"/>
  <c r="T24" i="62"/>
  <c r="S24" i="62"/>
  <c r="Q24" i="62"/>
  <c r="P24" i="62"/>
  <c r="O24" i="62"/>
  <c r="N24" i="62"/>
  <c r="L24" i="62"/>
  <c r="K24" i="62"/>
  <c r="J24" i="62"/>
  <c r="I24" i="62"/>
  <c r="G24" i="62"/>
  <c r="F24" i="62"/>
  <c r="E24" i="62"/>
  <c r="X23" i="62"/>
  <c r="V23" i="62"/>
  <c r="U23" i="62"/>
  <c r="T23" i="62"/>
  <c r="S23" i="62"/>
  <c r="Q23" i="62"/>
  <c r="P23" i="62"/>
  <c r="O23" i="62"/>
  <c r="N23" i="62"/>
  <c r="L23" i="62"/>
  <c r="K23" i="62"/>
  <c r="J23" i="62"/>
  <c r="I23" i="62"/>
  <c r="G23" i="62"/>
  <c r="F23" i="62"/>
  <c r="E23" i="62"/>
  <c r="V22" i="62"/>
  <c r="U22" i="62"/>
  <c r="T22" i="62"/>
  <c r="S22" i="62"/>
  <c r="Q22" i="62"/>
  <c r="P22" i="62"/>
  <c r="O22" i="62"/>
  <c r="N22" i="62"/>
  <c r="L22" i="62"/>
  <c r="K22" i="62"/>
  <c r="J22" i="62"/>
  <c r="I22" i="62"/>
  <c r="G22" i="62"/>
  <c r="F22" i="62"/>
  <c r="E22" i="62"/>
  <c r="D34" i="62"/>
  <c r="D33" i="62"/>
  <c r="D32" i="62"/>
  <c r="D31" i="62"/>
  <c r="D29" i="62"/>
  <c r="D28" i="62"/>
  <c r="D27" i="62"/>
  <c r="D26" i="62"/>
  <c r="D25" i="62"/>
  <c r="D24" i="62"/>
  <c r="D23" i="62"/>
  <c r="D22" i="62"/>
  <c r="X19" i="62"/>
  <c r="V19" i="62"/>
  <c r="U19" i="62"/>
  <c r="T19" i="62"/>
  <c r="S19" i="62"/>
  <c r="Q19" i="62"/>
  <c r="P19" i="62"/>
  <c r="O19" i="62"/>
  <c r="N19" i="62"/>
  <c r="L19" i="62"/>
  <c r="K19" i="62"/>
  <c r="J19" i="62"/>
  <c r="I19" i="62"/>
  <c r="G19" i="62"/>
  <c r="F19" i="62"/>
  <c r="E19" i="62"/>
  <c r="X18" i="62"/>
  <c r="V18" i="62"/>
  <c r="U18" i="62"/>
  <c r="T18" i="62"/>
  <c r="S18" i="62"/>
  <c r="Q18" i="62"/>
  <c r="P18" i="62"/>
  <c r="O18" i="62"/>
  <c r="N18" i="62"/>
  <c r="L18" i="62"/>
  <c r="K18" i="62"/>
  <c r="J18" i="62"/>
  <c r="I18" i="62"/>
  <c r="G18" i="62"/>
  <c r="F18" i="62"/>
  <c r="E18" i="62"/>
  <c r="V17" i="62"/>
  <c r="U17" i="62"/>
  <c r="T17" i="62"/>
  <c r="S17" i="62"/>
  <c r="Q17" i="62"/>
  <c r="P17" i="62"/>
  <c r="O17" i="62"/>
  <c r="N17" i="62"/>
  <c r="L17" i="62"/>
  <c r="K17" i="62"/>
  <c r="J17" i="62"/>
  <c r="I17" i="62"/>
  <c r="G17" i="62"/>
  <c r="F17" i="62"/>
  <c r="E17" i="62"/>
  <c r="X16" i="62"/>
  <c r="V16" i="62"/>
  <c r="U16" i="62"/>
  <c r="T16" i="62"/>
  <c r="S16" i="62"/>
  <c r="Q16" i="62"/>
  <c r="P16" i="62"/>
  <c r="O16" i="62"/>
  <c r="N16" i="62"/>
  <c r="L16" i="62"/>
  <c r="K16" i="62"/>
  <c r="J16" i="62"/>
  <c r="I16" i="62"/>
  <c r="G16" i="62"/>
  <c r="F16" i="62"/>
  <c r="E16" i="62"/>
  <c r="X15" i="62"/>
  <c r="V15" i="62"/>
  <c r="U15" i="62"/>
  <c r="T15" i="62"/>
  <c r="S15" i="62"/>
  <c r="Q15" i="62"/>
  <c r="P15" i="62"/>
  <c r="O15" i="62"/>
  <c r="N15" i="62"/>
  <c r="L15" i="62"/>
  <c r="K15" i="62"/>
  <c r="J15" i="62"/>
  <c r="I15" i="62"/>
  <c r="G15" i="62"/>
  <c r="F15" i="62"/>
  <c r="E15" i="62"/>
  <c r="V14" i="62"/>
  <c r="U14" i="62"/>
  <c r="T14" i="62"/>
  <c r="S14" i="62"/>
  <c r="Q14" i="62"/>
  <c r="P14" i="62"/>
  <c r="O14" i="62"/>
  <c r="N14" i="62"/>
  <c r="L14" i="62"/>
  <c r="K14" i="62"/>
  <c r="J14" i="62"/>
  <c r="I14" i="62"/>
  <c r="G14" i="62"/>
  <c r="F14" i="62"/>
  <c r="E14" i="62"/>
  <c r="X13" i="62"/>
  <c r="V13" i="62"/>
  <c r="U13" i="62"/>
  <c r="T13" i="62"/>
  <c r="S13" i="62"/>
  <c r="Q13" i="62"/>
  <c r="P13" i="62"/>
  <c r="O13" i="62"/>
  <c r="N13" i="62"/>
  <c r="L13" i="62"/>
  <c r="K13" i="62"/>
  <c r="J13" i="62"/>
  <c r="I13" i="62"/>
  <c r="G13" i="62"/>
  <c r="F13" i="62"/>
  <c r="E13" i="62"/>
  <c r="V12" i="62"/>
  <c r="U12" i="62"/>
  <c r="T12" i="62"/>
  <c r="S12" i="62"/>
  <c r="Q12" i="62"/>
  <c r="P12" i="62"/>
  <c r="O12" i="62"/>
  <c r="N12" i="62"/>
  <c r="L12" i="62"/>
  <c r="K12" i="62"/>
  <c r="J12" i="62"/>
  <c r="I12" i="62"/>
  <c r="G12" i="62"/>
  <c r="F12" i="62"/>
  <c r="E12" i="62"/>
  <c r="X10" i="62"/>
  <c r="V10" i="62"/>
  <c r="U10" i="62"/>
  <c r="T10" i="62"/>
  <c r="S10" i="62"/>
  <c r="Q10" i="62"/>
  <c r="P10" i="62"/>
  <c r="O10" i="62"/>
  <c r="N10" i="62"/>
  <c r="L10" i="62"/>
  <c r="K10" i="62"/>
  <c r="J10" i="62"/>
  <c r="I10" i="62"/>
  <c r="G10" i="62"/>
  <c r="F10" i="62"/>
  <c r="E10" i="62"/>
  <c r="V9" i="62"/>
  <c r="U9" i="62"/>
  <c r="T9" i="62"/>
  <c r="S9" i="62"/>
  <c r="Q9" i="62"/>
  <c r="P9" i="62"/>
  <c r="O9" i="62"/>
  <c r="N9" i="62"/>
  <c r="L9" i="62"/>
  <c r="K9" i="62"/>
  <c r="J9" i="62"/>
  <c r="I9" i="62"/>
  <c r="G9" i="62"/>
  <c r="F9" i="62"/>
  <c r="E9" i="62"/>
  <c r="V8" i="62"/>
  <c r="U8" i="62"/>
  <c r="T8" i="62"/>
  <c r="S8" i="62"/>
  <c r="Q8" i="62"/>
  <c r="P8" i="62"/>
  <c r="O8" i="62"/>
  <c r="N8" i="62"/>
  <c r="L8" i="62"/>
  <c r="K8" i="62"/>
  <c r="J8" i="62"/>
  <c r="I8" i="62"/>
  <c r="G8" i="62"/>
  <c r="F8" i="62"/>
  <c r="E8" i="62"/>
  <c r="V7" i="62"/>
  <c r="U7" i="62"/>
  <c r="T7" i="62"/>
  <c r="S7" i="62"/>
  <c r="Q7" i="62"/>
  <c r="P7" i="62"/>
  <c r="O7" i="62"/>
  <c r="N7" i="62"/>
  <c r="L7" i="62"/>
  <c r="K7" i="62"/>
  <c r="J7" i="62"/>
  <c r="I7" i="62"/>
  <c r="G7" i="62"/>
  <c r="F7" i="62"/>
  <c r="E7" i="62"/>
  <c r="V6" i="62"/>
  <c r="U6" i="62"/>
  <c r="T6" i="62"/>
  <c r="S6" i="62"/>
  <c r="Q6" i="62"/>
  <c r="P6" i="62"/>
  <c r="O6" i="62"/>
  <c r="N6" i="62"/>
  <c r="L6" i="62"/>
  <c r="K6" i="62"/>
  <c r="J6" i="62"/>
  <c r="I6" i="62"/>
  <c r="G6" i="62"/>
  <c r="F6" i="62"/>
  <c r="E6" i="62"/>
  <c r="D19" i="62"/>
  <c r="D18" i="62"/>
  <c r="D17" i="62"/>
  <c r="D16" i="62"/>
  <c r="D15" i="62"/>
  <c r="D14" i="62"/>
  <c r="D13" i="62"/>
  <c r="D12" i="62"/>
  <c r="D10" i="62"/>
  <c r="D9" i="62"/>
  <c r="D8" i="62"/>
  <c r="D7" i="62"/>
  <c r="D6" i="62"/>
  <c r="AV173" i="61"/>
  <c r="AQ173" i="61"/>
  <c r="AL173" i="61"/>
  <c r="AG173" i="61"/>
  <c r="AB173" i="61"/>
  <c r="W173" i="61"/>
  <c r="V173" i="61"/>
  <c r="U173" i="61"/>
  <c r="T173" i="61"/>
  <c r="S173" i="61"/>
  <c r="R173" i="61"/>
  <c r="Q173" i="61"/>
  <c r="P173" i="61"/>
  <c r="O173" i="61"/>
  <c r="N173" i="61"/>
  <c r="M173" i="61"/>
  <c r="L173" i="61"/>
  <c r="K173" i="61"/>
  <c r="J173" i="61"/>
  <c r="I173" i="61"/>
  <c r="H173" i="61"/>
  <c r="G173" i="61"/>
  <c r="F173" i="61"/>
  <c r="E173" i="61"/>
  <c r="AV172" i="61"/>
  <c r="AQ172" i="61"/>
  <c r="AL172" i="61"/>
  <c r="AG172" i="61"/>
  <c r="AB172" i="61"/>
  <c r="W172" i="61"/>
  <c r="V172" i="61"/>
  <c r="U172" i="61"/>
  <c r="T172" i="61"/>
  <c r="S172" i="61"/>
  <c r="R172" i="61"/>
  <c r="Q172" i="61"/>
  <c r="P172" i="61"/>
  <c r="O172" i="61"/>
  <c r="N172" i="61"/>
  <c r="M172" i="61"/>
  <c r="L172" i="61"/>
  <c r="K172" i="61"/>
  <c r="J172" i="61"/>
  <c r="I172" i="61"/>
  <c r="H172" i="61"/>
  <c r="G172" i="61"/>
  <c r="F172" i="61"/>
  <c r="E172" i="61"/>
  <c r="AV171" i="61"/>
  <c r="AU171" i="61"/>
  <c r="AT171" i="61"/>
  <c r="AS171" i="61"/>
  <c r="AR171" i="61"/>
  <c r="AQ171" i="61"/>
  <c r="AP171" i="61"/>
  <c r="AO171" i="61"/>
  <c r="AN171" i="61"/>
  <c r="AM171" i="61"/>
  <c r="AL171" i="61"/>
  <c r="AK171" i="61"/>
  <c r="AJ171" i="61"/>
  <c r="AI171" i="61"/>
  <c r="AH171" i="61"/>
  <c r="AG171" i="61"/>
  <c r="AF171" i="61"/>
  <c r="AE171" i="61"/>
  <c r="AD171" i="61"/>
  <c r="AC171" i="61"/>
  <c r="AB171" i="61"/>
  <c r="AA171" i="61"/>
  <c r="Z171" i="61"/>
  <c r="Y171" i="61"/>
  <c r="X171" i="61"/>
  <c r="W171" i="61"/>
  <c r="V171" i="61"/>
  <c r="U171" i="61"/>
  <c r="T171" i="61"/>
  <c r="S171" i="61"/>
  <c r="R171" i="61"/>
  <c r="Q171" i="61"/>
  <c r="P171" i="61"/>
  <c r="O171" i="61"/>
  <c r="N171" i="61"/>
  <c r="M171" i="61"/>
  <c r="L171" i="61"/>
  <c r="K171" i="61"/>
  <c r="J171" i="61"/>
  <c r="I171" i="61"/>
  <c r="H171" i="61"/>
  <c r="G171" i="61"/>
  <c r="F171" i="61"/>
  <c r="E171" i="61"/>
  <c r="AV170" i="61"/>
  <c r="AQ170" i="61"/>
  <c r="AL170" i="61"/>
  <c r="AG170" i="61"/>
  <c r="AB170" i="61"/>
  <c r="W170" i="61"/>
  <c r="V170" i="61"/>
  <c r="U170" i="61"/>
  <c r="T170" i="61"/>
  <c r="S170" i="61"/>
  <c r="R170" i="61"/>
  <c r="Q170" i="61"/>
  <c r="P170" i="61"/>
  <c r="O170" i="61"/>
  <c r="N170" i="61"/>
  <c r="M170" i="61"/>
  <c r="L170" i="61"/>
  <c r="K170" i="61"/>
  <c r="J170" i="61"/>
  <c r="I170" i="61"/>
  <c r="H170" i="61"/>
  <c r="G170" i="61"/>
  <c r="F170" i="61"/>
  <c r="E170" i="61"/>
  <c r="AV169" i="61"/>
  <c r="AU169" i="61"/>
  <c r="AT169" i="61"/>
  <c r="AS169" i="61"/>
  <c r="AR169" i="61"/>
  <c r="AQ169" i="61"/>
  <c r="AP169" i="61"/>
  <c r="AO169" i="61"/>
  <c r="AN169" i="61"/>
  <c r="AM169" i="61"/>
  <c r="AL169" i="61"/>
  <c r="AK169" i="61"/>
  <c r="AJ169" i="61"/>
  <c r="AI169" i="61"/>
  <c r="AH169" i="61"/>
  <c r="AG169" i="61"/>
  <c r="AF169" i="61"/>
  <c r="AE169" i="61"/>
  <c r="AD169" i="61"/>
  <c r="AC169" i="61"/>
  <c r="AB169" i="61"/>
  <c r="AA169" i="61"/>
  <c r="Z169" i="61"/>
  <c r="Y169" i="61"/>
  <c r="X169" i="61"/>
  <c r="W169" i="61"/>
  <c r="V169" i="61"/>
  <c r="U169" i="61"/>
  <c r="T169" i="61"/>
  <c r="S169" i="61"/>
  <c r="R169" i="61"/>
  <c r="Q169" i="61"/>
  <c r="P169" i="61"/>
  <c r="O169" i="61"/>
  <c r="N169" i="61"/>
  <c r="M169" i="61"/>
  <c r="L169" i="61"/>
  <c r="K169" i="61"/>
  <c r="J169" i="61"/>
  <c r="I169" i="61"/>
  <c r="H169" i="61"/>
  <c r="G169" i="61"/>
  <c r="F169" i="61"/>
  <c r="E169" i="61"/>
  <c r="AV168" i="61"/>
  <c r="AQ168" i="61"/>
  <c r="AL168" i="61"/>
  <c r="AG168" i="61"/>
  <c r="AB168" i="61"/>
  <c r="W168" i="61"/>
  <c r="V168" i="61"/>
  <c r="U168" i="61"/>
  <c r="T168" i="61"/>
  <c r="S168" i="61"/>
  <c r="R168" i="61"/>
  <c r="Q168" i="61"/>
  <c r="P168" i="61"/>
  <c r="O168" i="61"/>
  <c r="N168" i="61"/>
  <c r="M168" i="61"/>
  <c r="L168" i="61"/>
  <c r="K168" i="61"/>
  <c r="J168" i="61"/>
  <c r="I168" i="61"/>
  <c r="H168" i="61"/>
  <c r="G168" i="61"/>
  <c r="F168" i="61"/>
  <c r="E168" i="61"/>
  <c r="AV167" i="61"/>
  <c r="AU167" i="61"/>
  <c r="AT167" i="61"/>
  <c r="AS167" i="61"/>
  <c r="AR167" i="61"/>
  <c r="AQ167" i="61"/>
  <c r="AP167" i="61"/>
  <c r="AO167" i="61"/>
  <c r="AN167" i="61"/>
  <c r="AM167" i="61"/>
  <c r="AL167" i="61"/>
  <c r="AK167" i="61"/>
  <c r="AJ167" i="61"/>
  <c r="AI167" i="61"/>
  <c r="AH167" i="61"/>
  <c r="AG167" i="61"/>
  <c r="AF167" i="61"/>
  <c r="AE167" i="61"/>
  <c r="AD167" i="61"/>
  <c r="AB167" i="61"/>
  <c r="X167" i="61"/>
  <c r="W167" i="61"/>
  <c r="V167" i="61"/>
  <c r="U167" i="61"/>
  <c r="T167" i="61"/>
  <c r="S167" i="61"/>
  <c r="R167" i="61"/>
  <c r="Q167" i="61"/>
  <c r="P167" i="61"/>
  <c r="O167" i="61"/>
  <c r="N167" i="61"/>
  <c r="M167" i="61"/>
  <c r="L167" i="61"/>
  <c r="K167" i="61"/>
  <c r="J167" i="61"/>
  <c r="I167" i="61"/>
  <c r="H167" i="61"/>
  <c r="G167" i="61"/>
  <c r="F167" i="61"/>
  <c r="E167" i="61"/>
  <c r="AV166" i="61"/>
  <c r="AU166" i="61"/>
  <c r="AT166" i="61"/>
  <c r="AS166" i="61"/>
  <c r="AR166" i="61"/>
  <c r="AQ166" i="61"/>
  <c r="AP166" i="61"/>
  <c r="AO166" i="61"/>
  <c r="AN166" i="61"/>
  <c r="AM166" i="61"/>
  <c r="AL166" i="61"/>
  <c r="AK166" i="61"/>
  <c r="AJ166" i="61"/>
  <c r="AI166" i="61"/>
  <c r="AH166" i="61"/>
  <c r="AG166" i="61"/>
  <c r="AF166" i="61"/>
  <c r="AE166" i="61"/>
  <c r="AD166" i="61"/>
  <c r="AC166" i="61"/>
  <c r="AB166" i="61"/>
  <c r="AA166" i="61"/>
  <c r="Z166" i="61"/>
  <c r="Y166" i="61"/>
  <c r="X166" i="61"/>
  <c r="W166" i="61"/>
  <c r="V166" i="61"/>
  <c r="U166" i="61"/>
  <c r="T166" i="61"/>
  <c r="S166" i="61"/>
  <c r="R166" i="61"/>
  <c r="Q166" i="61"/>
  <c r="P166" i="61"/>
  <c r="O166" i="61"/>
  <c r="N166" i="61"/>
  <c r="M166" i="61"/>
  <c r="L166" i="61"/>
  <c r="K166" i="61"/>
  <c r="J166" i="61"/>
  <c r="I166" i="61"/>
  <c r="H166" i="61"/>
  <c r="G166" i="61"/>
  <c r="F166" i="61"/>
  <c r="E166" i="61"/>
  <c r="AV165" i="61"/>
  <c r="AQ165" i="61"/>
  <c r="AL165" i="61"/>
  <c r="AG165" i="61"/>
  <c r="AB165" i="61"/>
  <c r="X165" i="61"/>
  <c r="W165" i="61"/>
  <c r="V165" i="61"/>
  <c r="U165" i="61"/>
  <c r="T165" i="61"/>
  <c r="S165" i="61"/>
  <c r="R165" i="61"/>
  <c r="Q165" i="61"/>
  <c r="P165" i="61"/>
  <c r="O165" i="61"/>
  <c r="N165" i="61"/>
  <c r="M165" i="61"/>
  <c r="L165" i="61"/>
  <c r="K165" i="61"/>
  <c r="J165" i="61"/>
  <c r="I165" i="61"/>
  <c r="H165" i="61"/>
  <c r="G165" i="61"/>
  <c r="F165" i="61"/>
  <c r="E165" i="61"/>
  <c r="AV164" i="61"/>
  <c r="AU164" i="61"/>
  <c r="AT164" i="61"/>
  <c r="AS164" i="61"/>
  <c r="AR164" i="61"/>
  <c r="AQ164" i="61"/>
  <c r="AP164" i="61"/>
  <c r="AO164" i="61"/>
  <c r="AN164" i="61"/>
  <c r="AM164" i="61"/>
  <c r="AL164" i="61"/>
  <c r="AK164" i="61"/>
  <c r="AJ164" i="61"/>
  <c r="AI164" i="61"/>
  <c r="AH164" i="61"/>
  <c r="AG164" i="61"/>
  <c r="AF164" i="61"/>
  <c r="AE164" i="61"/>
  <c r="AD164" i="61"/>
  <c r="AC164" i="61"/>
  <c r="AB164" i="61"/>
  <c r="AA164" i="61"/>
  <c r="Z164" i="61"/>
  <c r="Y164" i="61"/>
  <c r="X164" i="61"/>
  <c r="W164" i="61"/>
  <c r="V164" i="61"/>
  <c r="U164" i="61"/>
  <c r="T164" i="61"/>
  <c r="S164" i="61"/>
  <c r="R164" i="61"/>
  <c r="Q164" i="61"/>
  <c r="P164" i="61"/>
  <c r="O164" i="61"/>
  <c r="N164" i="61"/>
  <c r="M164" i="61"/>
  <c r="L164" i="61"/>
  <c r="K164" i="61"/>
  <c r="J164" i="61"/>
  <c r="I164" i="61"/>
  <c r="H164" i="61"/>
  <c r="G164" i="61"/>
  <c r="F164" i="61"/>
  <c r="E164" i="61"/>
  <c r="AV163" i="61"/>
  <c r="AU163" i="61"/>
  <c r="AT163" i="61"/>
  <c r="AS163" i="61"/>
  <c r="AR163" i="61"/>
  <c r="AQ163" i="61"/>
  <c r="AP163" i="61"/>
  <c r="AO163" i="61"/>
  <c r="AN163" i="61"/>
  <c r="AM163" i="61"/>
  <c r="AL163" i="61"/>
  <c r="AK163" i="61"/>
  <c r="AJ163" i="61"/>
  <c r="AI163" i="61"/>
  <c r="AH163" i="61"/>
  <c r="AG163" i="61"/>
  <c r="AF163" i="61"/>
  <c r="AE163" i="61"/>
  <c r="AD163" i="61"/>
  <c r="AC163" i="61"/>
  <c r="AB163" i="61"/>
  <c r="AA163" i="61"/>
  <c r="Z163" i="61"/>
  <c r="Y163" i="61"/>
  <c r="X163" i="61"/>
  <c r="W163" i="61"/>
  <c r="V163" i="61"/>
  <c r="U163" i="61"/>
  <c r="T163" i="61"/>
  <c r="S163" i="61"/>
  <c r="R163" i="61"/>
  <c r="Q163" i="61"/>
  <c r="P163" i="61"/>
  <c r="O163" i="61"/>
  <c r="N163" i="61"/>
  <c r="M163" i="61"/>
  <c r="L163" i="61"/>
  <c r="K163" i="61"/>
  <c r="J163" i="61"/>
  <c r="I163" i="61"/>
  <c r="H163" i="61"/>
  <c r="G163" i="61"/>
  <c r="F163" i="61"/>
  <c r="E163" i="61"/>
  <c r="D173" i="61"/>
  <c r="D172" i="61"/>
  <c r="D171" i="61"/>
  <c r="D170" i="61"/>
  <c r="D169" i="61"/>
  <c r="D168" i="61"/>
  <c r="D167" i="61"/>
  <c r="D166" i="61"/>
  <c r="D165" i="61"/>
  <c r="D164" i="61"/>
  <c r="D163" i="61"/>
  <c r="AV161" i="61"/>
  <c r="AU161" i="61"/>
  <c r="AT161" i="61"/>
  <c r="AS161" i="61"/>
  <c r="AR161" i="61"/>
  <c r="AQ161" i="61"/>
  <c r="AP161" i="61"/>
  <c r="AO161" i="61"/>
  <c r="AN161" i="61"/>
  <c r="AM161" i="61"/>
  <c r="AL161" i="61"/>
  <c r="AK161" i="61"/>
  <c r="AJ161" i="61"/>
  <c r="AI161" i="61"/>
  <c r="AH161" i="61"/>
  <c r="AG161" i="61"/>
  <c r="AF161" i="61"/>
  <c r="AE161" i="61"/>
  <c r="AD161" i="61"/>
  <c r="AC161" i="61"/>
  <c r="AB161" i="61"/>
  <c r="AA161" i="61"/>
  <c r="Z161" i="61"/>
  <c r="Y161" i="61"/>
  <c r="X161" i="61"/>
  <c r="W161" i="61"/>
  <c r="V161" i="61"/>
  <c r="U161" i="61"/>
  <c r="T161" i="61"/>
  <c r="S161" i="61"/>
  <c r="R161" i="61"/>
  <c r="Q161" i="61"/>
  <c r="P161" i="61"/>
  <c r="O161" i="61"/>
  <c r="N161" i="61"/>
  <c r="M161" i="61"/>
  <c r="L161" i="61"/>
  <c r="K161" i="61"/>
  <c r="J161" i="61"/>
  <c r="I161" i="61"/>
  <c r="H161" i="61"/>
  <c r="G161" i="61"/>
  <c r="F161" i="61"/>
  <c r="E161" i="61"/>
  <c r="AV160" i="61"/>
  <c r="AU160" i="61"/>
  <c r="AT160" i="61"/>
  <c r="AS160" i="61"/>
  <c r="AR160" i="61"/>
  <c r="AQ160" i="61"/>
  <c r="AP160" i="61"/>
  <c r="AO160" i="61"/>
  <c r="AN160" i="61"/>
  <c r="AM160" i="61"/>
  <c r="AL160" i="61"/>
  <c r="AK160" i="61"/>
  <c r="AJ160" i="61"/>
  <c r="AI160" i="61"/>
  <c r="AH160" i="61"/>
  <c r="AG160" i="61"/>
  <c r="AF160" i="61"/>
  <c r="AE160" i="61"/>
  <c r="AD160" i="61"/>
  <c r="AC160" i="61"/>
  <c r="AB160" i="61"/>
  <c r="AA160" i="61"/>
  <c r="Z160" i="61"/>
  <c r="Y160" i="61"/>
  <c r="X160" i="61"/>
  <c r="W160" i="61"/>
  <c r="V160" i="61"/>
  <c r="U160" i="61"/>
  <c r="T160" i="61"/>
  <c r="S160" i="61"/>
  <c r="R160" i="61"/>
  <c r="Q160" i="61"/>
  <c r="P160" i="61"/>
  <c r="O160" i="61"/>
  <c r="N160" i="61"/>
  <c r="M160" i="61"/>
  <c r="L160" i="61"/>
  <c r="K160" i="61"/>
  <c r="J160" i="61"/>
  <c r="I160" i="61"/>
  <c r="H160" i="61"/>
  <c r="G160" i="61"/>
  <c r="F160" i="61"/>
  <c r="E160" i="61"/>
  <c r="AV159" i="61"/>
  <c r="AU159" i="61"/>
  <c r="AT159" i="61"/>
  <c r="AS159" i="61"/>
  <c r="AR159" i="61"/>
  <c r="AQ159" i="61"/>
  <c r="AP159" i="61"/>
  <c r="AO159" i="61"/>
  <c r="AN159" i="61"/>
  <c r="AM159" i="61"/>
  <c r="AL159" i="61"/>
  <c r="AK159" i="61"/>
  <c r="AJ159" i="61"/>
  <c r="AI159" i="61"/>
  <c r="AH159" i="61"/>
  <c r="AG159" i="61"/>
  <c r="AF159" i="61"/>
  <c r="AE159" i="61"/>
  <c r="AD159" i="61"/>
  <c r="AC159" i="61"/>
  <c r="AB159" i="61"/>
  <c r="AA159" i="61"/>
  <c r="Z159" i="61"/>
  <c r="Y159" i="61"/>
  <c r="X159" i="61"/>
  <c r="W159" i="61"/>
  <c r="V159" i="61"/>
  <c r="U159" i="61"/>
  <c r="T159" i="61"/>
  <c r="S159" i="61"/>
  <c r="R159" i="61"/>
  <c r="Q159" i="61"/>
  <c r="P159" i="61"/>
  <c r="O159" i="61"/>
  <c r="N159" i="61"/>
  <c r="M159" i="61"/>
  <c r="L159" i="61"/>
  <c r="K159" i="61"/>
  <c r="J159" i="61"/>
  <c r="I159" i="61"/>
  <c r="H159" i="61"/>
  <c r="G159" i="61"/>
  <c r="F159" i="61"/>
  <c r="E159" i="61"/>
  <c r="AV158" i="61"/>
  <c r="AU158" i="61"/>
  <c r="AT158" i="61"/>
  <c r="AS158" i="61"/>
  <c r="AR158" i="61"/>
  <c r="AQ158" i="61"/>
  <c r="AP158" i="61"/>
  <c r="AO158" i="61"/>
  <c r="AN158" i="61"/>
  <c r="AM158" i="61"/>
  <c r="AL158" i="61"/>
  <c r="AK158" i="61"/>
  <c r="AJ158" i="61"/>
  <c r="AI158" i="61"/>
  <c r="AH158" i="61"/>
  <c r="AG158" i="61"/>
  <c r="AF158" i="61"/>
  <c r="AE158" i="61"/>
  <c r="AD158" i="61"/>
  <c r="AC158" i="61"/>
  <c r="AB158" i="61"/>
  <c r="AA158" i="61"/>
  <c r="Z158" i="61"/>
  <c r="Y158" i="61"/>
  <c r="X158" i="61"/>
  <c r="W158" i="61"/>
  <c r="V158" i="61"/>
  <c r="U158" i="61"/>
  <c r="T158" i="61"/>
  <c r="S158" i="61"/>
  <c r="R158" i="61"/>
  <c r="Q158" i="61"/>
  <c r="P158" i="61"/>
  <c r="O158" i="61"/>
  <c r="N158" i="61"/>
  <c r="M158" i="61"/>
  <c r="L158" i="61"/>
  <c r="K158" i="61"/>
  <c r="J158" i="61"/>
  <c r="I158" i="61"/>
  <c r="H158" i="61"/>
  <c r="G158" i="61"/>
  <c r="F158" i="61"/>
  <c r="E158" i="61"/>
  <c r="AV157" i="61"/>
  <c r="AU157" i="61"/>
  <c r="AT157" i="61"/>
  <c r="AS157" i="61"/>
  <c r="AR157" i="61"/>
  <c r="AQ157" i="61"/>
  <c r="AP157" i="61"/>
  <c r="AO157" i="61"/>
  <c r="AN157" i="61"/>
  <c r="AM157" i="61"/>
  <c r="AL157" i="61"/>
  <c r="AK157" i="61"/>
  <c r="AJ157" i="61"/>
  <c r="AI157" i="61"/>
  <c r="AH157" i="61"/>
  <c r="AG157" i="61"/>
  <c r="AF157" i="61"/>
  <c r="AE157" i="61"/>
  <c r="AD157" i="61"/>
  <c r="AC157" i="61"/>
  <c r="AB157" i="61"/>
  <c r="AA157" i="61"/>
  <c r="Z157" i="61"/>
  <c r="Y157" i="61"/>
  <c r="X157" i="61"/>
  <c r="W157" i="61"/>
  <c r="V157" i="61"/>
  <c r="U157" i="61"/>
  <c r="T157" i="61"/>
  <c r="S157" i="61"/>
  <c r="R157" i="61"/>
  <c r="Q157" i="61"/>
  <c r="P157" i="61"/>
  <c r="O157" i="61"/>
  <c r="N157" i="61"/>
  <c r="M157" i="61"/>
  <c r="L157" i="61"/>
  <c r="K157" i="61"/>
  <c r="J157" i="61"/>
  <c r="I157" i="61"/>
  <c r="H157" i="61"/>
  <c r="G157" i="61"/>
  <c r="F157" i="61"/>
  <c r="E157" i="61"/>
  <c r="AV156" i="61"/>
  <c r="AU156" i="61"/>
  <c r="AT156" i="61"/>
  <c r="AS156" i="61"/>
  <c r="AR156" i="61"/>
  <c r="AQ156" i="61"/>
  <c r="AP156" i="61"/>
  <c r="AO156" i="61"/>
  <c r="AN156" i="61"/>
  <c r="AM156" i="61"/>
  <c r="AL156" i="61"/>
  <c r="AK156" i="61"/>
  <c r="AJ156" i="61"/>
  <c r="AI156" i="61"/>
  <c r="AH156" i="61"/>
  <c r="AG156" i="61"/>
  <c r="AF156" i="61"/>
  <c r="AE156" i="61"/>
  <c r="AD156" i="61"/>
  <c r="AC156" i="61"/>
  <c r="AB156" i="61"/>
  <c r="AA156" i="61"/>
  <c r="Z156" i="61"/>
  <c r="Y156" i="61"/>
  <c r="X156" i="61"/>
  <c r="W156" i="61"/>
  <c r="V156" i="61"/>
  <c r="U156" i="61"/>
  <c r="T156" i="61"/>
  <c r="S156" i="61"/>
  <c r="R156" i="61"/>
  <c r="Q156" i="61"/>
  <c r="P156" i="61"/>
  <c r="O156" i="61"/>
  <c r="N156" i="61"/>
  <c r="M156" i="61"/>
  <c r="L156" i="61"/>
  <c r="K156" i="61"/>
  <c r="J156" i="61"/>
  <c r="I156" i="61"/>
  <c r="H156" i="61"/>
  <c r="G156" i="61"/>
  <c r="F156" i="61"/>
  <c r="E156" i="61"/>
  <c r="W155" i="61"/>
  <c r="V155" i="61"/>
  <c r="U155" i="61"/>
  <c r="T155" i="61"/>
  <c r="S155" i="61"/>
  <c r="R155" i="61"/>
  <c r="Q155" i="61"/>
  <c r="P155" i="61"/>
  <c r="O155" i="61"/>
  <c r="N155" i="61"/>
  <c r="M155" i="61"/>
  <c r="L155" i="61"/>
  <c r="K155" i="61"/>
  <c r="J155" i="61"/>
  <c r="I155" i="61"/>
  <c r="H155" i="61"/>
  <c r="G155" i="61"/>
  <c r="F155" i="61"/>
  <c r="E155" i="61"/>
  <c r="AV154" i="61"/>
  <c r="AU154" i="61"/>
  <c r="AT154" i="61"/>
  <c r="AS154" i="61"/>
  <c r="AR154" i="61"/>
  <c r="AQ154" i="61"/>
  <c r="AP154" i="61"/>
  <c r="AO154" i="61"/>
  <c r="AN154" i="61"/>
  <c r="AM154" i="61"/>
  <c r="AK154" i="61"/>
  <c r="AJ154" i="61"/>
  <c r="AI154" i="61"/>
  <c r="AH154" i="61"/>
  <c r="AF154" i="61"/>
  <c r="AE154" i="61"/>
  <c r="AD154" i="61"/>
  <c r="AC154" i="61"/>
  <c r="AA154" i="61"/>
  <c r="Z154" i="61"/>
  <c r="Y154" i="61"/>
  <c r="X154" i="61"/>
  <c r="W154" i="61"/>
  <c r="V154" i="61"/>
  <c r="U154" i="61"/>
  <c r="T154" i="61"/>
  <c r="S154" i="61"/>
  <c r="R154" i="61"/>
  <c r="Q154" i="61"/>
  <c r="P154" i="61"/>
  <c r="O154" i="61"/>
  <c r="N154" i="61"/>
  <c r="M154" i="61"/>
  <c r="L154" i="61"/>
  <c r="K154" i="61"/>
  <c r="J154" i="61"/>
  <c r="I154" i="61"/>
  <c r="H154" i="61"/>
  <c r="G154" i="61"/>
  <c r="F154" i="61"/>
  <c r="E154" i="61"/>
  <c r="AV153" i="61"/>
  <c r="AQ153" i="61"/>
  <c r="AL153" i="61"/>
  <c r="AG153" i="61"/>
  <c r="AB153" i="61"/>
  <c r="AA153" i="61"/>
  <c r="Z153" i="61"/>
  <c r="Y153" i="61"/>
  <c r="X153" i="61"/>
  <c r="W153" i="61"/>
  <c r="V153" i="61"/>
  <c r="U153" i="61"/>
  <c r="T153" i="61"/>
  <c r="S153" i="61"/>
  <c r="R153" i="61"/>
  <c r="Q153" i="61"/>
  <c r="P153" i="61"/>
  <c r="O153" i="61"/>
  <c r="N153" i="61"/>
  <c r="M153" i="61"/>
  <c r="L153" i="61"/>
  <c r="K153" i="61"/>
  <c r="J153" i="61"/>
  <c r="I153" i="61"/>
  <c r="H153" i="61"/>
  <c r="G153" i="61"/>
  <c r="F153" i="61"/>
  <c r="E153" i="61"/>
  <c r="AV152" i="61"/>
  <c r="AU152" i="61"/>
  <c r="AT152" i="61"/>
  <c r="AS152" i="61"/>
  <c r="AR152" i="61"/>
  <c r="AQ152" i="61"/>
  <c r="AP152" i="61"/>
  <c r="AO152" i="61"/>
  <c r="AN152" i="61"/>
  <c r="AM152" i="61"/>
  <c r="AL152" i="61"/>
  <c r="AK152" i="61"/>
  <c r="AJ152" i="61"/>
  <c r="AI152" i="61"/>
  <c r="AH152" i="61"/>
  <c r="AG152" i="61"/>
  <c r="AF152" i="61"/>
  <c r="AE152" i="61"/>
  <c r="AD152" i="61"/>
  <c r="AC152" i="61"/>
  <c r="AB152" i="61"/>
  <c r="AA152" i="61"/>
  <c r="Z152" i="61"/>
  <c r="Y152" i="61"/>
  <c r="W152" i="61"/>
  <c r="V152" i="61"/>
  <c r="U152" i="61"/>
  <c r="T152" i="61"/>
  <c r="S152" i="61"/>
  <c r="R152" i="61"/>
  <c r="Q152" i="61"/>
  <c r="P152" i="61"/>
  <c r="O152" i="61"/>
  <c r="N152" i="61"/>
  <c r="M152" i="61"/>
  <c r="L152" i="61"/>
  <c r="K152" i="61"/>
  <c r="J152" i="61"/>
  <c r="I152" i="61"/>
  <c r="H152" i="61"/>
  <c r="G152" i="61"/>
  <c r="F152" i="61"/>
  <c r="E152" i="61"/>
  <c r="AV151" i="61"/>
  <c r="AU151" i="61"/>
  <c r="AT151" i="61"/>
  <c r="AS151" i="61"/>
  <c r="AR151" i="61"/>
  <c r="AQ151" i="61"/>
  <c r="AP151" i="61"/>
  <c r="AO151" i="61"/>
  <c r="AN151" i="61"/>
  <c r="AM151" i="61"/>
  <c r="AL151" i="61"/>
  <c r="AK151" i="61"/>
  <c r="AJ151" i="61"/>
  <c r="AI151" i="61"/>
  <c r="AH151" i="61"/>
  <c r="AG151" i="61"/>
  <c r="AF151" i="61"/>
  <c r="AE151" i="61"/>
  <c r="AD151" i="61"/>
  <c r="AC151" i="61"/>
  <c r="AB151" i="61"/>
  <c r="AA151" i="61"/>
  <c r="Z151" i="61"/>
  <c r="Y151" i="61"/>
  <c r="W151" i="61"/>
  <c r="V151" i="61"/>
  <c r="U151" i="61"/>
  <c r="T151" i="61"/>
  <c r="S151" i="61"/>
  <c r="R151" i="61"/>
  <c r="Q151" i="61"/>
  <c r="P151" i="61"/>
  <c r="O151" i="61"/>
  <c r="N151" i="61"/>
  <c r="M151" i="61"/>
  <c r="L151" i="61"/>
  <c r="K151" i="61"/>
  <c r="J151" i="61"/>
  <c r="I151" i="61"/>
  <c r="H151" i="61"/>
  <c r="G151" i="61"/>
  <c r="F151" i="61"/>
  <c r="E151" i="61"/>
  <c r="D161" i="61"/>
  <c r="D160" i="61"/>
  <c r="D159" i="61"/>
  <c r="D158" i="61"/>
  <c r="D157" i="61"/>
  <c r="D156" i="61"/>
  <c r="D155" i="61"/>
  <c r="D154" i="61"/>
  <c r="D153" i="61"/>
  <c r="D152" i="61"/>
  <c r="D151" i="61"/>
  <c r="AV149" i="61"/>
  <c r="AU149" i="61"/>
  <c r="AT149" i="61"/>
  <c r="AS149" i="61"/>
  <c r="AR149" i="61"/>
  <c r="AQ149" i="61"/>
  <c r="AP149" i="61"/>
  <c r="AO149" i="61"/>
  <c r="AN149" i="61"/>
  <c r="AM149" i="61"/>
  <c r="AK149" i="61"/>
  <c r="AJ149" i="61"/>
  <c r="AI149" i="61"/>
  <c r="AH149" i="61"/>
  <c r="AG149" i="61"/>
  <c r="AF149" i="61"/>
  <c r="AE149" i="61"/>
  <c r="AD149" i="61"/>
  <c r="AC149" i="61"/>
  <c r="AB149" i="61"/>
  <c r="AA149" i="61"/>
  <c r="Z149" i="61"/>
  <c r="Y149" i="61"/>
  <c r="X149" i="61"/>
  <c r="W149" i="61"/>
  <c r="V149" i="61"/>
  <c r="U149" i="61"/>
  <c r="T149" i="61"/>
  <c r="S149" i="61"/>
  <c r="R149" i="61"/>
  <c r="Q149" i="61"/>
  <c r="P149" i="61"/>
  <c r="O149" i="61"/>
  <c r="N149" i="61"/>
  <c r="M149" i="61"/>
  <c r="L149" i="61"/>
  <c r="K149" i="61"/>
  <c r="J149" i="61"/>
  <c r="I149" i="61"/>
  <c r="H149" i="61"/>
  <c r="G149" i="61"/>
  <c r="F149" i="61"/>
  <c r="E149" i="61"/>
  <c r="W148" i="61"/>
  <c r="V148" i="61"/>
  <c r="U148" i="61"/>
  <c r="T148" i="61"/>
  <c r="S148" i="61"/>
  <c r="R148" i="61"/>
  <c r="Q148" i="61"/>
  <c r="P148" i="61"/>
  <c r="O148" i="61"/>
  <c r="N148" i="61"/>
  <c r="M148" i="61"/>
  <c r="L148" i="61"/>
  <c r="K148" i="61"/>
  <c r="J148" i="61"/>
  <c r="I148" i="61"/>
  <c r="H148" i="61"/>
  <c r="G148" i="61"/>
  <c r="F148" i="61"/>
  <c r="E148" i="61"/>
  <c r="W147" i="61"/>
  <c r="V147" i="61"/>
  <c r="U147" i="61"/>
  <c r="T147" i="61"/>
  <c r="S147" i="61"/>
  <c r="R147" i="61"/>
  <c r="Q147" i="61"/>
  <c r="P147" i="61"/>
  <c r="O147" i="61"/>
  <c r="N147" i="61"/>
  <c r="M147" i="61"/>
  <c r="L147" i="61"/>
  <c r="K147" i="61"/>
  <c r="J147" i="61"/>
  <c r="I147" i="61"/>
  <c r="H147" i="61"/>
  <c r="G147" i="61"/>
  <c r="F147" i="61"/>
  <c r="E147" i="61"/>
  <c r="W146" i="61"/>
  <c r="V146" i="61"/>
  <c r="U146" i="61"/>
  <c r="T146" i="61"/>
  <c r="S146" i="61"/>
  <c r="R146" i="61"/>
  <c r="Q146" i="61"/>
  <c r="P146" i="61"/>
  <c r="O146" i="61"/>
  <c r="N146" i="61"/>
  <c r="M146" i="61"/>
  <c r="L146" i="61"/>
  <c r="K146" i="61"/>
  <c r="J146" i="61"/>
  <c r="I146" i="61"/>
  <c r="H146" i="61"/>
  <c r="G146" i="61"/>
  <c r="F146" i="61"/>
  <c r="E146" i="61"/>
  <c r="AV145" i="61"/>
  <c r="AQ145" i="61"/>
  <c r="AL145" i="61"/>
  <c r="AG145" i="61"/>
  <c r="AB145" i="61"/>
  <c r="X145" i="61"/>
  <c r="W145" i="61"/>
  <c r="R145" i="61"/>
  <c r="M145" i="61"/>
  <c r="H145" i="61"/>
  <c r="AV144" i="61"/>
  <c r="AQ144" i="61"/>
  <c r="AL144" i="61"/>
  <c r="AG144" i="61"/>
  <c r="AB144" i="61"/>
  <c r="W144" i="61"/>
  <c r="R144" i="61"/>
  <c r="M144" i="61"/>
  <c r="H144" i="61"/>
  <c r="AA143" i="61"/>
  <c r="Z143" i="61"/>
  <c r="Y143" i="61"/>
  <c r="W143" i="61"/>
  <c r="V143" i="61"/>
  <c r="U143" i="61"/>
  <c r="T143" i="61"/>
  <c r="S143" i="61"/>
  <c r="R143" i="61"/>
  <c r="Q143" i="61"/>
  <c r="P143" i="61"/>
  <c r="O143" i="61"/>
  <c r="N143" i="61"/>
  <c r="M143" i="61"/>
  <c r="L143" i="61"/>
  <c r="K143" i="61"/>
  <c r="J143" i="61"/>
  <c r="I143" i="61"/>
  <c r="H143" i="61"/>
  <c r="G143" i="61"/>
  <c r="F143" i="61"/>
  <c r="E143" i="61"/>
  <c r="W142" i="61"/>
  <c r="V142" i="61"/>
  <c r="U142" i="61"/>
  <c r="T142" i="61"/>
  <c r="S142" i="61"/>
  <c r="R142" i="61"/>
  <c r="Q142" i="61"/>
  <c r="P142" i="61"/>
  <c r="O142" i="61"/>
  <c r="N142" i="61"/>
  <c r="M142" i="61"/>
  <c r="L142" i="61"/>
  <c r="K142" i="61"/>
  <c r="J142" i="61"/>
  <c r="I142" i="61"/>
  <c r="H142" i="61"/>
  <c r="G142" i="61"/>
  <c r="F142" i="61"/>
  <c r="E142" i="61"/>
  <c r="W141" i="61"/>
  <c r="V141" i="61"/>
  <c r="U141" i="61"/>
  <c r="T141" i="61"/>
  <c r="S141" i="61"/>
  <c r="R141" i="61"/>
  <c r="Q141" i="61"/>
  <c r="P141" i="61"/>
  <c r="O141" i="61"/>
  <c r="N141" i="61"/>
  <c r="M141" i="61"/>
  <c r="L141" i="61"/>
  <c r="K141" i="61"/>
  <c r="J141" i="61"/>
  <c r="I141" i="61"/>
  <c r="H141" i="61"/>
  <c r="G141" i="61"/>
  <c r="F141" i="61"/>
  <c r="E141" i="61"/>
  <c r="W140" i="61"/>
  <c r="V140" i="61"/>
  <c r="U140" i="61"/>
  <c r="T140" i="61"/>
  <c r="S140" i="61"/>
  <c r="R140" i="61"/>
  <c r="Q140" i="61"/>
  <c r="P140" i="61"/>
  <c r="O140" i="61"/>
  <c r="N140" i="61"/>
  <c r="M140" i="61"/>
  <c r="L140" i="61"/>
  <c r="K140" i="61"/>
  <c r="J140" i="61"/>
  <c r="I140" i="61"/>
  <c r="H140" i="61"/>
  <c r="G140" i="61"/>
  <c r="F140" i="61"/>
  <c r="E140" i="61"/>
  <c r="AU139" i="61"/>
  <c r="AT139" i="61"/>
  <c r="AS139" i="61"/>
  <c r="AR139" i="61"/>
  <c r="AP139" i="61"/>
  <c r="AO139" i="61"/>
  <c r="AN139" i="61"/>
  <c r="AM139" i="61"/>
  <c r="AK139" i="61"/>
  <c r="AJ139" i="61"/>
  <c r="AI139" i="61"/>
  <c r="AH139" i="61"/>
  <c r="AF139" i="61"/>
  <c r="AE139" i="61"/>
  <c r="AD139" i="61"/>
  <c r="AC139" i="61"/>
  <c r="AA139" i="61"/>
  <c r="Z139" i="61"/>
  <c r="Y139" i="61"/>
  <c r="X139" i="61"/>
  <c r="W139" i="61"/>
  <c r="V139" i="61"/>
  <c r="U139" i="61"/>
  <c r="T139" i="61"/>
  <c r="S139" i="61"/>
  <c r="R139" i="61"/>
  <c r="Q139" i="61"/>
  <c r="P139" i="61"/>
  <c r="O139" i="61"/>
  <c r="N139" i="61"/>
  <c r="M139" i="61"/>
  <c r="L139" i="61"/>
  <c r="K139" i="61"/>
  <c r="J139" i="61"/>
  <c r="I139" i="61"/>
  <c r="H139" i="61"/>
  <c r="G139" i="61"/>
  <c r="F139" i="61"/>
  <c r="E139" i="61"/>
  <c r="D149" i="61"/>
  <c r="D148" i="61"/>
  <c r="D147" i="61"/>
  <c r="D146" i="61"/>
  <c r="D145" i="61"/>
  <c r="D144" i="61"/>
  <c r="D143" i="61"/>
  <c r="D142" i="61"/>
  <c r="D141" i="61"/>
  <c r="D140" i="61"/>
  <c r="D139" i="61"/>
  <c r="W131" i="61"/>
  <c r="V131" i="61"/>
  <c r="U131" i="61"/>
  <c r="T131" i="61"/>
  <c r="S131" i="61"/>
  <c r="R131" i="61"/>
  <c r="Q131" i="61"/>
  <c r="P131" i="61"/>
  <c r="O131" i="61"/>
  <c r="N131" i="61"/>
  <c r="M131" i="61"/>
  <c r="L131" i="61"/>
  <c r="K131" i="61"/>
  <c r="J131" i="61"/>
  <c r="I131" i="61"/>
  <c r="H131" i="61"/>
  <c r="G131" i="61"/>
  <c r="F131" i="61"/>
  <c r="E131" i="61"/>
  <c r="W130" i="61"/>
  <c r="V130" i="61"/>
  <c r="U130" i="61"/>
  <c r="T130" i="61"/>
  <c r="S130" i="61"/>
  <c r="R130" i="61"/>
  <c r="Q130" i="61"/>
  <c r="P130" i="61"/>
  <c r="O130" i="61"/>
  <c r="N130" i="61"/>
  <c r="M130" i="61"/>
  <c r="L130" i="61"/>
  <c r="K130" i="61"/>
  <c r="J130" i="61"/>
  <c r="I130" i="61"/>
  <c r="H130" i="61"/>
  <c r="G130" i="61"/>
  <c r="F130" i="61"/>
  <c r="E130" i="61"/>
  <c r="X129" i="61"/>
  <c r="W129" i="61"/>
  <c r="V129" i="61"/>
  <c r="U129" i="61"/>
  <c r="T129" i="61"/>
  <c r="S129" i="61"/>
  <c r="R129" i="61"/>
  <c r="Q129" i="61"/>
  <c r="P129" i="61"/>
  <c r="O129" i="61"/>
  <c r="N129" i="61"/>
  <c r="M129" i="61"/>
  <c r="L129" i="61"/>
  <c r="K129" i="61"/>
  <c r="J129" i="61"/>
  <c r="I129" i="61"/>
  <c r="H129" i="61"/>
  <c r="G129" i="61"/>
  <c r="F129" i="61"/>
  <c r="E129" i="61"/>
  <c r="AR128" i="61"/>
  <c r="AM128" i="61"/>
  <c r="AH128" i="61"/>
  <c r="AC128" i="61"/>
  <c r="Y128" i="61"/>
  <c r="X128" i="61"/>
  <c r="W128" i="61"/>
  <c r="V128" i="61"/>
  <c r="U128" i="61"/>
  <c r="T128" i="61"/>
  <c r="S128" i="61"/>
  <c r="R128" i="61"/>
  <c r="Q128" i="61"/>
  <c r="P128" i="61"/>
  <c r="O128" i="61"/>
  <c r="N128" i="61"/>
  <c r="M128" i="61"/>
  <c r="L128" i="61"/>
  <c r="K128" i="61"/>
  <c r="J128" i="61"/>
  <c r="I128" i="61"/>
  <c r="H128" i="61"/>
  <c r="G128" i="61"/>
  <c r="F128" i="61"/>
  <c r="E128" i="61"/>
  <c r="X127" i="61"/>
  <c r="W127" i="61"/>
  <c r="V127" i="61"/>
  <c r="U127" i="61"/>
  <c r="T127" i="61"/>
  <c r="S127" i="61"/>
  <c r="R127" i="61"/>
  <c r="Q127" i="61"/>
  <c r="P127" i="61"/>
  <c r="O127" i="61"/>
  <c r="N127" i="61"/>
  <c r="M127" i="61"/>
  <c r="L127" i="61"/>
  <c r="K127" i="61"/>
  <c r="J127" i="61"/>
  <c r="I127" i="61"/>
  <c r="H127" i="61"/>
  <c r="G127" i="61"/>
  <c r="F127" i="61"/>
  <c r="E127" i="61"/>
  <c r="AR126" i="61"/>
  <c r="AM126" i="61"/>
  <c r="AH126" i="61"/>
  <c r="AC126" i="61"/>
  <c r="Z126" i="61"/>
  <c r="Y126" i="61"/>
  <c r="X126" i="61"/>
  <c r="W126" i="61"/>
  <c r="V126" i="61"/>
  <c r="U126" i="61"/>
  <c r="T126" i="61"/>
  <c r="S126" i="61"/>
  <c r="R126" i="61"/>
  <c r="Q126" i="61"/>
  <c r="P126" i="61"/>
  <c r="O126" i="61"/>
  <c r="N126" i="61"/>
  <c r="M126" i="61"/>
  <c r="L126" i="61"/>
  <c r="K126" i="61"/>
  <c r="J126" i="61"/>
  <c r="I126" i="61"/>
  <c r="H126" i="61"/>
  <c r="G126" i="61"/>
  <c r="F126" i="61"/>
  <c r="E126" i="61"/>
  <c r="AR125" i="61"/>
  <c r="AM125" i="61"/>
  <c r="AH125" i="61"/>
  <c r="AD125" i="61"/>
  <c r="AC125" i="61"/>
  <c r="AA125" i="61"/>
  <c r="Z125" i="61"/>
  <c r="Y125" i="61"/>
  <c r="X125" i="61"/>
  <c r="W125" i="61"/>
  <c r="V125" i="61"/>
  <c r="U125" i="61"/>
  <c r="T125" i="61"/>
  <c r="S125" i="61"/>
  <c r="R125" i="61"/>
  <c r="Q125" i="61"/>
  <c r="P125" i="61"/>
  <c r="O125" i="61"/>
  <c r="N125" i="61"/>
  <c r="M125" i="61"/>
  <c r="L125" i="61"/>
  <c r="K125" i="61"/>
  <c r="J125" i="61"/>
  <c r="I125" i="61"/>
  <c r="H125" i="61"/>
  <c r="G125" i="61"/>
  <c r="F125" i="61"/>
  <c r="E125" i="61"/>
  <c r="AU124" i="61"/>
  <c r="AT124" i="61"/>
  <c r="AS124" i="61"/>
  <c r="AR124" i="61"/>
  <c r="AP124" i="61"/>
  <c r="AO124" i="61"/>
  <c r="AN124" i="61"/>
  <c r="AM124" i="61"/>
  <c r="AK124" i="61"/>
  <c r="AJ124" i="61"/>
  <c r="AI124" i="61"/>
  <c r="AH124" i="61"/>
  <c r="AF124" i="61"/>
  <c r="AE124" i="61"/>
  <c r="AD124" i="61"/>
  <c r="AC124" i="61"/>
  <c r="AA124" i="61"/>
  <c r="Z124" i="61"/>
  <c r="Y124" i="61"/>
  <c r="X124" i="61"/>
  <c r="W124" i="61"/>
  <c r="V124" i="61"/>
  <c r="U124" i="61"/>
  <c r="T124" i="61"/>
  <c r="S124" i="61"/>
  <c r="R124" i="61"/>
  <c r="Q124" i="61"/>
  <c r="P124" i="61"/>
  <c r="O124" i="61"/>
  <c r="N124" i="61"/>
  <c r="M124" i="61"/>
  <c r="L124" i="61"/>
  <c r="K124" i="61"/>
  <c r="J124" i="61"/>
  <c r="I124" i="61"/>
  <c r="H124" i="61"/>
  <c r="G124" i="61"/>
  <c r="F124" i="61"/>
  <c r="E124" i="61"/>
  <c r="AU123" i="61"/>
  <c r="AT123" i="61"/>
  <c r="AS123" i="61"/>
  <c r="AP123" i="61"/>
  <c r="AO123" i="61"/>
  <c r="AN123" i="61"/>
  <c r="AK123" i="61"/>
  <c r="AJ123" i="61"/>
  <c r="AI123" i="61"/>
  <c r="AF123" i="61"/>
  <c r="AE123" i="61"/>
  <c r="AD123" i="61"/>
  <c r="AA123" i="61"/>
  <c r="Z123" i="61"/>
  <c r="Y123" i="61"/>
  <c r="X123" i="61"/>
  <c r="W123" i="61"/>
  <c r="V123" i="61"/>
  <c r="U123" i="61"/>
  <c r="T123" i="61"/>
  <c r="S123" i="61"/>
  <c r="R123" i="61"/>
  <c r="Q123" i="61"/>
  <c r="P123" i="61"/>
  <c r="O123" i="61"/>
  <c r="N123" i="61"/>
  <c r="M123" i="61"/>
  <c r="L123" i="61"/>
  <c r="K123" i="61"/>
  <c r="J123" i="61"/>
  <c r="I123" i="61"/>
  <c r="H123" i="61"/>
  <c r="G123" i="61"/>
  <c r="F123" i="61"/>
  <c r="E123" i="61"/>
  <c r="D131" i="61"/>
  <c r="D130" i="61"/>
  <c r="D129" i="61"/>
  <c r="D128" i="61"/>
  <c r="D127" i="61"/>
  <c r="D126" i="61"/>
  <c r="D125" i="61"/>
  <c r="D124" i="61"/>
  <c r="D123" i="61"/>
  <c r="W121" i="61"/>
  <c r="V121" i="61"/>
  <c r="U121" i="61"/>
  <c r="T121" i="61"/>
  <c r="S121" i="61"/>
  <c r="R121" i="61"/>
  <c r="Q121" i="61"/>
  <c r="P121" i="61"/>
  <c r="O121" i="61"/>
  <c r="N121" i="61"/>
  <c r="M121" i="61"/>
  <c r="L121" i="61"/>
  <c r="K121" i="61"/>
  <c r="J121" i="61"/>
  <c r="I121" i="61"/>
  <c r="H121" i="61"/>
  <c r="G121" i="61"/>
  <c r="F121" i="61"/>
  <c r="E121" i="61"/>
  <c r="W120" i="61"/>
  <c r="V120" i="61"/>
  <c r="U120" i="61"/>
  <c r="T120" i="61"/>
  <c r="S120" i="61"/>
  <c r="R120" i="61"/>
  <c r="Q120" i="61"/>
  <c r="P120" i="61"/>
  <c r="O120" i="61"/>
  <c r="N120" i="61"/>
  <c r="M120" i="61"/>
  <c r="L120" i="61"/>
  <c r="K120" i="61"/>
  <c r="J120" i="61"/>
  <c r="I120" i="61"/>
  <c r="H120" i="61"/>
  <c r="G120" i="61"/>
  <c r="F120" i="61"/>
  <c r="E120" i="61"/>
  <c r="X119" i="61"/>
  <c r="W119" i="61"/>
  <c r="V119" i="61"/>
  <c r="U119" i="61"/>
  <c r="T119" i="61"/>
  <c r="S119" i="61"/>
  <c r="R119" i="61"/>
  <c r="Q119" i="61"/>
  <c r="P119" i="61"/>
  <c r="O119" i="61"/>
  <c r="N119" i="61"/>
  <c r="M119" i="61"/>
  <c r="L119" i="61"/>
  <c r="K119" i="61"/>
  <c r="J119" i="61"/>
  <c r="I119" i="61"/>
  <c r="H119" i="61"/>
  <c r="G119" i="61"/>
  <c r="F119" i="61"/>
  <c r="E119" i="61"/>
  <c r="W118" i="61"/>
  <c r="V118" i="61"/>
  <c r="U118" i="61"/>
  <c r="T118" i="61"/>
  <c r="S118" i="61"/>
  <c r="R118" i="61"/>
  <c r="Q118" i="61"/>
  <c r="P118" i="61"/>
  <c r="O118" i="61"/>
  <c r="N118" i="61"/>
  <c r="M118" i="61"/>
  <c r="L118" i="61"/>
  <c r="K118" i="61"/>
  <c r="J118" i="61"/>
  <c r="I118" i="61"/>
  <c r="H118" i="61"/>
  <c r="G118" i="61"/>
  <c r="F118" i="61"/>
  <c r="E118" i="61"/>
  <c r="W117" i="61"/>
  <c r="V117" i="61"/>
  <c r="U117" i="61"/>
  <c r="T117" i="61"/>
  <c r="S117" i="61"/>
  <c r="R117" i="61"/>
  <c r="Q117" i="61"/>
  <c r="P117" i="61"/>
  <c r="O117" i="61"/>
  <c r="N117" i="61"/>
  <c r="M117" i="61"/>
  <c r="L117" i="61"/>
  <c r="K117" i="61"/>
  <c r="J117" i="61"/>
  <c r="I117" i="61"/>
  <c r="H117" i="61"/>
  <c r="G117" i="61"/>
  <c r="F117" i="61"/>
  <c r="E117" i="61"/>
  <c r="AU116" i="61"/>
  <c r="AT116" i="61"/>
  <c r="AS116" i="61"/>
  <c r="AP116" i="61"/>
  <c r="AO116" i="61"/>
  <c r="AN116" i="61"/>
  <c r="AK116" i="61"/>
  <c r="AJ116" i="61"/>
  <c r="AI116" i="61"/>
  <c r="AF116" i="61"/>
  <c r="AE116" i="61"/>
  <c r="AD116" i="61"/>
  <c r="AA116" i="61"/>
  <c r="Z116" i="61"/>
  <c r="Y116" i="61"/>
  <c r="X116" i="61"/>
  <c r="W116" i="61"/>
  <c r="V116" i="61"/>
  <c r="U116" i="61"/>
  <c r="T116" i="61"/>
  <c r="S116" i="61"/>
  <c r="R116" i="61"/>
  <c r="Q116" i="61"/>
  <c r="P116" i="61"/>
  <c r="O116" i="61"/>
  <c r="N116" i="61"/>
  <c r="M116" i="61"/>
  <c r="L116" i="61"/>
  <c r="K116" i="61"/>
  <c r="J116" i="61"/>
  <c r="I116" i="61"/>
  <c r="H116" i="61"/>
  <c r="G116" i="61"/>
  <c r="F116" i="61"/>
  <c r="E116" i="61"/>
  <c r="AU115" i="61"/>
  <c r="AT115" i="61"/>
  <c r="AS115" i="61"/>
  <c r="AP115" i="61"/>
  <c r="AO115" i="61"/>
  <c r="AN115" i="61"/>
  <c r="AK115" i="61"/>
  <c r="AJ115" i="61"/>
  <c r="AI115" i="61"/>
  <c r="AF115" i="61"/>
  <c r="AE115" i="61"/>
  <c r="AD115" i="61"/>
  <c r="AA115" i="61"/>
  <c r="Z115" i="61"/>
  <c r="Y115" i="61"/>
  <c r="W115" i="61"/>
  <c r="V115" i="61"/>
  <c r="U115" i="61"/>
  <c r="T115" i="61"/>
  <c r="S115" i="61"/>
  <c r="R115" i="61"/>
  <c r="Q115" i="61"/>
  <c r="P115" i="61"/>
  <c r="O115" i="61"/>
  <c r="N115" i="61"/>
  <c r="M115" i="61"/>
  <c r="L115" i="61"/>
  <c r="K115" i="61"/>
  <c r="J115" i="61"/>
  <c r="I115" i="61"/>
  <c r="H115" i="61"/>
  <c r="G115" i="61"/>
  <c r="F115" i="61"/>
  <c r="E115" i="61"/>
  <c r="AV114" i="61"/>
  <c r="AU114" i="61"/>
  <c r="AT114" i="61"/>
  <c r="AS114" i="61"/>
  <c r="AR114" i="61"/>
  <c r="AQ114" i="61"/>
  <c r="AP114" i="61"/>
  <c r="AO114" i="61"/>
  <c r="AN114" i="61"/>
  <c r="AM114" i="61"/>
  <c r="AL114" i="61"/>
  <c r="AK114" i="61"/>
  <c r="AJ114" i="61"/>
  <c r="AI114" i="61"/>
  <c r="AH114" i="61"/>
  <c r="AG114" i="61"/>
  <c r="AF114" i="61"/>
  <c r="AE114" i="61"/>
  <c r="AD114" i="61"/>
  <c r="AC114" i="61"/>
  <c r="AA114" i="61"/>
  <c r="Z114" i="61"/>
  <c r="Y114" i="61"/>
  <c r="X114" i="61"/>
  <c r="W114" i="61"/>
  <c r="V114" i="61"/>
  <c r="U114" i="61"/>
  <c r="T114" i="61"/>
  <c r="S114" i="61"/>
  <c r="R114" i="61"/>
  <c r="Q114" i="61"/>
  <c r="P114" i="61"/>
  <c r="O114" i="61"/>
  <c r="N114" i="61"/>
  <c r="M114" i="61"/>
  <c r="L114" i="61"/>
  <c r="K114" i="61"/>
  <c r="J114" i="61"/>
  <c r="I114" i="61"/>
  <c r="H114" i="61"/>
  <c r="G114" i="61"/>
  <c r="F114" i="61"/>
  <c r="E114" i="61"/>
  <c r="AU113" i="61"/>
  <c r="AT113" i="61"/>
  <c r="AP113" i="61"/>
  <c r="AO113" i="61"/>
  <c r="AK113" i="61"/>
  <c r="AJ113" i="61"/>
  <c r="AF113" i="61"/>
  <c r="AE113" i="61"/>
  <c r="AA113" i="61"/>
  <c r="Z113" i="61"/>
  <c r="Y113" i="61"/>
  <c r="X113" i="61"/>
  <c r="W113" i="61"/>
  <c r="V113" i="61"/>
  <c r="U113" i="61"/>
  <c r="T113" i="61"/>
  <c r="S113" i="61"/>
  <c r="R113" i="61"/>
  <c r="Q113" i="61"/>
  <c r="P113" i="61"/>
  <c r="O113" i="61"/>
  <c r="N113" i="61"/>
  <c r="M113" i="61"/>
  <c r="L113" i="61"/>
  <c r="K113" i="61"/>
  <c r="J113" i="61"/>
  <c r="I113" i="61"/>
  <c r="H113" i="61"/>
  <c r="G113" i="61"/>
  <c r="F113" i="61"/>
  <c r="E113" i="61"/>
  <c r="AU112" i="61"/>
  <c r="AT112" i="61"/>
  <c r="AP112" i="61"/>
  <c r="AO112" i="61"/>
  <c r="AK112" i="61"/>
  <c r="AJ112" i="61"/>
  <c r="AF112" i="61"/>
  <c r="AE112" i="61"/>
  <c r="AA112" i="61"/>
  <c r="Z112" i="61"/>
  <c r="W112" i="61"/>
  <c r="V112" i="61"/>
  <c r="U112" i="61"/>
  <c r="T112" i="61"/>
  <c r="S112" i="61"/>
  <c r="R112" i="61"/>
  <c r="Q112" i="61"/>
  <c r="P112" i="61"/>
  <c r="O112" i="61"/>
  <c r="N112" i="61"/>
  <c r="M112" i="61"/>
  <c r="L112" i="61"/>
  <c r="K112" i="61"/>
  <c r="J112" i="61"/>
  <c r="I112" i="61"/>
  <c r="H112" i="61"/>
  <c r="G112" i="61"/>
  <c r="F112" i="61"/>
  <c r="E112" i="61"/>
  <c r="AU111" i="61"/>
  <c r="AT111" i="61"/>
  <c r="AS111" i="61"/>
  <c r="AP111" i="61"/>
  <c r="AO111" i="61"/>
  <c r="AN111" i="61"/>
  <c r="AK111" i="61"/>
  <c r="AJ111" i="61"/>
  <c r="AI111" i="61"/>
  <c r="AF111" i="61"/>
  <c r="AE111" i="61"/>
  <c r="AD111" i="61"/>
  <c r="AA111" i="61"/>
  <c r="Z111" i="61"/>
  <c r="Y111" i="61"/>
  <c r="X111" i="61"/>
  <c r="W111" i="61"/>
  <c r="V111" i="61"/>
  <c r="U111" i="61"/>
  <c r="T111" i="61"/>
  <c r="S111" i="61"/>
  <c r="R111" i="61"/>
  <c r="Q111" i="61"/>
  <c r="P111" i="61"/>
  <c r="O111" i="61"/>
  <c r="N111" i="61"/>
  <c r="M111" i="61"/>
  <c r="L111" i="61"/>
  <c r="K111" i="61"/>
  <c r="J111" i="61"/>
  <c r="I111" i="61"/>
  <c r="H111" i="61"/>
  <c r="G111" i="61"/>
  <c r="F111" i="61"/>
  <c r="E111" i="61"/>
  <c r="AU110" i="61"/>
  <c r="AT110" i="61"/>
  <c r="AS110" i="61"/>
  <c r="AP110" i="61"/>
  <c r="AO110" i="61"/>
  <c r="AN110" i="61"/>
  <c r="AK110" i="61"/>
  <c r="AJ110" i="61"/>
  <c r="AI110" i="61"/>
  <c r="AF110" i="61"/>
  <c r="AE110" i="61"/>
  <c r="AD110" i="61"/>
  <c r="AA110" i="61"/>
  <c r="Z110" i="61"/>
  <c r="Y110" i="61"/>
  <c r="W110" i="61"/>
  <c r="V110" i="61"/>
  <c r="U110" i="61"/>
  <c r="T110" i="61"/>
  <c r="S110" i="61"/>
  <c r="R110" i="61"/>
  <c r="Q110" i="61"/>
  <c r="P110" i="61"/>
  <c r="O110" i="61"/>
  <c r="N110" i="61"/>
  <c r="M110" i="61"/>
  <c r="L110" i="61"/>
  <c r="K110" i="61"/>
  <c r="J110" i="61"/>
  <c r="I110" i="61"/>
  <c r="H110" i="61"/>
  <c r="G110" i="61"/>
  <c r="F110" i="61"/>
  <c r="E110" i="61"/>
  <c r="AU109" i="61"/>
  <c r="AT109" i="61"/>
  <c r="AS109" i="61"/>
  <c r="AR109" i="61"/>
  <c r="AP109" i="61"/>
  <c r="AO109" i="61"/>
  <c r="AN109" i="61"/>
  <c r="AM109" i="61"/>
  <c r="AK109" i="61"/>
  <c r="AJ109" i="61"/>
  <c r="AI109" i="61"/>
  <c r="AH109" i="61"/>
  <c r="AF109" i="61"/>
  <c r="AE109" i="61"/>
  <c r="AD109" i="61"/>
  <c r="AC109" i="61"/>
  <c r="AA109" i="61"/>
  <c r="Z109" i="61"/>
  <c r="Y109" i="61"/>
  <c r="X109" i="61"/>
  <c r="W109" i="61"/>
  <c r="V109" i="61"/>
  <c r="U109" i="61"/>
  <c r="T109" i="61"/>
  <c r="S109" i="61"/>
  <c r="R109" i="61"/>
  <c r="Q109" i="61"/>
  <c r="P109" i="61"/>
  <c r="O109" i="61"/>
  <c r="N109" i="61"/>
  <c r="M109" i="61"/>
  <c r="L109" i="61"/>
  <c r="K109" i="61"/>
  <c r="J109" i="61"/>
  <c r="I109" i="61"/>
  <c r="H109" i="61"/>
  <c r="G109" i="61"/>
  <c r="F109" i="61"/>
  <c r="E109" i="61"/>
  <c r="AU108" i="61"/>
  <c r="AT108" i="61"/>
  <c r="AS108" i="61"/>
  <c r="AP108" i="61"/>
  <c r="AO108" i="61"/>
  <c r="AN108" i="61"/>
  <c r="AK108" i="61"/>
  <c r="AJ108" i="61"/>
  <c r="AI108" i="61"/>
  <c r="AF108" i="61"/>
  <c r="AE108" i="61"/>
  <c r="AD108" i="61"/>
  <c r="AA108" i="61"/>
  <c r="Z108" i="61"/>
  <c r="Y108" i="61"/>
  <c r="X108" i="61"/>
  <c r="W108" i="61"/>
  <c r="V108" i="61"/>
  <c r="U108" i="61"/>
  <c r="T108" i="61"/>
  <c r="S108" i="61"/>
  <c r="R108" i="61"/>
  <c r="Q108" i="61"/>
  <c r="P108" i="61"/>
  <c r="O108" i="61"/>
  <c r="N108" i="61"/>
  <c r="M108" i="61"/>
  <c r="L108" i="61"/>
  <c r="K108" i="61"/>
  <c r="J108" i="61"/>
  <c r="I108" i="61"/>
  <c r="H108" i="61"/>
  <c r="G108" i="61"/>
  <c r="F108" i="61"/>
  <c r="E108" i="61"/>
  <c r="D121" i="61"/>
  <c r="D120" i="61"/>
  <c r="D119" i="61"/>
  <c r="D118" i="61"/>
  <c r="D117" i="61"/>
  <c r="D116" i="61"/>
  <c r="D115" i="61"/>
  <c r="D114" i="61"/>
  <c r="D113" i="61"/>
  <c r="D112" i="61"/>
  <c r="D111" i="61"/>
  <c r="D110" i="61"/>
  <c r="D109" i="61"/>
  <c r="D108" i="61"/>
  <c r="W106" i="61"/>
  <c r="V106" i="61"/>
  <c r="U106" i="61"/>
  <c r="T106" i="61"/>
  <c r="S106" i="61"/>
  <c r="R106" i="61"/>
  <c r="Q106" i="61"/>
  <c r="P106" i="61"/>
  <c r="O106" i="61"/>
  <c r="N106" i="61"/>
  <c r="M106" i="61"/>
  <c r="L106" i="61"/>
  <c r="K106" i="61"/>
  <c r="J106" i="61"/>
  <c r="I106" i="61"/>
  <c r="H106" i="61"/>
  <c r="G106" i="61"/>
  <c r="F106" i="61"/>
  <c r="E106" i="61"/>
  <c r="W105" i="61"/>
  <c r="V105" i="61"/>
  <c r="U105" i="61"/>
  <c r="T105" i="61"/>
  <c r="S105" i="61"/>
  <c r="R105" i="61"/>
  <c r="Q105" i="61"/>
  <c r="P105" i="61"/>
  <c r="O105" i="61"/>
  <c r="N105" i="61"/>
  <c r="M105" i="61"/>
  <c r="L105" i="61"/>
  <c r="K105" i="61"/>
  <c r="J105" i="61"/>
  <c r="I105" i="61"/>
  <c r="H105" i="61"/>
  <c r="G105" i="61"/>
  <c r="F105" i="61"/>
  <c r="E105" i="61"/>
  <c r="AV104" i="61"/>
  <c r="AU104" i="61"/>
  <c r="AT104" i="61"/>
  <c r="AS104" i="61"/>
  <c r="AR104" i="61"/>
  <c r="AQ104" i="61"/>
  <c r="AP104" i="61"/>
  <c r="AO104" i="61"/>
  <c r="AN104" i="61"/>
  <c r="AM104" i="61"/>
  <c r="AL104" i="61"/>
  <c r="AK104" i="61"/>
  <c r="AJ104" i="61"/>
  <c r="AI104" i="61"/>
  <c r="AH104" i="61"/>
  <c r="AG104" i="61"/>
  <c r="AF104" i="61"/>
  <c r="AE104" i="61"/>
  <c r="AD104" i="61"/>
  <c r="AC104" i="61"/>
  <c r="AA104" i="61"/>
  <c r="Z104" i="61"/>
  <c r="Y104" i="61"/>
  <c r="X104" i="61"/>
  <c r="W104" i="61"/>
  <c r="V104" i="61"/>
  <c r="U104" i="61"/>
  <c r="T104" i="61"/>
  <c r="S104" i="61"/>
  <c r="R104" i="61"/>
  <c r="Q104" i="61"/>
  <c r="P104" i="61"/>
  <c r="O104" i="61"/>
  <c r="N104" i="61"/>
  <c r="M104" i="61"/>
  <c r="L104" i="61"/>
  <c r="K104" i="61"/>
  <c r="J104" i="61"/>
  <c r="I104" i="61"/>
  <c r="H104" i="61"/>
  <c r="G104" i="61"/>
  <c r="F104" i="61"/>
  <c r="E104" i="61"/>
  <c r="W103" i="61"/>
  <c r="V103" i="61"/>
  <c r="U103" i="61"/>
  <c r="T103" i="61"/>
  <c r="S103" i="61"/>
  <c r="R103" i="61"/>
  <c r="Q103" i="61"/>
  <c r="P103" i="61"/>
  <c r="O103" i="61"/>
  <c r="N103" i="61"/>
  <c r="M103" i="61"/>
  <c r="L103" i="61"/>
  <c r="K103" i="61"/>
  <c r="J103" i="61"/>
  <c r="I103" i="61"/>
  <c r="H103" i="61"/>
  <c r="G103" i="61"/>
  <c r="F103" i="61"/>
  <c r="E103" i="61"/>
  <c r="W102" i="61"/>
  <c r="V102" i="61"/>
  <c r="U102" i="61"/>
  <c r="T102" i="61"/>
  <c r="S102" i="61"/>
  <c r="R102" i="61"/>
  <c r="Q102" i="61"/>
  <c r="P102" i="61"/>
  <c r="O102" i="61"/>
  <c r="N102" i="61"/>
  <c r="M102" i="61"/>
  <c r="L102" i="61"/>
  <c r="K102" i="61"/>
  <c r="J102" i="61"/>
  <c r="I102" i="61"/>
  <c r="H102" i="61"/>
  <c r="G102" i="61"/>
  <c r="F102" i="61"/>
  <c r="E102" i="61"/>
  <c r="AU101" i="61"/>
  <c r="AT101" i="61"/>
  <c r="AP101" i="61"/>
  <c r="AO101" i="61"/>
  <c r="AK101" i="61"/>
  <c r="AJ101" i="61"/>
  <c r="AF101" i="61"/>
  <c r="AE101" i="61"/>
  <c r="AA101" i="61"/>
  <c r="Z101" i="61"/>
  <c r="Y101" i="61"/>
  <c r="W101" i="61"/>
  <c r="V101" i="61"/>
  <c r="U101" i="61"/>
  <c r="T101" i="61"/>
  <c r="S101" i="61"/>
  <c r="R101" i="61"/>
  <c r="Q101" i="61"/>
  <c r="P101" i="61"/>
  <c r="O101" i="61"/>
  <c r="N101" i="61"/>
  <c r="M101" i="61"/>
  <c r="L101" i="61"/>
  <c r="K101" i="61"/>
  <c r="J101" i="61"/>
  <c r="I101" i="61"/>
  <c r="H101" i="61"/>
  <c r="G101" i="61"/>
  <c r="F101" i="61"/>
  <c r="E101" i="61"/>
  <c r="W100" i="61"/>
  <c r="V100" i="61"/>
  <c r="U100" i="61"/>
  <c r="T100" i="61"/>
  <c r="S100" i="61"/>
  <c r="R100" i="61"/>
  <c r="Q100" i="61"/>
  <c r="P100" i="61"/>
  <c r="O100" i="61"/>
  <c r="N100" i="61"/>
  <c r="M100" i="61"/>
  <c r="L100" i="61"/>
  <c r="K100" i="61"/>
  <c r="J100" i="61"/>
  <c r="I100" i="61"/>
  <c r="H100" i="61"/>
  <c r="G100" i="61"/>
  <c r="F100" i="61"/>
  <c r="E100" i="61"/>
  <c r="X99" i="61"/>
  <c r="W99" i="61"/>
  <c r="V99" i="61"/>
  <c r="U99" i="61"/>
  <c r="T99" i="61"/>
  <c r="S99" i="61"/>
  <c r="R99" i="61"/>
  <c r="Q99" i="61"/>
  <c r="P99" i="61"/>
  <c r="O99" i="61"/>
  <c r="N99" i="61"/>
  <c r="M99" i="61"/>
  <c r="L99" i="61"/>
  <c r="K99" i="61"/>
  <c r="J99" i="61"/>
  <c r="I99" i="61"/>
  <c r="H99" i="61"/>
  <c r="G99" i="61"/>
  <c r="F99" i="61"/>
  <c r="E99" i="61"/>
  <c r="AU98" i="61"/>
  <c r="AT98" i="61"/>
  <c r="AP98" i="61"/>
  <c r="AO98" i="61"/>
  <c r="AK98" i="61"/>
  <c r="AJ98" i="61"/>
  <c r="AF98" i="61"/>
  <c r="AE98" i="61"/>
  <c r="AA98" i="61"/>
  <c r="Z98" i="61"/>
  <c r="Y98" i="61"/>
  <c r="W98" i="61"/>
  <c r="V98" i="61"/>
  <c r="U98" i="61"/>
  <c r="T98" i="61"/>
  <c r="S98" i="61"/>
  <c r="R98" i="61"/>
  <c r="Q98" i="61"/>
  <c r="P98" i="61"/>
  <c r="O98" i="61"/>
  <c r="N98" i="61"/>
  <c r="M98" i="61"/>
  <c r="L98" i="61"/>
  <c r="K98" i="61"/>
  <c r="J98" i="61"/>
  <c r="I98" i="61"/>
  <c r="H98" i="61"/>
  <c r="G98" i="61"/>
  <c r="F98" i="61"/>
  <c r="E98" i="61"/>
  <c r="W97" i="61"/>
  <c r="V97" i="61"/>
  <c r="U97" i="61"/>
  <c r="T97" i="61"/>
  <c r="S97" i="61"/>
  <c r="R97" i="61"/>
  <c r="Q97" i="61"/>
  <c r="P97" i="61"/>
  <c r="O97" i="61"/>
  <c r="N97" i="61"/>
  <c r="M97" i="61"/>
  <c r="L97" i="61"/>
  <c r="K97" i="61"/>
  <c r="J97" i="61"/>
  <c r="I97" i="61"/>
  <c r="H97" i="61"/>
  <c r="G97" i="61"/>
  <c r="F97" i="61"/>
  <c r="E97" i="61"/>
  <c r="AA96" i="61"/>
  <c r="Z96" i="61"/>
  <c r="Y96" i="61"/>
  <c r="X96" i="61"/>
  <c r="W96" i="61"/>
  <c r="V96" i="61"/>
  <c r="U96" i="61"/>
  <c r="T96" i="61"/>
  <c r="S96" i="61"/>
  <c r="R96" i="61"/>
  <c r="Q96" i="61"/>
  <c r="P96" i="61"/>
  <c r="O96" i="61"/>
  <c r="N96" i="61"/>
  <c r="M96" i="61"/>
  <c r="L96" i="61"/>
  <c r="K96" i="61"/>
  <c r="J96" i="61"/>
  <c r="I96" i="61"/>
  <c r="H96" i="61"/>
  <c r="G96" i="61"/>
  <c r="F96" i="61"/>
  <c r="E96" i="61"/>
  <c r="W95" i="61"/>
  <c r="V95" i="61"/>
  <c r="U95" i="61"/>
  <c r="T95" i="61"/>
  <c r="S95" i="61"/>
  <c r="R95" i="61"/>
  <c r="Q95" i="61"/>
  <c r="P95" i="61"/>
  <c r="O95" i="61"/>
  <c r="N95" i="61"/>
  <c r="M95" i="61"/>
  <c r="L95" i="61"/>
  <c r="K95" i="61"/>
  <c r="J95" i="61"/>
  <c r="I95" i="61"/>
  <c r="H95" i="61"/>
  <c r="G95" i="61"/>
  <c r="F95" i="61"/>
  <c r="E95" i="61"/>
  <c r="AA94" i="61"/>
  <c r="Z94" i="61"/>
  <c r="Y94" i="61"/>
  <c r="W94" i="61"/>
  <c r="V94" i="61"/>
  <c r="U94" i="61"/>
  <c r="T94" i="61"/>
  <c r="S94" i="61"/>
  <c r="R94" i="61"/>
  <c r="Q94" i="61"/>
  <c r="P94" i="61"/>
  <c r="O94" i="61"/>
  <c r="N94" i="61"/>
  <c r="M94" i="61"/>
  <c r="L94" i="61"/>
  <c r="K94" i="61"/>
  <c r="J94" i="61"/>
  <c r="I94" i="61"/>
  <c r="H94" i="61"/>
  <c r="G94" i="61"/>
  <c r="F94" i="61"/>
  <c r="E94" i="61"/>
  <c r="W93" i="61"/>
  <c r="V93" i="61"/>
  <c r="U93" i="61"/>
  <c r="T93" i="61"/>
  <c r="S93" i="61"/>
  <c r="R93" i="61"/>
  <c r="Q93" i="61"/>
  <c r="P93" i="61"/>
  <c r="O93" i="61"/>
  <c r="N93" i="61"/>
  <c r="M93" i="61"/>
  <c r="L93" i="61"/>
  <c r="K93" i="61"/>
  <c r="J93" i="61"/>
  <c r="I93" i="61"/>
  <c r="H93" i="61"/>
  <c r="G93" i="61"/>
  <c r="F93" i="61"/>
  <c r="E93" i="61"/>
  <c r="W92" i="61"/>
  <c r="V92" i="61"/>
  <c r="U92" i="61"/>
  <c r="T92" i="61"/>
  <c r="S92" i="61"/>
  <c r="R92" i="61"/>
  <c r="Q92" i="61"/>
  <c r="P92" i="61"/>
  <c r="O92" i="61"/>
  <c r="N92" i="61"/>
  <c r="M92" i="61"/>
  <c r="L92" i="61"/>
  <c r="K92" i="61"/>
  <c r="J92" i="61"/>
  <c r="I92" i="61"/>
  <c r="H92" i="61"/>
  <c r="G92" i="61"/>
  <c r="F92" i="61"/>
  <c r="E92" i="61"/>
  <c r="AV91" i="61"/>
  <c r="AU91" i="61"/>
  <c r="AT91" i="61"/>
  <c r="AS91" i="61"/>
  <c r="AR91" i="61"/>
  <c r="AQ91" i="61"/>
  <c r="AP91" i="61"/>
  <c r="AO91" i="61"/>
  <c r="AN91" i="61"/>
  <c r="AM91" i="61"/>
  <c r="AL91" i="61"/>
  <c r="AK91" i="61"/>
  <c r="AJ91" i="61"/>
  <c r="AI91" i="61"/>
  <c r="AH91" i="61"/>
  <c r="AG91" i="61"/>
  <c r="AF91" i="61"/>
  <c r="AE91" i="61"/>
  <c r="AD91" i="61"/>
  <c r="AC91" i="61"/>
  <c r="W91" i="61"/>
  <c r="V91" i="61"/>
  <c r="U91" i="61"/>
  <c r="T91" i="61"/>
  <c r="S91" i="61"/>
  <c r="R91" i="61"/>
  <c r="Q91" i="61"/>
  <c r="P91" i="61"/>
  <c r="O91" i="61"/>
  <c r="N91" i="61"/>
  <c r="M91" i="61"/>
  <c r="L91" i="61"/>
  <c r="K91" i="61"/>
  <c r="J91" i="61"/>
  <c r="I91" i="61"/>
  <c r="H91" i="61"/>
  <c r="G91" i="61"/>
  <c r="F91" i="61"/>
  <c r="E91" i="61"/>
  <c r="W90" i="61"/>
  <c r="V90" i="61"/>
  <c r="U90" i="61"/>
  <c r="T90" i="61"/>
  <c r="S90" i="61"/>
  <c r="R90" i="61"/>
  <c r="Q90" i="61"/>
  <c r="P90" i="61"/>
  <c r="O90" i="61"/>
  <c r="N90" i="61"/>
  <c r="M90" i="61"/>
  <c r="L90" i="61"/>
  <c r="K90" i="61"/>
  <c r="J90" i="61"/>
  <c r="I90" i="61"/>
  <c r="H90" i="61"/>
  <c r="G90" i="61"/>
  <c r="F90" i="61"/>
  <c r="E90" i="61"/>
  <c r="AV89" i="61"/>
  <c r="AU89" i="61"/>
  <c r="AT89" i="61"/>
  <c r="AS89" i="61"/>
  <c r="AR89" i="61"/>
  <c r="AQ89" i="61"/>
  <c r="AP89" i="61"/>
  <c r="AO89" i="61"/>
  <c r="AN89" i="61"/>
  <c r="AM89" i="61"/>
  <c r="AL89" i="61"/>
  <c r="AK89" i="61"/>
  <c r="AJ89" i="61"/>
  <c r="AI89" i="61"/>
  <c r="AH89" i="61"/>
  <c r="AG89" i="61"/>
  <c r="AF89" i="61"/>
  <c r="AE89" i="61"/>
  <c r="AD89" i="61"/>
  <c r="AC89" i="61"/>
  <c r="AB89" i="61"/>
  <c r="AA89" i="61"/>
  <c r="Z89" i="61"/>
  <c r="Y89" i="61"/>
  <c r="X89" i="61"/>
  <c r="W89" i="61"/>
  <c r="V89" i="61"/>
  <c r="U89" i="61"/>
  <c r="T89" i="61"/>
  <c r="S89" i="61"/>
  <c r="R89" i="61"/>
  <c r="Q89" i="61"/>
  <c r="P89" i="61"/>
  <c r="O89" i="61"/>
  <c r="N89" i="61"/>
  <c r="M89" i="61"/>
  <c r="L89" i="61"/>
  <c r="K89" i="61"/>
  <c r="J89" i="61"/>
  <c r="I89" i="61"/>
  <c r="H89" i="61"/>
  <c r="G89" i="61"/>
  <c r="F89" i="61"/>
  <c r="E89" i="61"/>
  <c r="AU88" i="61"/>
  <c r="AT88" i="61"/>
  <c r="AS88" i="61"/>
  <c r="AP88" i="61"/>
  <c r="AO88" i="61"/>
  <c r="AN88" i="61"/>
  <c r="AK88" i="61"/>
  <c r="AJ88" i="61"/>
  <c r="AI88" i="61"/>
  <c r="AF88" i="61"/>
  <c r="AE88" i="61"/>
  <c r="AD88" i="61"/>
  <c r="AA88" i="61"/>
  <c r="Z88" i="61"/>
  <c r="Y88" i="61"/>
  <c r="X88" i="61"/>
  <c r="W88" i="61"/>
  <c r="V88" i="61"/>
  <c r="U88" i="61"/>
  <c r="T88" i="61"/>
  <c r="S88" i="61"/>
  <c r="R88" i="61"/>
  <c r="Q88" i="61"/>
  <c r="P88" i="61"/>
  <c r="O88" i="61"/>
  <c r="N88" i="61"/>
  <c r="M88" i="61"/>
  <c r="L88" i="61"/>
  <c r="K88" i="61"/>
  <c r="J88" i="61"/>
  <c r="I88" i="61"/>
  <c r="H88" i="61"/>
  <c r="G88" i="61"/>
  <c r="F88" i="61"/>
  <c r="E88" i="61"/>
  <c r="X87" i="61"/>
  <c r="W87" i="61"/>
  <c r="V87" i="61"/>
  <c r="U87" i="61"/>
  <c r="T87" i="61"/>
  <c r="S87" i="61"/>
  <c r="R87" i="61"/>
  <c r="Q87" i="61"/>
  <c r="P87" i="61"/>
  <c r="O87" i="61"/>
  <c r="N87" i="61"/>
  <c r="M87" i="61"/>
  <c r="L87" i="61"/>
  <c r="K87" i="61"/>
  <c r="J87" i="61"/>
  <c r="I87" i="61"/>
  <c r="H87" i="61"/>
  <c r="G87" i="61"/>
  <c r="F87" i="61"/>
  <c r="E87" i="61"/>
  <c r="AV86" i="61"/>
  <c r="AU86" i="61"/>
  <c r="AT86" i="61"/>
  <c r="AS86" i="61"/>
  <c r="AQ86" i="61"/>
  <c r="AP86" i="61"/>
  <c r="AO86" i="61"/>
  <c r="AN86" i="61"/>
  <c r="AL86" i="61"/>
  <c r="AK86" i="61"/>
  <c r="AJ86" i="61"/>
  <c r="AI86" i="61"/>
  <c r="AG86" i="61"/>
  <c r="AF86" i="61"/>
  <c r="AE86" i="61"/>
  <c r="AD86" i="61"/>
  <c r="AB86" i="61"/>
  <c r="AA86" i="61"/>
  <c r="Z86" i="61"/>
  <c r="Y86" i="61"/>
  <c r="W86" i="61"/>
  <c r="V86" i="61"/>
  <c r="U86" i="61"/>
  <c r="T86" i="61"/>
  <c r="S86" i="61"/>
  <c r="R86" i="61"/>
  <c r="Q86" i="61"/>
  <c r="P86" i="61"/>
  <c r="O86" i="61"/>
  <c r="N86" i="61"/>
  <c r="M86" i="61"/>
  <c r="L86" i="61"/>
  <c r="K86" i="61"/>
  <c r="J86" i="61"/>
  <c r="I86" i="61"/>
  <c r="H86" i="61"/>
  <c r="G86" i="61"/>
  <c r="F86" i="61"/>
  <c r="E86" i="61"/>
  <c r="AV85" i="61"/>
  <c r="AQ85" i="61"/>
  <c r="AL85" i="61"/>
  <c r="AG85" i="61"/>
  <c r="AB85" i="61"/>
  <c r="W85" i="61"/>
  <c r="V85" i="61"/>
  <c r="U85" i="61"/>
  <c r="T85" i="61"/>
  <c r="S85" i="61"/>
  <c r="R85" i="61"/>
  <c r="Q85" i="61"/>
  <c r="P85" i="61"/>
  <c r="O85" i="61"/>
  <c r="N85" i="61"/>
  <c r="M85" i="61"/>
  <c r="L85" i="61"/>
  <c r="K85" i="61"/>
  <c r="J85" i="61"/>
  <c r="I85" i="61"/>
  <c r="H85" i="61"/>
  <c r="G85" i="61"/>
  <c r="F85" i="61"/>
  <c r="E85" i="61"/>
  <c r="AV84" i="61"/>
  <c r="AU84" i="61"/>
  <c r="AT84" i="61"/>
  <c r="AS84" i="61"/>
  <c r="AR84" i="61"/>
  <c r="AQ84" i="61"/>
  <c r="AP84" i="61"/>
  <c r="AO84" i="61"/>
  <c r="AN84" i="61"/>
  <c r="AM84" i="61"/>
  <c r="AL84" i="61"/>
  <c r="AK84" i="61"/>
  <c r="AJ84" i="61"/>
  <c r="AI84" i="61"/>
  <c r="AH84" i="61"/>
  <c r="AG84" i="61"/>
  <c r="AF84" i="61"/>
  <c r="AE84" i="61"/>
  <c r="AD84" i="61"/>
  <c r="AC84" i="61"/>
  <c r="AA84" i="61"/>
  <c r="Z84" i="61"/>
  <c r="Y84" i="61"/>
  <c r="X84" i="61"/>
  <c r="W84" i="61"/>
  <c r="V84" i="61"/>
  <c r="U84" i="61"/>
  <c r="T84" i="61"/>
  <c r="S84" i="61"/>
  <c r="R84" i="61"/>
  <c r="Q84" i="61"/>
  <c r="P84" i="61"/>
  <c r="O84" i="61"/>
  <c r="N84" i="61"/>
  <c r="M84" i="61"/>
  <c r="L84" i="61"/>
  <c r="K84" i="61"/>
  <c r="J84" i="61"/>
  <c r="I84" i="61"/>
  <c r="H84" i="61"/>
  <c r="G84" i="61"/>
  <c r="F84" i="61"/>
  <c r="E84" i="61"/>
  <c r="W83" i="61"/>
  <c r="V83" i="61"/>
  <c r="U83" i="61"/>
  <c r="T83" i="61"/>
  <c r="S83" i="61"/>
  <c r="R83" i="61"/>
  <c r="Q83" i="61"/>
  <c r="P83" i="61"/>
  <c r="O83" i="61"/>
  <c r="N83" i="61"/>
  <c r="M83" i="61"/>
  <c r="L83" i="61"/>
  <c r="K83" i="61"/>
  <c r="J83" i="61"/>
  <c r="I83" i="61"/>
  <c r="H83" i="61"/>
  <c r="G83" i="61"/>
  <c r="F83" i="61"/>
  <c r="E83" i="61"/>
  <c r="AV82" i="61"/>
  <c r="AU82" i="61"/>
  <c r="AT82" i="61"/>
  <c r="AS82" i="61"/>
  <c r="AR82" i="61"/>
  <c r="AQ82" i="61"/>
  <c r="AP82" i="61"/>
  <c r="AO82" i="61"/>
  <c r="AN82" i="61"/>
  <c r="AM82" i="61"/>
  <c r="AK82" i="61"/>
  <c r="AJ82" i="61"/>
  <c r="AI82" i="61"/>
  <c r="AH82" i="61"/>
  <c r="AF82" i="61"/>
  <c r="AE82" i="61"/>
  <c r="AD82" i="61"/>
  <c r="AC82" i="61"/>
  <c r="AA82" i="61"/>
  <c r="Z82" i="61"/>
  <c r="Y82" i="61"/>
  <c r="X82" i="61"/>
  <c r="W82" i="61"/>
  <c r="V82" i="61"/>
  <c r="U82" i="61"/>
  <c r="T82" i="61"/>
  <c r="S82" i="61"/>
  <c r="R82" i="61"/>
  <c r="Q82" i="61"/>
  <c r="P82" i="61"/>
  <c r="O82" i="61"/>
  <c r="N82" i="61"/>
  <c r="M82" i="61"/>
  <c r="L82" i="61"/>
  <c r="K82" i="61"/>
  <c r="J82" i="61"/>
  <c r="I82" i="61"/>
  <c r="H82" i="61"/>
  <c r="G82" i="61"/>
  <c r="F82" i="61"/>
  <c r="E82" i="61"/>
  <c r="AV81" i="61"/>
  <c r="AU81" i="61"/>
  <c r="AT81" i="61"/>
  <c r="AS81" i="61"/>
  <c r="AR81" i="61"/>
  <c r="AQ81" i="61"/>
  <c r="AP81" i="61"/>
  <c r="AO81" i="61"/>
  <c r="AN81" i="61"/>
  <c r="AM81" i="61"/>
  <c r="AL81" i="61"/>
  <c r="AK81" i="61"/>
  <c r="AJ81" i="61"/>
  <c r="AI81" i="61"/>
  <c r="AH81" i="61"/>
  <c r="AG81" i="61"/>
  <c r="AF81" i="61"/>
  <c r="AE81" i="61"/>
  <c r="AD81" i="61"/>
  <c r="AC81" i="61"/>
  <c r="AB81" i="61"/>
  <c r="AA81" i="61"/>
  <c r="Z81" i="61"/>
  <c r="Y81" i="61"/>
  <c r="X81" i="61"/>
  <c r="W81" i="61"/>
  <c r="V81" i="61"/>
  <c r="U81" i="61"/>
  <c r="T81" i="61"/>
  <c r="S81" i="61"/>
  <c r="R81" i="61"/>
  <c r="Q81" i="61"/>
  <c r="P81" i="61"/>
  <c r="O81" i="61"/>
  <c r="N81" i="61"/>
  <c r="M81" i="61"/>
  <c r="L81" i="61"/>
  <c r="K81" i="61"/>
  <c r="J81" i="61"/>
  <c r="I81" i="61"/>
  <c r="H81" i="61"/>
  <c r="G81" i="61"/>
  <c r="F81" i="61"/>
  <c r="E81" i="61"/>
  <c r="AV80" i="61"/>
  <c r="AU80" i="61"/>
  <c r="AT80" i="61"/>
  <c r="AS80" i="61"/>
  <c r="AR80" i="61"/>
  <c r="AQ80" i="61"/>
  <c r="AP80" i="61"/>
  <c r="AO80" i="61"/>
  <c r="AN80" i="61"/>
  <c r="AM80" i="61"/>
  <c r="AL80" i="61"/>
  <c r="AK80" i="61"/>
  <c r="AJ80" i="61"/>
  <c r="AI80" i="61"/>
  <c r="AH80" i="61"/>
  <c r="AG80" i="61"/>
  <c r="AF80" i="61"/>
  <c r="AE80" i="61"/>
  <c r="AD80" i="61"/>
  <c r="AC80" i="61"/>
  <c r="AB80" i="61"/>
  <c r="AA80" i="61"/>
  <c r="Z80" i="61"/>
  <c r="Y80" i="61"/>
  <c r="X80" i="61"/>
  <c r="W80" i="61"/>
  <c r="V80" i="61"/>
  <c r="U80" i="61"/>
  <c r="T80" i="61"/>
  <c r="S80" i="61"/>
  <c r="R80" i="61"/>
  <c r="Q80" i="61"/>
  <c r="P80" i="61"/>
  <c r="O80" i="61"/>
  <c r="N80" i="61"/>
  <c r="M80" i="61"/>
  <c r="L80" i="61"/>
  <c r="K80" i="61"/>
  <c r="J80" i="61"/>
  <c r="I80" i="61"/>
  <c r="H80" i="61"/>
  <c r="G80" i="61"/>
  <c r="F80" i="61"/>
  <c r="E80" i="61"/>
  <c r="AV79" i="61"/>
  <c r="AQ79" i="61"/>
  <c r="W79" i="61"/>
  <c r="V79" i="61"/>
  <c r="U79" i="61"/>
  <c r="T79" i="61"/>
  <c r="S79" i="61"/>
  <c r="R79" i="61"/>
  <c r="Q79" i="61"/>
  <c r="P79" i="61"/>
  <c r="O79" i="61"/>
  <c r="N79" i="61"/>
  <c r="M79" i="61"/>
  <c r="L79" i="61"/>
  <c r="K79" i="61"/>
  <c r="J79" i="61"/>
  <c r="I79" i="61"/>
  <c r="H79" i="61"/>
  <c r="G79" i="61"/>
  <c r="F79" i="61"/>
  <c r="E79" i="61"/>
  <c r="X78" i="61"/>
  <c r="W78" i="61"/>
  <c r="V78" i="61"/>
  <c r="U78" i="61"/>
  <c r="T78" i="61"/>
  <c r="S78" i="61"/>
  <c r="R78" i="61"/>
  <c r="Q78" i="61"/>
  <c r="P78" i="61"/>
  <c r="O78" i="61"/>
  <c r="N78" i="61"/>
  <c r="M78" i="61"/>
  <c r="L78" i="61"/>
  <c r="K78" i="61"/>
  <c r="J78" i="61"/>
  <c r="I78" i="61"/>
  <c r="H78" i="61"/>
  <c r="G78" i="61"/>
  <c r="F78" i="61"/>
  <c r="E78" i="61"/>
  <c r="AV77" i="61"/>
  <c r="AU77" i="61"/>
  <c r="AT77" i="61"/>
  <c r="AS77" i="61"/>
  <c r="AQ77" i="61"/>
  <c r="AP77" i="61"/>
  <c r="AO77" i="61"/>
  <c r="AN77" i="61"/>
  <c r="AL77" i="61"/>
  <c r="AK77" i="61"/>
  <c r="AJ77" i="61"/>
  <c r="AI77" i="61"/>
  <c r="AG77" i="61"/>
  <c r="AF77" i="61"/>
  <c r="AE77" i="61"/>
  <c r="AD77" i="61"/>
  <c r="AB77" i="61"/>
  <c r="AA77" i="61"/>
  <c r="Z77" i="61"/>
  <c r="Y77" i="61"/>
  <c r="W77" i="61"/>
  <c r="V77" i="61"/>
  <c r="U77" i="61"/>
  <c r="T77" i="61"/>
  <c r="S77" i="61"/>
  <c r="R77" i="61"/>
  <c r="Q77" i="61"/>
  <c r="P77" i="61"/>
  <c r="O77" i="61"/>
  <c r="N77" i="61"/>
  <c r="M77" i="61"/>
  <c r="L77" i="61"/>
  <c r="K77" i="61"/>
  <c r="J77" i="61"/>
  <c r="I77" i="61"/>
  <c r="H77" i="61"/>
  <c r="G77" i="61"/>
  <c r="F77" i="61"/>
  <c r="E77" i="61"/>
  <c r="AV76" i="61"/>
  <c r="AQ76" i="61"/>
  <c r="AL76" i="61"/>
  <c r="AG76" i="61"/>
  <c r="AB76" i="61"/>
  <c r="W76" i="61"/>
  <c r="V76" i="61"/>
  <c r="U76" i="61"/>
  <c r="T76" i="61"/>
  <c r="S76" i="61"/>
  <c r="R76" i="61"/>
  <c r="Q76" i="61"/>
  <c r="P76" i="61"/>
  <c r="O76" i="61"/>
  <c r="N76" i="61"/>
  <c r="M76" i="61"/>
  <c r="L76" i="61"/>
  <c r="K76" i="61"/>
  <c r="J76" i="61"/>
  <c r="I76" i="61"/>
  <c r="H76" i="61"/>
  <c r="G76" i="61"/>
  <c r="F76" i="61"/>
  <c r="E76" i="61"/>
  <c r="AV75" i="61"/>
  <c r="AU75" i="61"/>
  <c r="AT75" i="61"/>
  <c r="AS75" i="61"/>
  <c r="AR75" i="61"/>
  <c r="AQ75" i="61"/>
  <c r="AP75" i="61"/>
  <c r="AO75" i="61"/>
  <c r="AN75" i="61"/>
  <c r="AM75" i="61"/>
  <c r="AL75" i="61"/>
  <c r="AK75" i="61"/>
  <c r="AJ75" i="61"/>
  <c r="AI75" i="61"/>
  <c r="AH75" i="61"/>
  <c r="AG75" i="61"/>
  <c r="AF75" i="61"/>
  <c r="AE75" i="61"/>
  <c r="AD75" i="61"/>
  <c r="AC75" i="61"/>
  <c r="AA75" i="61"/>
  <c r="Z75" i="61"/>
  <c r="Y75" i="61"/>
  <c r="X75" i="61"/>
  <c r="W75" i="61"/>
  <c r="V75" i="61"/>
  <c r="U75" i="61"/>
  <c r="T75" i="61"/>
  <c r="S75" i="61"/>
  <c r="R75" i="61"/>
  <c r="Q75" i="61"/>
  <c r="P75" i="61"/>
  <c r="O75" i="61"/>
  <c r="N75" i="61"/>
  <c r="M75" i="61"/>
  <c r="L75" i="61"/>
  <c r="K75" i="61"/>
  <c r="J75" i="61"/>
  <c r="I75" i="61"/>
  <c r="H75" i="61"/>
  <c r="G75" i="61"/>
  <c r="F75" i="61"/>
  <c r="E75" i="61"/>
  <c r="W74" i="61"/>
  <c r="V74" i="61"/>
  <c r="U74" i="61"/>
  <c r="T74" i="61"/>
  <c r="S74" i="61"/>
  <c r="R74" i="61"/>
  <c r="Q74" i="61"/>
  <c r="P74" i="61"/>
  <c r="O74" i="61"/>
  <c r="N74" i="61"/>
  <c r="M74" i="61"/>
  <c r="L74" i="61"/>
  <c r="K74" i="61"/>
  <c r="J74" i="61"/>
  <c r="I74" i="61"/>
  <c r="H74" i="61"/>
  <c r="G74" i="61"/>
  <c r="F74" i="61"/>
  <c r="E74" i="61"/>
  <c r="D106" i="61"/>
  <c r="D105" i="61"/>
  <c r="D104" i="61"/>
  <c r="D103" i="61"/>
  <c r="D102" i="61"/>
  <c r="D101" i="61"/>
  <c r="D100" i="61"/>
  <c r="D99" i="61"/>
  <c r="D98" i="61"/>
  <c r="D97" i="61"/>
  <c r="D96" i="61"/>
  <c r="D95" i="61"/>
  <c r="D94" i="61"/>
  <c r="D93" i="61"/>
  <c r="D92" i="61"/>
  <c r="D91" i="61"/>
  <c r="D90" i="61"/>
  <c r="D89" i="61"/>
  <c r="D88" i="61"/>
  <c r="D87" i="61"/>
  <c r="D86" i="61"/>
  <c r="D85" i="61"/>
  <c r="D84" i="61"/>
  <c r="D83" i="61"/>
  <c r="D82" i="61"/>
  <c r="D81" i="61"/>
  <c r="D80" i="61"/>
  <c r="D79" i="61"/>
  <c r="D78" i="61"/>
  <c r="D77" i="61"/>
  <c r="D76" i="61"/>
  <c r="D75" i="61"/>
  <c r="D74" i="61"/>
  <c r="W72" i="61"/>
  <c r="V72" i="61"/>
  <c r="U72" i="61"/>
  <c r="T72" i="61"/>
  <c r="S72" i="61"/>
  <c r="R72" i="61"/>
  <c r="Q72" i="61"/>
  <c r="P72" i="61"/>
  <c r="O72" i="61"/>
  <c r="N72" i="61"/>
  <c r="M72" i="61"/>
  <c r="L72" i="61"/>
  <c r="K72" i="61"/>
  <c r="J72" i="61"/>
  <c r="I72" i="61"/>
  <c r="H72" i="61"/>
  <c r="G72" i="61"/>
  <c r="F72" i="61"/>
  <c r="E72" i="61"/>
  <c r="W71" i="61"/>
  <c r="V71" i="61"/>
  <c r="U71" i="61"/>
  <c r="T71" i="61"/>
  <c r="S71" i="61"/>
  <c r="R71" i="61"/>
  <c r="Q71" i="61"/>
  <c r="P71" i="61"/>
  <c r="O71" i="61"/>
  <c r="N71" i="61"/>
  <c r="M71" i="61"/>
  <c r="L71" i="61"/>
  <c r="K71" i="61"/>
  <c r="J71" i="61"/>
  <c r="I71" i="61"/>
  <c r="H71" i="61"/>
  <c r="G71" i="61"/>
  <c r="F71" i="61"/>
  <c r="E71" i="61"/>
  <c r="W70" i="61"/>
  <c r="V70" i="61"/>
  <c r="U70" i="61"/>
  <c r="T70" i="61"/>
  <c r="S70" i="61"/>
  <c r="R70" i="61"/>
  <c r="Q70" i="61"/>
  <c r="P70" i="61"/>
  <c r="O70" i="61"/>
  <c r="N70" i="61"/>
  <c r="M70" i="61"/>
  <c r="L70" i="61"/>
  <c r="K70" i="61"/>
  <c r="J70" i="61"/>
  <c r="I70" i="61"/>
  <c r="H70" i="61"/>
  <c r="G70" i="61"/>
  <c r="F70" i="61"/>
  <c r="E70" i="61"/>
  <c r="X69" i="61"/>
  <c r="W69" i="61"/>
  <c r="V69" i="61"/>
  <c r="U69" i="61"/>
  <c r="T69" i="61"/>
  <c r="S69" i="61"/>
  <c r="R69" i="61"/>
  <c r="Q69" i="61"/>
  <c r="P69" i="61"/>
  <c r="O69" i="61"/>
  <c r="N69" i="61"/>
  <c r="M69" i="61"/>
  <c r="L69" i="61"/>
  <c r="K69" i="61"/>
  <c r="J69" i="61"/>
  <c r="I69" i="61"/>
  <c r="H69" i="61"/>
  <c r="G69" i="61"/>
  <c r="F69" i="61"/>
  <c r="E69" i="61"/>
  <c r="AU68" i="61"/>
  <c r="AT68" i="61"/>
  <c r="AS68" i="61"/>
  <c r="AP68" i="61"/>
  <c r="AO68" i="61"/>
  <c r="AN68" i="61"/>
  <c r="AK68" i="61"/>
  <c r="AJ68" i="61"/>
  <c r="AI68" i="61"/>
  <c r="AF68" i="61"/>
  <c r="AE68" i="61"/>
  <c r="AD68" i="61"/>
  <c r="AA68" i="61"/>
  <c r="Z68" i="61"/>
  <c r="Y68" i="61"/>
  <c r="W68" i="61"/>
  <c r="V68" i="61"/>
  <c r="U68" i="61"/>
  <c r="T68" i="61"/>
  <c r="S68" i="61"/>
  <c r="R68" i="61"/>
  <c r="Q68" i="61"/>
  <c r="P68" i="61"/>
  <c r="O68" i="61"/>
  <c r="N68" i="61"/>
  <c r="M68" i="61"/>
  <c r="L68" i="61"/>
  <c r="K68" i="61"/>
  <c r="J68" i="61"/>
  <c r="I68" i="61"/>
  <c r="H68" i="61"/>
  <c r="G68" i="61"/>
  <c r="F68" i="61"/>
  <c r="E68" i="61"/>
  <c r="W67" i="61"/>
  <c r="V67" i="61"/>
  <c r="U67" i="61"/>
  <c r="T67" i="61"/>
  <c r="S67" i="61"/>
  <c r="R67" i="61"/>
  <c r="Q67" i="61"/>
  <c r="P67" i="61"/>
  <c r="O67" i="61"/>
  <c r="N67" i="61"/>
  <c r="M67" i="61"/>
  <c r="L67" i="61"/>
  <c r="K67" i="61"/>
  <c r="J67" i="61"/>
  <c r="I67" i="61"/>
  <c r="H67" i="61"/>
  <c r="G67" i="61"/>
  <c r="F67" i="61"/>
  <c r="E67" i="61"/>
  <c r="X66" i="61"/>
  <c r="W66" i="61"/>
  <c r="V66" i="61"/>
  <c r="U66" i="61"/>
  <c r="T66" i="61"/>
  <c r="S66" i="61"/>
  <c r="R66" i="61"/>
  <c r="Q66" i="61"/>
  <c r="P66" i="61"/>
  <c r="O66" i="61"/>
  <c r="N66" i="61"/>
  <c r="M66" i="61"/>
  <c r="L66" i="61"/>
  <c r="K66" i="61"/>
  <c r="J66" i="61"/>
  <c r="I66" i="61"/>
  <c r="H66" i="61"/>
  <c r="G66" i="61"/>
  <c r="F66" i="61"/>
  <c r="E66" i="61"/>
  <c r="AU65" i="61"/>
  <c r="AT65" i="61"/>
  <c r="AS65" i="61"/>
  <c r="AP65" i="61"/>
  <c r="AO65" i="61"/>
  <c r="AN65" i="61"/>
  <c r="AK65" i="61"/>
  <c r="AJ65" i="61"/>
  <c r="AI65" i="61"/>
  <c r="AF65" i="61"/>
  <c r="AE65" i="61"/>
  <c r="AD65" i="61"/>
  <c r="AA65" i="61"/>
  <c r="Z65" i="61"/>
  <c r="Y65" i="61"/>
  <c r="W65" i="61"/>
  <c r="V65" i="61"/>
  <c r="U65" i="61"/>
  <c r="T65" i="61"/>
  <c r="S65" i="61"/>
  <c r="R65" i="61"/>
  <c r="Q65" i="61"/>
  <c r="P65" i="61"/>
  <c r="O65" i="61"/>
  <c r="N65" i="61"/>
  <c r="M65" i="61"/>
  <c r="L65" i="61"/>
  <c r="K65" i="61"/>
  <c r="J65" i="61"/>
  <c r="I65" i="61"/>
  <c r="H65" i="61"/>
  <c r="G65" i="61"/>
  <c r="F65" i="61"/>
  <c r="E65" i="61"/>
  <c r="W64" i="61"/>
  <c r="V64" i="61"/>
  <c r="U64" i="61"/>
  <c r="T64" i="61"/>
  <c r="S64" i="61"/>
  <c r="R64" i="61"/>
  <c r="Q64" i="61"/>
  <c r="P64" i="61"/>
  <c r="O64" i="61"/>
  <c r="N64" i="61"/>
  <c r="M64" i="61"/>
  <c r="L64" i="61"/>
  <c r="K64" i="61"/>
  <c r="J64" i="61"/>
  <c r="I64" i="61"/>
  <c r="H64" i="61"/>
  <c r="G64" i="61"/>
  <c r="F64" i="61"/>
  <c r="E64" i="61"/>
  <c r="AU63" i="61"/>
  <c r="AT63" i="61"/>
  <c r="AS63" i="61"/>
  <c r="AP63" i="61"/>
  <c r="AO63" i="61"/>
  <c r="AN63" i="61"/>
  <c r="AK63" i="61"/>
  <c r="AJ63" i="61"/>
  <c r="AI63" i="61"/>
  <c r="AF63" i="61"/>
  <c r="AE63" i="61"/>
  <c r="AD63" i="61"/>
  <c r="AA63" i="61"/>
  <c r="Z63" i="61"/>
  <c r="Y63" i="61"/>
  <c r="X63" i="61"/>
  <c r="W63" i="61"/>
  <c r="V63" i="61"/>
  <c r="U63" i="61"/>
  <c r="T63" i="61"/>
  <c r="S63" i="61"/>
  <c r="R63" i="61"/>
  <c r="Q63" i="61"/>
  <c r="P63" i="61"/>
  <c r="O63" i="61"/>
  <c r="N63" i="61"/>
  <c r="M63" i="61"/>
  <c r="L63" i="61"/>
  <c r="K63" i="61"/>
  <c r="J63" i="61"/>
  <c r="I63" i="61"/>
  <c r="H63" i="61"/>
  <c r="G63" i="61"/>
  <c r="F63" i="61"/>
  <c r="E63" i="61"/>
  <c r="W62" i="61"/>
  <c r="V62" i="61"/>
  <c r="U62" i="61"/>
  <c r="T62" i="61"/>
  <c r="S62" i="61"/>
  <c r="R62" i="61"/>
  <c r="Q62" i="61"/>
  <c r="P62" i="61"/>
  <c r="O62" i="61"/>
  <c r="N62" i="61"/>
  <c r="M62" i="61"/>
  <c r="L62" i="61"/>
  <c r="K62" i="61"/>
  <c r="J62" i="61"/>
  <c r="I62" i="61"/>
  <c r="H62" i="61"/>
  <c r="G62" i="61"/>
  <c r="F62" i="61"/>
  <c r="E62" i="61"/>
  <c r="AU61" i="61"/>
  <c r="AT61" i="61"/>
  <c r="AS61" i="61"/>
  <c r="AP61" i="61"/>
  <c r="AO61" i="61"/>
  <c r="AN61" i="61"/>
  <c r="AK61" i="61"/>
  <c r="AJ61" i="61"/>
  <c r="AI61" i="61"/>
  <c r="AF61" i="61"/>
  <c r="AE61" i="61"/>
  <c r="AD61" i="61"/>
  <c r="AA61" i="61"/>
  <c r="Z61" i="61"/>
  <c r="Y61" i="61"/>
  <c r="W61" i="61"/>
  <c r="V61" i="61"/>
  <c r="U61" i="61"/>
  <c r="T61" i="61"/>
  <c r="S61" i="61"/>
  <c r="R61" i="61"/>
  <c r="Q61" i="61"/>
  <c r="P61" i="61"/>
  <c r="O61" i="61"/>
  <c r="N61" i="61"/>
  <c r="M61" i="61"/>
  <c r="L61" i="61"/>
  <c r="K61" i="61"/>
  <c r="J61" i="61"/>
  <c r="I61" i="61"/>
  <c r="H61" i="61"/>
  <c r="G61" i="61"/>
  <c r="F61" i="61"/>
  <c r="E61" i="61"/>
  <c r="W60" i="61"/>
  <c r="V60" i="61"/>
  <c r="U60" i="61"/>
  <c r="T60" i="61"/>
  <c r="S60" i="61"/>
  <c r="R60" i="61"/>
  <c r="Q60" i="61"/>
  <c r="P60" i="61"/>
  <c r="O60" i="61"/>
  <c r="N60" i="61"/>
  <c r="M60" i="61"/>
  <c r="L60" i="61"/>
  <c r="K60" i="61"/>
  <c r="J60" i="61"/>
  <c r="I60" i="61"/>
  <c r="H60" i="61"/>
  <c r="G60" i="61"/>
  <c r="F60" i="61"/>
  <c r="E60" i="61"/>
  <c r="W59" i="61"/>
  <c r="V59" i="61"/>
  <c r="U59" i="61"/>
  <c r="T59" i="61"/>
  <c r="S59" i="61"/>
  <c r="R59" i="61"/>
  <c r="Q59" i="61"/>
  <c r="P59" i="61"/>
  <c r="O59" i="61"/>
  <c r="N59" i="61"/>
  <c r="M59" i="61"/>
  <c r="L59" i="61"/>
  <c r="K59" i="61"/>
  <c r="J59" i="61"/>
  <c r="I59" i="61"/>
  <c r="H59" i="61"/>
  <c r="G59" i="61"/>
  <c r="F59" i="61"/>
  <c r="E59" i="61"/>
  <c r="AV58" i="61"/>
  <c r="AU58" i="61"/>
  <c r="AT58" i="61"/>
  <c r="AS58" i="61"/>
  <c r="AR58" i="61"/>
  <c r="AQ58" i="61"/>
  <c r="AP58" i="61"/>
  <c r="AO58" i="61"/>
  <c r="AN58" i="61"/>
  <c r="AM58" i="61"/>
  <c r="AL58" i="61"/>
  <c r="AK58" i="61"/>
  <c r="AJ58" i="61"/>
  <c r="AI58" i="61"/>
  <c r="AH58" i="61"/>
  <c r="AG58" i="61"/>
  <c r="AF58" i="61"/>
  <c r="AE58" i="61"/>
  <c r="AD58" i="61"/>
  <c r="AC58" i="61"/>
  <c r="W58" i="61"/>
  <c r="V58" i="61"/>
  <c r="U58" i="61"/>
  <c r="T58" i="61"/>
  <c r="S58" i="61"/>
  <c r="R58" i="61"/>
  <c r="Q58" i="61"/>
  <c r="P58" i="61"/>
  <c r="O58" i="61"/>
  <c r="N58" i="61"/>
  <c r="M58" i="61"/>
  <c r="L58" i="61"/>
  <c r="K58" i="61"/>
  <c r="J58" i="61"/>
  <c r="I58" i="61"/>
  <c r="H58" i="61"/>
  <c r="G58" i="61"/>
  <c r="F58" i="61"/>
  <c r="E58" i="61"/>
  <c r="W57" i="61"/>
  <c r="V57" i="61"/>
  <c r="U57" i="61"/>
  <c r="T57" i="61"/>
  <c r="S57" i="61"/>
  <c r="R57" i="61"/>
  <c r="Q57" i="61"/>
  <c r="P57" i="61"/>
  <c r="O57" i="61"/>
  <c r="N57" i="61"/>
  <c r="M57" i="61"/>
  <c r="L57" i="61"/>
  <c r="K57" i="61"/>
  <c r="J57" i="61"/>
  <c r="I57" i="61"/>
  <c r="H57" i="61"/>
  <c r="G57" i="61"/>
  <c r="F57" i="61"/>
  <c r="E57" i="61"/>
  <c r="AV56" i="61"/>
  <c r="AU56" i="61"/>
  <c r="AT56" i="61"/>
  <c r="AS56" i="61"/>
  <c r="AR56" i="61"/>
  <c r="AQ56" i="61"/>
  <c r="AP56" i="61"/>
  <c r="AO56" i="61"/>
  <c r="AN56" i="61"/>
  <c r="AM56" i="61"/>
  <c r="AL56" i="61"/>
  <c r="AK56" i="61"/>
  <c r="AJ56" i="61"/>
  <c r="AI56" i="61"/>
  <c r="AH56" i="61"/>
  <c r="AG56" i="61"/>
  <c r="AF56" i="61"/>
  <c r="AE56" i="61"/>
  <c r="AD56" i="61"/>
  <c r="AC56" i="61"/>
  <c r="AB56" i="61"/>
  <c r="AA56" i="61"/>
  <c r="Z56" i="61"/>
  <c r="Y56" i="61"/>
  <c r="X56" i="61"/>
  <c r="W56" i="61"/>
  <c r="V56" i="61"/>
  <c r="U56" i="61"/>
  <c r="T56" i="61"/>
  <c r="S56" i="61"/>
  <c r="R56" i="61"/>
  <c r="Q56" i="61"/>
  <c r="P56" i="61"/>
  <c r="O56" i="61"/>
  <c r="N56" i="61"/>
  <c r="M56" i="61"/>
  <c r="L56" i="61"/>
  <c r="K56" i="61"/>
  <c r="J56" i="61"/>
  <c r="I56" i="61"/>
  <c r="H56" i="61"/>
  <c r="G56" i="61"/>
  <c r="F56" i="61"/>
  <c r="E56" i="61"/>
  <c r="AU55" i="61"/>
  <c r="AT55" i="61"/>
  <c r="AS55" i="61"/>
  <c r="AP55" i="61"/>
  <c r="AO55" i="61"/>
  <c r="AN55" i="61"/>
  <c r="AK55" i="61"/>
  <c r="AJ55" i="61"/>
  <c r="AI55" i="61"/>
  <c r="AF55" i="61"/>
  <c r="AE55" i="61"/>
  <c r="AD55" i="61"/>
  <c r="AA55" i="61"/>
  <c r="Z55" i="61"/>
  <c r="Y55" i="61"/>
  <c r="X55" i="61"/>
  <c r="W55" i="61"/>
  <c r="V55" i="61"/>
  <c r="U55" i="61"/>
  <c r="T55" i="61"/>
  <c r="S55" i="61"/>
  <c r="R55" i="61"/>
  <c r="Q55" i="61"/>
  <c r="P55" i="61"/>
  <c r="O55" i="61"/>
  <c r="N55" i="61"/>
  <c r="M55" i="61"/>
  <c r="L55" i="61"/>
  <c r="K55" i="61"/>
  <c r="J55" i="61"/>
  <c r="I55" i="61"/>
  <c r="H55" i="61"/>
  <c r="G55" i="61"/>
  <c r="F55" i="61"/>
  <c r="E55" i="61"/>
  <c r="X54" i="61"/>
  <c r="W54" i="61"/>
  <c r="V54" i="61"/>
  <c r="U54" i="61"/>
  <c r="T54" i="61"/>
  <c r="S54" i="61"/>
  <c r="R54" i="61"/>
  <c r="Q54" i="61"/>
  <c r="P54" i="61"/>
  <c r="O54" i="61"/>
  <c r="N54" i="61"/>
  <c r="M54" i="61"/>
  <c r="L54" i="61"/>
  <c r="K54" i="61"/>
  <c r="J54" i="61"/>
  <c r="I54" i="61"/>
  <c r="H54" i="61"/>
  <c r="G54" i="61"/>
  <c r="F54" i="61"/>
  <c r="E54" i="61"/>
  <c r="AV53" i="61"/>
  <c r="AU53" i="61"/>
  <c r="AT53" i="61"/>
  <c r="AS53" i="61"/>
  <c r="AQ53" i="61"/>
  <c r="AP53" i="61"/>
  <c r="AO53" i="61"/>
  <c r="AN53" i="61"/>
  <c r="AL53" i="61"/>
  <c r="AK53" i="61"/>
  <c r="AJ53" i="61"/>
  <c r="AI53" i="61"/>
  <c r="AG53" i="61"/>
  <c r="AF53" i="61"/>
  <c r="AE53" i="61"/>
  <c r="AD53" i="61"/>
  <c r="AB53" i="61"/>
  <c r="AA53" i="61"/>
  <c r="Z53" i="61"/>
  <c r="Y53" i="61"/>
  <c r="W53" i="61"/>
  <c r="V53" i="61"/>
  <c r="U53" i="61"/>
  <c r="T53" i="61"/>
  <c r="S53" i="61"/>
  <c r="R53" i="61"/>
  <c r="Q53" i="61"/>
  <c r="P53" i="61"/>
  <c r="O53" i="61"/>
  <c r="N53" i="61"/>
  <c r="M53" i="61"/>
  <c r="L53" i="61"/>
  <c r="K53" i="61"/>
  <c r="J53" i="61"/>
  <c r="I53" i="61"/>
  <c r="H53" i="61"/>
  <c r="G53" i="61"/>
  <c r="F53" i="61"/>
  <c r="E53" i="61"/>
  <c r="AV52" i="61"/>
  <c r="AQ52" i="61"/>
  <c r="AL52" i="61"/>
  <c r="AG52" i="61"/>
  <c r="AB52" i="61"/>
  <c r="W52" i="61"/>
  <c r="V52" i="61"/>
  <c r="U52" i="61"/>
  <c r="T52" i="61"/>
  <c r="S52" i="61"/>
  <c r="R52" i="61"/>
  <c r="Q52" i="61"/>
  <c r="P52" i="61"/>
  <c r="O52" i="61"/>
  <c r="N52" i="61"/>
  <c r="M52" i="61"/>
  <c r="L52" i="61"/>
  <c r="K52" i="61"/>
  <c r="J52" i="61"/>
  <c r="I52" i="61"/>
  <c r="H52" i="61"/>
  <c r="G52" i="61"/>
  <c r="F52" i="61"/>
  <c r="E52" i="61"/>
  <c r="AV51" i="61"/>
  <c r="AU51" i="61"/>
  <c r="AT51" i="61"/>
  <c r="AS51" i="61"/>
  <c r="AR51" i="61"/>
  <c r="AQ51" i="61"/>
  <c r="AP51" i="61"/>
  <c r="AO51" i="61"/>
  <c r="AN51" i="61"/>
  <c r="AM51" i="61"/>
  <c r="AL51" i="61"/>
  <c r="AK51" i="61"/>
  <c r="AJ51" i="61"/>
  <c r="AI51" i="61"/>
  <c r="AH51" i="61"/>
  <c r="AG51" i="61"/>
  <c r="AF51" i="61"/>
  <c r="AE51" i="61"/>
  <c r="AD51" i="61"/>
  <c r="AC51" i="61"/>
  <c r="AA51" i="61"/>
  <c r="Z51" i="61"/>
  <c r="Y51" i="61"/>
  <c r="X51" i="61"/>
  <c r="W51" i="61"/>
  <c r="V51" i="61"/>
  <c r="U51" i="61"/>
  <c r="T51" i="61"/>
  <c r="S51" i="61"/>
  <c r="R51" i="61"/>
  <c r="Q51" i="61"/>
  <c r="P51" i="61"/>
  <c r="O51" i="61"/>
  <c r="N51" i="61"/>
  <c r="M51" i="61"/>
  <c r="L51" i="61"/>
  <c r="K51" i="61"/>
  <c r="J51" i="61"/>
  <c r="I51" i="61"/>
  <c r="H51" i="61"/>
  <c r="G51" i="61"/>
  <c r="F51" i="61"/>
  <c r="E51" i="61"/>
  <c r="W50" i="61"/>
  <c r="V50" i="61"/>
  <c r="U50" i="61"/>
  <c r="T50" i="61"/>
  <c r="S50" i="61"/>
  <c r="R50" i="61"/>
  <c r="Q50" i="61"/>
  <c r="P50" i="61"/>
  <c r="O50" i="61"/>
  <c r="N50" i="61"/>
  <c r="M50" i="61"/>
  <c r="L50" i="61"/>
  <c r="K50" i="61"/>
  <c r="J50" i="61"/>
  <c r="I50" i="61"/>
  <c r="H50" i="61"/>
  <c r="G50" i="61"/>
  <c r="F50" i="61"/>
  <c r="E50" i="61"/>
  <c r="AV49" i="61"/>
  <c r="AU49" i="61"/>
  <c r="AT49" i="61"/>
  <c r="AS49" i="61"/>
  <c r="AR49" i="61"/>
  <c r="AQ49" i="61"/>
  <c r="AP49" i="61"/>
  <c r="AO49" i="61"/>
  <c r="AN49" i="61"/>
  <c r="AM49" i="61"/>
  <c r="AL49" i="61"/>
  <c r="AK49" i="61"/>
  <c r="AJ49" i="61"/>
  <c r="AI49" i="61"/>
  <c r="AH49" i="61"/>
  <c r="AG49" i="61"/>
  <c r="AF49" i="61"/>
  <c r="AE49" i="61"/>
  <c r="AD49" i="61"/>
  <c r="AC49" i="61"/>
  <c r="AB49" i="61"/>
  <c r="AA49" i="61"/>
  <c r="Z49" i="61"/>
  <c r="Y49" i="61"/>
  <c r="X49" i="61"/>
  <c r="W49" i="61"/>
  <c r="V49" i="61"/>
  <c r="U49" i="61"/>
  <c r="T49" i="61"/>
  <c r="S49" i="61"/>
  <c r="R49" i="61"/>
  <c r="Q49" i="61"/>
  <c r="P49" i="61"/>
  <c r="O49" i="61"/>
  <c r="N49" i="61"/>
  <c r="M49" i="61"/>
  <c r="L49" i="61"/>
  <c r="K49" i="61"/>
  <c r="J49" i="61"/>
  <c r="I49" i="61"/>
  <c r="H49" i="61"/>
  <c r="G49" i="61"/>
  <c r="F49" i="61"/>
  <c r="E49" i="61"/>
  <c r="AV48" i="61"/>
  <c r="AU48" i="61"/>
  <c r="AT48" i="61"/>
  <c r="AS48" i="61"/>
  <c r="AR48" i="61"/>
  <c r="AQ48" i="61"/>
  <c r="AP48" i="61"/>
  <c r="AO48" i="61"/>
  <c r="AN48" i="61"/>
  <c r="AM48" i="61"/>
  <c r="AL48" i="61"/>
  <c r="AK48" i="61"/>
  <c r="AJ48" i="61"/>
  <c r="AI48" i="61"/>
  <c r="AH48" i="61"/>
  <c r="AG48" i="61"/>
  <c r="AF48" i="61"/>
  <c r="AE48" i="61"/>
  <c r="AD48" i="61"/>
  <c r="AC48" i="61"/>
  <c r="AB48" i="61"/>
  <c r="AA48" i="61"/>
  <c r="Z48" i="61"/>
  <c r="Y48" i="61"/>
  <c r="X48" i="61"/>
  <c r="W48" i="61"/>
  <c r="V48" i="61"/>
  <c r="U48" i="61"/>
  <c r="T48" i="61"/>
  <c r="S48" i="61"/>
  <c r="R48" i="61"/>
  <c r="Q48" i="61"/>
  <c r="P48" i="61"/>
  <c r="O48" i="61"/>
  <c r="N48" i="61"/>
  <c r="M48" i="61"/>
  <c r="L48" i="61"/>
  <c r="K48" i="61"/>
  <c r="J48" i="61"/>
  <c r="I48" i="61"/>
  <c r="H48" i="61"/>
  <c r="G48" i="61"/>
  <c r="F48" i="61"/>
  <c r="E48" i="61"/>
  <c r="AV47" i="61"/>
  <c r="AU47" i="61"/>
  <c r="AT47" i="61"/>
  <c r="AS47" i="61"/>
  <c r="AR47" i="61"/>
  <c r="AQ47" i="61"/>
  <c r="AP47" i="61"/>
  <c r="AO47" i="61"/>
  <c r="AN47" i="61"/>
  <c r="AM47" i="61"/>
  <c r="AL47" i="61"/>
  <c r="AK47" i="61"/>
  <c r="AJ47" i="61"/>
  <c r="AI47" i="61"/>
  <c r="AH47" i="61"/>
  <c r="AG47" i="61"/>
  <c r="AF47" i="61"/>
  <c r="AE47" i="61"/>
  <c r="AD47" i="61"/>
  <c r="AC47" i="61"/>
  <c r="AA47" i="61"/>
  <c r="Z47" i="61"/>
  <c r="Y47" i="61"/>
  <c r="X47" i="61"/>
  <c r="W47" i="61"/>
  <c r="V47" i="61"/>
  <c r="U47" i="61"/>
  <c r="T47" i="61"/>
  <c r="S47" i="61"/>
  <c r="R47" i="61"/>
  <c r="Q47" i="61"/>
  <c r="P47" i="61"/>
  <c r="O47" i="61"/>
  <c r="N47" i="61"/>
  <c r="M47" i="61"/>
  <c r="L47" i="61"/>
  <c r="K47" i="61"/>
  <c r="J47" i="61"/>
  <c r="I47" i="61"/>
  <c r="H47" i="61"/>
  <c r="G47" i="61"/>
  <c r="F47" i="61"/>
  <c r="E47" i="61"/>
  <c r="W46" i="61"/>
  <c r="V46" i="61"/>
  <c r="U46" i="61"/>
  <c r="T46" i="61"/>
  <c r="S46" i="61"/>
  <c r="R46" i="61"/>
  <c r="Q46" i="61"/>
  <c r="P46" i="61"/>
  <c r="O46" i="61"/>
  <c r="N46" i="61"/>
  <c r="M46" i="61"/>
  <c r="L46" i="61"/>
  <c r="K46" i="61"/>
  <c r="J46" i="61"/>
  <c r="I46" i="61"/>
  <c r="H46" i="61"/>
  <c r="G46" i="61"/>
  <c r="F46" i="61"/>
  <c r="E46" i="61"/>
  <c r="W45" i="61"/>
  <c r="V45" i="61"/>
  <c r="U45" i="61"/>
  <c r="T45" i="61"/>
  <c r="S45" i="61"/>
  <c r="R45" i="61"/>
  <c r="Q45" i="61"/>
  <c r="P45" i="61"/>
  <c r="O45" i="61"/>
  <c r="N45" i="61"/>
  <c r="M45" i="61"/>
  <c r="L45" i="61"/>
  <c r="K45" i="61"/>
  <c r="J45" i="61"/>
  <c r="I45" i="61"/>
  <c r="H45" i="61"/>
  <c r="G45" i="61"/>
  <c r="F45" i="61"/>
  <c r="E45" i="61"/>
  <c r="AV44" i="61"/>
  <c r="AU44" i="61"/>
  <c r="AT44" i="61"/>
  <c r="AS44" i="61"/>
  <c r="AQ44" i="61"/>
  <c r="AP44" i="61"/>
  <c r="AO44" i="61"/>
  <c r="AN44" i="61"/>
  <c r="AL44" i="61"/>
  <c r="AK44" i="61"/>
  <c r="AJ44" i="61"/>
  <c r="AI44" i="61"/>
  <c r="AG44" i="61"/>
  <c r="AF44" i="61"/>
  <c r="AE44" i="61"/>
  <c r="AD44" i="61"/>
  <c r="AB44" i="61"/>
  <c r="AA44" i="61"/>
  <c r="Z44" i="61"/>
  <c r="Y44" i="61"/>
  <c r="W44" i="61"/>
  <c r="V44" i="61"/>
  <c r="U44" i="61"/>
  <c r="T44" i="61"/>
  <c r="S44" i="61"/>
  <c r="R44" i="61"/>
  <c r="Q44" i="61"/>
  <c r="P44" i="61"/>
  <c r="O44" i="61"/>
  <c r="N44" i="61"/>
  <c r="M44" i="61"/>
  <c r="L44" i="61"/>
  <c r="K44" i="61"/>
  <c r="J44" i="61"/>
  <c r="I44" i="61"/>
  <c r="H44" i="61"/>
  <c r="G44" i="61"/>
  <c r="F44" i="61"/>
  <c r="E44" i="61"/>
  <c r="AV43" i="61"/>
  <c r="AQ43" i="61"/>
  <c r="AL43" i="61"/>
  <c r="AG43" i="61"/>
  <c r="AB43" i="61"/>
  <c r="W43" i="61"/>
  <c r="V43" i="61"/>
  <c r="U43" i="61"/>
  <c r="T43" i="61"/>
  <c r="S43" i="61"/>
  <c r="R43" i="61"/>
  <c r="Q43" i="61"/>
  <c r="P43" i="61"/>
  <c r="O43" i="61"/>
  <c r="N43" i="61"/>
  <c r="M43" i="61"/>
  <c r="L43" i="61"/>
  <c r="K43" i="61"/>
  <c r="J43" i="61"/>
  <c r="I43" i="61"/>
  <c r="H43" i="61"/>
  <c r="G43" i="61"/>
  <c r="F43" i="61"/>
  <c r="E43" i="61"/>
  <c r="AV42" i="61"/>
  <c r="AU42" i="61"/>
  <c r="AT42" i="61"/>
  <c r="AS42" i="61"/>
  <c r="AR42" i="61"/>
  <c r="AQ42" i="61"/>
  <c r="AP42" i="61"/>
  <c r="AO42" i="61"/>
  <c r="AN42" i="61"/>
  <c r="AM42" i="61"/>
  <c r="AL42" i="61"/>
  <c r="AK42" i="61"/>
  <c r="AJ42" i="61"/>
  <c r="AI42" i="61"/>
  <c r="AH42" i="61"/>
  <c r="AG42" i="61"/>
  <c r="AF42" i="61"/>
  <c r="AE42" i="61"/>
  <c r="AD42" i="61"/>
  <c r="AC42" i="61"/>
  <c r="AA42" i="61"/>
  <c r="Z42" i="61"/>
  <c r="Y42" i="61"/>
  <c r="X42" i="61"/>
  <c r="W42" i="61"/>
  <c r="V42" i="61"/>
  <c r="U42" i="61"/>
  <c r="T42" i="61"/>
  <c r="S42" i="61"/>
  <c r="R42" i="61"/>
  <c r="Q42" i="61"/>
  <c r="P42" i="61"/>
  <c r="O42" i="61"/>
  <c r="N42" i="61"/>
  <c r="M42" i="61"/>
  <c r="L42" i="61"/>
  <c r="K42" i="61"/>
  <c r="J42" i="61"/>
  <c r="I42" i="61"/>
  <c r="H42" i="61"/>
  <c r="G42" i="61"/>
  <c r="F42" i="61"/>
  <c r="E42" i="61"/>
  <c r="W41" i="61"/>
  <c r="V41" i="61"/>
  <c r="U41" i="61"/>
  <c r="T41" i="61"/>
  <c r="S41" i="61"/>
  <c r="R41" i="61"/>
  <c r="Q41" i="61"/>
  <c r="P41" i="61"/>
  <c r="O41" i="61"/>
  <c r="N41" i="61"/>
  <c r="M41" i="61"/>
  <c r="L41" i="61"/>
  <c r="K41" i="61"/>
  <c r="J41" i="61"/>
  <c r="I41" i="61"/>
  <c r="H41" i="61"/>
  <c r="G41" i="61"/>
  <c r="F41" i="61"/>
  <c r="E41" i="61"/>
  <c r="D72" i="61"/>
  <c r="D71" i="61"/>
  <c r="D70" i="61"/>
  <c r="D69" i="61"/>
  <c r="D68" i="61"/>
  <c r="D67" i="61"/>
  <c r="D66" i="61"/>
  <c r="D65" i="61"/>
  <c r="D64" i="61"/>
  <c r="D63" i="61"/>
  <c r="D62" i="61"/>
  <c r="D61" i="61"/>
  <c r="D60" i="61"/>
  <c r="D59" i="61"/>
  <c r="D58" i="61"/>
  <c r="D57" i="61"/>
  <c r="D56" i="61"/>
  <c r="D55" i="61"/>
  <c r="D54" i="61"/>
  <c r="D53" i="61"/>
  <c r="D52" i="61"/>
  <c r="D51" i="61"/>
  <c r="D50" i="61"/>
  <c r="D49" i="61"/>
  <c r="D48" i="61"/>
  <c r="D47" i="61"/>
  <c r="D46" i="61"/>
  <c r="D45" i="61"/>
  <c r="D44" i="61"/>
  <c r="D43" i="61"/>
  <c r="D42" i="61"/>
  <c r="D41" i="61"/>
  <c r="AU36" i="61"/>
  <c r="AT36" i="61"/>
  <c r="AS36" i="61"/>
  <c r="AR36" i="61"/>
  <c r="AP36" i="61"/>
  <c r="AO36" i="61"/>
  <c r="AN36" i="61"/>
  <c r="AM36" i="61"/>
  <c r="AK36" i="61"/>
  <c r="AJ36" i="61"/>
  <c r="AI36" i="61"/>
  <c r="AH36" i="61"/>
  <c r="AF36" i="61"/>
  <c r="AE36" i="61"/>
  <c r="AD36" i="61"/>
  <c r="AC36" i="61"/>
  <c r="AA36" i="61"/>
  <c r="Z36" i="61"/>
  <c r="Y36" i="61"/>
  <c r="X36" i="61"/>
  <c r="W36" i="61"/>
  <c r="V36" i="61"/>
  <c r="U36" i="61"/>
  <c r="T36" i="61"/>
  <c r="S36" i="61"/>
  <c r="R36" i="61"/>
  <c r="Q36" i="61"/>
  <c r="P36" i="61"/>
  <c r="O36" i="61"/>
  <c r="N36" i="61"/>
  <c r="M36" i="61"/>
  <c r="L36" i="61"/>
  <c r="K36" i="61"/>
  <c r="J36" i="61"/>
  <c r="I36" i="61"/>
  <c r="H36" i="61"/>
  <c r="G36" i="61"/>
  <c r="F36" i="61"/>
  <c r="E36" i="61"/>
  <c r="X35" i="61"/>
  <c r="W35" i="61"/>
  <c r="V35" i="61"/>
  <c r="U35" i="61"/>
  <c r="T35" i="61"/>
  <c r="S35" i="61"/>
  <c r="R35" i="61"/>
  <c r="Q35" i="61"/>
  <c r="P35" i="61"/>
  <c r="O35" i="61"/>
  <c r="N35" i="61"/>
  <c r="M35" i="61"/>
  <c r="L35" i="61"/>
  <c r="K35" i="61"/>
  <c r="J35" i="61"/>
  <c r="I35" i="61"/>
  <c r="H35" i="61"/>
  <c r="G35" i="61"/>
  <c r="F35" i="61"/>
  <c r="E35" i="61"/>
  <c r="W34" i="61"/>
  <c r="V34" i="61"/>
  <c r="U34" i="61"/>
  <c r="T34" i="61"/>
  <c r="S34" i="61"/>
  <c r="R34" i="61"/>
  <c r="Q34" i="61"/>
  <c r="P34" i="61"/>
  <c r="O34" i="61"/>
  <c r="N34" i="61"/>
  <c r="M34" i="61"/>
  <c r="L34" i="61"/>
  <c r="K34" i="61"/>
  <c r="J34" i="61"/>
  <c r="I34" i="61"/>
  <c r="H34" i="61"/>
  <c r="G34" i="61"/>
  <c r="F34" i="61"/>
  <c r="E34" i="61"/>
  <c r="W33" i="61"/>
  <c r="V33" i="61"/>
  <c r="U33" i="61"/>
  <c r="T33" i="61"/>
  <c r="S33" i="61"/>
  <c r="R33" i="61"/>
  <c r="Q33" i="61"/>
  <c r="P33" i="61"/>
  <c r="O33" i="61"/>
  <c r="N33" i="61"/>
  <c r="M33" i="61"/>
  <c r="L33" i="61"/>
  <c r="K33" i="61"/>
  <c r="J33" i="61"/>
  <c r="I33" i="61"/>
  <c r="H33" i="61"/>
  <c r="G33" i="61"/>
  <c r="F33" i="61"/>
  <c r="E33" i="61"/>
  <c r="W32" i="61"/>
  <c r="V32" i="61"/>
  <c r="U32" i="61"/>
  <c r="T32" i="61"/>
  <c r="S32" i="61"/>
  <c r="R32" i="61"/>
  <c r="Q32" i="61"/>
  <c r="P32" i="61"/>
  <c r="O32" i="61"/>
  <c r="N32" i="61"/>
  <c r="M32" i="61"/>
  <c r="L32" i="61"/>
  <c r="K32" i="61"/>
  <c r="J32" i="61"/>
  <c r="I32" i="61"/>
  <c r="H32" i="61"/>
  <c r="G32" i="61"/>
  <c r="F32" i="61"/>
  <c r="E32" i="61"/>
  <c r="X31" i="61"/>
  <c r="W31" i="61"/>
  <c r="V31" i="61"/>
  <c r="U31" i="61"/>
  <c r="T31" i="61"/>
  <c r="S31" i="61"/>
  <c r="R31" i="61"/>
  <c r="Q31" i="61"/>
  <c r="P31" i="61"/>
  <c r="O31" i="61"/>
  <c r="N31" i="61"/>
  <c r="M31" i="61"/>
  <c r="L31" i="61"/>
  <c r="K31" i="61"/>
  <c r="J31" i="61"/>
  <c r="I31" i="61"/>
  <c r="H31" i="61"/>
  <c r="G31" i="61"/>
  <c r="F31" i="61"/>
  <c r="E31" i="61"/>
  <c r="X30" i="61"/>
  <c r="W30" i="61"/>
  <c r="V30" i="61"/>
  <c r="U30" i="61"/>
  <c r="T30" i="61"/>
  <c r="S30" i="61"/>
  <c r="R30" i="61"/>
  <c r="Q30" i="61"/>
  <c r="P30" i="61"/>
  <c r="O30" i="61"/>
  <c r="N30" i="61"/>
  <c r="M30" i="61"/>
  <c r="L30" i="61"/>
  <c r="K30" i="61"/>
  <c r="J30" i="61"/>
  <c r="I30" i="61"/>
  <c r="H30" i="61"/>
  <c r="G30" i="61"/>
  <c r="F30" i="61"/>
  <c r="E30" i="61"/>
  <c r="W29" i="61"/>
  <c r="V29" i="61"/>
  <c r="U29" i="61"/>
  <c r="T29" i="61"/>
  <c r="S29" i="61"/>
  <c r="R29" i="61"/>
  <c r="Q29" i="61"/>
  <c r="P29" i="61"/>
  <c r="O29" i="61"/>
  <c r="N29" i="61"/>
  <c r="M29" i="61"/>
  <c r="L29" i="61"/>
  <c r="K29" i="61"/>
  <c r="J29" i="61"/>
  <c r="I29" i="61"/>
  <c r="H29" i="61"/>
  <c r="G29" i="61"/>
  <c r="F29" i="61"/>
  <c r="E29" i="61"/>
  <c r="W28" i="61"/>
  <c r="V28" i="61"/>
  <c r="U28" i="61"/>
  <c r="T28" i="61"/>
  <c r="S28" i="61"/>
  <c r="R28" i="61"/>
  <c r="Q28" i="61"/>
  <c r="P28" i="61"/>
  <c r="O28" i="61"/>
  <c r="N28" i="61"/>
  <c r="M28" i="61"/>
  <c r="L28" i="61"/>
  <c r="K28" i="61"/>
  <c r="J28" i="61"/>
  <c r="I28" i="61"/>
  <c r="H28" i="61"/>
  <c r="G28" i="61"/>
  <c r="F28" i="61"/>
  <c r="E28" i="61"/>
  <c r="W27" i="61"/>
  <c r="V27" i="61"/>
  <c r="U27" i="61"/>
  <c r="T27" i="61"/>
  <c r="S27" i="61"/>
  <c r="R27" i="61"/>
  <c r="Q27" i="61"/>
  <c r="P27" i="61"/>
  <c r="O27" i="61"/>
  <c r="N27" i="61"/>
  <c r="M27" i="61"/>
  <c r="L27" i="61"/>
  <c r="K27" i="61"/>
  <c r="J27" i="61"/>
  <c r="I27" i="61"/>
  <c r="H27" i="61"/>
  <c r="G27" i="61"/>
  <c r="F27" i="61"/>
  <c r="E27" i="61"/>
  <c r="X26" i="61"/>
  <c r="W26" i="61"/>
  <c r="V26" i="61"/>
  <c r="U26" i="61"/>
  <c r="T26" i="61"/>
  <c r="S26" i="61"/>
  <c r="R26" i="61"/>
  <c r="Q26" i="61"/>
  <c r="P26" i="61"/>
  <c r="O26" i="61"/>
  <c r="N26" i="61"/>
  <c r="M26" i="61"/>
  <c r="L26" i="61"/>
  <c r="K26" i="61"/>
  <c r="J26" i="61"/>
  <c r="I26" i="61"/>
  <c r="H26" i="61"/>
  <c r="G26" i="61"/>
  <c r="F26" i="61"/>
  <c r="E26" i="61"/>
  <c r="W25" i="61"/>
  <c r="V25" i="61"/>
  <c r="U25" i="61"/>
  <c r="T25" i="61"/>
  <c r="S25" i="61"/>
  <c r="R25" i="61"/>
  <c r="Q25" i="61"/>
  <c r="P25" i="61"/>
  <c r="O25" i="61"/>
  <c r="N25" i="61"/>
  <c r="M25" i="61"/>
  <c r="L25" i="61"/>
  <c r="K25" i="61"/>
  <c r="J25" i="61"/>
  <c r="I25" i="61"/>
  <c r="H25" i="61"/>
  <c r="G25" i="61"/>
  <c r="F25" i="61"/>
  <c r="E25" i="61"/>
  <c r="W24" i="61"/>
  <c r="V24" i="61"/>
  <c r="U24" i="61"/>
  <c r="T24" i="61"/>
  <c r="S24" i="61"/>
  <c r="R24" i="61"/>
  <c r="Q24" i="61"/>
  <c r="P24" i="61"/>
  <c r="O24" i="61"/>
  <c r="N24" i="61"/>
  <c r="M24" i="61"/>
  <c r="L24" i="61"/>
  <c r="K24" i="61"/>
  <c r="J24" i="61"/>
  <c r="I24" i="61"/>
  <c r="H24" i="61"/>
  <c r="G24" i="61"/>
  <c r="F24" i="61"/>
  <c r="E24" i="61"/>
  <c r="W23" i="61"/>
  <c r="V23" i="61"/>
  <c r="U23" i="61"/>
  <c r="T23" i="61"/>
  <c r="S23" i="61"/>
  <c r="R23" i="61"/>
  <c r="Q23" i="61"/>
  <c r="P23" i="61"/>
  <c r="O23" i="61"/>
  <c r="N23" i="61"/>
  <c r="M23" i="61"/>
  <c r="L23" i="61"/>
  <c r="K23" i="61"/>
  <c r="J23" i="61"/>
  <c r="I23" i="61"/>
  <c r="H23" i="61"/>
  <c r="G23" i="61"/>
  <c r="F23" i="61"/>
  <c r="E23" i="61"/>
  <c r="X22" i="61"/>
  <c r="W22" i="61"/>
  <c r="V22" i="61"/>
  <c r="U22" i="61"/>
  <c r="T22" i="61"/>
  <c r="S22" i="61"/>
  <c r="R22" i="61"/>
  <c r="Q22" i="61"/>
  <c r="P22" i="61"/>
  <c r="O22" i="61"/>
  <c r="N22" i="61"/>
  <c r="M22" i="61"/>
  <c r="L22" i="61"/>
  <c r="K22" i="61"/>
  <c r="J22" i="61"/>
  <c r="I22" i="61"/>
  <c r="H22" i="61"/>
  <c r="G22" i="61"/>
  <c r="F22" i="61"/>
  <c r="E22" i="61"/>
  <c r="X21" i="61"/>
  <c r="W21" i="61"/>
  <c r="V21" i="61"/>
  <c r="U21" i="61"/>
  <c r="T21" i="61"/>
  <c r="S21" i="61"/>
  <c r="R21" i="61"/>
  <c r="Q21" i="61"/>
  <c r="P21" i="61"/>
  <c r="O21" i="61"/>
  <c r="N21" i="61"/>
  <c r="M21" i="61"/>
  <c r="L21" i="61"/>
  <c r="K21" i="61"/>
  <c r="J21" i="61"/>
  <c r="I21" i="61"/>
  <c r="H21" i="61"/>
  <c r="G21" i="61"/>
  <c r="F21" i="61"/>
  <c r="E21" i="61"/>
  <c r="AV20" i="61"/>
  <c r="AU20" i="61"/>
  <c r="AT20" i="61"/>
  <c r="AS20" i="61"/>
  <c r="AR20" i="61"/>
  <c r="AQ20" i="61"/>
  <c r="AP20" i="61"/>
  <c r="AO20" i="61"/>
  <c r="AN20" i="61"/>
  <c r="AM20" i="61"/>
  <c r="AL20" i="61"/>
  <c r="AK20" i="61"/>
  <c r="AJ20" i="61"/>
  <c r="AI20" i="61"/>
  <c r="AH20" i="61"/>
  <c r="AG20" i="61"/>
  <c r="AF20" i="61"/>
  <c r="AE20" i="61"/>
  <c r="AD20" i="61"/>
  <c r="AC20" i="61"/>
  <c r="AB20" i="61"/>
  <c r="AA20" i="61"/>
  <c r="Z20" i="61"/>
  <c r="Y20" i="61"/>
  <c r="X20" i="61"/>
  <c r="W20" i="61"/>
  <c r="V20" i="61"/>
  <c r="U20" i="61"/>
  <c r="T20" i="61"/>
  <c r="S20" i="61"/>
  <c r="R20" i="61"/>
  <c r="Q20" i="61"/>
  <c r="P20" i="61"/>
  <c r="O20" i="61"/>
  <c r="N20" i="61"/>
  <c r="M20" i="61"/>
  <c r="L20" i="61"/>
  <c r="K20" i="61"/>
  <c r="J20" i="61"/>
  <c r="I20" i="61"/>
  <c r="H20" i="61"/>
  <c r="G20" i="61"/>
  <c r="F20" i="61"/>
  <c r="E20" i="61"/>
  <c r="W19" i="61"/>
  <c r="V19" i="61"/>
  <c r="U19" i="61"/>
  <c r="T19" i="61"/>
  <c r="S19" i="61"/>
  <c r="R19" i="61"/>
  <c r="Q19" i="61"/>
  <c r="P19" i="61"/>
  <c r="O19" i="61"/>
  <c r="N19" i="61"/>
  <c r="M19" i="61"/>
  <c r="L19" i="61"/>
  <c r="K19" i="61"/>
  <c r="J19" i="61"/>
  <c r="I19" i="61"/>
  <c r="H19" i="61"/>
  <c r="G19" i="61"/>
  <c r="F19" i="61"/>
  <c r="E19" i="61"/>
  <c r="W18" i="61"/>
  <c r="V18" i="61"/>
  <c r="U18" i="61"/>
  <c r="T18" i="61"/>
  <c r="S18" i="61"/>
  <c r="R18" i="61"/>
  <c r="Q18" i="61"/>
  <c r="P18" i="61"/>
  <c r="O18" i="61"/>
  <c r="N18" i="61"/>
  <c r="M18" i="61"/>
  <c r="L18" i="61"/>
  <c r="K18" i="61"/>
  <c r="J18" i="61"/>
  <c r="I18" i="61"/>
  <c r="H18" i="61"/>
  <c r="G18" i="61"/>
  <c r="F18" i="61"/>
  <c r="E18" i="61"/>
  <c r="W17" i="61"/>
  <c r="V17" i="61"/>
  <c r="U17" i="61"/>
  <c r="T17" i="61"/>
  <c r="S17" i="61"/>
  <c r="R17" i="61"/>
  <c r="Q17" i="61"/>
  <c r="P17" i="61"/>
  <c r="O17" i="61"/>
  <c r="N17" i="61"/>
  <c r="M17" i="61"/>
  <c r="L17" i="61"/>
  <c r="K17" i="61"/>
  <c r="J17" i="61"/>
  <c r="I17" i="61"/>
  <c r="H17" i="61"/>
  <c r="G17" i="61"/>
  <c r="F17" i="61"/>
  <c r="E17" i="61"/>
  <c r="X16" i="61"/>
  <c r="W16" i="61"/>
  <c r="V16" i="61"/>
  <c r="U16" i="61"/>
  <c r="T16" i="61"/>
  <c r="S16" i="61"/>
  <c r="R16" i="61"/>
  <c r="Q16" i="61"/>
  <c r="P16" i="61"/>
  <c r="O16" i="61"/>
  <c r="N16" i="61"/>
  <c r="M16" i="61"/>
  <c r="L16" i="61"/>
  <c r="K16" i="61"/>
  <c r="J16" i="61"/>
  <c r="I16" i="61"/>
  <c r="H16" i="61"/>
  <c r="G16" i="61"/>
  <c r="F16" i="61"/>
  <c r="E16" i="61"/>
  <c r="W15" i="61"/>
  <c r="V15" i="61"/>
  <c r="U15" i="61"/>
  <c r="T15" i="61"/>
  <c r="S15" i="61"/>
  <c r="R15" i="61"/>
  <c r="Q15" i="61"/>
  <c r="P15" i="61"/>
  <c r="O15" i="61"/>
  <c r="N15" i="61"/>
  <c r="M15" i="61"/>
  <c r="L15" i="61"/>
  <c r="K15" i="61"/>
  <c r="J15" i="61"/>
  <c r="I15" i="61"/>
  <c r="H15" i="61"/>
  <c r="G15" i="61"/>
  <c r="F15" i="61"/>
  <c r="E15" i="61"/>
  <c r="X14" i="61"/>
  <c r="W14" i="61"/>
  <c r="V14" i="61"/>
  <c r="U14" i="61"/>
  <c r="T14" i="61"/>
  <c r="S14" i="61"/>
  <c r="R14" i="61"/>
  <c r="Q14" i="61"/>
  <c r="P14" i="61"/>
  <c r="O14" i="61"/>
  <c r="N14" i="61"/>
  <c r="M14" i="61"/>
  <c r="L14" i="61"/>
  <c r="K14" i="61"/>
  <c r="J14" i="61"/>
  <c r="I14" i="61"/>
  <c r="H14" i="61"/>
  <c r="G14" i="61"/>
  <c r="F14" i="61"/>
  <c r="E14" i="61"/>
  <c r="X13" i="61"/>
  <c r="W13" i="61"/>
  <c r="V13" i="61"/>
  <c r="U13" i="61"/>
  <c r="T13" i="61"/>
  <c r="S13" i="61"/>
  <c r="R13" i="61"/>
  <c r="Q13" i="61"/>
  <c r="P13" i="61"/>
  <c r="O13" i="61"/>
  <c r="N13" i="61"/>
  <c r="M13" i="61"/>
  <c r="L13" i="61"/>
  <c r="K13" i="61"/>
  <c r="J13" i="61"/>
  <c r="I13" i="61"/>
  <c r="H13" i="61"/>
  <c r="G13" i="61"/>
  <c r="F13" i="61"/>
  <c r="E13" i="61"/>
  <c r="X12" i="61"/>
  <c r="W12" i="61"/>
  <c r="V12" i="61"/>
  <c r="U12" i="61"/>
  <c r="T12" i="61"/>
  <c r="S12" i="61"/>
  <c r="R12" i="61"/>
  <c r="Q12" i="61"/>
  <c r="P12" i="61"/>
  <c r="O12" i="61"/>
  <c r="N12" i="61"/>
  <c r="M12" i="61"/>
  <c r="L12" i="61"/>
  <c r="K12" i="61"/>
  <c r="J12" i="61"/>
  <c r="I12" i="61"/>
  <c r="H12" i="61"/>
  <c r="G12" i="61"/>
  <c r="F12" i="61"/>
  <c r="E12" i="61"/>
  <c r="X11" i="61"/>
  <c r="W11" i="61"/>
  <c r="V11" i="61"/>
  <c r="U11" i="61"/>
  <c r="T11" i="61"/>
  <c r="S11" i="61"/>
  <c r="R11" i="61"/>
  <c r="Q11" i="61"/>
  <c r="P11" i="61"/>
  <c r="O11" i="61"/>
  <c r="N11" i="61"/>
  <c r="M11" i="61"/>
  <c r="L11" i="61"/>
  <c r="K11" i="61"/>
  <c r="J11" i="61"/>
  <c r="I11" i="61"/>
  <c r="H11" i="61"/>
  <c r="G11" i="61"/>
  <c r="F11" i="61"/>
  <c r="E11" i="61"/>
  <c r="X10" i="61"/>
  <c r="W10" i="61"/>
  <c r="V10" i="61"/>
  <c r="U10" i="61"/>
  <c r="T10" i="61"/>
  <c r="S10" i="61"/>
  <c r="R10" i="61"/>
  <c r="Q10" i="61"/>
  <c r="P10" i="61"/>
  <c r="O10" i="61"/>
  <c r="N10" i="61"/>
  <c r="M10" i="61"/>
  <c r="L10" i="61"/>
  <c r="K10" i="61"/>
  <c r="J10" i="61"/>
  <c r="I10" i="61"/>
  <c r="H10" i="61"/>
  <c r="G10" i="61"/>
  <c r="F10" i="61"/>
  <c r="E10" i="61"/>
  <c r="X9" i="61"/>
  <c r="W9" i="61"/>
  <c r="V9" i="61"/>
  <c r="U9" i="61"/>
  <c r="T9" i="61"/>
  <c r="S9" i="61"/>
  <c r="R9" i="61"/>
  <c r="Q9" i="61"/>
  <c r="P9" i="61"/>
  <c r="O9" i="61"/>
  <c r="N9" i="61"/>
  <c r="M9" i="61"/>
  <c r="L9" i="61"/>
  <c r="K9" i="61"/>
  <c r="J9" i="61"/>
  <c r="I9" i="61"/>
  <c r="H9" i="61"/>
  <c r="G9" i="61"/>
  <c r="F9" i="61"/>
  <c r="E9" i="61"/>
  <c r="W8" i="61"/>
  <c r="V8" i="61"/>
  <c r="U8" i="61"/>
  <c r="T8" i="61"/>
  <c r="S8" i="61"/>
  <c r="R8" i="61"/>
  <c r="Q8" i="61"/>
  <c r="P8" i="61"/>
  <c r="O8" i="61"/>
  <c r="N8" i="61"/>
  <c r="M8" i="61"/>
  <c r="L8" i="61"/>
  <c r="K8" i="61"/>
  <c r="J8" i="61"/>
  <c r="I8" i="61"/>
  <c r="H8" i="61"/>
  <c r="G8" i="61"/>
  <c r="F8" i="61"/>
  <c r="E8" i="61"/>
  <c r="AU7" i="61"/>
  <c r="AT7" i="61"/>
  <c r="AS7" i="61"/>
  <c r="AP7" i="61"/>
  <c r="AO7" i="61"/>
  <c r="AN7" i="61"/>
  <c r="AK7" i="61"/>
  <c r="AJ7" i="61"/>
  <c r="AI7" i="61"/>
  <c r="AF7" i="61"/>
  <c r="AE7" i="61"/>
  <c r="AD7" i="61"/>
  <c r="AA7" i="61"/>
  <c r="Z7" i="61"/>
  <c r="Y7" i="61"/>
  <c r="X7" i="61"/>
  <c r="W7" i="61"/>
  <c r="V7" i="61"/>
  <c r="U7" i="61"/>
  <c r="T7" i="61"/>
  <c r="S7" i="61"/>
  <c r="R7" i="61"/>
  <c r="Q7" i="61"/>
  <c r="P7" i="61"/>
  <c r="O7" i="61"/>
  <c r="N7" i="61"/>
  <c r="M7" i="61"/>
  <c r="L7" i="61"/>
  <c r="K7" i="61"/>
  <c r="J7" i="61"/>
  <c r="I7" i="61"/>
  <c r="H7" i="61"/>
  <c r="G7" i="61"/>
  <c r="F7" i="61"/>
  <c r="E7" i="61"/>
  <c r="X6" i="61"/>
  <c r="W6" i="61"/>
  <c r="V6" i="61"/>
  <c r="U6" i="61"/>
  <c r="T6" i="61"/>
  <c r="S6" i="61"/>
  <c r="R6" i="61"/>
  <c r="Q6" i="61"/>
  <c r="P6" i="61"/>
  <c r="O6" i="61"/>
  <c r="N6" i="61"/>
  <c r="M6" i="61"/>
  <c r="L6" i="61"/>
  <c r="K6" i="61"/>
  <c r="J6" i="61"/>
  <c r="I6" i="61"/>
  <c r="H6" i="61"/>
  <c r="G6" i="61"/>
  <c r="F6" i="61"/>
  <c r="E6" i="61"/>
  <c r="X5" i="61"/>
  <c r="W5" i="61"/>
  <c r="V5" i="61"/>
  <c r="U5" i="61"/>
  <c r="T5" i="61"/>
  <c r="S5" i="61"/>
  <c r="R5" i="61"/>
  <c r="Q5" i="61"/>
  <c r="P5" i="61"/>
  <c r="O5" i="61"/>
  <c r="N5" i="61"/>
  <c r="M5" i="61"/>
  <c r="L5" i="61"/>
  <c r="K5" i="61"/>
  <c r="J5" i="61"/>
  <c r="I5" i="61"/>
  <c r="H5" i="61"/>
  <c r="G5" i="61"/>
  <c r="F5" i="61"/>
  <c r="E5" i="61"/>
  <c r="D36" i="61"/>
  <c r="D35" i="61"/>
  <c r="D34" i="61"/>
  <c r="D33" i="61"/>
  <c r="D32" i="61"/>
  <c r="D31" i="61"/>
  <c r="D30" i="61"/>
  <c r="D29" i="61"/>
  <c r="D28" i="61"/>
  <c r="D27" i="61"/>
  <c r="D26" i="61"/>
  <c r="D25" i="61"/>
  <c r="D24" i="61"/>
  <c r="D23" i="61"/>
  <c r="D22" i="61"/>
  <c r="D21" i="61"/>
  <c r="D20" i="61"/>
  <c r="D19" i="61"/>
  <c r="D18" i="61"/>
  <c r="D17" i="61"/>
  <c r="D16" i="61"/>
  <c r="D15" i="61"/>
  <c r="D14" i="61"/>
  <c r="D13" i="61"/>
  <c r="D12" i="61"/>
  <c r="D11" i="61"/>
  <c r="D10" i="61"/>
  <c r="D9" i="61"/>
  <c r="D8" i="61"/>
  <c r="D7" i="61"/>
  <c r="D6" i="61"/>
  <c r="D5" i="61"/>
  <c r="F29" i="60"/>
  <c r="F31" i="60" s="1"/>
  <c r="F13" i="60"/>
  <c r="F15" i="60" s="1"/>
  <c r="F8" i="60"/>
  <c r="F16" i="60" s="1"/>
  <c r="T57" i="58"/>
  <c r="S57" i="58"/>
  <c r="O57" i="58"/>
  <c r="N57" i="58"/>
  <c r="I57" i="58"/>
  <c r="D57" i="58"/>
  <c r="AJ56" i="58"/>
  <c r="AK56" i="58" s="1"/>
  <c r="AM56" i="58" s="1"/>
  <c r="AI56" i="58"/>
  <c r="AN56" i="58" s="1"/>
  <c r="AD56" i="58"/>
  <c r="AE56" i="58" s="1"/>
  <c r="AF56" i="58" s="1"/>
  <c r="S54" i="58"/>
  <c r="N54" i="58"/>
  <c r="I54" i="58"/>
  <c r="D54" i="58"/>
  <c r="T47" i="58"/>
  <c r="T47" i="63" s="1"/>
  <c r="Q47" i="58"/>
  <c r="Q47" i="63" s="1"/>
  <c r="P47" i="58"/>
  <c r="P47" i="63" s="1"/>
  <c r="O47" i="58"/>
  <c r="O47" i="63" s="1"/>
  <c r="G47" i="58"/>
  <c r="G47" i="63" s="1"/>
  <c r="F47" i="58"/>
  <c r="F47" i="63" s="1"/>
  <c r="D47" i="58"/>
  <c r="D47" i="63" s="1"/>
  <c r="AG43" i="58"/>
  <c r="AL43" i="58" s="1"/>
  <c r="AQ43" i="58" s="1"/>
  <c r="AV43" i="58" s="1"/>
  <c r="AB43" i="58"/>
  <c r="H40" i="58"/>
  <c r="AV38" i="58"/>
  <c r="AQ38" i="58"/>
  <c r="AL38" i="58"/>
  <c r="AG38" i="58"/>
  <c r="AB38" i="58"/>
  <c r="AB38" i="63" s="1"/>
  <c r="T38" i="58"/>
  <c r="P38" i="58"/>
  <c r="O38" i="58"/>
  <c r="J38" i="58"/>
  <c r="F38" i="58"/>
  <c r="G38" i="58" s="1"/>
  <c r="E38" i="58"/>
  <c r="D38" i="58"/>
  <c r="H38" i="58" s="1"/>
  <c r="S37" i="58"/>
  <c r="D37" i="58"/>
  <c r="D39" i="58" s="1"/>
  <c r="D41" i="58" s="1"/>
  <c r="E40" i="58" s="1"/>
  <c r="AV36" i="58"/>
  <c r="AQ36" i="58"/>
  <c r="AL36" i="58"/>
  <c r="AG36" i="58"/>
  <c r="AB36" i="58"/>
  <c r="AB36" i="63" s="1"/>
  <c r="T36" i="58"/>
  <c r="P36" i="58"/>
  <c r="Q36" i="58" s="1"/>
  <c r="O36" i="58"/>
  <c r="R36" i="58" s="1"/>
  <c r="J36" i="58"/>
  <c r="F36" i="58"/>
  <c r="G36" i="58" s="1"/>
  <c r="H36" i="58" s="1"/>
  <c r="E36" i="58"/>
  <c r="U35" i="58"/>
  <c r="V35" i="58" s="1"/>
  <c r="T35" i="58"/>
  <c r="O35" i="58"/>
  <c r="K35" i="58"/>
  <c r="J35" i="58"/>
  <c r="E35" i="58"/>
  <c r="AU34" i="58"/>
  <c r="AT34" i="58"/>
  <c r="AS34" i="58"/>
  <c r="AR34" i="58"/>
  <c r="AQ34" i="58"/>
  <c r="AP34" i="58"/>
  <c r="AO34" i="58"/>
  <c r="AN34" i="58"/>
  <c r="AM34" i="58"/>
  <c r="AJ34" i="58"/>
  <c r="AJ34" i="63" s="1"/>
  <c r="AI34" i="58"/>
  <c r="AI34" i="63" s="1"/>
  <c r="AH34" i="58"/>
  <c r="AH34" i="63" s="1"/>
  <c r="AF34" i="58"/>
  <c r="AF34" i="63" s="1"/>
  <c r="AE34" i="58"/>
  <c r="AE34" i="63" s="1"/>
  <c r="AD34" i="58"/>
  <c r="AD34" i="63" s="1"/>
  <c r="AC34" i="58"/>
  <c r="AC34" i="63" s="1"/>
  <c r="AA34" i="58"/>
  <c r="AA34" i="63" s="1"/>
  <c r="Z34" i="58"/>
  <c r="Z34" i="63" s="1"/>
  <c r="Y34" i="58"/>
  <c r="Y34" i="63" s="1"/>
  <c r="AB34" i="58"/>
  <c r="AB34" i="63" s="1"/>
  <c r="T34" i="58"/>
  <c r="R34" i="58"/>
  <c r="P34" i="58"/>
  <c r="Q34" i="58" s="1"/>
  <c r="O34" i="58"/>
  <c r="L34" i="58"/>
  <c r="K34" i="58"/>
  <c r="J34" i="58"/>
  <c r="J57" i="58" s="1"/>
  <c r="F34" i="58"/>
  <c r="G34" i="58" s="1"/>
  <c r="E34" i="58"/>
  <c r="E57" i="58" s="1"/>
  <c r="T33" i="58"/>
  <c r="U33" i="58" s="1"/>
  <c r="V33" i="58" s="1"/>
  <c r="W33" i="58" s="1"/>
  <c r="O33" i="58"/>
  <c r="J33" i="58"/>
  <c r="E33" i="58"/>
  <c r="F33" i="58" s="1"/>
  <c r="AV32" i="58"/>
  <c r="AQ32" i="58"/>
  <c r="AL32" i="58"/>
  <c r="AG32" i="58"/>
  <c r="AB32" i="58"/>
  <c r="AB32" i="63" s="1"/>
  <c r="T32" i="58"/>
  <c r="U32" i="58" s="1"/>
  <c r="P32" i="58"/>
  <c r="Q32" i="58" s="1"/>
  <c r="O32" i="58"/>
  <c r="J32" i="58"/>
  <c r="H32" i="58"/>
  <c r="F32" i="58"/>
  <c r="G32" i="58" s="1"/>
  <c r="E32" i="58"/>
  <c r="AV31" i="58"/>
  <c r="AQ31" i="58"/>
  <c r="AL31" i="58"/>
  <c r="AG31" i="58"/>
  <c r="AB31" i="58"/>
  <c r="AB31" i="63" s="1"/>
  <c r="T31" i="58"/>
  <c r="P31" i="58"/>
  <c r="Q31" i="58" s="1"/>
  <c r="O31" i="58"/>
  <c r="J31" i="58"/>
  <c r="K31" i="58" s="1"/>
  <c r="L31" i="58" s="1"/>
  <c r="I31" i="58"/>
  <c r="M31" i="58" s="1"/>
  <c r="G31" i="58"/>
  <c r="H31" i="58" s="1"/>
  <c r="AV30" i="58"/>
  <c r="AQ30" i="58"/>
  <c r="AL30" i="58"/>
  <c r="AG30" i="58"/>
  <c r="AB30" i="58"/>
  <c r="AB30" i="63" s="1"/>
  <c r="U30" i="58"/>
  <c r="R30" i="58"/>
  <c r="N30" i="58"/>
  <c r="O30" i="58" s="1"/>
  <c r="P30" i="58" s="1"/>
  <c r="Q30" i="58" s="1"/>
  <c r="J30" i="58"/>
  <c r="F30" i="58"/>
  <c r="T29" i="58"/>
  <c r="P29" i="58"/>
  <c r="O29" i="58"/>
  <c r="O37" i="58" s="1"/>
  <c r="J29" i="58"/>
  <c r="F29" i="58"/>
  <c r="G29" i="58" s="1"/>
  <c r="E29" i="58"/>
  <c r="E37" i="58" s="1"/>
  <c r="D27" i="58"/>
  <c r="W26" i="58"/>
  <c r="U26" i="58"/>
  <c r="V26" i="58" s="1"/>
  <c r="T26" i="58"/>
  <c r="P26" i="58"/>
  <c r="Q26" i="58" s="1"/>
  <c r="O26" i="58"/>
  <c r="J26" i="58"/>
  <c r="K26" i="58" s="1"/>
  <c r="E26" i="58"/>
  <c r="T25" i="58"/>
  <c r="O25" i="58"/>
  <c r="L25" i="58"/>
  <c r="K25" i="58"/>
  <c r="J25" i="58"/>
  <c r="M25" i="58" s="1"/>
  <c r="G25" i="58"/>
  <c r="E25" i="58"/>
  <c r="F25" i="58" s="1"/>
  <c r="S24" i="58"/>
  <c r="N24" i="58"/>
  <c r="I24" i="58"/>
  <c r="D24" i="58"/>
  <c r="D22" i="58"/>
  <c r="S21" i="58"/>
  <c r="N21" i="58"/>
  <c r="M21" i="58"/>
  <c r="I21" i="58"/>
  <c r="J21" i="58" s="1"/>
  <c r="K21" i="58" s="1"/>
  <c r="L21" i="58" s="1"/>
  <c r="E21" i="58"/>
  <c r="T20" i="58"/>
  <c r="U20" i="58" s="1"/>
  <c r="O20" i="58"/>
  <c r="K20" i="58"/>
  <c r="L20" i="58" s="1"/>
  <c r="M20" i="58" s="1"/>
  <c r="J20" i="58"/>
  <c r="G20" i="58"/>
  <c r="F20" i="58"/>
  <c r="W19" i="58"/>
  <c r="U19" i="58"/>
  <c r="V19" i="58" s="1"/>
  <c r="T19" i="58"/>
  <c r="Q19" i="58"/>
  <c r="P19" i="58"/>
  <c r="O19" i="58"/>
  <c r="R19" i="58" s="1"/>
  <c r="J19" i="58"/>
  <c r="K19" i="58" s="1"/>
  <c r="F19" i="58"/>
  <c r="G19" i="58" s="1"/>
  <c r="E19" i="58"/>
  <c r="T18" i="58"/>
  <c r="O18" i="58"/>
  <c r="J18" i="58"/>
  <c r="H18" i="58"/>
  <c r="G18" i="58"/>
  <c r="E18" i="58"/>
  <c r="F18" i="58" s="1"/>
  <c r="S17" i="58"/>
  <c r="O17" i="58"/>
  <c r="J17" i="58"/>
  <c r="E17" i="58"/>
  <c r="U16" i="58"/>
  <c r="T16" i="58"/>
  <c r="P16" i="58"/>
  <c r="Q16" i="58" s="1"/>
  <c r="R16" i="58" s="1"/>
  <c r="O16" i="58"/>
  <c r="K16" i="58"/>
  <c r="L16" i="58" s="1"/>
  <c r="J16" i="58"/>
  <c r="E16" i="58"/>
  <c r="F16" i="58" s="1"/>
  <c r="V15" i="58"/>
  <c r="T15" i="58"/>
  <c r="U15" i="58" s="1"/>
  <c r="W15" i="58" s="1"/>
  <c r="P15" i="58"/>
  <c r="Q15" i="58" s="1"/>
  <c r="O15" i="58"/>
  <c r="R15" i="58" s="1"/>
  <c r="J15" i="58"/>
  <c r="E15" i="58"/>
  <c r="AV13" i="58"/>
  <c r="AQ13" i="58"/>
  <c r="AL13" i="58"/>
  <c r="AG13" i="58"/>
  <c r="AB13" i="58"/>
  <c r="AB13" i="63" s="1"/>
  <c r="V13" i="58"/>
  <c r="U13" i="58"/>
  <c r="T13" i="58"/>
  <c r="W13" i="58" s="1"/>
  <c r="N13" i="58"/>
  <c r="N22" i="58" s="1"/>
  <c r="K13" i="58"/>
  <c r="L13" i="58" s="1"/>
  <c r="J13" i="58"/>
  <c r="I13" i="58"/>
  <c r="I22" i="58" s="1"/>
  <c r="I55" i="58" s="1"/>
  <c r="E13" i="58"/>
  <c r="T12" i="58"/>
  <c r="U12" i="58" s="1"/>
  <c r="P12" i="58"/>
  <c r="O12" i="58"/>
  <c r="J12" i="58"/>
  <c r="G12" i="58"/>
  <c r="F12" i="58"/>
  <c r="E12" i="58"/>
  <c r="AV11" i="58"/>
  <c r="AQ11" i="58"/>
  <c r="AL11" i="58"/>
  <c r="AG11" i="58"/>
  <c r="AB11" i="58"/>
  <c r="AB11" i="63" s="1"/>
  <c r="T11" i="58"/>
  <c r="P11" i="58"/>
  <c r="Q11" i="58" s="1"/>
  <c r="O11" i="58"/>
  <c r="M11" i="58"/>
  <c r="L11" i="58"/>
  <c r="J11" i="58"/>
  <c r="K11" i="58" s="1"/>
  <c r="F11" i="58"/>
  <c r="E11" i="58"/>
  <c r="V10" i="58"/>
  <c r="U10" i="58"/>
  <c r="T10" i="58"/>
  <c r="W10" i="58" s="1"/>
  <c r="P10" i="58"/>
  <c r="O10" i="58"/>
  <c r="O54" i="58" s="1"/>
  <c r="K10" i="58"/>
  <c r="J10" i="58"/>
  <c r="F10" i="58"/>
  <c r="F54" i="58" s="1"/>
  <c r="E10" i="58"/>
  <c r="E54" i="58" s="1"/>
  <c r="W9" i="58"/>
  <c r="V9" i="58"/>
  <c r="U9" i="58"/>
  <c r="T9" i="58"/>
  <c r="T54" i="58" s="1"/>
  <c r="Q9" i="58"/>
  <c r="P9" i="58"/>
  <c r="R9" i="58" s="1"/>
  <c r="O9" i="58"/>
  <c r="J9" i="58"/>
  <c r="K9" i="58" s="1"/>
  <c r="G9" i="58"/>
  <c r="F9" i="58"/>
  <c r="H9" i="58" s="1"/>
  <c r="E9" i="58"/>
  <c r="U8" i="58"/>
  <c r="V8" i="58" s="1"/>
  <c r="W8" i="58" s="1"/>
  <c r="T8" i="58"/>
  <c r="O8" i="58"/>
  <c r="J8" i="58"/>
  <c r="K8" i="58" s="1"/>
  <c r="E8" i="58"/>
  <c r="T7" i="58"/>
  <c r="P7" i="58"/>
  <c r="Q7" i="58" s="1"/>
  <c r="O7" i="58"/>
  <c r="J7" i="58"/>
  <c r="E7" i="58"/>
  <c r="L6" i="58"/>
  <c r="W66" i="57"/>
  <c r="AB66" i="57" s="1"/>
  <c r="AG66" i="57" s="1"/>
  <c r="AL66" i="57" s="1"/>
  <c r="AQ66" i="57" s="1"/>
  <c r="AV66" i="57" s="1"/>
  <c r="V63" i="57"/>
  <c r="V63" i="62" s="1"/>
  <c r="T63" i="57"/>
  <c r="T63" i="62" s="1"/>
  <c r="Q63" i="57"/>
  <c r="Q63" i="62" s="1"/>
  <c r="P63" i="57"/>
  <c r="P63" i="62" s="1"/>
  <c r="O63" i="57"/>
  <c r="O63" i="62" s="1"/>
  <c r="G63" i="57"/>
  <c r="G63" i="62" s="1"/>
  <c r="F63" i="57"/>
  <c r="F63" i="62" s="1"/>
  <c r="D63" i="57"/>
  <c r="D63" i="62" s="1"/>
  <c r="AF61" i="57"/>
  <c r="AF61" i="62" s="1"/>
  <c r="AU60" i="57"/>
  <c r="AR60" i="57" s="1"/>
  <c r="AR60" i="62" s="1"/>
  <c r="AT60" i="57"/>
  <c r="AT60" i="62" s="1"/>
  <c r="AP60" i="57"/>
  <c r="AP60" i="62" s="1"/>
  <c r="AO60" i="57"/>
  <c r="AO60" i="62" s="1"/>
  <c r="AN60" i="57"/>
  <c r="AN60" i="62" s="1"/>
  <c r="AM60" i="57"/>
  <c r="AM60" i="62" s="1"/>
  <c r="AK60" i="57"/>
  <c r="AK60" i="62" s="1"/>
  <c r="AJ60" i="57"/>
  <c r="AJ60" i="62" s="1"/>
  <c r="AI60" i="57"/>
  <c r="AH60" i="57"/>
  <c r="AH60" i="62" s="1"/>
  <c r="AF60" i="57"/>
  <c r="AF60" i="62" s="1"/>
  <c r="AE60" i="57"/>
  <c r="AE60" i="62" s="1"/>
  <c r="AD60" i="57"/>
  <c r="AD60" i="62" s="1"/>
  <c r="AC60" i="57"/>
  <c r="AC60" i="62" s="1"/>
  <c r="AA60" i="57"/>
  <c r="AA60" i="62" s="1"/>
  <c r="Z60" i="57"/>
  <c r="Z60" i="62" s="1"/>
  <c r="Y60" i="62"/>
  <c r="S56" i="57"/>
  <c r="S56" i="62" s="1"/>
  <c r="P56" i="57"/>
  <c r="P56" i="62" s="1"/>
  <c r="O56" i="57"/>
  <c r="O56" i="62" s="1"/>
  <c r="N56" i="57"/>
  <c r="N56" i="62" s="1"/>
  <c r="I56" i="57"/>
  <c r="I56" i="62" s="1"/>
  <c r="E56" i="57"/>
  <c r="E56" i="62" s="1"/>
  <c r="V55" i="57"/>
  <c r="V55" i="62" s="1"/>
  <c r="U55" i="57"/>
  <c r="U55" i="62" s="1"/>
  <c r="T55" i="57"/>
  <c r="T55" i="62" s="1"/>
  <c r="S55" i="57"/>
  <c r="S55" i="62" s="1"/>
  <c r="Q55" i="57"/>
  <c r="Q55" i="62" s="1"/>
  <c r="P55" i="57"/>
  <c r="P55" i="62" s="1"/>
  <c r="O55" i="57"/>
  <c r="O55" i="62" s="1"/>
  <c r="N55" i="57"/>
  <c r="N55" i="62" s="1"/>
  <c r="L55" i="57"/>
  <c r="L55" i="62" s="1"/>
  <c r="K55" i="57"/>
  <c r="K55" i="62" s="1"/>
  <c r="J55" i="57"/>
  <c r="J55" i="62" s="1"/>
  <c r="I55" i="57"/>
  <c r="I55" i="62" s="1"/>
  <c r="G55" i="57"/>
  <c r="G55" i="62" s="1"/>
  <c r="F55" i="57"/>
  <c r="F55" i="62" s="1"/>
  <c r="E55" i="57"/>
  <c r="E55" i="62" s="1"/>
  <c r="D55" i="57"/>
  <c r="D55" i="62" s="1"/>
  <c r="V54" i="57"/>
  <c r="V54" i="62" s="1"/>
  <c r="U54" i="57"/>
  <c r="U54" i="62" s="1"/>
  <c r="T54" i="57"/>
  <c r="T54" i="62" s="1"/>
  <c r="S54" i="57"/>
  <c r="S54" i="62" s="1"/>
  <c r="Q54" i="57"/>
  <c r="Q54" i="62" s="1"/>
  <c r="P54" i="57"/>
  <c r="P54" i="62" s="1"/>
  <c r="O54" i="57"/>
  <c r="O54" i="62" s="1"/>
  <c r="N54" i="57"/>
  <c r="N54" i="62" s="1"/>
  <c r="L54" i="57"/>
  <c r="L54" i="62" s="1"/>
  <c r="K54" i="57"/>
  <c r="K54" i="62" s="1"/>
  <c r="J54" i="57"/>
  <c r="J54" i="62" s="1"/>
  <c r="I54" i="57"/>
  <c r="I54" i="62" s="1"/>
  <c r="G54" i="57"/>
  <c r="G54" i="62" s="1"/>
  <c r="F54" i="57"/>
  <c r="F54" i="62" s="1"/>
  <c r="E54" i="57"/>
  <c r="E54" i="62" s="1"/>
  <c r="D54" i="57"/>
  <c r="D54" i="62" s="1"/>
  <c r="V51" i="57"/>
  <c r="V51" i="62" s="1"/>
  <c r="U51" i="57"/>
  <c r="U51" i="62" s="1"/>
  <c r="T51" i="57"/>
  <c r="T51" i="62" s="1"/>
  <c r="S51" i="57"/>
  <c r="S52" i="57" s="1"/>
  <c r="S52" i="62" s="1"/>
  <c r="Q51" i="57"/>
  <c r="Q52" i="57" s="1"/>
  <c r="Q52" i="62" s="1"/>
  <c r="P51" i="57"/>
  <c r="P51" i="62" s="1"/>
  <c r="O51" i="57"/>
  <c r="N51" i="57"/>
  <c r="N51" i="62" s="1"/>
  <c r="L51" i="57"/>
  <c r="L51" i="62" s="1"/>
  <c r="K51" i="57"/>
  <c r="K51" i="62" s="1"/>
  <c r="J51" i="57"/>
  <c r="J51" i="62" s="1"/>
  <c r="I51" i="57"/>
  <c r="I51" i="62" s="1"/>
  <c r="F51" i="57"/>
  <c r="F52" i="57" s="1"/>
  <c r="F52" i="62" s="1"/>
  <c r="E51" i="57"/>
  <c r="E52" i="57" s="1"/>
  <c r="E52" i="62" s="1"/>
  <c r="D51" i="57"/>
  <c r="D51" i="62" s="1"/>
  <c r="V49" i="57"/>
  <c r="AA49" i="57" s="1"/>
  <c r="AF49" i="57" s="1"/>
  <c r="AF49" i="62" s="1"/>
  <c r="U49" i="57"/>
  <c r="U49" i="62" s="1"/>
  <c r="T49" i="57"/>
  <c r="S49" i="57"/>
  <c r="S49" i="62" s="1"/>
  <c r="Q49" i="57"/>
  <c r="Q50" i="57" s="1"/>
  <c r="Q50" i="62" s="1"/>
  <c r="P49" i="57"/>
  <c r="P49" i="62" s="1"/>
  <c r="O49" i="57"/>
  <c r="O49" i="62" s="1"/>
  <c r="N49" i="57"/>
  <c r="N49" i="62" s="1"/>
  <c r="L49" i="57"/>
  <c r="L49" i="62" s="1"/>
  <c r="K49" i="57"/>
  <c r="K49" i="62" s="1"/>
  <c r="J49" i="57"/>
  <c r="J49" i="62" s="1"/>
  <c r="I49" i="57"/>
  <c r="I49" i="62" s="1"/>
  <c r="F49" i="57"/>
  <c r="F49" i="62" s="1"/>
  <c r="E49" i="57"/>
  <c r="E49" i="62" s="1"/>
  <c r="D49" i="57"/>
  <c r="D49" i="62" s="1"/>
  <c r="AU46" i="57"/>
  <c r="AT46" i="57"/>
  <c r="AS46" i="57"/>
  <c r="AR46" i="57"/>
  <c r="AP46" i="57"/>
  <c r="AO46" i="57"/>
  <c r="AN46" i="57"/>
  <c r="AM46" i="57"/>
  <c r="AK46" i="57"/>
  <c r="AJ46" i="57"/>
  <c r="AI46" i="57"/>
  <c r="AH46" i="57"/>
  <c r="AF46" i="57"/>
  <c r="AE46" i="57"/>
  <c r="AD46" i="57"/>
  <c r="AC46" i="57"/>
  <c r="AA46" i="57"/>
  <c r="Z46" i="57"/>
  <c r="Y46" i="57"/>
  <c r="X46" i="57"/>
  <c r="X52" i="57" s="1"/>
  <c r="X52" i="62" s="1"/>
  <c r="V46" i="57"/>
  <c r="U46" i="57"/>
  <c r="T46" i="57"/>
  <c r="T50" i="57" s="1"/>
  <c r="T50" i="62" s="1"/>
  <c r="S46" i="57"/>
  <c r="S50" i="57" s="1"/>
  <c r="S50" i="62" s="1"/>
  <c r="Q46" i="57"/>
  <c r="P46" i="57"/>
  <c r="P52" i="57" s="1"/>
  <c r="P52" i="62" s="1"/>
  <c r="O46" i="57"/>
  <c r="N46" i="57"/>
  <c r="L46" i="57"/>
  <c r="K46" i="57"/>
  <c r="J46" i="57"/>
  <c r="I46" i="57"/>
  <c r="G46" i="57"/>
  <c r="F46" i="57"/>
  <c r="E46" i="57"/>
  <c r="D46" i="57"/>
  <c r="D52" i="57" s="1"/>
  <c r="D52" i="62" s="1"/>
  <c r="V41" i="57"/>
  <c r="V41" i="62" s="1"/>
  <c r="S41" i="57"/>
  <c r="S41" i="62" s="1"/>
  <c r="Q41" i="57"/>
  <c r="Q41" i="62" s="1"/>
  <c r="P41" i="57"/>
  <c r="P41" i="62" s="1"/>
  <c r="O41" i="57"/>
  <c r="O41" i="62" s="1"/>
  <c r="N41" i="57"/>
  <c r="N41" i="62" s="1"/>
  <c r="K41" i="57"/>
  <c r="K41" i="62" s="1"/>
  <c r="Y40" i="57"/>
  <c r="Z40" i="57" s="1"/>
  <c r="AA40" i="57" s="1"/>
  <c r="AA40" i="62" s="1"/>
  <c r="W40" i="57"/>
  <c r="W40" i="62" s="1"/>
  <c r="R40" i="57"/>
  <c r="R40" i="62" s="1"/>
  <c r="M40" i="57"/>
  <c r="M40" i="62" s="1"/>
  <c r="H40" i="57"/>
  <c r="H40" i="62" s="1"/>
  <c r="Y39" i="57"/>
  <c r="Z39" i="57" s="1"/>
  <c r="AA39" i="57" s="1"/>
  <c r="AC39" i="57" s="1"/>
  <c r="AD39" i="57" s="1"/>
  <c r="AE39" i="57" s="1"/>
  <c r="AF39" i="57" s="1"/>
  <c r="AF39" i="62" s="1"/>
  <c r="W39" i="57"/>
  <c r="W39" i="62" s="1"/>
  <c r="R39" i="57"/>
  <c r="R39" i="62" s="1"/>
  <c r="M39" i="57"/>
  <c r="M39" i="62" s="1"/>
  <c r="H39" i="57"/>
  <c r="H39" i="62" s="1"/>
  <c r="W38" i="57"/>
  <c r="W38" i="62" s="1"/>
  <c r="R38" i="57"/>
  <c r="R38" i="62" s="1"/>
  <c r="M38" i="57"/>
  <c r="M38" i="62" s="1"/>
  <c r="H38" i="57"/>
  <c r="H38" i="62" s="1"/>
  <c r="W37" i="57"/>
  <c r="V37" i="57"/>
  <c r="U37" i="57"/>
  <c r="U41" i="57" s="1"/>
  <c r="U41" i="62" s="1"/>
  <c r="T37" i="57"/>
  <c r="T41" i="57" s="1"/>
  <c r="T62" i="57" s="1"/>
  <c r="T62" i="62" s="1"/>
  <c r="S37" i="57"/>
  <c r="R37" i="57"/>
  <c r="R37" i="62" s="1"/>
  <c r="Q37" i="57"/>
  <c r="P37" i="57"/>
  <c r="O37" i="57"/>
  <c r="N37" i="57"/>
  <c r="M37" i="57"/>
  <c r="M41" i="57" s="1"/>
  <c r="M41" i="62" s="1"/>
  <c r="L37" i="57"/>
  <c r="L41" i="57" s="1"/>
  <c r="L41" i="62" s="1"/>
  <c r="K37" i="57"/>
  <c r="J37" i="57"/>
  <c r="J41" i="57" s="1"/>
  <c r="J41" i="62" s="1"/>
  <c r="I37" i="57"/>
  <c r="I41" i="57" s="1"/>
  <c r="I41" i="62" s="1"/>
  <c r="H37" i="57"/>
  <c r="H41" i="57" s="1"/>
  <c r="H41" i="62" s="1"/>
  <c r="G37" i="57"/>
  <c r="G41" i="57" s="1"/>
  <c r="G62" i="57" s="1"/>
  <c r="G62" i="62" s="1"/>
  <c r="F37" i="57"/>
  <c r="F41" i="57" s="1"/>
  <c r="F41" i="62" s="1"/>
  <c r="E37" i="57"/>
  <c r="E41" i="57" s="1"/>
  <c r="E41" i="62" s="1"/>
  <c r="D37" i="57"/>
  <c r="D41" i="57" s="1"/>
  <c r="D41" i="62" s="1"/>
  <c r="Y34" i="57"/>
  <c r="Z34" i="57" s="1"/>
  <c r="AA34" i="57" s="1"/>
  <c r="W34" i="57"/>
  <c r="W34" i="62" s="1"/>
  <c r="R34" i="57"/>
  <c r="R34" i="62" s="1"/>
  <c r="M34" i="57"/>
  <c r="M34" i="62" s="1"/>
  <c r="H34" i="57"/>
  <c r="H34" i="62" s="1"/>
  <c r="Y33" i="57"/>
  <c r="Y33" i="62" s="1"/>
  <c r="W33" i="57"/>
  <c r="W33" i="62" s="1"/>
  <c r="R33" i="57"/>
  <c r="R33" i="62" s="1"/>
  <c r="M33" i="57"/>
  <c r="M33" i="62" s="1"/>
  <c r="H33" i="57"/>
  <c r="H33" i="62" s="1"/>
  <c r="Y32" i="57"/>
  <c r="Z32" i="57" s="1"/>
  <c r="AA32" i="57" s="1"/>
  <c r="AA32" i="62" s="1"/>
  <c r="W32" i="57"/>
  <c r="W32" i="62" s="1"/>
  <c r="R32" i="57"/>
  <c r="R32" i="62" s="1"/>
  <c r="M32" i="57"/>
  <c r="M32" i="62" s="1"/>
  <c r="H32" i="57"/>
  <c r="H32" i="62" s="1"/>
  <c r="W31" i="57"/>
  <c r="W31" i="62" s="1"/>
  <c r="R31" i="57"/>
  <c r="R31" i="62" s="1"/>
  <c r="M31" i="57"/>
  <c r="M31" i="62" s="1"/>
  <c r="H31" i="57"/>
  <c r="H31" i="62" s="1"/>
  <c r="S30" i="57"/>
  <c r="S35" i="57" s="1"/>
  <c r="S35" i="62" s="1"/>
  <c r="Q30" i="57"/>
  <c r="Q35" i="57" s="1"/>
  <c r="Q35" i="62" s="1"/>
  <c r="P30" i="57"/>
  <c r="P35" i="57" s="1"/>
  <c r="P35" i="62" s="1"/>
  <c r="O30" i="57"/>
  <c r="O30" i="62" s="1"/>
  <c r="K30" i="57"/>
  <c r="K35" i="57" s="1"/>
  <c r="K35" i="62" s="1"/>
  <c r="G30" i="57"/>
  <c r="G35" i="57" s="1"/>
  <c r="F30" i="57"/>
  <c r="F35" i="57" s="1"/>
  <c r="F35" i="62" s="1"/>
  <c r="E30" i="57"/>
  <c r="E35" i="57" s="1"/>
  <c r="E35" i="62" s="1"/>
  <c r="D30" i="57"/>
  <c r="D35" i="57" s="1"/>
  <c r="D35" i="62" s="1"/>
  <c r="AV29" i="57"/>
  <c r="AV29" i="62" s="1"/>
  <c r="AQ29" i="57"/>
  <c r="AQ29" i="62" s="1"/>
  <c r="AL29" i="57"/>
  <c r="AL29" i="62" s="1"/>
  <c r="AG29" i="57"/>
  <c r="AG29" i="62" s="1"/>
  <c r="AB29" i="57"/>
  <c r="AB29" i="62" s="1"/>
  <c r="W29" i="57"/>
  <c r="W29" i="62" s="1"/>
  <c r="R29" i="57"/>
  <c r="R29" i="62" s="1"/>
  <c r="M29" i="57"/>
  <c r="M29" i="62" s="1"/>
  <c r="H29" i="57"/>
  <c r="H29" i="62" s="1"/>
  <c r="W28" i="57"/>
  <c r="W28" i="62" s="1"/>
  <c r="V28" i="57"/>
  <c r="U28" i="57"/>
  <c r="U63" i="57" s="1"/>
  <c r="U63" i="62" s="1"/>
  <c r="S28" i="57"/>
  <c r="S47" i="58" s="1"/>
  <c r="S47" i="63" s="1"/>
  <c r="R28" i="57"/>
  <c r="R28" i="62" s="1"/>
  <c r="N28" i="57"/>
  <c r="N47" i="58" s="1"/>
  <c r="N47" i="63" s="1"/>
  <c r="M28" i="57"/>
  <c r="M28" i="62" s="1"/>
  <c r="L28" i="57"/>
  <c r="L47" i="58" s="1"/>
  <c r="L47" i="63" s="1"/>
  <c r="K28" i="57"/>
  <c r="K47" i="58" s="1"/>
  <c r="K47" i="63" s="1"/>
  <c r="J28" i="57"/>
  <c r="I28" i="57"/>
  <c r="H28" i="57"/>
  <c r="H28" i="62" s="1"/>
  <c r="E28" i="57"/>
  <c r="Y27" i="57"/>
  <c r="Y27" i="62" s="1"/>
  <c r="X19" i="63"/>
  <c r="W27" i="57"/>
  <c r="W27" i="62" s="1"/>
  <c r="R27" i="57"/>
  <c r="R27" i="62" s="1"/>
  <c r="M27" i="57"/>
  <c r="M27" i="62" s="1"/>
  <c r="H27" i="57"/>
  <c r="H27" i="62" s="1"/>
  <c r="Y26" i="57"/>
  <c r="Z26" i="57" s="1"/>
  <c r="AA26" i="57" s="1"/>
  <c r="AA26" i="62" s="1"/>
  <c r="W26" i="57"/>
  <c r="W26" i="62" s="1"/>
  <c r="R26" i="57"/>
  <c r="R26" i="62" s="1"/>
  <c r="M26" i="57"/>
  <c r="M26" i="62" s="1"/>
  <c r="H26" i="57"/>
  <c r="H26" i="62" s="1"/>
  <c r="T25" i="57"/>
  <c r="U25" i="57" s="1"/>
  <c r="R25" i="57"/>
  <c r="R25" i="62" s="1"/>
  <c r="M25" i="57"/>
  <c r="M25" i="62" s="1"/>
  <c r="H25" i="57"/>
  <c r="H25" i="62" s="1"/>
  <c r="Y24" i="57"/>
  <c r="Z24" i="57" s="1"/>
  <c r="AA24" i="57" s="1"/>
  <c r="AA24" i="62" s="1"/>
  <c r="W24" i="57"/>
  <c r="W24" i="62" s="1"/>
  <c r="R24" i="57"/>
  <c r="R24" i="62" s="1"/>
  <c r="M24" i="57"/>
  <c r="M24" i="62" s="1"/>
  <c r="H24" i="57"/>
  <c r="H24" i="62" s="1"/>
  <c r="Y23" i="57"/>
  <c r="Y23" i="62" s="1"/>
  <c r="W23" i="57"/>
  <c r="W23" i="62" s="1"/>
  <c r="R23" i="57"/>
  <c r="R23" i="62" s="1"/>
  <c r="M23" i="57"/>
  <c r="M23" i="62" s="1"/>
  <c r="H23" i="57"/>
  <c r="W22" i="57"/>
  <c r="W22" i="62" s="1"/>
  <c r="R22" i="57"/>
  <c r="M22" i="57"/>
  <c r="H22" i="57"/>
  <c r="H22" i="62" s="1"/>
  <c r="Y19" i="57"/>
  <c r="Z19" i="57" s="1"/>
  <c r="Z19" i="62" s="1"/>
  <c r="W19" i="57"/>
  <c r="W19" i="62" s="1"/>
  <c r="R19" i="57"/>
  <c r="R19" i="62" s="1"/>
  <c r="M19" i="57"/>
  <c r="M19" i="62" s="1"/>
  <c r="H19" i="57"/>
  <c r="H19" i="62" s="1"/>
  <c r="Y18" i="57"/>
  <c r="Z18" i="57" s="1"/>
  <c r="AA18" i="57" s="1"/>
  <c r="AA18" i="62" s="1"/>
  <c r="W18" i="57"/>
  <c r="W18" i="62" s="1"/>
  <c r="R18" i="57"/>
  <c r="R18" i="62" s="1"/>
  <c r="M18" i="57"/>
  <c r="M18" i="62" s="1"/>
  <c r="H18" i="57"/>
  <c r="H18" i="62" s="1"/>
  <c r="W17" i="57"/>
  <c r="W17" i="62" s="1"/>
  <c r="R17" i="57"/>
  <c r="R17" i="62" s="1"/>
  <c r="M17" i="57"/>
  <c r="M17" i="62" s="1"/>
  <c r="H17" i="57"/>
  <c r="H17" i="62" s="1"/>
  <c r="W16" i="57"/>
  <c r="W16" i="62" s="1"/>
  <c r="R16" i="57"/>
  <c r="R16" i="62" s="1"/>
  <c r="M16" i="57"/>
  <c r="M16" i="62" s="1"/>
  <c r="H16" i="57"/>
  <c r="Y15" i="57"/>
  <c r="Z15" i="57" s="1"/>
  <c r="Z15" i="62" s="1"/>
  <c r="W15" i="57"/>
  <c r="W15" i="62" s="1"/>
  <c r="R15" i="57"/>
  <c r="R15" i="62" s="1"/>
  <c r="M15" i="57"/>
  <c r="M15" i="62" s="1"/>
  <c r="H15" i="57"/>
  <c r="H15" i="62" s="1"/>
  <c r="W14" i="57"/>
  <c r="W14" i="62" s="1"/>
  <c r="R14" i="57"/>
  <c r="R14" i="62" s="1"/>
  <c r="M14" i="57"/>
  <c r="M14" i="62" s="1"/>
  <c r="H14" i="57"/>
  <c r="H14" i="62" s="1"/>
  <c r="W13" i="57"/>
  <c r="W13" i="62" s="1"/>
  <c r="R13" i="57"/>
  <c r="R13" i="62" s="1"/>
  <c r="M13" i="57"/>
  <c r="M13" i="62" s="1"/>
  <c r="H13" i="57"/>
  <c r="H13" i="62" s="1"/>
  <c r="W12" i="57"/>
  <c r="W12" i="62" s="1"/>
  <c r="R12" i="57"/>
  <c r="R12" i="62" s="1"/>
  <c r="M12" i="57"/>
  <c r="M12" i="62" s="1"/>
  <c r="H12" i="57"/>
  <c r="H12" i="62" s="1"/>
  <c r="Y10" i="57"/>
  <c r="Y17" i="58" s="1"/>
  <c r="Y17" i="63" s="1"/>
  <c r="X17" i="63"/>
  <c r="W10" i="57"/>
  <c r="W10" i="62" s="1"/>
  <c r="R10" i="57"/>
  <c r="R10" i="62" s="1"/>
  <c r="M10" i="57"/>
  <c r="M10" i="62" s="1"/>
  <c r="H10" i="57"/>
  <c r="H10" i="62" s="1"/>
  <c r="W9" i="57"/>
  <c r="W9" i="62" s="1"/>
  <c r="R9" i="57"/>
  <c r="R9" i="62" s="1"/>
  <c r="M9" i="57"/>
  <c r="M9" i="62" s="1"/>
  <c r="H9" i="57"/>
  <c r="H9" i="62" s="1"/>
  <c r="W8" i="57"/>
  <c r="W8" i="62" s="1"/>
  <c r="R8" i="57"/>
  <c r="R8" i="62" s="1"/>
  <c r="M8" i="57"/>
  <c r="M8" i="62" s="1"/>
  <c r="H8" i="57"/>
  <c r="H8" i="62" s="1"/>
  <c r="W7" i="57"/>
  <c r="W7" i="62" s="1"/>
  <c r="R7" i="57"/>
  <c r="R7" i="62" s="1"/>
  <c r="M7" i="57"/>
  <c r="M7" i="62" s="1"/>
  <c r="H7" i="57"/>
  <c r="D6" i="57"/>
  <c r="N173" i="56"/>
  <c r="J173" i="56"/>
  <c r="V173" i="56"/>
  <c r="U172" i="56"/>
  <c r="T172" i="56"/>
  <c r="Q172" i="56"/>
  <c r="Q173" i="56" s="1"/>
  <c r="P172" i="56"/>
  <c r="O172" i="56"/>
  <c r="N172" i="56"/>
  <c r="K172" i="56"/>
  <c r="T171" i="56"/>
  <c r="Q171" i="56"/>
  <c r="F171" i="56"/>
  <c r="E171" i="56"/>
  <c r="V170" i="56"/>
  <c r="S170" i="56"/>
  <c r="S173" i="56" s="1"/>
  <c r="P170" i="56"/>
  <c r="P173" i="56" s="1"/>
  <c r="O170" i="56"/>
  <c r="O173" i="56" s="1"/>
  <c r="L170" i="56"/>
  <c r="L173" i="56" s="1"/>
  <c r="J170" i="56"/>
  <c r="I170" i="56"/>
  <c r="I173" i="56" s="1"/>
  <c r="X168" i="56"/>
  <c r="X170" i="56" s="1"/>
  <c r="X170" i="61" s="1"/>
  <c r="V168" i="56"/>
  <c r="U168" i="56"/>
  <c r="U170" i="56" s="1"/>
  <c r="T168" i="56"/>
  <c r="T170" i="56" s="1"/>
  <c r="Q168" i="56"/>
  <c r="Q170" i="56" s="1"/>
  <c r="P168" i="56"/>
  <c r="O168" i="56"/>
  <c r="N168" i="56"/>
  <c r="N170" i="56" s="1"/>
  <c r="L168" i="56"/>
  <c r="J168" i="56"/>
  <c r="I168" i="56"/>
  <c r="G168" i="56"/>
  <c r="G170" i="56" s="1"/>
  <c r="G173" i="56" s="1"/>
  <c r="F168" i="56"/>
  <c r="F170" i="56" s="1"/>
  <c r="F173" i="56" s="1"/>
  <c r="E168" i="56"/>
  <c r="E170" i="56" s="1"/>
  <c r="E173" i="56" s="1"/>
  <c r="AR167" i="56"/>
  <c r="AM167" i="56"/>
  <c r="AH167" i="56"/>
  <c r="Y167" i="56"/>
  <c r="Z167" i="56" s="1"/>
  <c r="Z167" i="61" s="1"/>
  <c r="H167" i="56"/>
  <c r="AR166" i="56"/>
  <c r="AM166" i="56"/>
  <c r="AH166" i="56"/>
  <c r="AC166" i="56"/>
  <c r="H166" i="56"/>
  <c r="Y165" i="56"/>
  <c r="Z165" i="56" s="1"/>
  <c r="S165" i="56"/>
  <c r="S168" i="56" s="1"/>
  <c r="G165" i="56"/>
  <c r="H165" i="56" s="1"/>
  <c r="D165" i="56"/>
  <c r="AR164" i="56"/>
  <c r="AM164" i="56"/>
  <c r="AH164" i="56"/>
  <c r="AC164" i="56"/>
  <c r="D164" i="56"/>
  <c r="H164" i="56" s="1"/>
  <c r="AC163" i="56"/>
  <c r="K163" i="56"/>
  <c r="K168" i="56" s="1"/>
  <c r="K170" i="56" s="1"/>
  <c r="K173" i="56" s="1"/>
  <c r="G163" i="56"/>
  <c r="D163" i="56"/>
  <c r="D168" i="56" s="1"/>
  <c r="D170" i="56" s="1"/>
  <c r="D173" i="56" s="1"/>
  <c r="F161" i="56"/>
  <c r="E161" i="56"/>
  <c r="E158" i="56"/>
  <c r="D158" i="56"/>
  <c r="D157" i="56"/>
  <c r="AD155" i="56"/>
  <c r="AD155" i="61" s="1"/>
  <c r="AC155" i="56"/>
  <c r="AC155" i="61" s="1"/>
  <c r="AA155" i="56"/>
  <c r="AA155" i="61" s="1"/>
  <c r="Z155" i="56"/>
  <c r="Z155" i="61" s="1"/>
  <c r="Y155" i="56"/>
  <c r="Y155" i="61" s="1"/>
  <c r="X155" i="56"/>
  <c r="X155" i="61" s="1"/>
  <c r="V155" i="56"/>
  <c r="V152" i="56" s="1"/>
  <c r="U155" i="56"/>
  <c r="U152" i="56" s="1"/>
  <c r="Q155" i="56"/>
  <c r="Q151" i="56" s="1"/>
  <c r="P155" i="56"/>
  <c r="P151" i="56" s="1"/>
  <c r="O155" i="56"/>
  <c r="N155" i="56"/>
  <c r="L155" i="56"/>
  <c r="L152" i="56" s="1"/>
  <c r="K155" i="56"/>
  <c r="K151" i="56" s="1"/>
  <c r="J155" i="56"/>
  <c r="I155" i="56"/>
  <c r="I151" i="56" s="1"/>
  <c r="G155" i="56"/>
  <c r="G151" i="56" s="1"/>
  <c r="E155" i="56"/>
  <c r="AV154" i="56"/>
  <c r="AQ154" i="56"/>
  <c r="AG154" i="56"/>
  <c r="AG154" i="61" s="1"/>
  <c r="AB154" i="56"/>
  <c r="AB154" i="61" s="1"/>
  <c r="W154" i="56"/>
  <c r="V154" i="56"/>
  <c r="T154" i="56"/>
  <c r="S154" i="56"/>
  <c r="R154" i="56"/>
  <c r="M154" i="56"/>
  <c r="F154" i="56"/>
  <c r="F155" i="56" s="1"/>
  <c r="F152" i="56" s="1"/>
  <c r="V153" i="56"/>
  <c r="T152" i="56"/>
  <c r="S152" i="56"/>
  <c r="Q152" i="56"/>
  <c r="P152" i="56"/>
  <c r="O152" i="56"/>
  <c r="N152" i="56"/>
  <c r="K152" i="56"/>
  <c r="J152" i="56"/>
  <c r="E152" i="56"/>
  <c r="V151" i="56"/>
  <c r="T151" i="56"/>
  <c r="S151" i="56"/>
  <c r="O151" i="56"/>
  <c r="L151" i="56"/>
  <c r="J151" i="56"/>
  <c r="E151" i="56"/>
  <c r="I148" i="56"/>
  <c r="Z145" i="56"/>
  <c r="AA145" i="56" s="1"/>
  <c r="V145" i="56"/>
  <c r="U145" i="56"/>
  <c r="U145" i="61" s="1"/>
  <c r="T145" i="56"/>
  <c r="T145" i="61" s="1"/>
  <c r="S145" i="56"/>
  <c r="S145" i="61" s="1"/>
  <c r="Q145" i="56"/>
  <c r="Q145" i="61" s="1"/>
  <c r="P145" i="56"/>
  <c r="P145" i="61" s="1"/>
  <c r="O145" i="56"/>
  <c r="O145" i="61" s="1"/>
  <c r="N145" i="56"/>
  <c r="N145" i="61" s="1"/>
  <c r="L145" i="56"/>
  <c r="L145" i="61" s="1"/>
  <c r="K145" i="56"/>
  <c r="K145" i="61" s="1"/>
  <c r="J145" i="56"/>
  <c r="J145" i="61" s="1"/>
  <c r="I145" i="56"/>
  <c r="I145" i="61" s="1"/>
  <c r="F145" i="56"/>
  <c r="F145" i="61" s="1"/>
  <c r="E145" i="56"/>
  <c r="E145" i="61" s="1"/>
  <c r="V136" i="56"/>
  <c r="U136" i="56"/>
  <c r="T136" i="56"/>
  <c r="S136" i="56"/>
  <c r="Q136" i="56"/>
  <c r="P136" i="56"/>
  <c r="O136" i="56"/>
  <c r="N136" i="56"/>
  <c r="L136" i="56"/>
  <c r="K136" i="56"/>
  <c r="J136" i="56"/>
  <c r="I136" i="56"/>
  <c r="F136" i="56"/>
  <c r="E136" i="56"/>
  <c r="D136" i="56"/>
  <c r="V135" i="56"/>
  <c r="U135" i="56"/>
  <c r="T135" i="56"/>
  <c r="S135" i="56"/>
  <c r="Q135" i="56"/>
  <c r="P135" i="56"/>
  <c r="O135" i="56"/>
  <c r="N135" i="56"/>
  <c r="L135" i="56"/>
  <c r="K135" i="56"/>
  <c r="J135" i="56"/>
  <c r="I135" i="56"/>
  <c r="F135" i="56"/>
  <c r="E135" i="56"/>
  <c r="D135" i="56"/>
  <c r="V134" i="56"/>
  <c r="U134" i="56"/>
  <c r="T134" i="56"/>
  <c r="S134" i="56"/>
  <c r="Q134" i="56"/>
  <c r="P134" i="56"/>
  <c r="O134" i="56"/>
  <c r="N134" i="56"/>
  <c r="L134" i="56"/>
  <c r="K134" i="56"/>
  <c r="J134" i="56"/>
  <c r="I134" i="56"/>
  <c r="F134" i="56"/>
  <c r="E134" i="56"/>
  <c r="D134" i="56"/>
  <c r="V133" i="56"/>
  <c r="U133" i="56"/>
  <c r="T133" i="56"/>
  <c r="S133" i="56"/>
  <c r="Q133" i="56"/>
  <c r="P133" i="56"/>
  <c r="O133" i="56"/>
  <c r="N133" i="56"/>
  <c r="L133" i="56"/>
  <c r="K133" i="56"/>
  <c r="J133" i="56"/>
  <c r="I133" i="56"/>
  <c r="F133" i="56"/>
  <c r="E133" i="56"/>
  <c r="D133" i="56"/>
  <c r="V131" i="56"/>
  <c r="U131" i="56"/>
  <c r="T131" i="56"/>
  <c r="Q131" i="56"/>
  <c r="O131" i="56"/>
  <c r="L131" i="56"/>
  <c r="F131" i="56"/>
  <c r="E131" i="56"/>
  <c r="D131" i="56"/>
  <c r="V130" i="56"/>
  <c r="U130" i="56"/>
  <c r="T130" i="56"/>
  <c r="S130" i="56"/>
  <c r="S131" i="56" s="1"/>
  <c r="Q130" i="56"/>
  <c r="P130" i="56"/>
  <c r="P131" i="56" s="1"/>
  <c r="O130" i="56"/>
  <c r="N130" i="56"/>
  <c r="N131" i="56" s="1"/>
  <c r="M130" i="56"/>
  <c r="L130" i="56"/>
  <c r="K130" i="56"/>
  <c r="K131" i="56" s="1"/>
  <c r="J130" i="56"/>
  <c r="J131" i="56" s="1"/>
  <c r="I130" i="56"/>
  <c r="I131" i="56" s="1"/>
  <c r="G130" i="56"/>
  <c r="G131" i="56" s="1"/>
  <c r="F130" i="56"/>
  <c r="E130" i="56"/>
  <c r="D130" i="56"/>
  <c r="Y129" i="56"/>
  <c r="Y129" i="61" s="1"/>
  <c r="W129" i="56"/>
  <c r="R129" i="56"/>
  <c r="M129" i="56"/>
  <c r="W128" i="56"/>
  <c r="R128" i="56"/>
  <c r="M128" i="56"/>
  <c r="W127" i="56"/>
  <c r="R127" i="56"/>
  <c r="M127" i="56"/>
  <c r="W126" i="56"/>
  <c r="R126" i="56"/>
  <c r="R130" i="56" s="1"/>
  <c r="R131" i="56" s="1"/>
  <c r="M126" i="56"/>
  <c r="G126" i="56"/>
  <c r="AB125" i="56"/>
  <c r="AB125" i="61" s="1"/>
  <c r="W125" i="56"/>
  <c r="R125" i="56"/>
  <c r="M125" i="56"/>
  <c r="W124" i="56"/>
  <c r="V124" i="56"/>
  <c r="U124" i="56"/>
  <c r="T124" i="56"/>
  <c r="S124" i="56"/>
  <c r="Q124" i="56"/>
  <c r="P124" i="56"/>
  <c r="O124" i="56"/>
  <c r="N124" i="56"/>
  <c r="L124" i="56"/>
  <c r="K124" i="56"/>
  <c r="J124" i="56"/>
  <c r="I124" i="56"/>
  <c r="AE123" i="56"/>
  <c r="AD123" i="56"/>
  <c r="AA123" i="56"/>
  <c r="Z123" i="56"/>
  <c r="Y123" i="56"/>
  <c r="AC123" i="56"/>
  <c r="AC123" i="61" s="1"/>
  <c r="W123" i="56"/>
  <c r="R123" i="56"/>
  <c r="R124" i="56" s="1"/>
  <c r="M123" i="56"/>
  <c r="H123" i="56"/>
  <c r="Q121" i="56"/>
  <c r="O121" i="56"/>
  <c r="N121" i="56"/>
  <c r="L121" i="56"/>
  <c r="K121" i="56"/>
  <c r="T120" i="56"/>
  <c r="T121" i="56" s="1"/>
  <c r="S120" i="56"/>
  <c r="S121" i="56" s="1"/>
  <c r="N120" i="56"/>
  <c r="L120" i="56"/>
  <c r="K120" i="56"/>
  <c r="I120" i="56"/>
  <c r="I121" i="56" s="1"/>
  <c r="F120" i="56"/>
  <c r="F121" i="56" s="1"/>
  <c r="E120" i="56"/>
  <c r="E121" i="56" s="1"/>
  <c r="D120" i="56"/>
  <c r="D121" i="56" s="1"/>
  <c r="W119" i="56"/>
  <c r="R119" i="56"/>
  <c r="M119" i="56"/>
  <c r="H119" i="56"/>
  <c r="V118" i="56"/>
  <c r="V120" i="56" s="1"/>
  <c r="V121" i="56" s="1"/>
  <c r="U118" i="56"/>
  <c r="U120" i="56" s="1"/>
  <c r="U121" i="56" s="1"/>
  <c r="T118" i="56"/>
  <c r="S118" i="56"/>
  <c r="Q118" i="56"/>
  <c r="Q120" i="56" s="1"/>
  <c r="P118" i="56"/>
  <c r="P120" i="56" s="1"/>
  <c r="P121" i="56" s="1"/>
  <c r="O118" i="56"/>
  <c r="O120" i="56" s="1"/>
  <c r="N118" i="56"/>
  <c r="L118" i="56"/>
  <c r="K118" i="56"/>
  <c r="J118" i="56"/>
  <c r="J120" i="56" s="1"/>
  <c r="J121" i="56" s="1"/>
  <c r="I118" i="56"/>
  <c r="H118" i="56"/>
  <c r="H120" i="56" s="1"/>
  <c r="H121" i="56" s="1"/>
  <c r="G118" i="56"/>
  <c r="G120" i="56" s="1"/>
  <c r="G121" i="56" s="1"/>
  <c r="F118" i="56"/>
  <c r="E118" i="56"/>
  <c r="D118" i="56"/>
  <c r="V117" i="56"/>
  <c r="X117" i="56" s="1"/>
  <c r="Y117" i="56" s="1"/>
  <c r="Z117" i="56" s="1"/>
  <c r="R117" i="56"/>
  <c r="M117" i="56"/>
  <c r="H117" i="56"/>
  <c r="AF116" i="56"/>
  <c r="AD116" i="56"/>
  <c r="AA116" i="56"/>
  <c r="AA187" i="56" s="1"/>
  <c r="Z116" i="56"/>
  <c r="Z115" i="56" s="1"/>
  <c r="V116" i="56"/>
  <c r="U116" i="56"/>
  <c r="U187" i="56" s="1"/>
  <c r="T116" i="56"/>
  <c r="Y116" i="56" s="1"/>
  <c r="S116" i="56"/>
  <c r="Q116" i="56"/>
  <c r="Q187" i="56" s="1"/>
  <c r="P116" i="56"/>
  <c r="O116" i="56"/>
  <c r="N116" i="56"/>
  <c r="M116" i="56"/>
  <c r="L116" i="56"/>
  <c r="K116" i="56"/>
  <c r="J116" i="56"/>
  <c r="I116" i="56"/>
  <c r="H116" i="56"/>
  <c r="G116" i="56"/>
  <c r="F116" i="56"/>
  <c r="E116" i="56"/>
  <c r="D116" i="56"/>
  <c r="W115" i="56"/>
  <c r="W116" i="56" s="1"/>
  <c r="R115" i="56"/>
  <c r="M115" i="56"/>
  <c r="H115" i="56"/>
  <c r="AV114" i="56"/>
  <c r="AQ114" i="56"/>
  <c r="AL114" i="56"/>
  <c r="AG114" i="56"/>
  <c r="AB114" i="56"/>
  <c r="AB114" i="61" s="1"/>
  <c r="W114" i="56"/>
  <c r="R114" i="56"/>
  <c r="R118" i="56" s="1"/>
  <c r="M114" i="56"/>
  <c r="H114" i="56"/>
  <c r="AF113" i="56"/>
  <c r="AA113" i="56"/>
  <c r="AA186" i="56" s="1"/>
  <c r="V113" i="56"/>
  <c r="V186" i="56" s="1"/>
  <c r="U113" i="56"/>
  <c r="T113" i="56"/>
  <c r="S113" i="56"/>
  <c r="Q113" i="56"/>
  <c r="Q186" i="56" s="1"/>
  <c r="P113" i="56"/>
  <c r="O113" i="56"/>
  <c r="N113" i="56"/>
  <c r="L113" i="56"/>
  <c r="K113" i="56"/>
  <c r="J113" i="56"/>
  <c r="I113" i="56"/>
  <c r="G113" i="56"/>
  <c r="F113" i="56"/>
  <c r="E113" i="56"/>
  <c r="D113" i="56"/>
  <c r="W112" i="56"/>
  <c r="R112" i="56"/>
  <c r="M112" i="56"/>
  <c r="H112" i="56"/>
  <c r="H113" i="56" s="1"/>
  <c r="AF111" i="56"/>
  <c r="AD111" i="56"/>
  <c r="AD185" i="56" s="1"/>
  <c r="AC111" i="56"/>
  <c r="AC111" i="61" s="1"/>
  <c r="AA111" i="56"/>
  <c r="AA185" i="56" s="1"/>
  <c r="Y111" i="56"/>
  <c r="Y185" i="56" s="1"/>
  <c r="X185" i="56"/>
  <c r="W111" i="56"/>
  <c r="V111" i="56"/>
  <c r="U111" i="56"/>
  <c r="T111" i="56"/>
  <c r="S111" i="56"/>
  <c r="Q111" i="56"/>
  <c r="Q185" i="56" s="1"/>
  <c r="P111" i="56"/>
  <c r="O111" i="56"/>
  <c r="N111" i="56"/>
  <c r="M111" i="56"/>
  <c r="L111" i="56"/>
  <c r="K111" i="56"/>
  <c r="J111" i="56"/>
  <c r="I111" i="56"/>
  <c r="G111" i="56"/>
  <c r="F111" i="56"/>
  <c r="E111" i="56"/>
  <c r="D111" i="56"/>
  <c r="X110" i="61"/>
  <c r="W110" i="56"/>
  <c r="R110" i="56"/>
  <c r="M110" i="56"/>
  <c r="M118" i="56" s="1"/>
  <c r="H110" i="56"/>
  <c r="H111" i="56" s="1"/>
  <c r="V109" i="56"/>
  <c r="U109" i="56"/>
  <c r="T109" i="56"/>
  <c r="S109" i="56"/>
  <c r="Q109" i="56"/>
  <c r="P109" i="56"/>
  <c r="O109" i="56"/>
  <c r="N109" i="56"/>
  <c r="L109" i="56"/>
  <c r="K109" i="56"/>
  <c r="J109" i="56"/>
  <c r="I109" i="56"/>
  <c r="AO108" i="56"/>
  <c r="AN108" i="56"/>
  <c r="AE108" i="56"/>
  <c r="AJ108" i="56" s="1"/>
  <c r="AA108" i="56"/>
  <c r="Z108" i="56"/>
  <c r="Y108" i="56"/>
  <c r="AD108" i="56" s="1"/>
  <c r="AI108" i="56" s="1"/>
  <c r="AC108" i="56"/>
  <c r="AC108" i="61" s="1"/>
  <c r="W108" i="56"/>
  <c r="R108" i="56"/>
  <c r="M108" i="56"/>
  <c r="M109" i="56" s="1"/>
  <c r="H108" i="56"/>
  <c r="J106" i="56"/>
  <c r="U105" i="56"/>
  <c r="U106" i="56" s="1"/>
  <c r="G105" i="56"/>
  <c r="G106" i="56" s="1"/>
  <c r="F105" i="56"/>
  <c r="F106" i="56" s="1"/>
  <c r="E105" i="56"/>
  <c r="E106" i="56" s="1"/>
  <c r="AV104" i="56"/>
  <c r="AQ104" i="56"/>
  <c r="AL104" i="56"/>
  <c r="AG104" i="56"/>
  <c r="AB104" i="56"/>
  <c r="AB104" i="61" s="1"/>
  <c r="W104" i="56"/>
  <c r="R104" i="56"/>
  <c r="M104" i="56"/>
  <c r="H104" i="56"/>
  <c r="U103" i="56"/>
  <c r="T103" i="56"/>
  <c r="S103" i="56"/>
  <c r="Q103" i="56"/>
  <c r="P103" i="56"/>
  <c r="O103" i="56"/>
  <c r="N103" i="56"/>
  <c r="L103" i="56"/>
  <c r="K103" i="56"/>
  <c r="J103" i="56"/>
  <c r="I103" i="56"/>
  <c r="G103" i="56"/>
  <c r="F103" i="56"/>
  <c r="E103" i="56"/>
  <c r="D103" i="56"/>
  <c r="V102" i="56"/>
  <c r="W102" i="56" s="1"/>
  <c r="R102" i="56"/>
  <c r="M102" i="56"/>
  <c r="H102" i="56"/>
  <c r="AA101" i="56"/>
  <c r="Z101" i="56"/>
  <c r="Y183" i="56"/>
  <c r="T101" i="56"/>
  <c r="N101" i="56"/>
  <c r="K101" i="56"/>
  <c r="J101" i="56"/>
  <c r="I101" i="56"/>
  <c r="G101" i="56"/>
  <c r="D101" i="56"/>
  <c r="W100" i="56"/>
  <c r="R100" i="56"/>
  <c r="M100" i="56"/>
  <c r="H100" i="56"/>
  <c r="W99" i="56"/>
  <c r="R99" i="56"/>
  <c r="M99" i="56"/>
  <c r="H99" i="56"/>
  <c r="U98" i="56"/>
  <c r="N98" i="56"/>
  <c r="K98" i="56"/>
  <c r="J98" i="56"/>
  <c r="E98" i="56"/>
  <c r="W97" i="56"/>
  <c r="R97" i="56"/>
  <c r="M97" i="56"/>
  <c r="H97" i="56"/>
  <c r="V96" i="56"/>
  <c r="U96" i="56"/>
  <c r="U181" i="56" s="1"/>
  <c r="T96" i="56"/>
  <c r="S96" i="56"/>
  <c r="Q96" i="56"/>
  <c r="P96" i="56"/>
  <c r="O96" i="56"/>
  <c r="N96" i="56"/>
  <c r="L96" i="56"/>
  <c r="K96" i="56"/>
  <c r="J96" i="56"/>
  <c r="I96" i="56"/>
  <c r="H96" i="56"/>
  <c r="G96" i="56"/>
  <c r="F96" i="56"/>
  <c r="E96" i="56"/>
  <c r="D96" i="56"/>
  <c r="W95" i="56"/>
  <c r="W96" i="56" s="1"/>
  <c r="R95" i="56"/>
  <c r="R96" i="56" s="1"/>
  <c r="M95" i="56"/>
  <c r="H95" i="56"/>
  <c r="V94" i="56"/>
  <c r="U94" i="56"/>
  <c r="T94" i="56"/>
  <c r="N94" i="56"/>
  <c r="J94" i="56"/>
  <c r="G94" i="56"/>
  <c r="F94" i="56"/>
  <c r="E94" i="56"/>
  <c r="D94" i="56"/>
  <c r="W93" i="56"/>
  <c r="R93" i="56"/>
  <c r="M93" i="56"/>
  <c r="H93" i="56"/>
  <c r="V92" i="56"/>
  <c r="V101" i="56" s="1"/>
  <c r="U92" i="56"/>
  <c r="U101" i="56" s="1"/>
  <c r="T92" i="56"/>
  <c r="T105" i="56" s="1"/>
  <c r="T106" i="56" s="1"/>
  <c r="S92" i="56"/>
  <c r="Q92" i="56"/>
  <c r="P92" i="56"/>
  <c r="O92" i="56"/>
  <c r="N92" i="56"/>
  <c r="L92" i="56"/>
  <c r="K92" i="56"/>
  <c r="K94" i="56" s="1"/>
  <c r="J92" i="56"/>
  <c r="J105" i="56" s="1"/>
  <c r="I92" i="56"/>
  <c r="H92" i="56"/>
  <c r="G92" i="56"/>
  <c r="G98" i="56" s="1"/>
  <c r="F92" i="56"/>
  <c r="F101" i="56" s="1"/>
  <c r="E92" i="56"/>
  <c r="E101" i="56" s="1"/>
  <c r="D92" i="56"/>
  <c r="D105" i="56" s="1"/>
  <c r="D106" i="56" s="1"/>
  <c r="AV91" i="56"/>
  <c r="AU91" i="56"/>
  <c r="AT91" i="56"/>
  <c r="AS91" i="56"/>
  <c r="AR91" i="56"/>
  <c r="AP91" i="56"/>
  <c r="AO91" i="56"/>
  <c r="AN91" i="56"/>
  <c r="AM91" i="56"/>
  <c r="AL91" i="56"/>
  <c r="AK91" i="56"/>
  <c r="AJ91" i="56"/>
  <c r="AI91" i="56"/>
  <c r="AH91" i="56"/>
  <c r="AF91" i="56"/>
  <c r="AE91" i="56"/>
  <c r="AD91" i="56"/>
  <c r="AC91" i="56"/>
  <c r="AA91" i="56"/>
  <c r="AA91" i="61" s="1"/>
  <c r="Z91" i="56"/>
  <c r="Z91" i="61" s="1"/>
  <c r="Y91" i="56"/>
  <c r="Y91" i="61" s="1"/>
  <c r="X91" i="56"/>
  <c r="X91" i="61" s="1"/>
  <c r="V91" i="56"/>
  <c r="U91" i="56"/>
  <c r="T91" i="56"/>
  <c r="S91" i="56"/>
  <c r="Q91" i="56"/>
  <c r="P91" i="56"/>
  <c r="O91" i="56"/>
  <c r="N91" i="56"/>
  <c r="M91" i="56"/>
  <c r="L91" i="56"/>
  <c r="K91" i="56"/>
  <c r="J91" i="56"/>
  <c r="I91" i="56"/>
  <c r="N90" i="56"/>
  <c r="L90" i="56"/>
  <c r="K90" i="56"/>
  <c r="J90" i="56"/>
  <c r="I90" i="56"/>
  <c r="G90" i="56"/>
  <c r="F90" i="56"/>
  <c r="E90" i="56"/>
  <c r="D90" i="56"/>
  <c r="V89" i="56"/>
  <c r="U89" i="56"/>
  <c r="T89" i="56"/>
  <c r="S89" i="56"/>
  <c r="Q89" i="56"/>
  <c r="P89" i="56"/>
  <c r="O89" i="56"/>
  <c r="N89" i="56"/>
  <c r="L89" i="56"/>
  <c r="K89" i="56"/>
  <c r="J89" i="56"/>
  <c r="I89" i="56"/>
  <c r="AO88" i="56"/>
  <c r="AF88" i="56"/>
  <c r="AK88" i="56" s="1"/>
  <c r="AE88" i="56"/>
  <c r="AJ88" i="56" s="1"/>
  <c r="AD88" i="56"/>
  <c r="AI88" i="56" s="1"/>
  <c r="AN88" i="56" s="1"/>
  <c r="AB88" i="56"/>
  <c r="AB88" i="61" s="1"/>
  <c r="AA88" i="56"/>
  <c r="Z88" i="56"/>
  <c r="Y88" i="56"/>
  <c r="W88" i="56"/>
  <c r="R88" i="56"/>
  <c r="M88" i="56"/>
  <c r="H88" i="56"/>
  <c r="W87" i="56"/>
  <c r="R87" i="56"/>
  <c r="M87" i="56"/>
  <c r="H87" i="56"/>
  <c r="O86" i="56"/>
  <c r="K86" i="56"/>
  <c r="J86" i="56"/>
  <c r="O85" i="56"/>
  <c r="N85" i="56"/>
  <c r="N86" i="56" s="1"/>
  <c r="L85" i="56"/>
  <c r="L86" i="56" s="1"/>
  <c r="K85" i="56"/>
  <c r="J85" i="56"/>
  <c r="I85" i="56"/>
  <c r="I86" i="56" s="1"/>
  <c r="G85" i="56"/>
  <c r="G86" i="56" s="1"/>
  <c r="F85" i="56"/>
  <c r="F86" i="56" s="1"/>
  <c r="E85" i="56"/>
  <c r="E86" i="56" s="1"/>
  <c r="D85" i="56"/>
  <c r="D86" i="56" s="1"/>
  <c r="AV84" i="56"/>
  <c r="AQ84" i="56"/>
  <c r="AQ91" i="56" s="1"/>
  <c r="AL84" i="56"/>
  <c r="AG84" i="56"/>
  <c r="AB84" i="56"/>
  <c r="AB84" i="61" s="1"/>
  <c r="W84" i="56"/>
  <c r="W91" i="56" s="1"/>
  <c r="R84" i="56"/>
  <c r="R91" i="56" s="1"/>
  <c r="M84" i="56"/>
  <c r="K84" i="56"/>
  <c r="J84" i="56"/>
  <c r="I84" i="56"/>
  <c r="G84" i="56"/>
  <c r="G91" i="56" s="1"/>
  <c r="F84" i="56"/>
  <c r="F91" i="56" s="1"/>
  <c r="E84" i="56"/>
  <c r="E91" i="56" s="1"/>
  <c r="D84" i="56"/>
  <c r="S83" i="56"/>
  <c r="R83" i="56"/>
  <c r="O83" i="56"/>
  <c r="M83" i="56"/>
  <c r="H83" i="56"/>
  <c r="V79" i="56"/>
  <c r="U79" i="56"/>
  <c r="T79" i="56"/>
  <c r="S79" i="56"/>
  <c r="Q79" i="56"/>
  <c r="P79" i="56"/>
  <c r="O79" i="56"/>
  <c r="N79" i="56"/>
  <c r="L79" i="56"/>
  <c r="K79" i="56"/>
  <c r="J79" i="56"/>
  <c r="I79" i="56"/>
  <c r="W78" i="56"/>
  <c r="W79" i="56" s="1"/>
  <c r="R78" i="56"/>
  <c r="M78" i="56"/>
  <c r="H78" i="56"/>
  <c r="L77" i="56"/>
  <c r="K77" i="56"/>
  <c r="J77" i="56"/>
  <c r="N76" i="56"/>
  <c r="N77" i="56" s="1"/>
  <c r="L76" i="56"/>
  <c r="K76" i="56"/>
  <c r="J76" i="56"/>
  <c r="I76" i="56"/>
  <c r="I77" i="56" s="1"/>
  <c r="G76" i="56"/>
  <c r="G77" i="56" s="1"/>
  <c r="F76" i="56"/>
  <c r="F77" i="56" s="1"/>
  <c r="E76" i="56"/>
  <c r="E77" i="56" s="1"/>
  <c r="AV75" i="56"/>
  <c r="AQ75" i="56"/>
  <c r="AL75" i="56"/>
  <c r="AG75" i="56"/>
  <c r="AB75" i="56"/>
  <c r="AB75" i="61" s="1"/>
  <c r="W75" i="56"/>
  <c r="R75" i="56"/>
  <c r="M75" i="56"/>
  <c r="L75" i="56"/>
  <c r="K75" i="56"/>
  <c r="J75" i="56"/>
  <c r="I75" i="56"/>
  <c r="G75" i="56"/>
  <c r="F75" i="56"/>
  <c r="E75" i="56"/>
  <c r="H75" i="56" s="1"/>
  <c r="D75" i="56"/>
  <c r="O74" i="56"/>
  <c r="M74" i="56"/>
  <c r="H74" i="56"/>
  <c r="S72" i="56"/>
  <c r="G71" i="56"/>
  <c r="G72" i="56" s="1"/>
  <c r="F71" i="56"/>
  <c r="V70" i="56"/>
  <c r="U70" i="56"/>
  <c r="T70" i="56"/>
  <c r="S70" i="56"/>
  <c r="Q70" i="56"/>
  <c r="P70" i="56"/>
  <c r="O70" i="56"/>
  <c r="N70" i="56"/>
  <c r="L70" i="56"/>
  <c r="K70" i="56"/>
  <c r="J70" i="56"/>
  <c r="I70" i="56"/>
  <c r="H70" i="56"/>
  <c r="G70" i="56"/>
  <c r="F70" i="56"/>
  <c r="E70" i="56"/>
  <c r="D70" i="56"/>
  <c r="W69" i="56"/>
  <c r="U68" i="56"/>
  <c r="T68" i="56"/>
  <c r="S68" i="56"/>
  <c r="K68" i="56"/>
  <c r="J68" i="56"/>
  <c r="E68" i="56"/>
  <c r="W67" i="56"/>
  <c r="W66" i="56"/>
  <c r="AA65" i="56"/>
  <c r="Z65" i="56"/>
  <c r="V65" i="56"/>
  <c r="U65" i="56"/>
  <c r="T65" i="56"/>
  <c r="S65" i="56"/>
  <c r="L65" i="56"/>
  <c r="J65" i="56"/>
  <c r="I65" i="56"/>
  <c r="G65" i="56"/>
  <c r="W64" i="56"/>
  <c r="Y63" i="56"/>
  <c r="V63" i="56"/>
  <c r="U63" i="56"/>
  <c r="T63" i="56"/>
  <c r="S63" i="56"/>
  <c r="Q63" i="56"/>
  <c r="P63" i="56"/>
  <c r="O63" i="56"/>
  <c r="N63" i="56"/>
  <c r="L63" i="56"/>
  <c r="Q176" i="56" s="1"/>
  <c r="K63" i="56"/>
  <c r="J63" i="56"/>
  <c r="I63" i="56"/>
  <c r="G63" i="56"/>
  <c r="F63" i="56"/>
  <c r="E63" i="56"/>
  <c r="D63" i="56"/>
  <c r="W62" i="56"/>
  <c r="Z61" i="56"/>
  <c r="Y61" i="56"/>
  <c r="U61" i="56"/>
  <c r="T61" i="56"/>
  <c r="S61" i="56"/>
  <c r="L61" i="56"/>
  <c r="J61" i="56"/>
  <c r="I61" i="56"/>
  <c r="G61" i="56"/>
  <c r="W60" i="56"/>
  <c r="V59" i="56"/>
  <c r="U59" i="56"/>
  <c r="T59" i="56"/>
  <c r="T71" i="56" s="1"/>
  <c r="S59" i="56"/>
  <c r="S71" i="56" s="1"/>
  <c r="Q59" i="56"/>
  <c r="P59" i="56"/>
  <c r="O59" i="56"/>
  <c r="N59" i="56"/>
  <c r="L59" i="56"/>
  <c r="L71" i="56" s="1"/>
  <c r="L72" i="56" s="1"/>
  <c r="K59" i="56"/>
  <c r="J59" i="56"/>
  <c r="J71" i="56" s="1"/>
  <c r="I59" i="56"/>
  <c r="I71" i="56" s="1"/>
  <c r="I72" i="56" s="1"/>
  <c r="H59" i="56"/>
  <c r="G59" i="56"/>
  <c r="G68" i="56" s="1"/>
  <c r="F59" i="56"/>
  <c r="E59" i="56"/>
  <c r="D59" i="56"/>
  <c r="D68" i="56" s="1"/>
  <c r="AU58" i="56"/>
  <c r="AT58" i="56"/>
  <c r="AS58" i="56"/>
  <c r="AR58" i="56"/>
  <c r="AQ58" i="56"/>
  <c r="AP58" i="56"/>
  <c r="AO58" i="56"/>
  <c r="AN58" i="56"/>
  <c r="AM58" i="56"/>
  <c r="AK58" i="56"/>
  <c r="AJ58" i="56"/>
  <c r="AI58" i="56"/>
  <c r="AH58" i="56"/>
  <c r="AG58" i="56"/>
  <c r="AF58" i="56"/>
  <c r="AE58" i="56"/>
  <c r="AD58" i="56"/>
  <c r="AC58" i="56"/>
  <c r="AA58" i="56"/>
  <c r="AA58" i="61" s="1"/>
  <c r="Z58" i="56"/>
  <c r="Z58" i="61" s="1"/>
  <c r="Y58" i="56"/>
  <c r="Y58" i="61" s="1"/>
  <c r="X58" i="56"/>
  <c r="X58" i="61" s="1"/>
  <c r="V58" i="56"/>
  <c r="U58" i="56"/>
  <c r="T58" i="56"/>
  <c r="S58" i="56"/>
  <c r="Q58" i="56"/>
  <c r="P58" i="56"/>
  <c r="O58" i="56"/>
  <c r="N58" i="56"/>
  <c r="I58" i="56"/>
  <c r="F58" i="56"/>
  <c r="N57" i="56"/>
  <c r="L57" i="56"/>
  <c r="K57" i="56"/>
  <c r="J57" i="56"/>
  <c r="I57" i="56"/>
  <c r="G57" i="56"/>
  <c r="F57" i="56"/>
  <c r="E57" i="56"/>
  <c r="D57" i="56"/>
  <c r="V56" i="56"/>
  <c r="U56" i="56"/>
  <c r="T56" i="56"/>
  <c r="S56" i="56"/>
  <c r="Q56" i="56"/>
  <c r="P56" i="56"/>
  <c r="O56" i="56"/>
  <c r="N56" i="56"/>
  <c r="L56" i="56"/>
  <c r="K56" i="56"/>
  <c r="J56" i="56"/>
  <c r="I56" i="56"/>
  <c r="AC55" i="56"/>
  <c r="AH55" i="56" s="1"/>
  <c r="AH55" i="61" s="1"/>
  <c r="AB55" i="56"/>
  <c r="AB55" i="61" s="1"/>
  <c r="AA55" i="56"/>
  <c r="Z55" i="56"/>
  <c r="Y55" i="56"/>
  <c r="W55" i="56"/>
  <c r="W54" i="56"/>
  <c r="I53" i="56"/>
  <c r="G53" i="56"/>
  <c r="F53" i="56"/>
  <c r="E53" i="56"/>
  <c r="D53" i="56"/>
  <c r="O52" i="56"/>
  <c r="O53" i="56" s="1"/>
  <c r="N52" i="56"/>
  <c r="N53" i="56" s="1"/>
  <c r="L52" i="56"/>
  <c r="L53" i="56" s="1"/>
  <c r="K52" i="56"/>
  <c r="K53" i="56" s="1"/>
  <c r="J52" i="56"/>
  <c r="J53" i="56" s="1"/>
  <c r="I52" i="56"/>
  <c r="G52" i="56"/>
  <c r="F52" i="56"/>
  <c r="E52" i="56"/>
  <c r="D52" i="56"/>
  <c r="AV51" i="56"/>
  <c r="AQ51" i="56"/>
  <c r="AL51" i="56"/>
  <c r="AG51" i="56"/>
  <c r="AB51" i="56"/>
  <c r="AB51" i="61" s="1"/>
  <c r="W51" i="56"/>
  <c r="K51" i="56"/>
  <c r="K58" i="56" s="1"/>
  <c r="J51" i="56"/>
  <c r="J58" i="56" s="1"/>
  <c r="I51" i="56"/>
  <c r="H51" i="56"/>
  <c r="G51" i="56"/>
  <c r="G58" i="56" s="1"/>
  <c r="F51" i="56"/>
  <c r="E51" i="56"/>
  <c r="D51" i="56"/>
  <c r="T50" i="56"/>
  <c r="S50" i="56"/>
  <c r="S52" i="56" s="1"/>
  <c r="S53" i="56" s="1"/>
  <c r="O50" i="56"/>
  <c r="P50" i="56" s="1"/>
  <c r="W46" i="56"/>
  <c r="V46" i="56"/>
  <c r="U46" i="56"/>
  <c r="T46" i="56"/>
  <c r="S46" i="56"/>
  <c r="Q46" i="56"/>
  <c r="P46" i="56"/>
  <c r="O46" i="56"/>
  <c r="N46" i="56"/>
  <c r="L46" i="56"/>
  <c r="K46" i="56"/>
  <c r="J46" i="56"/>
  <c r="I46" i="56"/>
  <c r="W45" i="56"/>
  <c r="W63" i="56" s="1"/>
  <c r="R45" i="56"/>
  <c r="M45" i="56"/>
  <c r="H45" i="56"/>
  <c r="L44" i="56"/>
  <c r="J44" i="56"/>
  <c r="I44" i="56"/>
  <c r="G44" i="56"/>
  <c r="P43" i="56"/>
  <c r="P44" i="56" s="1"/>
  <c r="O43" i="56"/>
  <c r="O44" i="56" s="1"/>
  <c r="N43" i="56"/>
  <c r="N44" i="56" s="1"/>
  <c r="L43" i="56"/>
  <c r="K43" i="56"/>
  <c r="K44" i="56" s="1"/>
  <c r="J43" i="56"/>
  <c r="I43" i="56"/>
  <c r="G43" i="56"/>
  <c r="F43" i="56"/>
  <c r="F44" i="56" s="1"/>
  <c r="E43" i="56"/>
  <c r="E44" i="56" s="1"/>
  <c r="D43" i="56"/>
  <c r="AV42" i="56"/>
  <c r="AQ42" i="56"/>
  <c r="AL42" i="56"/>
  <c r="AG42" i="56"/>
  <c r="AB42" i="56"/>
  <c r="W42" i="56"/>
  <c r="L42" i="56"/>
  <c r="L58" i="56" s="1"/>
  <c r="K42" i="56"/>
  <c r="J42" i="56"/>
  <c r="I42" i="56"/>
  <c r="G42" i="56"/>
  <c r="F42" i="56"/>
  <c r="E42" i="56"/>
  <c r="D42" i="56"/>
  <c r="Q41" i="56"/>
  <c r="P41" i="56"/>
  <c r="O41" i="56"/>
  <c r="O57" i="56" s="1"/>
  <c r="Q37" i="56"/>
  <c r="L37" i="56"/>
  <c r="G37" i="56"/>
  <c r="W35" i="56"/>
  <c r="L35" i="56"/>
  <c r="N35" i="56" s="1"/>
  <c r="R35" i="56" s="1"/>
  <c r="H35" i="56"/>
  <c r="Y31" i="56"/>
  <c r="Z31" i="56" s="1"/>
  <c r="AA31" i="56" s="1"/>
  <c r="AA31" i="61" s="1"/>
  <c r="Y30" i="56"/>
  <c r="Y30" i="61" s="1"/>
  <c r="V28" i="56"/>
  <c r="U28" i="56"/>
  <c r="T28" i="56"/>
  <c r="S28" i="56"/>
  <c r="W28" i="56" s="1"/>
  <c r="Q28" i="56"/>
  <c r="P28" i="56"/>
  <c r="O28" i="56"/>
  <c r="N28" i="56"/>
  <c r="R28" i="56" s="1"/>
  <c r="L28" i="56"/>
  <c r="K28" i="56"/>
  <c r="J28" i="56"/>
  <c r="I28" i="56"/>
  <c r="M28" i="56" s="1"/>
  <c r="H28" i="56"/>
  <c r="G28" i="56"/>
  <c r="F28" i="56"/>
  <c r="E28" i="56"/>
  <c r="D28" i="56"/>
  <c r="T26" i="56"/>
  <c r="R26" i="56"/>
  <c r="M26" i="56"/>
  <c r="G26" i="56"/>
  <c r="W24" i="56"/>
  <c r="R24" i="56"/>
  <c r="M24" i="56"/>
  <c r="G24" i="56"/>
  <c r="E23" i="56"/>
  <c r="E143" i="56" s="1"/>
  <c r="Y22" i="56"/>
  <c r="Y22" i="61" s="1"/>
  <c r="W22" i="56"/>
  <c r="R22" i="56"/>
  <c r="M22" i="56"/>
  <c r="G22" i="56"/>
  <c r="G145" i="56" s="1"/>
  <c r="G145" i="61" s="1"/>
  <c r="W21" i="56"/>
  <c r="R21" i="56"/>
  <c r="M21" i="56"/>
  <c r="G21" i="56"/>
  <c r="AV20" i="56"/>
  <c r="AQ20" i="56"/>
  <c r="AL20" i="56"/>
  <c r="AG20" i="56"/>
  <c r="AB20" i="56"/>
  <c r="W20" i="56"/>
  <c r="R20" i="56"/>
  <c r="M20" i="56"/>
  <c r="G20" i="56"/>
  <c r="X18" i="56"/>
  <c r="X18" i="61" s="1"/>
  <c r="V18" i="56"/>
  <c r="U18" i="56"/>
  <c r="T18" i="56"/>
  <c r="W18" i="56" s="1"/>
  <c r="S18" i="56"/>
  <c r="Q18" i="56"/>
  <c r="R18" i="56" s="1"/>
  <c r="P18" i="56"/>
  <c r="O18" i="56"/>
  <c r="N18" i="56"/>
  <c r="L18" i="56"/>
  <c r="K18" i="56"/>
  <c r="J18" i="56"/>
  <c r="I18" i="56"/>
  <c r="M18" i="56" s="1"/>
  <c r="G18" i="56"/>
  <c r="F18" i="56"/>
  <c r="E18" i="56"/>
  <c r="D18" i="56"/>
  <c r="H18" i="56" s="1"/>
  <c r="V17" i="56"/>
  <c r="S17" i="56"/>
  <c r="Q17" i="56"/>
  <c r="N17" i="56"/>
  <c r="N141" i="56" s="1"/>
  <c r="E17" i="56"/>
  <c r="X9" i="63"/>
  <c r="W16" i="56"/>
  <c r="R16" i="56"/>
  <c r="M16" i="56"/>
  <c r="G16" i="56"/>
  <c r="G136" i="56" s="1"/>
  <c r="W15" i="56"/>
  <c r="W17" i="56" s="1"/>
  <c r="V15" i="56"/>
  <c r="U15" i="56"/>
  <c r="T15" i="56"/>
  <c r="S15" i="56"/>
  <c r="Q15" i="56"/>
  <c r="P15" i="56"/>
  <c r="O15" i="56"/>
  <c r="N15" i="56"/>
  <c r="L15" i="56"/>
  <c r="K15" i="56"/>
  <c r="J15" i="56"/>
  <c r="I15" i="56"/>
  <c r="I17" i="56" s="1"/>
  <c r="H15" i="56"/>
  <c r="F15" i="56"/>
  <c r="E15" i="56"/>
  <c r="D15" i="56"/>
  <c r="W14" i="56"/>
  <c r="R14" i="56"/>
  <c r="M14" i="56"/>
  <c r="G14" i="56"/>
  <c r="W13" i="56"/>
  <c r="R13" i="56"/>
  <c r="M13" i="56"/>
  <c r="G13" i="56"/>
  <c r="W12" i="56"/>
  <c r="R12" i="56"/>
  <c r="R15" i="56" s="1"/>
  <c r="M12" i="56"/>
  <c r="G12" i="56"/>
  <c r="W11" i="56"/>
  <c r="R11" i="56"/>
  <c r="M11" i="56"/>
  <c r="G11" i="56"/>
  <c r="G15" i="56" s="1"/>
  <c r="W10" i="56"/>
  <c r="R10" i="56"/>
  <c r="M10" i="56"/>
  <c r="G10" i="56"/>
  <c r="W9" i="56"/>
  <c r="R9" i="56"/>
  <c r="M9" i="56"/>
  <c r="G9" i="56"/>
  <c r="V8" i="56"/>
  <c r="U8" i="56"/>
  <c r="T8" i="56"/>
  <c r="S8" i="56"/>
  <c r="R8" i="56"/>
  <c r="Q8" i="56"/>
  <c r="P8" i="56"/>
  <c r="O8" i="56"/>
  <c r="N8" i="56"/>
  <c r="M8" i="56"/>
  <c r="L8" i="56"/>
  <c r="K8" i="56"/>
  <c r="J8" i="56"/>
  <c r="I8" i="56"/>
  <c r="H8" i="56"/>
  <c r="H17" i="56" s="1"/>
  <c r="F8" i="56"/>
  <c r="F47" i="57" s="1"/>
  <c r="F47" i="62" s="1"/>
  <c r="E8" i="56"/>
  <c r="E47" i="57" s="1"/>
  <c r="E48" i="57" s="1"/>
  <c r="E48" i="62" s="1"/>
  <c r="D8" i="56"/>
  <c r="AA7" i="56"/>
  <c r="Z7" i="56"/>
  <c r="Y7" i="56"/>
  <c r="AB7" i="56"/>
  <c r="AB7" i="61" s="1"/>
  <c r="W7" i="56"/>
  <c r="R7" i="56"/>
  <c r="M7" i="56"/>
  <c r="G7" i="56"/>
  <c r="G135" i="56" s="1"/>
  <c r="W6" i="56"/>
  <c r="R6" i="56"/>
  <c r="M6" i="56"/>
  <c r="G6" i="56"/>
  <c r="G134" i="56" s="1"/>
  <c r="W5" i="56"/>
  <c r="W8" i="56" s="1"/>
  <c r="R5" i="56"/>
  <c r="M5" i="56"/>
  <c r="G5" i="56"/>
  <c r="C11" i="52"/>
  <c r="AT86" i="48"/>
  <c r="AS86" i="48"/>
  <c r="AR86" i="48"/>
  <c r="AP86" i="48"/>
  <c r="AU86" i="48" s="1"/>
  <c r="AO86" i="48"/>
  <c r="AN86" i="48"/>
  <c r="AM86" i="48"/>
  <c r="AU77" i="48"/>
  <c r="AS77" i="48"/>
  <c r="AP77" i="48"/>
  <c r="AO77" i="48"/>
  <c r="AT77" i="48" s="1"/>
  <c r="AN77" i="48"/>
  <c r="AM77" i="48"/>
  <c r="AR77" i="48" s="1"/>
  <c r="AU53" i="48"/>
  <c r="AT53" i="48"/>
  <c r="AS53" i="48"/>
  <c r="AP53" i="48"/>
  <c r="AO53" i="48"/>
  <c r="AN53" i="48"/>
  <c r="AM53" i="48"/>
  <c r="AR53" i="48" s="1"/>
  <c r="AU44" i="48"/>
  <c r="AT44" i="48"/>
  <c r="AS44" i="48"/>
  <c r="AR44" i="48"/>
  <c r="AP44" i="48"/>
  <c r="AO44" i="48"/>
  <c r="AN44" i="48"/>
  <c r="AM44" i="48"/>
  <c r="AF163" i="73" l="1"/>
  <c r="AF163" i="70" s="1"/>
  <c r="Z170" i="73"/>
  <c r="Z18" i="73" s="1"/>
  <c r="Z18" i="70" s="1"/>
  <c r="Z168" i="70"/>
  <c r="AE69" i="73"/>
  <c r="Z131" i="73"/>
  <c r="AA173" i="73"/>
  <c r="Z173" i="70"/>
  <c r="AI128" i="73"/>
  <c r="AJ128" i="73" s="1"/>
  <c r="AK128" i="73" s="1"/>
  <c r="AM128" i="73" s="1"/>
  <c r="AO56" i="75"/>
  <c r="AP56" i="75" s="1"/>
  <c r="T141" i="73"/>
  <c r="T19" i="73"/>
  <c r="T23" i="73"/>
  <c r="K54" i="75"/>
  <c r="L10" i="75"/>
  <c r="AS123" i="73"/>
  <c r="AO123" i="73"/>
  <c r="AC125" i="73"/>
  <c r="AI135" i="73"/>
  <c r="V142" i="73"/>
  <c r="V29" i="73"/>
  <c r="V34" i="73" s="1"/>
  <c r="K53" i="75"/>
  <c r="L12" i="75"/>
  <c r="L53" i="75" s="1"/>
  <c r="O39" i="75"/>
  <c r="M25" i="75"/>
  <c r="M56" i="75" s="1"/>
  <c r="AF52" i="74"/>
  <c r="P22" i="75"/>
  <c r="AM19" i="74"/>
  <c r="AN19" i="74" s="1"/>
  <c r="AO19" i="74" s="1"/>
  <c r="AP19" i="74" s="1"/>
  <c r="AL19" i="74"/>
  <c r="AS108" i="73"/>
  <c r="AN112" i="73"/>
  <c r="AB125" i="73"/>
  <c r="K143" i="73"/>
  <c r="K25" i="73"/>
  <c r="K27" i="73" s="1"/>
  <c r="O141" i="73"/>
  <c r="O23" i="73"/>
  <c r="O19" i="73"/>
  <c r="J143" i="73"/>
  <c r="J25" i="73"/>
  <c r="J27" i="73" s="1"/>
  <c r="U53" i="75"/>
  <c r="V12" i="75"/>
  <c r="V53" i="75" s="1"/>
  <c r="AL15" i="74"/>
  <c r="AM15" i="74"/>
  <c r="AN15" i="74" s="1"/>
  <c r="AO15" i="74" s="1"/>
  <c r="AP15" i="74" s="1"/>
  <c r="P137" i="73"/>
  <c r="P72" i="73"/>
  <c r="AJ175" i="73"/>
  <c r="AO61" i="73"/>
  <c r="I143" i="73"/>
  <c r="I25" i="73"/>
  <c r="I27" i="73" s="1"/>
  <c r="Z177" i="73"/>
  <c r="AE65" i="73"/>
  <c r="R18" i="75"/>
  <c r="W15" i="75"/>
  <c r="L29" i="75"/>
  <c r="L37" i="75" s="1"/>
  <c r="K37" i="75"/>
  <c r="AD23" i="74"/>
  <c r="AC21" i="75"/>
  <c r="U54" i="75"/>
  <c r="V10" i="75"/>
  <c r="AA168" i="73"/>
  <c r="AC165" i="73"/>
  <c r="AF116" i="73"/>
  <c r="AA115" i="73"/>
  <c r="AA187" i="73"/>
  <c r="AA182" i="73"/>
  <c r="AF98" i="73"/>
  <c r="AA178" i="73"/>
  <c r="AF68" i="73"/>
  <c r="Q141" i="73"/>
  <c r="Q19" i="73"/>
  <c r="Q23" i="73"/>
  <c r="AC47" i="74"/>
  <c r="X48" i="74"/>
  <c r="AF47" i="74"/>
  <c r="AA48" i="74"/>
  <c r="J142" i="73"/>
  <c r="J29" i="73"/>
  <c r="J34" i="73" s="1"/>
  <c r="R16" i="75"/>
  <c r="W36" i="75"/>
  <c r="Y55" i="75"/>
  <c r="Y148" i="73" s="1"/>
  <c r="AN52" i="74"/>
  <c r="AS51" i="74"/>
  <c r="AS52" i="74" s="1"/>
  <c r="AR26" i="74"/>
  <c r="AS26" i="74" s="1"/>
  <c r="AT26" i="74" s="1"/>
  <c r="AU26" i="74" s="1"/>
  <c r="AV26" i="74" s="1"/>
  <c r="AQ26" i="74"/>
  <c r="AN110" i="73"/>
  <c r="W82" i="73"/>
  <c r="W101" i="73"/>
  <c r="AM185" i="73"/>
  <c r="AM110" i="73"/>
  <c r="AR111" i="73"/>
  <c r="AK55" i="73"/>
  <c r="AF7" i="73"/>
  <c r="AF135" i="73" s="1"/>
  <c r="AE135" i="73"/>
  <c r="AF119" i="73"/>
  <c r="AE136" i="73"/>
  <c r="AE16" i="73"/>
  <c r="AG109" i="73"/>
  <c r="AK65" i="73"/>
  <c r="AF177" i="73"/>
  <c r="O137" i="73"/>
  <c r="O72" i="73"/>
  <c r="H12" i="75"/>
  <c r="H53" i="75" s="1"/>
  <c r="H143" i="73"/>
  <c r="H25" i="73"/>
  <c r="H27" i="73" s="1"/>
  <c r="AA58" i="75"/>
  <c r="M33" i="75"/>
  <c r="Q24" i="75"/>
  <c r="P27" i="75"/>
  <c r="AI56" i="74"/>
  <c r="Q12" i="75"/>
  <c r="P53" i="75"/>
  <c r="R12" i="75"/>
  <c r="AL32" i="74"/>
  <c r="AM32" i="74"/>
  <c r="AN32" i="74" s="1"/>
  <c r="AO32" i="74" s="1"/>
  <c r="AP32" i="74" s="1"/>
  <c r="AA19" i="75"/>
  <c r="AB19" i="75" s="1"/>
  <c r="AA16" i="74"/>
  <c r="AC27" i="74"/>
  <c r="AB27" i="74"/>
  <c r="AG55" i="73"/>
  <c r="Z57" i="75"/>
  <c r="Z58" i="75" s="1"/>
  <c r="AB33" i="75"/>
  <c r="AB57" i="75" s="1"/>
  <c r="Y180" i="73"/>
  <c r="AD94" i="73"/>
  <c r="AF183" i="73"/>
  <c r="AK101" i="73"/>
  <c r="Z53" i="75"/>
  <c r="AA53" i="75" s="1"/>
  <c r="AC53" i="75" s="1"/>
  <c r="AD53" i="75" s="1"/>
  <c r="AE53" i="75" s="1"/>
  <c r="AF53" i="75" s="1"/>
  <c r="AH53" i="75" s="1"/>
  <c r="AI53" i="75" s="1"/>
  <c r="AJ53" i="75" s="1"/>
  <c r="AK53" i="75" s="1"/>
  <c r="AM53" i="75" s="1"/>
  <c r="AN53" i="75" s="1"/>
  <c r="AO53" i="75" s="1"/>
  <c r="AP53" i="75" s="1"/>
  <c r="AR53" i="75" s="1"/>
  <c r="AS53" i="75" s="1"/>
  <c r="AT53" i="75" s="1"/>
  <c r="AU53" i="75" s="1"/>
  <c r="AU185" i="73"/>
  <c r="J55" i="75"/>
  <c r="J148" i="73" s="1"/>
  <c r="X52" i="73"/>
  <c r="X53" i="73" s="1"/>
  <c r="AC53" i="73" s="1"/>
  <c r="AH53" i="73" s="1"/>
  <c r="AM53" i="73" s="1"/>
  <c r="AR53" i="73" s="1"/>
  <c r="Y50" i="73"/>
  <c r="AN50" i="74"/>
  <c r="AS49" i="74"/>
  <c r="AS50" i="74" s="1"/>
  <c r="H19" i="75"/>
  <c r="AI50" i="74"/>
  <c r="O22" i="75"/>
  <c r="AA52" i="74"/>
  <c r="AQ24" i="74"/>
  <c r="AR24" i="74"/>
  <c r="AS24" i="74" s="1"/>
  <c r="AT24" i="74" s="1"/>
  <c r="AU24" i="74" s="1"/>
  <c r="AV24" i="74" s="1"/>
  <c r="AM34" i="74"/>
  <c r="AN34" i="74" s="1"/>
  <c r="AO34" i="74" s="1"/>
  <c r="AP34" i="74" s="1"/>
  <c r="AL34" i="74"/>
  <c r="AG124" i="73"/>
  <c r="AK110" i="73"/>
  <c r="AK112" i="73"/>
  <c r="AP108" i="73"/>
  <c r="Y182" i="73"/>
  <c r="AD98" i="73"/>
  <c r="W94" i="73"/>
  <c r="Y142" i="73"/>
  <c r="Y29" i="73"/>
  <c r="Y34" i="73" s="1"/>
  <c r="AF176" i="73"/>
  <c r="AK63" i="73"/>
  <c r="R32" i="75"/>
  <c r="AP52" i="74"/>
  <c r="AB13" i="74"/>
  <c r="AC13" i="74"/>
  <c r="AN116" i="73"/>
  <c r="AI115" i="73"/>
  <c r="AI187" i="73"/>
  <c r="Y102" i="73"/>
  <c r="X103" i="73"/>
  <c r="X105" i="73" s="1"/>
  <c r="S137" i="73"/>
  <c r="S72" i="73"/>
  <c r="W71" i="73"/>
  <c r="W72" i="73" s="1"/>
  <c r="W141" i="73"/>
  <c r="W19" i="73"/>
  <c r="W23" i="73"/>
  <c r="Y143" i="73"/>
  <c r="Y25" i="73"/>
  <c r="Y27" i="73" s="1"/>
  <c r="H56" i="74"/>
  <c r="U57" i="75"/>
  <c r="V34" i="75"/>
  <c r="V57" i="75" s="1"/>
  <c r="E39" i="75"/>
  <c r="L57" i="75"/>
  <c r="E40" i="75"/>
  <c r="E41" i="75" s="1"/>
  <c r="D6" i="74"/>
  <c r="T27" i="75"/>
  <c r="U24" i="75"/>
  <c r="R15" i="75"/>
  <c r="M47" i="75"/>
  <c r="M67" i="74"/>
  <c r="AC50" i="74"/>
  <c r="M30" i="74"/>
  <c r="M35" i="74" s="1"/>
  <c r="M42" i="74" s="1"/>
  <c r="AA17" i="75"/>
  <c r="AB17" i="75" s="1"/>
  <c r="AB10" i="74"/>
  <c r="AC10" i="74"/>
  <c r="G173" i="73"/>
  <c r="G18" i="73"/>
  <c r="H18" i="73" s="1"/>
  <c r="H19" i="73" s="1"/>
  <c r="AH187" i="73"/>
  <c r="AH115" i="73"/>
  <c r="AM116" i="73"/>
  <c r="AP123" i="73"/>
  <c r="W106" i="73"/>
  <c r="AG128" i="73"/>
  <c r="AO181" i="73"/>
  <c r="AT96" i="73"/>
  <c r="AI181" i="73"/>
  <c r="AN96" i="73"/>
  <c r="AD176" i="73"/>
  <c r="AI63" i="73"/>
  <c r="AD183" i="73"/>
  <c r="AI101" i="73"/>
  <c r="Z47" i="74"/>
  <c r="AS88" i="73"/>
  <c r="P37" i="75"/>
  <c r="P39" i="75" s="1"/>
  <c r="Q29" i="75"/>
  <c r="F27" i="75"/>
  <c r="AD54" i="74"/>
  <c r="F151" i="73"/>
  <c r="F152" i="73"/>
  <c r="AD129" i="73"/>
  <c r="AC181" i="73"/>
  <c r="AH96" i="73"/>
  <c r="AB110" i="73"/>
  <c r="T137" i="73"/>
  <c r="T72" i="73"/>
  <c r="AR88" i="73"/>
  <c r="X143" i="73"/>
  <c r="X25" i="73"/>
  <c r="X27" i="73" s="1"/>
  <c r="AJ88" i="73"/>
  <c r="AE7" i="73"/>
  <c r="J137" i="73"/>
  <c r="J72" i="73"/>
  <c r="X72" i="73"/>
  <c r="AR56" i="75"/>
  <c r="X118" i="73"/>
  <c r="X120" i="73" s="1"/>
  <c r="X121" i="73" s="1"/>
  <c r="Y117" i="73"/>
  <c r="AT55" i="73"/>
  <c r="P57" i="75"/>
  <c r="Q34" i="75"/>
  <c r="Q57" i="75" s="1"/>
  <c r="G56" i="75"/>
  <c r="AH40" i="74"/>
  <c r="AI40" i="74" s="1"/>
  <c r="AJ40" i="74" s="1"/>
  <c r="AK40" i="74" s="1"/>
  <c r="AG40" i="74"/>
  <c r="AM50" i="74"/>
  <c r="AI126" i="73"/>
  <c r="AJ126" i="73" s="1"/>
  <c r="AK126" i="73" s="1"/>
  <c r="AM126" i="73" s="1"/>
  <c r="AL126" i="73"/>
  <c r="AT185" i="73"/>
  <c r="Z187" i="73"/>
  <c r="AE116" i="73"/>
  <c r="Z115" i="73"/>
  <c r="AB115" i="73" s="1"/>
  <c r="AB116" i="73" s="1"/>
  <c r="AB109" i="73"/>
  <c r="AP88" i="73"/>
  <c r="X175" i="73"/>
  <c r="AC176" i="73"/>
  <c r="AH63" i="73"/>
  <c r="AD175" i="73"/>
  <c r="AI61" i="73"/>
  <c r="X142" i="73"/>
  <c r="X29" i="73"/>
  <c r="X34" i="73" s="1"/>
  <c r="AN26" i="73"/>
  <c r="AO26" i="73" s="1"/>
  <c r="AP26" i="73" s="1"/>
  <c r="AR26" i="73" s="1"/>
  <c r="H17" i="75"/>
  <c r="H22" i="75" s="1"/>
  <c r="P56" i="75"/>
  <c r="Q25" i="75"/>
  <c r="H15" i="75"/>
  <c r="Y39" i="75"/>
  <c r="R20" i="75"/>
  <c r="Z29" i="75"/>
  <c r="Z47" i="75"/>
  <c r="Z63" i="74"/>
  <c r="AA28" i="74"/>
  <c r="AA22" i="73"/>
  <c r="AB22" i="73" s="1"/>
  <c r="R13" i="75"/>
  <c r="W25" i="75"/>
  <c r="W56" i="75" s="1"/>
  <c r="AI55" i="74"/>
  <c r="AJ55" i="74" s="1"/>
  <c r="H155" i="73"/>
  <c r="U182" i="73"/>
  <c r="Z98" i="73"/>
  <c r="G137" i="73"/>
  <c r="G72" i="73"/>
  <c r="Q74" i="73"/>
  <c r="Q76" i="73"/>
  <c r="Q77" i="73" s="1"/>
  <c r="AC94" i="73"/>
  <c r="X180" i="73"/>
  <c r="AB112" i="73"/>
  <c r="AB113" i="73" s="1"/>
  <c r="T177" i="73"/>
  <c r="I142" i="73"/>
  <c r="I29" i="73"/>
  <c r="I34" i="73" s="1"/>
  <c r="R98" i="73"/>
  <c r="R94" i="73"/>
  <c r="R82" i="73"/>
  <c r="Y175" i="73"/>
  <c r="F141" i="73"/>
  <c r="F19" i="73"/>
  <c r="F23" i="73"/>
  <c r="AL26" i="73"/>
  <c r="X178" i="73"/>
  <c r="AC68" i="73"/>
  <c r="J27" i="75"/>
  <c r="J39" i="75" s="1"/>
  <c r="K24" i="75"/>
  <c r="W12" i="75"/>
  <c r="W29" i="75"/>
  <c r="M35" i="75"/>
  <c r="AG57" i="75"/>
  <c r="H25" i="75"/>
  <c r="H56" i="75" s="1"/>
  <c r="G22" i="75"/>
  <c r="G39" i="75" s="1"/>
  <c r="G56" i="74"/>
  <c r="N55" i="75"/>
  <c r="N148" i="73" s="1"/>
  <c r="AC25" i="74"/>
  <c r="AA20" i="75"/>
  <c r="AB20" i="75" s="1"/>
  <c r="AB25" i="74"/>
  <c r="Y48" i="74"/>
  <c r="AR123" i="73"/>
  <c r="AQ123" i="73"/>
  <c r="AF96" i="73"/>
  <c r="AA181" i="73"/>
  <c r="AR108" i="73"/>
  <c r="AM112" i="73"/>
  <c r="Z178" i="73"/>
  <c r="AE68" i="73"/>
  <c r="X182" i="73"/>
  <c r="AC98" i="73"/>
  <c r="AE112" i="73"/>
  <c r="AG112" i="73" s="1"/>
  <c r="AG113" i="73" s="1"/>
  <c r="AE110" i="73"/>
  <c r="AJ108" i="73"/>
  <c r="AM135" i="73"/>
  <c r="AR55" i="73"/>
  <c r="AM7" i="73"/>
  <c r="K142" i="73"/>
  <c r="K29" i="73"/>
  <c r="K34" i="73" s="1"/>
  <c r="S141" i="73"/>
  <c r="S19" i="73"/>
  <c r="S23" i="73"/>
  <c r="AF35" i="73"/>
  <c r="H71" i="73"/>
  <c r="H72" i="73" s="1"/>
  <c r="AC177" i="73"/>
  <c r="AH65" i="73"/>
  <c r="S43" i="73"/>
  <c r="S44" i="73" s="1"/>
  <c r="Q57" i="73"/>
  <c r="W57" i="73" s="1"/>
  <c r="S41" i="73"/>
  <c r="R141" i="73"/>
  <c r="R19" i="73"/>
  <c r="R23" i="73"/>
  <c r="L142" i="73"/>
  <c r="L29" i="73"/>
  <c r="L34" i="73" s="1"/>
  <c r="L42" i="74"/>
  <c r="L62" i="74"/>
  <c r="G47" i="74"/>
  <c r="G48" i="74" s="1"/>
  <c r="G17" i="73"/>
  <c r="U183" i="73"/>
  <c r="Z101" i="73"/>
  <c r="AI47" i="74"/>
  <c r="AD48" i="74"/>
  <c r="K57" i="75"/>
  <c r="U22" i="75"/>
  <c r="W42" i="74"/>
  <c r="AF49" i="74"/>
  <c r="AA50" i="74"/>
  <c r="AM39" i="74"/>
  <c r="AN39" i="74" s="1"/>
  <c r="AO39" i="74" s="1"/>
  <c r="AP39" i="74" s="1"/>
  <c r="AL39" i="74"/>
  <c r="Q137" i="73"/>
  <c r="Q72" i="73"/>
  <c r="I106" i="73"/>
  <c r="M105" i="73"/>
  <c r="M106" i="73" s="1"/>
  <c r="Y178" i="73"/>
  <c r="X183" i="73"/>
  <c r="AC101" i="73"/>
  <c r="AC175" i="73"/>
  <c r="AH61" i="73"/>
  <c r="W98" i="73"/>
  <c r="U141" i="73"/>
  <c r="U23" i="73"/>
  <c r="U19" i="73"/>
  <c r="AA180" i="73"/>
  <c r="AF94" i="73"/>
  <c r="P141" i="73"/>
  <c r="P19" i="73"/>
  <c r="P23" i="73"/>
  <c r="N141" i="73"/>
  <c r="N23" i="73"/>
  <c r="N19" i="73"/>
  <c r="N106" i="73"/>
  <c r="R105" i="73"/>
  <c r="R106" i="73" s="1"/>
  <c r="L32" i="73"/>
  <c r="L33" i="73"/>
  <c r="AD178" i="73"/>
  <c r="AI68" i="73"/>
  <c r="I72" i="73"/>
  <c r="I137" i="73"/>
  <c r="M141" i="73"/>
  <c r="M23" i="73"/>
  <c r="M19" i="73"/>
  <c r="H38" i="75"/>
  <c r="T39" i="75"/>
  <c r="D141" i="73"/>
  <c r="D19" i="73"/>
  <c r="D23" i="73"/>
  <c r="I55" i="75"/>
  <c r="I148" i="73" s="1"/>
  <c r="M34" i="75"/>
  <c r="M57" i="75" s="1"/>
  <c r="R34" i="75"/>
  <c r="R57" i="75" s="1"/>
  <c r="F22" i="75"/>
  <c r="K55" i="75" s="1"/>
  <c r="K148" i="73" s="1"/>
  <c r="AK52" i="74"/>
  <c r="AG31" i="74"/>
  <c r="AH31" i="74"/>
  <c r="AI31" i="74" s="1"/>
  <c r="AJ31" i="74" s="1"/>
  <c r="AK31" i="74" s="1"/>
  <c r="AL33" i="74"/>
  <c r="AM33" i="74"/>
  <c r="AN33" i="74" s="1"/>
  <c r="AO33" i="74" s="1"/>
  <c r="AP33" i="74" s="1"/>
  <c r="U180" i="73"/>
  <c r="Z94" i="73"/>
  <c r="AL123" i="73"/>
  <c r="AM18" i="74"/>
  <c r="AN18" i="74" s="1"/>
  <c r="AO18" i="74" s="1"/>
  <c r="AP18" i="74" s="1"/>
  <c r="AL18" i="74"/>
  <c r="U137" i="73"/>
  <c r="U72" i="73"/>
  <c r="X83" i="73"/>
  <c r="W83" i="73"/>
  <c r="V85" i="73"/>
  <c r="V86" i="73" s="1"/>
  <c r="AA86" i="73" s="1"/>
  <c r="AF86" i="73" s="1"/>
  <c r="AK86" i="73" s="1"/>
  <c r="AP86" i="73" s="1"/>
  <c r="AU86" i="73" s="1"/>
  <c r="H91" i="73"/>
  <c r="AD177" i="73"/>
  <c r="AI65" i="73"/>
  <c r="V137" i="73"/>
  <c r="E141" i="73"/>
  <c r="E19" i="73"/>
  <c r="E23" i="73"/>
  <c r="AE176" i="73"/>
  <c r="AJ63" i="73"/>
  <c r="AA175" i="73"/>
  <c r="AF61" i="73"/>
  <c r="AN135" i="73"/>
  <c r="AS55" i="73"/>
  <c r="AN7" i="73"/>
  <c r="V143" i="73"/>
  <c r="V25" i="73"/>
  <c r="AL34" i="67"/>
  <c r="Z57" i="67"/>
  <c r="AA54" i="66"/>
  <c r="AG123" i="65"/>
  <c r="N5" i="64"/>
  <c r="N13" i="64"/>
  <c r="AA55" i="66"/>
  <c r="AI51" i="66"/>
  <c r="AD40" i="66"/>
  <c r="AD39" i="66"/>
  <c r="AD33" i="66"/>
  <c r="AD34" i="66"/>
  <c r="AD31" i="66"/>
  <c r="AD32" i="66"/>
  <c r="AD24" i="66"/>
  <c r="AD26" i="66"/>
  <c r="AD18" i="66"/>
  <c r="AD19" i="66"/>
  <c r="AD15" i="66"/>
  <c r="Y118" i="65"/>
  <c r="Y28" i="65"/>
  <c r="AH145" i="65"/>
  <c r="AA129" i="65"/>
  <c r="AA126" i="65"/>
  <c r="AB126" i="65" s="1"/>
  <c r="AA128" i="65"/>
  <c r="AB128" i="65" s="1"/>
  <c r="AB116" i="65"/>
  <c r="AB112" i="65"/>
  <c r="Y58" i="67"/>
  <c r="AE57" i="67"/>
  <c r="AA26" i="65"/>
  <c r="X106" i="65"/>
  <c r="H25" i="67"/>
  <c r="H56" i="67" s="1"/>
  <c r="E137" i="65"/>
  <c r="E72" i="65"/>
  <c r="Q41" i="65"/>
  <c r="P37" i="67"/>
  <c r="Q29" i="67"/>
  <c r="P27" i="67"/>
  <c r="X55" i="67"/>
  <c r="X148" i="65" s="1"/>
  <c r="H105" i="65"/>
  <c r="H106" i="65" s="1"/>
  <c r="D106" i="65"/>
  <c r="V182" i="65"/>
  <c r="AA98" i="65"/>
  <c r="F137" i="65"/>
  <c r="F72" i="65"/>
  <c r="AP88" i="65"/>
  <c r="AO88" i="65"/>
  <c r="U178" i="65"/>
  <c r="Z68" i="65"/>
  <c r="AO55" i="65"/>
  <c r="H143" i="65"/>
  <c r="H25" i="65"/>
  <c r="H27" i="65" s="1"/>
  <c r="L142" i="65"/>
  <c r="L29" i="65"/>
  <c r="L34" i="65" s="1"/>
  <c r="U24" i="67"/>
  <c r="T27" i="67"/>
  <c r="T39" i="67" s="1"/>
  <c r="H11" i="67"/>
  <c r="AA13" i="66"/>
  <c r="F152" i="65"/>
  <c r="F151" i="65"/>
  <c r="AC187" i="65"/>
  <c r="AH116" i="65"/>
  <c r="AC115" i="65"/>
  <c r="G72" i="65"/>
  <c r="V137" i="65"/>
  <c r="V72" i="65"/>
  <c r="V175" i="65"/>
  <c r="AA61" i="65"/>
  <c r="Q76" i="65"/>
  <c r="Q77" i="65" s="1"/>
  <c r="Q74" i="65"/>
  <c r="U177" i="65"/>
  <c r="Z65" i="65"/>
  <c r="Q137" i="65"/>
  <c r="Q72" i="65"/>
  <c r="P54" i="67"/>
  <c r="Q10" i="67"/>
  <c r="H33" i="67"/>
  <c r="W21" i="67"/>
  <c r="O55" i="67"/>
  <c r="O148" i="65" s="1"/>
  <c r="H8" i="67"/>
  <c r="Z168" i="65"/>
  <c r="AA165" i="65"/>
  <c r="U183" i="65"/>
  <c r="Z101" i="65"/>
  <c r="AN123" i="65"/>
  <c r="AE181" i="65"/>
  <c r="AJ96" i="65"/>
  <c r="R105" i="65"/>
  <c r="R106" i="65" s="1"/>
  <c r="N106" i="65"/>
  <c r="X178" i="65"/>
  <c r="AC68" i="65"/>
  <c r="D137" i="65"/>
  <c r="H71" i="65"/>
  <c r="H72" i="65" s="1"/>
  <c r="D72" i="65"/>
  <c r="AP55" i="65"/>
  <c r="V143" i="65"/>
  <c r="V25" i="65"/>
  <c r="AP108" i="65"/>
  <c r="J142" i="65"/>
  <c r="J29" i="65"/>
  <c r="J34" i="65" s="1"/>
  <c r="Q12" i="67"/>
  <c r="Q53" i="67" s="1"/>
  <c r="P53" i="67"/>
  <c r="G25" i="67"/>
  <c r="G56" i="67" s="1"/>
  <c r="F56" i="67"/>
  <c r="K22" i="67"/>
  <c r="L7" i="67"/>
  <c r="K56" i="66"/>
  <c r="V183" i="65"/>
  <c r="AA101" i="65"/>
  <c r="AA185" i="65"/>
  <c r="AA110" i="65"/>
  <c r="V178" i="65"/>
  <c r="AA68" i="65"/>
  <c r="AD186" i="65"/>
  <c r="AD112" i="65"/>
  <c r="Q141" i="65"/>
  <c r="Q19" i="65"/>
  <c r="Q23" i="65"/>
  <c r="U48" i="66"/>
  <c r="Z47" i="66"/>
  <c r="AR88" i="65"/>
  <c r="AA47" i="66"/>
  <c r="T143" i="65"/>
  <c r="T25" i="65"/>
  <c r="T27" i="65" s="1"/>
  <c r="AB26" i="65"/>
  <c r="AB109" i="65"/>
  <c r="H19" i="67"/>
  <c r="W8" i="67"/>
  <c r="AA119" i="65"/>
  <c r="Z16" i="65"/>
  <c r="S183" i="65"/>
  <c r="AK123" i="65"/>
  <c r="AF7" i="65"/>
  <c r="AC181" i="65"/>
  <c r="AH96" i="65"/>
  <c r="I72" i="65"/>
  <c r="I137" i="65"/>
  <c r="V50" i="65"/>
  <c r="U52" i="65"/>
  <c r="U53" i="65" s="1"/>
  <c r="AE53" i="65" s="1"/>
  <c r="T85" i="65"/>
  <c r="T86" i="65" s="1"/>
  <c r="U83" i="65"/>
  <c r="F141" i="65"/>
  <c r="F19" i="65"/>
  <c r="F23" i="65"/>
  <c r="E141" i="65"/>
  <c r="E19" i="65"/>
  <c r="E23" i="65"/>
  <c r="T142" i="65"/>
  <c r="T29" i="65"/>
  <c r="T34" i="65" s="1"/>
  <c r="W141" i="65"/>
  <c r="W19" i="65"/>
  <c r="W23" i="65"/>
  <c r="J143" i="65"/>
  <c r="J25" i="65"/>
  <c r="J27" i="65" s="1"/>
  <c r="AH186" i="65"/>
  <c r="AM113" i="65"/>
  <c r="AH112" i="65"/>
  <c r="V142" i="65"/>
  <c r="V29" i="65"/>
  <c r="V34" i="65" s="1"/>
  <c r="L25" i="67"/>
  <c r="K56" i="67"/>
  <c r="R30" i="67"/>
  <c r="W11" i="67"/>
  <c r="H12" i="67"/>
  <c r="H53" i="67" s="1"/>
  <c r="X182" i="65"/>
  <c r="AC98" i="65"/>
  <c r="AG124" i="65"/>
  <c r="Y176" i="65"/>
  <c r="AD63" i="65"/>
  <c r="P137" i="65"/>
  <c r="P141" i="65"/>
  <c r="P19" i="65"/>
  <c r="P23" i="65"/>
  <c r="K142" i="65"/>
  <c r="K29" i="65"/>
  <c r="K34" i="65" s="1"/>
  <c r="S55" i="67"/>
  <c r="S148" i="65" s="1"/>
  <c r="Q34" i="67"/>
  <c r="P57" i="67"/>
  <c r="E39" i="67"/>
  <c r="N39" i="67"/>
  <c r="F54" i="67"/>
  <c r="G10" i="67"/>
  <c r="M8" i="67"/>
  <c r="AD187" i="65"/>
  <c r="AI116" i="65"/>
  <c r="AD115" i="65"/>
  <c r="AG109" i="65"/>
  <c r="AI88" i="65"/>
  <c r="AG88" i="65"/>
  <c r="AA69" i="65"/>
  <c r="AA69" i="70" s="1"/>
  <c r="S137" i="65"/>
  <c r="W71" i="65"/>
  <c r="W72" i="65" s="1"/>
  <c r="S72" i="65"/>
  <c r="T48" i="66"/>
  <c r="M98" i="65"/>
  <c r="K143" i="65"/>
  <c r="K25" i="65"/>
  <c r="K27" i="65" s="1"/>
  <c r="X180" i="65"/>
  <c r="AC94" i="65"/>
  <c r="U22" i="67"/>
  <c r="V7" i="67"/>
  <c r="V56" i="66" s="1"/>
  <c r="U56" i="66"/>
  <c r="M47" i="67"/>
  <c r="M67" i="66"/>
  <c r="Z16" i="66"/>
  <c r="AM123" i="65"/>
  <c r="AH7" i="65"/>
  <c r="AC125" i="65"/>
  <c r="AB125" i="65"/>
  <c r="N137" i="65"/>
  <c r="AC47" i="66"/>
  <c r="W68" i="65"/>
  <c r="U143" i="65"/>
  <c r="U25" i="65"/>
  <c r="U27" i="65" s="1"/>
  <c r="V12" i="67"/>
  <c r="V53" i="67" s="1"/>
  <c r="U53" i="67"/>
  <c r="K37" i="67"/>
  <c r="L29" i="67"/>
  <c r="L37" i="67" s="1"/>
  <c r="E40" i="67"/>
  <c r="D6" i="66"/>
  <c r="H13" i="67"/>
  <c r="T55" i="67"/>
  <c r="T148" i="65" s="1"/>
  <c r="R38" i="67"/>
  <c r="W105" i="65"/>
  <c r="W106" i="65" s="1"/>
  <c r="S106" i="65"/>
  <c r="AE187" i="65"/>
  <c r="AJ116" i="65"/>
  <c r="AE115" i="65"/>
  <c r="AF186" i="65"/>
  <c r="AF112" i="65"/>
  <c r="J72" i="65"/>
  <c r="J137" i="65"/>
  <c r="AN108" i="65"/>
  <c r="S142" i="65"/>
  <c r="S29" i="65"/>
  <c r="S34" i="65" s="1"/>
  <c r="S147" i="65" s="1"/>
  <c r="AK187" i="65"/>
  <c r="AP116" i="65"/>
  <c r="AK115" i="65"/>
  <c r="AC177" i="65"/>
  <c r="AH65" i="65"/>
  <c r="X143" i="65"/>
  <c r="X25" i="65"/>
  <c r="X27" i="65" s="1"/>
  <c r="U142" i="65"/>
  <c r="U29" i="65"/>
  <c r="U34" i="65" s="1"/>
  <c r="O143" i="65"/>
  <c r="O25" i="65"/>
  <c r="O27" i="65" s="1"/>
  <c r="I142" i="65"/>
  <c r="I29" i="65"/>
  <c r="I34" i="65" s="1"/>
  <c r="U54" i="67"/>
  <c r="V10" i="67"/>
  <c r="V54" i="67" s="1"/>
  <c r="M13" i="67"/>
  <c r="AH52" i="66"/>
  <c r="AM51" i="66"/>
  <c r="Y52" i="66"/>
  <c r="AH163" i="65"/>
  <c r="T183" i="65"/>
  <c r="AL108" i="65"/>
  <c r="U180" i="65"/>
  <c r="Z94" i="65"/>
  <c r="Z176" i="65"/>
  <c r="AE63" i="65"/>
  <c r="AA177" i="65"/>
  <c r="AF65" i="65"/>
  <c r="X177" i="65"/>
  <c r="O142" i="65"/>
  <c r="O29" i="65"/>
  <c r="O34" i="65" s="1"/>
  <c r="O147" i="65" s="1"/>
  <c r="I143" i="65"/>
  <c r="I25" i="65"/>
  <c r="I27" i="65" s="1"/>
  <c r="J55" i="67"/>
  <c r="J148" i="65" s="1"/>
  <c r="V177" i="65"/>
  <c r="M29" i="67"/>
  <c r="K54" i="67"/>
  <c r="L10" i="67"/>
  <c r="W15" i="67"/>
  <c r="W7" i="67"/>
  <c r="U37" i="67"/>
  <c r="L57" i="67"/>
  <c r="AD52" i="66"/>
  <c r="D173" i="65"/>
  <c r="D18" i="65"/>
  <c r="Z185" i="65"/>
  <c r="Z110" i="65"/>
  <c r="Y185" i="65"/>
  <c r="AA176" i="65"/>
  <c r="AF63" i="65"/>
  <c r="AC175" i="65"/>
  <c r="AH61" i="65"/>
  <c r="M105" i="65"/>
  <c r="M106" i="65" s="1"/>
  <c r="P76" i="65"/>
  <c r="P77" i="65" s="1"/>
  <c r="D143" i="65"/>
  <c r="D25" i="65"/>
  <c r="D27" i="65" s="1"/>
  <c r="F24" i="67"/>
  <c r="E27" i="67"/>
  <c r="K53" i="67"/>
  <c r="L12" i="67"/>
  <c r="L53" i="67" s="1"/>
  <c r="R13" i="67"/>
  <c r="AC27" i="66"/>
  <c r="AB27" i="66"/>
  <c r="AA19" i="67"/>
  <c r="M34" i="67"/>
  <c r="M57" i="67" s="1"/>
  <c r="H57" i="67"/>
  <c r="W19" i="67"/>
  <c r="AR108" i="65"/>
  <c r="U182" i="65"/>
  <c r="Z98" i="65"/>
  <c r="AI55" i="65"/>
  <c r="AD7" i="65"/>
  <c r="AG55" i="65"/>
  <c r="AR55" i="65"/>
  <c r="AM7" i="65"/>
  <c r="T175" i="65"/>
  <c r="G47" i="66"/>
  <c r="G48" i="66" s="1"/>
  <c r="G17" i="65"/>
  <c r="G137" i="65" s="1"/>
  <c r="N143" i="65"/>
  <c r="N25" i="65"/>
  <c r="N27" i="65" s="1"/>
  <c r="AM56" i="67"/>
  <c r="V34" i="67"/>
  <c r="V57" i="67" s="1"/>
  <c r="U57" i="67"/>
  <c r="W17" i="67"/>
  <c r="M16" i="67"/>
  <c r="K57" i="67"/>
  <c r="G37" i="67"/>
  <c r="M42" i="66"/>
  <c r="X183" i="65"/>
  <c r="AC101" i="65"/>
  <c r="AF181" i="65"/>
  <c r="AK96" i="65"/>
  <c r="AF33" i="67"/>
  <c r="AA33" i="67"/>
  <c r="AC35" i="65"/>
  <c r="AB35" i="65"/>
  <c r="AD181" i="65"/>
  <c r="AI96" i="65"/>
  <c r="AE186" i="65"/>
  <c r="AE112" i="65"/>
  <c r="O137" i="65"/>
  <c r="S143" i="65"/>
  <c r="S25" i="65"/>
  <c r="S27" i="65" s="1"/>
  <c r="H155" i="65"/>
  <c r="AH176" i="65"/>
  <c r="AM63" i="65"/>
  <c r="AH135" i="65"/>
  <c r="Q85" i="65"/>
  <c r="Q86" i="65" s="1"/>
  <c r="P85" i="65"/>
  <c r="P86" i="65" s="1"/>
  <c r="P90" i="65"/>
  <c r="T137" i="65"/>
  <c r="T72" i="65"/>
  <c r="N142" i="65"/>
  <c r="N29" i="65"/>
  <c r="N34" i="65" s="1"/>
  <c r="N147" i="65" s="1"/>
  <c r="U30" i="66"/>
  <c r="U35" i="66" s="1"/>
  <c r="U42" i="66" s="1"/>
  <c r="V25" i="66"/>
  <c r="F22" i="67"/>
  <c r="G7" i="67"/>
  <c r="F56" i="66"/>
  <c r="H7" i="67"/>
  <c r="W47" i="67"/>
  <c r="W63" i="66"/>
  <c r="W67" i="66"/>
  <c r="W62" i="66"/>
  <c r="R26" i="67"/>
  <c r="R27" i="67" s="1"/>
  <c r="O39" i="67"/>
  <c r="H37" i="67"/>
  <c r="Z20" i="67"/>
  <c r="AA25" i="66"/>
  <c r="AB124" i="65"/>
  <c r="P43" i="65"/>
  <c r="P44" i="65" s="1"/>
  <c r="U175" i="65"/>
  <c r="T178" i="65"/>
  <c r="M141" i="65"/>
  <c r="M19" i="65"/>
  <c r="M23" i="65"/>
  <c r="R65" i="66"/>
  <c r="R64" i="66" s="1"/>
  <c r="R142" i="65"/>
  <c r="R29" i="65"/>
  <c r="Z29" i="67"/>
  <c r="Z47" i="67"/>
  <c r="AA28" i="66"/>
  <c r="Z63" i="66"/>
  <c r="AA22" i="65"/>
  <c r="K24" i="67"/>
  <c r="J27" i="67"/>
  <c r="J39" i="67" s="1"/>
  <c r="I39" i="67"/>
  <c r="Q27" i="67"/>
  <c r="P22" i="67"/>
  <c r="Q7" i="67"/>
  <c r="P56" i="66"/>
  <c r="H16" i="67"/>
  <c r="F37" i="67"/>
  <c r="M32" i="67"/>
  <c r="Z17" i="67"/>
  <c r="AA10" i="66"/>
  <c r="Z21" i="67"/>
  <c r="AA23" i="66"/>
  <c r="AC185" i="65"/>
  <c r="AC110" i="65"/>
  <c r="AH111" i="65"/>
  <c r="W82" i="65"/>
  <c r="R94" i="65"/>
  <c r="R82" i="65"/>
  <c r="Q183" i="65"/>
  <c r="T180" i="65"/>
  <c r="AJ123" i="65"/>
  <c r="AE7" i="65"/>
  <c r="AA180" i="65"/>
  <c r="AF94" i="65"/>
  <c r="X137" i="65"/>
  <c r="X72" i="65"/>
  <c r="U137" i="65"/>
  <c r="U72" i="65"/>
  <c r="T177" i="65"/>
  <c r="L33" i="65"/>
  <c r="L32" i="65"/>
  <c r="G18" i="64"/>
  <c r="G19" i="64" s="1"/>
  <c r="I19" i="64"/>
  <c r="C19" i="64"/>
  <c r="G13" i="64"/>
  <c r="L5" i="64"/>
  <c r="AU60" i="62"/>
  <c r="G42" i="57"/>
  <c r="G42" i="62" s="1"/>
  <c r="Y51" i="57"/>
  <c r="Y51" i="62" s="1"/>
  <c r="K52" i="57"/>
  <c r="K52" i="62" s="1"/>
  <c r="E50" i="57"/>
  <c r="E50" i="62" s="1"/>
  <c r="H55" i="57"/>
  <c r="H55" i="62" s="1"/>
  <c r="H54" i="57"/>
  <c r="H54" i="62" s="1"/>
  <c r="I50" i="57"/>
  <c r="I50" i="62" s="1"/>
  <c r="T52" i="57"/>
  <c r="T52" i="62" s="1"/>
  <c r="T25" i="62"/>
  <c r="R41" i="57"/>
  <c r="R41" i="62" s="1"/>
  <c r="V145" i="61"/>
  <c r="M30" i="57"/>
  <c r="M35" i="57" s="1"/>
  <c r="O50" i="57"/>
  <c r="O50" i="62" s="1"/>
  <c r="H16" i="62"/>
  <c r="M22" i="62"/>
  <c r="Y49" i="57"/>
  <c r="AD49" i="57" s="1"/>
  <c r="AI49" i="57" s="1"/>
  <c r="AN49" i="57" s="1"/>
  <c r="AS49" i="57" s="1"/>
  <c r="AS49" i="62" s="1"/>
  <c r="J50" i="57"/>
  <c r="J50" i="62" s="1"/>
  <c r="K50" i="57"/>
  <c r="K50" i="62" s="1"/>
  <c r="H7" i="62"/>
  <c r="L50" i="57"/>
  <c r="L50" i="62" s="1"/>
  <c r="Q49" i="62"/>
  <c r="E47" i="62"/>
  <c r="T49" i="62"/>
  <c r="V49" i="62"/>
  <c r="AA49" i="62"/>
  <c r="T41" i="62"/>
  <c r="W41" i="57"/>
  <c r="W41" i="62" s="1"/>
  <c r="G41" i="62"/>
  <c r="W37" i="62"/>
  <c r="H37" i="62"/>
  <c r="M37" i="62"/>
  <c r="Y52" i="57"/>
  <c r="Y52" i="62" s="1"/>
  <c r="AD51" i="57"/>
  <c r="AD52" i="57" s="1"/>
  <c r="AD52" i="62" s="1"/>
  <c r="V25" i="57"/>
  <c r="U25" i="62"/>
  <c r="T30" i="57"/>
  <c r="O51" i="62"/>
  <c r="R30" i="57"/>
  <c r="R22" i="62"/>
  <c r="Q51" i="62"/>
  <c r="H30" i="57"/>
  <c r="H35" i="57" s="1"/>
  <c r="H35" i="62" s="1"/>
  <c r="O35" i="57"/>
  <c r="O35" i="62" s="1"/>
  <c r="S51" i="62"/>
  <c r="AC51" i="57"/>
  <c r="AH51" i="57" s="1"/>
  <c r="AM51" i="57" s="1"/>
  <c r="AM51" i="62" s="1"/>
  <c r="E51" i="62"/>
  <c r="F51" i="62"/>
  <c r="P30" i="62"/>
  <c r="Q30" i="62"/>
  <c r="H23" i="62"/>
  <c r="S30" i="62"/>
  <c r="S42" i="57"/>
  <c r="S42" i="62" s="1"/>
  <c r="E30" i="62"/>
  <c r="F30" i="62"/>
  <c r="G30" i="62"/>
  <c r="D30" i="62"/>
  <c r="G35" i="62"/>
  <c r="K30" i="62"/>
  <c r="Z31" i="57"/>
  <c r="AA31" i="57" s="1"/>
  <c r="AA31" i="62" s="1"/>
  <c r="AT128" i="56"/>
  <c r="AS128" i="61"/>
  <c r="AO128" i="56"/>
  <c r="AN128" i="61"/>
  <c r="AI128" i="61"/>
  <c r="AJ128" i="56"/>
  <c r="AT125" i="56"/>
  <c r="AS125" i="61"/>
  <c r="AT126" i="56"/>
  <c r="AS126" i="61"/>
  <c r="AO125" i="56"/>
  <c r="AN125" i="61"/>
  <c r="AO126" i="56"/>
  <c r="AN126" i="61"/>
  <c r="AJ125" i="56"/>
  <c r="AI125" i="61"/>
  <c r="AJ126" i="56"/>
  <c r="AI126" i="61"/>
  <c r="AE128" i="56"/>
  <c r="AD128" i="61"/>
  <c r="AE126" i="56"/>
  <c r="AD126" i="61"/>
  <c r="AA128" i="56"/>
  <c r="AA128" i="61" s="1"/>
  <c r="AB128" i="56"/>
  <c r="AB128" i="61" s="1"/>
  <c r="Z128" i="61"/>
  <c r="AB126" i="56"/>
  <c r="AB126" i="61" s="1"/>
  <c r="AA126" i="61"/>
  <c r="AF125" i="56"/>
  <c r="AF125" i="61" s="1"/>
  <c r="AE125" i="61"/>
  <c r="Z168" i="56"/>
  <c r="X173" i="56"/>
  <c r="X173" i="61" s="1"/>
  <c r="X152" i="56"/>
  <c r="X152" i="61" s="1"/>
  <c r="X151" i="56"/>
  <c r="X151" i="61" s="1"/>
  <c r="AA39" i="62"/>
  <c r="AB91" i="56"/>
  <c r="AB91" i="61" s="1"/>
  <c r="AB58" i="56"/>
  <c r="Y173" i="56"/>
  <c r="Z173" i="56" s="1"/>
  <c r="AA173" i="56" s="1"/>
  <c r="AC173" i="56" s="1"/>
  <c r="AC173" i="61" s="1"/>
  <c r="AC39" i="62"/>
  <c r="AD39" i="62"/>
  <c r="AE39" i="62"/>
  <c r="Y40" i="62"/>
  <c r="Z40" i="62"/>
  <c r="Y39" i="62"/>
  <c r="Z39" i="62"/>
  <c r="AC34" i="57"/>
  <c r="AB34" i="57"/>
  <c r="AB34" i="62" s="1"/>
  <c r="AA34" i="62"/>
  <c r="Y34" i="62"/>
  <c r="Z34" i="62"/>
  <c r="Z33" i="57"/>
  <c r="Y32" i="62"/>
  <c r="Z32" i="62"/>
  <c r="Y26" i="62"/>
  <c r="Z26" i="62"/>
  <c r="Y24" i="62"/>
  <c r="Y28" i="62"/>
  <c r="Z24" i="62"/>
  <c r="AA15" i="57"/>
  <c r="AB15" i="57" s="1"/>
  <c r="AB15" i="62" s="1"/>
  <c r="Y15" i="62"/>
  <c r="Z18" i="62"/>
  <c r="AA19" i="57"/>
  <c r="Y19" i="62"/>
  <c r="Y18" i="62"/>
  <c r="Y10" i="62"/>
  <c r="Z10" i="57"/>
  <c r="Z10" i="62" s="1"/>
  <c r="AA117" i="56"/>
  <c r="AB117" i="56"/>
  <c r="AB117" i="61" s="1"/>
  <c r="Z117" i="61"/>
  <c r="Z170" i="56"/>
  <c r="Z168" i="61"/>
  <c r="X117" i="61"/>
  <c r="Y117" i="61"/>
  <c r="Y165" i="61"/>
  <c r="Z165" i="61"/>
  <c r="X168" i="61"/>
  <c r="AA165" i="56"/>
  <c r="AA167" i="56"/>
  <c r="Y168" i="56"/>
  <c r="Y167" i="61"/>
  <c r="AC145" i="56"/>
  <c r="AA145" i="61"/>
  <c r="Y145" i="61"/>
  <c r="Z145" i="61"/>
  <c r="AH123" i="56"/>
  <c r="AH123" i="61" s="1"/>
  <c r="AC55" i="61"/>
  <c r="AB42" i="61"/>
  <c r="Z30" i="56"/>
  <c r="Y31" i="61"/>
  <c r="AC31" i="56"/>
  <c r="Z31" i="61"/>
  <c r="W141" i="56"/>
  <c r="W19" i="56"/>
  <c r="W23" i="56"/>
  <c r="W25" i="56" s="1"/>
  <c r="I141" i="56"/>
  <c r="I23" i="56"/>
  <c r="I19" i="56"/>
  <c r="M15" i="56"/>
  <c r="T47" i="57"/>
  <c r="T47" i="62" s="1"/>
  <c r="T140" i="56"/>
  <c r="T17" i="56"/>
  <c r="W143" i="56"/>
  <c r="W140" i="56"/>
  <c r="D56" i="58"/>
  <c r="D53" i="58"/>
  <c r="D47" i="57"/>
  <c r="D47" i="62" s="1"/>
  <c r="D17" i="56"/>
  <c r="AS88" i="56"/>
  <c r="W26" i="56"/>
  <c r="V47" i="57"/>
  <c r="V47" i="62" s="1"/>
  <c r="V140" i="56"/>
  <c r="O65" i="56"/>
  <c r="O61" i="56"/>
  <c r="T175" i="56" s="1"/>
  <c r="O71" i="56"/>
  <c r="O68" i="56"/>
  <c r="T178" i="56" s="1"/>
  <c r="G133" i="56"/>
  <c r="G8" i="56"/>
  <c r="L140" i="56" s="1"/>
  <c r="P68" i="56"/>
  <c r="U178" i="56" s="1"/>
  <c r="P61" i="56"/>
  <c r="P71" i="56"/>
  <c r="P65" i="56"/>
  <c r="D91" i="56"/>
  <c r="H84" i="56"/>
  <c r="H91" i="56" s="1"/>
  <c r="AT88" i="56"/>
  <c r="H141" i="56"/>
  <c r="H23" i="56"/>
  <c r="H19" i="56"/>
  <c r="I53" i="58"/>
  <c r="I47" i="57"/>
  <c r="I56" i="58"/>
  <c r="I140" i="56"/>
  <c r="E25" i="56"/>
  <c r="E27" i="56" s="1"/>
  <c r="T52" i="56"/>
  <c r="T53" i="56" s="1"/>
  <c r="Y53" i="56" s="1"/>
  <c r="AD53" i="56" s="1"/>
  <c r="AI53" i="56" s="1"/>
  <c r="AN53" i="56" s="1"/>
  <c r="AS53" i="56" s="1"/>
  <c r="U50" i="56"/>
  <c r="X181" i="56"/>
  <c r="AC96" i="56"/>
  <c r="AC96" i="61" s="1"/>
  <c r="Z183" i="56"/>
  <c r="AE101" i="56"/>
  <c r="R140" i="56"/>
  <c r="R17" i="56"/>
  <c r="J47" i="57"/>
  <c r="J47" i="62" s="1"/>
  <c r="J140" i="56"/>
  <c r="J17" i="56"/>
  <c r="J137" i="56" s="1"/>
  <c r="K47" i="57"/>
  <c r="K140" i="56"/>
  <c r="K17" i="56"/>
  <c r="E141" i="56"/>
  <c r="E19" i="56"/>
  <c r="N19" i="56"/>
  <c r="N23" i="56"/>
  <c r="F17" i="56"/>
  <c r="M140" i="56"/>
  <c r="M17" i="56"/>
  <c r="S141" i="56"/>
  <c r="S23" i="56"/>
  <c r="S19" i="56"/>
  <c r="V141" i="56"/>
  <c r="V23" i="56"/>
  <c r="V19" i="56"/>
  <c r="Z177" i="56"/>
  <c r="AE65" i="56"/>
  <c r="P47" i="57"/>
  <c r="P140" i="56"/>
  <c r="P17" i="56"/>
  <c r="Q141" i="56"/>
  <c r="Q23" i="56"/>
  <c r="Q19" i="56"/>
  <c r="Y176" i="56"/>
  <c r="AD63" i="56"/>
  <c r="AA177" i="56"/>
  <c r="AF65" i="56"/>
  <c r="O76" i="56"/>
  <c r="O77" i="56" s="1"/>
  <c r="P74" i="56"/>
  <c r="L47" i="57"/>
  <c r="L47" i="62" s="1"/>
  <c r="Q68" i="56"/>
  <c r="Q178" i="56" s="1"/>
  <c r="Q65" i="56"/>
  <c r="Q177" i="56" s="1"/>
  <c r="Q71" i="56"/>
  <c r="Q61" i="56"/>
  <c r="Q175" i="56" s="1"/>
  <c r="L105" i="56"/>
  <c r="L106" i="56" s="1"/>
  <c r="L98" i="56"/>
  <c r="L94" i="56"/>
  <c r="L101" i="56"/>
  <c r="AK113" i="56"/>
  <c r="AF112" i="56"/>
  <c r="AF186" i="56"/>
  <c r="N56" i="58"/>
  <c r="N53" i="58"/>
  <c r="N47" i="57"/>
  <c r="N47" i="62" s="1"/>
  <c r="N140" i="56"/>
  <c r="Q43" i="56"/>
  <c r="Q44" i="56" s="1"/>
  <c r="H42" i="56"/>
  <c r="H58" i="56" s="1"/>
  <c r="AG55" i="56"/>
  <c r="AG55" i="61" s="1"/>
  <c r="T72" i="56"/>
  <c r="O105" i="56"/>
  <c r="O106" i="56" s="1"/>
  <c r="O101" i="56"/>
  <c r="O94" i="56"/>
  <c r="O98" i="56"/>
  <c r="X136" i="56"/>
  <c r="Y119" i="56"/>
  <c r="Y119" i="61" s="1"/>
  <c r="O47" i="57"/>
  <c r="O47" i="62" s="1"/>
  <c r="O140" i="56"/>
  <c r="Q57" i="56"/>
  <c r="S43" i="56"/>
  <c r="S44" i="56" s="1"/>
  <c r="S41" i="56"/>
  <c r="AM55" i="56"/>
  <c r="AM55" i="61" s="1"/>
  <c r="P94" i="56"/>
  <c r="U180" i="56" s="1"/>
  <c r="P105" i="56"/>
  <c r="P106" i="56" s="1"/>
  <c r="P101" i="56"/>
  <c r="P98" i="56"/>
  <c r="U182" i="56" s="1"/>
  <c r="AD187" i="56"/>
  <c r="AD115" i="56"/>
  <c r="AI116" i="56"/>
  <c r="X10" i="63"/>
  <c r="L17" i="56"/>
  <c r="D71" i="56"/>
  <c r="D61" i="56"/>
  <c r="D65" i="56"/>
  <c r="V71" i="56"/>
  <c r="W59" i="56"/>
  <c r="W68" i="56" s="1"/>
  <c r="V61" i="56"/>
  <c r="L68" i="56"/>
  <c r="Q105" i="56"/>
  <c r="Q106" i="56" s="1"/>
  <c r="Q94" i="56"/>
  <c r="Q180" i="56" s="1"/>
  <c r="Q101" i="56"/>
  <c r="Q183" i="56" s="1"/>
  <c r="Q98" i="56"/>
  <c r="Q47" i="57"/>
  <c r="Q140" i="56"/>
  <c r="G49" i="57"/>
  <c r="G51" i="57"/>
  <c r="Y175" i="56"/>
  <c r="AD61" i="56"/>
  <c r="Z175" i="56"/>
  <c r="AE61" i="56"/>
  <c r="S85" i="56"/>
  <c r="S86" i="56" s="1"/>
  <c r="T83" i="56"/>
  <c r="Z98" i="56"/>
  <c r="S56" i="58"/>
  <c r="S53" i="58"/>
  <c r="S47" i="57"/>
  <c r="S47" i="62" s="1"/>
  <c r="S140" i="56"/>
  <c r="O17" i="56"/>
  <c r="F137" i="56"/>
  <c r="F72" i="56"/>
  <c r="AL58" i="56"/>
  <c r="W65" i="56"/>
  <c r="AF185" i="56"/>
  <c r="AF110" i="56"/>
  <c r="U47" i="57"/>
  <c r="U47" i="62" s="1"/>
  <c r="U140" i="56"/>
  <c r="V68" i="56"/>
  <c r="M96" i="56"/>
  <c r="M103" i="56"/>
  <c r="AF108" i="56"/>
  <c r="AB108" i="56"/>
  <c r="AB108" i="61" s="1"/>
  <c r="AA112" i="56"/>
  <c r="AK111" i="56"/>
  <c r="AV58" i="56"/>
  <c r="U176" i="56"/>
  <c r="Z63" i="56"/>
  <c r="M35" i="56"/>
  <c r="K65" i="56"/>
  <c r="K71" i="56"/>
  <c r="K61" i="56"/>
  <c r="V176" i="56"/>
  <c r="AA63" i="56"/>
  <c r="T177" i="56"/>
  <c r="Y65" i="56"/>
  <c r="U17" i="56"/>
  <c r="T181" i="56"/>
  <c r="AS108" i="56"/>
  <c r="P57" i="56"/>
  <c r="Q52" i="56"/>
  <c r="Q53" i="56" s="1"/>
  <c r="P52" i="56"/>
  <c r="P53" i="56" s="1"/>
  <c r="X176" i="56"/>
  <c r="AC63" i="56"/>
  <c r="AC63" i="61" s="1"/>
  <c r="V177" i="56"/>
  <c r="AM123" i="56"/>
  <c r="AM123" i="61" s="1"/>
  <c r="D58" i="56"/>
  <c r="Y135" i="56"/>
  <c r="E71" i="56"/>
  <c r="E61" i="56"/>
  <c r="E65" i="56"/>
  <c r="S105" i="56"/>
  <c r="W92" i="56"/>
  <c r="W101" i="56" s="1"/>
  <c r="S101" i="56"/>
  <c r="R103" i="56"/>
  <c r="H98" i="56"/>
  <c r="E58" i="56"/>
  <c r="Z135" i="56"/>
  <c r="AE55" i="56"/>
  <c r="F65" i="56"/>
  <c r="F68" i="56"/>
  <c r="W70" i="56"/>
  <c r="F61" i="56"/>
  <c r="Y68" i="56"/>
  <c r="O90" i="56"/>
  <c r="P83" i="56"/>
  <c r="S94" i="56"/>
  <c r="AH108" i="56"/>
  <c r="AH108" i="61" s="1"/>
  <c r="AC110" i="56"/>
  <c r="AC110" i="61" s="1"/>
  <c r="AA135" i="56"/>
  <c r="AF55" i="56"/>
  <c r="Z68" i="56"/>
  <c r="U183" i="56"/>
  <c r="T180" i="56"/>
  <c r="S98" i="56"/>
  <c r="H101" i="56"/>
  <c r="AD55" i="56"/>
  <c r="AC88" i="56"/>
  <c r="AC88" i="61" s="1"/>
  <c r="W58" i="56"/>
  <c r="W57" i="56" s="1"/>
  <c r="N65" i="56"/>
  <c r="S177" i="56" s="1"/>
  <c r="N68" i="56"/>
  <c r="S178" i="56" s="1"/>
  <c r="N71" i="56"/>
  <c r="N61" i="56"/>
  <c r="S175" i="56"/>
  <c r="U177" i="56"/>
  <c r="AP88" i="56"/>
  <c r="I105" i="56"/>
  <c r="I98" i="56"/>
  <c r="M92" i="56"/>
  <c r="M101" i="56" s="1"/>
  <c r="I94" i="56"/>
  <c r="AT108" i="56"/>
  <c r="V183" i="56"/>
  <c r="M98" i="56"/>
  <c r="H103" i="56"/>
  <c r="H94" i="56"/>
  <c r="U71" i="56"/>
  <c r="W71" i="56" s="1"/>
  <c r="W72" i="56" s="1"/>
  <c r="I68" i="56"/>
  <c r="M94" i="56"/>
  <c r="AA181" i="56"/>
  <c r="AF96" i="56"/>
  <c r="AF96" i="61" s="1"/>
  <c r="AA183" i="56"/>
  <c r="AF101" i="56"/>
  <c r="U175" i="56"/>
  <c r="AG91" i="56"/>
  <c r="AC33" i="58"/>
  <c r="AC33" i="63" s="1"/>
  <c r="X33" i="63"/>
  <c r="S176" i="56"/>
  <c r="AI111" i="56"/>
  <c r="AD110" i="56"/>
  <c r="Y35" i="56"/>
  <c r="Y35" i="61" s="1"/>
  <c r="X135" i="56"/>
  <c r="J72" i="56"/>
  <c r="T176" i="56"/>
  <c r="Y69" i="56"/>
  <c r="Y69" i="61" s="1"/>
  <c r="N105" i="56"/>
  <c r="R92" i="56"/>
  <c r="R94" i="56" s="1"/>
  <c r="AF187" i="56"/>
  <c r="AK116" i="56"/>
  <c r="AF115" i="56"/>
  <c r="AJ123" i="56"/>
  <c r="D98" i="56"/>
  <c r="T98" i="56"/>
  <c r="AD101" i="56"/>
  <c r="AD101" i="61" s="1"/>
  <c r="H105" i="56"/>
  <c r="H106" i="56" s="1"/>
  <c r="AI123" i="56"/>
  <c r="R109" i="56"/>
  <c r="R120" i="56"/>
  <c r="R121" i="56" s="1"/>
  <c r="U50" i="57"/>
  <c r="U50" i="62" s="1"/>
  <c r="Z49" i="57"/>
  <c r="Z50" i="57" s="1"/>
  <c r="Z50" i="62" s="1"/>
  <c r="W103" i="56"/>
  <c r="F98" i="56"/>
  <c r="V98" i="56"/>
  <c r="S185" i="56"/>
  <c r="Q181" i="56"/>
  <c r="M113" i="56"/>
  <c r="H163" i="56"/>
  <c r="H168" i="56" s="1"/>
  <c r="AC40" i="57"/>
  <c r="AB40" i="57"/>
  <c r="AB40" i="62" s="1"/>
  <c r="X102" i="56"/>
  <c r="X102" i="61" s="1"/>
  <c r="V103" i="56"/>
  <c r="V105" i="56" s="1"/>
  <c r="V106" i="56" s="1"/>
  <c r="R111" i="56"/>
  <c r="U185" i="56"/>
  <c r="R116" i="56"/>
  <c r="M120" i="56"/>
  <c r="M121" i="56" s="1"/>
  <c r="M131" i="56"/>
  <c r="S181" i="56"/>
  <c r="S187" i="56"/>
  <c r="Y115" i="56"/>
  <c r="Y187" i="56"/>
  <c r="T183" i="56"/>
  <c r="V181" i="56"/>
  <c r="AA110" i="56"/>
  <c r="S186" i="56"/>
  <c r="AA115" i="56"/>
  <c r="Z129" i="56"/>
  <c r="F151" i="56"/>
  <c r="K105" i="56"/>
  <c r="K106" i="56" s="1"/>
  <c r="Z111" i="56"/>
  <c r="T186" i="56"/>
  <c r="H155" i="56"/>
  <c r="R113" i="56"/>
  <c r="U186" i="56"/>
  <c r="Z113" i="56"/>
  <c r="Z187" i="56"/>
  <c r="AE116" i="56"/>
  <c r="AF123" i="56"/>
  <c r="W130" i="56"/>
  <c r="W131" i="56" s="1"/>
  <c r="M155" i="56"/>
  <c r="I152" i="56"/>
  <c r="AC185" i="56"/>
  <c r="AH111" i="56"/>
  <c r="AH111" i="61" s="1"/>
  <c r="AB123" i="56"/>
  <c r="AB123" i="61" s="1"/>
  <c r="H154" i="56"/>
  <c r="W109" i="56"/>
  <c r="W113" i="56"/>
  <c r="M124" i="56"/>
  <c r="AC18" i="57"/>
  <c r="AB18" i="57"/>
  <c r="AB18" i="62" s="1"/>
  <c r="Y19" i="58"/>
  <c r="Y19" i="63" s="1"/>
  <c r="Z27" i="57"/>
  <c r="Z27" i="62" s="1"/>
  <c r="AF50" i="57"/>
  <c r="AF50" i="62" s="1"/>
  <c r="AK49" i="57"/>
  <c r="AK49" i="62" s="1"/>
  <c r="W117" i="56"/>
  <c r="W118" i="56" s="1"/>
  <c r="W120" i="56" s="1"/>
  <c r="W121" i="56" s="1"/>
  <c r="AC32" i="57"/>
  <c r="AB32" i="57"/>
  <c r="AB32" i="62" s="1"/>
  <c r="V187" i="56"/>
  <c r="R155" i="56"/>
  <c r="N151" i="56"/>
  <c r="AD163" i="56"/>
  <c r="T187" i="56"/>
  <c r="T185" i="56"/>
  <c r="V185" i="56"/>
  <c r="T173" i="56"/>
  <c r="W155" i="56"/>
  <c r="U151" i="56"/>
  <c r="U173" i="56"/>
  <c r="AK34" i="58"/>
  <c r="AK34" i="63" s="1"/>
  <c r="AJ61" i="62"/>
  <c r="AL154" i="56"/>
  <c r="AL154" i="61" s="1"/>
  <c r="AB155" i="56"/>
  <c r="AB155" i="61" s="1"/>
  <c r="AH39" i="57"/>
  <c r="AG39" i="57"/>
  <c r="AG39" i="62" s="1"/>
  <c r="G152" i="56"/>
  <c r="Y110" i="56"/>
  <c r="D46" i="58"/>
  <c r="D11" i="57"/>
  <c r="D62" i="57"/>
  <c r="D62" i="62" s="1"/>
  <c r="D42" i="57"/>
  <c r="D42" i="62" s="1"/>
  <c r="Y13" i="57"/>
  <c r="Y13" i="62" s="1"/>
  <c r="W63" i="57"/>
  <c r="W63" i="62" s="1"/>
  <c r="E42" i="57"/>
  <c r="E42" i="62" s="1"/>
  <c r="X29" i="63"/>
  <c r="X47" i="58"/>
  <c r="X47" i="63" s="1"/>
  <c r="X63" i="57"/>
  <c r="X63" i="62" s="1"/>
  <c r="F62" i="57"/>
  <c r="F62" i="62" s="1"/>
  <c r="F42" i="57"/>
  <c r="F42" i="62" s="1"/>
  <c r="Y63" i="57"/>
  <c r="Y63" i="62" s="1"/>
  <c r="O62" i="57"/>
  <c r="O62" i="62" s="1"/>
  <c r="H42" i="57"/>
  <c r="H42" i="62" s="1"/>
  <c r="P62" i="57"/>
  <c r="P62" i="62" s="1"/>
  <c r="P42" i="57"/>
  <c r="P42" i="62" s="1"/>
  <c r="AB39" i="57"/>
  <c r="AB39" i="62" s="1"/>
  <c r="Q62" i="57"/>
  <c r="Q62" i="62" s="1"/>
  <c r="Q42" i="57"/>
  <c r="Q42" i="62" s="1"/>
  <c r="AS50" i="57"/>
  <c r="AS50" i="62" s="1"/>
  <c r="V30" i="57"/>
  <c r="AC26" i="57"/>
  <c r="AB26" i="57"/>
  <c r="AB26" i="62" s="1"/>
  <c r="F50" i="57"/>
  <c r="F50" i="62" s="1"/>
  <c r="F48" i="57"/>
  <c r="F48" i="62" s="1"/>
  <c r="U52" i="57"/>
  <c r="U52" i="62" s="1"/>
  <c r="Z51" i="57"/>
  <c r="Z52" i="57" s="1"/>
  <c r="Z52" i="62" s="1"/>
  <c r="V20" i="58"/>
  <c r="W20" i="58" s="1"/>
  <c r="AA50" i="57"/>
  <c r="AA50" i="62" s="1"/>
  <c r="V52" i="57"/>
  <c r="V52" i="62" s="1"/>
  <c r="AA51" i="57"/>
  <c r="AA51" i="62" s="1"/>
  <c r="AC24" i="57"/>
  <c r="AB24" i="57"/>
  <c r="AB24" i="62" s="1"/>
  <c r="Q56" i="57"/>
  <c r="Q56" i="62" s="1"/>
  <c r="E62" i="57"/>
  <c r="E62" i="62" s="1"/>
  <c r="E47" i="58"/>
  <c r="E47" i="63" s="1"/>
  <c r="E63" i="57"/>
  <c r="E63" i="62" s="1"/>
  <c r="X21" i="63"/>
  <c r="H47" i="58"/>
  <c r="H47" i="63" s="1"/>
  <c r="I52" i="57"/>
  <c r="I52" i="62" s="1"/>
  <c r="P50" i="57"/>
  <c r="P50" i="62" s="1"/>
  <c r="J53" i="58"/>
  <c r="M19" i="58"/>
  <c r="L19" i="58"/>
  <c r="W35" i="58"/>
  <c r="Y21" i="58"/>
  <c r="Y21" i="63" s="1"/>
  <c r="I47" i="58"/>
  <c r="I47" i="63" s="1"/>
  <c r="I63" i="57"/>
  <c r="I63" i="62" s="1"/>
  <c r="I30" i="57"/>
  <c r="J52" i="57"/>
  <c r="J52" i="62" s="1"/>
  <c r="J48" i="57"/>
  <c r="J48" i="62" s="1"/>
  <c r="Z23" i="57"/>
  <c r="Z23" i="62" s="1"/>
  <c r="J47" i="58"/>
  <c r="J47" i="63" s="1"/>
  <c r="J63" i="57"/>
  <c r="J63" i="62" s="1"/>
  <c r="J30" i="57"/>
  <c r="J54" i="58"/>
  <c r="M10" i="58"/>
  <c r="M34" i="58"/>
  <c r="L52" i="57"/>
  <c r="L52" i="62" s="1"/>
  <c r="K54" i="58"/>
  <c r="N50" i="57"/>
  <c r="N50" i="62" s="1"/>
  <c r="L10" i="58"/>
  <c r="K15" i="58"/>
  <c r="L15" i="58" s="1"/>
  <c r="M47" i="58"/>
  <c r="M47" i="63" s="1"/>
  <c r="M67" i="57"/>
  <c r="M67" i="62" s="1"/>
  <c r="U30" i="57"/>
  <c r="O52" i="57"/>
  <c r="O52" i="62" s="1"/>
  <c r="L9" i="58"/>
  <c r="M9" i="58" s="1"/>
  <c r="R47" i="58"/>
  <c r="R47" i="63" s="1"/>
  <c r="R67" i="57"/>
  <c r="R67" i="62" s="1"/>
  <c r="L8" i="58"/>
  <c r="M8" i="58" s="1"/>
  <c r="U47" i="58"/>
  <c r="U47" i="63" s="1"/>
  <c r="U62" i="57"/>
  <c r="U62" i="62" s="1"/>
  <c r="K42" i="57"/>
  <c r="K42" i="62" s="1"/>
  <c r="I62" i="57"/>
  <c r="I62" i="62" s="1"/>
  <c r="E22" i="58"/>
  <c r="P8" i="58"/>
  <c r="Q8" i="58" s="1"/>
  <c r="Q22" i="58" s="1"/>
  <c r="G30" i="58"/>
  <c r="G37" i="58" s="1"/>
  <c r="V47" i="58"/>
  <c r="V47" i="63" s="1"/>
  <c r="V62" i="57"/>
  <c r="V62" i="62" s="1"/>
  <c r="AC49" i="57"/>
  <c r="AC49" i="62" s="1"/>
  <c r="J62" i="57"/>
  <c r="J62" i="62" s="1"/>
  <c r="F7" i="58"/>
  <c r="W47" i="58"/>
  <c r="W47" i="63" s="1"/>
  <c r="W67" i="57"/>
  <c r="W67" i="62" s="1"/>
  <c r="W62" i="57"/>
  <c r="W62" i="62" s="1"/>
  <c r="V50" i="57"/>
  <c r="V50" i="62" s="1"/>
  <c r="Y55" i="57"/>
  <c r="Y55" i="62" s="1"/>
  <c r="R20" i="58"/>
  <c r="K62" i="57"/>
  <c r="K62" i="62" s="1"/>
  <c r="M26" i="58"/>
  <c r="L26" i="58"/>
  <c r="L62" i="57"/>
  <c r="L62" i="62" s="1"/>
  <c r="E53" i="58"/>
  <c r="F56" i="58"/>
  <c r="R26" i="58"/>
  <c r="H33" i="58"/>
  <c r="G33" i="58"/>
  <c r="N62" i="57"/>
  <c r="N62" i="62" s="1"/>
  <c r="J22" i="58"/>
  <c r="P54" i="58"/>
  <c r="F53" i="58"/>
  <c r="G56" i="58"/>
  <c r="M33" i="58"/>
  <c r="K33" i="58"/>
  <c r="L33" i="58" s="1"/>
  <c r="L57" i="58" s="1"/>
  <c r="S39" i="58"/>
  <c r="L30" i="57"/>
  <c r="K7" i="58"/>
  <c r="Q10" i="58"/>
  <c r="Q54" i="58" s="1"/>
  <c r="G11" i="58"/>
  <c r="H11" i="58" s="1"/>
  <c r="G53" i="58"/>
  <c r="N55" i="58"/>
  <c r="N148" i="56" s="1"/>
  <c r="H25" i="58"/>
  <c r="H56" i="58" s="1"/>
  <c r="V30" i="58"/>
  <c r="W30" i="58" s="1"/>
  <c r="N48" i="57"/>
  <c r="N48" i="62" s="1"/>
  <c r="D50" i="57"/>
  <c r="D50" i="62" s="1"/>
  <c r="N52" i="57"/>
  <c r="N52" i="62" s="1"/>
  <c r="J56" i="57"/>
  <c r="J56" i="62" s="1"/>
  <c r="K12" i="58"/>
  <c r="P18" i="58"/>
  <c r="Q18" i="58" s="1"/>
  <c r="M56" i="58"/>
  <c r="AO56" i="58"/>
  <c r="N30" i="57"/>
  <c r="K63" i="57"/>
  <c r="K63" i="62" s="1"/>
  <c r="O53" i="58"/>
  <c r="W18" i="58"/>
  <c r="K56" i="58"/>
  <c r="H29" i="58"/>
  <c r="S62" i="57"/>
  <c r="S62" i="62" s="1"/>
  <c r="L63" i="57"/>
  <c r="L63" i="62" s="1"/>
  <c r="U54" i="58"/>
  <c r="Q12" i="58"/>
  <c r="Q53" i="58" s="1"/>
  <c r="P53" i="58"/>
  <c r="H17" i="58"/>
  <c r="L56" i="58"/>
  <c r="J37" i="58"/>
  <c r="K29" i="58"/>
  <c r="M36" i="58"/>
  <c r="K36" i="58"/>
  <c r="L36" i="58" s="1"/>
  <c r="Y54" i="57"/>
  <c r="Y54" i="62" s="1"/>
  <c r="N63" i="57"/>
  <c r="N63" i="62" s="1"/>
  <c r="V54" i="58"/>
  <c r="U53" i="58"/>
  <c r="O56" i="58"/>
  <c r="P25" i="58"/>
  <c r="F8" i="58"/>
  <c r="G8" i="58" s="1"/>
  <c r="R11" i="58"/>
  <c r="V12" i="58"/>
  <c r="V53" i="58" s="1"/>
  <c r="G16" i="58"/>
  <c r="H16" i="58" s="1"/>
  <c r="M17" i="58"/>
  <c r="H20" i="58"/>
  <c r="R21" i="58"/>
  <c r="O21" i="58"/>
  <c r="P21" i="58" s="1"/>
  <c r="Q21" i="58" s="1"/>
  <c r="E24" i="58"/>
  <c r="Q29" i="58"/>
  <c r="R29" i="58" s="1"/>
  <c r="K32" i="58"/>
  <c r="L32" i="58" s="1"/>
  <c r="AG34" i="58"/>
  <c r="AG34" i="63" s="1"/>
  <c r="R7" i="58"/>
  <c r="W12" i="58"/>
  <c r="M16" i="58"/>
  <c r="T21" i="58"/>
  <c r="U21" i="58" s="1"/>
  <c r="V21" i="58" s="1"/>
  <c r="J24" i="58"/>
  <c r="I27" i="58"/>
  <c r="R32" i="58"/>
  <c r="T22" i="58"/>
  <c r="W11" i="58"/>
  <c r="W17" i="58"/>
  <c r="S22" i="58"/>
  <c r="M38" i="58"/>
  <c r="S63" i="57"/>
  <c r="S63" i="62" s="1"/>
  <c r="U7" i="58"/>
  <c r="G10" i="58"/>
  <c r="G54" i="58" s="1"/>
  <c r="T17" i="58"/>
  <c r="U17" i="58" s="1"/>
  <c r="V17" i="58" s="1"/>
  <c r="S27" i="58"/>
  <c r="W32" i="58"/>
  <c r="V32" i="58"/>
  <c r="T56" i="57"/>
  <c r="T56" i="62" s="1"/>
  <c r="H19" i="58"/>
  <c r="T24" i="58"/>
  <c r="R31" i="58"/>
  <c r="H34" i="58"/>
  <c r="H57" i="58" s="1"/>
  <c r="G57" i="58"/>
  <c r="T37" i="58"/>
  <c r="J56" i="58"/>
  <c r="M13" i="58"/>
  <c r="F15" i="58"/>
  <c r="G15" i="58" s="1"/>
  <c r="K18" i="58"/>
  <c r="L18" i="58" s="1"/>
  <c r="AV34" i="58"/>
  <c r="H12" i="58"/>
  <c r="H53" i="58" s="1"/>
  <c r="O13" i="58"/>
  <c r="P13" i="58" s="1"/>
  <c r="Q13" i="58" s="1"/>
  <c r="F17" i="58"/>
  <c r="G17" i="58" s="1"/>
  <c r="U31" i="58"/>
  <c r="V31" i="58" s="1"/>
  <c r="F35" i="58"/>
  <c r="G35" i="58" s="1"/>
  <c r="K38" i="58"/>
  <c r="L38" i="58" s="1"/>
  <c r="I37" i="58"/>
  <c r="P20" i="58"/>
  <c r="Q20" i="58" s="1"/>
  <c r="F26" i="58"/>
  <c r="G26" i="58" s="1"/>
  <c r="U34" i="58"/>
  <c r="F57" i="58"/>
  <c r="V16" i="58"/>
  <c r="W16" i="58" s="1"/>
  <c r="K17" i="58"/>
  <c r="L17" i="58" s="1"/>
  <c r="F21" i="58"/>
  <c r="G21" i="58" s="1"/>
  <c r="U11" i="58"/>
  <c r="V11" i="58" s="1"/>
  <c r="N27" i="58"/>
  <c r="U29" i="58"/>
  <c r="L30" i="58"/>
  <c r="M30" i="58" s="1"/>
  <c r="L35" i="58"/>
  <c r="M35" i="58" s="1"/>
  <c r="U36" i="58"/>
  <c r="V36" i="58" s="1"/>
  <c r="Q38" i="58"/>
  <c r="R38" i="58" s="1"/>
  <c r="T53" i="58"/>
  <c r="X57" i="58"/>
  <c r="U18" i="58"/>
  <c r="V18" i="58" s="1"/>
  <c r="U25" i="58"/>
  <c r="P33" i="58"/>
  <c r="Q33" i="58" s="1"/>
  <c r="Q57" i="58" s="1"/>
  <c r="F13" i="58"/>
  <c r="G13" i="58" s="1"/>
  <c r="O24" i="58"/>
  <c r="N37" i="58"/>
  <c r="T56" i="58"/>
  <c r="P17" i="58"/>
  <c r="Q17" i="58" s="1"/>
  <c r="P35" i="58"/>
  <c r="Q35" i="58" s="1"/>
  <c r="U38" i="58"/>
  <c r="V38" i="58" s="1"/>
  <c r="W38" i="58" s="1"/>
  <c r="E56" i="58"/>
  <c r="F31" i="52"/>
  <c r="F29" i="52"/>
  <c r="C29" i="52"/>
  <c r="F13" i="52"/>
  <c r="F15" i="52" s="1"/>
  <c r="F8" i="52"/>
  <c r="F16" i="52" s="1"/>
  <c r="F32" i="52" s="1"/>
  <c r="F7" i="52"/>
  <c r="AL63" i="50"/>
  <c r="AL62" i="50"/>
  <c r="S57" i="50"/>
  <c r="O57" i="50"/>
  <c r="N57" i="50"/>
  <c r="J57" i="50"/>
  <c r="I57" i="50"/>
  <c r="D57" i="50"/>
  <c r="AJ56" i="50"/>
  <c r="AK56" i="50" s="1"/>
  <c r="AM56" i="50" s="1"/>
  <c r="AR56" i="50" s="1"/>
  <c r="AI56" i="50"/>
  <c r="AN56" i="50" s="1"/>
  <c r="AO56" i="50" s="1"/>
  <c r="AP56" i="50" s="1"/>
  <c r="AE56" i="50"/>
  <c r="AF56" i="50" s="1"/>
  <c r="AD56" i="50"/>
  <c r="Z56" i="50"/>
  <c r="AA56" i="50" s="1"/>
  <c r="Y56" i="50"/>
  <c r="S54" i="50"/>
  <c r="N54" i="50"/>
  <c r="I54" i="50"/>
  <c r="D54" i="50"/>
  <c r="T47" i="50"/>
  <c r="Q47" i="50"/>
  <c r="P47" i="50"/>
  <c r="O47" i="50"/>
  <c r="G47" i="50"/>
  <c r="F47" i="50"/>
  <c r="D47" i="50"/>
  <c r="AG43" i="50"/>
  <c r="AL43" i="50" s="1"/>
  <c r="AQ43" i="50" s="1"/>
  <c r="AV43" i="50" s="1"/>
  <c r="AB43" i="50"/>
  <c r="H40" i="50"/>
  <c r="AV38" i="50"/>
  <c r="AQ38" i="50"/>
  <c r="AL38" i="50"/>
  <c r="AG38" i="50"/>
  <c r="AB38" i="50"/>
  <c r="T38" i="50"/>
  <c r="P38" i="50"/>
  <c r="O38" i="50"/>
  <c r="J38" i="50"/>
  <c r="K38" i="50" s="1"/>
  <c r="D38" i="50"/>
  <c r="E38" i="50" s="1"/>
  <c r="S37" i="50"/>
  <c r="D37" i="50"/>
  <c r="AV36" i="50"/>
  <c r="AQ36" i="50"/>
  <c r="AL36" i="50"/>
  <c r="AG36" i="50"/>
  <c r="AB36" i="50"/>
  <c r="T36" i="50"/>
  <c r="U36" i="50" s="1"/>
  <c r="V36" i="50" s="1"/>
  <c r="O36" i="50"/>
  <c r="P36" i="50" s="1"/>
  <c r="J36" i="50"/>
  <c r="F36" i="50"/>
  <c r="G36" i="50" s="1"/>
  <c r="E36" i="50"/>
  <c r="H36" i="50" s="1"/>
  <c r="U35" i="50"/>
  <c r="T35" i="50"/>
  <c r="O35" i="50"/>
  <c r="K35" i="50"/>
  <c r="L35" i="50" s="1"/>
  <c r="J35" i="50"/>
  <c r="E35" i="50"/>
  <c r="F35" i="50" s="1"/>
  <c r="AU34" i="50"/>
  <c r="AT34" i="50"/>
  <c r="AS34" i="50"/>
  <c r="AR34" i="50"/>
  <c r="AP34" i="50"/>
  <c r="AO34" i="50"/>
  <c r="AN34" i="50"/>
  <c r="AM34" i="50"/>
  <c r="AJ34" i="50"/>
  <c r="AI34" i="50"/>
  <c r="AH34" i="50"/>
  <c r="AF34" i="50"/>
  <c r="AE34" i="50"/>
  <c r="AD34" i="50"/>
  <c r="AC34" i="50"/>
  <c r="AA34" i="50"/>
  <c r="Z34" i="50"/>
  <c r="Y34" i="50"/>
  <c r="X34" i="50"/>
  <c r="V34" i="50"/>
  <c r="U34" i="50"/>
  <c r="T34" i="50"/>
  <c r="O34" i="50"/>
  <c r="J34" i="50"/>
  <c r="K34" i="50" s="1"/>
  <c r="K57" i="50" s="1"/>
  <c r="F34" i="50"/>
  <c r="E34" i="50"/>
  <c r="T33" i="50"/>
  <c r="U33" i="50" s="1"/>
  <c r="V33" i="50" s="1"/>
  <c r="W33" i="50" s="1"/>
  <c r="P33" i="50"/>
  <c r="Q33" i="50" s="1"/>
  <c r="O33" i="50"/>
  <c r="M33" i="50"/>
  <c r="L33" i="50"/>
  <c r="K33" i="50"/>
  <c r="J33" i="50"/>
  <c r="E33" i="50"/>
  <c r="AV32" i="50"/>
  <c r="AQ32" i="50"/>
  <c r="AL32" i="50"/>
  <c r="AG32" i="50"/>
  <c r="AB32" i="50"/>
  <c r="T32" i="50"/>
  <c r="U32" i="50" s="1"/>
  <c r="V32" i="50" s="1"/>
  <c r="O32" i="50"/>
  <c r="P32" i="50" s="1"/>
  <c r="K32" i="50"/>
  <c r="L32" i="50" s="1"/>
  <c r="J32" i="50"/>
  <c r="F32" i="50"/>
  <c r="G32" i="50" s="1"/>
  <c r="E32" i="50"/>
  <c r="AV31" i="50"/>
  <c r="AQ31" i="50"/>
  <c r="AL31" i="50"/>
  <c r="AG31" i="50"/>
  <c r="AB31" i="50"/>
  <c r="U31" i="50"/>
  <c r="V31" i="50" s="1"/>
  <c r="W31" i="50" s="1"/>
  <c r="T31" i="50"/>
  <c r="P31" i="50"/>
  <c r="O31" i="50"/>
  <c r="J31" i="50"/>
  <c r="K31" i="50" s="1"/>
  <c r="L31" i="50" s="1"/>
  <c r="I31" i="50"/>
  <c r="G31" i="50"/>
  <c r="H31" i="50" s="1"/>
  <c r="AV30" i="50"/>
  <c r="AQ30" i="50"/>
  <c r="AL30" i="50"/>
  <c r="AG30" i="50"/>
  <c r="AB30" i="50"/>
  <c r="U30" i="50"/>
  <c r="N30" i="50"/>
  <c r="M30" i="50"/>
  <c r="J30" i="50"/>
  <c r="L30" i="50" s="1"/>
  <c r="H30" i="50"/>
  <c r="G30" i="50"/>
  <c r="F30" i="50"/>
  <c r="T29" i="50"/>
  <c r="U29" i="50" s="1"/>
  <c r="U37" i="50" s="1"/>
  <c r="O29" i="50"/>
  <c r="K29" i="50"/>
  <c r="J29" i="50"/>
  <c r="E29" i="50"/>
  <c r="F29" i="50" s="1"/>
  <c r="O27" i="50"/>
  <c r="T26" i="50"/>
  <c r="Q26" i="50"/>
  <c r="O26" i="50"/>
  <c r="P26" i="50" s="1"/>
  <c r="J26" i="50"/>
  <c r="F26" i="50"/>
  <c r="G26" i="50" s="1"/>
  <c r="E26" i="50"/>
  <c r="U25" i="50"/>
  <c r="T25" i="50"/>
  <c r="Q25" i="50"/>
  <c r="P25" i="50"/>
  <c r="O25" i="50"/>
  <c r="J25" i="50"/>
  <c r="E25" i="50"/>
  <c r="F25" i="50" s="1"/>
  <c r="T24" i="50"/>
  <c r="T27" i="50" s="1"/>
  <c r="S24" i="50"/>
  <c r="S27" i="50" s="1"/>
  <c r="O24" i="50"/>
  <c r="P24" i="50" s="1"/>
  <c r="Q24" i="50" s="1"/>
  <c r="N24" i="50"/>
  <c r="L24" i="50"/>
  <c r="K24" i="50"/>
  <c r="J24" i="50"/>
  <c r="J27" i="50" s="1"/>
  <c r="I24" i="50"/>
  <c r="E24" i="50"/>
  <c r="F24" i="50" s="1"/>
  <c r="G24" i="50" s="1"/>
  <c r="D24" i="50"/>
  <c r="D22" i="50"/>
  <c r="U21" i="50"/>
  <c r="V21" i="50" s="1"/>
  <c r="T21" i="50"/>
  <c r="S21" i="50"/>
  <c r="N21" i="50"/>
  <c r="I21" i="50"/>
  <c r="H21" i="50"/>
  <c r="F21" i="50"/>
  <c r="G21" i="50" s="1"/>
  <c r="E21" i="50"/>
  <c r="T20" i="50"/>
  <c r="P20" i="50"/>
  <c r="Q20" i="50" s="1"/>
  <c r="O20" i="50"/>
  <c r="J20" i="50"/>
  <c r="H20" i="50"/>
  <c r="G20" i="50"/>
  <c r="F20" i="50"/>
  <c r="T19" i="50"/>
  <c r="Q19" i="50"/>
  <c r="O19" i="50"/>
  <c r="P19" i="50" s="1"/>
  <c r="J19" i="50"/>
  <c r="F19" i="50"/>
  <c r="G19" i="50" s="1"/>
  <c r="E19" i="50"/>
  <c r="U18" i="50"/>
  <c r="V18" i="50" s="1"/>
  <c r="T18" i="50"/>
  <c r="P18" i="50"/>
  <c r="O18" i="50"/>
  <c r="J18" i="50"/>
  <c r="E18" i="50"/>
  <c r="F18" i="50" s="1"/>
  <c r="G18" i="50" s="1"/>
  <c r="T17" i="50"/>
  <c r="S17" i="50"/>
  <c r="S22" i="50" s="1"/>
  <c r="O17" i="50"/>
  <c r="J17" i="50"/>
  <c r="H17" i="50"/>
  <c r="E17" i="50"/>
  <c r="F17" i="50" s="1"/>
  <c r="G17" i="50" s="1"/>
  <c r="T16" i="50"/>
  <c r="O16" i="50"/>
  <c r="J16" i="50"/>
  <c r="K16" i="50" s="1"/>
  <c r="E16" i="50"/>
  <c r="T15" i="50"/>
  <c r="U15" i="50" s="1"/>
  <c r="V15" i="50" s="1"/>
  <c r="P15" i="50"/>
  <c r="Q15" i="50" s="1"/>
  <c r="O15" i="50"/>
  <c r="R15" i="50" s="1"/>
  <c r="K15" i="50"/>
  <c r="J15" i="50"/>
  <c r="E15" i="50"/>
  <c r="AV13" i="50"/>
  <c r="AQ13" i="50"/>
  <c r="AL13" i="50"/>
  <c r="AG13" i="50"/>
  <c r="AB13" i="50"/>
  <c r="U13" i="50"/>
  <c r="T13" i="50"/>
  <c r="N13" i="50"/>
  <c r="I13" i="50"/>
  <c r="F13" i="50"/>
  <c r="G13" i="50" s="1"/>
  <c r="E13" i="50"/>
  <c r="T12" i="50"/>
  <c r="U12" i="50" s="1"/>
  <c r="P12" i="50"/>
  <c r="O12" i="50"/>
  <c r="K12" i="50"/>
  <c r="J12" i="50"/>
  <c r="E12" i="50"/>
  <c r="AV11" i="50"/>
  <c r="AQ11" i="50"/>
  <c r="AL11" i="50"/>
  <c r="AG11" i="50"/>
  <c r="AB11" i="50"/>
  <c r="T11" i="50"/>
  <c r="U11" i="50" s="1"/>
  <c r="V11" i="50" s="1"/>
  <c r="Q11" i="50"/>
  <c r="O11" i="50"/>
  <c r="P11" i="50" s="1"/>
  <c r="R11" i="50" s="1"/>
  <c r="K11" i="50"/>
  <c r="L11" i="50" s="1"/>
  <c r="J11" i="50"/>
  <c r="E11" i="50"/>
  <c r="F11" i="50" s="1"/>
  <c r="G11" i="50" s="1"/>
  <c r="U10" i="50"/>
  <c r="U54" i="50" s="1"/>
  <c r="T10" i="50"/>
  <c r="O10" i="50"/>
  <c r="O54" i="50" s="1"/>
  <c r="K10" i="50"/>
  <c r="J10" i="50"/>
  <c r="J54" i="50" s="1"/>
  <c r="E10" i="50"/>
  <c r="F10" i="50" s="1"/>
  <c r="U9" i="50"/>
  <c r="T9" i="50"/>
  <c r="T54" i="50" s="1"/>
  <c r="O9" i="50"/>
  <c r="J9" i="50"/>
  <c r="G9" i="50"/>
  <c r="F9" i="50"/>
  <c r="E9" i="50"/>
  <c r="E54" i="50" s="1"/>
  <c r="T8" i="50"/>
  <c r="U8" i="50" s="1"/>
  <c r="O8" i="50"/>
  <c r="L8" i="50"/>
  <c r="J8" i="50"/>
  <c r="K8" i="50" s="1"/>
  <c r="M8" i="50" s="1"/>
  <c r="F8" i="50"/>
  <c r="G8" i="50" s="1"/>
  <c r="E8" i="50"/>
  <c r="H8" i="50" s="1"/>
  <c r="T7" i="50"/>
  <c r="O7" i="50"/>
  <c r="J7" i="50"/>
  <c r="E7" i="50"/>
  <c r="L6" i="50"/>
  <c r="W66" i="49"/>
  <c r="AB66" i="49" s="1"/>
  <c r="AG66" i="49" s="1"/>
  <c r="AL66" i="49" s="1"/>
  <c r="AQ66" i="49" s="1"/>
  <c r="AV66" i="49" s="1"/>
  <c r="T63" i="49"/>
  <c r="Q63" i="49"/>
  <c r="P63" i="49"/>
  <c r="O63" i="49"/>
  <c r="G63" i="49"/>
  <c r="F63" i="49"/>
  <c r="D63" i="49"/>
  <c r="AF61" i="49"/>
  <c r="AU60" i="49"/>
  <c r="AR60" i="49" s="1"/>
  <c r="AT60" i="49"/>
  <c r="AS60" i="49"/>
  <c r="AP60" i="49"/>
  <c r="AO60" i="49"/>
  <c r="AN60" i="49"/>
  <c r="AM60" i="49"/>
  <c r="AK60" i="49"/>
  <c r="AJ60" i="49"/>
  <c r="AI60" i="49"/>
  <c r="AH60" i="49"/>
  <c r="AF60" i="49"/>
  <c r="AE60" i="49"/>
  <c r="AD60" i="49"/>
  <c r="AC60" i="49"/>
  <c r="AA60" i="49"/>
  <c r="Z60" i="49"/>
  <c r="Y60" i="49"/>
  <c r="X60" i="49"/>
  <c r="AD59" i="49"/>
  <c r="T56" i="49"/>
  <c r="S56" i="49"/>
  <c r="O56" i="49"/>
  <c r="N56" i="49"/>
  <c r="J56" i="49"/>
  <c r="I56" i="49"/>
  <c r="V55" i="49"/>
  <c r="U55" i="49"/>
  <c r="T55" i="49"/>
  <c r="Y55" i="49" s="1"/>
  <c r="S55" i="49"/>
  <c r="X55" i="49" s="1"/>
  <c r="Q55" i="49"/>
  <c r="P55" i="49"/>
  <c r="O55" i="49"/>
  <c r="N55" i="49"/>
  <c r="L55" i="49"/>
  <c r="K55" i="49"/>
  <c r="J55" i="49"/>
  <c r="I55" i="49"/>
  <c r="G55" i="49"/>
  <c r="F55" i="49"/>
  <c r="E55" i="49"/>
  <c r="D55" i="49"/>
  <c r="X54" i="49"/>
  <c r="V54" i="49"/>
  <c r="U54" i="49"/>
  <c r="T54" i="49"/>
  <c r="Y54" i="49" s="1"/>
  <c r="S54" i="49"/>
  <c r="Q54" i="49"/>
  <c r="P54" i="49"/>
  <c r="O54" i="49"/>
  <c r="N54" i="49"/>
  <c r="L54" i="49"/>
  <c r="K54" i="49"/>
  <c r="J54" i="49"/>
  <c r="I54" i="49"/>
  <c r="G54" i="49"/>
  <c r="F54" i="49"/>
  <c r="E54" i="49"/>
  <c r="D54" i="49"/>
  <c r="F52" i="49"/>
  <c r="E52" i="49"/>
  <c r="X51" i="49"/>
  <c r="AC51" i="49" s="1"/>
  <c r="AH51" i="49" s="1"/>
  <c r="AM51" i="49" s="1"/>
  <c r="AR51" i="49" s="1"/>
  <c r="V51" i="49"/>
  <c r="AA51" i="49" s="1"/>
  <c r="AF51" i="49" s="1"/>
  <c r="AK51" i="49" s="1"/>
  <c r="AP51" i="49" s="1"/>
  <c r="AU51" i="49" s="1"/>
  <c r="U51" i="49"/>
  <c r="Z51" i="49" s="1"/>
  <c r="T51" i="49"/>
  <c r="S51" i="49"/>
  <c r="Q51" i="49"/>
  <c r="P51" i="49"/>
  <c r="O51" i="49"/>
  <c r="N51" i="49"/>
  <c r="L51" i="49"/>
  <c r="K51" i="49"/>
  <c r="J51" i="49"/>
  <c r="I51" i="49"/>
  <c r="F51" i="49"/>
  <c r="E51" i="49"/>
  <c r="D51" i="49"/>
  <c r="AJ50" i="49"/>
  <c r="AI50" i="49"/>
  <c r="P50" i="49"/>
  <c r="O50" i="49"/>
  <c r="V49" i="49"/>
  <c r="AA49" i="49" s="1"/>
  <c r="AF49" i="49" s="1"/>
  <c r="AK49" i="49" s="1"/>
  <c r="AP49" i="49" s="1"/>
  <c r="AU49" i="49" s="1"/>
  <c r="U49" i="49"/>
  <c r="Z49" i="49" s="1"/>
  <c r="AE49" i="49" s="1"/>
  <c r="AJ49" i="49" s="1"/>
  <c r="AO49" i="49" s="1"/>
  <c r="AT49" i="49" s="1"/>
  <c r="T49" i="49"/>
  <c r="Y49" i="49" s="1"/>
  <c r="AD49" i="49" s="1"/>
  <c r="AI49" i="49" s="1"/>
  <c r="AN49" i="49" s="1"/>
  <c r="AS49" i="49" s="1"/>
  <c r="S49" i="49"/>
  <c r="Q49" i="49"/>
  <c r="P49" i="49"/>
  <c r="O49" i="49"/>
  <c r="N49" i="49"/>
  <c r="X49" i="49" s="1"/>
  <c r="AC49" i="49" s="1"/>
  <c r="AH49" i="49" s="1"/>
  <c r="AM49" i="49" s="1"/>
  <c r="AR49" i="49" s="1"/>
  <c r="L49" i="49"/>
  <c r="K49" i="49"/>
  <c r="J49" i="49"/>
  <c r="I49" i="49"/>
  <c r="F49" i="49"/>
  <c r="E49" i="49"/>
  <c r="D49" i="49"/>
  <c r="AU46" i="49"/>
  <c r="AU50" i="49" s="1"/>
  <c r="AT46" i="49"/>
  <c r="AS46" i="49"/>
  <c r="AR46" i="49"/>
  <c r="AR52" i="49" s="1"/>
  <c r="AP46" i="49"/>
  <c r="AP52" i="49" s="1"/>
  <c r="AO46" i="49"/>
  <c r="AN46" i="49"/>
  <c r="AM46" i="49"/>
  <c r="AK46" i="49"/>
  <c r="AJ46" i="49"/>
  <c r="AI46" i="49"/>
  <c r="AH46" i="49"/>
  <c r="AF46" i="49"/>
  <c r="AF50" i="49" s="1"/>
  <c r="AE46" i="49"/>
  <c r="AE50" i="49" s="1"/>
  <c r="AD46" i="49"/>
  <c r="AD50" i="49" s="1"/>
  <c r="AC46" i="49"/>
  <c r="AC50" i="49" s="1"/>
  <c r="AA46" i="49"/>
  <c r="AA50" i="49" s="1"/>
  <c r="Z46" i="49"/>
  <c r="Z50" i="49" s="1"/>
  <c r="Y46" i="49"/>
  <c r="Y50" i="49" s="1"/>
  <c r="X46" i="49"/>
  <c r="X52" i="49" s="1"/>
  <c r="V46" i="49"/>
  <c r="V52" i="49" s="1"/>
  <c r="U46" i="49"/>
  <c r="U52" i="49" s="1"/>
  <c r="T46" i="49"/>
  <c r="T52" i="49" s="1"/>
  <c r="S46" i="49"/>
  <c r="S52" i="49" s="1"/>
  <c r="Q46" i="49"/>
  <c r="Q52" i="49" s="1"/>
  <c r="P46" i="49"/>
  <c r="O46" i="49"/>
  <c r="N46" i="49"/>
  <c r="N50" i="49" s="1"/>
  <c r="L46" i="49"/>
  <c r="L50" i="49" s="1"/>
  <c r="K46" i="49"/>
  <c r="K50" i="49" s="1"/>
  <c r="J46" i="49"/>
  <c r="J50" i="49" s="1"/>
  <c r="I46" i="49"/>
  <c r="I50" i="49" s="1"/>
  <c r="G46" i="49"/>
  <c r="F46" i="49"/>
  <c r="F50" i="49" s="1"/>
  <c r="E46" i="49"/>
  <c r="E50" i="49" s="1"/>
  <c r="D46" i="49"/>
  <c r="D52" i="49" s="1"/>
  <c r="U41" i="49"/>
  <c r="T41" i="49"/>
  <c r="E41" i="49"/>
  <c r="D41" i="49"/>
  <c r="X40" i="49"/>
  <c r="Y40" i="49" s="1"/>
  <c r="Z40" i="49" s="1"/>
  <c r="AA40" i="49" s="1"/>
  <c r="W40" i="49"/>
  <c r="R40" i="49"/>
  <c r="M40" i="49"/>
  <c r="H40" i="49"/>
  <c r="X39" i="49"/>
  <c r="Y39" i="49" s="1"/>
  <c r="Z39" i="49" s="1"/>
  <c r="AA39" i="49" s="1"/>
  <c r="W39" i="49"/>
  <c r="R39" i="49"/>
  <c r="M39" i="49"/>
  <c r="H39" i="49"/>
  <c r="W38" i="49"/>
  <c r="R38" i="49"/>
  <c r="M38" i="49"/>
  <c r="H38" i="49"/>
  <c r="V37" i="49"/>
  <c r="W37" i="49" s="1"/>
  <c r="W41" i="49" s="1"/>
  <c r="U37" i="49"/>
  <c r="T37" i="49"/>
  <c r="S37" i="49"/>
  <c r="S41" i="49" s="1"/>
  <c r="Q37" i="49"/>
  <c r="P37" i="49"/>
  <c r="P41" i="49" s="1"/>
  <c r="O37" i="49"/>
  <c r="O41" i="49" s="1"/>
  <c r="N37" i="49"/>
  <c r="N41" i="49" s="1"/>
  <c r="L37" i="49"/>
  <c r="L41" i="49" s="1"/>
  <c r="K37" i="49"/>
  <c r="K41" i="49" s="1"/>
  <c r="J37" i="49"/>
  <c r="J41" i="49" s="1"/>
  <c r="I37" i="49"/>
  <c r="I41" i="49" s="1"/>
  <c r="H37" i="49"/>
  <c r="G37" i="49"/>
  <c r="G41" i="49" s="1"/>
  <c r="G62" i="49" s="1"/>
  <c r="F37" i="49"/>
  <c r="F41" i="49" s="1"/>
  <c r="E37" i="49"/>
  <c r="D37" i="49"/>
  <c r="F35" i="49"/>
  <c r="AA34" i="49"/>
  <c r="X34" i="49"/>
  <c r="Y34" i="49" s="1"/>
  <c r="Z34" i="49" s="1"/>
  <c r="W34" i="49"/>
  <c r="R34" i="49"/>
  <c r="M34" i="49"/>
  <c r="H34" i="49"/>
  <c r="Z33" i="49"/>
  <c r="AA33" i="49" s="1"/>
  <c r="Y33" i="49"/>
  <c r="X33" i="49"/>
  <c r="W33" i="49"/>
  <c r="R33" i="49"/>
  <c r="M33" i="49"/>
  <c r="H33" i="49"/>
  <c r="X32" i="49"/>
  <c r="Y32" i="49" s="1"/>
  <c r="Z32" i="49" s="1"/>
  <c r="AA32" i="49" s="1"/>
  <c r="W32" i="49"/>
  <c r="R32" i="49"/>
  <c r="M32" i="49"/>
  <c r="H32" i="49"/>
  <c r="X31" i="49"/>
  <c r="Y31" i="49" s="1"/>
  <c r="Z31" i="49" s="1"/>
  <c r="AA31" i="49" s="1"/>
  <c r="W31" i="49"/>
  <c r="R31" i="49"/>
  <c r="M31" i="49"/>
  <c r="H31" i="49"/>
  <c r="Q30" i="49"/>
  <c r="Q35" i="49" s="1"/>
  <c r="P30" i="49"/>
  <c r="P35" i="49" s="1"/>
  <c r="O30" i="49"/>
  <c r="O35" i="49" s="1"/>
  <c r="M30" i="49"/>
  <c r="M35" i="49" s="1"/>
  <c r="L30" i="49"/>
  <c r="L35" i="49" s="1"/>
  <c r="K30" i="49"/>
  <c r="K35" i="49" s="1"/>
  <c r="G30" i="49"/>
  <c r="G35" i="49" s="1"/>
  <c r="F30" i="49"/>
  <c r="D30" i="49"/>
  <c r="D35" i="49" s="1"/>
  <c r="AV29" i="49"/>
  <c r="AQ29" i="49"/>
  <c r="AL29" i="49"/>
  <c r="AG29" i="49"/>
  <c r="AB29" i="49"/>
  <c r="W29" i="49"/>
  <c r="R29" i="49"/>
  <c r="M29" i="49"/>
  <c r="H29" i="49"/>
  <c r="W28" i="49"/>
  <c r="V28" i="49"/>
  <c r="U28" i="49"/>
  <c r="S28" i="49"/>
  <c r="R28" i="49"/>
  <c r="N28" i="49"/>
  <c r="M28" i="49"/>
  <c r="L28" i="49"/>
  <c r="K28" i="49"/>
  <c r="J28" i="49"/>
  <c r="I28" i="49"/>
  <c r="I62" i="49" s="1"/>
  <c r="H28" i="49"/>
  <c r="E28" i="49"/>
  <c r="X27" i="49"/>
  <c r="X19" i="50" s="1"/>
  <c r="W27" i="49"/>
  <c r="R27" i="49"/>
  <c r="M27" i="49"/>
  <c r="H27" i="49"/>
  <c r="Y26" i="49"/>
  <c r="Z26" i="49" s="1"/>
  <c r="AA26" i="49" s="1"/>
  <c r="X26" i="49"/>
  <c r="W26" i="49"/>
  <c r="R26" i="49"/>
  <c r="M26" i="49"/>
  <c r="H26" i="49"/>
  <c r="T25" i="49"/>
  <c r="T30" i="49" s="1"/>
  <c r="T35" i="49" s="1"/>
  <c r="R25" i="49"/>
  <c r="M25" i="49"/>
  <c r="H25" i="49"/>
  <c r="X24" i="49"/>
  <c r="Y24" i="49" s="1"/>
  <c r="Z24" i="49" s="1"/>
  <c r="AA24" i="49" s="1"/>
  <c r="W24" i="49"/>
  <c r="R24" i="49"/>
  <c r="M24" i="49"/>
  <c r="H24" i="49"/>
  <c r="X23" i="49"/>
  <c r="W23" i="49"/>
  <c r="R23" i="49"/>
  <c r="M23" i="49"/>
  <c r="H23" i="49"/>
  <c r="W22" i="49"/>
  <c r="R22" i="49"/>
  <c r="M22" i="49"/>
  <c r="H22" i="49"/>
  <c r="X19" i="49"/>
  <c r="Y19" i="49" s="1"/>
  <c r="Z19" i="49" s="1"/>
  <c r="AA19" i="49" s="1"/>
  <c r="W19" i="49"/>
  <c r="R19" i="49"/>
  <c r="M19" i="49"/>
  <c r="H19" i="49"/>
  <c r="X18" i="49"/>
  <c r="Y18" i="49" s="1"/>
  <c r="Z18" i="49" s="1"/>
  <c r="AA18" i="49" s="1"/>
  <c r="W18" i="49"/>
  <c r="R18" i="49"/>
  <c r="M18" i="49"/>
  <c r="H18" i="49"/>
  <c r="W17" i="49"/>
  <c r="R17" i="49"/>
  <c r="M17" i="49"/>
  <c r="H17" i="49"/>
  <c r="W16" i="49"/>
  <c r="R16" i="49"/>
  <c r="M16" i="49"/>
  <c r="H16" i="49"/>
  <c r="H55" i="49" s="1"/>
  <c r="Y15" i="49"/>
  <c r="Z15" i="49" s="1"/>
  <c r="AA15" i="49" s="1"/>
  <c r="X15" i="49"/>
  <c r="W15" i="49"/>
  <c r="R15" i="49"/>
  <c r="M15" i="49"/>
  <c r="H15" i="49"/>
  <c r="W14" i="49"/>
  <c r="R14" i="49"/>
  <c r="M14" i="49"/>
  <c r="H14" i="49"/>
  <c r="Y13" i="49"/>
  <c r="X13" i="49"/>
  <c r="W13" i="49"/>
  <c r="R13" i="49"/>
  <c r="M13" i="49"/>
  <c r="H13" i="49"/>
  <c r="W12" i="49"/>
  <c r="R12" i="49"/>
  <c r="M12" i="49"/>
  <c r="H12" i="49"/>
  <c r="X10" i="49"/>
  <c r="X17" i="50" s="1"/>
  <c r="W10" i="49"/>
  <c r="R10" i="49"/>
  <c r="M10" i="49"/>
  <c r="H10" i="49"/>
  <c r="W9" i="49"/>
  <c r="R9" i="49"/>
  <c r="M9" i="49"/>
  <c r="H9" i="49"/>
  <c r="W8" i="49"/>
  <c r="R8" i="49"/>
  <c r="M8" i="49"/>
  <c r="H8" i="49"/>
  <c r="W7" i="49"/>
  <c r="R7" i="49"/>
  <c r="M7" i="49"/>
  <c r="H7" i="49"/>
  <c r="H54" i="49" s="1"/>
  <c r="Y173" i="48"/>
  <c r="Z173" i="48" s="1"/>
  <c r="AA173" i="48" s="1"/>
  <c r="AC173" i="48" s="1"/>
  <c r="AD173" i="48" s="1"/>
  <c r="AE173" i="48" s="1"/>
  <c r="AF173" i="48" s="1"/>
  <c r="AH173" i="48" s="1"/>
  <c r="AI173" i="48" s="1"/>
  <c r="AJ173" i="48" s="1"/>
  <c r="AK173" i="48" s="1"/>
  <c r="AM173" i="48" s="1"/>
  <c r="AN173" i="48" s="1"/>
  <c r="AO173" i="48" s="1"/>
  <c r="AP173" i="48" s="1"/>
  <c r="AR173" i="48" s="1"/>
  <c r="AS173" i="48" s="1"/>
  <c r="AT173" i="48" s="1"/>
  <c r="AU173" i="48" s="1"/>
  <c r="F173" i="48"/>
  <c r="V172" i="48"/>
  <c r="V173" i="48" s="1"/>
  <c r="X173" i="48" s="1"/>
  <c r="U172" i="48"/>
  <c r="U173" i="48" s="1"/>
  <c r="T172" i="48"/>
  <c r="Q172" i="48"/>
  <c r="P172" i="48"/>
  <c r="O172" i="48"/>
  <c r="N172" i="48"/>
  <c r="N173" i="48" s="1"/>
  <c r="K172" i="48"/>
  <c r="K173" i="48" s="1"/>
  <c r="T171" i="48"/>
  <c r="Q171" i="48"/>
  <c r="F171" i="48"/>
  <c r="E171" i="48"/>
  <c r="P170" i="48"/>
  <c r="N170" i="48"/>
  <c r="L170" i="48"/>
  <c r="L173" i="48" s="1"/>
  <c r="K170" i="48"/>
  <c r="J170" i="48"/>
  <c r="J173" i="48" s="1"/>
  <c r="V168" i="48"/>
  <c r="V170" i="48" s="1"/>
  <c r="U168" i="48"/>
  <c r="U170" i="48" s="1"/>
  <c r="T168" i="48"/>
  <c r="T170" i="48" s="1"/>
  <c r="Q168" i="48"/>
  <c r="Q170" i="48" s="1"/>
  <c r="P168" i="48"/>
  <c r="O168" i="48"/>
  <c r="O170" i="48" s="1"/>
  <c r="N168" i="48"/>
  <c r="L168" i="48"/>
  <c r="K168" i="48"/>
  <c r="J168" i="48"/>
  <c r="I168" i="48"/>
  <c r="I170" i="48" s="1"/>
  <c r="I173" i="48" s="1"/>
  <c r="G168" i="48"/>
  <c r="G170" i="48" s="1"/>
  <c r="G173" i="48" s="1"/>
  <c r="F168" i="48"/>
  <c r="F170" i="48" s="1"/>
  <c r="E168" i="48"/>
  <c r="E170" i="48" s="1"/>
  <c r="E173" i="48" s="1"/>
  <c r="AR167" i="48"/>
  <c r="AM167" i="48"/>
  <c r="AH167" i="48"/>
  <c r="Y167" i="48"/>
  <c r="Z167" i="48" s="1"/>
  <c r="AA167" i="48" s="1"/>
  <c r="AC167" i="48" s="1"/>
  <c r="H167" i="48"/>
  <c r="AR166" i="48"/>
  <c r="AM166" i="48"/>
  <c r="AH166" i="48"/>
  <c r="AC166" i="48"/>
  <c r="X166" i="48"/>
  <c r="H166" i="48"/>
  <c r="X165" i="48"/>
  <c r="Y165" i="48" s="1"/>
  <c r="S165" i="48"/>
  <c r="S168" i="48" s="1"/>
  <c r="S170" i="48" s="1"/>
  <c r="S173" i="48" s="1"/>
  <c r="H165" i="48"/>
  <c r="G165" i="48"/>
  <c r="D165" i="48"/>
  <c r="AR164" i="48"/>
  <c r="AM164" i="48"/>
  <c r="AH164" i="48"/>
  <c r="AC164" i="48"/>
  <c r="X164" i="48"/>
  <c r="D164" i="48"/>
  <c r="H164" i="48" s="1"/>
  <c r="H168" i="48" s="1"/>
  <c r="AD163" i="48"/>
  <c r="AC163" i="48"/>
  <c r="K163" i="48"/>
  <c r="H163" i="48"/>
  <c r="G163" i="48"/>
  <c r="D163" i="48"/>
  <c r="D168" i="48" s="1"/>
  <c r="D170" i="48" s="1"/>
  <c r="D173" i="48" s="1"/>
  <c r="F161" i="48"/>
  <c r="E161" i="48"/>
  <c r="E158" i="48"/>
  <c r="E152" i="48" s="1"/>
  <c r="D157" i="48"/>
  <c r="D158" i="48" s="1"/>
  <c r="AD155" i="48"/>
  <c r="AC155" i="48"/>
  <c r="AA155" i="48"/>
  <c r="Z155" i="48"/>
  <c r="Y155" i="48"/>
  <c r="X155" i="48"/>
  <c r="AB155" i="48" s="1"/>
  <c r="U155" i="48"/>
  <c r="Q155" i="48"/>
  <c r="P155" i="48"/>
  <c r="O155" i="48"/>
  <c r="N155" i="48"/>
  <c r="R155" i="48" s="1"/>
  <c r="L155" i="48"/>
  <c r="L151" i="48" s="1"/>
  <c r="K155" i="48"/>
  <c r="K151" i="48" s="1"/>
  <c r="J155" i="48"/>
  <c r="I155" i="48"/>
  <c r="H155" i="48"/>
  <c r="G155" i="48"/>
  <c r="F155" i="48"/>
  <c r="E155" i="48"/>
  <c r="AV154" i="48"/>
  <c r="AQ154" i="48"/>
  <c r="AK154" i="48"/>
  <c r="AG154" i="48"/>
  <c r="AB154" i="48"/>
  <c r="V154" i="48"/>
  <c r="V155" i="48" s="1"/>
  <c r="T154" i="48"/>
  <c r="S154" i="48"/>
  <c r="W154" i="48" s="1"/>
  <c r="R154" i="48"/>
  <c r="M154" i="48"/>
  <c r="H154" i="48"/>
  <c r="F154" i="48"/>
  <c r="V153" i="48"/>
  <c r="T152" i="48"/>
  <c r="S152" i="48"/>
  <c r="Q152" i="48"/>
  <c r="P152" i="48"/>
  <c r="O152" i="48"/>
  <c r="N152" i="48"/>
  <c r="K152" i="48"/>
  <c r="J152" i="48"/>
  <c r="G152" i="48"/>
  <c r="F152" i="48"/>
  <c r="T151" i="48"/>
  <c r="S151" i="48"/>
  <c r="Q151" i="48"/>
  <c r="P151" i="48"/>
  <c r="O151" i="48"/>
  <c r="J151" i="48"/>
  <c r="G151" i="48"/>
  <c r="F151" i="48"/>
  <c r="E151" i="48"/>
  <c r="Y145" i="48"/>
  <c r="Z145" i="48" s="1"/>
  <c r="AA145" i="48" s="1"/>
  <c r="AC145" i="48" s="1"/>
  <c r="AD145" i="48" s="1"/>
  <c r="AE145" i="48" s="1"/>
  <c r="AF145" i="48" s="1"/>
  <c r="AH145" i="48" s="1"/>
  <c r="AI145" i="48" s="1"/>
  <c r="AJ145" i="48" s="1"/>
  <c r="AK145" i="48" s="1"/>
  <c r="AM145" i="48" s="1"/>
  <c r="AN145" i="48" s="1"/>
  <c r="AO145" i="48" s="1"/>
  <c r="AP145" i="48" s="1"/>
  <c r="AR145" i="48" s="1"/>
  <c r="AS145" i="48" s="1"/>
  <c r="AT145" i="48" s="1"/>
  <c r="AU145" i="48" s="1"/>
  <c r="V145" i="48"/>
  <c r="F17" i="52" s="1"/>
  <c r="U145" i="48"/>
  <c r="T145" i="48"/>
  <c r="S145" i="48"/>
  <c r="Q145" i="48"/>
  <c r="P145" i="48"/>
  <c r="O145" i="48"/>
  <c r="N145" i="48"/>
  <c r="L145" i="48"/>
  <c r="K145" i="48"/>
  <c r="J145" i="48"/>
  <c r="I145" i="48"/>
  <c r="F145" i="48"/>
  <c r="E145" i="48"/>
  <c r="AC143" i="48"/>
  <c r="V136" i="48"/>
  <c r="U136" i="48"/>
  <c r="T136" i="48"/>
  <c r="S136" i="48"/>
  <c r="Q136" i="48"/>
  <c r="P136" i="48"/>
  <c r="O136" i="48"/>
  <c r="N136" i="48"/>
  <c r="L136" i="48"/>
  <c r="K136" i="48"/>
  <c r="J136" i="48"/>
  <c r="I136" i="48"/>
  <c r="F136" i="48"/>
  <c r="E136" i="48"/>
  <c r="D136" i="48"/>
  <c r="V135" i="48"/>
  <c r="U135" i="48"/>
  <c r="T135" i="48"/>
  <c r="S135" i="48"/>
  <c r="Q135" i="48"/>
  <c r="P135" i="48"/>
  <c r="O135" i="48"/>
  <c r="N135" i="48"/>
  <c r="L135" i="48"/>
  <c r="K135" i="48"/>
  <c r="J135" i="48"/>
  <c r="I135" i="48"/>
  <c r="F135" i="48"/>
  <c r="E135" i="48"/>
  <c r="D135" i="48"/>
  <c r="V134" i="48"/>
  <c r="U134" i="48"/>
  <c r="T134" i="48"/>
  <c r="S134" i="48"/>
  <c r="Q134" i="48"/>
  <c r="P134" i="48"/>
  <c r="O134" i="48"/>
  <c r="N134" i="48"/>
  <c r="L134" i="48"/>
  <c r="K134" i="48"/>
  <c r="J134" i="48"/>
  <c r="I134" i="48"/>
  <c r="F134" i="48"/>
  <c r="E134" i="48"/>
  <c r="D134" i="48"/>
  <c r="V133" i="48"/>
  <c r="U133" i="48"/>
  <c r="T133" i="48"/>
  <c r="S133" i="48"/>
  <c r="Q133" i="48"/>
  <c r="P133" i="48"/>
  <c r="O133" i="48"/>
  <c r="N133" i="48"/>
  <c r="L133" i="48"/>
  <c r="K133" i="48"/>
  <c r="J133" i="48"/>
  <c r="I133" i="48"/>
  <c r="F133" i="48"/>
  <c r="E133" i="48"/>
  <c r="D133" i="48"/>
  <c r="V131" i="48"/>
  <c r="U131" i="48"/>
  <c r="S131" i="48"/>
  <c r="P131" i="48"/>
  <c r="E131" i="48"/>
  <c r="D131" i="48"/>
  <c r="V130" i="48"/>
  <c r="U130" i="48"/>
  <c r="T130" i="48"/>
  <c r="T131" i="48" s="1"/>
  <c r="S130" i="48"/>
  <c r="Q130" i="48"/>
  <c r="Q131" i="48" s="1"/>
  <c r="P130" i="48"/>
  <c r="O130" i="48"/>
  <c r="O131" i="48" s="1"/>
  <c r="N130" i="48"/>
  <c r="N131" i="48" s="1"/>
  <c r="L130" i="48"/>
  <c r="L131" i="48" s="1"/>
  <c r="K130" i="48"/>
  <c r="K131" i="48" s="1"/>
  <c r="J130" i="48"/>
  <c r="J131" i="48" s="1"/>
  <c r="I130" i="48"/>
  <c r="I131" i="48" s="1"/>
  <c r="F130" i="48"/>
  <c r="F131" i="48" s="1"/>
  <c r="E130" i="48"/>
  <c r="D130" i="48"/>
  <c r="X129" i="48"/>
  <c r="W129" i="48"/>
  <c r="R129" i="48"/>
  <c r="M129" i="48"/>
  <c r="AV128" i="48"/>
  <c r="AQ128" i="48"/>
  <c r="AL128" i="48"/>
  <c r="AG128" i="48"/>
  <c r="AB128" i="48"/>
  <c r="W128" i="48"/>
  <c r="R128" i="48"/>
  <c r="M128" i="48"/>
  <c r="W127" i="48"/>
  <c r="R127" i="48"/>
  <c r="M127" i="48"/>
  <c r="AV126" i="48"/>
  <c r="AQ126" i="48"/>
  <c r="AL126" i="48"/>
  <c r="AG126" i="48"/>
  <c r="AB126" i="48"/>
  <c r="W126" i="48"/>
  <c r="R126" i="48"/>
  <c r="R130" i="48" s="1"/>
  <c r="R131" i="48" s="1"/>
  <c r="M126" i="48"/>
  <c r="G126" i="48"/>
  <c r="G130" i="48" s="1"/>
  <c r="G131" i="48" s="1"/>
  <c r="AV125" i="48"/>
  <c r="AQ125" i="48"/>
  <c r="AL125" i="48"/>
  <c r="AG125" i="48"/>
  <c r="AB125" i="48"/>
  <c r="W125" i="48"/>
  <c r="W130" i="48" s="1"/>
  <c r="R125" i="48"/>
  <c r="M125" i="48"/>
  <c r="M130" i="48" s="1"/>
  <c r="M131" i="48" s="1"/>
  <c r="AB124" i="48"/>
  <c r="W124" i="48"/>
  <c r="V124" i="48"/>
  <c r="U124" i="48"/>
  <c r="T124" i="48"/>
  <c r="S124" i="48"/>
  <c r="R124" i="48"/>
  <c r="Q124" i="48"/>
  <c r="P124" i="48"/>
  <c r="O124" i="48"/>
  <c r="N124" i="48"/>
  <c r="L124" i="48"/>
  <c r="K124" i="48"/>
  <c r="J124" i="48"/>
  <c r="I124" i="48"/>
  <c r="AF123" i="48"/>
  <c r="AK123" i="48" s="1"/>
  <c r="AC123" i="48"/>
  <c r="AA123" i="48"/>
  <c r="Z123" i="48"/>
  <c r="Y123" i="48"/>
  <c r="AD123" i="48" s="1"/>
  <c r="X123" i="48"/>
  <c r="AB123" i="48" s="1"/>
  <c r="W123" i="48"/>
  <c r="R123" i="48"/>
  <c r="M123" i="48"/>
  <c r="M124" i="48" s="1"/>
  <c r="H123" i="48"/>
  <c r="O121" i="48"/>
  <c r="L121" i="48"/>
  <c r="J121" i="48"/>
  <c r="G121" i="48"/>
  <c r="L120" i="48"/>
  <c r="J120" i="48"/>
  <c r="I120" i="48"/>
  <c r="I121" i="48" s="1"/>
  <c r="G120" i="48"/>
  <c r="Y119" i="48"/>
  <c r="X119" i="48"/>
  <c r="W119" i="48"/>
  <c r="R119" i="48"/>
  <c r="M119" i="48"/>
  <c r="H119" i="48"/>
  <c r="V118" i="48"/>
  <c r="V120" i="48" s="1"/>
  <c r="V121" i="48" s="1"/>
  <c r="U118" i="48"/>
  <c r="U120" i="48" s="1"/>
  <c r="U121" i="48" s="1"/>
  <c r="T118" i="48"/>
  <c r="T120" i="48" s="1"/>
  <c r="T121" i="48" s="1"/>
  <c r="S118" i="48"/>
  <c r="S120" i="48" s="1"/>
  <c r="S121" i="48" s="1"/>
  <c r="Q118" i="48"/>
  <c r="Q120" i="48" s="1"/>
  <c r="Q121" i="48" s="1"/>
  <c r="P118" i="48"/>
  <c r="P120" i="48" s="1"/>
  <c r="P121" i="48" s="1"/>
  <c r="O118" i="48"/>
  <c r="O120" i="48" s="1"/>
  <c r="N118" i="48"/>
  <c r="N120" i="48" s="1"/>
  <c r="N121" i="48" s="1"/>
  <c r="L118" i="48"/>
  <c r="K118" i="48"/>
  <c r="K120" i="48" s="1"/>
  <c r="K121" i="48" s="1"/>
  <c r="J118" i="48"/>
  <c r="I118" i="48"/>
  <c r="G118" i="48"/>
  <c r="F118" i="48"/>
  <c r="F120" i="48" s="1"/>
  <c r="F121" i="48" s="1"/>
  <c r="E118" i="48"/>
  <c r="E120" i="48" s="1"/>
  <c r="E121" i="48" s="1"/>
  <c r="D118" i="48"/>
  <c r="D120" i="48" s="1"/>
  <c r="D121" i="48" s="1"/>
  <c r="V117" i="48"/>
  <c r="X117" i="48" s="1"/>
  <c r="R117" i="48"/>
  <c r="M117" i="48"/>
  <c r="H117" i="48"/>
  <c r="AE116" i="48"/>
  <c r="AD116" i="48"/>
  <c r="Z116" i="48"/>
  <c r="Z187" i="48" s="1"/>
  <c r="Y116" i="48"/>
  <c r="Y187" i="48" s="1"/>
  <c r="V116" i="48"/>
  <c r="AA116" i="48" s="1"/>
  <c r="U116" i="48"/>
  <c r="U187" i="48" s="1"/>
  <c r="T116" i="48"/>
  <c r="S116" i="48"/>
  <c r="Q116" i="48"/>
  <c r="P116" i="48"/>
  <c r="O116" i="48"/>
  <c r="N116" i="48"/>
  <c r="L116" i="48"/>
  <c r="K116" i="48"/>
  <c r="J116" i="48"/>
  <c r="I116" i="48"/>
  <c r="G116" i="48"/>
  <c r="F116" i="48"/>
  <c r="E116" i="48"/>
  <c r="D116" i="48"/>
  <c r="Y115" i="48"/>
  <c r="W115" i="48"/>
  <c r="W116" i="48" s="1"/>
  <c r="R115" i="48"/>
  <c r="R116" i="48" s="1"/>
  <c r="M115" i="48"/>
  <c r="H115" i="48"/>
  <c r="AV114" i="48"/>
  <c r="AQ114" i="48"/>
  <c r="AL114" i="48"/>
  <c r="AG114" i="48"/>
  <c r="AB114" i="48"/>
  <c r="W114" i="48"/>
  <c r="R114" i="48"/>
  <c r="M114" i="48"/>
  <c r="H114" i="48"/>
  <c r="AM113" i="48"/>
  <c r="AH113" i="48"/>
  <c r="AH186" i="48" s="1"/>
  <c r="AC113" i="48"/>
  <c r="AC186" i="48" s="1"/>
  <c r="X113" i="48"/>
  <c r="X186" i="48" s="1"/>
  <c r="V113" i="48"/>
  <c r="U113" i="48"/>
  <c r="T113" i="48"/>
  <c r="S113" i="48"/>
  <c r="Q113" i="48"/>
  <c r="Q186" i="48" s="1"/>
  <c r="P113" i="48"/>
  <c r="O113" i="48"/>
  <c r="N113" i="48"/>
  <c r="L113" i="48"/>
  <c r="K113" i="48"/>
  <c r="J113" i="48"/>
  <c r="I113" i="48"/>
  <c r="G113" i="48"/>
  <c r="F113" i="48"/>
  <c r="E113" i="48"/>
  <c r="D113" i="48"/>
  <c r="W112" i="48"/>
  <c r="W113" i="48" s="1"/>
  <c r="R112" i="48"/>
  <c r="R113" i="48" s="1"/>
  <c r="M112" i="48"/>
  <c r="M113" i="48" s="1"/>
  <c r="H112" i="48"/>
  <c r="H113" i="48" s="1"/>
  <c r="AC111" i="48"/>
  <c r="X111" i="48"/>
  <c r="X185" i="48" s="1"/>
  <c r="V111" i="48"/>
  <c r="U111" i="48"/>
  <c r="T111" i="48"/>
  <c r="S111" i="48"/>
  <c r="Q111" i="48"/>
  <c r="Q185" i="48" s="1"/>
  <c r="P111" i="48"/>
  <c r="O111" i="48"/>
  <c r="N111" i="48"/>
  <c r="M111" i="48"/>
  <c r="L111" i="48"/>
  <c r="K111" i="48"/>
  <c r="J111" i="48"/>
  <c r="I111" i="48"/>
  <c r="H111" i="48"/>
  <c r="G111" i="48"/>
  <c r="F111" i="48"/>
  <c r="E111" i="48"/>
  <c r="D111" i="48"/>
  <c r="W110" i="48"/>
  <c r="W111" i="48" s="1"/>
  <c r="R110" i="48"/>
  <c r="M110" i="48"/>
  <c r="M118" i="48" s="1"/>
  <c r="H110" i="48"/>
  <c r="V109" i="48"/>
  <c r="U109" i="48"/>
  <c r="T109" i="48"/>
  <c r="S109" i="48"/>
  <c r="Q109" i="48"/>
  <c r="P109" i="48"/>
  <c r="O109" i="48"/>
  <c r="N109" i="48"/>
  <c r="L109" i="48"/>
  <c r="K109" i="48"/>
  <c r="J109" i="48"/>
  <c r="I109" i="48"/>
  <c r="AE108" i="48"/>
  <c r="AD108" i="48"/>
  <c r="AC108" i="48"/>
  <c r="AA108" i="48"/>
  <c r="Z108" i="48"/>
  <c r="Z115" i="48" s="1"/>
  <c r="Y108" i="48"/>
  <c r="X108" i="48"/>
  <c r="W108" i="48"/>
  <c r="R108" i="48"/>
  <c r="R111" i="48" s="1"/>
  <c r="M108" i="48"/>
  <c r="H108" i="48"/>
  <c r="V105" i="48"/>
  <c r="V106" i="48" s="1"/>
  <c r="U105" i="48"/>
  <c r="U106" i="48" s="1"/>
  <c r="G105" i="48"/>
  <c r="G106" i="48" s="1"/>
  <c r="F105" i="48"/>
  <c r="F106" i="48" s="1"/>
  <c r="E105" i="48"/>
  <c r="E106" i="48" s="1"/>
  <c r="AV104" i="48"/>
  <c r="AQ104" i="48"/>
  <c r="AL104" i="48"/>
  <c r="AG104" i="48"/>
  <c r="AB104" i="48"/>
  <c r="W104" i="48"/>
  <c r="R104" i="48"/>
  <c r="M104" i="48"/>
  <c r="H104" i="48"/>
  <c r="V103" i="48"/>
  <c r="U103" i="48"/>
  <c r="T103" i="48"/>
  <c r="S103" i="48"/>
  <c r="Q103" i="48"/>
  <c r="P103" i="48"/>
  <c r="O103" i="48"/>
  <c r="N103" i="48"/>
  <c r="L103" i="48"/>
  <c r="K103" i="48"/>
  <c r="J103" i="48"/>
  <c r="I103" i="48"/>
  <c r="G103" i="48"/>
  <c r="F103" i="48"/>
  <c r="E103" i="48"/>
  <c r="D103" i="48"/>
  <c r="X102" i="48"/>
  <c r="V102" i="48"/>
  <c r="W102" i="48" s="1"/>
  <c r="R102" i="48"/>
  <c r="M102" i="48"/>
  <c r="H102" i="48"/>
  <c r="V101" i="48"/>
  <c r="I101" i="48"/>
  <c r="G101" i="48"/>
  <c r="F101" i="48"/>
  <c r="W100" i="48"/>
  <c r="R100" i="48"/>
  <c r="M100" i="48"/>
  <c r="H100" i="48"/>
  <c r="W99" i="48"/>
  <c r="R99" i="48"/>
  <c r="M99" i="48"/>
  <c r="H99" i="48"/>
  <c r="T98" i="48"/>
  <c r="O98" i="48"/>
  <c r="N98" i="48"/>
  <c r="D98" i="48"/>
  <c r="W97" i="48"/>
  <c r="R97" i="48"/>
  <c r="M97" i="48"/>
  <c r="H97" i="48"/>
  <c r="AA96" i="48"/>
  <c r="AA181" i="48" s="1"/>
  <c r="Z96" i="48"/>
  <c r="Z181" i="48" s="1"/>
  <c r="Y96" i="48"/>
  <c r="Y181" i="48" s="1"/>
  <c r="X96" i="48"/>
  <c r="W96" i="48"/>
  <c r="V96" i="48"/>
  <c r="V181" i="48" s="1"/>
  <c r="U96" i="48"/>
  <c r="U181" i="48" s="1"/>
  <c r="T96" i="48"/>
  <c r="S96" i="48"/>
  <c r="Q96" i="48"/>
  <c r="Q181" i="48" s="1"/>
  <c r="P96" i="48"/>
  <c r="O96" i="48"/>
  <c r="N96" i="48"/>
  <c r="L96" i="48"/>
  <c r="K96" i="48"/>
  <c r="J96" i="48"/>
  <c r="I96" i="48"/>
  <c r="H96" i="48"/>
  <c r="G96" i="48"/>
  <c r="F96" i="48"/>
  <c r="E96" i="48"/>
  <c r="D96" i="48"/>
  <c r="W95" i="48"/>
  <c r="R95" i="48"/>
  <c r="R96" i="48" s="1"/>
  <c r="M95" i="48"/>
  <c r="M96" i="48" s="1"/>
  <c r="H95" i="48"/>
  <c r="U94" i="48"/>
  <c r="T94" i="48"/>
  <c r="S94" i="48"/>
  <c r="Q94" i="48"/>
  <c r="G94" i="48"/>
  <c r="E94" i="48"/>
  <c r="D94" i="48"/>
  <c r="W93" i="48"/>
  <c r="W103" i="48" s="1"/>
  <c r="R93" i="48"/>
  <c r="R103" i="48" s="1"/>
  <c r="M93" i="48"/>
  <c r="H93" i="48"/>
  <c r="H103" i="48" s="1"/>
  <c r="V92" i="48"/>
  <c r="V98" i="48" s="1"/>
  <c r="U92" i="48"/>
  <c r="U101" i="48" s="1"/>
  <c r="T92" i="48"/>
  <c r="T105" i="48" s="1"/>
  <c r="T106" i="48" s="1"/>
  <c r="S92" i="48"/>
  <c r="S105" i="48" s="1"/>
  <c r="Q92" i="48"/>
  <c r="Q105" i="48" s="1"/>
  <c r="Q106" i="48" s="1"/>
  <c r="P92" i="48"/>
  <c r="P94" i="48" s="1"/>
  <c r="O92" i="48"/>
  <c r="O94" i="48" s="1"/>
  <c r="N92" i="48"/>
  <c r="N94" i="48" s="1"/>
  <c r="L92" i="48"/>
  <c r="K92" i="48"/>
  <c r="J92" i="48"/>
  <c r="J98" i="48" s="1"/>
  <c r="I92" i="48"/>
  <c r="I98" i="48" s="1"/>
  <c r="G92" i="48"/>
  <c r="G98" i="48" s="1"/>
  <c r="F92" i="48"/>
  <c r="F98" i="48" s="1"/>
  <c r="E92" i="48"/>
  <c r="E101" i="48" s="1"/>
  <c r="D92" i="48"/>
  <c r="D105" i="48" s="1"/>
  <c r="AU91" i="48"/>
  <c r="AT91" i="48"/>
  <c r="AS91" i="48"/>
  <c r="AR91" i="48"/>
  <c r="AP91" i="48"/>
  <c r="AO91" i="48"/>
  <c r="AN91" i="48"/>
  <c r="AM91" i="48"/>
  <c r="AK91" i="48"/>
  <c r="AJ91" i="48"/>
  <c r="AI91" i="48"/>
  <c r="AH91" i="48"/>
  <c r="AF91" i="48"/>
  <c r="AE91" i="48"/>
  <c r="AD91" i="48"/>
  <c r="AC91" i="48"/>
  <c r="AA91" i="48"/>
  <c r="Z91" i="48"/>
  <c r="Y91" i="48"/>
  <c r="X91" i="48"/>
  <c r="V91" i="48"/>
  <c r="U91" i="48"/>
  <c r="T91" i="48"/>
  <c r="S91" i="48"/>
  <c r="Q91" i="48"/>
  <c r="P91" i="48"/>
  <c r="O91" i="48"/>
  <c r="N91" i="48"/>
  <c r="J91" i="48"/>
  <c r="I91" i="48"/>
  <c r="N90" i="48"/>
  <c r="L90" i="48"/>
  <c r="K90" i="48"/>
  <c r="J90" i="48"/>
  <c r="I90" i="48"/>
  <c r="G90" i="48"/>
  <c r="F90" i="48"/>
  <c r="E90" i="48"/>
  <c r="D90" i="48"/>
  <c r="V89" i="48"/>
  <c r="U89" i="48"/>
  <c r="T89" i="48"/>
  <c r="S89" i="48"/>
  <c r="Q89" i="48"/>
  <c r="P89" i="48"/>
  <c r="O89" i="48"/>
  <c r="N89" i="48"/>
  <c r="L89" i="48"/>
  <c r="K89" i="48"/>
  <c r="J89" i="48"/>
  <c r="I89" i="48"/>
  <c r="AE88" i="48"/>
  <c r="AJ88" i="48" s="1"/>
  <c r="AD88" i="48"/>
  <c r="AI88" i="48" s="1"/>
  <c r="AC88" i="48"/>
  <c r="AH88" i="48" s="1"/>
  <c r="AB88" i="48"/>
  <c r="AA88" i="48"/>
  <c r="AF88" i="48" s="1"/>
  <c r="Z88" i="48"/>
  <c r="Y88" i="48"/>
  <c r="X88" i="48"/>
  <c r="W88" i="48"/>
  <c r="R88" i="48"/>
  <c r="M88" i="48"/>
  <c r="H88" i="48"/>
  <c r="W87" i="48"/>
  <c r="R87" i="48"/>
  <c r="M87" i="48"/>
  <c r="H87" i="48"/>
  <c r="AI86" i="48"/>
  <c r="AH86" i="48"/>
  <c r="O86" i="48"/>
  <c r="N86" i="48"/>
  <c r="G86" i="48"/>
  <c r="T85" i="48"/>
  <c r="T86" i="48" s="1"/>
  <c r="Y86" i="48" s="1"/>
  <c r="AD86" i="48" s="1"/>
  <c r="S85" i="48"/>
  <c r="S86" i="48" s="1"/>
  <c r="X86" i="48" s="1"/>
  <c r="AC86" i="48" s="1"/>
  <c r="N85" i="48"/>
  <c r="L85" i="48"/>
  <c r="L86" i="48" s="1"/>
  <c r="K85" i="48"/>
  <c r="K86" i="48" s="1"/>
  <c r="J85" i="48"/>
  <c r="J86" i="48" s="1"/>
  <c r="I85" i="48"/>
  <c r="I86" i="48" s="1"/>
  <c r="G85" i="48"/>
  <c r="F85" i="48"/>
  <c r="F86" i="48" s="1"/>
  <c r="E85" i="48"/>
  <c r="E86" i="48" s="1"/>
  <c r="D85" i="48"/>
  <c r="D86" i="48" s="1"/>
  <c r="AV84" i="48"/>
  <c r="AV91" i="48" s="1"/>
  <c r="AQ84" i="48"/>
  <c r="AQ91" i="48" s="1"/>
  <c r="AL84" i="48"/>
  <c r="AG84" i="48"/>
  <c r="AB84" i="48"/>
  <c r="W84" i="48"/>
  <c r="W91" i="48" s="1"/>
  <c r="R84" i="48"/>
  <c r="R91" i="48" s="1"/>
  <c r="K84" i="48"/>
  <c r="K91" i="48" s="1"/>
  <c r="J84" i="48"/>
  <c r="I84" i="48"/>
  <c r="M84" i="48" s="1"/>
  <c r="M91" i="48" s="1"/>
  <c r="G84" i="48"/>
  <c r="G91" i="48" s="1"/>
  <c r="F84" i="48"/>
  <c r="F91" i="48" s="1"/>
  <c r="E84" i="48"/>
  <c r="E91" i="48" s="1"/>
  <c r="D84" i="48"/>
  <c r="D91" i="48" s="1"/>
  <c r="T83" i="48"/>
  <c r="S83" i="48"/>
  <c r="R83" i="48"/>
  <c r="O83" i="48"/>
  <c r="O85" i="48" s="1"/>
  <c r="M83" i="48"/>
  <c r="H83" i="48"/>
  <c r="W79" i="48"/>
  <c r="V79" i="48"/>
  <c r="U79" i="48"/>
  <c r="T79" i="48"/>
  <c r="S79" i="48"/>
  <c r="Q79" i="48"/>
  <c r="P79" i="48"/>
  <c r="O79" i="48"/>
  <c r="N79" i="48"/>
  <c r="L79" i="48"/>
  <c r="K79" i="48"/>
  <c r="J79" i="48"/>
  <c r="I79" i="48"/>
  <c r="W78" i="48"/>
  <c r="R78" i="48"/>
  <c r="M78" i="48"/>
  <c r="H78" i="48"/>
  <c r="I77" i="48"/>
  <c r="N76" i="48"/>
  <c r="N77" i="48" s="1"/>
  <c r="L76" i="48"/>
  <c r="L77" i="48" s="1"/>
  <c r="K76" i="48"/>
  <c r="K77" i="48" s="1"/>
  <c r="J76" i="48"/>
  <c r="J77" i="48" s="1"/>
  <c r="I76" i="48"/>
  <c r="G76" i="48"/>
  <c r="G77" i="48" s="1"/>
  <c r="F76" i="48"/>
  <c r="F77" i="48" s="1"/>
  <c r="E76" i="48"/>
  <c r="E77" i="48" s="1"/>
  <c r="AV75" i="48"/>
  <c r="AQ75" i="48"/>
  <c r="AL75" i="48"/>
  <c r="AG75" i="48"/>
  <c r="AB75" i="48"/>
  <c r="AB91" i="48" s="1"/>
  <c r="W75" i="48"/>
  <c r="R75" i="48"/>
  <c r="L75" i="48"/>
  <c r="L91" i="48" s="1"/>
  <c r="K75" i="48"/>
  <c r="J75" i="48"/>
  <c r="I75" i="48"/>
  <c r="M75" i="48" s="1"/>
  <c r="G75" i="48"/>
  <c r="F75" i="48"/>
  <c r="E75" i="48"/>
  <c r="D75" i="48"/>
  <c r="H75" i="48" s="1"/>
  <c r="O74" i="48"/>
  <c r="M74" i="48"/>
  <c r="H74" i="48"/>
  <c r="Q72" i="48"/>
  <c r="P72" i="48"/>
  <c r="N71" i="48"/>
  <c r="V70" i="48"/>
  <c r="U70" i="48"/>
  <c r="T70" i="48"/>
  <c r="S70" i="48"/>
  <c r="Q70" i="48"/>
  <c r="P70" i="48"/>
  <c r="O70" i="48"/>
  <c r="N70" i="48"/>
  <c r="L70" i="48"/>
  <c r="K70" i="48"/>
  <c r="J70" i="48"/>
  <c r="I70" i="48"/>
  <c r="H70" i="48"/>
  <c r="G70" i="48"/>
  <c r="F70" i="48"/>
  <c r="E70" i="48"/>
  <c r="D70" i="48"/>
  <c r="Y69" i="48"/>
  <c r="Z69" i="48" s="1"/>
  <c r="X69" i="48"/>
  <c r="W69" i="48"/>
  <c r="U68" i="48"/>
  <c r="T68" i="48"/>
  <c r="S68" i="48"/>
  <c r="W67" i="48"/>
  <c r="W66" i="48"/>
  <c r="T65" i="48"/>
  <c r="Q65" i="48"/>
  <c r="P65" i="48"/>
  <c r="J65" i="48"/>
  <c r="D65" i="48"/>
  <c r="W64" i="48"/>
  <c r="Y63" i="48"/>
  <c r="Y176" i="48" s="1"/>
  <c r="X63" i="48"/>
  <c r="X176" i="48" s="1"/>
  <c r="V63" i="48"/>
  <c r="U63" i="48"/>
  <c r="T63" i="48"/>
  <c r="S63" i="48"/>
  <c r="S176" i="48" s="1"/>
  <c r="Q63" i="48"/>
  <c r="P63" i="48"/>
  <c r="O63" i="48"/>
  <c r="N63" i="48"/>
  <c r="L63" i="48"/>
  <c r="K63" i="48"/>
  <c r="J63" i="48"/>
  <c r="I63" i="48"/>
  <c r="G63" i="48"/>
  <c r="F63" i="48"/>
  <c r="E63" i="48"/>
  <c r="D63" i="48"/>
  <c r="W62" i="48"/>
  <c r="Y61" i="48"/>
  <c r="T61" i="48"/>
  <c r="J61" i="48"/>
  <c r="I61" i="48"/>
  <c r="G61" i="48"/>
  <c r="F61" i="48"/>
  <c r="W60" i="48"/>
  <c r="V59" i="48"/>
  <c r="V71" i="48" s="1"/>
  <c r="U59" i="48"/>
  <c r="U71" i="48" s="1"/>
  <c r="T59" i="48"/>
  <c r="T71" i="48" s="1"/>
  <c r="T72" i="48" s="1"/>
  <c r="S59" i="48"/>
  <c r="S61" i="48" s="1"/>
  <c r="Q59" i="48"/>
  <c r="Q71" i="48" s="1"/>
  <c r="P59" i="48"/>
  <c r="P71" i="48" s="1"/>
  <c r="O59" i="48"/>
  <c r="O71" i="48" s="1"/>
  <c r="N59" i="48"/>
  <c r="N65" i="48" s="1"/>
  <c r="L59" i="48"/>
  <c r="L71" i="48" s="1"/>
  <c r="K59" i="48"/>
  <c r="J59" i="48"/>
  <c r="J71" i="48" s="1"/>
  <c r="I59" i="48"/>
  <c r="I71" i="48" s="1"/>
  <c r="G59" i="48"/>
  <c r="G65" i="48" s="1"/>
  <c r="F59" i="48"/>
  <c r="F71" i="48" s="1"/>
  <c r="E59" i="48"/>
  <c r="E61" i="48" s="1"/>
  <c r="D59" i="48"/>
  <c r="D71" i="48" s="1"/>
  <c r="AU58" i="48"/>
  <c r="AT58" i="48"/>
  <c r="AS58" i="48"/>
  <c r="AR58" i="48"/>
  <c r="AP58" i="48"/>
  <c r="AO58" i="48"/>
  <c r="AN58" i="48"/>
  <c r="AM58" i="48"/>
  <c r="AK58" i="48"/>
  <c r="AJ58" i="48"/>
  <c r="AI58" i="48"/>
  <c r="AH58" i="48"/>
  <c r="AF58" i="48"/>
  <c r="AE58" i="48"/>
  <c r="AD58" i="48"/>
  <c r="AC58" i="48"/>
  <c r="AA58" i="48"/>
  <c r="Z58" i="48"/>
  <c r="Y58" i="48"/>
  <c r="X58" i="48"/>
  <c r="V58" i="48"/>
  <c r="U58" i="48"/>
  <c r="T58" i="48"/>
  <c r="S58" i="48"/>
  <c r="Q58" i="48"/>
  <c r="P58" i="48"/>
  <c r="O58" i="48"/>
  <c r="N58" i="48"/>
  <c r="N57" i="48"/>
  <c r="L57" i="48"/>
  <c r="K57" i="48"/>
  <c r="J57" i="48"/>
  <c r="I57" i="48"/>
  <c r="G57" i="48"/>
  <c r="F57" i="48"/>
  <c r="E57" i="48"/>
  <c r="D57" i="48"/>
  <c r="V56" i="48"/>
  <c r="U56" i="48"/>
  <c r="T56" i="48"/>
  <c r="S56" i="48"/>
  <c r="Q56" i="48"/>
  <c r="P56" i="48"/>
  <c r="O56" i="48"/>
  <c r="N56" i="48"/>
  <c r="L56" i="48"/>
  <c r="K56" i="48"/>
  <c r="J56" i="48"/>
  <c r="I56" i="48"/>
  <c r="AR55" i="48"/>
  <c r="AM55" i="48"/>
  <c r="AH55" i="48"/>
  <c r="AC55" i="48"/>
  <c r="AA55" i="48"/>
  <c r="Z55" i="48"/>
  <c r="Y55" i="48"/>
  <c r="X55" i="48"/>
  <c r="W55" i="48"/>
  <c r="W54" i="48"/>
  <c r="G53" i="48"/>
  <c r="F53" i="48"/>
  <c r="E53" i="48"/>
  <c r="D53" i="48"/>
  <c r="N52" i="48"/>
  <c r="N53" i="48" s="1"/>
  <c r="L52" i="48"/>
  <c r="L53" i="48" s="1"/>
  <c r="K52" i="48"/>
  <c r="K53" i="48" s="1"/>
  <c r="J52" i="48"/>
  <c r="J53" i="48" s="1"/>
  <c r="I52" i="48"/>
  <c r="I53" i="48" s="1"/>
  <c r="G52" i="48"/>
  <c r="F52" i="48"/>
  <c r="E52" i="48"/>
  <c r="D52" i="48"/>
  <c r="AV51" i="48"/>
  <c r="AV58" i="48" s="1"/>
  <c r="AQ51" i="48"/>
  <c r="AL51" i="48"/>
  <c r="AL58" i="48" s="1"/>
  <c r="AG51" i="48"/>
  <c r="AG58" i="48" s="1"/>
  <c r="AB51" i="48"/>
  <c r="AB58" i="48" s="1"/>
  <c r="W51" i="48"/>
  <c r="W58" i="48" s="1"/>
  <c r="K51" i="48"/>
  <c r="K58" i="48" s="1"/>
  <c r="J51" i="48"/>
  <c r="J58" i="48" s="1"/>
  <c r="I51" i="48"/>
  <c r="I58" i="48" s="1"/>
  <c r="G51" i="48"/>
  <c r="G58" i="48" s="1"/>
  <c r="F51" i="48"/>
  <c r="H51" i="48" s="1"/>
  <c r="H58" i="48" s="1"/>
  <c r="E51" i="48"/>
  <c r="E58" i="48" s="1"/>
  <c r="D51" i="48"/>
  <c r="D58" i="48" s="1"/>
  <c r="S50" i="48"/>
  <c r="S52" i="48" s="1"/>
  <c r="S53" i="48" s="1"/>
  <c r="X53" i="48" s="1"/>
  <c r="AC53" i="48" s="1"/>
  <c r="AH53" i="48" s="1"/>
  <c r="O50" i="48"/>
  <c r="P50" i="48" s="1"/>
  <c r="W46" i="48"/>
  <c r="V46" i="48"/>
  <c r="U46" i="48"/>
  <c r="T46" i="48"/>
  <c r="S46" i="48"/>
  <c r="Q46" i="48"/>
  <c r="P46" i="48"/>
  <c r="O46" i="48"/>
  <c r="N46" i="48"/>
  <c r="L46" i="48"/>
  <c r="K46" i="48"/>
  <c r="J46" i="48"/>
  <c r="I46" i="48"/>
  <c r="W45" i="48"/>
  <c r="W63" i="48" s="1"/>
  <c r="R45" i="48"/>
  <c r="M45" i="48"/>
  <c r="H45" i="48"/>
  <c r="J44" i="48"/>
  <c r="N43" i="48"/>
  <c r="N44" i="48" s="1"/>
  <c r="L43" i="48"/>
  <c r="L44" i="48" s="1"/>
  <c r="K43" i="48"/>
  <c r="K44" i="48" s="1"/>
  <c r="J43" i="48"/>
  <c r="I43" i="48"/>
  <c r="I44" i="48" s="1"/>
  <c r="G43" i="48"/>
  <c r="G44" i="48" s="1"/>
  <c r="F43" i="48"/>
  <c r="F44" i="48" s="1"/>
  <c r="E43" i="48"/>
  <c r="E44" i="48" s="1"/>
  <c r="D43" i="48"/>
  <c r="AV42" i="48"/>
  <c r="AQ42" i="48"/>
  <c r="AQ58" i="48" s="1"/>
  <c r="AL42" i="48"/>
  <c r="AG42" i="48"/>
  <c r="AB42" i="48"/>
  <c r="W42" i="48"/>
  <c r="L42" i="48"/>
  <c r="L58" i="48" s="1"/>
  <c r="K42" i="48"/>
  <c r="J42" i="48"/>
  <c r="I42" i="48"/>
  <c r="G42" i="48"/>
  <c r="F42" i="48"/>
  <c r="E42" i="48"/>
  <c r="D42" i="48"/>
  <c r="H42" i="48" s="1"/>
  <c r="O41" i="48"/>
  <c r="Q37" i="48"/>
  <c r="L37" i="48"/>
  <c r="G37" i="48"/>
  <c r="X35" i="48"/>
  <c r="W35" i="48"/>
  <c r="L35" i="48"/>
  <c r="N35" i="48" s="1"/>
  <c r="R35" i="48" s="1"/>
  <c r="H35" i="48"/>
  <c r="Y31" i="48"/>
  <c r="Z31" i="48" s="1"/>
  <c r="AA31" i="48" s="1"/>
  <c r="AC31" i="48" s="1"/>
  <c r="AD31" i="48" s="1"/>
  <c r="X31" i="48"/>
  <c r="X30" i="48"/>
  <c r="Y30" i="48" s="1"/>
  <c r="Z30" i="48" s="1"/>
  <c r="AA30" i="48" s="1"/>
  <c r="AC30" i="48" s="1"/>
  <c r="AD30" i="48" s="1"/>
  <c r="V28" i="48"/>
  <c r="U28" i="48"/>
  <c r="W28" i="48" s="1"/>
  <c r="T28" i="48"/>
  <c r="S28" i="48"/>
  <c r="Q28" i="48"/>
  <c r="P28" i="48"/>
  <c r="O28" i="48"/>
  <c r="N28" i="48"/>
  <c r="R28" i="48" s="1"/>
  <c r="L28" i="48"/>
  <c r="K28" i="48"/>
  <c r="J28" i="48"/>
  <c r="I28" i="48"/>
  <c r="M28" i="48" s="1"/>
  <c r="G28" i="48"/>
  <c r="F28" i="48"/>
  <c r="E28" i="48"/>
  <c r="H28" i="48" s="1"/>
  <c r="D28" i="48"/>
  <c r="X26" i="48"/>
  <c r="T26" i="48"/>
  <c r="W26" i="48" s="1"/>
  <c r="R26" i="48"/>
  <c r="M26" i="48"/>
  <c r="G26" i="48"/>
  <c r="W24" i="48"/>
  <c r="R24" i="48"/>
  <c r="M24" i="48"/>
  <c r="G24" i="48"/>
  <c r="X22" i="48"/>
  <c r="W22" i="48"/>
  <c r="R22" i="48"/>
  <c r="M22" i="48"/>
  <c r="G22" i="48"/>
  <c r="G145" i="48" s="1"/>
  <c r="W21" i="48"/>
  <c r="R21" i="48"/>
  <c r="M21" i="48"/>
  <c r="G21" i="48"/>
  <c r="AV20" i="48"/>
  <c r="AQ20" i="48"/>
  <c r="AL20" i="48"/>
  <c r="AG20" i="48"/>
  <c r="AB20" i="48"/>
  <c r="W20" i="48"/>
  <c r="R20" i="48"/>
  <c r="M20" i="48"/>
  <c r="G20" i="48"/>
  <c r="V18" i="48"/>
  <c r="U18" i="48"/>
  <c r="T18" i="48"/>
  <c r="S18" i="48"/>
  <c r="W18" i="48" s="1"/>
  <c r="Q18" i="48"/>
  <c r="P18" i="48"/>
  <c r="O18" i="48"/>
  <c r="O19" i="48" s="1"/>
  <c r="N18" i="48"/>
  <c r="R18" i="48" s="1"/>
  <c r="L18" i="48"/>
  <c r="K18" i="48"/>
  <c r="J18" i="48"/>
  <c r="I18" i="48"/>
  <c r="M18" i="48" s="1"/>
  <c r="G18" i="48"/>
  <c r="F18" i="48"/>
  <c r="E18" i="48"/>
  <c r="D18" i="48"/>
  <c r="H18" i="48" s="1"/>
  <c r="O17" i="48"/>
  <c r="O141" i="48" s="1"/>
  <c r="L17" i="48"/>
  <c r="L141" i="48" s="1"/>
  <c r="K17" i="48"/>
  <c r="K141" i="48" s="1"/>
  <c r="Y16" i="48"/>
  <c r="Y9" i="50" s="1"/>
  <c r="Y10" i="50" s="1"/>
  <c r="X16" i="48"/>
  <c r="W16" i="48"/>
  <c r="R16" i="48"/>
  <c r="M16" i="48"/>
  <c r="G16" i="48"/>
  <c r="G136" i="48" s="1"/>
  <c r="V15" i="48"/>
  <c r="U15" i="48"/>
  <c r="T15" i="48"/>
  <c r="S15" i="48"/>
  <c r="Q15" i="48"/>
  <c r="P15" i="48"/>
  <c r="O15" i="48"/>
  <c r="N15" i="48"/>
  <c r="L15" i="48"/>
  <c r="K15" i="48"/>
  <c r="J15" i="48"/>
  <c r="I15" i="48"/>
  <c r="H15" i="48"/>
  <c r="F15" i="48"/>
  <c r="E15" i="48"/>
  <c r="D15" i="48"/>
  <c r="X14" i="48"/>
  <c r="W14" i="48"/>
  <c r="R14" i="48"/>
  <c r="M14" i="48"/>
  <c r="G14" i="48"/>
  <c r="W13" i="48"/>
  <c r="R13" i="48"/>
  <c r="M13" i="48"/>
  <c r="G13" i="48"/>
  <c r="W12" i="48"/>
  <c r="R12" i="48"/>
  <c r="M12" i="48"/>
  <c r="G12" i="48"/>
  <c r="W11" i="48"/>
  <c r="R11" i="48"/>
  <c r="M11" i="48"/>
  <c r="G11" i="48"/>
  <c r="W10" i="48"/>
  <c r="W15" i="48" s="1"/>
  <c r="R10" i="48"/>
  <c r="M10" i="48"/>
  <c r="G10" i="48"/>
  <c r="W9" i="48"/>
  <c r="R9" i="48"/>
  <c r="R15" i="48" s="1"/>
  <c r="M9" i="48"/>
  <c r="M15" i="48" s="1"/>
  <c r="G9" i="48"/>
  <c r="V8" i="48"/>
  <c r="U8" i="48"/>
  <c r="T8" i="48"/>
  <c r="S8" i="48"/>
  <c r="R8" i="48"/>
  <c r="R17" i="48" s="1"/>
  <c r="Q8" i="48"/>
  <c r="Q47" i="49" s="1"/>
  <c r="P8" i="48"/>
  <c r="P17" i="48" s="1"/>
  <c r="O8" i="48"/>
  <c r="N8" i="48"/>
  <c r="N17" i="48" s="1"/>
  <c r="L8" i="48"/>
  <c r="K8" i="48"/>
  <c r="J8" i="48"/>
  <c r="I8" i="48"/>
  <c r="H8" i="48"/>
  <c r="H17" i="48" s="1"/>
  <c r="F8" i="48"/>
  <c r="F47" i="49" s="1"/>
  <c r="F48" i="49" s="1"/>
  <c r="E8" i="48"/>
  <c r="E47" i="49" s="1"/>
  <c r="E48" i="49" s="1"/>
  <c r="D8" i="48"/>
  <c r="AC7" i="48"/>
  <c r="AA7" i="48"/>
  <c r="Z7" i="48"/>
  <c r="Y7" i="48"/>
  <c r="X7" i="48"/>
  <c r="AB7" i="48" s="1"/>
  <c r="W7" i="48"/>
  <c r="R7" i="48"/>
  <c r="M7" i="48"/>
  <c r="G7" i="48"/>
  <c r="G135" i="48" s="1"/>
  <c r="W6" i="48"/>
  <c r="R6" i="48"/>
  <c r="M6" i="48"/>
  <c r="G6" i="48"/>
  <c r="G134" i="48" s="1"/>
  <c r="W5" i="48"/>
  <c r="W8" i="48" s="1"/>
  <c r="R5" i="48"/>
  <c r="M5" i="48"/>
  <c r="M8" i="48" s="1"/>
  <c r="G5" i="48"/>
  <c r="G133" i="48" s="1"/>
  <c r="AH163" i="73" l="1"/>
  <c r="AH163" i="70" s="1"/>
  <c r="Z170" i="70"/>
  <c r="Z172" i="73"/>
  <c r="Z28" i="73" s="1"/>
  <c r="AA170" i="73"/>
  <c r="AA170" i="70" s="1"/>
  <c r="AA168" i="70"/>
  <c r="AB129" i="65"/>
  <c r="AB129" i="70" s="1"/>
  <c r="AA129" i="70"/>
  <c r="AF69" i="73"/>
  <c r="AG69" i="73" s="1"/>
  <c r="AE129" i="73"/>
  <c r="AC173" i="73"/>
  <c r="AA173" i="70"/>
  <c r="AN126" i="73"/>
  <c r="AO126" i="73" s="1"/>
  <c r="AP126" i="73" s="1"/>
  <c r="AR126" i="73"/>
  <c r="AQ128" i="73"/>
  <c r="AN128" i="73"/>
  <c r="AO128" i="73" s="1"/>
  <c r="AP128" i="73" s="1"/>
  <c r="AR128" i="73"/>
  <c r="D143" i="73"/>
  <c r="D25" i="73"/>
  <c r="D27" i="73" s="1"/>
  <c r="N142" i="73"/>
  <c r="N29" i="73"/>
  <c r="N34" i="73" s="1"/>
  <c r="N147" i="73" s="1"/>
  <c r="AC178" i="73"/>
  <c r="AH68" i="73"/>
  <c r="O55" i="75"/>
  <c r="O148" i="73" s="1"/>
  <c r="AH175" i="73"/>
  <c r="AM61" i="73"/>
  <c r="U55" i="75"/>
  <c r="U148" i="73" s="1"/>
  <c r="U42" i="75"/>
  <c r="AF181" i="73"/>
  <c r="AK96" i="73"/>
  <c r="AI175" i="73"/>
  <c r="AN61" i="73"/>
  <c r="D46" i="75"/>
  <c r="D48" i="75" s="1"/>
  <c r="D11" i="74"/>
  <c r="D20" i="74" s="1"/>
  <c r="AE9" i="75"/>
  <c r="Q143" i="73"/>
  <c r="Q25" i="73"/>
  <c r="Q27" i="73" s="1"/>
  <c r="AT61" i="73"/>
  <c r="O143" i="73"/>
  <c r="O25" i="73"/>
  <c r="O27" i="73" s="1"/>
  <c r="L54" i="75"/>
  <c r="L22" i="75"/>
  <c r="AO108" i="73"/>
  <c r="AJ112" i="73"/>
  <c r="AL112" i="73" s="1"/>
  <c r="AJ110" i="73"/>
  <c r="AL108" i="73"/>
  <c r="AQ124" i="73"/>
  <c r="L24" i="75"/>
  <c r="L27" i="75" s="1"/>
  <c r="K27" i="75"/>
  <c r="M24" i="75"/>
  <c r="M27" i="75" s="1"/>
  <c r="AA47" i="75"/>
  <c r="AA29" i="75"/>
  <c r="AA63" i="74"/>
  <c r="AC28" i="74"/>
  <c r="AB28" i="74"/>
  <c r="AC22" i="73"/>
  <c r="X32" i="73"/>
  <c r="X33" i="73"/>
  <c r="F40" i="75"/>
  <c r="E6" i="74"/>
  <c r="X106" i="73"/>
  <c r="Y147" i="73"/>
  <c r="AI163" i="73"/>
  <c r="AI163" i="70" s="1"/>
  <c r="Q27" i="75"/>
  <c r="R24" i="75"/>
  <c r="Q142" i="73"/>
  <c r="Q29" i="73"/>
  <c r="Q34" i="73" s="1"/>
  <c r="Q147" i="73" s="1"/>
  <c r="AL124" i="73"/>
  <c r="D142" i="73"/>
  <c r="D29" i="73"/>
  <c r="D34" i="73" s="1"/>
  <c r="AH177" i="73"/>
  <c r="AM65" i="73"/>
  <c r="AR65" i="73" s="1"/>
  <c r="F18" i="77"/>
  <c r="AC143" i="73"/>
  <c r="AS96" i="73"/>
  <c r="AN181" i="73"/>
  <c r="H142" i="73"/>
  <c r="H29" i="73"/>
  <c r="H34" i="73" s="1"/>
  <c r="Y103" i="73"/>
  <c r="Y105" i="73" s="1"/>
  <c r="AH119" i="73"/>
  <c r="AF16" i="73"/>
  <c r="AF9" i="75" s="1"/>
  <c r="AF10" i="75" s="1"/>
  <c r="AG119" i="73"/>
  <c r="AD21" i="75"/>
  <c r="AE23" i="74"/>
  <c r="K32" i="73"/>
  <c r="K33" i="73"/>
  <c r="T143" i="73"/>
  <c r="T25" i="73"/>
  <c r="T27" i="73" s="1"/>
  <c r="AH176" i="73"/>
  <c r="AM63" i="73"/>
  <c r="T142" i="73"/>
  <c r="T29" i="73"/>
  <c r="T34" i="73" s="1"/>
  <c r="E142" i="73"/>
  <c r="E29" i="73"/>
  <c r="E34" i="73" s="1"/>
  <c r="J147" i="73" s="1"/>
  <c r="N143" i="73"/>
  <c r="N25" i="73"/>
  <c r="N27" i="73" s="1"/>
  <c r="Z183" i="73"/>
  <c r="AE101" i="73"/>
  <c r="AC180" i="73"/>
  <c r="AH94" i="73"/>
  <c r="AD10" i="74"/>
  <c r="AC17" i="75"/>
  <c r="AD182" i="73"/>
  <c r="AI98" i="73"/>
  <c r="AD27" i="74"/>
  <c r="AC19" i="75"/>
  <c r="AC16" i="74"/>
  <c r="AC8" i="75" s="1"/>
  <c r="H32" i="73"/>
  <c r="H33" i="73"/>
  <c r="H36" i="73" s="1"/>
  <c r="AK55" i="74"/>
  <c r="AQ15" i="74"/>
  <c r="AR15" i="74"/>
  <c r="AS15" i="74" s="1"/>
  <c r="AT15" i="74" s="1"/>
  <c r="AU15" i="74" s="1"/>
  <c r="AV15" i="74" s="1"/>
  <c r="AR18" i="74"/>
  <c r="AS18" i="74" s="1"/>
  <c r="AT18" i="74" s="1"/>
  <c r="AU18" i="74" s="1"/>
  <c r="AV18" i="74" s="1"/>
  <c r="AQ18" i="74"/>
  <c r="AN47" i="74"/>
  <c r="AI48" i="74"/>
  <c r="AQ33" i="74"/>
  <c r="AR33" i="74"/>
  <c r="AS33" i="74" s="1"/>
  <c r="AT33" i="74" s="1"/>
  <c r="AU33" i="74" s="1"/>
  <c r="AV33" i="74" s="1"/>
  <c r="AH35" i="73"/>
  <c r="AG35" i="73"/>
  <c r="AC182" i="73"/>
  <c r="AH98" i="73"/>
  <c r="AB29" i="75"/>
  <c r="F39" i="75"/>
  <c r="AT181" i="73"/>
  <c r="AP101" i="73"/>
  <c r="AK183" i="73"/>
  <c r="AB16" i="74"/>
  <c r="AA8" i="75"/>
  <c r="AB8" i="75" s="1"/>
  <c r="AP55" i="73"/>
  <c r="AK7" i="73"/>
  <c r="AK135" i="73" s="1"/>
  <c r="AL55" i="73"/>
  <c r="AF178" i="73"/>
  <c r="AK68" i="73"/>
  <c r="M29" i="75"/>
  <c r="M37" i="75" s="1"/>
  <c r="V147" i="73"/>
  <c r="V6" i="75"/>
  <c r="V27" i="73"/>
  <c r="P143" i="73"/>
  <c r="P25" i="73"/>
  <c r="P27" i="73" s="1"/>
  <c r="G141" i="73"/>
  <c r="G19" i="73"/>
  <c r="G23" i="73"/>
  <c r="Q90" i="73"/>
  <c r="W90" i="73" s="1"/>
  <c r="S74" i="73"/>
  <c r="R74" i="73"/>
  <c r="AE54" i="74"/>
  <c r="Q37" i="75"/>
  <c r="R29" i="75"/>
  <c r="R37" i="75" s="1"/>
  <c r="AN187" i="73"/>
  <c r="AS116" i="73"/>
  <c r="AN115" i="73"/>
  <c r="AG110" i="73"/>
  <c r="K39" i="75"/>
  <c r="AS110" i="73"/>
  <c r="AS112" i="73"/>
  <c r="AI177" i="73"/>
  <c r="AN65" i="73"/>
  <c r="AS65" i="73" s="1"/>
  <c r="AL31" i="74"/>
  <c r="AM31" i="74"/>
  <c r="AN31" i="74" s="1"/>
  <c r="AO31" i="74" s="1"/>
  <c r="AP31" i="74" s="1"/>
  <c r="M65" i="74"/>
  <c r="M64" i="74" s="1"/>
  <c r="M142" i="73"/>
  <c r="M29" i="73"/>
  <c r="P142" i="73"/>
  <c r="P29" i="73"/>
  <c r="P34" i="73" s="1"/>
  <c r="P147" i="73" s="1"/>
  <c r="S143" i="73"/>
  <c r="S25" i="73"/>
  <c r="S27" i="73" s="1"/>
  <c r="AE178" i="73"/>
  <c r="AJ68" i="73"/>
  <c r="AC20" i="75"/>
  <c r="AD25" i="74"/>
  <c r="AU88" i="73"/>
  <c r="AD180" i="73"/>
  <c r="AI94" i="73"/>
  <c r="AQ32" i="74"/>
  <c r="AR32" i="74"/>
  <c r="AS32" i="74" s="1"/>
  <c r="AT32" i="74" s="1"/>
  <c r="AU32" i="74" s="1"/>
  <c r="AV32" i="74" s="1"/>
  <c r="AF182" i="73"/>
  <c r="AK98" i="73"/>
  <c r="M25" i="73"/>
  <c r="M27" i="73" s="1"/>
  <c r="M143" i="73"/>
  <c r="S142" i="73"/>
  <c r="S29" i="73"/>
  <c r="S34" i="73" s="1"/>
  <c r="F143" i="73"/>
  <c r="F25" i="73"/>
  <c r="F27" i="73" s="1"/>
  <c r="Z118" i="73"/>
  <c r="W34" i="75"/>
  <c r="W57" i="75" s="1"/>
  <c r="AD13" i="74"/>
  <c r="AU108" i="73"/>
  <c r="AP112" i="73"/>
  <c r="AP110" i="73"/>
  <c r="M12" i="75"/>
  <c r="M53" i="75" s="1"/>
  <c r="V37" i="75"/>
  <c r="AD125" i="73"/>
  <c r="AS56" i="75"/>
  <c r="AT56" i="75" s="1"/>
  <c r="AU56" i="75" s="1"/>
  <c r="AC183" i="73"/>
  <c r="AH101" i="73"/>
  <c r="F142" i="73"/>
  <c r="F29" i="73"/>
  <c r="F34" i="73" s="1"/>
  <c r="K147" i="73" s="1"/>
  <c r="Z182" i="73"/>
  <c r="AE98" i="73"/>
  <c r="Q56" i="75"/>
  <c r="R25" i="75"/>
  <c r="R56" i="75" s="1"/>
  <c r="X137" i="73"/>
  <c r="AB111" i="73"/>
  <c r="Y32" i="73"/>
  <c r="Y33" i="73"/>
  <c r="AR185" i="73"/>
  <c r="AR110" i="73"/>
  <c r="H27" i="75"/>
  <c r="H39" i="75" s="1"/>
  <c r="H41" i="75" s="1"/>
  <c r="AL128" i="73"/>
  <c r="AS7" i="73"/>
  <c r="AS135" i="73" s="1"/>
  <c r="AF180" i="73"/>
  <c r="AK94" i="73"/>
  <c r="R53" i="75"/>
  <c r="R22" i="75"/>
  <c r="Z180" i="73"/>
  <c r="AE94" i="73"/>
  <c r="AQ39" i="74"/>
  <c r="AR39" i="74"/>
  <c r="AS39" i="74" s="1"/>
  <c r="AT39" i="74" s="1"/>
  <c r="AU39" i="74" s="1"/>
  <c r="AV39" i="74" s="1"/>
  <c r="G42" i="75"/>
  <c r="AM40" i="74"/>
  <c r="AN40" i="74" s="1"/>
  <c r="AO40" i="74" s="1"/>
  <c r="AP40" i="74" s="1"/>
  <c r="AL40" i="74"/>
  <c r="AE47" i="74"/>
  <c r="Z48" i="74"/>
  <c r="W25" i="73"/>
  <c r="W27" i="73" s="1"/>
  <c r="W143" i="73"/>
  <c r="Y52" i="73"/>
  <c r="Y53" i="73" s="1"/>
  <c r="AD53" i="73" s="1"/>
  <c r="AI53" i="73" s="1"/>
  <c r="AN53" i="73" s="1"/>
  <c r="AS53" i="73" s="1"/>
  <c r="Z50" i="73"/>
  <c r="AE177" i="73"/>
  <c r="AJ65" i="73"/>
  <c r="AT123" i="73"/>
  <c r="AV123" i="73" s="1"/>
  <c r="AF175" i="73"/>
  <c r="AK61" i="73"/>
  <c r="Y83" i="73"/>
  <c r="X85" i="73"/>
  <c r="X86" i="73" s="1"/>
  <c r="AC86" i="73" s="1"/>
  <c r="AH86" i="73" s="1"/>
  <c r="AM86" i="73" s="1"/>
  <c r="AR86" i="73" s="1"/>
  <c r="F42" i="75"/>
  <c r="U142" i="73"/>
  <c r="U29" i="73"/>
  <c r="U34" i="73" s="1"/>
  <c r="R25" i="73"/>
  <c r="R27" i="73" s="1"/>
  <c r="R143" i="73"/>
  <c r="AS26" i="73"/>
  <c r="AT26" i="73" s="1"/>
  <c r="AU26" i="73" s="1"/>
  <c r="AG7" i="73"/>
  <c r="AH181" i="73"/>
  <c r="AM96" i="73"/>
  <c r="AI183" i="73"/>
  <c r="AN101" i="73"/>
  <c r="W65" i="74"/>
  <c r="W64" i="74" s="1"/>
  <c r="W142" i="73"/>
  <c r="W29" i="73"/>
  <c r="Q53" i="75"/>
  <c r="Q22" i="75"/>
  <c r="AF115" i="73"/>
  <c r="AK116" i="73"/>
  <c r="AF187" i="73"/>
  <c r="AR19" i="74"/>
  <c r="AS19" i="74" s="1"/>
  <c r="AT19" i="74" s="1"/>
  <c r="AU19" i="74" s="1"/>
  <c r="AV19" i="74" s="1"/>
  <c r="AQ19" i="74"/>
  <c r="AJ176" i="73"/>
  <c r="AO63" i="73"/>
  <c r="AC58" i="75"/>
  <c r="AD58" i="75" s="1"/>
  <c r="AE58" i="75" s="1"/>
  <c r="AF58" i="75" s="1"/>
  <c r="AB58" i="75"/>
  <c r="AI178" i="73"/>
  <c r="AN68" i="73"/>
  <c r="U143" i="73"/>
  <c r="U25" i="73"/>
  <c r="U27" i="73" s="1"/>
  <c r="R65" i="74"/>
  <c r="R64" i="74" s="1"/>
  <c r="R142" i="73"/>
  <c r="R29" i="73"/>
  <c r="AR112" i="73"/>
  <c r="AQ26" i="73"/>
  <c r="AO88" i="73"/>
  <c r="AJ7" i="73"/>
  <c r="AL7" i="73" s="1"/>
  <c r="AL88" i="73"/>
  <c r="AJ135" i="73"/>
  <c r="AU123" i="73"/>
  <c r="U27" i="75"/>
  <c r="U39" i="75" s="1"/>
  <c r="V24" i="75"/>
  <c r="V27" i="75" s="1"/>
  <c r="W24" i="75"/>
  <c r="W27" i="75" s="1"/>
  <c r="AK177" i="73"/>
  <c r="AP65" i="73"/>
  <c r="AU65" i="73" s="1"/>
  <c r="AK47" i="74"/>
  <c r="AF48" i="74"/>
  <c r="AD165" i="73"/>
  <c r="AC168" i="73"/>
  <c r="M30" i="73"/>
  <c r="M31" i="73"/>
  <c r="I32" i="73"/>
  <c r="I33" i="73"/>
  <c r="J32" i="73"/>
  <c r="J33" i="73"/>
  <c r="P55" i="75"/>
  <c r="P148" i="73" s="1"/>
  <c r="P42" i="75"/>
  <c r="AK49" i="74"/>
  <c r="AF50" i="74"/>
  <c r="AR135" i="73"/>
  <c r="AR7" i="73"/>
  <c r="X147" i="73"/>
  <c r="AE187" i="73"/>
  <c r="AE115" i="73"/>
  <c r="AG115" i="73" s="1"/>
  <c r="AG116" i="73" s="1"/>
  <c r="AJ116" i="73"/>
  <c r="AK176" i="73"/>
  <c r="AP63" i="73"/>
  <c r="AJ56" i="74"/>
  <c r="E143" i="73"/>
  <c r="E25" i="73"/>
  <c r="E27" i="73" s="1"/>
  <c r="AA117" i="73"/>
  <c r="Y118" i="73"/>
  <c r="Y120" i="73" s="1"/>
  <c r="Y121" i="73" s="1"/>
  <c r="T41" i="73"/>
  <c r="T43" i="73" s="1"/>
  <c r="T44" i="73" s="1"/>
  <c r="S57" i="73"/>
  <c r="W37" i="75"/>
  <c r="I147" i="73"/>
  <c r="T55" i="75"/>
  <c r="T148" i="73" s="1"/>
  <c r="AI176" i="73"/>
  <c r="AN63" i="73"/>
  <c r="AM187" i="73"/>
  <c r="AR116" i="73"/>
  <c r="AM115" i="73"/>
  <c r="AQ34" i="74"/>
  <c r="AR34" i="74"/>
  <c r="AS34" i="74" s="1"/>
  <c r="AT34" i="74" s="1"/>
  <c r="AU34" i="74" s="1"/>
  <c r="AV34" i="74" s="1"/>
  <c r="AK56" i="74"/>
  <c r="AH47" i="74"/>
  <c r="AC48" i="74"/>
  <c r="V54" i="75"/>
  <c r="W10" i="75"/>
  <c r="O142" i="73"/>
  <c r="O29" i="73"/>
  <c r="O34" i="73" s="1"/>
  <c r="O147" i="73" s="1"/>
  <c r="M10" i="75"/>
  <c r="AJ53" i="65"/>
  <c r="AB113" i="65"/>
  <c r="AC55" i="66"/>
  <c r="AI52" i="66"/>
  <c r="AC54" i="66"/>
  <c r="Z118" i="65"/>
  <c r="Z120" i="65" s="1"/>
  <c r="AF135" i="65"/>
  <c r="AK7" i="65"/>
  <c r="AE135" i="65"/>
  <c r="AN51" i="66"/>
  <c r="AA16" i="66"/>
  <c r="AE39" i="66"/>
  <c r="AE40" i="66"/>
  <c r="AE32" i="66"/>
  <c r="AE31" i="66"/>
  <c r="AE34" i="66"/>
  <c r="AE33" i="66"/>
  <c r="AB19" i="67"/>
  <c r="AE26" i="66"/>
  <c r="Z8" i="67"/>
  <c r="AE24" i="66"/>
  <c r="AE15" i="66"/>
  <c r="AE19" i="66"/>
  <c r="AE18" i="66"/>
  <c r="Z170" i="65"/>
  <c r="AA102" i="65"/>
  <c r="AB102" i="65" s="1"/>
  <c r="AA117" i="65"/>
  <c r="AB22" i="65"/>
  <c r="AI145" i="65"/>
  <c r="AC128" i="65"/>
  <c r="AC126" i="65"/>
  <c r="AC129" i="65"/>
  <c r="AC129" i="70" s="1"/>
  <c r="AB119" i="65"/>
  <c r="Z136" i="65"/>
  <c r="AG112" i="65"/>
  <c r="AG113" i="65" s="1"/>
  <c r="AQ108" i="65"/>
  <c r="AD135" i="65"/>
  <c r="AB69" i="65"/>
  <c r="AB69" i="70" s="1"/>
  <c r="AA57" i="67"/>
  <c r="Z58" i="67"/>
  <c r="AC26" i="65"/>
  <c r="P55" i="67"/>
  <c r="P148" i="65" s="1"/>
  <c r="M25" i="65"/>
  <c r="M27" i="65" s="1"/>
  <c r="M143" i="65"/>
  <c r="AK181" i="65"/>
  <c r="AP96" i="65"/>
  <c r="G54" i="67"/>
  <c r="H10" i="67"/>
  <c r="H54" i="67" s="1"/>
  <c r="AD176" i="65"/>
  <c r="AI63" i="65"/>
  <c r="Z9" i="67"/>
  <c r="AE47" i="66"/>
  <c r="Z48" i="66"/>
  <c r="Q90" i="65"/>
  <c r="W90" i="65" s="1"/>
  <c r="S74" i="65"/>
  <c r="S76" i="65" s="1"/>
  <c r="S77" i="65" s="1"/>
  <c r="R74" i="65"/>
  <c r="AU88" i="65"/>
  <c r="AC183" i="65"/>
  <c r="AH101" i="65"/>
  <c r="AH47" i="66"/>
  <c r="AC48" i="66"/>
  <c r="Z14" i="65"/>
  <c r="AR113" i="65"/>
  <c r="AM186" i="65"/>
  <c r="AM112" i="65"/>
  <c r="AC119" i="65"/>
  <c r="AA16" i="65"/>
  <c r="AB16" i="65" s="1"/>
  <c r="Q143" i="65"/>
  <c r="Q25" i="65"/>
  <c r="Q27" i="65" s="1"/>
  <c r="AU108" i="65"/>
  <c r="AA175" i="65"/>
  <c r="AF61" i="65"/>
  <c r="AJ186" i="65"/>
  <c r="AJ112" i="65"/>
  <c r="AO113" i="65"/>
  <c r="Z182" i="65"/>
  <c r="AE98" i="65"/>
  <c r="AC69" i="65"/>
  <c r="AC69" i="70" s="1"/>
  <c r="Q142" i="65"/>
  <c r="Q29" i="65"/>
  <c r="Q34" i="65" s="1"/>
  <c r="Q147" i="65" s="1"/>
  <c r="V6" i="67"/>
  <c r="V27" i="65"/>
  <c r="V24" i="67"/>
  <c r="V27" i="67" s="1"/>
  <c r="U27" i="67"/>
  <c r="AF180" i="65"/>
  <c r="AK94" i="65"/>
  <c r="AF177" i="65"/>
  <c r="AK65" i="65"/>
  <c r="O32" i="65"/>
  <c r="O33" i="65"/>
  <c r="O146" i="65" s="1"/>
  <c r="J33" i="65"/>
  <c r="J32" i="65"/>
  <c r="V37" i="67"/>
  <c r="AA182" i="65"/>
  <c r="AF98" i="65"/>
  <c r="M65" i="66"/>
  <c r="M64" i="66" s="1"/>
  <c r="M142" i="65"/>
  <c r="M29" i="65"/>
  <c r="K27" i="67"/>
  <c r="L24" i="67"/>
  <c r="L27" i="67" s="1"/>
  <c r="Z175" i="65"/>
  <c r="AH175" i="65"/>
  <c r="AM61" i="65"/>
  <c r="AD125" i="65"/>
  <c r="Q57" i="67"/>
  <c r="R34" i="67"/>
  <c r="R57" i="67" s="1"/>
  <c r="AC182" i="65"/>
  <c r="AH98" i="65"/>
  <c r="AJ181" i="65"/>
  <c r="AO96" i="65"/>
  <c r="AA21" i="67"/>
  <c r="AB23" i="66"/>
  <c r="AC23" i="66"/>
  <c r="W64" i="66"/>
  <c r="AI181" i="65"/>
  <c r="AN96" i="65"/>
  <c r="AQ109" i="65"/>
  <c r="AC19" i="67"/>
  <c r="AD27" i="66"/>
  <c r="U39" i="67"/>
  <c r="U55" i="67"/>
  <c r="U148" i="65" s="1"/>
  <c r="AN88" i="65"/>
  <c r="AL88" i="65"/>
  <c r="W25" i="65"/>
  <c r="W27" i="65" s="1"/>
  <c r="W143" i="65"/>
  <c r="V52" i="65"/>
  <c r="V53" i="65" s="1"/>
  <c r="AF53" i="65" s="1"/>
  <c r="X50" i="65"/>
  <c r="W50" i="65"/>
  <c r="AI186" i="65"/>
  <c r="AN113" i="65"/>
  <c r="AI112" i="65"/>
  <c r="L56" i="66"/>
  <c r="L22" i="67"/>
  <c r="H32" i="65"/>
  <c r="H33" i="65"/>
  <c r="H36" i="65" s="1"/>
  <c r="AO123" i="65"/>
  <c r="AS108" i="65"/>
  <c r="AC180" i="65"/>
  <c r="AH94" i="65"/>
  <c r="W65" i="66"/>
  <c r="W142" i="65"/>
  <c r="W29" i="65"/>
  <c r="K55" i="67"/>
  <c r="K148" i="65" s="1"/>
  <c r="AU55" i="65"/>
  <c r="AS123" i="65"/>
  <c r="W34" i="67"/>
  <c r="G141" i="65"/>
  <c r="G19" i="65"/>
  <c r="G23" i="65"/>
  <c r="AA17" i="67"/>
  <c r="AC10" i="66"/>
  <c r="AB10" i="66"/>
  <c r="AM135" i="65"/>
  <c r="AF176" i="65"/>
  <c r="AK63" i="65"/>
  <c r="AE176" i="65"/>
  <c r="AJ63" i="65"/>
  <c r="AI163" i="65"/>
  <c r="X32" i="65"/>
  <c r="X33" i="65"/>
  <c r="AB33" i="67"/>
  <c r="AA178" i="65"/>
  <c r="AF68" i="65"/>
  <c r="AN52" i="66"/>
  <c r="AG115" i="65"/>
  <c r="AJ7" i="65"/>
  <c r="W10" i="67"/>
  <c r="AA47" i="67"/>
  <c r="AA29" i="67"/>
  <c r="AA63" i="66"/>
  <c r="AC28" i="66"/>
  <c r="AB28" i="66"/>
  <c r="AC22" i="65"/>
  <c r="H22" i="67"/>
  <c r="H56" i="66"/>
  <c r="L54" i="67"/>
  <c r="M10" i="67"/>
  <c r="M54" i="67" s="1"/>
  <c r="F18" i="69"/>
  <c r="P42" i="67" s="1"/>
  <c r="D46" i="67"/>
  <c r="D48" i="67" s="1"/>
  <c r="D11" i="66"/>
  <c r="D20" i="66" s="1"/>
  <c r="T147" i="65"/>
  <c r="Z183" i="65"/>
  <c r="AE101" i="65"/>
  <c r="Q54" i="67"/>
  <c r="R10" i="67"/>
  <c r="R54" i="67" s="1"/>
  <c r="AH187" i="65"/>
  <c r="AH115" i="65"/>
  <c r="AM116" i="65"/>
  <c r="AA183" i="65"/>
  <c r="AF101" i="65"/>
  <c r="AR63" i="65"/>
  <c r="M12" i="67"/>
  <c r="M53" i="67" s="1"/>
  <c r="AH177" i="65"/>
  <c r="AM65" i="65"/>
  <c r="AR65" i="65" s="1"/>
  <c r="E41" i="67"/>
  <c r="AL123" i="65"/>
  <c r="K33" i="65"/>
  <c r="K32" i="65"/>
  <c r="P143" i="65"/>
  <c r="P25" i="65"/>
  <c r="P27" i="65" s="1"/>
  <c r="AH181" i="65"/>
  <c r="AM96" i="65"/>
  <c r="T32" i="65"/>
  <c r="T33" i="65"/>
  <c r="W24" i="67"/>
  <c r="W27" i="67" s="1"/>
  <c r="AT55" i="65"/>
  <c r="H18" i="65"/>
  <c r="H19" i="65" s="1"/>
  <c r="D19" i="65"/>
  <c r="G22" i="67"/>
  <c r="G42" i="67" s="1"/>
  <c r="G56" i="66"/>
  <c r="AN56" i="67"/>
  <c r="AB110" i="65"/>
  <c r="M37" i="67"/>
  <c r="L39" i="67"/>
  <c r="AR123" i="65"/>
  <c r="AQ123" i="65"/>
  <c r="AI187" i="65"/>
  <c r="AI115" i="65"/>
  <c r="AN116" i="65"/>
  <c r="P142" i="65"/>
  <c r="P29" i="65"/>
  <c r="P34" i="65" s="1"/>
  <c r="P147" i="65" s="1"/>
  <c r="E143" i="65"/>
  <c r="E25" i="65"/>
  <c r="E27" i="65" s="1"/>
  <c r="Q37" i="67"/>
  <c r="R29" i="67"/>
  <c r="R37" i="67" s="1"/>
  <c r="W12" i="67"/>
  <c r="U85" i="65"/>
  <c r="U86" i="65" s="1"/>
  <c r="Z86" i="65" s="1"/>
  <c r="AE86" i="65" s="1"/>
  <c r="AJ86" i="65" s="1"/>
  <c r="AO86" i="65" s="1"/>
  <c r="AT86" i="65" s="1"/>
  <c r="V83" i="65"/>
  <c r="R34" i="65"/>
  <c r="F42" i="67"/>
  <c r="AD35" i="65"/>
  <c r="AD110" i="65"/>
  <c r="AI111" i="65"/>
  <c r="AD185" i="65"/>
  <c r="AR51" i="66"/>
  <c r="AR52" i="66" s="1"/>
  <c r="AM52" i="66"/>
  <c r="AK186" i="65"/>
  <c r="AK112" i="65"/>
  <c r="AP113" i="65"/>
  <c r="K39" i="67"/>
  <c r="E142" i="65"/>
  <c r="E29" i="65"/>
  <c r="E34" i="65" s="1"/>
  <c r="AF47" i="66"/>
  <c r="AA48" i="66"/>
  <c r="Z178" i="65"/>
  <c r="AE68" i="65"/>
  <c r="P39" i="67"/>
  <c r="M7" i="67"/>
  <c r="AG7" i="65"/>
  <c r="G24" i="67"/>
  <c r="G27" i="67" s="1"/>
  <c r="G39" i="67" s="1"/>
  <c r="F27" i="67"/>
  <c r="F39" i="67" s="1"/>
  <c r="Z180" i="65"/>
  <c r="AE94" i="65"/>
  <c r="AP187" i="65"/>
  <c r="AU116" i="65"/>
  <c r="AP115" i="65"/>
  <c r="AP123" i="65"/>
  <c r="Z177" i="65"/>
  <c r="AE65" i="65"/>
  <c r="Q57" i="65"/>
  <c r="W57" i="65" s="1"/>
  <c r="S41" i="65"/>
  <c r="AA20" i="67"/>
  <c r="AC25" i="66"/>
  <c r="AB25" i="66"/>
  <c r="W25" i="66"/>
  <c r="W30" i="66" s="1"/>
  <c r="W35" i="66" s="1"/>
  <c r="W42" i="66" s="1"/>
  <c r="V30" i="66"/>
  <c r="V35" i="66" s="1"/>
  <c r="V42" i="66" s="1"/>
  <c r="S32" i="65"/>
  <c r="S33" i="65"/>
  <c r="W30" i="65"/>
  <c r="W31" i="65"/>
  <c r="AF57" i="67"/>
  <c r="AG33" i="67"/>
  <c r="AN55" i="65"/>
  <c r="AI7" i="65"/>
  <c r="AL55" i="65"/>
  <c r="D32" i="65"/>
  <c r="D33" i="65"/>
  <c r="L56" i="67"/>
  <c r="M25" i="67"/>
  <c r="M56" i="67" s="1"/>
  <c r="F143" i="65"/>
  <c r="F25" i="65"/>
  <c r="F27" i="65" s="1"/>
  <c r="AC178" i="65"/>
  <c r="AH68" i="65"/>
  <c r="AA168" i="65"/>
  <c r="AC165" i="65"/>
  <c r="AT88" i="65"/>
  <c r="Q43" i="65"/>
  <c r="Q44" i="65" s="1"/>
  <c r="R12" i="67"/>
  <c r="R53" i="67" s="1"/>
  <c r="AH185" i="65"/>
  <c r="AM111" i="65"/>
  <c r="AH110" i="65"/>
  <c r="Q22" i="67"/>
  <c r="Q56" i="66"/>
  <c r="R7" i="67"/>
  <c r="R22" i="67" s="1"/>
  <c r="X147" i="65"/>
  <c r="R30" i="65"/>
  <c r="R32" i="65" s="1"/>
  <c r="N32" i="65"/>
  <c r="N33" i="65"/>
  <c r="N146" i="65" s="1"/>
  <c r="R31" i="65"/>
  <c r="R33" i="65" s="1"/>
  <c r="AE185" i="65"/>
  <c r="AJ111" i="65"/>
  <c r="AE110" i="65"/>
  <c r="I32" i="65"/>
  <c r="M31" i="65"/>
  <c r="I33" i="65"/>
  <c r="I146" i="65" s="1"/>
  <c r="M30" i="65"/>
  <c r="AL109" i="65"/>
  <c r="AJ187" i="65"/>
  <c r="AO116" i="65"/>
  <c r="AJ115" i="65"/>
  <c r="U32" i="65"/>
  <c r="U33" i="65"/>
  <c r="V147" i="65"/>
  <c r="F142" i="65"/>
  <c r="F29" i="65"/>
  <c r="F34" i="65" s="1"/>
  <c r="K147" i="65" s="1"/>
  <c r="AF185" i="65"/>
  <c r="AK111" i="65"/>
  <c r="AF110" i="65"/>
  <c r="J147" i="65"/>
  <c r="AC13" i="66"/>
  <c r="AB13" i="66"/>
  <c r="M24" i="67"/>
  <c r="M27" i="67" s="1"/>
  <c r="H30" i="62"/>
  <c r="AI50" i="57"/>
  <c r="AI50" i="62" s="1"/>
  <c r="AN50" i="57"/>
  <c r="AN50" i="62" s="1"/>
  <c r="AD50" i="57"/>
  <c r="AD50" i="62" s="1"/>
  <c r="M35" i="62"/>
  <c r="M42" i="57"/>
  <c r="M42" i="62" s="1"/>
  <c r="AD49" i="62"/>
  <c r="Y49" i="62"/>
  <c r="Y50" i="57"/>
  <c r="Y50" i="62" s="1"/>
  <c r="AN49" i="62"/>
  <c r="AI49" i="62"/>
  <c r="Y31" i="62"/>
  <c r="M30" i="62"/>
  <c r="L48" i="57"/>
  <c r="L48" i="62" s="1"/>
  <c r="D20" i="57"/>
  <c r="D11" i="62"/>
  <c r="D48" i="58"/>
  <c r="D48" i="63" s="1"/>
  <c r="D46" i="63"/>
  <c r="G50" i="57"/>
  <c r="G50" i="62" s="1"/>
  <c r="G49" i="62"/>
  <c r="Q48" i="57"/>
  <c r="Q48" i="62" s="1"/>
  <c r="Q47" i="62"/>
  <c r="P48" i="57"/>
  <c r="P48" i="62" s="1"/>
  <c r="P47" i="62"/>
  <c r="I48" i="57"/>
  <c r="I48" i="62" s="1"/>
  <c r="I47" i="62"/>
  <c r="K48" i="57"/>
  <c r="K48" i="62" s="1"/>
  <c r="K47" i="62"/>
  <c r="D48" i="57"/>
  <c r="D48" i="62" s="1"/>
  <c r="O48" i="57"/>
  <c r="O48" i="62" s="1"/>
  <c r="AE49" i="57"/>
  <c r="Z49" i="62"/>
  <c r="AH52" i="57"/>
  <c r="AH52" i="62" s="1"/>
  <c r="V35" i="57"/>
  <c r="V42" i="57" s="1"/>
  <c r="V42" i="62" s="1"/>
  <c r="V30" i="62"/>
  <c r="G52" i="57"/>
  <c r="G52" i="62" s="1"/>
  <c r="G51" i="62"/>
  <c r="AM52" i="57"/>
  <c r="AM52" i="62" s="1"/>
  <c r="R35" i="57"/>
  <c r="R30" i="62"/>
  <c r="AH51" i="62"/>
  <c r="AR51" i="57"/>
  <c r="AR51" i="62" s="1"/>
  <c r="T30" i="62"/>
  <c r="T35" i="57"/>
  <c r="AC52" i="57"/>
  <c r="AC52" i="62" s="1"/>
  <c r="AE51" i="57"/>
  <c r="AE52" i="57" s="1"/>
  <c r="AE52" i="62" s="1"/>
  <c r="Z51" i="62"/>
  <c r="AC51" i="62"/>
  <c r="O42" i="57"/>
  <c r="O42" i="62" s="1"/>
  <c r="W25" i="57"/>
  <c r="V25" i="62"/>
  <c r="AI51" i="57"/>
  <c r="AD51" i="62"/>
  <c r="N35" i="57"/>
  <c r="N35" i="62" s="1"/>
  <c r="N30" i="62"/>
  <c r="U35" i="57"/>
  <c r="U30" i="62"/>
  <c r="L35" i="57"/>
  <c r="L42" i="57" s="1"/>
  <c r="L42" i="62" s="1"/>
  <c r="L30" i="62"/>
  <c r="U42" i="57"/>
  <c r="U42" i="62" s="1"/>
  <c r="U35" i="62"/>
  <c r="I35" i="57"/>
  <c r="I30" i="62"/>
  <c r="J35" i="57"/>
  <c r="J30" i="62"/>
  <c r="Y29" i="58"/>
  <c r="Y29" i="63" s="1"/>
  <c r="AB31" i="57"/>
  <c r="AB31" i="62" s="1"/>
  <c r="AC31" i="57"/>
  <c r="AD31" i="57" s="1"/>
  <c r="Y47" i="58"/>
  <c r="Y47" i="63" s="1"/>
  <c r="Z31" i="62"/>
  <c r="Z22" i="56"/>
  <c r="Z22" i="61" s="1"/>
  <c r="AL34" i="58"/>
  <c r="AL34" i="63" s="1"/>
  <c r="AU128" i="56"/>
  <c r="AU128" i="61" s="1"/>
  <c r="AT128" i="61"/>
  <c r="AP128" i="56"/>
  <c r="AP128" i="61" s="1"/>
  <c r="AO128" i="61"/>
  <c r="AK128" i="56"/>
  <c r="AK128" i="61" s="1"/>
  <c r="AJ128" i="61"/>
  <c r="AU126" i="56"/>
  <c r="AU126" i="61" s="1"/>
  <c r="AT126" i="61"/>
  <c r="AU125" i="56"/>
  <c r="AU125" i="61" s="1"/>
  <c r="AT125" i="61"/>
  <c r="AP126" i="56"/>
  <c r="AP126" i="61" s="1"/>
  <c r="AO126" i="61"/>
  <c r="AP125" i="56"/>
  <c r="AO125" i="61"/>
  <c r="AK126" i="56"/>
  <c r="AK126" i="61" s="1"/>
  <c r="AJ126" i="61"/>
  <c r="AK125" i="56"/>
  <c r="AK125" i="61" s="1"/>
  <c r="AJ125" i="61"/>
  <c r="AL125" i="56"/>
  <c r="AL125" i="61" s="1"/>
  <c r="AF128" i="56"/>
  <c r="AF128" i="61" s="1"/>
  <c r="AE128" i="61"/>
  <c r="AG126" i="56"/>
  <c r="AG126" i="61" s="1"/>
  <c r="AF126" i="56"/>
  <c r="AF126" i="61" s="1"/>
  <c r="AE126" i="61"/>
  <c r="AG125" i="56"/>
  <c r="AG125" i="61" s="1"/>
  <c r="AB58" i="61"/>
  <c r="AB57" i="56"/>
  <c r="Z173" i="61"/>
  <c r="Y173" i="61"/>
  <c r="AD173" i="56"/>
  <c r="AE173" i="56" s="1"/>
  <c r="AA173" i="61"/>
  <c r="AI39" i="57"/>
  <c r="AH39" i="62"/>
  <c r="AD40" i="57"/>
  <c r="AC40" i="62"/>
  <c r="AA33" i="57"/>
  <c r="Z33" i="62"/>
  <c r="AD32" i="57"/>
  <c r="AC32" i="62"/>
  <c r="AD34" i="57"/>
  <c r="AC34" i="62"/>
  <c r="AD24" i="57"/>
  <c r="AC24" i="62"/>
  <c r="AD26" i="57"/>
  <c r="AC26" i="62"/>
  <c r="AD18" i="57"/>
  <c r="AC18" i="62"/>
  <c r="AC19" i="57"/>
  <c r="AA19" i="62"/>
  <c r="AB19" i="57"/>
  <c r="AB19" i="62" s="1"/>
  <c r="AC15" i="57"/>
  <c r="AA15" i="62"/>
  <c r="AA10" i="57"/>
  <c r="AA10" i="62" s="1"/>
  <c r="Z17" i="58"/>
  <c r="Z17" i="63" s="1"/>
  <c r="AD173" i="61"/>
  <c r="Y170" i="56"/>
  <c r="Y168" i="61"/>
  <c r="AC167" i="56"/>
  <c r="AC167" i="61" s="1"/>
  <c r="AA167" i="61"/>
  <c r="AC165" i="56"/>
  <c r="AA168" i="56"/>
  <c r="AA165" i="61"/>
  <c r="X28" i="56"/>
  <c r="X172" i="61"/>
  <c r="Z172" i="56"/>
  <c r="Z18" i="56"/>
  <c r="Z18" i="61" s="1"/>
  <c r="Z170" i="61"/>
  <c r="AC117" i="56"/>
  <c r="AC117" i="61" s="1"/>
  <c r="AA117" i="61"/>
  <c r="AD145" i="56"/>
  <c r="AC145" i="61"/>
  <c r="AA129" i="56"/>
  <c r="AB129" i="56" s="1"/>
  <c r="AB129" i="61" s="1"/>
  <c r="Z129" i="61"/>
  <c r="X58" i="58"/>
  <c r="X58" i="63" s="1"/>
  <c r="X57" i="63"/>
  <c r="AD31" i="56"/>
  <c r="AD31" i="61" s="1"/>
  <c r="AC31" i="61"/>
  <c r="AC57" i="58"/>
  <c r="AC57" i="63" s="1"/>
  <c r="AA30" i="56"/>
  <c r="Z30" i="61"/>
  <c r="W105" i="56"/>
  <c r="W106" i="56" s="1"/>
  <c r="S106" i="56"/>
  <c r="P141" i="56"/>
  <c r="P23" i="56"/>
  <c r="P19" i="56"/>
  <c r="U56" i="58"/>
  <c r="V25" i="58"/>
  <c r="W36" i="58"/>
  <c r="M32" i="58"/>
  <c r="X50" i="57"/>
  <c r="X50" i="62" s="1"/>
  <c r="K22" i="58"/>
  <c r="K56" i="57"/>
  <c r="K56" i="62" s="1"/>
  <c r="L7" i="58"/>
  <c r="H30" i="58"/>
  <c r="AD183" i="56"/>
  <c r="AI101" i="56"/>
  <c r="AI101" i="61" s="1"/>
  <c r="N137" i="56"/>
  <c r="N72" i="56"/>
  <c r="Z178" i="56"/>
  <c r="AE68" i="56"/>
  <c r="W61" i="56"/>
  <c r="AK108" i="56"/>
  <c r="AL108" i="56" s="1"/>
  <c r="AL108" i="61" s="1"/>
  <c r="S48" i="57"/>
  <c r="S48" i="62" s="1"/>
  <c r="Z119" i="56"/>
  <c r="Z119" i="61" s="1"/>
  <c r="Y16" i="56"/>
  <c r="Y16" i="61" s="1"/>
  <c r="H142" i="56"/>
  <c r="H29" i="56"/>
  <c r="H34" i="56" s="1"/>
  <c r="Y47" i="57"/>
  <c r="Y47" i="62" s="1"/>
  <c r="T48" i="57"/>
  <c r="T48" i="62" s="1"/>
  <c r="AB109" i="56"/>
  <c r="AB109" i="61" s="1"/>
  <c r="P57" i="58"/>
  <c r="Q37" i="58"/>
  <c r="P56" i="58"/>
  <c r="Q25" i="58"/>
  <c r="AA52" i="57"/>
  <c r="AA52" i="62" s="1"/>
  <c r="AF51" i="57"/>
  <c r="AF51" i="62" s="1"/>
  <c r="T182" i="56"/>
  <c r="S137" i="56"/>
  <c r="Q182" i="56"/>
  <c r="AE177" i="56"/>
  <c r="AJ65" i="56"/>
  <c r="H143" i="56"/>
  <c r="H25" i="56"/>
  <c r="H27" i="56" s="1"/>
  <c r="Z180" i="56"/>
  <c r="AE94" i="56"/>
  <c r="AE94" i="61" s="1"/>
  <c r="P37" i="58"/>
  <c r="R12" i="58"/>
  <c r="R53" i="58" s="1"/>
  <c r="AP56" i="58"/>
  <c r="AR56" i="58" s="1"/>
  <c r="R8" i="58"/>
  <c r="H26" i="58"/>
  <c r="M57" i="58"/>
  <c r="AD33" i="58"/>
  <c r="Y33" i="58"/>
  <c r="Z35" i="56"/>
  <c r="Z35" i="61" s="1"/>
  <c r="W98" i="56"/>
  <c r="K137" i="56"/>
  <c r="K72" i="56"/>
  <c r="R101" i="56"/>
  <c r="N143" i="56"/>
  <c r="N25" i="56"/>
  <c r="N27" i="56" s="1"/>
  <c r="AC181" i="56"/>
  <c r="AH96" i="56"/>
  <c r="AH96" i="61" s="1"/>
  <c r="V48" i="57"/>
  <c r="V48" i="62" s="1"/>
  <c r="AA47" i="57"/>
  <c r="AA47" i="62" s="1"/>
  <c r="X186" i="56"/>
  <c r="AC113" i="56"/>
  <c r="AC113" i="61" s="1"/>
  <c r="X112" i="61"/>
  <c r="Y177" i="56"/>
  <c r="AD65" i="56"/>
  <c r="O137" i="56"/>
  <c r="O72" i="56"/>
  <c r="R13" i="58"/>
  <c r="H13" i="58"/>
  <c r="K57" i="58"/>
  <c r="AF135" i="56"/>
  <c r="AK55" i="56"/>
  <c r="AF7" i="56"/>
  <c r="V178" i="56"/>
  <c r="AA68" i="56"/>
  <c r="Z182" i="56"/>
  <c r="AE98" i="56"/>
  <c r="Q74" i="56"/>
  <c r="N142" i="56"/>
  <c r="N29" i="56"/>
  <c r="N34" i="56" s="1"/>
  <c r="AE163" i="56"/>
  <c r="AE183" i="56"/>
  <c r="AJ101" i="56"/>
  <c r="I39" i="58"/>
  <c r="R35" i="58"/>
  <c r="R37" i="58" s="1"/>
  <c r="K24" i="58"/>
  <c r="J27" i="58"/>
  <c r="F24" i="58"/>
  <c r="E27" i="58"/>
  <c r="E39" i="58" s="1"/>
  <c r="E41" i="58" s="1"/>
  <c r="O22" i="58"/>
  <c r="P22" i="58"/>
  <c r="M15" i="58"/>
  <c r="M54" i="58"/>
  <c r="AB124" i="56"/>
  <c r="AB124" i="61" s="1"/>
  <c r="X187" i="56"/>
  <c r="AC116" i="56"/>
  <c r="AC116" i="61" s="1"/>
  <c r="AO123" i="56"/>
  <c r="AI110" i="56"/>
  <c r="AI185" i="56"/>
  <c r="AN111" i="56"/>
  <c r="AF181" i="56"/>
  <c r="AK96" i="56"/>
  <c r="AK96" i="61" s="1"/>
  <c r="AF94" i="56"/>
  <c r="AF94" i="61" s="1"/>
  <c r="AA180" i="56"/>
  <c r="P76" i="56"/>
  <c r="P77" i="56" s="1"/>
  <c r="E142" i="56"/>
  <c r="E29" i="56"/>
  <c r="E34" i="56" s="1"/>
  <c r="Y26" i="56"/>
  <c r="O141" i="56"/>
  <c r="O23" i="56"/>
  <c r="O19" i="56"/>
  <c r="L54" i="58"/>
  <c r="X20" i="63"/>
  <c r="Y25" i="57"/>
  <c r="Y25" i="62" s="1"/>
  <c r="AH185" i="56"/>
  <c r="AH110" i="56"/>
  <c r="AH110" i="61" s="1"/>
  <c r="AM111" i="56"/>
  <c r="AM111" i="61" s="1"/>
  <c r="Y186" i="56"/>
  <c r="Y112" i="56"/>
  <c r="AD113" i="56"/>
  <c r="AD113" i="61" s="1"/>
  <c r="AH88" i="56"/>
  <c r="AH88" i="61" s="1"/>
  <c r="AG88" i="56"/>
  <c r="AG88" i="61" s="1"/>
  <c r="AC7" i="56"/>
  <c r="AC7" i="61" s="1"/>
  <c r="AJ55" i="56"/>
  <c r="AE7" i="56"/>
  <c r="AE135" i="56" s="1"/>
  <c r="E137" i="56"/>
  <c r="E72" i="56"/>
  <c r="U48" i="57"/>
  <c r="U48" i="62" s="1"/>
  <c r="Z47" i="57"/>
  <c r="Z47" i="62" s="1"/>
  <c r="T85" i="56"/>
  <c r="T86" i="56" s="1"/>
  <c r="Y86" i="56" s="1"/>
  <c r="AD86" i="56" s="1"/>
  <c r="AI86" i="56" s="1"/>
  <c r="AN86" i="56" s="1"/>
  <c r="AS86" i="56" s="1"/>
  <c r="U83" i="56"/>
  <c r="V180" i="56"/>
  <c r="V142" i="56"/>
  <c r="V29" i="56"/>
  <c r="V34" i="56" s="1"/>
  <c r="Z69" i="56"/>
  <c r="Z69" i="61" s="1"/>
  <c r="Q137" i="56"/>
  <c r="Q72" i="56"/>
  <c r="R33" i="58"/>
  <c r="R57" i="58" s="1"/>
  <c r="F22" i="58"/>
  <c r="G7" i="58"/>
  <c r="F56" i="57"/>
  <c r="F56" i="62" s="1"/>
  <c r="Y181" i="56"/>
  <c r="AD96" i="56"/>
  <c r="AD96" i="61" s="1"/>
  <c r="V175" i="56"/>
  <c r="AA61" i="56"/>
  <c r="AF177" i="56"/>
  <c r="AK65" i="56"/>
  <c r="V143" i="56"/>
  <c r="V25" i="56"/>
  <c r="K141" i="56"/>
  <c r="K19" i="56"/>
  <c r="K23" i="56"/>
  <c r="U52" i="56"/>
  <c r="U53" i="56" s="1"/>
  <c r="Z53" i="56" s="1"/>
  <c r="AE53" i="56" s="1"/>
  <c r="AJ53" i="56" s="1"/>
  <c r="AO53" i="56" s="1"/>
  <c r="AT53" i="56" s="1"/>
  <c r="V50" i="56"/>
  <c r="Z186" i="56"/>
  <c r="AE113" i="56"/>
  <c r="Z112" i="56"/>
  <c r="W21" i="58"/>
  <c r="Z54" i="57"/>
  <c r="Z54" i="62" s="1"/>
  <c r="Z13" i="57"/>
  <c r="Z13" i="62" s="1"/>
  <c r="AK50" i="57"/>
  <c r="AK50" i="62" s="1"/>
  <c r="AP49" i="57"/>
  <c r="AP49" i="62" s="1"/>
  <c r="Z185" i="56"/>
  <c r="Z110" i="56"/>
  <c r="AE111" i="56"/>
  <c r="V182" i="56"/>
  <c r="AA98" i="56"/>
  <c r="AK187" i="56"/>
  <c r="AP116" i="56"/>
  <c r="AD7" i="56"/>
  <c r="AD135" i="56" s="1"/>
  <c r="AI55" i="56"/>
  <c r="AE175" i="56"/>
  <c r="AJ61" i="56"/>
  <c r="AK186" i="56"/>
  <c r="AP113" i="56"/>
  <c r="D141" i="56"/>
  <c r="D23" i="56"/>
  <c r="D19" i="56"/>
  <c r="I142" i="56"/>
  <c r="I29" i="56"/>
  <c r="I34" i="56" s="1"/>
  <c r="Y178" i="56"/>
  <c r="AD68" i="56"/>
  <c r="AN123" i="56"/>
  <c r="AF183" i="56"/>
  <c r="AK101" i="56"/>
  <c r="V29" i="58"/>
  <c r="U37" i="58"/>
  <c r="U22" i="58"/>
  <c r="V7" i="58"/>
  <c r="V56" i="57" s="1"/>
  <c r="U56" i="57"/>
  <c r="U56" i="62" s="1"/>
  <c r="W7" i="58"/>
  <c r="R17" i="58"/>
  <c r="R18" i="58"/>
  <c r="X8" i="63"/>
  <c r="Z55" i="57"/>
  <c r="Z55" i="62" s="1"/>
  <c r="D43" i="57"/>
  <c r="D43" i="62" s="1"/>
  <c r="AG108" i="56"/>
  <c r="AG108" i="61" s="1"/>
  <c r="L137" i="56"/>
  <c r="V137" i="56"/>
  <c r="V72" i="56"/>
  <c r="AR55" i="56"/>
  <c r="AR55" i="61" s="1"/>
  <c r="S142" i="56"/>
  <c r="S29" i="56"/>
  <c r="S34" i="56" s="1"/>
  <c r="S147" i="56" s="1"/>
  <c r="P137" i="56"/>
  <c r="P72" i="56"/>
  <c r="I143" i="56"/>
  <c r="I25" i="56"/>
  <c r="I27" i="56" s="1"/>
  <c r="T55" i="58"/>
  <c r="T148" i="56" s="1"/>
  <c r="U24" i="58"/>
  <c r="T27" i="58"/>
  <c r="T39" i="58" s="1"/>
  <c r="H37" i="58"/>
  <c r="L12" i="58"/>
  <c r="K53" i="58"/>
  <c r="H8" i="58"/>
  <c r="Z21" i="58"/>
  <c r="Z21" i="63" s="1"/>
  <c r="AA23" i="57"/>
  <c r="AA23" i="62" s="1"/>
  <c r="Z19" i="58"/>
  <c r="Z19" i="63" s="1"/>
  <c r="AA27" i="57"/>
  <c r="AA27" i="62" s="1"/>
  <c r="AB110" i="56"/>
  <c r="AB110" i="61" s="1"/>
  <c r="U137" i="56"/>
  <c r="U72" i="56"/>
  <c r="I106" i="56"/>
  <c r="M105" i="56"/>
  <c r="M106" i="56" s="1"/>
  <c r="I137" i="56"/>
  <c r="AM108" i="56"/>
  <c r="AM108" i="61" s="1"/>
  <c r="U141" i="56"/>
  <c r="U23" i="56"/>
  <c r="U19" i="56"/>
  <c r="Z176" i="56"/>
  <c r="AE63" i="56"/>
  <c r="AD176" i="56"/>
  <c r="AI63" i="56"/>
  <c r="S25" i="56"/>
  <c r="S27" i="56" s="1"/>
  <c r="J141" i="56"/>
  <c r="J19" i="56"/>
  <c r="J23" i="56"/>
  <c r="E33" i="56"/>
  <c r="E32" i="56"/>
  <c r="P24" i="58"/>
  <c r="O27" i="58"/>
  <c r="O39" i="58" s="1"/>
  <c r="F141" i="56"/>
  <c r="F23" i="56"/>
  <c r="F19" i="56"/>
  <c r="Y16" i="57"/>
  <c r="Y16" i="62" s="1"/>
  <c r="AA118" i="56"/>
  <c r="AA118" i="61" s="1"/>
  <c r="AC176" i="56"/>
  <c r="AH63" i="56"/>
  <c r="AH63" i="61" s="1"/>
  <c r="AI187" i="56"/>
  <c r="AI115" i="56"/>
  <c r="AN116" i="56"/>
  <c r="M18" i="58"/>
  <c r="AC50" i="57"/>
  <c r="AC50" i="62" s="1"/>
  <c r="AH49" i="57"/>
  <c r="AH49" i="62" s="1"/>
  <c r="Z181" i="56"/>
  <c r="AE96" i="56"/>
  <c r="AE96" i="61" s="1"/>
  <c r="S182" i="56"/>
  <c r="S180" i="56"/>
  <c r="AD175" i="56"/>
  <c r="AI61" i="56"/>
  <c r="T41" i="56"/>
  <c r="T43" i="56"/>
  <c r="T44" i="56" s="1"/>
  <c r="Y44" i="56" s="1"/>
  <c r="S57" i="56"/>
  <c r="W27" i="56"/>
  <c r="J39" i="58"/>
  <c r="W94" i="56"/>
  <c r="W82" i="56"/>
  <c r="T141" i="56"/>
  <c r="T23" i="56"/>
  <c r="T19" i="56"/>
  <c r="AA176" i="56"/>
  <c r="AF63" i="56"/>
  <c r="H10" i="58"/>
  <c r="H54" i="58" s="1"/>
  <c r="K37" i="58"/>
  <c r="L29" i="58"/>
  <c r="L37" i="58" s="1"/>
  <c r="H21" i="58"/>
  <c r="R10" i="58"/>
  <c r="R54" i="58" s="1"/>
  <c r="J55" i="58"/>
  <c r="J148" i="56" s="1"/>
  <c r="W31" i="58"/>
  <c r="H15" i="58"/>
  <c r="AK123" i="56"/>
  <c r="AG123" i="56"/>
  <c r="AG123" i="61" s="1"/>
  <c r="R82" i="56"/>
  <c r="R98" i="56"/>
  <c r="AU88" i="56"/>
  <c r="Y180" i="56"/>
  <c r="AD94" i="56"/>
  <c r="AD94" i="61" s="1"/>
  <c r="Q85" i="56"/>
  <c r="Q86" i="56" s="1"/>
  <c r="P90" i="56"/>
  <c r="P85" i="56"/>
  <c r="P86" i="56" s="1"/>
  <c r="D72" i="56"/>
  <c r="H71" i="56"/>
  <c r="H72" i="56" s="1"/>
  <c r="D137" i="56"/>
  <c r="Q142" i="56"/>
  <c r="Q29" i="56"/>
  <c r="Q34" i="56" s="1"/>
  <c r="M141" i="56"/>
  <c r="M23" i="56"/>
  <c r="M19" i="56"/>
  <c r="G47" i="57"/>
  <c r="G17" i="56"/>
  <c r="W65" i="57"/>
  <c r="W64" i="57" s="1"/>
  <c r="W64" i="62" s="1"/>
  <c r="W142" i="56"/>
  <c r="W29" i="56"/>
  <c r="V34" i="58"/>
  <c r="V57" i="58" s="1"/>
  <c r="U57" i="58"/>
  <c r="Y102" i="56"/>
  <c r="N39" i="58"/>
  <c r="F37" i="58"/>
  <c r="S55" i="58"/>
  <c r="S148" i="56" s="1"/>
  <c r="H35" i="58"/>
  <c r="M29" i="58"/>
  <c r="M37" i="58" s="1"/>
  <c r="AE187" i="56"/>
  <c r="AJ116" i="56"/>
  <c r="AE115" i="56"/>
  <c r="N106" i="56"/>
  <c r="R105" i="56"/>
  <c r="R106" i="56" s="1"/>
  <c r="S183" i="56"/>
  <c r="AR123" i="56"/>
  <c r="AR123" i="61" s="1"/>
  <c r="AK185" i="56"/>
  <c r="AP111" i="56"/>
  <c r="L141" i="56"/>
  <c r="L19" i="56"/>
  <c r="L23" i="56"/>
  <c r="L25" i="56" s="1"/>
  <c r="L27" i="56" s="1"/>
  <c r="T137" i="56"/>
  <c r="Q143" i="56"/>
  <c r="Q25" i="56"/>
  <c r="Q27" i="56" s="1"/>
  <c r="R141" i="56"/>
  <c r="R23" i="56"/>
  <c r="R19" i="56"/>
  <c r="F20" i="52"/>
  <c r="P141" i="48"/>
  <c r="P23" i="48"/>
  <c r="P19" i="48"/>
  <c r="AA69" i="48"/>
  <c r="R141" i="48"/>
  <c r="R23" i="48"/>
  <c r="R25" i="48" s="1"/>
  <c r="R27" i="48" s="1"/>
  <c r="R19" i="48"/>
  <c r="M140" i="48"/>
  <c r="M17" i="48"/>
  <c r="L72" i="48"/>
  <c r="H141" i="48"/>
  <c r="H23" i="48"/>
  <c r="H19" i="48"/>
  <c r="O142" i="48"/>
  <c r="O29" i="48"/>
  <c r="O34" i="48" s="1"/>
  <c r="W140" i="48"/>
  <c r="W17" i="48"/>
  <c r="N141" i="48"/>
  <c r="N23" i="48"/>
  <c r="N19" i="48"/>
  <c r="X9" i="50"/>
  <c r="X136" i="48"/>
  <c r="G51" i="49"/>
  <c r="G49" i="49"/>
  <c r="G15" i="48"/>
  <c r="S56" i="50"/>
  <c r="S53" i="50"/>
  <c r="S47" i="49"/>
  <c r="S140" i="48"/>
  <c r="AA98" i="48"/>
  <c r="AC185" i="48"/>
  <c r="AH111" i="48"/>
  <c r="AC110" i="48"/>
  <c r="T50" i="48"/>
  <c r="D53" i="50"/>
  <c r="D56" i="50"/>
  <c r="D47" i="49"/>
  <c r="T56" i="50"/>
  <c r="T47" i="49"/>
  <c r="Y47" i="49" s="1"/>
  <c r="T140" i="48"/>
  <c r="N72" i="48"/>
  <c r="D106" i="48"/>
  <c r="H105" i="48"/>
  <c r="X61" i="48"/>
  <c r="Y175" i="48"/>
  <c r="AD61" i="48"/>
  <c r="Q17" i="48"/>
  <c r="G8" i="48"/>
  <c r="X68" i="48"/>
  <c r="U47" i="49"/>
  <c r="U140" i="48"/>
  <c r="S17" i="48"/>
  <c r="Y68" i="48"/>
  <c r="V47" i="49"/>
  <c r="AA47" i="49" s="1"/>
  <c r="V140" i="48"/>
  <c r="D17" i="48"/>
  <c r="T17" i="48"/>
  <c r="Y135" i="48"/>
  <c r="AD55" i="48"/>
  <c r="AB55" i="48"/>
  <c r="P47" i="49"/>
  <c r="P140" i="48"/>
  <c r="O30" i="50"/>
  <c r="P30" i="50" s="1"/>
  <c r="Q30" i="50" s="1"/>
  <c r="N37" i="50"/>
  <c r="J47" i="49"/>
  <c r="J140" i="48"/>
  <c r="E17" i="48"/>
  <c r="U17" i="48"/>
  <c r="K19" i="48"/>
  <c r="K23" i="48"/>
  <c r="Z135" i="48"/>
  <c r="AE55" i="48"/>
  <c r="Q177" i="48"/>
  <c r="I53" i="50"/>
  <c r="I47" i="49"/>
  <c r="I56" i="50"/>
  <c r="I140" i="48"/>
  <c r="K47" i="49"/>
  <c r="K48" i="49" s="1"/>
  <c r="K140" i="48"/>
  <c r="F17" i="48"/>
  <c r="V17" i="48"/>
  <c r="L19" i="48"/>
  <c r="L23" i="48"/>
  <c r="L25" i="48" s="1"/>
  <c r="L27" i="48" s="1"/>
  <c r="F58" i="48"/>
  <c r="L65" i="48"/>
  <c r="L68" i="48"/>
  <c r="L61" i="48"/>
  <c r="L47" i="49"/>
  <c r="Y26" i="48"/>
  <c r="Z26" i="48" s="1"/>
  <c r="AA26" i="48" s="1"/>
  <c r="AC26" i="48" s="1"/>
  <c r="U176" i="48"/>
  <c r="Z63" i="48"/>
  <c r="Q180" i="48"/>
  <c r="W70" i="48"/>
  <c r="V176" i="48"/>
  <c r="AA63" i="48"/>
  <c r="Q140" i="48"/>
  <c r="R140" i="48"/>
  <c r="I17" i="48"/>
  <c r="O23" i="48"/>
  <c r="J72" i="48"/>
  <c r="N56" i="50"/>
  <c r="N53" i="50"/>
  <c r="N47" i="49"/>
  <c r="N48" i="49" s="1"/>
  <c r="N140" i="48"/>
  <c r="O47" i="49"/>
  <c r="O140" i="48"/>
  <c r="J17" i="48"/>
  <c r="Q52" i="48"/>
  <c r="Q53" i="48" s="1"/>
  <c r="P52" i="48"/>
  <c r="P53" i="48" s="1"/>
  <c r="K71" i="48"/>
  <c r="K65" i="48"/>
  <c r="K68" i="48"/>
  <c r="K61" i="48"/>
  <c r="AA135" i="48"/>
  <c r="S65" i="48"/>
  <c r="S71" i="48"/>
  <c r="AK88" i="48"/>
  <c r="AL88" i="48" s="1"/>
  <c r="AD187" i="48"/>
  <c r="AI116" i="48"/>
  <c r="AD115" i="48"/>
  <c r="Y168" i="48"/>
  <c r="Y170" i="48" s="1"/>
  <c r="Z165" i="48"/>
  <c r="O72" i="48"/>
  <c r="T177" i="48"/>
  <c r="V68" i="48"/>
  <c r="AF108" i="48"/>
  <c r="AA115" i="48"/>
  <c r="P41" i="48"/>
  <c r="AC135" i="48"/>
  <c r="U65" i="48"/>
  <c r="D68" i="48"/>
  <c r="AM88" i="48"/>
  <c r="AB108" i="48"/>
  <c r="O52" i="48"/>
  <c r="O53" i="48" s="1"/>
  <c r="Q137" i="48"/>
  <c r="V65" i="48"/>
  <c r="E68" i="48"/>
  <c r="AN88" i="48"/>
  <c r="V152" i="48"/>
  <c r="V151" i="48"/>
  <c r="N61" i="48"/>
  <c r="S175" i="48" s="1"/>
  <c r="F68" i="48"/>
  <c r="AO88" i="48"/>
  <c r="M94" i="48"/>
  <c r="AA101" i="48"/>
  <c r="AF55" i="48"/>
  <c r="O61" i="48"/>
  <c r="T175" i="48" s="1"/>
  <c r="E65" i="48"/>
  <c r="G68" i="48"/>
  <c r="Z68" i="48"/>
  <c r="K98" i="48"/>
  <c r="K94" i="48"/>
  <c r="K105" i="48"/>
  <c r="K106" i="48" s="1"/>
  <c r="K101" i="48"/>
  <c r="M92" i="48"/>
  <c r="M98" i="48" s="1"/>
  <c r="U72" i="48"/>
  <c r="P61" i="48"/>
  <c r="AC63" i="48"/>
  <c r="F65" i="48"/>
  <c r="Y65" i="48"/>
  <c r="I68" i="48"/>
  <c r="L98" i="48"/>
  <c r="L94" i="48"/>
  <c r="L105" i="48"/>
  <c r="L106" i="48" s="1"/>
  <c r="L101" i="48"/>
  <c r="W98" i="48"/>
  <c r="D72" i="48"/>
  <c r="V137" i="48"/>
  <c r="V72" i="48"/>
  <c r="Q61" i="48"/>
  <c r="Q175" i="48" s="1"/>
  <c r="AD63" i="48"/>
  <c r="J68" i="48"/>
  <c r="M35" i="48"/>
  <c r="W59" i="48"/>
  <c r="I65" i="48"/>
  <c r="F137" i="48"/>
  <c r="O43" i="48"/>
  <c r="O44" i="48" s="1"/>
  <c r="G71" i="48"/>
  <c r="U61" i="48"/>
  <c r="N68" i="48"/>
  <c r="S178" i="48" s="1"/>
  <c r="P76" i="48"/>
  <c r="P77" i="48" s="1"/>
  <c r="O76" i="48"/>
  <c r="O77" i="48" s="1"/>
  <c r="AG91" i="48"/>
  <c r="O57" i="48"/>
  <c r="H59" i="48"/>
  <c r="V61" i="48"/>
  <c r="Q176" i="48"/>
  <c r="O68" i="48"/>
  <c r="T178" i="48" s="1"/>
  <c r="E71" i="48"/>
  <c r="P74" i="48"/>
  <c r="AL91" i="48"/>
  <c r="S106" i="48"/>
  <c r="W105" i="48"/>
  <c r="W106" i="48" s="1"/>
  <c r="AC33" i="50"/>
  <c r="X33" i="50"/>
  <c r="I72" i="48"/>
  <c r="D61" i="48"/>
  <c r="P68" i="48"/>
  <c r="U178" i="48" s="1"/>
  <c r="F72" i="48"/>
  <c r="M101" i="48"/>
  <c r="Y35" i="48"/>
  <c r="X135" i="48"/>
  <c r="T176" i="48"/>
  <c r="O65" i="48"/>
  <c r="Q68" i="48"/>
  <c r="Q178" i="48" s="1"/>
  <c r="AB69" i="48"/>
  <c r="U183" i="48"/>
  <c r="Z101" i="48"/>
  <c r="X181" i="48"/>
  <c r="AC96" i="48"/>
  <c r="Y102" i="48"/>
  <c r="Y136" i="48"/>
  <c r="Z119" i="48"/>
  <c r="S180" i="48"/>
  <c r="M103" i="48"/>
  <c r="AM186" i="48"/>
  <c r="AE187" i="48"/>
  <c r="AJ116" i="48"/>
  <c r="T180" i="48"/>
  <c r="P98" i="48"/>
  <c r="AR113" i="48"/>
  <c r="W155" i="48"/>
  <c r="P83" i="48"/>
  <c r="U180" i="48"/>
  <c r="Q98" i="48"/>
  <c r="Q182" i="48" s="1"/>
  <c r="J101" i="48"/>
  <c r="I105" i="48"/>
  <c r="W109" i="48"/>
  <c r="AD143" i="48"/>
  <c r="AC129" i="48"/>
  <c r="F94" i="48"/>
  <c r="V94" i="48"/>
  <c r="J105" i="48"/>
  <c r="J106" i="48" s="1"/>
  <c r="AD129" i="48"/>
  <c r="AE163" i="48"/>
  <c r="AG88" i="48"/>
  <c r="S98" i="48"/>
  <c r="AG108" i="48"/>
  <c r="S185" i="48"/>
  <c r="T186" i="48"/>
  <c r="Y113" i="48"/>
  <c r="AE115" i="48"/>
  <c r="W131" i="48"/>
  <c r="R92" i="48"/>
  <c r="X94" i="48"/>
  <c r="AD96" i="48"/>
  <c r="T182" i="48"/>
  <c r="AH108" i="48"/>
  <c r="T185" i="48"/>
  <c r="U186" i="48"/>
  <c r="Z113" i="48"/>
  <c r="U83" i="48"/>
  <c r="H84" i="48"/>
  <c r="H91" i="48" s="1"/>
  <c r="I94" i="48"/>
  <c r="Y94" i="48"/>
  <c r="AE96" i="48"/>
  <c r="E98" i="48"/>
  <c r="U98" i="48"/>
  <c r="N101" i="48"/>
  <c r="AI108" i="48"/>
  <c r="U185" i="48"/>
  <c r="Q187" i="48"/>
  <c r="AI123" i="48"/>
  <c r="Y129" i="48"/>
  <c r="Z129" i="48" s="1"/>
  <c r="AA129" i="48" s="1"/>
  <c r="AB129" i="48"/>
  <c r="J94" i="48"/>
  <c r="Z94" i="48"/>
  <c r="AF96" i="48"/>
  <c r="O101" i="48"/>
  <c r="N105" i="48"/>
  <c r="H120" i="48"/>
  <c r="H121" i="48" s="1"/>
  <c r="AJ108" i="48"/>
  <c r="V185" i="48"/>
  <c r="AC15" i="49"/>
  <c r="AD15" i="49" s="1"/>
  <c r="AE15" i="49" s="1"/>
  <c r="AF15" i="49" s="1"/>
  <c r="AB15" i="49"/>
  <c r="P101" i="48"/>
  <c r="O105" i="48"/>
  <c r="O106" i="48" s="1"/>
  <c r="M120" i="48"/>
  <c r="M121" i="48" s="1"/>
  <c r="M109" i="48"/>
  <c r="H118" i="48"/>
  <c r="AC112" i="48"/>
  <c r="O90" i="48"/>
  <c r="Q101" i="48"/>
  <c r="P105" i="48"/>
  <c r="P106" i="48" s="1"/>
  <c r="R120" i="48"/>
  <c r="R121" i="48" s="1"/>
  <c r="AH123" i="48"/>
  <c r="AG123" i="48"/>
  <c r="M155" i="48"/>
  <c r="I151" i="48"/>
  <c r="I152" i="48"/>
  <c r="W92" i="48"/>
  <c r="S181" i="48"/>
  <c r="Y98" i="48"/>
  <c r="R118" i="48"/>
  <c r="Y111" i="48"/>
  <c r="Y117" i="48"/>
  <c r="Z117" i="48" s="1"/>
  <c r="AA117" i="48" s="1"/>
  <c r="AC117" i="48" s="1"/>
  <c r="AE123" i="48"/>
  <c r="H92" i="48"/>
  <c r="H98" i="48" s="1"/>
  <c r="T181" i="48"/>
  <c r="S101" i="48"/>
  <c r="X112" i="48"/>
  <c r="W118" i="48"/>
  <c r="W120" i="48" s="1"/>
  <c r="W121" i="48" s="1"/>
  <c r="Z111" i="48"/>
  <c r="AA187" i="48"/>
  <c r="AF116" i="48"/>
  <c r="D101" i="48"/>
  <c r="T101" i="48"/>
  <c r="X110" i="48"/>
  <c r="AA111" i="48"/>
  <c r="H116" i="48"/>
  <c r="AP123" i="48"/>
  <c r="AC19" i="49"/>
  <c r="AD19" i="49" s="1"/>
  <c r="AE19" i="49" s="1"/>
  <c r="AF19" i="49" s="1"/>
  <c r="AB19" i="49"/>
  <c r="R109" i="48"/>
  <c r="M116" i="48"/>
  <c r="S186" i="48"/>
  <c r="X168" i="48"/>
  <c r="X170" i="48" s="1"/>
  <c r="R26" i="50"/>
  <c r="F62" i="49"/>
  <c r="F42" i="49"/>
  <c r="V187" i="48"/>
  <c r="AC33" i="49"/>
  <c r="AD33" i="49" s="1"/>
  <c r="AE33" i="49" s="1"/>
  <c r="AF33" i="49" s="1"/>
  <c r="AB33" i="49"/>
  <c r="T42" i="49"/>
  <c r="T62" i="49"/>
  <c r="V186" i="48"/>
  <c r="S187" i="48"/>
  <c r="L152" i="48"/>
  <c r="T187" i="48"/>
  <c r="AC24" i="49"/>
  <c r="AD24" i="49" s="1"/>
  <c r="AE24" i="49" s="1"/>
  <c r="AF24" i="49" s="1"/>
  <c r="AB24" i="49"/>
  <c r="AC26" i="49"/>
  <c r="AD26" i="49" s="1"/>
  <c r="AE26" i="49" s="1"/>
  <c r="AF26" i="49" s="1"/>
  <c r="AB26" i="49"/>
  <c r="W117" i="48"/>
  <c r="N151" i="48"/>
  <c r="O173" i="48"/>
  <c r="P173" i="48"/>
  <c r="AC18" i="49"/>
  <c r="AD18" i="49" s="1"/>
  <c r="AE18" i="49" s="1"/>
  <c r="AF18" i="49" s="1"/>
  <c r="AB18" i="49"/>
  <c r="AS50" i="49"/>
  <c r="AK34" i="50"/>
  <c r="AJ61" i="49"/>
  <c r="Q173" i="48"/>
  <c r="M47" i="50"/>
  <c r="M67" i="49"/>
  <c r="AA113" i="48"/>
  <c r="X116" i="48"/>
  <c r="AL154" i="48"/>
  <c r="T173" i="48"/>
  <c r="N47" i="50"/>
  <c r="N63" i="49"/>
  <c r="N62" i="49"/>
  <c r="N30" i="49"/>
  <c r="N35" i="49" s="1"/>
  <c r="N42" i="49" s="1"/>
  <c r="AC32" i="49"/>
  <c r="AD32" i="49" s="1"/>
  <c r="AE32" i="49" s="1"/>
  <c r="AF32" i="49" s="1"/>
  <c r="AB32" i="49"/>
  <c r="E22" i="50"/>
  <c r="F7" i="50"/>
  <c r="E56" i="49"/>
  <c r="R47" i="50"/>
  <c r="R67" i="49"/>
  <c r="Z52" i="49"/>
  <c r="AE51" i="49"/>
  <c r="AJ51" i="49" s="1"/>
  <c r="AO51" i="49" s="1"/>
  <c r="AT51" i="49" s="1"/>
  <c r="AT52" i="49" s="1"/>
  <c r="U152" i="48"/>
  <c r="U151" i="48"/>
  <c r="H30" i="49"/>
  <c r="H35" i="49" s="1"/>
  <c r="AC34" i="49"/>
  <c r="AD34" i="49" s="1"/>
  <c r="AE34" i="49" s="1"/>
  <c r="AF34" i="49" s="1"/>
  <c r="AB34" i="49"/>
  <c r="R30" i="49"/>
  <c r="R35" i="49" s="1"/>
  <c r="Y27" i="49"/>
  <c r="AC31" i="49"/>
  <c r="AD31" i="49" s="1"/>
  <c r="AE31" i="49" s="1"/>
  <c r="AF31" i="49" s="1"/>
  <c r="AB31" i="49"/>
  <c r="X16" i="49"/>
  <c r="X8" i="50" s="1"/>
  <c r="Z55" i="49"/>
  <c r="S47" i="50"/>
  <c r="S63" i="49"/>
  <c r="S62" i="49"/>
  <c r="AC39" i="49"/>
  <c r="AD39" i="49" s="1"/>
  <c r="AE39" i="49" s="1"/>
  <c r="AF39" i="49" s="1"/>
  <c r="AB39" i="49"/>
  <c r="AT50" i="49"/>
  <c r="K53" i="50"/>
  <c r="G35" i="50"/>
  <c r="H35" i="50" s="1"/>
  <c r="U25" i="49"/>
  <c r="U62" i="49"/>
  <c r="U47" i="50"/>
  <c r="H41" i="49"/>
  <c r="H42" i="49" s="1"/>
  <c r="G50" i="49"/>
  <c r="U63" i="49"/>
  <c r="R19" i="50"/>
  <c r="AC57" i="50"/>
  <c r="V47" i="50"/>
  <c r="I42" i="49"/>
  <c r="G42" i="49"/>
  <c r="V63" i="49"/>
  <c r="W47" i="50"/>
  <c r="W67" i="49"/>
  <c r="W62" i="49"/>
  <c r="W63" i="49"/>
  <c r="Z13" i="49"/>
  <c r="X28" i="49"/>
  <c r="K42" i="49"/>
  <c r="M9" i="50"/>
  <c r="S30" i="49"/>
  <c r="S35" i="49" s="1"/>
  <c r="S42" i="49" s="1"/>
  <c r="L42" i="49"/>
  <c r="R9" i="50"/>
  <c r="M15" i="50"/>
  <c r="AH50" i="49"/>
  <c r="L29" i="50"/>
  <c r="X21" i="50"/>
  <c r="E62" i="49"/>
  <c r="E63" i="49"/>
  <c r="E47" i="50"/>
  <c r="E30" i="49"/>
  <c r="E35" i="49" s="1"/>
  <c r="E42" i="49" s="1"/>
  <c r="O42" i="49"/>
  <c r="O62" i="49"/>
  <c r="O52" i="49"/>
  <c r="O48" i="49"/>
  <c r="W9" i="50"/>
  <c r="O37" i="50"/>
  <c r="Y23" i="49"/>
  <c r="H47" i="50"/>
  <c r="P42" i="49"/>
  <c r="P62" i="49"/>
  <c r="P52" i="49"/>
  <c r="P48" i="49"/>
  <c r="AJ52" i="49"/>
  <c r="V9" i="50"/>
  <c r="Q38" i="50"/>
  <c r="R38" i="50"/>
  <c r="I47" i="50"/>
  <c r="I63" i="49"/>
  <c r="Q41" i="49"/>
  <c r="R37" i="49"/>
  <c r="R41" i="49" s="1"/>
  <c r="AC40" i="49"/>
  <c r="AD40" i="49" s="1"/>
  <c r="AE40" i="49" s="1"/>
  <c r="AF40" i="49" s="1"/>
  <c r="AB40" i="49"/>
  <c r="AK52" i="49"/>
  <c r="Y51" i="49"/>
  <c r="W25" i="50"/>
  <c r="W56" i="50" s="1"/>
  <c r="J47" i="50"/>
  <c r="J63" i="49"/>
  <c r="J62" i="49"/>
  <c r="AM52" i="49"/>
  <c r="F16" i="50"/>
  <c r="G16" i="50" s="1"/>
  <c r="U56" i="50"/>
  <c r="V25" i="50"/>
  <c r="V56" i="50" s="1"/>
  <c r="K47" i="50"/>
  <c r="K63" i="49"/>
  <c r="K62" i="49"/>
  <c r="I30" i="49"/>
  <c r="I35" i="49" s="1"/>
  <c r="R18" i="50"/>
  <c r="Y10" i="49"/>
  <c r="L47" i="50"/>
  <c r="L63" i="49"/>
  <c r="L62" i="49"/>
  <c r="J30" i="49"/>
  <c r="J35" i="49" s="1"/>
  <c r="J42" i="49" s="1"/>
  <c r="D62" i="49"/>
  <c r="D42" i="49"/>
  <c r="V8" i="50"/>
  <c r="W8" i="50" s="1"/>
  <c r="W13" i="50"/>
  <c r="W18" i="50"/>
  <c r="V41" i="49"/>
  <c r="V62" i="49" s="1"/>
  <c r="Q50" i="49"/>
  <c r="AK50" i="49"/>
  <c r="G52" i="49"/>
  <c r="AA52" i="49"/>
  <c r="AU52" i="49"/>
  <c r="G10" i="50"/>
  <c r="G54" i="50" s="1"/>
  <c r="F54" i="50"/>
  <c r="R20" i="50"/>
  <c r="J21" i="50"/>
  <c r="K21" i="50" s="1"/>
  <c r="L21" i="50" s="1"/>
  <c r="AG34" i="50"/>
  <c r="S39" i="50"/>
  <c r="I48" i="49"/>
  <c r="S50" i="49"/>
  <c r="AM50" i="49"/>
  <c r="I52" i="49"/>
  <c r="AC52" i="49"/>
  <c r="P8" i="50"/>
  <c r="Q8" i="50" s="1"/>
  <c r="H10" i="50"/>
  <c r="H54" i="50" s="1"/>
  <c r="L16" i="50"/>
  <c r="M16" i="50" s="1"/>
  <c r="W19" i="50"/>
  <c r="P27" i="50"/>
  <c r="V29" i="50"/>
  <c r="V30" i="50"/>
  <c r="W30" i="50" s="1"/>
  <c r="F33" i="50"/>
  <c r="G33" i="50" s="1"/>
  <c r="T37" i="50"/>
  <c r="W38" i="50"/>
  <c r="U38" i="50"/>
  <c r="V38" i="50" s="1"/>
  <c r="J48" i="49"/>
  <c r="T50" i="49"/>
  <c r="AN50" i="49"/>
  <c r="J52" i="49"/>
  <c r="V13" i="50"/>
  <c r="W15" i="50"/>
  <c r="O21" i="50"/>
  <c r="P21" i="50" s="1"/>
  <c r="Q21" i="50" s="1"/>
  <c r="H24" i="50"/>
  <c r="D27" i="50"/>
  <c r="W29" i="50"/>
  <c r="E57" i="50"/>
  <c r="M35" i="50"/>
  <c r="K36" i="50"/>
  <c r="L36" i="50" s="1"/>
  <c r="M37" i="49"/>
  <c r="M41" i="49" s="1"/>
  <c r="M42" i="49" s="1"/>
  <c r="U50" i="49"/>
  <c r="AO50" i="49"/>
  <c r="K52" i="49"/>
  <c r="AE52" i="49"/>
  <c r="L10" i="50"/>
  <c r="L54" i="50" s="1"/>
  <c r="K54" i="50"/>
  <c r="E53" i="50"/>
  <c r="F12" i="50"/>
  <c r="W21" i="50"/>
  <c r="I22" i="50"/>
  <c r="G27" i="50"/>
  <c r="G34" i="50"/>
  <c r="G57" i="50" s="1"/>
  <c r="F57" i="50"/>
  <c r="P35" i="50"/>
  <c r="Q35" i="50" s="1"/>
  <c r="Q36" i="50"/>
  <c r="R36" i="50" s="1"/>
  <c r="L48" i="49"/>
  <c r="V50" i="49"/>
  <c r="AP50" i="49"/>
  <c r="L52" i="49"/>
  <c r="AF52" i="49"/>
  <c r="K7" i="50"/>
  <c r="H9" i="50"/>
  <c r="M10" i="50"/>
  <c r="M54" i="50" s="1"/>
  <c r="J53" i="50"/>
  <c r="W16" i="50"/>
  <c r="U20" i="50"/>
  <c r="V20" i="50" s="1"/>
  <c r="M24" i="50"/>
  <c r="D50" i="49"/>
  <c r="X50" i="49"/>
  <c r="AR50" i="49"/>
  <c r="N52" i="49"/>
  <c r="AH52" i="49"/>
  <c r="P10" i="50"/>
  <c r="U16" i="50"/>
  <c r="V16" i="50" s="1"/>
  <c r="K17" i="50"/>
  <c r="L17" i="50" s="1"/>
  <c r="L34" i="50"/>
  <c r="L57" i="50" s="1"/>
  <c r="W35" i="50"/>
  <c r="K9" i="50"/>
  <c r="L9" i="50" s="1"/>
  <c r="M11" i="50"/>
  <c r="L12" i="50"/>
  <c r="K27" i="50"/>
  <c r="M32" i="50"/>
  <c r="R33" i="50"/>
  <c r="V35" i="50"/>
  <c r="W36" i="50"/>
  <c r="AS56" i="50"/>
  <c r="AT56" i="50" s="1"/>
  <c r="AU56" i="50" s="1"/>
  <c r="W10" i="50"/>
  <c r="P17" i="50"/>
  <c r="Q17" i="50" s="1"/>
  <c r="F56" i="50"/>
  <c r="G25" i="50"/>
  <c r="Q48" i="49"/>
  <c r="P7" i="50"/>
  <c r="V10" i="50"/>
  <c r="V54" i="50" s="1"/>
  <c r="H13" i="50"/>
  <c r="S55" i="50"/>
  <c r="S148" i="48" s="1"/>
  <c r="H18" i="50"/>
  <c r="R24" i="50"/>
  <c r="N27" i="50"/>
  <c r="H25" i="50"/>
  <c r="H56" i="50" s="1"/>
  <c r="M31" i="50"/>
  <c r="I37" i="50"/>
  <c r="R32" i="50"/>
  <c r="Q32" i="50"/>
  <c r="W34" i="50"/>
  <c r="W57" i="50" s="1"/>
  <c r="AQ34" i="50"/>
  <c r="S48" i="49"/>
  <c r="Z54" i="49"/>
  <c r="AC54" i="49" s="1"/>
  <c r="P53" i="50"/>
  <c r="H15" i="50"/>
  <c r="F15" i="50"/>
  <c r="G15" i="50" s="1"/>
  <c r="K18" i="50"/>
  <c r="L18" i="50" s="1"/>
  <c r="H19" i="50"/>
  <c r="Q27" i="50"/>
  <c r="K25" i="50"/>
  <c r="H26" i="50"/>
  <c r="U57" i="50"/>
  <c r="AA54" i="49"/>
  <c r="P9" i="50"/>
  <c r="Q9" i="50" s="1"/>
  <c r="Q12" i="50"/>
  <c r="Q53" i="50" s="1"/>
  <c r="M13" i="50"/>
  <c r="U17" i="50"/>
  <c r="V17" i="50" s="1"/>
  <c r="O56" i="50"/>
  <c r="V57" i="50"/>
  <c r="U48" i="49"/>
  <c r="T22" i="50"/>
  <c r="U53" i="50"/>
  <c r="V12" i="50"/>
  <c r="V53" i="50" s="1"/>
  <c r="P56" i="50"/>
  <c r="W32" i="50"/>
  <c r="AB34" i="50"/>
  <c r="X57" i="50"/>
  <c r="X58" i="50" s="1"/>
  <c r="F38" i="50"/>
  <c r="G38" i="50" s="1"/>
  <c r="V48" i="49"/>
  <c r="U7" i="50"/>
  <c r="L15" i="50"/>
  <c r="Q18" i="50"/>
  <c r="M19" i="50"/>
  <c r="U24" i="50"/>
  <c r="Q56" i="50"/>
  <c r="M26" i="50"/>
  <c r="E27" i="50"/>
  <c r="G29" i="50"/>
  <c r="F37" i="50"/>
  <c r="Q31" i="50"/>
  <c r="R31" i="50" s="1"/>
  <c r="D39" i="50"/>
  <c r="D41" i="50" s="1"/>
  <c r="J56" i="50"/>
  <c r="D48" i="49"/>
  <c r="W11" i="50"/>
  <c r="N22" i="50"/>
  <c r="K19" i="50"/>
  <c r="L19" i="50" s="1"/>
  <c r="R25" i="50"/>
  <c r="R56" i="50" s="1"/>
  <c r="K26" i="50"/>
  <c r="L26" i="50" s="1"/>
  <c r="F27" i="50"/>
  <c r="J37" i="50"/>
  <c r="M29" i="50"/>
  <c r="AV34" i="50"/>
  <c r="L38" i="50"/>
  <c r="M38" i="50" s="1"/>
  <c r="H11" i="50"/>
  <c r="J13" i="50"/>
  <c r="K13" i="50" s="1"/>
  <c r="L13" i="50" s="1"/>
  <c r="H32" i="50"/>
  <c r="E37" i="50"/>
  <c r="E39" i="50" s="1"/>
  <c r="P16" i="50"/>
  <c r="Q16" i="50" s="1"/>
  <c r="U19" i="50"/>
  <c r="V19" i="50" s="1"/>
  <c r="K20" i="50"/>
  <c r="L20" i="50" s="1"/>
  <c r="U26" i="50"/>
  <c r="V26" i="50" s="1"/>
  <c r="P34" i="50"/>
  <c r="O13" i="50"/>
  <c r="O22" i="50" s="1"/>
  <c r="I27" i="50"/>
  <c r="O53" i="50"/>
  <c r="P29" i="50"/>
  <c r="T57" i="50"/>
  <c r="T53" i="50"/>
  <c r="E56" i="50"/>
  <c r="AA172" i="73" l="1"/>
  <c r="AA28" i="73" s="1"/>
  <c r="AA18" i="73"/>
  <c r="AB18" i="73" s="1"/>
  <c r="AB18" i="70" s="1"/>
  <c r="AC170" i="73"/>
  <c r="AC170" i="70" s="1"/>
  <c r="AC168" i="70"/>
  <c r="AA117" i="70"/>
  <c r="AA14" i="65"/>
  <c r="AB14" i="65" s="1"/>
  <c r="AH69" i="73"/>
  <c r="Z120" i="73"/>
  <c r="Z118" i="70"/>
  <c r="AF129" i="73"/>
  <c r="AD173" i="73"/>
  <c r="AC173" i="70"/>
  <c r="AV124" i="73"/>
  <c r="AB47" i="75"/>
  <c r="AB67" i="74"/>
  <c r="L55" i="75"/>
  <c r="L148" i="73" s="1"/>
  <c r="L42" i="75"/>
  <c r="AU63" i="73"/>
  <c r="AS68" i="73"/>
  <c r="M40" i="75"/>
  <c r="I40" i="75"/>
  <c r="AU112" i="73"/>
  <c r="AU110" i="73"/>
  <c r="M34" i="73"/>
  <c r="M147" i="73" s="1"/>
  <c r="AK178" i="73"/>
  <c r="AP68" i="73"/>
  <c r="AH180" i="73"/>
  <c r="AM94" i="73"/>
  <c r="F19" i="77"/>
  <c r="D42" i="75"/>
  <c r="X42" i="75"/>
  <c r="S42" i="75"/>
  <c r="J42" i="75"/>
  <c r="E42" i="75"/>
  <c r="I42" i="75"/>
  <c r="M42" i="75" s="1"/>
  <c r="K42" i="75"/>
  <c r="N42" i="75"/>
  <c r="Y42" i="75"/>
  <c r="T42" i="75"/>
  <c r="AC29" i="75"/>
  <c r="AC63" i="74"/>
  <c r="AC47" i="75"/>
  <c r="AD28" i="74"/>
  <c r="AD22" i="73"/>
  <c r="AS61" i="73"/>
  <c r="T33" i="73"/>
  <c r="T146" i="73" s="1"/>
  <c r="T32" i="73"/>
  <c r="D33" i="73"/>
  <c r="D32" i="73"/>
  <c r="AJ187" i="73"/>
  <c r="AO116" i="73"/>
  <c r="AJ115" i="73"/>
  <c r="AN183" i="73"/>
  <c r="AS101" i="73"/>
  <c r="AJ47" i="74"/>
  <c r="AE48" i="74"/>
  <c r="AI180" i="73"/>
  <c r="AN94" i="73"/>
  <c r="AE21" i="75"/>
  <c r="AF23" i="74"/>
  <c r="O32" i="73"/>
  <c r="O33" i="73"/>
  <c r="O146" i="73" s="1"/>
  <c r="AM47" i="74"/>
  <c r="AH48" i="74"/>
  <c r="AG58" i="75"/>
  <c r="AD143" i="73"/>
  <c r="AE143" i="73" s="1"/>
  <c r="AH183" i="73"/>
  <c r="AM101" i="73"/>
  <c r="AR31" i="74"/>
  <c r="AS31" i="74" s="1"/>
  <c r="AT31" i="74" s="1"/>
  <c r="AU31" i="74" s="1"/>
  <c r="AV31" i="74" s="1"/>
  <c r="AQ31" i="74"/>
  <c r="AH182" i="73"/>
  <c r="AM98" i="73"/>
  <c r="AE183" i="73"/>
  <c r="AJ101" i="73"/>
  <c r="AJ163" i="73"/>
  <c r="AJ163" i="70" s="1"/>
  <c r="AK181" i="73"/>
  <c r="AP96" i="73"/>
  <c r="AV128" i="73"/>
  <c r="AS128" i="73"/>
  <c r="AT128" i="73" s="1"/>
  <c r="AU128" i="73" s="1"/>
  <c r="AM181" i="73"/>
  <c r="AR96" i="73"/>
  <c r="Y85" i="73"/>
  <c r="Y86" i="73" s="1"/>
  <c r="AD86" i="73" s="1"/>
  <c r="AI86" i="73" s="1"/>
  <c r="AN86" i="73" s="1"/>
  <c r="AS86" i="73" s="1"/>
  <c r="Z83" i="73"/>
  <c r="Y146" i="73"/>
  <c r="T74" i="73"/>
  <c r="T76" i="73"/>
  <c r="T77" i="73" s="1"/>
  <c r="S90" i="73"/>
  <c r="AT88" i="73"/>
  <c r="AO7" i="73"/>
  <c r="AO135" i="73" s="1"/>
  <c r="AQ88" i="73"/>
  <c r="AT63" i="73"/>
  <c r="AQ40" i="74"/>
  <c r="AR40" i="74"/>
  <c r="AS40" i="74" s="1"/>
  <c r="AT40" i="74" s="1"/>
  <c r="AU40" i="74" s="1"/>
  <c r="AV40" i="74" s="1"/>
  <c r="F33" i="73"/>
  <c r="K146" i="73" s="1"/>
  <c r="F32" i="73"/>
  <c r="AU55" i="73"/>
  <c r="AP7" i="73"/>
  <c r="AP135" i="73" s="1"/>
  <c r="AQ55" i="73"/>
  <c r="AC153" i="73"/>
  <c r="R30" i="73"/>
  <c r="R32" i="73" s="1"/>
  <c r="N32" i="73"/>
  <c r="N33" i="73"/>
  <c r="N146" i="73" s="1"/>
  <c r="R31" i="73"/>
  <c r="R33" i="73" s="1"/>
  <c r="Q32" i="73"/>
  <c r="Q33" i="73"/>
  <c r="Q146" i="73" s="1"/>
  <c r="I146" i="73"/>
  <c r="AC117" i="73"/>
  <c r="AA118" i="73"/>
  <c r="AE165" i="73"/>
  <c r="AD168" i="73"/>
  <c r="AK175" i="73"/>
  <c r="AP61" i="73"/>
  <c r="S76" i="73"/>
  <c r="S77" i="73" s="1"/>
  <c r="AI35" i="73"/>
  <c r="AD19" i="75"/>
  <c r="AE27" i="74"/>
  <c r="AD16" i="74"/>
  <c r="AD8" i="75" s="1"/>
  <c r="AH136" i="73"/>
  <c r="AI119" i="73"/>
  <c r="AH16" i="73"/>
  <c r="AO112" i="73"/>
  <c r="AQ112" i="73" s="1"/>
  <c r="AQ113" i="73" s="1"/>
  <c r="AT108" i="73"/>
  <c r="AO110" i="73"/>
  <c r="AQ108" i="73"/>
  <c r="AE13" i="74"/>
  <c r="E33" i="73"/>
  <c r="J146" i="73" s="1"/>
  <c r="E32" i="73"/>
  <c r="S147" i="73"/>
  <c r="AE25" i="74"/>
  <c r="AD20" i="75"/>
  <c r="AM55" i="74"/>
  <c r="AN55" i="74" s="1"/>
  <c r="G25" i="73"/>
  <c r="G27" i="73" s="1"/>
  <c r="G143" i="73"/>
  <c r="AF136" i="73"/>
  <c r="AG16" i="73"/>
  <c r="AR61" i="73"/>
  <c r="U147" i="73"/>
  <c r="U41" i="73"/>
  <c r="T57" i="73"/>
  <c r="AR187" i="73"/>
  <c r="AR115" i="73"/>
  <c r="AP47" i="74"/>
  <c r="AK48" i="74"/>
  <c r="G142" i="73"/>
  <c r="G29" i="73"/>
  <c r="G34" i="73" s="1"/>
  <c r="L147" i="73" s="1"/>
  <c r="AI182" i="73"/>
  <c r="AN98" i="73"/>
  <c r="Y106" i="73"/>
  <c r="Y137" i="73"/>
  <c r="E46" i="75"/>
  <c r="E48" i="75" s="1"/>
  <c r="E11" i="74"/>
  <c r="E20" i="74" s="1"/>
  <c r="E144" i="73"/>
  <c r="AE10" i="75"/>
  <c r="AG10" i="75" s="1"/>
  <c r="AG9" i="75"/>
  <c r="AS126" i="73"/>
  <c r="AT126" i="73" s="1"/>
  <c r="AU126" i="73" s="1"/>
  <c r="AV26" i="73"/>
  <c r="AK180" i="73"/>
  <c r="AP94" i="73"/>
  <c r="AE125" i="73"/>
  <c r="AJ178" i="73"/>
  <c r="AO68" i="73"/>
  <c r="T147" i="73"/>
  <c r="AA102" i="73"/>
  <c r="Z14" i="73"/>
  <c r="Z14" i="70" s="1"/>
  <c r="F41" i="75"/>
  <c r="D53" i="74"/>
  <c r="D43" i="74"/>
  <c r="R34" i="73"/>
  <c r="R147" i="73" s="1"/>
  <c r="AK187" i="73"/>
  <c r="AK115" i="73"/>
  <c r="AP116" i="73"/>
  <c r="AJ177" i="73"/>
  <c r="AO65" i="73"/>
  <c r="AT65" i="73" s="1"/>
  <c r="AE180" i="73"/>
  <c r="AJ94" i="73"/>
  <c r="M32" i="73"/>
  <c r="M33" i="73"/>
  <c r="P32" i="73"/>
  <c r="P33" i="73"/>
  <c r="P146" i="73" s="1"/>
  <c r="X146" i="73"/>
  <c r="AL109" i="73"/>
  <c r="O42" i="75"/>
  <c r="AQ126" i="73"/>
  <c r="AS63" i="73"/>
  <c r="AP49" i="74"/>
  <c r="AK50" i="74"/>
  <c r="L39" i="75"/>
  <c r="AS47" i="74"/>
  <c r="AS48" i="74" s="1"/>
  <c r="AN48" i="74"/>
  <c r="AD17" i="75"/>
  <c r="AE10" i="74"/>
  <c r="AL110" i="73"/>
  <c r="AS181" i="73"/>
  <c r="Q39" i="75"/>
  <c r="AM56" i="74"/>
  <c r="Q42" i="75"/>
  <c r="Q55" i="75"/>
  <c r="Q148" i="73" s="1"/>
  <c r="Z52" i="73"/>
  <c r="Z54" i="73" s="1"/>
  <c r="AA50" i="73"/>
  <c r="AE182" i="73"/>
  <c r="AJ98" i="73"/>
  <c r="W30" i="73"/>
  <c r="Y151" i="73" s="1"/>
  <c r="S33" i="73"/>
  <c r="S146" i="73" s="1"/>
  <c r="W31" i="73"/>
  <c r="Y152" i="73" s="1"/>
  <c r="S32" i="73"/>
  <c r="AG111" i="73"/>
  <c r="V33" i="73"/>
  <c r="V146" i="73" s="1"/>
  <c r="V32" i="73"/>
  <c r="AP183" i="73"/>
  <c r="AU101" i="73"/>
  <c r="AR63" i="73"/>
  <c r="AH178" i="73"/>
  <c r="AM68" i="73"/>
  <c r="AF54" i="74"/>
  <c r="AS187" i="73"/>
  <c r="AS115" i="73"/>
  <c r="M54" i="75"/>
  <c r="M22" i="75"/>
  <c r="M55" i="75" s="1"/>
  <c r="M148" i="73" s="1"/>
  <c r="U33" i="73"/>
  <c r="U32" i="73"/>
  <c r="AK182" i="73"/>
  <c r="AP98" i="73"/>
  <c r="V22" i="75"/>
  <c r="W6" i="75"/>
  <c r="W22" i="75" s="1"/>
  <c r="W55" i="75" s="1"/>
  <c r="W148" i="73" s="1"/>
  <c r="R27" i="75"/>
  <c r="R39" i="75" s="1"/>
  <c r="AL113" i="73"/>
  <c r="AB117" i="73"/>
  <c r="AK53" i="65"/>
  <c r="AO53" i="65"/>
  <c r="Z121" i="65"/>
  <c r="AD55" i="66"/>
  <c r="AC16" i="66"/>
  <c r="AA8" i="67"/>
  <c r="AB8" i="67" s="1"/>
  <c r="AS51" i="66"/>
  <c r="AS52" i="66" s="1"/>
  <c r="AB17" i="67"/>
  <c r="AD54" i="66"/>
  <c r="Z172" i="65"/>
  <c r="Z18" i="65"/>
  <c r="AK135" i="65"/>
  <c r="AP7" i="65"/>
  <c r="AJ135" i="65"/>
  <c r="AL112" i="65"/>
  <c r="AL113" i="65" s="1"/>
  <c r="AB16" i="66"/>
  <c r="AF40" i="66"/>
  <c r="AF39" i="66"/>
  <c r="AF33" i="66"/>
  <c r="AF34" i="66"/>
  <c r="AF31" i="66"/>
  <c r="AF32" i="66"/>
  <c r="AC8" i="67"/>
  <c r="AB21" i="67"/>
  <c r="AB20" i="67"/>
  <c r="AF24" i="66"/>
  <c r="AF26" i="66"/>
  <c r="AF18" i="66"/>
  <c r="AF19" i="66"/>
  <c r="AF15" i="66"/>
  <c r="AA170" i="65"/>
  <c r="AC117" i="65"/>
  <c r="AB117" i="65"/>
  <c r="AA118" i="65"/>
  <c r="AC102" i="65"/>
  <c r="AJ145" i="65"/>
  <c r="AD129" i="65"/>
  <c r="AD129" i="70" s="1"/>
  <c r="AD126" i="65"/>
  <c r="AD128" i="65"/>
  <c r="AA9" i="67"/>
  <c r="AG116" i="65"/>
  <c r="AV108" i="65"/>
  <c r="Y120" i="65"/>
  <c r="AI135" i="65"/>
  <c r="AB57" i="67"/>
  <c r="AG57" i="67"/>
  <c r="AA58" i="67"/>
  <c r="AD26" i="65"/>
  <c r="D43" i="71"/>
  <c r="AH48" i="66"/>
  <c r="AM47" i="66"/>
  <c r="AH178" i="65"/>
  <c r="AM68" i="65"/>
  <c r="AE35" i="65"/>
  <c r="AO56" i="67"/>
  <c r="AP56" i="67" s="1"/>
  <c r="AL7" i="65"/>
  <c r="AF178" i="65"/>
  <c r="AK68" i="65"/>
  <c r="AJ163" i="65"/>
  <c r="W32" i="65"/>
  <c r="W33" i="65"/>
  <c r="AC21" i="67"/>
  <c r="AD23" i="66"/>
  <c r="M34" i="65"/>
  <c r="AK177" i="65"/>
  <c r="AP65" i="65"/>
  <c r="AU65" i="65" s="1"/>
  <c r="AE182" i="65"/>
  <c r="AJ98" i="65"/>
  <c r="AP181" i="65"/>
  <c r="AU96" i="65"/>
  <c r="AS55" i="65"/>
  <c r="AN7" i="65"/>
  <c r="AQ55" i="65"/>
  <c r="T41" i="65"/>
  <c r="S57" i="65"/>
  <c r="AE180" i="65"/>
  <c r="AJ94" i="65"/>
  <c r="AN187" i="65"/>
  <c r="AS116" i="65"/>
  <c r="AN115" i="65"/>
  <c r="AR56" i="67"/>
  <c r="T146" i="65"/>
  <c r="D53" i="66"/>
  <c r="D43" i="66"/>
  <c r="AB47" i="67"/>
  <c r="AB67" i="66"/>
  <c r="AJ176" i="65"/>
  <c r="AO63" i="65"/>
  <c r="M32" i="65"/>
  <c r="M33" i="65"/>
  <c r="AO187" i="65"/>
  <c r="AT116" i="65"/>
  <c r="AO115" i="65"/>
  <c r="AC47" i="67"/>
  <c r="AC29" i="67"/>
  <c r="AC63" i="66"/>
  <c r="AD28" i="66"/>
  <c r="AD22" i="65"/>
  <c r="AT123" i="65"/>
  <c r="AS88" i="65"/>
  <c r="AQ88" i="65"/>
  <c r="AR61" i="65"/>
  <c r="AJ47" i="66"/>
  <c r="AE48" i="66"/>
  <c r="AD13" i="66"/>
  <c r="S43" i="65"/>
  <c r="S44" i="65" s="1"/>
  <c r="H24" i="67"/>
  <c r="H27" i="67" s="1"/>
  <c r="H39" i="67" s="1"/>
  <c r="H41" i="67" s="1"/>
  <c r="AF183" i="65"/>
  <c r="AK101" i="65"/>
  <c r="AO181" i="65"/>
  <c r="AT96" i="65"/>
  <c r="AF182" i="65"/>
  <c r="AK98" i="65"/>
  <c r="Q32" i="65"/>
  <c r="Q33" i="65"/>
  <c r="Q146" i="65" s="1"/>
  <c r="AE177" i="65"/>
  <c r="AJ65" i="65"/>
  <c r="AK47" i="66"/>
  <c r="AF48" i="66"/>
  <c r="R147" i="65"/>
  <c r="AQ124" i="65"/>
  <c r="AM181" i="65"/>
  <c r="AR96" i="65"/>
  <c r="N42" i="67"/>
  <c r="F19" i="69"/>
  <c r="X42" i="67"/>
  <c r="D42" i="67"/>
  <c r="I42" i="67"/>
  <c r="J42" i="67"/>
  <c r="S42" i="67"/>
  <c r="E42" i="67"/>
  <c r="T42" i="67"/>
  <c r="O42" i="67"/>
  <c r="AK176" i="65"/>
  <c r="AP63" i="65"/>
  <c r="U42" i="67"/>
  <c r="AK180" i="65"/>
  <c r="AP94" i="65"/>
  <c r="Z10" i="67"/>
  <c r="AB9" i="67"/>
  <c r="AM187" i="65"/>
  <c r="AR116" i="65"/>
  <c r="AM115" i="65"/>
  <c r="AI176" i="65"/>
  <c r="AN63" i="65"/>
  <c r="AG110" i="65"/>
  <c r="AC20" i="67"/>
  <c r="AD25" i="66"/>
  <c r="Q55" i="67"/>
  <c r="Q148" i="65" s="1"/>
  <c r="Q42" i="67"/>
  <c r="F32" i="65"/>
  <c r="F33" i="65"/>
  <c r="K146" i="65" s="1"/>
  <c r="AU123" i="65"/>
  <c r="X83" i="65"/>
  <c r="W83" i="65"/>
  <c r="V85" i="65"/>
  <c r="V86" i="65" s="1"/>
  <c r="AA86" i="65" s="1"/>
  <c r="AF86" i="65" s="1"/>
  <c r="AK86" i="65" s="1"/>
  <c r="AP86" i="65" s="1"/>
  <c r="AU86" i="65" s="1"/>
  <c r="P32" i="65"/>
  <c r="P33" i="65"/>
  <c r="P146" i="65" s="1"/>
  <c r="AL115" i="65"/>
  <c r="K42" i="67"/>
  <c r="L55" i="67"/>
  <c r="L148" i="65" s="1"/>
  <c r="L42" i="67"/>
  <c r="U147" i="65"/>
  <c r="AO186" i="65"/>
  <c r="AT113" i="65"/>
  <c r="AO112" i="65"/>
  <c r="AA136" i="65"/>
  <c r="W34" i="65"/>
  <c r="W147" i="65" s="1"/>
  <c r="AH182" i="65"/>
  <c r="AM98" i="65"/>
  <c r="AE175" i="65"/>
  <c r="AJ61" i="65"/>
  <c r="AD119" i="65"/>
  <c r="AC16" i="65"/>
  <c r="AH183" i="65"/>
  <c r="AM101" i="65"/>
  <c r="AF175" i="65"/>
  <c r="AK61" i="65"/>
  <c r="AM185" i="65"/>
  <c r="AR111" i="65"/>
  <c r="AM110" i="65"/>
  <c r="AP186" i="65"/>
  <c r="AU113" i="65"/>
  <c r="AP112" i="65"/>
  <c r="D142" i="65"/>
  <c r="D29" i="65"/>
  <c r="D34" i="65" s="1"/>
  <c r="I147" i="65" s="1"/>
  <c r="AE27" i="66"/>
  <c r="AD19" i="67"/>
  <c r="V32" i="65"/>
  <c r="V33" i="65"/>
  <c r="V146" i="65" s="1"/>
  <c r="AI185" i="65"/>
  <c r="AN111" i="65"/>
  <c r="AI110" i="65"/>
  <c r="W57" i="67"/>
  <c r="W37" i="67"/>
  <c r="AK185" i="65"/>
  <c r="AP111" i="65"/>
  <c r="AK110" i="65"/>
  <c r="S146" i="65"/>
  <c r="H142" i="65"/>
  <c r="H29" i="65"/>
  <c r="H34" i="65" s="1"/>
  <c r="X146" i="65"/>
  <c r="AC17" i="67"/>
  <c r="AD10" i="66"/>
  <c r="AN186" i="65"/>
  <c r="AS113" i="65"/>
  <c r="AN112" i="65"/>
  <c r="V22" i="67"/>
  <c r="V39" i="67" s="1"/>
  <c r="W6" i="67"/>
  <c r="W22" i="67" s="1"/>
  <c r="W55" i="67" s="1"/>
  <c r="W148" i="65" s="1"/>
  <c r="AB29" i="67"/>
  <c r="AU115" i="65"/>
  <c r="AU187" i="65"/>
  <c r="R39" i="67"/>
  <c r="AL124" i="65"/>
  <c r="AM94" i="65"/>
  <c r="AH180" i="65"/>
  <c r="J146" i="65"/>
  <c r="AR186" i="65"/>
  <c r="AR112" i="65"/>
  <c r="T74" i="65"/>
  <c r="S90" i="65"/>
  <c r="AJ185" i="65"/>
  <c r="AO111" i="65"/>
  <c r="AJ110" i="65"/>
  <c r="M22" i="67"/>
  <c r="M55" i="67" s="1"/>
  <c r="M148" i="65" s="1"/>
  <c r="Q39" i="67"/>
  <c r="AO7" i="65"/>
  <c r="F40" i="67"/>
  <c r="F41" i="67" s="1"/>
  <c r="E6" i="66"/>
  <c r="AE183" i="65"/>
  <c r="AJ101" i="65"/>
  <c r="AR7" i="65"/>
  <c r="G25" i="65"/>
  <c r="G27" i="65" s="1"/>
  <c r="G143" i="65"/>
  <c r="AD165" i="65"/>
  <c r="AC168" i="65"/>
  <c r="U146" i="65"/>
  <c r="AB111" i="65"/>
  <c r="G142" i="65"/>
  <c r="G29" i="65"/>
  <c r="G34" i="65" s="1"/>
  <c r="L147" i="65" s="1"/>
  <c r="X52" i="65"/>
  <c r="X53" i="65" s="1"/>
  <c r="AC53" i="65" s="1"/>
  <c r="AH53" i="65" s="1"/>
  <c r="AM53" i="65" s="1"/>
  <c r="AR53" i="65" s="1"/>
  <c r="Y50" i="65"/>
  <c r="AN181" i="65"/>
  <c r="AS96" i="65"/>
  <c r="R146" i="65"/>
  <c r="R36" i="65"/>
  <c r="AE178" i="65"/>
  <c r="AJ68" i="65"/>
  <c r="E32" i="65"/>
  <c r="E33" i="65"/>
  <c r="AT7" i="65"/>
  <c r="AR135" i="65"/>
  <c r="AE125" i="65"/>
  <c r="AD69" i="65"/>
  <c r="AD69" i="70" s="1"/>
  <c r="V35" i="62"/>
  <c r="L35" i="62"/>
  <c r="AR52" i="57"/>
  <c r="AR52" i="62" s="1"/>
  <c r="AC10" i="57"/>
  <c r="AC10" i="62" s="1"/>
  <c r="AB10" i="57"/>
  <c r="AB10" i="62" s="1"/>
  <c r="V56" i="62"/>
  <c r="Y56" i="57"/>
  <c r="G48" i="57"/>
  <c r="G48" i="62" s="1"/>
  <c r="G47" i="62"/>
  <c r="D53" i="57"/>
  <c r="D53" i="62" s="1"/>
  <c r="D20" i="62"/>
  <c r="AJ49" i="57"/>
  <c r="AE49" i="62"/>
  <c r="AE50" i="57"/>
  <c r="AE50" i="62" s="1"/>
  <c r="AJ51" i="57"/>
  <c r="AE51" i="62"/>
  <c r="T35" i="62"/>
  <c r="T42" i="57"/>
  <c r="T42" i="62" s="1"/>
  <c r="R35" i="62"/>
  <c r="R42" i="57"/>
  <c r="R42" i="62" s="1"/>
  <c r="N42" i="57"/>
  <c r="N42" i="62" s="1"/>
  <c r="AN51" i="57"/>
  <c r="AI51" i="62"/>
  <c r="AI52" i="57"/>
  <c r="AI52" i="62" s="1"/>
  <c r="W25" i="62"/>
  <c r="W30" i="57"/>
  <c r="J42" i="57"/>
  <c r="J42" i="62" s="1"/>
  <c r="J35" i="62"/>
  <c r="I35" i="62"/>
  <c r="I42" i="57"/>
  <c r="I42" i="62" s="1"/>
  <c r="AC31" i="62"/>
  <c r="Z28" i="62"/>
  <c r="Z63" i="57"/>
  <c r="Z63" i="62" s="1"/>
  <c r="Z29" i="58"/>
  <c r="Z29" i="63" s="1"/>
  <c r="AA22" i="56"/>
  <c r="Z47" i="58"/>
  <c r="Z47" i="63" s="1"/>
  <c r="Y118" i="56"/>
  <c r="Y120" i="56" s="1"/>
  <c r="Y121" i="56" s="1"/>
  <c r="Y121" i="61" s="1"/>
  <c r="Y112" i="61"/>
  <c r="AV128" i="56"/>
  <c r="AV128" i="61" s="1"/>
  <c r="AQ128" i="56"/>
  <c r="AQ128" i="61" s="1"/>
  <c r="AL128" i="56"/>
  <c r="AL128" i="61" s="1"/>
  <c r="AV126" i="56"/>
  <c r="AV126" i="61" s="1"/>
  <c r="AV125" i="56"/>
  <c r="AV125" i="61" s="1"/>
  <c r="AP125" i="61"/>
  <c r="AQ125" i="56"/>
  <c r="AQ125" i="61" s="1"/>
  <c r="AQ126" i="56"/>
  <c r="AQ126" i="61" s="1"/>
  <c r="AL126" i="56"/>
  <c r="AL126" i="61" s="1"/>
  <c r="AG128" i="56"/>
  <c r="AG128" i="61" s="1"/>
  <c r="AD117" i="56"/>
  <c r="AD117" i="61" s="1"/>
  <c r="AA54" i="57"/>
  <c r="AA54" i="62" s="1"/>
  <c r="AE40" i="57"/>
  <c r="AD40" i="62"/>
  <c r="AJ39" i="57"/>
  <c r="AI39" i="62"/>
  <c r="AE31" i="57"/>
  <c r="AD31" i="62"/>
  <c r="AE34" i="57"/>
  <c r="AD34" i="62"/>
  <c r="AE32" i="57"/>
  <c r="AD32" i="62"/>
  <c r="AA33" i="62"/>
  <c r="AC33" i="57"/>
  <c r="AB33" i="57"/>
  <c r="AB33" i="62" s="1"/>
  <c r="AE26" i="57"/>
  <c r="AD26" i="62"/>
  <c r="AE24" i="57"/>
  <c r="AD24" i="62"/>
  <c r="AD15" i="57"/>
  <c r="AC15" i="62"/>
  <c r="AD19" i="57"/>
  <c r="AC19" i="62"/>
  <c r="AE18" i="57"/>
  <c r="AD18" i="62"/>
  <c r="AA17" i="58"/>
  <c r="AF173" i="56"/>
  <c r="AE173" i="61"/>
  <c r="Y172" i="56"/>
  <c r="Y170" i="61"/>
  <c r="Y18" i="56"/>
  <c r="Z172" i="61"/>
  <c r="Z28" i="56"/>
  <c r="Z28" i="61" s="1"/>
  <c r="X28" i="61"/>
  <c r="AA170" i="56"/>
  <c r="AA168" i="61"/>
  <c r="AD165" i="56"/>
  <c r="AC165" i="61"/>
  <c r="AC168" i="56"/>
  <c r="Z102" i="56"/>
  <c r="Y102" i="61"/>
  <c r="AD145" i="61"/>
  <c r="AE145" i="56"/>
  <c r="AC129" i="56"/>
  <c r="AA129" i="61"/>
  <c r="AB115" i="56"/>
  <c r="X115" i="61"/>
  <c r="Y57" i="58"/>
  <c r="Y33" i="63"/>
  <c r="AC30" i="56"/>
  <c r="AA30" i="61"/>
  <c r="AD57" i="58"/>
  <c r="AD57" i="63" s="1"/>
  <c r="AD33" i="63"/>
  <c r="Z26" i="56"/>
  <c r="Y26" i="61"/>
  <c r="AL109" i="56"/>
  <c r="AL109" i="61" s="1"/>
  <c r="AK181" i="56"/>
  <c r="AP96" i="56"/>
  <c r="AP96" i="61" s="1"/>
  <c r="S33" i="56"/>
  <c r="S146" i="56" s="1"/>
  <c r="W30" i="56"/>
  <c r="W32" i="56" s="1"/>
  <c r="S32" i="56"/>
  <c r="O142" i="56"/>
  <c r="O29" i="56"/>
  <c r="O34" i="56" s="1"/>
  <c r="Q32" i="56"/>
  <c r="Q33" i="56"/>
  <c r="AI176" i="56"/>
  <c r="AN63" i="56"/>
  <c r="V24" i="58"/>
  <c r="V27" i="58" s="1"/>
  <c r="U27" i="58"/>
  <c r="U55" i="58"/>
  <c r="U148" i="56" s="1"/>
  <c r="O143" i="56"/>
  <c r="O25" i="56"/>
  <c r="O27" i="56" s="1"/>
  <c r="AN185" i="56"/>
  <c r="AS111" i="56"/>
  <c r="AN110" i="56"/>
  <c r="AF163" i="56"/>
  <c r="AE117" i="56"/>
  <c r="AE117" i="61" s="1"/>
  <c r="Q56" i="58"/>
  <c r="R25" i="58"/>
  <c r="R56" i="58" s="1"/>
  <c r="AJ187" i="56"/>
  <c r="AO116" i="56"/>
  <c r="AJ115" i="56"/>
  <c r="AB111" i="56"/>
  <c r="AB111" i="61" s="1"/>
  <c r="AG109" i="56"/>
  <c r="AG109" i="61" s="1"/>
  <c r="U39" i="58"/>
  <c r="D142" i="56"/>
  <c r="D29" i="56"/>
  <c r="D34" i="56" s="1"/>
  <c r="AR111" i="56"/>
  <c r="AR111" i="61" s="1"/>
  <c r="AM185" i="56"/>
  <c r="AM110" i="56"/>
  <c r="AM110" i="61" s="1"/>
  <c r="P55" i="58"/>
  <c r="P148" i="56" s="1"/>
  <c r="AB112" i="56"/>
  <c r="AB118" i="56" s="1"/>
  <c r="AB118" i="61" s="1"/>
  <c r="X118" i="56"/>
  <c r="AJ177" i="56"/>
  <c r="AO65" i="56"/>
  <c r="AT65" i="56" s="1"/>
  <c r="AE181" i="56"/>
  <c r="AJ96" i="56"/>
  <c r="AJ96" i="61" s="1"/>
  <c r="R25" i="56"/>
  <c r="R27" i="56" s="1"/>
  <c r="R143" i="56"/>
  <c r="R22" i="58"/>
  <c r="AD44" i="56"/>
  <c r="Y8" i="58"/>
  <c r="Y8" i="63" s="1"/>
  <c r="AA19" i="58"/>
  <c r="AA19" i="63" s="1"/>
  <c r="AC27" i="57"/>
  <c r="AC27" i="62" s="1"/>
  <c r="AB27" i="57"/>
  <c r="AB27" i="62" s="1"/>
  <c r="V37" i="58"/>
  <c r="W29" i="58"/>
  <c r="D143" i="56"/>
  <c r="D25" i="56"/>
  <c r="D27" i="56" s="1"/>
  <c r="K143" i="56"/>
  <c r="K25" i="56"/>
  <c r="K27" i="56" s="1"/>
  <c r="AE47" i="57"/>
  <c r="AE47" i="62" s="1"/>
  <c r="Z48" i="57"/>
  <c r="Z48" i="62" s="1"/>
  <c r="O55" i="58"/>
  <c r="O148" i="56" s="1"/>
  <c r="AH113" i="56"/>
  <c r="AH113" i="61" s="1"/>
  <c r="AC186" i="56"/>
  <c r="AC112" i="56"/>
  <c r="AC112" i="61" s="1"/>
  <c r="AE178" i="56"/>
  <c r="AJ68" i="56"/>
  <c r="L56" i="57"/>
  <c r="L56" i="62" s="1"/>
  <c r="L22" i="58"/>
  <c r="M7" i="58"/>
  <c r="AA13" i="57"/>
  <c r="AA13" i="62" s="1"/>
  <c r="L32" i="56"/>
  <c r="L33" i="56"/>
  <c r="AG124" i="56"/>
  <c r="AG124" i="61" s="1"/>
  <c r="U41" i="56"/>
  <c r="U43" i="56" s="1"/>
  <c r="U44" i="56" s="1"/>
  <c r="Z44" i="56" s="1"/>
  <c r="T57" i="56"/>
  <c r="I33" i="56"/>
  <c r="M31" i="56"/>
  <c r="M30" i="56"/>
  <c r="I32" i="56"/>
  <c r="AK115" i="56"/>
  <c r="K142" i="56"/>
  <c r="K29" i="56"/>
  <c r="K34" i="56" s="1"/>
  <c r="AT123" i="56"/>
  <c r="F40" i="58"/>
  <c r="E6" i="57"/>
  <c r="N147" i="56"/>
  <c r="W24" i="58"/>
  <c r="V83" i="56"/>
  <c r="U85" i="56"/>
  <c r="U86" i="56" s="1"/>
  <c r="Z86" i="56" s="1"/>
  <c r="AE86" i="56" s="1"/>
  <c r="AJ86" i="56" s="1"/>
  <c r="AO86" i="56" s="1"/>
  <c r="AT86" i="56" s="1"/>
  <c r="L142" i="56"/>
  <c r="L29" i="56"/>
  <c r="L34" i="56" s="1"/>
  <c r="F142" i="56"/>
  <c r="F29" i="56"/>
  <c r="F34" i="56" s="1"/>
  <c r="AE176" i="56"/>
  <c r="AJ63" i="56"/>
  <c r="AK183" i="56"/>
  <c r="AP101" i="56"/>
  <c r="AK112" i="56"/>
  <c r="AP187" i="56"/>
  <c r="AU116" i="56"/>
  <c r="G22" i="58"/>
  <c r="G56" i="57"/>
  <c r="G56" i="62" s="1"/>
  <c r="H7" i="58"/>
  <c r="G24" i="58"/>
  <c r="F27" i="58"/>
  <c r="F39" i="58" s="1"/>
  <c r="AF47" i="57"/>
  <c r="AF47" i="62" s="1"/>
  <c r="AA48" i="57"/>
  <c r="AA48" i="62" s="1"/>
  <c r="K55" i="58"/>
  <c r="K148" i="56" s="1"/>
  <c r="AM88" i="56"/>
  <c r="AM88" i="61" s="1"/>
  <c r="AL88" i="56"/>
  <c r="AL88" i="61" s="1"/>
  <c r="AH7" i="56"/>
  <c r="AH7" i="61" s="1"/>
  <c r="Q147" i="56"/>
  <c r="AP123" i="56"/>
  <c r="AF176" i="56"/>
  <c r="AK63" i="56"/>
  <c r="F143" i="56"/>
  <c r="F25" i="56"/>
  <c r="F27" i="56" s="1"/>
  <c r="AP186" i="56"/>
  <c r="AU113" i="56"/>
  <c r="AP112" i="56"/>
  <c r="V6" i="58"/>
  <c r="V27" i="56"/>
  <c r="S76" i="56"/>
  <c r="S77" i="56" s="1"/>
  <c r="S74" i="56"/>
  <c r="Q90" i="56"/>
  <c r="W90" i="56" s="1"/>
  <c r="R74" i="56"/>
  <c r="AD181" i="56"/>
  <c r="AI96" i="56"/>
  <c r="AI96" i="61" s="1"/>
  <c r="AD177" i="56"/>
  <c r="AI65" i="56"/>
  <c r="AI175" i="56"/>
  <c r="AN61" i="56"/>
  <c r="AK110" i="56"/>
  <c r="AL123" i="56"/>
  <c r="AL123" i="61" s="1"/>
  <c r="U142" i="56"/>
  <c r="U29" i="56"/>
  <c r="U34" i="56" s="1"/>
  <c r="AA182" i="56"/>
  <c r="AF98" i="56"/>
  <c r="AC187" i="56"/>
  <c r="AC115" i="56"/>
  <c r="AH116" i="56"/>
  <c r="AH116" i="61" s="1"/>
  <c r="L24" i="58"/>
  <c r="K27" i="58"/>
  <c r="K39" i="58" s="1"/>
  <c r="Q76" i="56"/>
  <c r="Q77" i="56" s="1"/>
  <c r="Y182" i="56"/>
  <c r="AD98" i="56"/>
  <c r="AD98" i="61" s="1"/>
  <c r="Y48" i="57"/>
  <c r="Y48" i="62" s="1"/>
  <c r="AD47" i="57"/>
  <c r="AD47" i="62" s="1"/>
  <c r="AN55" i="56"/>
  <c r="AL55" i="56"/>
  <c r="AL55" i="61" s="1"/>
  <c r="AI7" i="56"/>
  <c r="AI135" i="56" s="1"/>
  <c r="AK7" i="56"/>
  <c r="AK135" i="56" s="1"/>
  <c r="AP55" i="56"/>
  <c r="AP185" i="56"/>
  <c r="AU111" i="56"/>
  <c r="AM49" i="57"/>
  <c r="AM49" i="62" s="1"/>
  <c r="AH50" i="57"/>
  <c r="AH50" i="62" s="1"/>
  <c r="U143" i="56"/>
  <c r="U25" i="56"/>
  <c r="U27" i="56" s="1"/>
  <c r="AC17" i="58"/>
  <c r="AC17" i="63" s="1"/>
  <c r="AD10" i="57"/>
  <c r="AD10" i="62" s="1"/>
  <c r="Z16" i="57"/>
  <c r="AS123" i="56"/>
  <c r="AJ175" i="56"/>
  <c r="AO61" i="56"/>
  <c r="AK177" i="56"/>
  <c r="AP65" i="56"/>
  <c r="AU65" i="56" s="1"/>
  <c r="AE182" i="56"/>
  <c r="AJ98" i="56"/>
  <c r="AH181" i="56"/>
  <c r="AM96" i="56"/>
  <c r="AM96" i="61" s="1"/>
  <c r="AI183" i="56"/>
  <c r="AN101" i="56"/>
  <c r="AN101" i="61" s="1"/>
  <c r="I147" i="56"/>
  <c r="H32" i="56"/>
  <c r="H33" i="56"/>
  <c r="H36" i="56" s="1"/>
  <c r="T142" i="56"/>
  <c r="T29" i="56"/>
  <c r="T34" i="56" s="1"/>
  <c r="T147" i="56" s="1"/>
  <c r="Q24" i="58"/>
  <c r="P27" i="58"/>
  <c r="P39" i="58" s="1"/>
  <c r="AA55" i="57"/>
  <c r="AA55" i="62" s="1"/>
  <c r="AJ111" i="56"/>
  <c r="AE110" i="56"/>
  <c r="AE185" i="56"/>
  <c r="AJ135" i="56"/>
  <c r="AJ7" i="56"/>
  <c r="AO55" i="56"/>
  <c r="V56" i="58"/>
  <c r="W25" i="58"/>
  <c r="W56" i="58" s="1"/>
  <c r="R65" i="57"/>
  <c r="R64" i="57" s="1"/>
  <c r="R64" i="62" s="1"/>
  <c r="R142" i="56"/>
  <c r="R29" i="56"/>
  <c r="AD186" i="56"/>
  <c r="AI113" i="56"/>
  <c r="AI113" i="61" s="1"/>
  <c r="AD112" i="56"/>
  <c r="AE33" i="58"/>
  <c r="AE33" i="63" s="1"/>
  <c r="Z33" i="58"/>
  <c r="Z33" i="63" s="1"/>
  <c r="AA35" i="56"/>
  <c r="AA35" i="61" s="1"/>
  <c r="AQ123" i="56"/>
  <c r="AQ123" i="61" s="1"/>
  <c r="G141" i="56"/>
  <c r="G23" i="56"/>
  <c r="G19" i="56"/>
  <c r="G137" i="56"/>
  <c r="T143" i="56"/>
  <c r="T25" i="56"/>
  <c r="T27" i="56" s="1"/>
  <c r="AA21" i="58"/>
  <c r="AB23" i="57"/>
  <c r="AB23" i="62" s="1"/>
  <c r="AC23" i="57"/>
  <c r="AC23" i="62" s="1"/>
  <c r="AD178" i="56"/>
  <c r="AI68" i="56"/>
  <c r="Z118" i="56"/>
  <c r="AE186" i="56"/>
  <c r="AE112" i="56"/>
  <c r="AJ113" i="56"/>
  <c r="AA175" i="56"/>
  <c r="AF61" i="56"/>
  <c r="Y14" i="56"/>
  <c r="Y14" i="61" s="1"/>
  <c r="Z25" i="57"/>
  <c r="Z25" i="62" s="1"/>
  <c r="Y20" i="58"/>
  <c r="Y20" i="63" s="1"/>
  <c r="AF180" i="56"/>
  <c r="AK94" i="56"/>
  <c r="AK94" i="61" s="1"/>
  <c r="AJ183" i="56"/>
  <c r="AO101" i="56"/>
  <c r="N32" i="56"/>
  <c r="N33" i="56"/>
  <c r="AS56" i="58"/>
  <c r="AT56" i="58" s="1"/>
  <c r="AU56" i="58" s="1"/>
  <c r="Y9" i="58"/>
  <c r="Y9" i="63" s="1"/>
  <c r="W34" i="58"/>
  <c r="W57" i="58" s="1"/>
  <c r="AH176" i="56"/>
  <c r="AM63" i="56"/>
  <c r="AM63" i="61" s="1"/>
  <c r="AN187" i="56"/>
  <c r="AS116" i="56"/>
  <c r="AN115" i="56"/>
  <c r="AA69" i="56"/>
  <c r="AA69" i="61" s="1"/>
  <c r="AG7" i="56"/>
  <c r="AG7" i="61" s="1"/>
  <c r="AC135" i="56"/>
  <c r="AA178" i="56"/>
  <c r="AF68" i="56"/>
  <c r="AA119" i="56"/>
  <c r="AA119" i="61" s="1"/>
  <c r="Z16" i="56"/>
  <c r="P142" i="56"/>
  <c r="P29" i="56"/>
  <c r="P34" i="56" s="1"/>
  <c r="P147" i="56" s="1"/>
  <c r="AP108" i="56"/>
  <c r="AD180" i="56"/>
  <c r="AI94" i="56"/>
  <c r="AI94" i="61" s="1"/>
  <c r="M65" i="57"/>
  <c r="M64" i="57" s="1"/>
  <c r="M64" i="62" s="1"/>
  <c r="M142" i="56"/>
  <c r="M29" i="56"/>
  <c r="J143" i="56"/>
  <c r="J25" i="56"/>
  <c r="J27" i="56" s="1"/>
  <c r="AR108" i="56"/>
  <c r="AR108" i="61" s="1"/>
  <c r="AQ108" i="56"/>
  <c r="AQ108" i="61" s="1"/>
  <c r="AU49" i="57"/>
  <c r="AP50" i="57"/>
  <c r="AP50" i="62" s="1"/>
  <c r="AK51" i="57"/>
  <c r="AK51" i="62" s="1"/>
  <c r="AF52" i="57"/>
  <c r="AF52" i="62" s="1"/>
  <c r="Y136" i="56"/>
  <c r="P143" i="56"/>
  <c r="P25" i="56"/>
  <c r="P27" i="56" s="1"/>
  <c r="L53" i="58"/>
  <c r="M12" i="58"/>
  <c r="M53" i="58" s="1"/>
  <c r="X50" i="56"/>
  <c r="X50" i="61" s="1"/>
  <c r="W50" i="56"/>
  <c r="V52" i="56"/>
  <c r="V53" i="56" s="1"/>
  <c r="AA53" i="56" s="1"/>
  <c r="AF53" i="56" s="1"/>
  <c r="AK53" i="56" s="1"/>
  <c r="AP53" i="56" s="1"/>
  <c r="AU53" i="56" s="1"/>
  <c r="M25" i="56"/>
  <c r="M27" i="56" s="1"/>
  <c r="M143" i="56"/>
  <c r="J142" i="56"/>
  <c r="J29" i="56"/>
  <c r="J34" i="56" s="1"/>
  <c r="J147" i="56" s="1"/>
  <c r="V147" i="56"/>
  <c r="AE180" i="56"/>
  <c r="AJ94" i="56"/>
  <c r="AJ94" i="61" s="1"/>
  <c r="AD117" i="48"/>
  <c r="S182" i="48"/>
  <c r="X98" i="48"/>
  <c r="Z176" i="48"/>
  <c r="AE63" i="48"/>
  <c r="P37" i="50"/>
  <c r="P39" i="50" s="1"/>
  <c r="Q29" i="50"/>
  <c r="M105" i="48"/>
  <c r="M106" i="48" s="1"/>
  <c r="I106" i="48"/>
  <c r="V175" i="48"/>
  <c r="AA61" i="48"/>
  <c r="W17" i="50"/>
  <c r="R27" i="50"/>
  <c r="AD54" i="49"/>
  <c r="AG34" i="49"/>
  <c r="AH34" i="49"/>
  <c r="AI34" i="49" s="1"/>
  <c r="AJ34" i="49" s="1"/>
  <c r="AK34" i="49" s="1"/>
  <c r="AH33" i="49"/>
  <c r="AI33" i="49" s="1"/>
  <c r="AJ33" i="49" s="1"/>
  <c r="AK33" i="49" s="1"/>
  <c r="AG33" i="49"/>
  <c r="S183" i="48"/>
  <c r="X101" i="48"/>
  <c r="Z178" i="48"/>
  <c r="AE68" i="48"/>
  <c r="AK108" i="48"/>
  <c r="S177" i="48"/>
  <c r="X65" i="48"/>
  <c r="L137" i="48"/>
  <c r="Z183" i="48"/>
  <c r="AE101" i="48"/>
  <c r="G47" i="49"/>
  <c r="G48" i="49" s="1"/>
  <c r="G17" i="48"/>
  <c r="I55" i="50"/>
  <c r="I148" i="48" s="1"/>
  <c r="AH39" i="49"/>
  <c r="AI39" i="49" s="1"/>
  <c r="AJ39" i="49" s="1"/>
  <c r="AK39" i="49" s="1"/>
  <c r="AG39" i="49"/>
  <c r="AU123" i="48"/>
  <c r="AN108" i="48"/>
  <c r="AD181" i="48"/>
  <c r="AI96" i="48"/>
  <c r="AE117" i="48"/>
  <c r="AE129" i="48"/>
  <c r="AF163" i="48"/>
  <c r="AS88" i="48"/>
  <c r="J137" i="48"/>
  <c r="AD26" i="48"/>
  <c r="AE26" i="48" s="1"/>
  <c r="AF26" i="48" s="1"/>
  <c r="AH26" i="48" s="1"/>
  <c r="N39" i="50"/>
  <c r="AA48" i="49"/>
  <c r="AF47" i="49"/>
  <c r="Q141" i="48"/>
  <c r="Q23" i="48"/>
  <c r="Q19" i="48"/>
  <c r="M141" i="48"/>
  <c r="M23" i="48"/>
  <c r="M19" i="48"/>
  <c r="AN123" i="48"/>
  <c r="U141" i="48"/>
  <c r="U23" i="48"/>
  <c r="U19" i="48"/>
  <c r="T141" i="48"/>
  <c r="T23" i="48"/>
  <c r="T19" i="48"/>
  <c r="P13" i="50"/>
  <c r="Q13" i="50" s="1"/>
  <c r="Q10" i="50"/>
  <c r="P54" i="50"/>
  <c r="K56" i="49"/>
  <c r="L7" i="50"/>
  <c r="K22" i="50"/>
  <c r="Y17" i="50"/>
  <c r="Z10" i="49"/>
  <c r="Q183" i="48"/>
  <c r="AO108" i="48"/>
  <c r="W61" i="48"/>
  <c r="W65" i="48"/>
  <c r="W68" i="48"/>
  <c r="V178" i="48"/>
  <c r="AA68" i="48"/>
  <c r="AB26" i="48"/>
  <c r="R30" i="50"/>
  <c r="AD175" i="48"/>
  <c r="AI61" i="48"/>
  <c r="U182" i="48"/>
  <c r="Z98" i="48"/>
  <c r="X180" i="48"/>
  <c r="AC94" i="48"/>
  <c r="I137" i="48"/>
  <c r="V177" i="48"/>
  <c r="AA65" i="48"/>
  <c r="L140" i="48"/>
  <c r="Y178" i="48"/>
  <c r="AD68" i="48"/>
  <c r="T52" i="48"/>
  <c r="T53" i="48" s="1"/>
  <c r="Y53" i="48" s="1"/>
  <c r="AD53" i="48" s="1"/>
  <c r="AI53" i="48" s="1"/>
  <c r="U50" i="48"/>
  <c r="X10" i="50"/>
  <c r="R65" i="49"/>
  <c r="R142" i="48"/>
  <c r="R29" i="48"/>
  <c r="F141" i="48"/>
  <c r="F23" i="48"/>
  <c r="F19" i="48"/>
  <c r="M18" i="50"/>
  <c r="AH112" i="48"/>
  <c r="AM108" i="48"/>
  <c r="AL108" i="48"/>
  <c r="AH7" i="48"/>
  <c r="J39" i="50"/>
  <c r="W20" i="50"/>
  <c r="AJ123" i="48"/>
  <c r="G37" i="50"/>
  <c r="R16" i="50"/>
  <c r="T39" i="50"/>
  <c r="AA13" i="49"/>
  <c r="AC116" i="48"/>
  <c r="X115" i="48"/>
  <c r="AB115" i="48" s="1"/>
  <c r="AB116" i="48" s="1"/>
  <c r="X187" i="48"/>
  <c r="AH26" i="49"/>
  <c r="AI26" i="49" s="1"/>
  <c r="AJ26" i="49" s="1"/>
  <c r="AK26" i="49" s="1"/>
  <c r="AG26" i="49"/>
  <c r="R105" i="48"/>
  <c r="R106" i="48" s="1"/>
  <c r="N106" i="48"/>
  <c r="H94" i="48"/>
  <c r="Q85" i="48"/>
  <c r="Q86" i="48" s="1"/>
  <c r="P85" i="48"/>
  <c r="P86" i="48" s="1"/>
  <c r="P90" i="48"/>
  <c r="Y177" i="48"/>
  <c r="AD65" i="48"/>
  <c r="T137" i="48"/>
  <c r="O143" i="48"/>
  <c r="O25" i="48"/>
  <c r="O27" i="48" s="1"/>
  <c r="N142" i="48"/>
  <c r="N29" i="48"/>
  <c r="N34" i="48" s="1"/>
  <c r="AH32" i="49"/>
  <c r="AI32" i="49" s="1"/>
  <c r="AJ32" i="49" s="1"/>
  <c r="AK32" i="49" s="1"/>
  <c r="AG32" i="49"/>
  <c r="AG124" i="48"/>
  <c r="S137" i="48"/>
  <c r="W71" i="48"/>
  <c r="W72" i="48" s="1"/>
  <c r="S72" i="48"/>
  <c r="E40" i="50"/>
  <c r="E41" i="50" s="1"/>
  <c r="D6" i="49"/>
  <c r="AE54" i="49"/>
  <c r="R12" i="50"/>
  <c r="R53" i="50" s="1"/>
  <c r="M34" i="50"/>
  <c r="M57" i="50" s="1"/>
  <c r="G12" i="50"/>
  <c r="F53" i="50"/>
  <c r="H34" i="50"/>
  <c r="M36" i="50"/>
  <c r="R8" i="50"/>
  <c r="AA186" i="48"/>
  <c r="AF113" i="48"/>
  <c r="AA112" i="48"/>
  <c r="AA185" i="48"/>
  <c r="AF111" i="48"/>
  <c r="AA110" i="48"/>
  <c r="AA118" i="48" s="1"/>
  <c r="AA120" i="48" s="1"/>
  <c r="AA121" i="48" s="1"/>
  <c r="AB117" i="48"/>
  <c r="AE181" i="48"/>
  <c r="AJ96" i="48"/>
  <c r="R82" i="48"/>
  <c r="R98" i="48"/>
  <c r="R94" i="48"/>
  <c r="AA119" i="48"/>
  <c r="Z16" i="48"/>
  <c r="AD176" i="48"/>
  <c r="AI63" i="48"/>
  <c r="O137" i="48"/>
  <c r="K137" i="48"/>
  <c r="K72" i="48"/>
  <c r="I141" i="48"/>
  <c r="I23" i="48"/>
  <c r="I19" i="48"/>
  <c r="X175" i="48"/>
  <c r="AC61" i="48"/>
  <c r="AH185" i="48"/>
  <c r="AM111" i="48"/>
  <c r="AH110" i="48"/>
  <c r="N143" i="48"/>
  <c r="N25" i="48"/>
  <c r="N27" i="48" s="1"/>
  <c r="R64" i="49"/>
  <c r="AH24" i="49"/>
  <c r="AI24" i="49" s="1"/>
  <c r="AJ24" i="49" s="1"/>
  <c r="AK24" i="49" s="1"/>
  <c r="AG24" i="49"/>
  <c r="X118" i="48"/>
  <c r="X120" i="48" s="1"/>
  <c r="X121" i="48" s="1"/>
  <c r="AB110" i="48"/>
  <c r="Y185" i="48"/>
  <c r="Y110" i="48"/>
  <c r="AD111" i="48"/>
  <c r="AF181" i="48"/>
  <c r="AK96" i="48"/>
  <c r="Y180" i="48"/>
  <c r="AD94" i="48"/>
  <c r="V180" i="48"/>
  <c r="AA94" i="48"/>
  <c r="AC176" i="48"/>
  <c r="AH63" i="48"/>
  <c r="AF135" i="48"/>
  <c r="AK55" i="48"/>
  <c r="AF7" i="48"/>
  <c r="AB109" i="48"/>
  <c r="AJ55" i="48"/>
  <c r="AE7" i="48"/>
  <c r="AE135" i="48" s="1"/>
  <c r="R17" i="50"/>
  <c r="AM123" i="48"/>
  <c r="AL123" i="48"/>
  <c r="F39" i="50"/>
  <c r="T48" i="49"/>
  <c r="W37" i="50"/>
  <c r="X53" i="50"/>
  <c r="Y53" i="50" s="1"/>
  <c r="Z53" i="50" s="1"/>
  <c r="AA53" i="50" s="1"/>
  <c r="AC53" i="50" s="1"/>
  <c r="AD53" i="50" s="1"/>
  <c r="AE53" i="50" s="1"/>
  <c r="AF53" i="50" s="1"/>
  <c r="AH53" i="50" s="1"/>
  <c r="AI53" i="50" s="1"/>
  <c r="AJ53" i="50" s="1"/>
  <c r="AK53" i="50" s="1"/>
  <c r="AM53" i="50" s="1"/>
  <c r="AN53" i="50" s="1"/>
  <c r="AO53" i="50" s="1"/>
  <c r="AP53" i="50" s="1"/>
  <c r="AR53" i="50" s="1"/>
  <c r="AS53" i="50" s="1"/>
  <c r="AT53" i="50" s="1"/>
  <c r="AU53" i="50" s="1"/>
  <c r="P22" i="50"/>
  <c r="P56" i="49"/>
  <c r="Q7" i="50"/>
  <c r="H33" i="50"/>
  <c r="H16" i="50"/>
  <c r="AA55" i="49"/>
  <c r="X172" i="48"/>
  <c r="X28" i="48" s="1"/>
  <c r="X18" i="48"/>
  <c r="T183" i="48"/>
  <c r="Y101" i="48"/>
  <c r="Z180" i="48"/>
  <c r="AE94" i="48"/>
  <c r="H101" i="48"/>
  <c r="AA183" i="48"/>
  <c r="AF101" i="48"/>
  <c r="Z168" i="48"/>
  <c r="Z170" i="48" s="1"/>
  <c r="AA165" i="48"/>
  <c r="S141" i="48"/>
  <c r="S19" i="48"/>
  <c r="S23" i="48"/>
  <c r="H106" i="48"/>
  <c r="AA182" i="48"/>
  <c r="AF98" i="48"/>
  <c r="W141" i="48"/>
  <c r="W23" i="48"/>
  <c r="W19" i="48"/>
  <c r="AC69" i="48"/>
  <c r="U22" i="50"/>
  <c r="V7" i="50"/>
  <c r="V56" i="49" s="1"/>
  <c r="U56" i="49"/>
  <c r="W7" i="50"/>
  <c r="Q41" i="48"/>
  <c r="Y52" i="49"/>
  <c r="AD51" i="49"/>
  <c r="Y182" i="48"/>
  <c r="AD98" i="48"/>
  <c r="AR186" i="48"/>
  <c r="U175" i="48"/>
  <c r="Z61" i="48"/>
  <c r="V183" i="48"/>
  <c r="Y172" i="48"/>
  <c r="Y28" i="48" s="1"/>
  <c r="Y18" i="48"/>
  <c r="P57" i="48"/>
  <c r="AA176" i="48"/>
  <c r="AF63" i="48"/>
  <c r="AI55" i="48"/>
  <c r="AD7" i="48"/>
  <c r="AG7" i="48" s="1"/>
  <c r="V182" i="48"/>
  <c r="AG18" i="49"/>
  <c r="AH18" i="49"/>
  <c r="AI18" i="49" s="1"/>
  <c r="AJ18" i="49" s="1"/>
  <c r="AK18" i="49" s="1"/>
  <c r="N55" i="50"/>
  <c r="N148" i="48" s="1"/>
  <c r="V37" i="50"/>
  <c r="K37" i="50"/>
  <c r="U30" i="49"/>
  <c r="U35" i="49" s="1"/>
  <c r="U42" i="49" s="1"/>
  <c r="V25" i="49"/>
  <c r="AC55" i="49"/>
  <c r="F22" i="50"/>
  <c r="G7" i="50"/>
  <c r="F56" i="49"/>
  <c r="V83" i="48"/>
  <c r="U85" i="48"/>
  <c r="U86" i="48" s="1"/>
  <c r="Z86" i="48" s="1"/>
  <c r="AE86" i="48" s="1"/>
  <c r="AJ86" i="48" s="1"/>
  <c r="Z102" i="48"/>
  <c r="Y14" i="48"/>
  <c r="AD33" i="50"/>
  <c r="AD57" i="50" s="1"/>
  <c r="Y33" i="50"/>
  <c r="Y57" i="50" s="1"/>
  <c r="Y58" i="50" s="1"/>
  <c r="Z35" i="48"/>
  <c r="G137" i="48"/>
  <c r="G72" i="48"/>
  <c r="U137" i="48"/>
  <c r="AR88" i="48"/>
  <c r="AQ88" i="48"/>
  <c r="AM7" i="48"/>
  <c r="J141" i="48"/>
  <c r="J23" i="48"/>
  <c r="J19" i="48"/>
  <c r="Z47" i="49"/>
  <c r="P43" i="48"/>
  <c r="P44" i="48" s="1"/>
  <c r="P142" i="48"/>
  <c r="P29" i="48"/>
  <c r="P34" i="48" s="1"/>
  <c r="AG109" i="48"/>
  <c r="E141" i="48"/>
  <c r="E23" i="48"/>
  <c r="E19" i="48"/>
  <c r="D141" i="48"/>
  <c r="D23" i="48"/>
  <c r="D19" i="48"/>
  <c r="Q34" i="50"/>
  <c r="Q57" i="50" s="1"/>
  <c r="P57" i="50"/>
  <c r="X29" i="50"/>
  <c r="X47" i="50"/>
  <c r="X63" i="49"/>
  <c r="Y28" i="49"/>
  <c r="Y22" i="48"/>
  <c r="H27" i="50"/>
  <c r="T55" i="50"/>
  <c r="T148" i="48" s="1"/>
  <c r="L53" i="50"/>
  <c r="M12" i="50"/>
  <c r="M53" i="50" s="1"/>
  <c r="L25" i="50"/>
  <c r="K56" i="50"/>
  <c r="J22" i="50"/>
  <c r="O55" i="50" s="1"/>
  <c r="O148" i="48" s="1"/>
  <c r="Y21" i="50"/>
  <c r="Z23" i="49"/>
  <c r="L37" i="50"/>
  <c r="AL34" i="50"/>
  <c r="AF187" i="48"/>
  <c r="AK116" i="48"/>
  <c r="AF115" i="48"/>
  <c r="W82" i="48"/>
  <c r="W94" i="48"/>
  <c r="W101" i="48"/>
  <c r="Y186" i="48"/>
  <c r="AD113" i="48"/>
  <c r="Y112" i="48"/>
  <c r="R101" i="48"/>
  <c r="AG55" i="48"/>
  <c r="AI187" i="48"/>
  <c r="AN116" i="48"/>
  <c r="AI115" i="48"/>
  <c r="L32" i="48"/>
  <c r="L33" i="48"/>
  <c r="R143" i="48"/>
  <c r="N137" i="48"/>
  <c r="P143" i="48"/>
  <c r="P25" i="48"/>
  <c r="P27" i="48" s="1"/>
  <c r="AH19" i="49"/>
  <c r="AI19" i="49" s="1"/>
  <c r="AJ19" i="49" s="1"/>
  <c r="AK19" i="49" s="1"/>
  <c r="AG19" i="49"/>
  <c r="Y48" i="49"/>
  <c r="AD47" i="49"/>
  <c r="H29" i="50"/>
  <c r="H37" i="50" s="1"/>
  <c r="R34" i="50"/>
  <c r="R57" i="50" s="1"/>
  <c r="W26" i="50"/>
  <c r="AO52" i="49"/>
  <c r="AH40" i="49"/>
  <c r="AI40" i="49" s="1"/>
  <c r="AJ40" i="49" s="1"/>
  <c r="AK40" i="49" s="1"/>
  <c r="AG40" i="49"/>
  <c r="O39" i="50"/>
  <c r="M17" i="50"/>
  <c r="AH31" i="49"/>
  <c r="AI31" i="49" s="1"/>
  <c r="AJ31" i="49" s="1"/>
  <c r="AK31" i="49" s="1"/>
  <c r="AG31" i="49"/>
  <c r="Q76" i="48"/>
  <c r="Q77" i="48" s="1"/>
  <c r="Q74" i="48"/>
  <c r="H71" i="48"/>
  <c r="H72" i="48" s="1"/>
  <c r="AT88" i="48"/>
  <c r="U177" i="48"/>
  <c r="Z65" i="48"/>
  <c r="L142" i="48"/>
  <c r="L29" i="48"/>
  <c r="L34" i="48" s="1"/>
  <c r="K143" i="48"/>
  <c r="K25" i="48"/>
  <c r="K27" i="48" s="1"/>
  <c r="X178" i="48"/>
  <c r="AC68" i="48"/>
  <c r="H142" i="48"/>
  <c r="H29" i="48"/>
  <c r="H34" i="48" s="1"/>
  <c r="Q42" i="49"/>
  <c r="Q62" i="49"/>
  <c r="AJ187" i="48"/>
  <c r="AJ115" i="48"/>
  <c r="AO116" i="48"/>
  <c r="AP88" i="48"/>
  <c r="AH15" i="49"/>
  <c r="AI15" i="49" s="1"/>
  <c r="AJ15" i="49" s="1"/>
  <c r="AK15" i="49" s="1"/>
  <c r="AG15" i="49"/>
  <c r="V24" i="50"/>
  <c r="V27" i="50" s="1"/>
  <c r="U27" i="50"/>
  <c r="U39" i="50" s="1"/>
  <c r="W12" i="50"/>
  <c r="H38" i="50"/>
  <c r="I39" i="50"/>
  <c r="G56" i="50"/>
  <c r="M7" i="50"/>
  <c r="M22" i="50" s="1"/>
  <c r="R35" i="50"/>
  <c r="R21" i="50"/>
  <c r="M21" i="50"/>
  <c r="R42" i="49"/>
  <c r="M20" i="50"/>
  <c r="Y19" i="50"/>
  <c r="Z27" i="49"/>
  <c r="Z185" i="48"/>
  <c r="AE111" i="48"/>
  <c r="Z110" i="48"/>
  <c r="Y16" i="49"/>
  <c r="Y8" i="50" s="1"/>
  <c r="Z186" i="48"/>
  <c r="AE113" i="48"/>
  <c r="Z112" i="48"/>
  <c r="AB112" i="48" s="1"/>
  <c r="AB113" i="48" s="1"/>
  <c r="AE143" i="48"/>
  <c r="AC181" i="48"/>
  <c r="AH96" i="48"/>
  <c r="E72" i="48"/>
  <c r="E137" i="48"/>
  <c r="D137" i="48"/>
  <c r="P137" i="48"/>
  <c r="V141" i="48"/>
  <c r="V23" i="48"/>
  <c r="V19" i="48"/>
  <c r="K142" i="48"/>
  <c r="K29" i="48"/>
  <c r="K34" i="48" s="1"/>
  <c r="X47" i="49"/>
  <c r="H25" i="48"/>
  <c r="H27" i="48" s="1"/>
  <c r="H143" i="48"/>
  <c r="AA18" i="70" l="1"/>
  <c r="AC18" i="73"/>
  <c r="AC18" i="70" s="1"/>
  <c r="AC172" i="73"/>
  <c r="AC28" i="73" s="1"/>
  <c r="AD170" i="73"/>
  <c r="AD170" i="70" s="1"/>
  <c r="AD168" i="70"/>
  <c r="AC117" i="70"/>
  <c r="AC14" i="65"/>
  <c r="AI69" i="73"/>
  <c r="AB102" i="73"/>
  <c r="AB102" i="70" s="1"/>
  <c r="AA102" i="70"/>
  <c r="AA120" i="73"/>
  <c r="AA118" i="70"/>
  <c r="AB118" i="73"/>
  <c r="AB117" i="70"/>
  <c r="Z121" i="73"/>
  <c r="Z121" i="70" s="1"/>
  <c r="Z120" i="70"/>
  <c r="AG129" i="73"/>
  <c r="AH129" i="73"/>
  <c r="Z28" i="65"/>
  <c r="Z28" i="70" s="1"/>
  <c r="Z172" i="70"/>
  <c r="AE173" i="73"/>
  <c r="AD173" i="70"/>
  <c r="AB28" i="73"/>
  <c r="R146" i="73"/>
  <c r="R36" i="73"/>
  <c r="AF143" i="73"/>
  <c r="V42" i="75"/>
  <c r="V55" i="75"/>
  <c r="V148" i="73" s="1"/>
  <c r="AJ182" i="73"/>
  <c r="AO98" i="73"/>
  <c r="AE17" i="75"/>
  <c r="AF10" i="74"/>
  <c r="AP180" i="73"/>
  <c r="AU94" i="73"/>
  <c r="AS98" i="73"/>
  <c r="AN182" i="73"/>
  <c r="AF165" i="73"/>
  <c r="AE168" i="73"/>
  <c r="AF21" i="75"/>
  <c r="AG21" i="75" s="1"/>
  <c r="AH23" i="74"/>
  <c r="AG23" i="74"/>
  <c r="G32" i="73"/>
  <c r="G33" i="73"/>
  <c r="L146" i="73" s="1"/>
  <c r="AH9" i="75"/>
  <c r="AU7" i="73"/>
  <c r="AU135" i="73" s="1"/>
  <c r="AV55" i="73"/>
  <c r="AP181" i="73"/>
  <c r="AU96" i="73"/>
  <c r="AP182" i="73"/>
  <c r="AU98" i="73"/>
  <c r="AI136" i="73"/>
  <c r="AJ119" i="73"/>
  <c r="AI16" i="73"/>
  <c r="AI9" i="75" s="1"/>
  <c r="AI10" i="75" s="1"/>
  <c r="AD117" i="73"/>
  <c r="AD117" i="70" s="1"/>
  <c r="AC118" i="73"/>
  <c r="AM183" i="73"/>
  <c r="AR101" i="73"/>
  <c r="W42" i="75"/>
  <c r="W44" i="75" s="1"/>
  <c r="M41" i="75"/>
  <c r="I41" i="75"/>
  <c r="V39" i="75"/>
  <c r="G40" i="75"/>
  <c r="G41" i="75" s="1"/>
  <c r="G6" i="74" s="1"/>
  <c r="F6" i="74"/>
  <c r="AE20" i="75"/>
  <c r="AF25" i="74"/>
  <c r="AS94" i="73"/>
  <c r="AN180" i="73"/>
  <c r="AU183" i="73"/>
  <c r="AV126" i="73"/>
  <c r="AU47" i="74"/>
  <c r="AU48" i="74" s="1"/>
  <c r="AP48" i="74"/>
  <c r="U74" i="73"/>
  <c r="U76" i="73"/>
  <c r="U77" i="73" s="1"/>
  <c r="Z77" i="73" s="1"/>
  <c r="T90" i="73"/>
  <c r="H42" i="75"/>
  <c r="R55" i="75"/>
  <c r="R148" i="73" s="1"/>
  <c r="M39" i="75"/>
  <c r="M146" i="73"/>
  <c r="M36" i="73"/>
  <c r="AF27" i="74"/>
  <c r="AE19" i="75"/>
  <c r="AE16" i="74"/>
  <c r="AE8" i="75" s="1"/>
  <c r="F32" i="77"/>
  <c r="F20" i="77"/>
  <c r="W32" i="73"/>
  <c r="W39" i="75"/>
  <c r="AN56" i="74"/>
  <c r="AC102" i="73"/>
  <c r="AC102" i="70" s="1"/>
  <c r="AA14" i="73"/>
  <c r="AA14" i="70" s="1"/>
  <c r="AA83" i="73"/>
  <c r="Z85" i="73"/>
  <c r="Z87" i="73" s="1"/>
  <c r="AD47" i="75"/>
  <c r="AD29" i="75"/>
  <c r="AD63" i="74"/>
  <c r="AE28" i="74"/>
  <c r="AE22" i="73"/>
  <c r="W33" i="73"/>
  <c r="U146" i="73"/>
  <c r="AJ180" i="73"/>
  <c r="AO94" i="73"/>
  <c r="AJ35" i="73"/>
  <c r="AM180" i="73"/>
  <c r="AR94" i="73"/>
  <c r="AU49" i="74"/>
  <c r="AU50" i="74" s="1"/>
  <c r="AP50" i="74"/>
  <c r="V41" i="73"/>
  <c r="V43" i="73"/>
  <c r="V44" i="73" s="1"/>
  <c r="AA44" i="73" s="1"/>
  <c r="U57" i="73"/>
  <c r="AK163" i="73"/>
  <c r="AK163" i="70" s="1"/>
  <c r="AJ48" i="74"/>
  <c r="AO47" i="74"/>
  <c r="AO55" i="74"/>
  <c r="AT68" i="73"/>
  <c r="E53" i="74"/>
  <c r="E43" i="74"/>
  <c r="U43" i="73"/>
  <c r="U44" i="73" s="1"/>
  <c r="Z44" i="73" s="1"/>
  <c r="AF13" i="74"/>
  <c r="AR181" i="73"/>
  <c r="AR47" i="74"/>
  <c r="AR48" i="74" s="1"/>
  <c r="AM48" i="74"/>
  <c r="AA52" i="73"/>
  <c r="AA54" i="73" s="1"/>
  <c r="AB54" i="73" s="1"/>
  <c r="AC50" i="73"/>
  <c r="AB50" i="73"/>
  <c r="AJ183" i="73"/>
  <c r="AO101" i="73"/>
  <c r="AS183" i="73"/>
  <c r="W34" i="73"/>
  <c r="W147" i="73" s="1"/>
  <c r="AQ109" i="73"/>
  <c r="AQ7" i="73"/>
  <c r="AU68" i="73"/>
  <c r="AH54" i="74"/>
  <c r="AL111" i="73"/>
  <c r="AP55" i="74"/>
  <c r="AP187" i="73"/>
  <c r="AP115" i="73"/>
  <c r="AU116" i="73"/>
  <c r="AF125" i="73"/>
  <c r="AQ110" i="73"/>
  <c r="AU61" i="73"/>
  <c r="AC155" i="73"/>
  <c r="AD153" i="73"/>
  <c r="AL115" i="73"/>
  <c r="AL116" i="73" s="1"/>
  <c r="AR68" i="73"/>
  <c r="AT112" i="73"/>
  <c r="AV112" i="73" s="1"/>
  <c r="AT110" i="73"/>
  <c r="AV108" i="73"/>
  <c r="AV88" i="73"/>
  <c r="AT7" i="73"/>
  <c r="AV7" i="73" s="1"/>
  <c r="AT135" i="73"/>
  <c r="AM182" i="73"/>
  <c r="AR98" i="73"/>
  <c r="AO187" i="73"/>
  <c r="AO115" i="73"/>
  <c r="AT116" i="73"/>
  <c r="R42" i="75"/>
  <c r="AP53" i="65"/>
  <c r="AT53" i="65"/>
  <c r="AQ112" i="65"/>
  <c r="AA18" i="65"/>
  <c r="AE55" i="66"/>
  <c r="AD16" i="66"/>
  <c r="AE54" i="66"/>
  <c r="AF54" i="66"/>
  <c r="AA172" i="65"/>
  <c r="AB118" i="65"/>
  <c r="AP135" i="65"/>
  <c r="AT135" i="65"/>
  <c r="AV123" i="65"/>
  <c r="AO135" i="65"/>
  <c r="AH39" i="66"/>
  <c r="AG39" i="66"/>
  <c r="AH40" i="66"/>
  <c r="AG40" i="66"/>
  <c r="AH32" i="66"/>
  <c r="AG32" i="66"/>
  <c r="AH31" i="66"/>
  <c r="AG31" i="66"/>
  <c r="AH34" i="66"/>
  <c r="AG34" i="66"/>
  <c r="AG33" i="66"/>
  <c r="AH33" i="66"/>
  <c r="AD8" i="67"/>
  <c r="AH26" i="66"/>
  <c r="AG26" i="66"/>
  <c r="AH24" i="66"/>
  <c r="AG24" i="66"/>
  <c r="AH15" i="66"/>
  <c r="AG15" i="66"/>
  <c r="AH19" i="66"/>
  <c r="AG19" i="66"/>
  <c r="AH18" i="66"/>
  <c r="AG18" i="66"/>
  <c r="AD102" i="65"/>
  <c r="AA120" i="65"/>
  <c r="AC170" i="65"/>
  <c r="AD117" i="65"/>
  <c r="AC118" i="65"/>
  <c r="AK145" i="65"/>
  <c r="AE128" i="65"/>
  <c r="AE126" i="65"/>
  <c r="AE129" i="65"/>
  <c r="AE129" i="70" s="1"/>
  <c r="AC136" i="65"/>
  <c r="AA10" i="67"/>
  <c r="AL116" i="65"/>
  <c r="AQ115" i="65"/>
  <c r="AV109" i="65"/>
  <c r="AC58" i="67"/>
  <c r="AB58" i="67"/>
  <c r="AE26" i="65"/>
  <c r="AE165" i="65"/>
  <c r="AD168" i="65"/>
  <c r="AF35" i="65"/>
  <c r="AR187" i="65"/>
  <c r="AR115" i="65"/>
  <c r="AQ7" i="65"/>
  <c r="W146" i="65"/>
  <c r="W36" i="65"/>
  <c r="AE119" i="65"/>
  <c r="AD16" i="65"/>
  <c r="AT181" i="65"/>
  <c r="AR68" i="65"/>
  <c r="Y52" i="65"/>
  <c r="Z50" i="65"/>
  <c r="AJ178" i="65"/>
  <c r="AO68" i="65"/>
  <c r="AM180" i="65"/>
  <c r="AR94" i="65"/>
  <c r="AV124" i="65"/>
  <c r="M146" i="65"/>
  <c r="M36" i="65"/>
  <c r="AN135" i="65"/>
  <c r="AO185" i="65"/>
  <c r="AT111" i="65"/>
  <c r="AO110" i="65"/>
  <c r="AJ175" i="65"/>
  <c r="AO61" i="65"/>
  <c r="AS7" i="65"/>
  <c r="AV55" i="65"/>
  <c r="AE19" i="67"/>
  <c r="AF27" i="66"/>
  <c r="AR185" i="65"/>
  <c r="AR110" i="65"/>
  <c r="AV88" i="65"/>
  <c r="AS187" i="65"/>
  <c r="AS115" i="65"/>
  <c r="AM48" i="66"/>
  <c r="AR47" i="66"/>
  <c r="AR48" i="66" s="1"/>
  <c r="AJ48" i="66"/>
  <c r="AO47" i="66"/>
  <c r="V55" i="67"/>
  <c r="V148" i="65" s="1"/>
  <c r="V42" i="67"/>
  <c r="AK48" i="66"/>
  <c r="AP47" i="66"/>
  <c r="AT187" i="65"/>
  <c r="AT115" i="65"/>
  <c r="AE69" i="65"/>
  <c r="AE69" i="70" s="1"/>
  <c r="G32" i="65"/>
  <c r="G33" i="65"/>
  <c r="L146" i="65" s="1"/>
  <c r="AP185" i="65"/>
  <c r="AU111" i="65"/>
  <c r="AP110" i="65"/>
  <c r="AD20" i="67"/>
  <c r="AE25" i="66"/>
  <c r="AO65" i="65"/>
  <c r="AT65" i="65" s="1"/>
  <c r="AJ177" i="65"/>
  <c r="AG35" i="65"/>
  <c r="AU181" i="65"/>
  <c r="AR181" i="65"/>
  <c r="AK175" i="65"/>
  <c r="AP61" i="65"/>
  <c r="AM182" i="65"/>
  <c r="AR98" i="65"/>
  <c r="W42" i="67"/>
  <c r="AU7" i="65"/>
  <c r="AK163" i="65"/>
  <c r="AS186" i="65"/>
  <c r="AS112" i="65"/>
  <c r="AG111" i="65"/>
  <c r="AK183" i="65"/>
  <c r="AP101" i="65"/>
  <c r="AK178" i="65"/>
  <c r="AP68" i="65"/>
  <c r="AF125" i="65"/>
  <c r="AJ183" i="65"/>
  <c r="AO101" i="65"/>
  <c r="U74" i="65"/>
  <c r="U76" i="65" s="1"/>
  <c r="U77" i="65" s="1"/>
  <c r="Z77" i="65" s="1"/>
  <c r="T90" i="65"/>
  <c r="AS63" i="65"/>
  <c r="M42" i="67"/>
  <c r="AD47" i="67"/>
  <c r="AD29" i="67"/>
  <c r="AD63" i="66"/>
  <c r="AE28" i="66"/>
  <c r="AE22" i="65"/>
  <c r="AJ182" i="65"/>
  <c r="AO98" i="65"/>
  <c r="AU63" i="65"/>
  <c r="T76" i="65"/>
  <c r="T77" i="65" s="1"/>
  <c r="AD17" i="67"/>
  <c r="AE10" i="66"/>
  <c r="W39" i="67"/>
  <c r="AE16" i="66"/>
  <c r="H42" i="67"/>
  <c r="R55" i="67"/>
  <c r="R148" i="65" s="1"/>
  <c r="M40" i="67"/>
  <c r="I40" i="67"/>
  <c r="AT63" i="65"/>
  <c r="AJ180" i="65"/>
  <c r="AO94" i="65"/>
  <c r="E46" i="67"/>
  <c r="E48" i="67" s="1"/>
  <c r="E11" i="66"/>
  <c r="E20" i="66" s="1"/>
  <c r="E144" i="65"/>
  <c r="AL110" i="65"/>
  <c r="Y83" i="65"/>
  <c r="X85" i="65"/>
  <c r="X86" i="65" s="1"/>
  <c r="AC86" i="65" s="1"/>
  <c r="AH86" i="65" s="1"/>
  <c r="AM86" i="65" s="1"/>
  <c r="AR86" i="65" s="1"/>
  <c r="G40" i="67"/>
  <c r="G41" i="67" s="1"/>
  <c r="G6" i="66" s="1"/>
  <c r="F6" i="66"/>
  <c r="AM183" i="65"/>
  <c r="AR101" i="65"/>
  <c r="AP180" i="65"/>
  <c r="AU94" i="65"/>
  <c r="F20" i="69"/>
  <c r="F32" i="69"/>
  <c r="AE13" i="66"/>
  <c r="AN185" i="65"/>
  <c r="AS111" i="65"/>
  <c r="AN110" i="65"/>
  <c r="R42" i="67"/>
  <c r="U43" i="65"/>
  <c r="U44" i="65" s="1"/>
  <c r="U41" i="65"/>
  <c r="T57" i="65"/>
  <c r="M147" i="65"/>
  <c r="AS181" i="65"/>
  <c r="M39" i="67"/>
  <c r="AU186" i="65"/>
  <c r="AU112" i="65"/>
  <c r="AC9" i="67"/>
  <c r="AT186" i="65"/>
  <c r="AT112" i="65"/>
  <c r="AK182" i="65"/>
  <c r="AP98" i="65"/>
  <c r="T43" i="65"/>
  <c r="T44" i="65" s="1"/>
  <c r="AD21" i="67"/>
  <c r="AE23" i="66"/>
  <c r="AS56" i="67"/>
  <c r="AT56" i="67" s="1"/>
  <c r="AU56" i="67" s="1"/>
  <c r="AU50" i="57"/>
  <c r="AU50" i="62" s="1"/>
  <c r="AU49" i="62"/>
  <c r="AO49" i="57"/>
  <c r="AJ49" i="62"/>
  <c r="AJ50" i="57"/>
  <c r="AJ50" i="62" s="1"/>
  <c r="W35" i="57"/>
  <c r="W30" i="62"/>
  <c r="AS51" i="57"/>
  <c r="AN52" i="57"/>
  <c r="AN52" i="62" s="1"/>
  <c r="AN51" i="62"/>
  <c r="AO51" i="57"/>
  <c r="AJ51" i="62"/>
  <c r="AJ52" i="57"/>
  <c r="AJ52" i="62" s="1"/>
  <c r="AA22" i="61"/>
  <c r="AB22" i="56"/>
  <c r="AB22" i="61" s="1"/>
  <c r="AA28" i="62"/>
  <c r="AA47" i="58"/>
  <c r="AA47" i="63" s="1"/>
  <c r="AA29" i="58"/>
  <c r="AA29" i="63" s="1"/>
  <c r="AA63" i="57"/>
  <c r="AA63" i="62" s="1"/>
  <c r="AC28" i="57"/>
  <c r="AD28" i="57" s="1"/>
  <c r="AB28" i="57"/>
  <c r="AC22" i="56"/>
  <c r="AC22" i="61" s="1"/>
  <c r="Y118" i="61"/>
  <c r="AD118" i="56"/>
  <c r="AD118" i="61" s="1"/>
  <c r="AD112" i="61"/>
  <c r="Y120" i="61"/>
  <c r="AB19" i="58"/>
  <c r="AB19" i="63" s="1"/>
  <c r="AC55" i="57"/>
  <c r="AC55" i="62" s="1"/>
  <c r="AA120" i="56"/>
  <c r="AC54" i="57"/>
  <c r="AC54" i="62" s="1"/>
  <c r="AK39" i="57"/>
  <c r="AJ39" i="62"/>
  <c r="AF40" i="57"/>
  <c r="AE40" i="62"/>
  <c r="AD33" i="57"/>
  <c r="AC33" i="62"/>
  <c r="AF32" i="57"/>
  <c r="AE32" i="62"/>
  <c r="AF34" i="57"/>
  <c r="AE34" i="62"/>
  <c r="AF31" i="57"/>
  <c r="AE31" i="62"/>
  <c r="AB21" i="58"/>
  <c r="AB21" i="63" s="1"/>
  <c r="AA21" i="63"/>
  <c r="Z8" i="58"/>
  <c r="Z8" i="63" s="1"/>
  <c r="Z16" i="62"/>
  <c r="AF24" i="57"/>
  <c r="AE24" i="62"/>
  <c r="AF26" i="57"/>
  <c r="AE26" i="62"/>
  <c r="AF18" i="57"/>
  <c r="AE18" i="62"/>
  <c r="AE19" i="57"/>
  <c r="AD19" i="62"/>
  <c r="AE15" i="57"/>
  <c r="AD15" i="62"/>
  <c r="AB17" i="58"/>
  <c r="AB17" i="63" s="1"/>
  <c r="AA17" i="63"/>
  <c r="AH173" i="56"/>
  <c r="AF173" i="61"/>
  <c r="Z120" i="56"/>
  <c r="Z120" i="61" s="1"/>
  <c r="Z118" i="61"/>
  <c r="AA102" i="56"/>
  <c r="Z102" i="61"/>
  <c r="AC170" i="56"/>
  <c r="AC168" i="61"/>
  <c r="AE165" i="56"/>
  <c r="AD165" i="61"/>
  <c r="AD168" i="56"/>
  <c r="AA172" i="56"/>
  <c r="AA18" i="56"/>
  <c r="AA18" i="61" s="1"/>
  <c r="AA170" i="61"/>
  <c r="AB102" i="56"/>
  <c r="AB102" i="61" s="1"/>
  <c r="Y18" i="61"/>
  <c r="Z14" i="56"/>
  <c r="Z14" i="61" s="1"/>
  <c r="Y172" i="61"/>
  <c r="Y28" i="56"/>
  <c r="AF145" i="56"/>
  <c r="AE145" i="61"/>
  <c r="AC129" i="61"/>
  <c r="AD129" i="56"/>
  <c r="AA121" i="56"/>
  <c r="AA121" i="61" s="1"/>
  <c r="AA120" i="61"/>
  <c r="Z9" i="58"/>
  <c r="Z16" i="61"/>
  <c r="Z121" i="56"/>
  <c r="Z121" i="61" s="1"/>
  <c r="X120" i="56"/>
  <c r="X118" i="61"/>
  <c r="AG115" i="56"/>
  <c r="AC115" i="61"/>
  <c r="AB113" i="56"/>
  <c r="AB113" i="61" s="1"/>
  <c r="AB112" i="61"/>
  <c r="AB116" i="56"/>
  <c r="AB116" i="61" s="1"/>
  <c r="AB115" i="61"/>
  <c r="AH135" i="56"/>
  <c r="AD30" i="56"/>
  <c r="AD30" i="61" s="1"/>
  <c r="AC30" i="61"/>
  <c r="Y58" i="58"/>
  <c r="Y58" i="63" s="1"/>
  <c r="Y57" i="63"/>
  <c r="AA26" i="56"/>
  <c r="AB26" i="56" s="1"/>
  <c r="AB26" i="61" s="1"/>
  <c r="Z26" i="61"/>
  <c r="AE44" i="56"/>
  <c r="AT61" i="56"/>
  <c r="X52" i="56"/>
  <c r="Y50" i="56"/>
  <c r="Y50" i="61" s="1"/>
  <c r="AP181" i="56"/>
  <c r="AU96" i="56"/>
  <c r="AU96" i="61" s="1"/>
  <c r="AR63" i="56"/>
  <c r="AR63" i="61" s="1"/>
  <c r="AO183" i="56"/>
  <c r="AT101" i="56"/>
  <c r="AI178" i="56"/>
  <c r="AN68" i="56"/>
  <c r="AF33" i="58"/>
  <c r="AG33" i="58" s="1"/>
  <c r="AA33" i="58"/>
  <c r="AA33" i="63" s="1"/>
  <c r="AC35" i="56"/>
  <c r="AC35" i="61" s="1"/>
  <c r="AH187" i="56"/>
  <c r="AM116" i="56"/>
  <c r="AM116" i="61" s="1"/>
  <c r="AH115" i="56"/>
  <c r="AU186" i="56"/>
  <c r="AP183" i="56"/>
  <c r="AU101" i="56"/>
  <c r="E46" i="58"/>
  <c r="E144" i="56"/>
  <c r="E144" i="61" s="1"/>
  <c r="E11" i="57"/>
  <c r="AS61" i="56"/>
  <c r="W6" i="58"/>
  <c r="W22" i="58" s="1"/>
  <c r="W55" i="58" s="1"/>
  <c r="W148" i="56" s="1"/>
  <c r="V22" i="58"/>
  <c r="V39" i="58" s="1"/>
  <c r="AC69" i="56"/>
  <c r="AC69" i="61" s="1"/>
  <c r="AA14" i="56"/>
  <c r="Z57" i="58"/>
  <c r="AI177" i="56"/>
  <c r="AN65" i="56"/>
  <c r="AS65" i="56" s="1"/>
  <c r="F41" i="58"/>
  <c r="AG112" i="56"/>
  <c r="AC118" i="56"/>
  <c r="AC118" i="61" s="1"/>
  <c r="W37" i="58"/>
  <c r="AS185" i="56"/>
  <c r="AS110" i="56"/>
  <c r="AJ181" i="56"/>
  <c r="AO96" i="56"/>
  <c r="AO96" i="61" s="1"/>
  <c r="L27" i="58"/>
  <c r="L39" i="58" s="1"/>
  <c r="M24" i="58"/>
  <c r="M27" i="58" s="1"/>
  <c r="P32" i="56"/>
  <c r="P33" i="56"/>
  <c r="P146" i="56" s="1"/>
  <c r="AU108" i="56"/>
  <c r="AU110" i="56" s="1"/>
  <c r="AE57" i="58"/>
  <c r="AE57" i="63" s="1"/>
  <c r="F33" i="56"/>
  <c r="F32" i="56"/>
  <c r="AS63" i="56"/>
  <c r="AU55" i="56"/>
  <c r="AP7" i="56"/>
  <c r="AP135" i="56" s="1"/>
  <c r="AJ178" i="56"/>
  <c r="AO68" i="56"/>
  <c r="I146" i="56"/>
  <c r="AK180" i="56"/>
  <c r="AP94" i="56"/>
  <c r="AP94" i="61" s="1"/>
  <c r="AN183" i="56"/>
  <c r="AS101" i="56"/>
  <c r="AS101" i="61" s="1"/>
  <c r="AJ176" i="56"/>
  <c r="AO63" i="56"/>
  <c r="AH186" i="56"/>
  <c r="AM113" i="56"/>
  <c r="AM113" i="61" s="1"/>
  <c r="AH112" i="56"/>
  <c r="AH112" i="61" s="1"/>
  <c r="O32" i="56"/>
  <c r="O33" i="56"/>
  <c r="AQ124" i="56"/>
  <c r="AQ124" i="61" s="1"/>
  <c r="AT55" i="56"/>
  <c r="AO7" i="56"/>
  <c r="AO135" i="56" s="1"/>
  <c r="AQ88" i="56"/>
  <c r="AQ88" i="61" s="1"/>
  <c r="AR88" i="56"/>
  <c r="AR88" i="61" s="1"/>
  <c r="AM7" i="56"/>
  <c r="AC21" i="58"/>
  <c r="AC21" i="63" s="1"/>
  <c r="AD23" i="57"/>
  <c r="AD23" i="62" s="1"/>
  <c r="AI186" i="56"/>
  <c r="AN113" i="56"/>
  <c r="AN113" i="61" s="1"/>
  <c r="AI112" i="56"/>
  <c r="AI112" i="61" s="1"/>
  <c r="AE118" i="56"/>
  <c r="AE118" i="61" s="1"/>
  <c r="AG110" i="56"/>
  <c r="AG110" i="61" s="1"/>
  <c r="AD17" i="58"/>
  <c r="AD17" i="63" s="1"/>
  <c r="AE10" i="57"/>
  <c r="AE10" i="62" s="1"/>
  <c r="AF182" i="56"/>
  <c r="AK98" i="56"/>
  <c r="AK47" i="57"/>
  <c r="AK47" i="62" s="1"/>
  <c r="AF48" i="57"/>
  <c r="AF48" i="62" s="1"/>
  <c r="V41" i="56"/>
  <c r="V43" i="56"/>
  <c r="V44" i="56" s="1"/>
  <c r="AA44" i="56" s="1"/>
  <c r="U57" i="56"/>
  <c r="AC19" i="58"/>
  <c r="AC19" i="63" s="1"/>
  <c r="AD27" i="57"/>
  <c r="AD27" i="62" s="1"/>
  <c r="AB69" i="56"/>
  <c r="AB69" i="61" s="1"/>
  <c r="D32" i="56"/>
  <c r="D33" i="56"/>
  <c r="AQ109" i="56"/>
  <c r="AQ109" i="61" s="1"/>
  <c r="AJ185" i="56"/>
  <c r="AO111" i="56"/>
  <c r="AJ110" i="56"/>
  <c r="AS55" i="56"/>
  <c r="AN7" i="56"/>
  <c r="AN135" i="56" s="1"/>
  <c r="AQ55" i="56"/>
  <c r="AQ55" i="61" s="1"/>
  <c r="AI181" i="56"/>
  <c r="AN96" i="56"/>
  <c r="AN96" i="61" s="1"/>
  <c r="AK176" i="56"/>
  <c r="AP63" i="56"/>
  <c r="AB35" i="56"/>
  <c r="AB35" i="61" s="1"/>
  <c r="M33" i="56"/>
  <c r="M32" i="56"/>
  <c r="Y10" i="58"/>
  <c r="Y10" i="63" s="1"/>
  <c r="AA16" i="57"/>
  <c r="AA16" i="62" s="1"/>
  <c r="AM181" i="56"/>
  <c r="AR96" i="56"/>
  <c r="AR96" i="61" s="1"/>
  <c r="U33" i="56"/>
  <c r="U146" i="56" s="1"/>
  <c r="U32" i="56"/>
  <c r="U147" i="56"/>
  <c r="G27" i="58"/>
  <c r="G39" i="58" s="1"/>
  <c r="H24" i="58"/>
  <c r="H27" i="58" s="1"/>
  <c r="K147" i="56"/>
  <c r="AO187" i="56"/>
  <c r="AO115" i="56"/>
  <c r="AT116" i="56"/>
  <c r="Q146" i="56"/>
  <c r="AH163" i="56"/>
  <c r="AF117" i="56"/>
  <c r="AF117" i="61" s="1"/>
  <c r="AS187" i="56"/>
  <c r="AS115" i="56"/>
  <c r="Z20" i="58"/>
  <c r="Z20" i="63" s="1"/>
  <c r="AA25" i="57"/>
  <c r="AA25" i="62" s="1"/>
  <c r="T33" i="56"/>
  <c r="T146" i="56" s="1"/>
  <c r="T32" i="56"/>
  <c r="AI44" i="56"/>
  <c r="AU123" i="56"/>
  <c r="AV123" i="56" s="1"/>
  <c r="AV123" i="61" s="1"/>
  <c r="H22" i="58"/>
  <c r="H56" i="57"/>
  <c r="H56" i="62" s="1"/>
  <c r="O147" i="56"/>
  <c r="AI180" i="56"/>
  <c r="AN94" i="56"/>
  <c r="AN94" i="61" s="1"/>
  <c r="AP51" i="57"/>
  <c r="AP51" i="62" s="1"/>
  <c r="AK52" i="57"/>
  <c r="AK52" i="62" s="1"/>
  <c r="J32" i="56"/>
  <c r="J33" i="56"/>
  <c r="J146" i="56" s="1"/>
  <c r="AC119" i="56"/>
  <c r="AC119" i="61" s="1"/>
  <c r="AA16" i="56"/>
  <c r="Q27" i="58"/>
  <c r="Q39" i="58" s="1"/>
  <c r="R24" i="58"/>
  <c r="R27" i="58" s="1"/>
  <c r="R39" i="58" s="1"/>
  <c r="AI47" i="57"/>
  <c r="AI47" i="62" s="1"/>
  <c r="AD48" i="57"/>
  <c r="AD48" i="62" s="1"/>
  <c r="Z136" i="56"/>
  <c r="AF175" i="56"/>
  <c r="AK61" i="56"/>
  <c r="AJ182" i="56"/>
  <c r="AO98" i="56"/>
  <c r="AR49" i="57"/>
  <c r="AM50" i="57"/>
  <c r="AM50" i="62" s="1"/>
  <c r="AL124" i="56"/>
  <c r="AL124" i="61" s="1"/>
  <c r="T74" i="56"/>
  <c r="T76" i="56"/>
  <c r="T77" i="56" s="1"/>
  <c r="Y77" i="56" s="1"/>
  <c r="S90" i="56"/>
  <c r="AC13" i="57"/>
  <c r="AC13" i="62" s="1"/>
  <c r="AB13" i="57"/>
  <c r="AB13" i="62" s="1"/>
  <c r="V33" i="56"/>
  <c r="V146" i="56" s="1"/>
  <c r="V32" i="56"/>
  <c r="AJ180" i="56"/>
  <c r="AO94" i="56"/>
  <c r="AO94" i="61" s="1"/>
  <c r="M34" i="56"/>
  <c r="M147" i="56" s="1"/>
  <c r="N146" i="56"/>
  <c r="G29" i="56"/>
  <c r="G34" i="56" s="1"/>
  <c r="L147" i="56" s="1"/>
  <c r="G142" i="56"/>
  <c r="AD182" i="56"/>
  <c r="AI98" i="56"/>
  <c r="AI98" i="61" s="1"/>
  <c r="X83" i="56"/>
  <c r="X83" i="61" s="1"/>
  <c r="W83" i="56"/>
  <c r="V85" i="56"/>
  <c r="V86" i="56" s="1"/>
  <c r="AA86" i="56" s="1"/>
  <c r="AF86" i="56" s="1"/>
  <c r="AK86" i="56" s="1"/>
  <c r="AP86" i="56" s="1"/>
  <c r="AU86" i="56" s="1"/>
  <c r="AF178" i="56"/>
  <c r="AK68" i="56"/>
  <c r="R31" i="56"/>
  <c r="R34" i="56" s="1"/>
  <c r="R147" i="56" s="1"/>
  <c r="G25" i="56"/>
  <c r="G27" i="56" s="1"/>
  <c r="G143" i="56"/>
  <c r="AP110" i="56"/>
  <c r="AP115" i="56"/>
  <c r="M22" i="58"/>
  <c r="AE48" i="57"/>
  <c r="AE48" i="62" s="1"/>
  <c r="AJ47" i="57"/>
  <c r="AJ47" i="62" s="1"/>
  <c r="AR185" i="56"/>
  <c r="AR110" i="56"/>
  <c r="AR110" i="61" s="1"/>
  <c r="R30" i="56"/>
  <c r="AJ186" i="56"/>
  <c r="AO113" i="56"/>
  <c r="AJ112" i="56"/>
  <c r="AU185" i="56"/>
  <c r="AL7" i="56"/>
  <c r="AL7" i="61" s="1"/>
  <c r="AU187" i="56"/>
  <c r="AU115" i="56"/>
  <c r="W27" i="58"/>
  <c r="L55" i="58"/>
  <c r="L148" i="56" s="1"/>
  <c r="Q55" i="58"/>
  <c r="Q148" i="56" s="1"/>
  <c r="K32" i="56"/>
  <c r="K33" i="56"/>
  <c r="K146" i="56" s="1"/>
  <c r="R32" i="56"/>
  <c r="R33" i="56"/>
  <c r="W31" i="56"/>
  <c r="AB119" i="56"/>
  <c r="D142" i="48"/>
  <c r="D29" i="48"/>
  <c r="D34" i="48" s="1"/>
  <c r="AE180" i="48"/>
  <c r="AJ94" i="48"/>
  <c r="I142" i="48"/>
  <c r="I29" i="48"/>
  <c r="I34" i="48" s="1"/>
  <c r="I147" i="48" s="1"/>
  <c r="AF176" i="48"/>
  <c r="AK63" i="48"/>
  <c r="I143" i="48"/>
  <c r="I25" i="48"/>
  <c r="I27" i="48" s="1"/>
  <c r="AJ181" i="48"/>
  <c r="AO96" i="48"/>
  <c r="AL109" i="48"/>
  <c r="U52" i="48"/>
  <c r="U53" i="48" s="1"/>
  <c r="Z53" i="48" s="1"/>
  <c r="AE53" i="48" s="1"/>
  <c r="AJ53" i="48" s="1"/>
  <c r="V50" i="48"/>
  <c r="L56" i="49"/>
  <c r="L22" i="50"/>
  <c r="M25" i="48"/>
  <c r="M27" i="48" s="1"/>
  <c r="M143" i="48"/>
  <c r="G141" i="48"/>
  <c r="G23" i="48"/>
  <c r="G19" i="48"/>
  <c r="AD69" i="48"/>
  <c r="AB118" i="48"/>
  <c r="AB111" i="48"/>
  <c r="W25" i="48"/>
  <c r="W27" i="48" s="1"/>
  <c r="W143" i="48"/>
  <c r="Z118" i="48"/>
  <c r="Z120" i="48" s="1"/>
  <c r="Z121" i="48" s="1"/>
  <c r="E143" i="48"/>
  <c r="E25" i="48"/>
  <c r="E27" i="48" s="1"/>
  <c r="Y183" i="48"/>
  <c r="AD101" i="48"/>
  <c r="AL124" i="48"/>
  <c r="AM24" i="49"/>
  <c r="AN24" i="49" s="1"/>
  <c r="AO24" i="49" s="1"/>
  <c r="AP24" i="49" s="1"/>
  <c r="AL24" i="49"/>
  <c r="D46" i="50"/>
  <c r="D48" i="50" s="1"/>
  <c r="D11" i="49"/>
  <c r="D20" i="49" s="1"/>
  <c r="O32" i="48"/>
  <c r="O33" i="48"/>
  <c r="AR108" i="48"/>
  <c r="AR7" i="48" s="1"/>
  <c r="AM135" i="48"/>
  <c r="AM112" i="48"/>
  <c r="AM33" i="49"/>
  <c r="AN33" i="49" s="1"/>
  <c r="AO33" i="49" s="1"/>
  <c r="AP33" i="49" s="1"/>
  <c r="AL33" i="49"/>
  <c r="X182" i="48"/>
  <c r="AC98" i="48"/>
  <c r="AE186" i="48"/>
  <c r="AE112" i="48"/>
  <c r="AJ113" i="48"/>
  <c r="AK187" i="48"/>
  <c r="AP116" i="48"/>
  <c r="AK115" i="48"/>
  <c r="V30" i="49"/>
  <c r="V35" i="49" s="1"/>
  <c r="V42" i="49" s="1"/>
  <c r="X25" i="49"/>
  <c r="W25" i="49"/>
  <c r="W30" i="49" s="1"/>
  <c r="W35" i="49" s="1"/>
  <c r="W42" i="49" s="1"/>
  <c r="AF182" i="48"/>
  <c r="AK98" i="48"/>
  <c r="AR123" i="48"/>
  <c r="AA180" i="48"/>
  <c r="AF94" i="48"/>
  <c r="F40" i="50"/>
  <c r="F41" i="50" s="1"/>
  <c r="E6" i="49"/>
  <c r="AC187" i="48"/>
  <c r="AC115" i="48"/>
  <c r="AH116" i="48"/>
  <c r="AD178" i="48"/>
  <c r="AI68" i="48"/>
  <c r="Q142" i="48"/>
  <c r="Q29" i="48"/>
  <c r="Q34" i="48" s="1"/>
  <c r="Q147" i="48" s="1"/>
  <c r="AM34" i="49"/>
  <c r="AN34" i="49" s="1"/>
  <c r="AO34" i="49" s="1"/>
  <c r="AP34" i="49" s="1"/>
  <c r="AL34" i="49"/>
  <c r="G53" i="50"/>
  <c r="H12" i="50"/>
  <c r="H53" i="50" s="1"/>
  <c r="G22" i="50"/>
  <c r="G56" i="49"/>
  <c r="AM26" i="49"/>
  <c r="AN26" i="49" s="1"/>
  <c r="AO26" i="49" s="1"/>
  <c r="AP26" i="49" s="1"/>
  <c r="AL26" i="49"/>
  <c r="AI51" i="49"/>
  <c r="AD52" i="49"/>
  <c r="AC13" i="49"/>
  <c r="AB13" i="49"/>
  <c r="Q54" i="50"/>
  <c r="R10" i="50"/>
  <c r="R54" i="50" s="1"/>
  <c r="Q143" i="48"/>
  <c r="Q25" i="48"/>
  <c r="Q27" i="48" s="1"/>
  <c r="AE183" i="48"/>
  <c r="AJ101" i="48"/>
  <c r="Z17" i="50"/>
  <c r="AA10" i="49"/>
  <c r="AC47" i="49"/>
  <c r="X48" i="49"/>
  <c r="K32" i="48"/>
  <c r="K33" i="48"/>
  <c r="Z19" i="50"/>
  <c r="AA27" i="49"/>
  <c r="AM40" i="49"/>
  <c r="AN40" i="49" s="1"/>
  <c r="AO40" i="49" s="1"/>
  <c r="AP40" i="49" s="1"/>
  <c r="AL40" i="49"/>
  <c r="AN187" i="48"/>
  <c r="AS116" i="48"/>
  <c r="AN115" i="48"/>
  <c r="K39" i="50"/>
  <c r="Z16" i="49"/>
  <c r="Z8" i="50" s="1"/>
  <c r="AF185" i="48"/>
  <c r="AK111" i="48"/>
  <c r="AF110" i="48"/>
  <c r="AF118" i="48" s="1"/>
  <c r="AD177" i="48"/>
  <c r="AI65" i="48"/>
  <c r="AA178" i="48"/>
  <c r="AF68" i="48"/>
  <c r="M37" i="50"/>
  <c r="AI181" i="48"/>
  <c r="AN96" i="48"/>
  <c r="P32" i="48"/>
  <c r="P33" i="48"/>
  <c r="P146" i="48" s="1"/>
  <c r="W65" i="49"/>
  <c r="W64" i="49" s="1"/>
  <c r="W142" i="48"/>
  <c r="W29" i="48"/>
  <c r="AS123" i="48"/>
  <c r="AH135" i="48"/>
  <c r="Z33" i="50"/>
  <c r="Z57" i="50" s="1"/>
  <c r="Z58" i="50" s="1"/>
  <c r="AE33" i="50"/>
  <c r="AE57" i="50" s="1"/>
  <c r="AA35" i="48"/>
  <c r="S143" i="48"/>
  <c r="S25" i="48"/>
  <c r="S27" i="48" s="1"/>
  <c r="AA16" i="49"/>
  <c r="AD55" i="49"/>
  <c r="AD180" i="48"/>
  <c r="AI94" i="48"/>
  <c r="AI176" i="48"/>
  <c r="AN63" i="48"/>
  <c r="R13" i="50"/>
  <c r="AK47" i="49"/>
  <c r="AF48" i="49"/>
  <c r="N147" i="48"/>
  <c r="M65" i="49"/>
  <c r="M64" i="49" s="1"/>
  <c r="M142" i="48"/>
  <c r="M29" i="48"/>
  <c r="AM15" i="49"/>
  <c r="AN15" i="49" s="1"/>
  <c r="AO15" i="49" s="1"/>
  <c r="AP15" i="49" s="1"/>
  <c r="AL15" i="49"/>
  <c r="Y29" i="50"/>
  <c r="Y47" i="50"/>
  <c r="Y63" i="49"/>
  <c r="Z28" i="49"/>
  <c r="Z22" i="48"/>
  <c r="P147" i="48"/>
  <c r="Q57" i="48"/>
  <c r="W57" i="48" s="1"/>
  <c r="S43" i="48"/>
  <c r="S44" i="48" s="1"/>
  <c r="X44" i="48" s="1"/>
  <c r="S41" i="48"/>
  <c r="S142" i="48"/>
  <c r="S29" i="48"/>
  <c r="S34" i="48" s="1"/>
  <c r="S147" i="48" s="1"/>
  <c r="AO55" i="48"/>
  <c r="AJ7" i="48"/>
  <c r="AJ135" i="48" s="1"/>
  <c r="F142" i="48"/>
  <c r="F29" i="48"/>
  <c r="F34" i="48" s="1"/>
  <c r="K147" i="48" s="1"/>
  <c r="AA177" i="48"/>
  <c r="AF65" i="48"/>
  <c r="AS108" i="48"/>
  <c r="H32" i="48"/>
  <c r="H33" i="48"/>
  <c r="H36" i="48" s="1"/>
  <c r="X83" i="48"/>
  <c r="W83" i="48"/>
  <c r="V85" i="48"/>
  <c r="V86" i="48" s="1"/>
  <c r="AA86" i="48" s="1"/>
  <c r="AF86" i="48" s="1"/>
  <c r="AK86" i="48" s="1"/>
  <c r="AN55" i="48"/>
  <c r="AI7" i="48"/>
  <c r="AL7" i="48" s="1"/>
  <c r="AL55" i="48"/>
  <c r="X183" i="48"/>
  <c r="AC101" i="48"/>
  <c r="AD135" i="48"/>
  <c r="H7" i="50"/>
  <c r="Z177" i="48"/>
  <c r="AE65" i="48"/>
  <c r="Z175" i="48"/>
  <c r="AE61" i="48"/>
  <c r="Q43" i="48"/>
  <c r="Q44" i="48" s="1"/>
  <c r="N32" i="48"/>
  <c r="R30" i="48"/>
  <c r="R32" i="48" s="1"/>
  <c r="N33" i="48"/>
  <c r="R31" i="48"/>
  <c r="R33" i="48" s="1"/>
  <c r="AF112" i="48"/>
  <c r="AF186" i="48"/>
  <c r="AK113" i="48"/>
  <c r="F143" i="48"/>
  <c r="F25" i="48"/>
  <c r="F27" i="48" s="1"/>
  <c r="T142" i="48"/>
  <c r="T29" i="48"/>
  <c r="T34" i="48" s="1"/>
  <c r="T147" i="48" s="1"/>
  <c r="X177" i="48"/>
  <c r="AC65" i="48"/>
  <c r="AA175" i="48"/>
  <c r="AF61" i="48"/>
  <c r="V142" i="48"/>
  <c r="V29" i="48"/>
  <c r="V34" i="48" s="1"/>
  <c r="V147" i="48" s="1"/>
  <c r="AU88" i="48"/>
  <c r="AV88" i="48" s="1"/>
  <c r="Z21" i="50"/>
  <c r="AA23" i="49"/>
  <c r="AA168" i="48"/>
  <c r="AA170" i="48" s="1"/>
  <c r="AC165" i="48"/>
  <c r="Q56" i="49"/>
  <c r="Q22" i="50"/>
  <c r="R7" i="50"/>
  <c r="R22" i="50" s="1"/>
  <c r="R55" i="50" s="1"/>
  <c r="R148" i="48" s="1"/>
  <c r="AK181" i="48"/>
  <c r="AP96" i="48"/>
  <c r="AF54" i="49"/>
  <c r="T143" i="48"/>
  <c r="T25" i="48"/>
  <c r="T27" i="48" s="1"/>
  <c r="AG26" i="48"/>
  <c r="AH176" i="48"/>
  <c r="AM63" i="48"/>
  <c r="K55" i="50"/>
  <c r="K148" i="48" s="1"/>
  <c r="AC178" i="48"/>
  <c r="AH68" i="48"/>
  <c r="V143" i="48"/>
  <c r="V25" i="48"/>
  <c r="AO187" i="48"/>
  <c r="AO115" i="48"/>
  <c r="AT116" i="48"/>
  <c r="AM18" i="49"/>
  <c r="AN18" i="49" s="1"/>
  <c r="AO18" i="49" s="1"/>
  <c r="AP18" i="49" s="1"/>
  <c r="AL18" i="49"/>
  <c r="X56" i="49"/>
  <c r="Z172" i="48"/>
  <c r="Z28" i="48" s="1"/>
  <c r="Z18" i="48"/>
  <c r="Z9" i="50"/>
  <c r="AB16" i="48"/>
  <c r="G39" i="50"/>
  <c r="AI26" i="48"/>
  <c r="AJ26" i="48" s="1"/>
  <c r="AK26" i="48" s="1"/>
  <c r="AM26" i="48" s="1"/>
  <c r="AP108" i="48"/>
  <c r="AQ108" i="48" s="1"/>
  <c r="D143" i="48"/>
  <c r="D25" i="48"/>
  <c r="D27" i="48" s="1"/>
  <c r="AI175" i="48"/>
  <c r="AN61" i="48"/>
  <c r="E142" i="48"/>
  <c r="E29" i="48"/>
  <c r="E34" i="48" s="1"/>
  <c r="J55" i="50"/>
  <c r="J148" i="48" s="1"/>
  <c r="Z48" i="49"/>
  <c r="AE47" i="49"/>
  <c r="AA102" i="48"/>
  <c r="Z14" i="48"/>
  <c r="P55" i="50"/>
  <c r="P148" i="48" s="1"/>
  <c r="AM185" i="48"/>
  <c r="AR111" i="48"/>
  <c r="AM110" i="48"/>
  <c r="AC119" i="48"/>
  <c r="AA16" i="48"/>
  <c r="AA9" i="50" s="1"/>
  <c r="AA10" i="50" s="1"/>
  <c r="AB119" i="48"/>
  <c r="AM32" i="49"/>
  <c r="AN32" i="49" s="1"/>
  <c r="AO32" i="49" s="1"/>
  <c r="AP32" i="49" s="1"/>
  <c r="AL32" i="49"/>
  <c r="AO123" i="48"/>
  <c r="AQ123" i="48" s="1"/>
  <c r="AT108" i="48"/>
  <c r="U142" i="48"/>
  <c r="U29" i="48"/>
  <c r="U34" i="48" s="1"/>
  <c r="U147" i="48" s="1"/>
  <c r="W24" i="50"/>
  <c r="W27" i="50" s="1"/>
  <c r="L56" i="50"/>
  <c r="L27" i="50"/>
  <c r="L39" i="50" s="1"/>
  <c r="M25" i="50"/>
  <c r="AE176" i="48"/>
  <c r="AJ63" i="48"/>
  <c r="AM31" i="49"/>
  <c r="AN31" i="49" s="1"/>
  <c r="AO31" i="49" s="1"/>
  <c r="AP31" i="49" s="1"/>
  <c r="AL31" i="49"/>
  <c r="AE185" i="48"/>
  <c r="AJ111" i="48"/>
  <c r="AE110" i="48"/>
  <c r="AE118" i="48" s="1"/>
  <c r="AD185" i="48"/>
  <c r="AI111" i="48"/>
  <c r="AD110" i="48"/>
  <c r="Z136" i="48"/>
  <c r="H57" i="50"/>
  <c r="AC180" i="48"/>
  <c r="AH94" i="48"/>
  <c r="U143" i="48"/>
  <c r="U25" i="48"/>
  <c r="U27" i="48" s="1"/>
  <c r="AM39" i="49"/>
  <c r="AN39" i="49" s="1"/>
  <c r="AO39" i="49" s="1"/>
  <c r="AP39" i="49" s="1"/>
  <c r="AL39" i="49"/>
  <c r="AE178" i="48"/>
  <c r="AJ68" i="48"/>
  <c r="Q37" i="50"/>
  <c r="Q39" i="50" s="1"/>
  <c r="Z182" i="48"/>
  <c r="AE98" i="48"/>
  <c r="AF129" i="48"/>
  <c r="AG129" i="48" s="1"/>
  <c r="AH163" i="48"/>
  <c r="AF117" i="48"/>
  <c r="AG117" i="48" s="1"/>
  <c r="AH181" i="48"/>
  <c r="AM96" i="48"/>
  <c r="AI47" i="49"/>
  <c r="AD48" i="49"/>
  <c r="AH143" i="48"/>
  <c r="AF143" i="48"/>
  <c r="J142" i="48"/>
  <c r="J29" i="48"/>
  <c r="J34" i="48" s="1"/>
  <c r="U55" i="50"/>
  <c r="U148" i="48" s="1"/>
  <c r="AF183" i="48"/>
  <c r="AK101" i="48"/>
  <c r="AI143" i="48"/>
  <c r="Q90" i="48"/>
  <c r="W90" i="48" s="1"/>
  <c r="S74" i="48"/>
  <c r="R74" i="48"/>
  <c r="AM19" i="49"/>
  <c r="AN19" i="49" s="1"/>
  <c r="AO19" i="49" s="1"/>
  <c r="AP19" i="49" s="1"/>
  <c r="AL19" i="49"/>
  <c r="AD186" i="48"/>
  <c r="AI113" i="48"/>
  <c r="AD112" i="48"/>
  <c r="AG112" i="48" s="1"/>
  <c r="AG113" i="48" s="1"/>
  <c r="J25" i="48"/>
  <c r="J27" i="48" s="1"/>
  <c r="J143" i="48"/>
  <c r="AD182" i="48"/>
  <c r="AI98" i="48"/>
  <c r="AK7" i="48"/>
  <c r="AK135" i="48" s="1"/>
  <c r="AP55" i="48"/>
  <c r="Y118" i="48"/>
  <c r="Y120" i="48" s="1"/>
  <c r="Y121" i="48" s="1"/>
  <c r="AC175" i="48"/>
  <c r="AH61" i="48"/>
  <c r="R29" i="50"/>
  <c r="R37" i="50" s="1"/>
  <c r="R39" i="50" s="1"/>
  <c r="AE170" i="73" l="1"/>
  <c r="AE170" i="70" s="1"/>
  <c r="AE168" i="70"/>
  <c r="AD18" i="73"/>
  <c r="AD18" i="70" s="1"/>
  <c r="AD172" i="73"/>
  <c r="AD28" i="73" s="1"/>
  <c r="AB14" i="73"/>
  <c r="AB14" i="70" s="1"/>
  <c r="AJ69" i="73"/>
  <c r="AK69" i="73" s="1"/>
  <c r="AB120" i="73"/>
  <c r="AB118" i="70"/>
  <c r="AC120" i="73"/>
  <c r="AC118" i="70"/>
  <c r="AA121" i="73"/>
  <c r="AA120" i="70"/>
  <c r="AI129" i="73"/>
  <c r="AA28" i="65"/>
  <c r="AA28" i="70" s="1"/>
  <c r="AA172" i="70"/>
  <c r="AF173" i="73"/>
  <c r="AE173" i="70"/>
  <c r="AF17" i="75"/>
  <c r="AG17" i="75" s="1"/>
  <c r="AH10" i="74"/>
  <c r="AG10" i="74"/>
  <c r="AP56" i="74"/>
  <c r="AR182" i="73"/>
  <c r="AE153" i="73"/>
  <c r="AD155" i="73"/>
  <c r="AC52" i="73"/>
  <c r="AC54" i="73" s="1"/>
  <c r="AD50" i="73"/>
  <c r="AO48" i="74"/>
  <c r="AT47" i="74"/>
  <c r="AT48" i="74" s="1"/>
  <c r="AU181" i="73"/>
  <c r="AC31" i="73"/>
  <c r="AC30" i="73"/>
  <c r="AA134" i="73"/>
  <c r="AA6" i="73"/>
  <c r="AR180" i="73"/>
  <c r="J40" i="75"/>
  <c r="J41" i="75" s="1"/>
  <c r="I6" i="74"/>
  <c r="AH165" i="73"/>
  <c r="AF168" i="73"/>
  <c r="AB87" i="73"/>
  <c r="AQ111" i="73"/>
  <c r="AK35" i="73"/>
  <c r="AC83" i="73"/>
  <c r="AB83" i="73"/>
  <c r="AA85" i="73"/>
  <c r="AA87" i="73" s="1"/>
  <c r="AR183" i="73"/>
  <c r="AH143" i="73"/>
  <c r="AH125" i="73"/>
  <c r="AD102" i="73"/>
  <c r="AD102" i="70" s="1"/>
  <c r="AC14" i="73"/>
  <c r="AC14" i="70" s="1"/>
  <c r="AG125" i="73"/>
  <c r="AV109" i="73"/>
  <c r="AG13" i="74"/>
  <c r="AH13" i="74"/>
  <c r="AM163" i="73"/>
  <c r="AM163" i="70" s="1"/>
  <c r="AO180" i="73"/>
  <c r="AT94" i="73"/>
  <c r="AS180" i="73"/>
  <c r="AS182" i="73"/>
  <c r="AV110" i="73"/>
  <c r="AU187" i="73"/>
  <c r="AU115" i="73"/>
  <c r="AF20" i="75"/>
  <c r="AH25" i="74"/>
  <c r="AG25" i="74"/>
  <c r="AH10" i="75"/>
  <c r="AU180" i="73"/>
  <c r="R40" i="75"/>
  <c r="N40" i="75"/>
  <c r="AV113" i="73"/>
  <c r="AE44" i="73"/>
  <c r="AF44" i="73"/>
  <c r="AO56" i="74"/>
  <c r="AG20" i="75"/>
  <c r="AE117" i="73"/>
  <c r="AD118" i="73"/>
  <c r="X41" i="73"/>
  <c r="X43" i="73" s="1"/>
  <c r="X44" i="73" s="1"/>
  <c r="AC44" i="73" s="1"/>
  <c r="W41" i="73"/>
  <c r="V57" i="73"/>
  <c r="AB57" i="73" s="1"/>
  <c r="F46" i="75"/>
  <c r="F48" i="75" s="1"/>
  <c r="F144" i="73"/>
  <c r="F11" i="74"/>
  <c r="F20" i="74" s="1"/>
  <c r="G46" i="75"/>
  <c r="G48" i="75" s="1"/>
  <c r="H6" i="74"/>
  <c r="G11" i="74"/>
  <c r="G20" i="74" s="1"/>
  <c r="G144" i="73"/>
  <c r="AG22" i="73"/>
  <c r="AT187" i="73"/>
  <c r="AT115" i="73"/>
  <c r="AV115" i="73" s="1"/>
  <c r="AV116" i="73" s="1"/>
  <c r="AO183" i="73"/>
  <c r="AT101" i="73"/>
  <c r="AE29" i="75"/>
  <c r="AE47" i="75"/>
  <c r="AE63" i="74"/>
  <c r="AF28" i="74"/>
  <c r="AF22" i="73"/>
  <c r="AE77" i="73"/>
  <c r="AU182" i="73"/>
  <c r="AH21" i="75"/>
  <c r="AI23" i="74"/>
  <c r="AF19" i="75"/>
  <c r="AG19" i="75" s="1"/>
  <c r="AG27" i="74"/>
  <c r="AH27" i="74"/>
  <c r="AF16" i="74"/>
  <c r="W146" i="73"/>
  <c r="W36" i="73"/>
  <c r="AK119" i="73"/>
  <c r="AL119" i="73" s="1"/>
  <c r="AJ16" i="73"/>
  <c r="AQ115" i="73"/>
  <c r="AQ116" i="73" s="1"/>
  <c r="AJ54" i="74"/>
  <c r="AI54" i="74"/>
  <c r="AR55" i="74"/>
  <c r="V74" i="73"/>
  <c r="V76" i="73" s="1"/>
  <c r="V77" i="73" s="1"/>
  <c r="AA77" i="73" s="1"/>
  <c r="U90" i="73"/>
  <c r="Z6" i="73"/>
  <c r="AO182" i="73"/>
  <c r="AT98" i="73"/>
  <c r="W44" i="67"/>
  <c r="AU53" i="65"/>
  <c r="AQ113" i="65"/>
  <c r="AB120" i="65"/>
  <c r="AB121" i="65" s="1"/>
  <c r="AB18" i="65"/>
  <c r="AH55" i="66"/>
  <c r="AF55" i="66"/>
  <c r="AH54" i="66"/>
  <c r="AC172" i="65"/>
  <c r="AD14" i="65"/>
  <c r="AU135" i="65"/>
  <c r="AB10" i="67"/>
  <c r="Y53" i="65"/>
  <c r="AI40" i="66"/>
  <c r="AI39" i="66"/>
  <c r="AI33" i="66"/>
  <c r="AI34" i="66"/>
  <c r="AI31" i="66"/>
  <c r="AI32" i="66"/>
  <c r="AE8" i="67"/>
  <c r="AI24" i="66"/>
  <c r="AI26" i="66"/>
  <c r="AI18" i="66"/>
  <c r="AI19" i="66"/>
  <c r="AI15" i="66"/>
  <c r="AD170" i="65"/>
  <c r="AC120" i="65"/>
  <c r="AE117" i="65"/>
  <c r="AD118" i="65"/>
  <c r="AA121" i="65"/>
  <c r="AC18" i="65"/>
  <c r="AE102" i="65"/>
  <c r="AM145" i="65"/>
  <c r="AF129" i="65"/>
  <c r="AG125" i="65"/>
  <c r="AF126" i="65"/>
  <c r="AF128" i="65"/>
  <c r="AD9" i="67"/>
  <c r="AQ110" i="65"/>
  <c r="AQ116" i="65"/>
  <c r="AV112" i="65"/>
  <c r="AV7" i="65"/>
  <c r="AD58" i="67"/>
  <c r="AF26" i="65"/>
  <c r="E43" i="71"/>
  <c r="AE77" i="65"/>
  <c r="F46" i="67"/>
  <c r="F48" i="67" s="1"/>
  <c r="F144" i="65"/>
  <c r="F11" i="66"/>
  <c r="F20" i="66" s="1"/>
  <c r="AE21" i="67"/>
  <c r="AF23" i="66"/>
  <c r="G46" i="67"/>
  <c r="G48" i="67" s="1"/>
  <c r="H6" i="66"/>
  <c r="G11" i="66"/>
  <c r="G20" i="66" s="1"/>
  <c r="G144" i="65"/>
  <c r="AV115" i="65"/>
  <c r="V74" i="65"/>
  <c r="V76" i="65"/>
  <c r="V77" i="65" s="1"/>
  <c r="AA77" i="65" s="1"/>
  <c r="U90" i="65"/>
  <c r="AF13" i="66"/>
  <c r="M41" i="67"/>
  <c r="I41" i="67"/>
  <c r="AC153" i="65"/>
  <c r="Z83" i="65"/>
  <c r="Y85" i="65"/>
  <c r="AO183" i="65"/>
  <c r="AT101" i="65"/>
  <c r="AS135" i="65"/>
  <c r="AH35" i="65"/>
  <c r="AP182" i="65"/>
  <c r="AU98" i="65"/>
  <c r="AO182" i="65"/>
  <c r="AT98" i="65"/>
  <c r="AR182" i="65"/>
  <c r="AE20" i="67"/>
  <c r="AF25" i="66"/>
  <c r="AL111" i="65"/>
  <c r="AT61" i="65"/>
  <c r="AU61" i="65"/>
  <c r="AU47" i="66"/>
  <c r="AU48" i="66" s="1"/>
  <c r="AP48" i="66"/>
  <c r="AR180" i="65"/>
  <c r="AD136" i="65"/>
  <c r="AF165" i="65"/>
  <c r="AE168" i="65"/>
  <c r="V41" i="65"/>
  <c r="V43" i="65"/>
  <c r="V44" i="65" s="1"/>
  <c r="U57" i="65"/>
  <c r="AU180" i="65"/>
  <c r="AH125" i="65"/>
  <c r="AF119" i="65"/>
  <c r="AE16" i="65"/>
  <c r="AE44" i="65"/>
  <c r="AE47" i="67"/>
  <c r="AE29" i="67"/>
  <c r="AE63" i="66"/>
  <c r="AF28" i="66"/>
  <c r="AF22" i="65"/>
  <c r="AF19" i="67"/>
  <c r="AH27" i="66"/>
  <c r="AG27" i="66"/>
  <c r="AC10" i="67"/>
  <c r="AU68" i="65"/>
  <c r="AR183" i="65"/>
  <c r="E53" i="66"/>
  <c r="E43" i="66"/>
  <c r="AU185" i="65"/>
  <c r="AU110" i="65"/>
  <c r="AT68" i="65"/>
  <c r="AE17" i="67"/>
  <c r="AF10" i="66"/>
  <c r="AT185" i="65"/>
  <c r="AT110" i="65"/>
  <c r="AP183" i="65"/>
  <c r="AU101" i="65"/>
  <c r="Y130" i="65"/>
  <c r="AS185" i="65"/>
  <c r="AS110" i="65"/>
  <c r="AM163" i="65"/>
  <c r="AO48" i="66"/>
  <c r="AT47" i="66"/>
  <c r="AT48" i="66" s="1"/>
  <c r="Z52" i="65"/>
  <c r="AA50" i="65"/>
  <c r="AF69" i="65"/>
  <c r="AF69" i="70" s="1"/>
  <c r="AO180" i="65"/>
  <c r="AT94" i="65"/>
  <c r="AF16" i="66"/>
  <c r="E20" i="57"/>
  <c r="E20" i="62" s="1"/>
  <c r="E11" i="62"/>
  <c r="E48" i="58"/>
  <c r="E48" i="63" s="1"/>
  <c r="E46" i="63"/>
  <c r="AD55" i="57"/>
  <c r="AD55" i="62" s="1"/>
  <c r="AO49" i="62"/>
  <c r="AT49" i="57"/>
  <c r="AO50" i="57"/>
  <c r="AO50" i="62" s="1"/>
  <c r="AO51" i="62"/>
  <c r="AO52" i="57"/>
  <c r="AO52" i="62" s="1"/>
  <c r="AT51" i="57"/>
  <c r="AS52" i="57"/>
  <c r="AS52" i="62" s="1"/>
  <c r="AS51" i="62"/>
  <c r="W42" i="57"/>
  <c r="W42" i="62" s="1"/>
  <c r="W35" i="62"/>
  <c r="AB29" i="58"/>
  <c r="AB29" i="63" s="1"/>
  <c r="AB28" i="62"/>
  <c r="AB47" i="58"/>
  <c r="AB47" i="63" s="1"/>
  <c r="AB67" i="57"/>
  <c r="AB67" i="62" s="1"/>
  <c r="AC28" i="62"/>
  <c r="AC29" i="58"/>
  <c r="AC29" i="63" s="1"/>
  <c r="AC47" i="58"/>
  <c r="AC47" i="63" s="1"/>
  <c r="AC63" i="57"/>
  <c r="AC63" i="62" s="1"/>
  <c r="AD22" i="56"/>
  <c r="AD22" i="61" s="1"/>
  <c r="AC16" i="57"/>
  <c r="AC16" i="62" s="1"/>
  <c r="X52" i="61"/>
  <c r="X53" i="56"/>
  <c r="AD54" i="57"/>
  <c r="AD54" i="62" s="1"/>
  <c r="AR50" i="57"/>
  <c r="AR50" i="62" s="1"/>
  <c r="AR49" i="62"/>
  <c r="AF40" i="62"/>
  <c r="AH40" i="57"/>
  <c r="AG40" i="57"/>
  <c r="AG40" i="62" s="1"/>
  <c r="AK39" i="62"/>
  <c r="AL39" i="57"/>
  <c r="AL39" i="62" s="1"/>
  <c r="AM39" i="57"/>
  <c r="AF31" i="62"/>
  <c r="AG31" i="57"/>
  <c r="AG31" i="62" s="1"/>
  <c r="AH31" i="57"/>
  <c r="AG34" i="57"/>
  <c r="AG34" i="62" s="1"/>
  <c r="AF34" i="62"/>
  <c r="AH34" i="57"/>
  <c r="AF32" i="62"/>
  <c r="AH32" i="57"/>
  <c r="AG32" i="57"/>
  <c r="AG32" i="62" s="1"/>
  <c r="AE33" i="57"/>
  <c r="AD33" i="62"/>
  <c r="AF24" i="62"/>
  <c r="AH24" i="57"/>
  <c r="AG24" i="57"/>
  <c r="AG24" i="62" s="1"/>
  <c r="AF26" i="62"/>
  <c r="AH26" i="57"/>
  <c r="AG26" i="57"/>
  <c r="AG26" i="62" s="1"/>
  <c r="AF19" i="57"/>
  <c r="AE19" i="62"/>
  <c r="AF18" i="62"/>
  <c r="AH18" i="57"/>
  <c r="AG18" i="57"/>
  <c r="AG18" i="62" s="1"/>
  <c r="AF15" i="57"/>
  <c r="AE15" i="62"/>
  <c r="AI173" i="56"/>
  <c r="AH173" i="61"/>
  <c r="AB18" i="56"/>
  <c r="AB18" i="61" s="1"/>
  <c r="AA172" i="61"/>
  <c r="AA28" i="56"/>
  <c r="AA28" i="61" s="1"/>
  <c r="AD170" i="56"/>
  <c r="AD168" i="61"/>
  <c r="AF165" i="56"/>
  <c r="AE165" i="61"/>
  <c r="AE168" i="56"/>
  <c r="AC170" i="61"/>
  <c r="AC172" i="56"/>
  <c r="AC18" i="56"/>
  <c r="AC18" i="61" s="1"/>
  <c r="AC102" i="56"/>
  <c r="AC14" i="56" s="1"/>
  <c r="AC14" i="61" s="1"/>
  <c r="AA102" i="61"/>
  <c r="Y28" i="61"/>
  <c r="AH145" i="56"/>
  <c r="AF145" i="61"/>
  <c r="AD129" i="61"/>
  <c r="AE129" i="56"/>
  <c r="AB120" i="56"/>
  <c r="AB121" i="56" s="1"/>
  <c r="AB121" i="61" s="1"/>
  <c r="AB119" i="61"/>
  <c r="AA9" i="58"/>
  <c r="AB9" i="58" s="1"/>
  <c r="AB9" i="63" s="1"/>
  <c r="AA16" i="61"/>
  <c r="Z10" i="58"/>
  <c r="Z10" i="63" s="1"/>
  <c r="Z9" i="63"/>
  <c r="AG113" i="56"/>
  <c r="AG113" i="61" s="1"/>
  <c r="AG112" i="61"/>
  <c r="AL115" i="56"/>
  <c r="AH115" i="61"/>
  <c r="AG116" i="56"/>
  <c r="AG116" i="61" s="1"/>
  <c r="AG115" i="61"/>
  <c r="X121" i="56"/>
  <c r="X121" i="61" s="1"/>
  <c r="X120" i="61"/>
  <c r="AB14" i="56"/>
  <c r="AB14" i="61" s="1"/>
  <c r="AA14" i="61"/>
  <c r="AQ7" i="56"/>
  <c r="AQ7" i="61" s="1"/>
  <c r="AM7" i="61"/>
  <c r="AG57" i="58"/>
  <c r="AG57" i="63" s="1"/>
  <c r="AG33" i="63"/>
  <c r="Z58" i="58"/>
  <c r="Z58" i="63" s="1"/>
  <c r="Z57" i="63"/>
  <c r="AF57" i="58"/>
  <c r="AF57" i="63" s="1"/>
  <c r="AF33" i="63"/>
  <c r="AC26" i="56"/>
  <c r="AA26" i="61"/>
  <c r="AV124" i="56"/>
  <c r="AV124" i="61" s="1"/>
  <c r="M55" i="58"/>
  <c r="M148" i="56" s="1"/>
  <c r="R55" i="58"/>
  <c r="R148" i="56" s="1"/>
  <c r="AD119" i="56"/>
  <c r="AD119" i="61" s="1"/>
  <c r="AC16" i="56"/>
  <c r="AC16" i="61" s="1"/>
  <c r="AF118" i="56"/>
  <c r="AF118" i="61" s="1"/>
  <c r="AG117" i="56"/>
  <c r="AB16" i="56"/>
  <c r="AB16" i="61" s="1"/>
  <c r="AP47" i="57"/>
  <c r="AP47" i="62" s="1"/>
  <c r="AK48" i="57"/>
  <c r="AK48" i="62" s="1"/>
  <c r="AM135" i="56"/>
  <c r="AT63" i="56"/>
  <c r="AM187" i="56"/>
  <c r="AR116" i="56"/>
  <c r="AR116" i="61" s="1"/>
  <c r="AM115" i="56"/>
  <c r="AU181" i="56"/>
  <c r="AU63" i="56"/>
  <c r="AK182" i="56"/>
  <c r="AP98" i="56"/>
  <c r="W39" i="58"/>
  <c r="Y83" i="56"/>
  <c r="Y83" i="61" s="1"/>
  <c r="X85" i="56"/>
  <c r="AD13" i="57"/>
  <c r="AD13" i="62" s="1"/>
  <c r="AR181" i="56"/>
  <c r="AV88" i="56"/>
  <c r="AV88" i="61" s="1"/>
  <c r="AR7" i="56"/>
  <c r="AR7" i="61" s="1"/>
  <c r="AC120" i="56"/>
  <c r="AH33" i="58"/>
  <c r="AH33" i="63" s="1"/>
  <c r="AD35" i="56"/>
  <c r="AD35" i="61" s="1"/>
  <c r="Z50" i="56"/>
  <c r="Z50" i="61" s="1"/>
  <c r="Y52" i="56"/>
  <c r="AN44" i="56"/>
  <c r="AI163" i="56"/>
  <c r="AH117" i="56"/>
  <c r="AH117" i="61" s="1"/>
  <c r="AA57" i="58"/>
  <c r="AL112" i="56"/>
  <c r="AA136" i="56"/>
  <c r="AN181" i="56"/>
  <c r="AS96" i="56"/>
  <c r="AS96" i="61" s="1"/>
  <c r="AE17" i="58"/>
  <c r="AE17" i="63" s="1"/>
  <c r="AF10" i="57"/>
  <c r="AF10" i="62" s="1"/>
  <c r="AS183" i="56"/>
  <c r="AU7" i="56"/>
  <c r="AU135" i="56" s="1"/>
  <c r="G40" i="58"/>
  <c r="G41" i="58" s="1"/>
  <c r="G6" i="57" s="1"/>
  <c r="F6" i="57"/>
  <c r="AI182" i="56"/>
  <c r="AN98" i="56"/>
  <c r="AN98" i="61" s="1"/>
  <c r="AO110" i="56"/>
  <c r="AO185" i="56"/>
  <c r="AT111" i="56"/>
  <c r="AT68" i="56"/>
  <c r="AO112" i="56"/>
  <c r="AT113" i="56"/>
  <c r="AO186" i="56"/>
  <c r="AD77" i="56"/>
  <c r="AP52" i="57"/>
  <c r="AP52" i="62" s="1"/>
  <c r="AU51" i="57"/>
  <c r="AA8" i="58"/>
  <c r="AB16" i="57"/>
  <c r="AB16" i="62" s="1"/>
  <c r="M39" i="58"/>
  <c r="E53" i="57"/>
  <c r="E53" i="62" s="1"/>
  <c r="E43" i="57"/>
  <c r="E43" i="62" s="1"/>
  <c r="AS68" i="56"/>
  <c r="W34" i="56"/>
  <c r="W147" i="56" s="1"/>
  <c r="W33" i="56"/>
  <c r="G33" i="56"/>
  <c r="L146" i="56" s="1"/>
  <c r="G32" i="56"/>
  <c r="U74" i="56"/>
  <c r="U76" i="56"/>
  <c r="U77" i="56" s="1"/>
  <c r="Z77" i="56" s="1"/>
  <c r="T90" i="56"/>
  <c r="AG111" i="56"/>
  <c r="AG111" i="61" s="1"/>
  <c r="AT7" i="56"/>
  <c r="AT135" i="56" s="1"/>
  <c r="R146" i="56"/>
  <c r="R36" i="56"/>
  <c r="AJ44" i="56"/>
  <c r="H39" i="58"/>
  <c r="H41" i="58" s="1"/>
  <c r="AK175" i="56"/>
  <c r="AP61" i="56"/>
  <c r="AK178" i="56"/>
  <c r="AP68" i="56"/>
  <c r="AN180" i="56"/>
  <c r="AS94" i="56"/>
  <c r="AS94" i="61" s="1"/>
  <c r="AA20" i="58"/>
  <c r="AC25" i="57"/>
  <c r="AC25" i="62" s="1"/>
  <c r="AB25" i="57"/>
  <c r="AB25" i="62" s="1"/>
  <c r="AD19" i="58"/>
  <c r="AD19" i="63" s="1"/>
  <c r="AE27" i="57"/>
  <c r="AE27" i="62" s="1"/>
  <c r="AU183" i="56"/>
  <c r="AT183" i="56"/>
  <c r="AO180" i="56"/>
  <c r="AT94" i="56"/>
  <c r="AT94" i="61" s="1"/>
  <c r="AN47" i="57"/>
  <c r="AN47" i="62" s="1"/>
  <c r="AI48" i="57"/>
  <c r="AI48" i="62" s="1"/>
  <c r="AT187" i="56"/>
  <c r="AT115" i="56"/>
  <c r="AS135" i="56"/>
  <c r="AS7" i="56"/>
  <c r="AV55" i="56"/>
  <c r="AV55" i="61" s="1"/>
  <c r="AN186" i="56"/>
  <c r="AS113" i="56"/>
  <c r="AS113" i="61" s="1"/>
  <c r="AN112" i="56"/>
  <c r="AN112" i="61" s="1"/>
  <c r="AB33" i="58"/>
  <c r="AB33" i="63" s="1"/>
  <c r="V55" i="58"/>
  <c r="V148" i="56" s="1"/>
  <c r="AV108" i="56"/>
  <c r="AV108" i="61" s="1"/>
  <c r="AP180" i="56"/>
  <c r="AU94" i="56"/>
  <c r="AU94" i="61" s="1"/>
  <c r="AL110" i="56"/>
  <c r="AL110" i="61" s="1"/>
  <c r="AO47" i="57"/>
  <c r="AO47" i="62" s="1"/>
  <c r="AJ48" i="57"/>
  <c r="AJ48" i="62" s="1"/>
  <c r="AF44" i="56"/>
  <c r="AD21" i="58"/>
  <c r="AD21" i="63" s="1"/>
  <c r="AE23" i="57"/>
  <c r="AE23" i="62" s="1"/>
  <c r="O146" i="56"/>
  <c r="AO181" i="56"/>
  <c r="AT96" i="56"/>
  <c r="AT96" i="61" s="1"/>
  <c r="AM186" i="56"/>
  <c r="AR113" i="56"/>
  <c r="AR113" i="61" s="1"/>
  <c r="AM112" i="56"/>
  <c r="AM112" i="61" s="1"/>
  <c r="AO182" i="56"/>
  <c r="AT98" i="56"/>
  <c r="M146" i="56"/>
  <c r="M36" i="56"/>
  <c r="X41" i="56"/>
  <c r="X41" i="61" s="1"/>
  <c r="W41" i="56"/>
  <c r="V57" i="56"/>
  <c r="AB57" i="61" s="1"/>
  <c r="AD69" i="56"/>
  <c r="AD69" i="61" s="1"/>
  <c r="AU112" i="56"/>
  <c r="AR135" i="48"/>
  <c r="AQ124" i="48"/>
  <c r="AQ109" i="48"/>
  <c r="AB21" i="50"/>
  <c r="AR18" i="49"/>
  <c r="AS18" i="49" s="1"/>
  <c r="AT18" i="49" s="1"/>
  <c r="AU18" i="49" s="1"/>
  <c r="AV18" i="49" s="1"/>
  <c r="AQ18" i="49"/>
  <c r="X20" i="50"/>
  <c r="Y25" i="49"/>
  <c r="AN26" i="48"/>
  <c r="AO26" i="48" s="1"/>
  <c r="AP26" i="48" s="1"/>
  <c r="AR26" i="48" s="1"/>
  <c r="AT55" i="48"/>
  <c r="AO7" i="48"/>
  <c r="AO135" i="48" s="1"/>
  <c r="AR15" i="49"/>
  <c r="AS15" i="49" s="1"/>
  <c r="AT15" i="49" s="1"/>
  <c r="AU15" i="49" s="1"/>
  <c r="AV15" i="49" s="1"/>
  <c r="AQ15" i="49"/>
  <c r="AA8" i="50"/>
  <c r="AB8" i="50" s="1"/>
  <c r="AB16" i="49"/>
  <c r="AA17" i="50"/>
  <c r="AB17" i="50" s="1"/>
  <c r="AC10" i="49"/>
  <c r="AB10" i="49"/>
  <c r="AP115" i="48"/>
  <c r="AP187" i="48"/>
  <c r="AU116" i="48"/>
  <c r="O146" i="48"/>
  <c r="AP135" i="48"/>
  <c r="AU55" i="48"/>
  <c r="AP7" i="48"/>
  <c r="T33" i="48"/>
  <c r="T146" i="48" s="1"/>
  <c r="T32" i="48"/>
  <c r="AN51" i="49"/>
  <c r="AI52" i="49"/>
  <c r="AL26" i="48"/>
  <c r="AF175" i="48"/>
  <c r="AK61" i="48"/>
  <c r="AS55" i="48"/>
  <c r="AQ55" i="48"/>
  <c r="AN7" i="48"/>
  <c r="AR26" i="49"/>
  <c r="AS26" i="49" s="1"/>
  <c r="AT26" i="49" s="1"/>
  <c r="AU26" i="49" s="1"/>
  <c r="AV26" i="49" s="1"/>
  <c r="AQ26" i="49"/>
  <c r="E46" i="50"/>
  <c r="E48" i="50" s="1"/>
  <c r="E11" i="49"/>
  <c r="E20" i="49" s="1"/>
  <c r="E144" i="48"/>
  <c r="V52" i="48"/>
  <c r="V53" i="48" s="1"/>
  <c r="AA53" i="48" s="1"/>
  <c r="AF53" i="48" s="1"/>
  <c r="AK53" i="48" s="1"/>
  <c r="X50" i="48"/>
  <c r="W50" i="48"/>
  <c r="AT187" i="48"/>
  <c r="AT115" i="48"/>
  <c r="AH129" i="48"/>
  <c r="AI163" i="48"/>
  <c r="AH117" i="48"/>
  <c r="AR32" i="49"/>
  <c r="AS32" i="49" s="1"/>
  <c r="AT32" i="49" s="1"/>
  <c r="AU32" i="49" s="1"/>
  <c r="AV32" i="49" s="1"/>
  <c r="AQ32" i="49"/>
  <c r="V6" i="50"/>
  <c r="V27" i="48"/>
  <c r="W31" i="48" s="1"/>
  <c r="AE175" i="48"/>
  <c r="AJ61" i="48"/>
  <c r="AI135" i="48"/>
  <c r="S33" i="48"/>
  <c r="S146" i="48" s="1"/>
  <c r="S32" i="48"/>
  <c r="G40" i="50"/>
  <c r="G41" i="50" s="1"/>
  <c r="G6" i="49" s="1"/>
  <c r="F6" i="49"/>
  <c r="AJ186" i="48"/>
  <c r="AO113" i="48"/>
  <c r="AJ112" i="48"/>
  <c r="D53" i="49"/>
  <c r="D43" i="49"/>
  <c r="AI180" i="48"/>
  <c r="AN94" i="48"/>
  <c r="R34" i="48"/>
  <c r="L55" i="50"/>
  <c r="L148" i="48" s="1"/>
  <c r="AJ183" i="48"/>
  <c r="AO101" i="48"/>
  <c r="AJ176" i="48"/>
  <c r="AO63" i="48"/>
  <c r="Z10" i="50"/>
  <c r="AB10" i="50" s="1"/>
  <c r="AB9" i="50"/>
  <c r="AC177" i="48"/>
  <c r="AH65" i="48"/>
  <c r="AF180" i="48"/>
  <c r="AK94" i="48"/>
  <c r="AH187" i="48"/>
  <c r="AM116" i="48"/>
  <c r="AH115" i="48"/>
  <c r="J147" i="48"/>
  <c r="O147" i="48"/>
  <c r="AA136" i="48"/>
  <c r="AH178" i="48"/>
  <c r="AM68" i="48"/>
  <c r="T41" i="48"/>
  <c r="T43" i="48"/>
  <c r="T44" i="48" s="1"/>
  <c r="Y44" i="48" s="1"/>
  <c r="S57" i="48"/>
  <c r="AF33" i="50"/>
  <c r="AF57" i="50" s="1"/>
  <c r="AA33" i="50"/>
  <c r="AC35" i="48"/>
  <c r="AB35" i="48"/>
  <c r="AN181" i="48"/>
  <c r="AS96" i="48"/>
  <c r="Q32" i="48"/>
  <c r="Q33" i="48"/>
  <c r="Q146" i="48" s="1"/>
  <c r="AR24" i="49"/>
  <c r="AS24" i="49" s="1"/>
  <c r="AT24" i="49" s="1"/>
  <c r="AU24" i="49" s="1"/>
  <c r="AV24" i="49" s="1"/>
  <c r="AQ24" i="49"/>
  <c r="AB120" i="48"/>
  <c r="AB121" i="48" s="1"/>
  <c r="E33" i="48"/>
  <c r="E32" i="48"/>
  <c r="AR31" i="49"/>
  <c r="AS31" i="49" s="1"/>
  <c r="AT31" i="49" s="1"/>
  <c r="AU31" i="49" s="1"/>
  <c r="AV31" i="49" s="1"/>
  <c r="AQ31" i="49"/>
  <c r="AD119" i="48"/>
  <c r="AC16" i="48"/>
  <c r="AE177" i="48"/>
  <c r="AJ65" i="48"/>
  <c r="Y83" i="48"/>
  <c r="X85" i="48"/>
  <c r="X87" i="48" s="1"/>
  <c r="AC44" i="48"/>
  <c r="AP47" i="49"/>
  <c r="AK48" i="49"/>
  <c r="AS187" i="48"/>
  <c r="AS115" i="48"/>
  <c r="AC182" i="48"/>
  <c r="AH98" i="48"/>
  <c r="AG33" i="50"/>
  <c r="AG57" i="50" s="1"/>
  <c r="AJ180" i="48"/>
  <c r="AO94" i="48"/>
  <c r="N146" i="48"/>
  <c r="Q55" i="50"/>
  <c r="Q148" i="48" s="1"/>
  <c r="AN113" i="48"/>
  <c r="AI186" i="48"/>
  <c r="AI112" i="48"/>
  <c r="AR34" i="49"/>
  <c r="AS34" i="49" s="1"/>
  <c r="AT34" i="49" s="1"/>
  <c r="AU34" i="49" s="1"/>
  <c r="AV34" i="49" s="1"/>
  <c r="AQ34" i="49"/>
  <c r="AO181" i="48"/>
  <c r="AT96" i="48"/>
  <c r="M32" i="48"/>
  <c r="M33" i="48"/>
  <c r="AC102" i="48"/>
  <c r="AA14" i="48"/>
  <c r="AB14" i="48" s="1"/>
  <c r="AB102" i="48"/>
  <c r="AH47" i="49"/>
  <c r="AC48" i="49"/>
  <c r="AI182" i="48"/>
  <c r="AN98" i="48"/>
  <c r="U33" i="48"/>
  <c r="U146" i="48" s="1"/>
  <c r="U32" i="48"/>
  <c r="AR185" i="48"/>
  <c r="AR110" i="48"/>
  <c r="AD165" i="48"/>
  <c r="AC168" i="48"/>
  <c r="AC170" i="48" s="1"/>
  <c r="F32" i="48"/>
  <c r="F33" i="48"/>
  <c r="K146" i="48" s="1"/>
  <c r="AS63" i="48"/>
  <c r="AE69" i="48"/>
  <c r="AJ185" i="48"/>
  <c r="AO111" i="48"/>
  <c r="AJ110" i="48"/>
  <c r="AK185" i="48"/>
  <c r="AP111" i="48"/>
  <c r="AK110" i="48"/>
  <c r="AT123" i="48"/>
  <c r="AS61" i="48"/>
  <c r="X7" i="50"/>
  <c r="AR63" i="48"/>
  <c r="AA172" i="48"/>
  <c r="AA28" i="48" s="1"/>
  <c r="AB28" i="48" s="1"/>
  <c r="AA18" i="48"/>
  <c r="AB18" i="48" s="1"/>
  <c r="H56" i="49"/>
  <c r="H22" i="50"/>
  <c r="AF178" i="48"/>
  <c r="AK68" i="48"/>
  <c r="AR40" i="49"/>
  <c r="AS40" i="49" s="1"/>
  <c r="AT40" i="49" s="1"/>
  <c r="AU40" i="49" s="1"/>
  <c r="AV40" i="49" s="1"/>
  <c r="AQ40" i="49"/>
  <c r="G142" i="48"/>
  <c r="G29" i="48"/>
  <c r="G34" i="48" s="1"/>
  <c r="L147" i="48" s="1"/>
  <c r="M30" i="48"/>
  <c r="I32" i="48"/>
  <c r="M31" i="48"/>
  <c r="M34" i="48" s="1"/>
  <c r="M147" i="48" s="1"/>
  <c r="I33" i="48"/>
  <c r="I146" i="48" s="1"/>
  <c r="T74" i="48"/>
  <c r="T76" i="48" s="1"/>
  <c r="T77" i="48" s="1"/>
  <c r="Y77" i="48" s="1"/>
  <c r="S90" i="48"/>
  <c r="AU108" i="48"/>
  <c r="AK183" i="48"/>
  <c r="AP101" i="48"/>
  <c r="AP181" i="48"/>
  <c r="AU96" i="48"/>
  <c r="J32" i="48"/>
  <c r="J33" i="48"/>
  <c r="AE182" i="48"/>
  <c r="AJ98" i="48"/>
  <c r="AJ143" i="48"/>
  <c r="Y56" i="49"/>
  <c r="AA21" i="50"/>
  <c r="AC23" i="49"/>
  <c r="AB23" i="49"/>
  <c r="AK186" i="48"/>
  <c r="AP113" i="48"/>
  <c r="AK112" i="48"/>
  <c r="Z29" i="50"/>
  <c r="Z47" i="50"/>
  <c r="Z63" i="49"/>
  <c r="AA28" i="49"/>
  <c r="AA22" i="48"/>
  <c r="AB22" i="48" s="1"/>
  <c r="AA19" i="50"/>
  <c r="AB19" i="50" s="1"/>
  <c r="AC27" i="49"/>
  <c r="AB27" i="49"/>
  <c r="AD13" i="49"/>
  <c r="AK182" i="48"/>
  <c r="AP98" i="48"/>
  <c r="AR33" i="49"/>
  <c r="AS33" i="49" s="1"/>
  <c r="AT33" i="49" s="1"/>
  <c r="AU33" i="49" s="1"/>
  <c r="AV33" i="49" s="1"/>
  <c r="AQ33" i="49"/>
  <c r="AD183" i="48"/>
  <c r="AI101" i="48"/>
  <c r="G25" i="48"/>
  <c r="G27" i="48" s="1"/>
  <c r="G143" i="48"/>
  <c r="R36" i="48"/>
  <c r="AV108" i="48"/>
  <c r="AR112" i="48"/>
  <c r="AR39" i="49"/>
  <c r="AS39" i="49" s="1"/>
  <c r="AT39" i="49" s="1"/>
  <c r="AU39" i="49" s="1"/>
  <c r="AV39" i="49" s="1"/>
  <c r="AQ39" i="49"/>
  <c r="M56" i="50"/>
  <c r="M27" i="50"/>
  <c r="M39" i="50" s="1"/>
  <c r="AH175" i="48"/>
  <c r="AM61" i="48"/>
  <c r="AN47" i="49"/>
  <c r="AI48" i="49"/>
  <c r="AD118" i="48"/>
  <c r="AG110" i="48"/>
  <c r="Z56" i="49"/>
  <c r="AF177" i="48"/>
  <c r="AK65" i="48"/>
  <c r="AE55" i="49"/>
  <c r="AI178" i="48"/>
  <c r="AN68" i="48"/>
  <c r="AJ178" i="48"/>
  <c r="AO68" i="48"/>
  <c r="AJ47" i="49"/>
  <c r="AE48" i="49"/>
  <c r="AG115" i="48"/>
  <c r="AG116" i="48" s="1"/>
  <c r="AC118" i="48"/>
  <c r="AC120" i="48" s="1"/>
  <c r="AC121" i="48" s="1"/>
  <c r="AH180" i="48"/>
  <c r="AM94" i="48"/>
  <c r="AR19" i="49"/>
  <c r="AS19" i="49" s="1"/>
  <c r="AT19" i="49" s="1"/>
  <c r="AU19" i="49" s="1"/>
  <c r="AV19" i="49" s="1"/>
  <c r="AQ19" i="49"/>
  <c r="S76" i="48"/>
  <c r="S77" i="48" s="1"/>
  <c r="X77" i="48" s="1"/>
  <c r="AM181" i="48"/>
  <c r="AR96" i="48"/>
  <c r="AH54" i="49"/>
  <c r="AI185" i="48"/>
  <c r="AN111" i="48"/>
  <c r="AI110" i="48"/>
  <c r="D33" i="48"/>
  <c r="D32" i="48"/>
  <c r="AC183" i="48"/>
  <c r="AH101" i="48"/>
  <c r="AI177" i="48"/>
  <c r="AN65" i="48"/>
  <c r="AS65" i="48" s="1"/>
  <c r="AK176" i="48"/>
  <c r="AP63" i="48"/>
  <c r="AE172" i="73" l="1"/>
  <c r="AE28" i="73" s="1"/>
  <c r="AE18" i="73"/>
  <c r="AE18" i="70" s="1"/>
  <c r="AF170" i="73"/>
  <c r="AF170" i="70" s="1"/>
  <c r="AF168" i="70"/>
  <c r="AG129" i="65"/>
  <c r="AG129" i="70" s="1"/>
  <c r="AF129" i="70"/>
  <c r="AE117" i="70"/>
  <c r="AA121" i="70"/>
  <c r="AD120" i="73"/>
  <c r="AD118" i="70"/>
  <c r="AC121" i="73"/>
  <c r="AC120" i="70"/>
  <c r="AB121" i="73"/>
  <c r="AB121" i="70" s="1"/>
  <c r="AB120" i="70"/>
  <c r="AJ129" i="73"/>
  <c r="AB28" i="65"/>
  <c r="AB28" i="70" s="1"/>
  <c r="AC28" i="65"/>
  <c r="AC28" i="70" s="1"/>
  <c r="AC172" i="70"/>
  <c r="AH173" i="73"/>
  <c r="AF173" i="70"/>
  <c r="AH44" i="73"/>
  <c r="AF77" i="73"/>
  <c r="AB6" i="73"/>
  <c r="Z134" i="73"/>
  <c r="AM35" i="73"/>
  <c r="AF8" i="75"/>
  <c r="AG8" i="75" s="1"/>
  <c r="AG16" i="74"/>
  <c r="AT183" i="73"/>
  <c r="R41" i="75"/>
  <c r="N41" i="75"/>
  <c r="AD30" i="73"/>
  <c r="AH33" i="75"/>
  <c r="AE155" i="73"/>
  <c r="AG155" i="73" s="1"/>
  <c r="AF153" i="73"/>
  <c r="AF155" i="73" s="1"/>
  <c r="AH19" i="75"/>
  <c r="AI27" i="74"/>
  <c r="AH16" i="74"/>
  <c r="AH8" i="75" s="1"/>
  <c r="AD31" i="73"/>
  <c r="AE31" i="73" s="1"/>
  <c r="AF31" i="73" s="1"/>
  <c r="AK54" i="74"/>
  <c r="AI21" i="75"/>
  <c r="AJ23" i="74"/>
  <c r="AI125" i="73"/>
  <c r="X74" i="73"/>
  <c r="W74" i="73"/>
  <c r="AB139" i="73" s="1"/>
  <c r="X76" i="73"/>
  <c r="X77" i="73" s="1"/>
  <c r="AC77" i="73" s="1"/>
  <c r="V90" i="73"/>
  <c r="AB90" i="73" s="1"/>
  <c r="AF117" i="73"/>
  <c r="AG117" i="73" s="1"/>
  <c r="AE118" i="73"/>
  <c r="AH20" i="75"/>
  <c r="AI25" i="74"/>
  <c r="AN163" i="73"/>
  <c r="AN163" i="70" s="1"/>
  <c r="AM69" i="73"/>
  <c r="AH17" i="75"/>
  <c r="AI10" i="74"/>
  <c r="AE102" i="73"/>
  <c r="AE102" i="70" s="1"/>
  <c r="AD14" i="73"/>
  <c r="AD14" i="70" s="1"/>
  <c r="AI165" i="73"/>
  <c r="AH168" i="73"/>
  <c r="AJ9" i="75"/>
  <c r="AL16" i="73"/>
  <c r="AJ77" i="73"/>
  <c r="G53" i="74"/>
  <c r="G43" i="74"/>
  <c r="AK44" i="73"/>
  <c r="AG29" i="75"/>
  <c r="I46" i="75"/>
  <c r="I48" i="75" s="1"/>
  <c r="I11" i="74"/>
  <c r="I20" i="74" s="1"/>
  <c r="I144" i="73"/>
  <c r="AT180" i="73"/>
  <c r="AM119" i="73"/>
  <c r="AK136" i="73"/>
  <c r="AK16" i="73"/>
  <c r="AK9" i="75" s="1"/>
  <c r="AK10" i="75" s="1"/>
  <c r="H46" i="75"/>
  <c r="H48" i="75" s="1"/>
  <c r="H11" i="74"/>
  <c r="H20" i="74" s="1"/>
  <c r="K40" i="75"/>
  <c r="K41" i="75" s="1"/>
  <c r="J6" i="74"/>
  <c r="AI143" i="73"/>
  <c r="Y41" i="73"/>
  <c r="X57" i="73"/>
  <c r="AL69" i="73"/>
  <c r="AJ136" i="73"/>
  <c r="AF47" i="75"/>
  <c r="AF29" i="75"/>
  <c r="AH28" i="74"/>
  <c r="AG28" i="74"/>
  <c r="AF63" i="74"/>
  <c r="AH22" i="73"/>
  <c r="AJ44" i="73"/>
  <c r="AI13" i="74"/>
  <c r="AR56" i="74"/>
  <c r="AS56" i="74" s="1"/>
  <c r="AT182" i="73"/>
  <c r="AS55" i="74"/>
  <c r="AT55" i="74" s="1"/>
  <c r="AV111" i="73"/>
  <c r="AD52" i="73"/>
  <c r="AD54" i="73" s="1"/>
  <c r="AE50" i="73"/>
  <c r="F53" i="74"/>
  <c r="F43" i="74"/>
  <c r="AC85" i="73"/>
  <c r="AC87" i="73" s="1"/>
  <c r="AC6" i="73" s="1"/>
  <c r="AD83" i="73"/>
  <c r="AL35" i="73"/>
  <c r="AI55" i="66"/>
  <c r="AH16" i="66"/>
  <c r="AI54" i="66"/>
  <c r="AD18" i="65"/>
  <c r="AD172" i="65"/>
  <c r="Y86" i="65"/>
  <c r="Z54" i="65"/>
  <c r="AD53" i="65"/>
  <c r="AJ40" i="66"/>
  <c r="AJ39" i="66"/>
  <c r="AJ32" i="66"/>
  <c r="AJ31" i="66"/>
  <c r="AJ34" i="66"/>
  <c r="AJ33" i="66"/>
  <c r="AG19" i="67"/>
  <c r="AJ26" i="66"/>
  <c r="AJ24" i="66"/>
  <c r="AJ15" i="66"/>
  <c r="AJ19" i="66"/>
  <c r="AJ18" i="66"/>
  <c r="AF102" i="65"/>
  <c r="AE14" i="65"/>
  <c r="AD120" i="65"/>
  <c r="AF117" i="65"/>
  <c r="AE118" i="65"/>
  <c r="AG117" i="65"/>
  <c r="AC121" i="65"/>
  <c r="AE170" i="65"/>
  <c r="AN145" i="65"/>
  <c r="AG22" i="65"/>
  <c r="Y131" i="65"/>
  <c r="AH128" i="65"/>
  <c r="AG128" i="65"/>
  <c r="AH126" i="65"/>
  <c r="AH129" i="65"/>
  <c r="AH129" i="70" s="1"/>
  <c r="AG126" i="65"/>
  <c r="AG119" i="65"/>
  <c r="AD10" i="67"/>
  <c r="AQ111" i="65"/>
  <c r="AV113" i="65"/>
  <c r="AV116" i="65"/>
  <c r="AE58" i="67"/>
  <c r="AH26" i="65"/>
  <c r="AG26" i="65"/>
  <c r="G43" i="71"/>
  <c r="F43" i="71"/>
  <c r="AI125" i="65"/>
  <c r="AF21" i="67"/>
  <c r="AH23" i="66"/>
  <c r="AG23" i="66"/>
  <c r="AT183" i="65"/>
  <c r="AT180" i="65"/>
  <c r="AF47" i="67"/>
  <c r="AF29" i="67"/>
  <c r="AF63" i="66"/>
  <c r="AH28" i="66"/>
  <c r="AG28" i="66"/>
  <c r="AH22" i="65"/>
  <c r="AF77" i="65"/>
  <c r="F53" i="66"/>
  <c r="F43" i="66"/>
  <c r="AN163" i="65"/>
  <c r="X74" i="65"/>
  <c r="W74" i="65"/>
  <c r="X76" i="65"/>
  <c r="X77" i="65" s="1"/>
  <c r="AC77" i="65" s="1"/>
  <c r="V90" i="65"/>
  <c r="AB90" i="65" s="1"/>
  <c r="AF8" i="67"/>
  <c r="AG16" i="66"/>
  <c r="AT182" i="65"/>
  <c r="AF44" i="65"/>
  <c r="AA83" i="65"/>
  <c r="Z85" i="65"/>
  <c r="W41" i="65"/>
  <c r="X41" i="65"/>
  <c r="V57" i="65"/>
  <c r="AU182" i="65"/>
  <c r="AH69" i="65"/>
  <c r="AH69" i="70" s="1"/>
  <c r="AJ44" i="65"/>
  <c r="AC155" i="65"/>
  <c r="AD153" i="65"/>
  <c r="AH8" i="67"/>
  <c r="AI35" i="65"/>
  <c r="J40" i="67"/>
  <c r="J41" i="67" s="1"/>
  <c r="I6" i="66"/>
  <c r="AF20" i="67"/>
  <c r="AH25" i="66"/>
  <c r="AG25" i="66"/>
  <c r="AA52" i="65"/>
  <c r="AC50" i="65"/>
  <c r="AB50" i="65"/>
  <c r="AH165" i="65"/>
  <c r="AF168" i="65"/>
  <c r="N40" i="67"/>
  <c r="R40" i="67"/>
  <c r="AF17" i="67"/>
  <c r="AH10" i="66"/>
  <c r="AG10" i="66"/>
  <c r="AE9" i="67"/>
  <c r="AH13" i="66"/>
  <c r="AG13" i="66"/>
  <c r="AH119" i="65"/>
  <c r="AF16" i="65"/>
  <c r="G53" i="66"/>
  <c r="G43" i="66"/>
  <c r="AG69" i="65"/>
  <c r="AG69" i="70" s="1"/>
  <c r="AE136" i="65"/>
  <c r="H46" i="67"/>
  <c r="H48" i="67" s="1"/>
  <c r="H11" i="66"/>
  <c r="H20" i="66" s="1"/>
  <c r="AJ77" i="65"/>
  <c r="AU183" i="65"/>
  <c r="AH19" i="67"/>
  <c r="AI27" i="66"/>
  <c r="AV110" i="65"/>
  <c r="AE55" i="57"/>
  <c r="AE55" i="62" s="1"/>
  <c r="AD16" i="57"/>
  <c r="AD16" i="62" s="1"/>
  <c r="AT50" i="57"/>
  <c r="AT50" i="62" s="1"/>
  <c r="AT49" i="62"/>
  <c r="AU52" i="57"/>
  <c r="AU52" i="62" s="1"/>
  <c r="AU51" i="62"/>
  <c r="AT52" i="57"/>
  <c r="AT52" i="62" s="1"/>
  <c r="AT51" i="62"/>
  <c r="AD28" i="62"/>
  <c r="AD47" i="58"/>
  <c r="AD47" i="63" s="1"/>
  <c r="AD29" i="58"/>
  <c r="AD29" i="63" s="1"/>
  <c r="AD63" i="57"/>
  <c r="AD63" i="62" s="1"/>
  <c r="AE28" i="57"/>
  <c r="AE22" i="56"/>
  <c r="AE22" i="61" s="1"/>
  <c r="AB120" i="61"/>
  <c r="AC8" i="58"/>
  <c r="AC8" i="63" s="1"/>
  <c r="AE54" i="57"/>
  <c r="AE54" i="62" s="1"/>
  <c r="X86" i="56"/>
  <c r="X85" i="61"/>
  <c r="Y54" i="56"/>
  <c r="Y54" i="61" s="1"/>
  <c r="Y52" i="61"/>
  <c r="X53" i="61"/>
  <c r="AC53" i="56"/>
  <c r="AN39" i="57"/>
  <c r="AM39" i="62"/>
  <c r="AI40" i="57"/>
  <c r="AH40" i="62"/>
  <c r="AF33" i="57"/>
  <c r="AE33" i="62"/>
  <c r="AI32" i="57"/>
  <c r="AH32" i="62"/>
  <c r="AI34" i="57"/>
  <c r="AH34" i="62"/>
  <c r="AI31" i="57"/>
  <c r="AH31" i="62"/>
  <c r="AB8" i="58"/>
  <c r="AB8" i="63" s="1"/>
  <c r="AA8" i="63"/>
  <c r="AI26" i="57"/>
  <c r="AH26" i="62"/>
  <c r="AB20" i="58"/>
  <c r="AB20" i="63" s="1"/>
  <c r="AA20" i="63"/>
  <c r="AI24" i="57"/>
  <c r="AH24" i="62"/>
  <c r="AF15" i="62"/>
  <c r="AH15" i="57"/>
  <c r="AG15" i="57"/>
  <c r="AG15" i="62" s="1"/>
  <c r="AI18" i="57"/>
  <c r="AH18" i="62"/>
  <c r="AF19" i="62"/>
  <c r="AH19" i="57"/>
  <c r="AG19" i="57"/>
  <c r="AG19" i="62" s="1"/>
  <c r="AJ173" i="56"/>
  <c r="AI173" i="61"/>
  <c r="AB28" i="56"/>
  <c r="AB28" i="61" s="1"/>
  <c r="AC102" i="61"/>
  <c r="AD102" i="56"/>
  <c r="AG118" i="56"/>
  <c r="AG118" i="61" s="1"/>
  <c r="AG117" i="61"/>
  <c r="AC28" i="56"/>
  <c r="AC172" i="61"/>
  <c r="AE170" i="56"/>
  <c r="AE168" i="61"/>
  <c r="AH165" i="56"/>
  <c r="AF165" i="61"/>
  <c r="AF168" i="56"/>
  <c r="AD170" i="61"/>
  <c r="AD172" i="56"/>
  <c r="AD18" i="56"/>
  <c r="AD18" i="61" s="1"/>
  <c r="AI145" i="56"/>
  <c r="AH145" i="61"/>
  <c r="AE129" i="61"/>
  <c r="AF129" i="56"/>
  <c r="AA10" i="58"/>
  <c r="AA9" i="63"/>
  <c r="AL113" i="56"/>
  <c r="AL113" i="61" s="1"/>
  <c r="AL112" i="61"/>
  <c r="AQ115" i="56"/>
  <c r="AM115" i="61"/>
  <c r="AC121" i="56"/>
  <c r="AC121" i="61" s="1"/>
  <c r="AC120" i="61"/>
  <c r="AL116" i="56"/>
  <c r="AL116" i="61" s="1"/>
  <c r="AL115" i="61"/>
  <c r="AR135" i="56"/>
  <c r="AA58" i="58"/>
  <c r="AA58" i="63" s="1"/>
  <c r="AA57" i="63"/>
  <c r="AC26" i="61"/>
  <c r="AD26" i="56"/>
  <c r="AE16" i="57"/>
  <c r="AE13" i="57"/>
  <c r="AE13" i="62" s="1"/>
  <c r="AT185" i="56"/>
  <c r="AT110" i="56"/>
  <c r="X130" i="56"/>
  <c r="AQ110" i="56"/>
  <c r="AQ110" i="61" s="1"/>
  <c r="AE119" i="56"/>
  <c r="AE119" i="61" s="1"/>
  <c r="AD16" i="56"/>
  <c r="AD136" i="56" s="1"/>
  <c r="AD120" i="56"/>
  <c r="AQ112" i="56"/>
  <c r="AS180" i="56"/>
  <c r="AS181" i="56"/>
  <c r="Y85" i="56"/>
  <c r="Z83" i="56"/>
  <c r="Z83" i="61" s="1"/>
  <c r="AK44" i="56"/>
  <c r="AS112" i="56"/>
  <c r="AS112" i="61" s="1"/>
  <c r="AS186" i="56"/>
  <c r="AR186" i="56"/>
  <c r="AR112" i="56"/>
  <c r="AR112" i="61" s="1"/>
  <c r="AT47" i="57"/>
  <c r="AO48" i="57"/>
  <c r="AO48" i="62" s="1"/>
  <c r="AU68" i="56"/>
  <c r="AI33" i="58"/>
  <c r="AE35" i="56"/>
  <c r="AE35" i="61" s="1"/>
  <c r="AF17" i="58"/>
  <c r="AH10" i="57"/>
  <c r="AH10" i="62" s="1"/>
  <c r="AG10" i="57"/>
  <c r="AG10" i="62" s="1"/>
  <c r="AL111" i="56"/>
  <c r="AL111" i="61" s="1"/>
  <c r="AF55" i="57"/>
  <c r="AF55" i="62" s="1"/>
  <c r="AJ163" i="56"/>
  <c r="AI117" i="56"/>
  <c r="AC20" i="58"/>
  <c r="AC20" i="63" s="1"/>
  <c r="AD25" i="57"/>
  <c r="AD25" i="62" s="1"/>
  <c r="AD14" i="56"/>
  <c r="AD14" i="61" s="1"/>
  <c r="AE69" i="56"/>
  <c r="AE69" i="61" s="1"/>
  <c r="Y41" i="56"/>
  <c r="Y41" i="61" s="1"/>
  <c r="X57" i="56"/>
  <c r="X57" i="61" s="1"/>
  <c r="AS44" i="56"/>
  <c r="AH57" i="58"/>
  <c r="AH57" i="63" s="1"/>
  <c r="AR115" i="56"/>
  <c r="AR187" i="56"/>
  <c r="X43" i="56"/>
  <c r="X44" i="56" s="1"/>
  <c r="AU180" i="56"/>
  <c r="AP182" i="56"/>
  <c r="AU98" i="56"/>
  <c r="AT181" i="56"/>
  <c r="AI77" i="56"/>
  <c r="F46" i="58"/>
  <c r="F144" i="56"/>
  <c r="F144" i="61" s="1"/>
  <c r="F11" i="57"/>
  <c r="AH118" i="56"/>
  <c r="AH118" i="61" s="1"/>
  <c r="AV7" i="56"/>
  <c r="AV7" i="61" s="1"/>
  <c r="AB57" i="58"/>
  <c r="AB57" i="63" s="1"/>
  <c r="Z52" i="56"/>
  <c r="AA50" i="56"/>
  <c r="AA50" i="61" s="1"/>
  <c r="AU61" i="56"/>
  <c r="AE77" i="56"/>
  <c r="G46" i="58"/>
  <c r="H6" i="57"/>
  <c r="H6" i="62" s="1"/>
  <c r="G11" i="57"/>
  <c r="G144" i="56"/>
  <c r="G144" i="61" s="1"/>
  <c r="AP48" i="57"/>
  <c r="AP48" i="62" s="1"/>
  <c r="AU47" i="57"/>
  <c r="AN182" i="56"/>
  <c r="AS98" i="56"/>
  <c r="AS98" i="61" s="1"/>
  <c r="AV109" i="56"/>
  <c r="AV109" i="61" s="1"/>
  <c r="V74" i="56"/>
  <c r="V76" i="56"/>
  <c r="V77" i="56" s="1"/>
  <c r="AA77" i="56" s="1"/>
  <c r="U90" i="56"/>
  <c r="AC9" i="58"/>
  <c r="AC9" i="63" s="1"/>
  <c r="AC136" i="56"/>
  <c r="AT182" i="56"/>
  <c r="AN48" i="57"/>
  <c r="AN48" i="62" s="1"/>
  <c r="AS47" i="57"/>
  <c r="M40" i="58"/>
  <c r="I40" i="58"/>
  <c r="AT180" i="56"/>
  <c r="AO44" i="56"/>
  <c r="AE21" i="58"/>
  <c r="AE21" i="63" s="1"/>
  <c r="AF23" i="57"/>
  <c r="AF23" i="62" s="1"/>
  <c r="AE19" i="58"/>
  <c r="AE19" i="63" s="1"/>
  <c r="AF27" i="57"/>
  <c r="AF27" i="62" s="1"/>
  <c r="AT186" i="56"/>
  <c r="AT112" i="56"/>
  <c r="W146" i="56"/>
  <c r="W36" i="56"/>
  <c r="AD77" i="48"/>
  <c r="W34" i="48"/>
  <c r="W147" i="48" s="1"/>
  <c r="W33" i="48"/>
  <c r="AR61" i="48"/>
  <c r="AP186" i="48"/>
  <c r="AU113" i="48"/>
  <c r="AP112" i="48"/>
  <c r="AP183" i="48"/>
  <c r="AU101" i="48"/>
  <c r="AO180" i="48"/>
  <c r="AT94" i="48"/>
  <c r="AS181" i="48"/>
  <c r="AL115" i="48"/>
  <c r="AL116" i="48" s="1"/>
  <c r="AH118" i="48"/>
  <c r="V22" i="50"/>
  <c r="W6" i="50"/>
  <c r="W22" i="50" s="1"/>
  <c r="M146" i="48"/>
  <c r="M36" i="48"/>
  <c r="AR181" i="48"/>
  <c r="AC172" i="48"/>
  <c r="AC28" i="48" s="1"/>
  <c r="AC18" i="48"/>
  <c r="AC9" i="50"/>
  <c r="AM187" i="48"/>
  <c r="AM115" i="48"/>
  <c r="AR116" i="48"/>
  <c r="E53" i="49"/>
  <c r="E43" i="49"/>
  <c r="AS51" i="49"/>
  <c r="AS52" i="49" s="1"/>
  <c r="AN52" i="49"/>
  <c r="AU181" i="48"/>
  <c r="AK178" i="48"/>
  <c r="AP68" i="48"/>
  <c r="AS68" i="48"/>
  <c r="AP182" i="48"/>
  <c r="AU98" i="48"/>
  <c r="AP185" i="48"/>
  <c r="AP110" i="48"/>
  <c r="AU111" i="48"/>
  <c r="AE165" i="48"/>
  <c r="AD168" i="48"/>
  <c r="AD170" i="48" s="1"/>
  <c r="AT181" i="48"/>
  <c r="AT63" i="48"/>
  <c r="AE13" i="49"/>
  <c r="H39" i="50"/>
  <c r="H41" i="50" s="1"/>
  <c r="M55" i="50"/>
  <c r="M148" i="48" s="1"/>
  <c r="AH182" i="48"/>
  <c r="AM98" i="48"/>
  <c r="AC136" i="48"/>
  <c r="AA57" i="50"/>
  <c r="AA58" i="50" s="1"/>
  <c r="AB33" i="50"/>
  <c r="AB57" i="50" s="1"/>
  <c r="AT7" i="48"/>
  <c r="AT135" i="48" s="1"/>
  <c r="AD102" i="48"/>
  <c r="AC14" i="48"/>
  <c r="X52" i="48"/>
  <c r="X54" i="48" s="1"/>
  <c r="Y50" i="48"/>
  <c r="AJ177" i="48"/>
  <c r="AO65" i="48"/>
  <c r="AT65" i="48" s="1"/>
  <c r="AC21" i="50"/>
  <c r="AD23" i="49"/>
  <c r="AH55" i="49"/>
  <c r="AO185" i="48"/>
  <c r="AO110" i="48"/>
  <c r="AT111" i="48"/>
  <c r="F46" i="50"/>
  <c r="F48" i="50" s="1"/>
  <c r="F11" i="49"/>
  <c r="F20" i="49" s="1"/>
  <c r="F144" i="48"/>
  <c r="AU7" i="48"/>
  <c r="AU135" i="48" s="1"/>
  <c r="AK177" i="48"/>
  <c r="AP65" i="48"/>
  <c r="AU65" i="48" s="1"/>
  <c r="AV109" i="48"/>
  <c r="AK180" i="48"/>
  <c r="AP94" i="48"/>
  <c r="AO183" i="48"/>
  <c r="AT101" i="48"/>
  <c r="G46" i="50"/>
  <c r="G48" i="50" s="1"/>
  <c r="G11" i="49"/>
  <c r="G20" i="49" s="1"/>
  <c r="H6" i="49"/>
  <c r="G144" i="48"/>
  <c r="AI129" i="48"/>
  <c r="AJ163" i="48"/>
  <c r="AI117" i="48"/>
  <c r="AI183" i="48"/>
  <c r="AN101" i="48"/>
  <c r="AT68" i="48"/>
  <c r="Z83" i="48"/>
  <c r="Y85" i="48"/>
  <c r="Y87" i="48" s="1"/>
  <c r="U74" i="48"/>
  <c r="U76" i="48"/>
  <c r="U77" i="48" s="1"/>
  <c r="Z77" i="48" s="1"/>
  <c r="T90" i="48"/>
  <c r="AD44" i="48"/>
  <c r="AQ7" i="48"/>
  <c r="AS26" i="48"/>
  <c r="AT26" i="48" s="1"/>
  <c r="AU26" i="48" s="1"/>
  <c r="AV26" i="48"/>
  <c r="AC19" i="50"/>
  <c r="AD27" i="49"/>
  <c r="AC16" i="49"/>
  <c r="AC8" i="50" s="1"/>
  <c r="AK143" i="48"/>
  <c r="U41" i="48"/>
  <c r="U43" i="48" s="1"/>
  <c r="U44" i="48" s="1"/>
  <c r="Z44" i="48" s="1"/>
  <c r="T57" i="48"/>
  <c r="R146" i="48"/>
  <c r="AL112" i="48"/>
  <c r="AL113" i="48" s="1"/>
  <c r="AU47" i="49"/>
  <c r="AU48" i="49" s="1"/>
  <c r="AP48" i="49"/>
  <c r="AH177" i="48"/>
  <c r="AM65" i="48"/>
  <c r="AR65" i="48" s="1"/>
  <c r="W30" i="48"/>
  <c r="W32" i="48" s="1"/>
  <c r="AS135" i="48"/>
  <c r="AS7" i="48"/>
  <c r="AV55" i="48"/>
  <c r="AU187" i="48"/>
  <c r="AU115" i="48"/>
  <c r="AQ26" i="48"/>
  <c r="AF55" i="49"/>
  <c r="AI55" i="49" s="1"/>
  <c r="AC17" i="50"/>
  <c r="AD10" i="49"/>
  <c r="AM180" i="48"/>
  <c r="AR94" i="48"/>
  <c r="AF69" i="48"/>
  <c r="AG69" i="48" s="1"/>
  <c r="AG118" i="48"/>
  <c r="AG111" i="48"/>
  <c r="AD120" i="48"/>
  <c r="AD121" i="48" s="1"/>
  <c r="J146" i="48"/>
  <c r="X127" i="48"/>
  <c r="X99" i="48"/>
  <c r="X66" i="48"/>
  <c r="AV123" i="48"/>
  <c r="AH44" i="48"/>
  <c r="AR68" i="48"/>
  <c r="Y20" i="50"/>
  <c r="Z25" i="49"/>
  <c r="AN180" i="48"/>
  <c r="AS94" i="48"/>
  <c r="V32" i="48"/>
  <c r="V33" i="48"/>
  <c r="V146" i="48" s="1"/>
  <c r="AO186" i="48"/>
  <c r="AT113" i="48"/>
  <c r="AO112" i="48"/>
  <c r="AH183" i="48"/>
  <c r="AM101" i="48"/>
  <c r="AA56" i="49"/>
  <c r="G32" i="48"/>
  <c r="G33" i="48"/>
  <c r="L146" i="48" s="1"/>
  <c r="AA47" i="50"/>
  <c r="AA29" i="50"/>
  <c r="AA63" i="49"/>
  <c r="AC28" i="49"/>
  <c r="AB28" i="49"/>
  <c r="AC22" i="48"/>
  <c r="AM47" i="49"/>
  <c r="AH48" i="49"/>
  <c r="AN186" i="48"/>
  <c r="AS113" i="48"/>
  <c r="AN112" i="48"/>
  <c r="R147" i="48"/>
  <c r="AN135" i="48"/>
  <c r="AN185" i="48"/>
  <c r="AS111" i="48"/>
  <c r="AN110" i="48"/>
  <c r="AU63" i="48"/>
  <c r="AC77" i="48"/>
  <c r="AE119" i="48"/>
  <c r="AD16" i="48"/>
  <c r="AD9" i="50" s="1"/>
  <c r="AD10" i="50" s="1"/>
  <c r="AH33" i="50"/>
  <c r="AD35" i="48"/>
  <c r="AJ182" i="48"/>
  <c r="AO98" i="48"/>
  <c r="AN182" i="48"/>
  <c r="AS98" i="48"/>
  <c r="AI54" i="49"/>
  <c r="AJ54" i="49" s="1"/>
  <c r="AL110" i="48"/>
  <c r="AO47" i="49"/>
  <c r="AJ48" i="49"/>
  <c r="AS47" i="49"/>
  <c r="AS48" i="49" s="1"/>
  <c r="AN48" i="49"/>
  <c r="AJ175" i="48"/>
  <c r="AO61" i="48"/>
  <c r="AK175" i="48"/>
  <c r="AP61" i="48"/>
  <c r="AB29" i="50"/>
  <c r="AH170" i="73" l="1"/>
  <c r="AH170" i="70" s="1"/>
  <c r="AH168" i="70"/>
  <c r="AF18" i="73"/>
  <c r="AF172" i="73"/>
  <c r="AF28" i="73" s="1"/>
  <c r="AF117" i="70"/>
  <c r="AC121" i="70"/>
  <c r="AD121" i="73"/>
  <c r="AD120" i="70"/>
  <c r="AE120" i="73"/>
  <c r="AE118" i="70"/>
  <c r="AG118" i="73"/>
  <c r="AG117" i="70"/>
  <c r="AK129" i="73"/>
  <c r="AD28" i="65"/>
  <c r="AD28" i="70" s="1"/>
  <c r="AD172" i="70"/>
  <c r="AI173" i="73"/>
  <c r="AH173" i="70"/>
  <c r="AU55" i="74"/>
  <c r="J46" i="75"/>
  <c r="J48" i="75" s="1"/>
  <c r="J144" i="73"/>
  <c r="J11" i="74"/>
  <c r="J20" i="74" s="1"/>
  <c r="AH117" i="73"/>
  <c r="AF118" i="73"/>
  <c r="W40" i="75"/>
  <c r="S40" i="75"/>
  <c r="AJ143" i="73"/>
  <c r="AK143" i="73"/>
  <c r="AE14" i="73"/>
  <c r="AE14" i="70" s="1"/>
  <c r="AF102" i="73"/>
  <c r="AM54" i="74"/>
  <c r="AO54" i="74" s="1"/>
  <c r="AJ21" i="75"/>
  <c r="AK23" i="74"/>
  <c r="Z41" i="73"/>
  <c r="Z43" i="73"/>
  <c r="Z45" i="73" s="1"/>
  <c r="Y57" i="73"/>
  <c r="Y43" i="73"/>
  <c r="Y44" i="73" s="1"/>
  <c r="AD44" i="73" s="1"/>
  <c r="I53" i="74"/>
  <c r="I43" i="74"/>
  <c r="AI17" i="75"/>
  <c r="AJ10" i="74"/>
  <c r="AE83" i="73"/>
  <c r="AD85" i="73"/>
  <c r="AD87" i="73" s="1"/>
  <c r="AN54" i="74"/>
  <c r="L40" i="75"/>
  <c r="L41" i="75" s="1"/>
  <c r="L6" i="74" s="1"/>
  <c r="K6" i="74"/>
  <c r="AP44" i="73"/>
  <c r="AM143" i="73"/>
  <c r="AO44" i="73"/>
  <c r="H53" i="74"/>
  <c r="H43" i="74"/>
  <c r="AJ27" i="74"/>
  <c r="AI19" i="75"/>
  <c r="AI16" i="74"/>
  <c r="AI8" i="75" s="1"/>
  <c r="AO77" i="73"/>
  <c r="AH77" i="73"/>
  <c r="AN35" i="73"/>
  <c r="AE52" i="73"/>
  <c r="AE54" i="73" s="1"/>
  <c r="AF50" i="73"/>
  <c r="AG47" i="75"/>
  <c r="AG67" i="74"/>
  <c r="Y74" i="73"/>
  <c r="Y76" i="73"/>
  <c r="Y77" i="73" s="1"/>
  <c r="AD77" i="73" s="1"/>
  <c r="X90" i="73"/>
  <c r="AH29" i="75"/>
  <c r="AH47" i="75"/>
  <c r="AH63" i="74"/>
  <c r="AI28" i="74"/>
  <c r="AI22" i="73"/>
  <c r="AN119" i="73"/>
  <c r="AM16" i="73"/>
  <c r="AJ10" i="75"/>
  <c r="AL10" i="75" s="1"/>
  <c r="AL9" i="75"/>
  <c r="AO163" i="73"/>
  <c r="AO163" i="70" s="1"/>
  <c r="AN69" i="73"/>
  <c r="AH57" i="75"/>
  <c r="AH58" i="75" s="1"/>
  <c r="AK77" i="73"/>
  <c r="AH153" i="73"/>
  <c r="AI20" i="75"/>
  <c r="AJ25" i="74"/>
  <c r="AJ125" i="73"/>
  <c r="AE30" i="73"/>
  <c r="AI33" i="75"/>
  <c r="AI57" i="75" s="1"/>
  <c r="AJ13" i="74"/>
  <c r="AJ165" i="73"/>
  <c r="AI168" i="73"/>
  <c r="AM44" i="73"/>
  <c r="AC134" i="73"/>
  <c r="AT56" i="74"/>
  <c r="AU56" i="74" s="1"/>
  <c r="O40" i="75"/>
  <c r="O41" i="75" s="1"/>
  <c r="N6" i="74"/>
  <c r="AJ55" i="66"/>
  <c r="AJ54" i="66"/>
  <c r="AK54" i="66" s="1"/>
  <c r="Z87" i="65"/>
  <c r="AD86" i="65"/>
  <c r="AA54" i="65"/>
  <c r="AI53" i="65"/>
  <c r="Z6" i="65"/>
  <c r="AK39" i="66"/>
  <c r="AK40" i="66"/>
  <c r="AK33" i="66"/>
  <c r="AK34" i="66"/>
  <c r="AK31" i="66"/>
  <c r="AK32" i="66"/>
  <c r="AG21" i="67"/>
  <c r="AG20" i="67"/>
  <c r="AK24" i="66"/>
  <c r="AK26" i="66"/>
  <c r="AG8" i="67"/>
  <c r="AK15" i="66"/>
  <c r="AK18" i="66"/>
  <c r="AK19" i="66"/>
  <c r="AG17" i="67"/>
  <c r="AE172" i="65"/>
  <c r="AE172" i="70" s="1"/>
  <c r="AG118" i="65"/>
  <c r="AF170" i="65"/>
  <c r="AE120" i="65"/>
  <c r="AH117" i="65"/>
  <c r="AH14" i="65" s="1"/>
  <c r="AF118" i="65"/>
  <c r="AD121" i="65"/>
  <c r="AF14" i="65"/>
  <c r="AE18" i="65"/>
  <c r="AH102" i="65"/>
  <c r="AG102" i="65"/>
  <c r="AO145" i="65"/>
  <c r="AI129" i="65"/>
  <c r="AI129" i="70" s="1"/>
  <c r="AI126" i="65"/>
  <c r="AI128" i="65"/>
  <c r="AF9" i="67"/>
  <c r="AF58" i="67"/>
  <c r="AI26" i="65"/>
  <c r="H43" i="71"/>
  <c r="AV111" i="65"/>
  <c r="AI19" i="67"/>
  <c r="AJ27" i="66"/>
  <c r="AI16" i="66"/>
  <c r="AH20" i="67"/>
  <c r="AI25" i="66"/>
  <c r="I46" i="67"/>
  <c r="I48" i="67" s="1"/>
  <c r="I144" i="65"/>
  <c r="I11" i="66"/>
  <c r="I20" i="66" s="1"/>
  <c r="AD155" i="65"/>
  <c r="AE153" i="65"/>
  <c r="AC83" i="65"/>
  <c r="AB83" i="65"/>
  <c r="AA85" i="65"/>
  <c r="AK77" i="65"/>
  <c r="AI119" i="65"/>
  <c r="AH16" i="65"/>
  <c r="K40" i="67"/>
  <c r="K41" i="67" s="1"/>
  <c r="J6" i="66"/>
  <c r="AC30" i="65"/>
  <c r="AC31" i="65"/>
  <c r="AK44" i="65"/>
  <c r="AH77" i="65"/>
  <c r="AF136" i="65"/>
  <c r="AJ35" i="65"/>
  <c r="AB139" i="65"/>
  <c r="AH21" i="67"/>
  <c r="AI23" i="66"/>
  <c r="R41" i="67"/>
  <c r="N41" i="67"/>
  <c r="AO44" i="65"/>
  <c r="Y74" i="65"/>
  <c r="X90" i="65"/>
  <c r="AO77" i="65"/>
  <c r="AG47" i="67"/>
  <c r="AG67" i="66"/>
  <c r="H53" i="66"/>
  <c r="H43" i="66"/>
  <c r="AH47" i="67"/>
  <c r="AH29" i="67"/>
  <c r="AH63" i="66"/>
  <c r="AI28" i="66"/>
  <c r="AI22" i="65"/>
  <c r="AI13" i="66"/>
  <c r="AI165" i="65"/>
  <c r="AH168" i="65"/>
  <c r="AI69" i="65"/>
  <c r="AI69" i="70" s="1"/>
  <c r="AJ125" i="65"/>
  <c r="AG16" i="65"/>
  <c r="AO163" i="65"/>
  <c r="Y134" i="65"/>
  <c r="AE10" i="67"/>
  <c r="AG9" i="67"/>
  <c r="AG29" i="67"/>
  <c r="AC52" i="65"/>
  <c r="AD50" i="65"/>
  <c r="Y41" i="65"/>
  <c r="X57" i="65"/>
  <c r="AH17" i="67"/>
  <c r="AI10" i="66"/>
  <c r="X43" i="65"/>
  <c r="X44" i="65" s="1"/>
  <c r="AC44" i="65" s="1"/>
  <c r="AD8" i="58"/>
  <c r="AD8" i="63" s="1"/>
  <c r="F48" i="58"/>
  <c r="F48" i="63" s="1"/>
  <c r="F46" i="63"/>
  <c r="F20" i="57"/>
  <c r="F20" i="62" s="1"/>
  <c r="F11" i="62"/>
  <c r="G20" i="57"/>
  <c r="G20" i="62" s="1"/>
  <c r="G11" i="62"/>
  <c r="G48" i="58"/>
  <c r="G48" i="63" s="1"/>
  <c r="G46" i="63"/>
  <c r="AT48" i="57"/>
  <c r="AT48" i="62" s="1"/>
  <c r="AT47" i="62"/>
  <c r="AU48" i="57"/>
  <c r="AU48" i="62" s="1"/>
  <c r="AU47" i="62"/>
  <c r="AF54" i="57"/>
  <c r="AF54" i="62" s="1"/>
  <c r="AS48" i="57"/>
  <c r="AS48" i="62" s="1"/>
  <c r="AS47" i="62"/>
  <c r="AE28" i="62"/>
  <c r="AE47" i="58"/>
  <c r="AE47" i="63" s="1"/>
  <c r="AE63" i="57"/>
  <c r="AE63" i="62" s="1"/>
  <c r="AE29" i="58"/>
  <c r="AE29" i="63" s="1"/>
  <c r="AF28" i="57"/>
  <c r="AF22" i="56"/>
  <c r="AH55" i="57"/>
  <c r="AH55" i="62" s="1"/>
  <c r="Y87" i="56"/>
  <c r="Y87" i="61" s="1"/>
  <c r="Y85" i="61"/>
  <c r="X86" i="61"/>
  <c r="AC86" i="56"/>
  <c r="AH53" i="56"/>
  <c r="AC53" i="61"/>
  <c r="Z54" i="56"/>
  <c r="Z54" i="61" s="1"/>
  <c r="Z52" i="61"/>
  <c r="X44" i="61"/>
  <c r="AC44" i="56"/>
  <c r="AJ40" i="57"/>
  <c r="AI40" i="62"/>
  <c r="AO39" i="57"/>
  <c r="AN39" i="62"/>
  <c r="AJ34" i="57"/>
  <c r="AI34" i="62"/>
  <c r="AJ31" i="57"/>
  <c r="AI31" i="62"/>
  <c r="AJ32" i="57"/>
  <c r="AI32" i="62"/>
  <c r="AF33" i="62"/>
  <c r="AH33" i="57"/>
  <c r="AG33" i="57"/>
  <c r="AG33" i="62" s="1"/>
  <c r="AE8" i="58"/>
  <c r="AE8" i="63" s="1"/>
  <c r="AE16" i="62"/>
  <c r="AJ24" i="57"/>
  <c r="AI24" i="62"/>
  <c r="AJ26" i="57"/>
  <c r="AI26" i="62"/>
  <c r="AI19" i="57"/>
  <c r="AH19" i="62"/>
  <c r="AJ18" i="57"/>
  <c r="AI18" i="62"/>
  <c r="AI15" i="57"/>
  <c r="AH15" i="62"/>
  <c r="AG17" i="58"/>
  <c r="AG17" i="63" s="1"/>
  <c r="AF17" i="63"/>
  <c r="AK173" i="56"/>
  <c r="AJ173" i="61"/>
  <c r="AD28" i="56"/>
  <c r="AD28" i="61" s="1"/>
  <c r="AD172" i="61"/>
  <c r="AF170" i="56"/>
  <c r="AF168" i="61"/>
  <c r="AI118" i="56"/>
  <c r="AI118" i="61" s="1"/>
  <c r="AI117" i="61"/>
  <c r="AE170" i="61"/>
  <c r="AE172" i="56"/>
  <c r="AE18" i="56"/>
  <c r="AE18" i="61" s="1"/>
  <c r="AC28" i="61"/>
  <c r="AI165" i="56"/>
  <c r="AH165" i="61"/>
  <c r="AH168" i="56"/>
  <c r="AD102" i="61"/>
  <c r="AE102" i="56"/>
  <c r="AJ145" i="56"/>
  <c r="AI145" i="61"/>
  <c r="AG129" i="56"/>
  <c r="AG129" i="61" s="1"/>
  <c r="AF129" i="61"/>
  <c r="AH129" i="56"/>
  <c r="X131" i="56"/>
  <c r="X131" i="61" s="1"/>
  <c r="X130" i="61"/>
  <c r="AD9" i="58"/>
  <c r="AD16" i="61"/>
  <c r="AD121" i="56"/>
  <c r="AD121" i="61" s="1"/>
  <c r="AD120" i="61"/>
  <c r="AA10" i="63"/>
  <c r="AB10" i="58"/>
  <c r="AB10" i="63" s="1"/>
  <c r="AQ113" i="56"/>
  <c r="AQ113" i="61" s="1"/>
  <c r="AQ112" i="61"/>
  <c r="AQ116" i="56"/>
  <c r="AQ116" i="61" s="1"/>
  <c r="AQ115" i="61"/>
  <c r="AV115" i="56"/>
  <c r="AR115" i="61"/>
  <c r="X45" i="61"/>
  <c r="X43" i="61"/>
  <c r="AC58" i="58"/>
  <c r="AI57" i="58"/>
  <c r="AI57" i="63" s="1"/>
  <c r="AI33" i="63"/>
  <c r="AB58" i="58"/>
  <c r="AB58" i="63" s="1"/>
  <c r="AE26" i="56"/>
  <c r="AD26" i="61"/>
  <c r="AH17" i="58"/>
  <c r="AH17" i="63" s="1"/>
  <c r="AI10" i="57"/>
  <c r="AI10" i="62" s="1"/>
  <c r="AV110" i="56"/>
  <c r="AV110" i="61" s="1"/>
  <c r="X74" i="56"/>
  <c r="X74" i="61" s="1"/>
  <c r="W74" i="56"/>
  <c r="AB139" i="56" s="1"/>
  <c r="AB139" i="61" s="1"/>
  <c r="X76" i="56"/>
  <c r="V90" i="56"/>
  <c r="AB90" i="56" s="1"/>
  <c r="AB90" i="61" s="1"/>
  <c r="Z85" i="56"/>
  <c r="AA83" i="56"/>
  <c r="AA83" i="61" s="1"/>
  <c r="AF13" i="57"/>
  <c r="AF13" i="62" s="1"/>
  <c r="M41" i="58"/>
  <c r="I41" i="58"/>
  <c r="AK163" i="56"/>
  <c r="AJ117" i="56"/>
  <c r="AF19" i="58"/>
  <c r="AF19" i="63" s="1"/>
  <c r="AH27" i="57"/>
  <c r="AH27" i="62" s="1"/>
  <c r="AG27" i="57"/>
  <c r="AG27" i="62" s="1"/>
  <c r="G53" i="57"/>
  <c r="G53" i="62" s="1"/>
  <c r="G43" i="57"/>
  <c r="G43" i="62" s="1"/>
  <c r="AF16" i="57"/>
  <c r="AF16" i="62" s="1"/>
  <c r="H46" i="58"/>
  <c r="H11" i="57"/>
  <c r="Z41" i="56"/>
  <c r="Z41" i="61" s="1"/>
  <c r="Y57" i="56"/>
  <c r="Y57" i="61" s="1"/>
  <c r="AT44" i="56"/>
  <c r="AF35" i="56"/>
  <c r="AF35" i="61" s="1"/>
  <c r="AU182" i="56"/>
  <c r="F53" i="57"/>
  <c r="F53" i="62" s="1"/>
  <c r="F43" i="57"/>
  <c r="F43" i="62" s="1"/>
  <c r="Y43" i="56"/>
  <c r="AQ111" i="56"/>
  <c r="AQ111" i="61" s="1"/>
  <c r="AE14" i="56"/>
  <c r="AE14" i="61" s="1"/>
  <c r="AF69" i="56"/>
  <c r="AF69" i="61" s="1"/>
  <c r="AV112" i="56"/>
  <c r="AF21" i="58"/>
  <c r="AH23" i="57"/>
  <c r="AH23" i="62" s="1"/>
  <c r="AG23" i="57"/>
  <c r="AG23" i="62" s="1"/>
  <c r="AJ77" i="56"/>
  <c r="X62" i="61"/>
  <c r="AP44" i="56"/>
  <c r="AS182" i="56"/>
  <c r="AD20" i="58"/>
  <c r="AD20" i="63" s="1"/>
  <c r="AE25" i="57"/>
  <c r="AE25" i="62" s="1"/>
  <c r="AC10" i="58"/>
  <c r="AC10" i="63" s="1"/>
  <c r="AA52" i="56"/>
  <c r="AB50" i="56"/>
  <c r="AB50" i="61" s="1"/>
  <c r="AC50" i="56"/>
  <c r="AC50" i="61" s="1"/>
  <c r="AF77" i="56"/>
  <c r="X134" i="56"/>
  <c r="AN77" i="56"/>
  <c r="AF119" i="56"/>
  <c r="AF119" i="61" s="1"/>
  <c r="AE16" i="56"/>
  <c r="AE16" i="61" s="1"/>
  <c r="AE120" i="56"/>
  <c r="AK54" i="49"/>
  <c r="AE44" i="48"/>
  <c r="AO182" i="48"/>
  <c r="AT98" i="48"/>
  <c r="AM55" i="49"/>
  <c r="AU186" i="48"/>
  <c r="AU112" i="48"/>
  <c r="AI33" i="50"/>
  <c r="AI57" i="50" s="1"/>
  <c r="AE35" i="48"/>
  <c r="AQ112" i="48"/>
  <c r="AQ113" i="48" s="1"/>
  <c r="AM183" i="48"/>
  <c r="AR101" i="48"/>
  <c r="AC58" i="50"/>
  <c r="AD58" i="50" s="1"/>
  <c r="AE58" i="50" s="1"/>
  <c r="AF58" i="50" s="1"/>
  <c r="AB58" i="50"/>
  <c r="AV124" i="48"/>
  <c r="AJ55" i="49"/>
  <c r="X12" i="48"/>
  <c r="AD17" i="50"/>
  <c r="AE10" i="49"/>
  <c r="AI44" i="48"/>
  <c r="AJ129" i="48"/>
  <c r="AK163" i="48"/>
  <c r="AJ117" i="48"/>
  <c r="AJ118" i="48" s="1"/>
  <c r="AD21" i="50"/>
  <c r="AE23" i="49"/>
  <c r="AD172" i="48"/>
  <c r="AD28" i="48" s="1"/>
  <c r="AD18" i="48"/>
  <c r="W55" i="50"/>
  <c r="W148" i="48" s="1"/>
  <c r="W39" i="50"/>
  <c r="AM182" i="48"/>
  <c r="AR98" i="48"/>
  <c r="AF165" i="48"/>
  <c r="AE168" i="48"/>
  <c r="AE170" i="48" s="1"/>
  <c r="V55" i="50"/>
  <c r="V148" i="48" s="1"/>
  <c r="V39" i="50"/>
  <c r="AU68" i="48"/>
  <c r="AT61" i="48"/>
  <c r="AR180" i="48"/>
  <c r="AS186" i="48"/>
  <c r="AS112" i="48"/>
  <c r="AR47" i="49"/>
  <c r="AR48" i="49" s="1"/>
  <c r="AM48" i="49"/>
  <c r="AT186" i="48"/>
  <c r="AT112" i="48"/>
  <c r="X130" i="48"/>
  <c r="X131" i="48" s="1"/>
  <c r="AU185" i="48"/>
  <c r="AU110" i="48"/>
  <c r="AE77" i="48"/>
  <c r="AR187" i="48"/>
  <c r="AR115" i="48"/>
  <c r="AL111" i="48"/>
  <c r="AI118" i="48"/>
  <c r="AK55" i="49"/>
  <c r="V74" i="48"/>
  <c r="U90" i="48"/>
  <c r="H46" i="50"/>
  <c r="H48" i="50" s="1"/>
  <c r="H11" i="49"/>
  <c r="H20" i="49" s="1"/>
  <c r="AQ115" i="48"/>
  <c r="AQ116" i="48" s="1"/>
  <c r="W146" i="48"/>
  <c r="W36" i="48"/>
  <c r="AU183" i="48"/>
  <c r="V41" i="48"/>
  <c r="V43" i="48" s="1"/>
  <c r="V44" i="48" s="1"/>
  <c r="AA44" i="48" s="1"/>
  <c r="U57" i="48"/>
  <c r="G53" i="49"/>
  <c r="G43" i="49"/>
  <c r="Y52" i="48"/>
  <c r="Y54" i="48" s="1"/>
  <c r="Z50" i="48"/>
  <c r="M40" i="50"/>
  <c r="I40" i="50"/>
  <c r="AP180" i="48"/>
  <c r="AU94" i="48"/>
  <c r="AT47" i="49"/>
  <c r="AT48" i="49" s="1"/>
  <c r="AO48" i="49"/>
  <c r="AH77" i="48"/>
  <c r="AB47" i="50"/>
  <c r="AB67" i="49"/>
  <c r="AM143" i="48"/>
  <c r="AN143" i="48" s="1"/>
  <c r="X6" i="48"/>
  <c r="AU182" i="48"/>
  <c r="AN183" i="48"/>
  <c r="AS101" i="48"/>
  <c r="AC56" i="49"/>
  <c r="AA83" i="48"/>
  <c r="Z85" i="48"/>
  <c r="Z87" i="48" s="1"/>
  <c r="F53" i="49"/>
  <c r="F43" i="49"/>
  <c r="AF13" i="49"/>
  <c r="AC10" i="50"/>
  <c r="AT180" i="48"/>
  <c r="AF119" i="48"/>
  <c r="AE16" i="48"/>
  <c r="AE9" i="50" s="1"/>
  <c r="AE10" i="50" s="1"/>
  <c r="AE120" i="48"/>
  <c r="AE121" i="48" s="1"/>
  <c r="AC47" i="50"/>
  <c r="AC63" i="49"/>
  <c r="AC29" i="50"/>
  <c r="AD28" i="49"/>
  <c r="AD22" i="48"/>
  <c r="AQ110" i="48"/>
  <c r="AH69" i="48"/>
  <c r="AT183" i="48"/>
  <c r="AE102" i="48"/>
  <c r="AD14" i="48"/>
  <c r="AH57" i="50"/>
  <c r="AD136" i="48"/>
  <c r="AS182" i="48"/>
  <c r="AS180" i="48"/>
  <c r="AU61" i="48"/>
  <c r="AS185" i="48"/>
  <c r="AS110" i="48"/>
  <c r="Z20" i="50"/>
  <c r="AA25" i="49"/>
  <c r="AV7" i="48"/>
  <c r="AD19" i="50"/>
  <c r="AE27" i="49"/>
  <c r="AD16" i="49"/>
  <c r="AD8" i="50" s="1"/>
  <c r="AT185" i="48"/>
  <c r="AT110" i="48"/>
  <c r="AI77" i="48"/>
  <c r="V50" i="45"/>
  <c r="V56" i="46"/>
  <c r="V19" i="46"/>
  <c r="AL60" i="46"/>
  <c r="AL62" i="46"/>
  <c r="AL63" i="46"/>
  <c r="E53" i="46"/>
  <c r="F53" i="46"/>
  <c r="G53" i="46"/>
  <c r="H53" i="46"/>
  <c r="I53" i="46"/>
  <c r="J53" i="46"/>
  <c r="K53" i="46"/>
  <c r="L53" i="46"/>
  <c r="M53" i="46"/>
  <c r="N53" i="46"/>
  <c r="O53" i="46"/>
  <c r="P53" i="46"/>
  <c r="Q53" i="46"/>
  <c r="R53" i="46"/>
  <c r="S53" i="46"/>
  <c r="T53" i="46"/>
  <c r="U53" i="46"/>
  <c r="V53" i="46"/>
  <c r="W53" i="46"/>
  <c r="AB53" i="46"/>
  <c r="AG53" i="46"/>
  <c r="AL53" i="46"/>
  <c r="AQ53" i="46"/>
  <c r="AV53" i="46"/>
  <c r="E54" i="46"/>
  <c r="F54" i="46"/>
  <c r="G54" i="46"/>
  <c r="H54" i="46"/>
  <c r="I54" i="46"/>
  <c r="J54" i="46"/>
  <c r="K54" i="46"/>
  <c r="L54" i="46"/>
  <c r="M54" i="46"/>
  <c r="N54" i="46"/>
  <c r="O54" i="46"/>
  <c r="P54" i="46"/>
  <c r="Q54" i="46"/>
  <c r="R54" i="46"/>
  <c r="S54" i="46"/>
  <c r="T54" i="46"/>
  <c r="U54" i="46"/>
  <c r="V54" i="46"/>
  <c r="W54" i="46"/>
  <c r="X54" i="46"/>
  <c r="Y54" i="46"/>
  <c r="Z54" i="46"/>
  <c r="AA54" i="46"/>
  <c r="AB54" i="46"/>
  <c r="AC54" i="46"/>
  <c r="AD54" i="46"/>
  <c r="AE54" i="46"/>
  <c r="AF54" i="46"/>
  <c r="AG54" i="46"/>
  <c r="AH54" i="46"/>
  <c r="AI54" i="46"/>
  <c r="AJ54" i="46"/>
  <c r="AK54" i="46"/>
  <c r="AL54" i="46"/>
  <c r="AM54" i="46"/>
  <c r="AN54" i="46"/>
  <c r="AO54" i="46"/>
  <c r="AP54" i="46"/>
  <c r="AQ54" i="46"/>
  <c r="AR54" i="46"/>
  <c r="AS54" i="46"/>
  <c r="AT54" i="46"/>
  <c r="AU54" i="46"/>
  <c r="AV54" i="46"/>
  <c r="E55" i="46"/>
  <c r="F55" i="46"/>
  <c r="G55" i="46"/>
  <c r="H55" i="46"/>
  <c r="I55" i="46"/>
  <c r="J55" i="46"/>
  <c r="K55" i="46"/>
  <c r="L55" i="46"/>
  <c r="M55" i="46"/>
  <c r="N55" i="46"/>
  <c r="O55" i="46"/>
  <c r="P55" i="46"/>
  <c r="Q55" i="46"/>
  <c r="R55" i="46"/>
  <c r="S55" i="46"/>
  <c r="T55" i="46"/>
  <c r="U55" i="46"/>
  <c r="E56" i="46"/>
  <c r="F56" i="46"/>
  <c r="G56" i="46"/>
  <c r="H56" i="46"/>
  <c r="I56" i="46"/>
  <c r="J56" i="46"/>
  <c r="K56" i="46"/>
  <c r="L56" i="46"/>
  <c r="M56" i="46"/>
  <c r="N56" i="46"/>
  <c r="O56" i="46"/>
  <c r="P56" i="46"/>
  <c r="Q56" i="46"/>
  <c r="R56" i="46"/>
  <c r="S56" i="46"/>
  <c r="T56" i="46"/>
  <c r="U56" i="46"/>
  <c r="X56" i="46"/>
  <c r="AC56" i="46"/>
  <c r="AH56" i="46"/>
  <c r="E57" i="46"/>
  <c r="F57" i="46"/>
  <c r="G57" i="46"/>
  <c r="H57" i="46"/>
  <c r="I57" i="46"/>
  <c r="J57" i="46"/>
  <c r="K57" i="46"/>
  <c r="L57" i="46"/>
  <c r="M57" i="46"/>
  <c r="N57" i="46"/>
  <c r="O57" i="46"/>
  <c r="P57" i="46"/>
  <c r="Q57" i="46"/>
  <c r="R57" i="46"/>
  <c r="S57" i="46"/>
  <c r="T57" i="46"/>
  <c r="U57" i="46"/>
  <c r="E58" i="46"/>
  <c r="F58" i="46"/>
  <c r="G58" i="46"/>
  <c r="H58" i="46"/>
  <c r="I58" i="46"/>
  <c r="J58" i="46"/>
  <c r="K58" i="46"/>
  <c r="L58" i="46"/>
  <c r="M58" i="46"/>
  <c r="N58" i="46"/>
  <c r="O58" i="46"/>
  <c r="P58" i="46"/>
  <c r="Q58" i="46"/>
  <c r="R58" i="46"/>
  <c r="S58" i="46"/>
  <c r="T58" i="46"/>
  <c r="U58" i="46"/>
  <c r="V58" i="46"/>
  <c r="W58" i="46"/>
  <c r="AM58" i="46"/>
  <c r="AN58" i="46"/>
  <c r="AO58" i="46"/>
  <c r="AP58" i="46"/>
  <c r="AQ58" i="46"/>
  <c r="AR58" i="46"/>
  <c r="AS58" i="46"/>
  <c r="AT58" i="46"/>
  <c r="AU58" i="46"/>
  <c r="AV58" i="46"/>
  <c r="D54" i="46"/>
  <c r="D55" i="46"/>
  <c r="D56" i="46"/>
  <c r="D57" i="46"/>
  <c r="D58" i="46"/>
  <c r="D53" i="46"/>
  <c r="E6" i="46"/>
  <c r="F6" i="46"/>
  <c r="G6" i="46"/>
  <c r="H6" i="46"/>
  <c r="I6" i="46"/>
  <c r="J6" i="46"/>
  <c r="K6" i="46"/>
  <c r="L6" i="46"/>
  <c r="M6" i="46"/>
  <c r="N6" i="46"/>
  <c r="O6" i="46"/>
  <c r="P6" i="46"/>
  <c r="Q6" i="46"/>
  <c r="R6" i="46"/>
  <c r="S6" i="46"/>
  <c r="T6" i="46"/>
  <c r="U6" i="46"/>
  <c r="E7" i="46"/>
  <c r="F7" i="46"/>
  <c r="G7" i="46"/>
  <c r="H7" i="46"/>
  <c r="I7" i="46"/>
  <c r="J7" i="46"/>
  <c r="K7" i="46"/>
  <c r="L7" i="46"/>
  <c r="M7" i="46"/>
  <c r="N7" i="46"/>
  <c r="O7" i="46"/>
  <c r="P7" i="46"/>
  <c r="Q7" i="46"/>
  <c r="R7" i="46"/>
  <c r="S7" i="46"/>
  <c r="T7" i="46"/>
  <c r="U7" i="46"/>
  <c r="V7" i="46"/>
  <c r="E8" i="46"/>
  <c r="F8" i="46"/>
  <c r="G8" i="46"/>
  <c r="H8" i="46"/>
  <c r="I8" i="46"/>
  <c r="J8" i="46"/>
  <c r="K8" i="46"/>
  <c r="L8" i="46"/>
  <c r="M8" i="46"/>
  <c r="N8" i="46"/>
  <c r="O8" i="46"/>
  <c r="P8" i="46"/>
  <c r="Q8" i="46"/>
  <c r="R8" i="46"/>
  <c r="S8" i="46"/>
  <c r="T8" i="46"/>
  <c r="U8" i="46"/>
  <c r="V8" i="46"/>
  <c r="E9" i="46"/>
  <c r="F9" i="46"/>
  <c r="G9" i="46"/>
  <c r="H9" i="46"/>
  <c r="I9" i="46"/>
  <c r="J9" i="46"/>
  <c r="K9" i="46"/>
  <c r="L9" i="46"/>
  <c r="M9" i="46"/>
  <c r="N9" i="46"/>
  <c r="O9" i="46"/>
  <c r="P9" i="46"/>
  <c r="Q9" i="46"/>
  <c r="R9" i="46"/>
  <c r="S9" i="46"/>
  <c r="T9" i="46"/>
  <c r="U9" i="46"/>
  <c r="E10" i="46"/>
  <c r="F10" i="46"/>
  <c r="G10" i="46"/>
  <c r="H10" i="46"/>
  <c r="I10" i="46"/>
  <c r="J10" i="46"/>
  <c r="K10" i="46"/>
  <c r="L10" i="46"/>
  <c r="M10" i="46"/>
  <c r="N10" i="46"/>
  <c r="O10" i="46"/>
  <c r="P10" i="46"/>
  <c r="Q10" i="46"/>
  <c r="R10" i="46"/>
  <c r="S10" i="46"/>
  <c r="T10" i="46"/>
  <c r="U10" i="46"/>
  <c r="E11" i="46"/>
  <c r="F11" i="46"/>
  <c r="G11" i="46"/>
  <c r="H11" i="46"/>
  <c r="I11" i="46"/>
  <c r="J11" i="46"/>
  <c r="K11" i="46"/>
  <c r="L11" i="46"/>
  <c r="M11" i="46"/>
  <c r="N11" i="46"/>
  <c r="O11" i="46"/>
  <c r="P11" i="46"/>
  <c r="Q11" i="46"/>
  <c r="R11" i="46"/>
  <c r="S11" i="46"/>
  <c r="T11" i="46"/>
  <c r="U11" i="46"/>
  <c r="V11" i="46"/>
  <c r="X11" i="46"/>
  <c r="Y11" i="46"/>
  <c r="Z11" i="46"/>
  <c r="AA11" i="46"/>
  <c r="AB11" i="46"/>
  <c r="AC11" i="46"/>
  <c r="AD11" i="46"/>
  <c r="AE11" i="46"/>
  <c r="AF11" i="46"/>
  <c r="AG11" i="46"/>
  <c r="AH11" i="46"/>
  <c r="AI11" i="46"/>
  <c r="AJ11" i="46"/>
  <c r="AK11" i="46"/>
  <c r="AL11" i="46"/>
  <c r="AM11" i="46"/>
  <c r="AN11" i="46"/>
  <c r="AO11" i="46"/>
  <c r="AP11" i="46"/>
  <c r="AQ11" i="46"/>
  <c r="AR11" i="46"/>
  <c r="AS11" i="46"/>
  <c r="AT11" i="46"/>
  <c r="AU11" i="46"/>
  <c r="AV11" i="46"/>
  <c r="E12" i="46"/>
  <c r="F12" i="46"/>
  <c r="G12" i="46"/>
  <c r="H12" i="46"/>
  <c r="I12" i="46"/>
  <c r="J12" i="46"/>
  <c r="K12" i="46"/>
  <c r="L12" i="46"/>
  <c r="M12" i="46"/>
  <c r="N12" i="46"/>
  <c r="O12" i="46"/>
  <c r="P12" i="46"/>
  <c r="Q12" i="46"/>
  <c r="R12" i="46"/>
  <c r="S12" i="46"/>
  <c r="T12" i="46"/>
  <c r="U12" i="46"/>
  <c r="E13" i="46"/>
  <c r="F13" i="46"/>
  <c r="G13" i="46"/>
  <c r="H13" i="46"/>
  <c r="I13" i="46"/>
  <c r="J13" i="46"/>
  <c r="K13" i="46"/>
  <c r="L13" i="46"/>
  <c r="M13" i="46"/>
  <c r="N13" i="46"/>
  <c r="O13" i="46"/>
  <c r="P13" i="46"/>
  <c r="Q13" i="46"/>
  <c r="R13" i="46"/>
  <c r="S13" i="46"/>
  <c r="T13" i="46"/>
  <c r="U13" i="46"/>
  <c r="V13" i="46"/>
  <c r="X13" i="46"/>
  <c r="Y13" i="46"/>
  <c r="Z13" i="46"/>
  <c r="AA13" i="46"/>
  <c r="AB13" i="46"/>
  <c r="AC13" i="46"/>
  <c r="AD13" i="46"/>
  <c r="AE13" i="46"/>
  <c r="AF13" i="46"/>
  <c r="AG13" i="46"/>
  <c r="AH13" i="46"/>
  <c r="AI13" i="46"/>
  <c r="AJ13" i="46"/>
  <c r="AK13" i="46"/>
  <c r="AL13" i="46"/>
  <c r="AM13" i="46"/>
  <c r="AN13" i="46"/>
  <c r="AO13" i="46"/>
  <c r="AP13" i="46"/>
  <c r="AQ13" i="46"/>
  <c r="AR13" i="46"/>
  <c r="AS13" i="46"/>
  <c r="AT13" i="46"/>
  <c r="AU13" i="46"/>
  <c r="AV13" i="46"/>
  <c r="E14" i="46"/>
  <c r="F14" i="46"/>
  <c r="G14" i="46"/>
  <c r="H14" i="46"/>
  <c r="I14" i="46"/>
  <c r="J14" i="46"/>
  <c r="K14" i="46"/>
  <c r="L14" i="46"/>
  <c r="M14" i="46"/>
  <c r="N14" i="46"/>
  <c r="O14" i="46"/>
  <c r="P14" i="46"/>
  <c r="Q14" i="46"/>
  <c r="R14" i="46"/>
  <c r="S14" i="46"/>
  <c r="T14" i="46"/>
  <c r="U14" i="46"/>
  <c r="V14" i="46"/>
  <c r="W14" i="46"/>
  <c r="X14" i="46"/>
  <c r="Y14" i="46"/>
  <c r="Z14" i="46"/>
  <c r="AA14" i="46"/>
  <c r="AB14" i="46"/>
  <c r="AC14" i="46"/>
  <c r="AD14" i="46"/>
  <c r="AE14" i="46"/>
  <c r="AF14" i="46"/>
  <c r="AG14" i="46"/>
  <c r="AH14" i="46"/>
  <c r="AI14" i="46"/>
  <c r="AJ14" i="46"/>
  <c r="AK14" i="46"/>
  <c r="AL14" i="46"/>
  <c r="AM14" i="46"/>
  <c r="AN14" i="46"/>
  <c r="AO14" i="46"/>
  <c r="AP14" i="46"/>
  <c r="AQ14" i="46"/>
  <c r="AR14" i="46"/>
  <c r="AS14" i="46"/>
  <c r="AT14" i="46"/>
  <c r="AU14" i="46"/>
  <c r="AV14" i="46"/>
  <c r="E15" i="46"/>
  <c r="F15" i="46"/>
  <c r="G15" i="46"/>
  <c r="H15" i="46"/>
  <c r="I15" i="46"/>
  <c r="J15" i="46"/>
  <c r="K15" i="46"/>
  <c r="L15" i="46"/>
  <c r="M15" i="46"/>
  <c r="N15" i="46"/>
  <c r="O15" i="46"/>
  <c r="P15" i="46"/>
  <c r="Q15" i="46"/>
  <c r="R15" i="46"/>
  <c r="S15" i="46"/>
  <c r="T15" i="46"/>
  <c r="U15" i="46"/>
  <c r="E16" i="46"/>
  <c r="F16" i="46"/>
  <c r="G16" i="46"/>
  <c r="H16" i="46"/>
  <c r="I16" i="46"/>
  <c r="J16" i="46"/>
  <c r="K16" i="46"/>
  <c r="L16" i="46"/>
  <c r="M16" i="46"/>
  <c r="N16" i="46"/>
  <c r="O16" i="46"/>
  <c r="P16" i="46"/>
  <c r="Q16" i="46"/>
  <c r="R16" i="46"/>
  <c r="S16" i="46"/>
  <c r="T16" i="46"/>
  <c r="U16" i="46"/>
  <c r="E17" i="46"/>
  <c r="F17" i="46"/>
  <c r="G17" i="46"/>
  <c r="H17" i="46"/>
  <c r="I17" i="46"/>
  <c r="J17" i="46"/>
  <c r="K17" i="46"/>
  <c r="L17" i="46"/>
  <c r="M17" i="46"/>
  <c r="N17" i="46"/>
  <c r="O17" i="46"/>
  <c r="P17" i="46"/>
  <c r="Q17" i="46"/>
  <c r="R17" i="46"/>
  <c r="S17" i="46"/>
  <c r="T17" i="46"/>
  <c r="U17" i="46"/>
  <c r="V17" i="46"/>
  <c r="E18" i="46"/>
  <c r="F18" i="46"/>
  <c r="G18" i="46"/>
  <c r="H18" i="46"/>
  <c r="I18" i="46"/>
  <c r="J18" i="46"/>
  <c r="K18" i="46"/>
  <c r="L18" i="46"/>
  <c r="M18" i="46"/>
  <c r="N18" i="46"/>
  <c r="O18" i="46"/>
  <c r="P18" i="46"/>
  <c r="Q18" i="46"/>
  <c r="R18" i="46"/>
  <c r="S18" i="46"/>
  <c r="T18" i="46"/>
  <c r="U18" i="46"/>
  <c r="E19" i="46"/>
  <c r="F19" i="46"/>
  <c r="G19" i="46"/>
  <c r="H19" i="46"/>
  <c r="I19" i="46"/>
  <c r="J19" i="46"/>
  <c r="K19" i="46"/>
  <c r="L19" i="46"/>
  <c r="M19" i="46"/>
  <c r="N19" i="46"/>
  <c r="O19" i="46"/>
  <c r="P19" i="46"/>
  <c r="Q19" i="46"/>
  <c r="R19" i="46"/>
  <c r="S19" i="46"/>
  <c r="T19" i="46"/>
  <c r="U19" i="46"/>
  <c r="E20" i="46"/>
  <c r="F20" i="46"/>
  <c r="G20" i="46"/>
  <c r="H20" i="46"/>
  <c r="I20" i="46"/>
  <c r="J20" i="46"/>
  <c r="K20" i="46"/>
  <c r="L20" i="46"/>
  <c r="M20" i="46"/>
  <c r="N20" i="46"/>
  <c r="O20" i="46"/>
  <c r="P20" i="46"/>
  <c r="Q20" i="46"/>
  <c r="R20" i="46"/>
  <c r="S20" i="46"/>
  <c r="T20" i="46"/>
  <c r="U20" i="46"/>
  <c r="V20" i="46"/>
  <c r="X20" i="46"/>
  <c r="Y20" i="46"/>
  <c r="Z20" i="46"/>
  <c r="AA20" i="46"/>
  <c r="AB20" i="46"/>
  <c r="AC20" i="46"/>
  <c r="AD20" i="46"/>
  <c r="AE20" i="46"/>
  <c r="AF20" i="46"/>
  <c r="AG20" i="46"/>
  <c r="AH20" i="46"/>
  <c r="AI20" i="46"/>
  <c r="AJ20" i="46"/>
  <c r="AK20" i="46"/>
  <c r="AL20" i="46"/>
  <c r="AM20" i="46"/>
  <c r="AN20" i="46"/>
  <c r="AO20" i="46"/>
  <c r="AP20" i="46"/>
  <c r="AQ20" i="46"/>
  <c r="AR20" i="46"/>
  <c r="AS20" i="46"/>
  <c r="AT20" i="46"/>
  <c r="AU20" i="46"/>
  <c r="AV20" i="46"/>
  <c r="E21" i="46"/>
  <c r="F21" i="46"/>
  <c r="G21" i="46"/>
  <c r="H21" i="46"/>
  <c r="I21" i="46"/>
  <c r="J21" i="46"/>
  <c r="K21" i="46"/>
  <c r="L21" i="46"/>
  <c r="M21" i="46"/>
  <c r="N21" i="46"/>
  <c r="O21" i="46"/>
  <c r="P21" i="46"/>
  <c r="Q21" i="46"/>
  <c r="R21" i="46"/>
  <c r="S21" i="46"/>
  <c r="T21" i="46"/>
  <c r="U21" i="46"/>
  <c r="V21" i="46"/>
  <c r="E22" i="46"/>
  <c r="F22" i="46"/>
  <c r="G22" i="46"/>
  <c r="H22" i="46"/>
  <c r="I22" i="46"/>
  <c r="J22" i="46"/>
  <c r="K22" i="46"/>
  <c r="L22" i="46"/>
  <c r="M22" i="46"/>
  <c r="N22" i="46"/>
  <c r="O22" i="46"/>
  <c r="P22" i="46"/>
  <c r="Q22" i="46"/>
  <c r="R22" i="46"/>
  <c r="S22" i="46"/>
  <c r="T22" i="46"/>
  <c r="U22" i="46"/>
  <c r="E23" i="46"/>
  <c r="F23" i="46"/>
  <c r="G23" i="46"/>
  <c r="H23" i="46"/>
  <c r="I23" i="46"/>
  <c r="J23" i="46"/>
  <c r="K23" i="46"/>
  <c r="L23" i="46"/>
  <c r="M23" i="46"/>
  <c r="N23" i="46"/>
  <c r="O23" i="46"/>
  <c r="P23" i="46"/>
  <c r="Q23" i="46"/>
  <c r="R23" i="46"/>
  <c r="S23" i="46"/>
  <c r="T23" i="46"/>
  <c r="U23" i="46"/>
  <c r="V23" i="46"/>
  <c r="W23" i="46"/>
  <c r="X23" i="46"/>
  <c r="Y23" i="46"/>
  <c r="Z23" i="46"/>
  <c r="AA23" i="46"/>
  <c r="AB23" i="46"/>
  <c r="AC23" i="46"/>
  <c r="AD23" i="46"/>
  <c r="AE23" i="46"/>
  <c r="AF23" i="46"/>
  <c r="AG23" i="46"/>
  <c r="AH23" i="46"/>
  <c r="AI23" i="46"/>
  <c r="AJ23" i="46"/>
  <c r="AK23" i="46"/>
  <c r="AL23" i="46"/>
  <c r="AM23" i="46"/>
  <c r="AN23" i="46"/>
  <c r="AO23" i="46"/>
  <c r="AP23" i="46"/>
  <c r="AQ23" i="46"/>
  <c r="AR23" i="46"/>
  <c r="AS23" i="46"/>
  <c r="AT23" i="46"/>
  <c r="AU23" i="46"/>
  <c r="AV23" i="46"/>
  <c r="E24" i="46"/>
  <c r="F24" i="46"/>
  <c r="G24" i="46"/>
  <c r="H24" i="46"/>
  <c r="I24" i="46"/>
  <c r="J24" i="46"/>
  <c r="K24" i="46"/>
  <c r="L24" i="46"/>
  <c r="M24" i="46"/>
  <c r="N24" i="46"/>
  <c r="O24" i="46"/>
  <c r="P24" i="46"/>
  <c r="Q24" i="46"/>
  <c r="R24" i="46"/>
  <c r="S24" i="46"/>
  <c r="T24" i="46"/>
  <c r="U24" i="46"/>
  <c r="E25" i="46"/>
  <c r="F25" i="46"/>
  <c r="G25" i="46"/>
  <c r="H25" i="46"/>
  <c r="I25" i="46"/>
  <c r="J25" i="46"/>
  <c r="K25" i="46"/>
  <c r="L25" i="46"/>
  <c r="M25" i="46"/>
  <c r="N25" i="46"/>
  <c r="O25" i="46"/>
  <c r="P25" i="46"/>
  <c r="Q25" i="46"/>
  <c r="R25" i="46"/>
  <c r="S25" i="46"/>
  <c r="T25" i="46"/>
  <c r="U25" i="46"/>
  <c r="E26" i="46"/>
  <c r="F26" i="46"/>
  <c r="G26" i="46"/>
  <c r="H26" i="46"/>
  <c r="I26" i="46"/>
  <c r="J26" i="46"/>
  <c r="K26" i="46"/>
  <c r="L26" i="46"/>
  <c r="M26" i="46"/>
  <c r="N26" i="46"/>
  <c r="O26" i="46"/>
  <c r="P26" i="46"/>
  <c r="Q26" i="46"/>
  <c r="R26" i="46"/>
  <c r="S26" i="46"/>
  <c r="T26" i="46"/>
  <c r="U26" i="46"/>
  <c r="E27" i="46"/>
  <c r="F27" i="46"/>
  <c r="G27" i="46"/>
  <c r="H27" i="46"/>
  <c r="I27" i="46"/>
  <c r="J27" i="46"/>
  <c r="K27" i="46"/>
  <c r="L27" i="46"/>
  <c r="M27" i="46"/>
  <c r="N27" i="46"/>
  <c r="O27" i="46"/>
  <c r="P27" i="46"/>
  <c r="Q27" i="46"/>
  <c r="R27" i="46"/>
  <c r="S27" i="46"/>
  <c r="T27" i="46"/>
  <c r="U27" i="46"/>
  <c r="E28" i="46"/>
  <c r="F28" i="46"/>
  <c r="G28" i="46"/>
  <c r="H28" i="46"/>
  <c r="I28" i="46"/>
  <c r="J28" i="46"/>
  <c r="K28" i="46"/>
  <c r="L28" i="46"/>
  <c r="M28" i="46"/>
  <c r="N28" i="46"/>
  <c r="O28" i="46"/>
  <c r="P28" i="46"/>
  <c r="Q28" i="46"/>
  <c r="R28" i="46"/>
  <c r="S28" i="46"/>
  <c r="T28" i="46"/>
  <c r="U28" i="46"/>
  <c r="V28" i="46"/>
  <c r="W28" i="46"/>
  <c r="X28" i="46"/>
  <c r="Y28" i="46"/>
  <c r="Z28" i="46"/>
  <c r="AA28" i="46"/>
  <c r="AB28" i="46"/>
  <c r="AC28" i="46"/>
  <c r="AD28" i="46"/>
  <c r="AE28" i="46"/>
  <c r="AF28" i="46"/>
  <c r="AG28" i="46"/>
  <c r="AH28" i="46"/>
  <c r="AI28" i="46"/>
  <c r="AJ28" i="46"/>
  <c r="AK28" i="46"/>
  <c r="AL28" i="46"/>
  <c r="AM28" i="46"/>
  <c r="AN28" i="46"/>
  <c r="AO28" i="46"/>
  <c r="AP28" i="46"/>
  <c r="AQ28" i="46"/>
  <c r="AR28" i="46"/>
  <c r="AS28" i="46"/>
  <c r="AT28" i="46"/>
  <c r="AU28" i="46"/>
  <c r="AV28" i="46"/>
  <c r="E29" i="46"/>
  <c r="F29" i="46"/>
  <c r="G29" i="46"/>
  <c r="H29" i="46"/>
  <c r="I29" i="46"/>
  <c r="J29" i="46"/>
  <c r="K29" i="46"/>
  <c r="L29" i="46"/>
  <c r="M29" i="46"/>
  <c r="N29" i="46"/>
  <c r="O29" i="46"/>
  <c r="P29" i="46"/>
  <c r="Q29" i="46"/>
  <c r="R29" i="46"/>
  <c r="S29" i="46"/>
  <c r="T29" i="46"/>
  <c r="U29" i="46"/>
  <c r="V29" i="46"/>
  <c r="E30" i="46"/>
  <c r="F30" i="46"/>
  <c r="G30" i="46"/>
  <c r="H30" i="46"/>
  <c r="I30" i="46"/>
  <c r="J30" i="46"/>
  <c r="K30" i="46"/>
  <c r="L30" i="46"/>
  <c r="M30" i="46"/>
  <c r="N30" i="46"/>
  <c r="O30" i="46"/>
  <c r="P30" i="46"/>
  <c r="Q30" i="46"/>
  <c r="R30" i="46"/>
  <c r="S30" i="46"/>
  <c r="T30" i="46"/>
  <c r="U30" i="46"/>
  <c r="V30" i="46"/>
  <c r="X30" i="46"/>
  <c r="Y30" i="46"/>
  <c r="Z30" i="46"/>
  <c r="AA30" i="46"/>
  <c r="AB30" i="46"/>
  <c r="AC30" i="46"/>
  <c r="AD30" i="46"/>
  <c r="AE30" i="46"/>
  <c r="AF30" i="46"/>
  <c r="AG30" i="46"/>
  <c r="AH30" i="46"/>
  <c r="AI30" i="46"/>
  <c r="AJ30" i="46"/>
  <c r="AK30" i="46"/>
  <c r="AL30" i="46"/>
  <c r="AM30" i="46"/>
  <c r="AN30" i="46"/>
  <c r="AO30" i="46"/>
  <c r="AP30" i="46"/>
  <c r="AQ30" i="46"/>
  <c r="AR30" i="46"/>
  <c r="AS30" i="46"/>
  <c r="AT30" i="46"/>
  <c r="AU30" i="46"/>
  <c r="AV30" i="46"/>
  <c r="E31" i="46"/>
  <c r="F31" i="46"/>
  <c r="G31" i="46"/>
  <c r="H31" i="46"/>
  <c r="I31" i="46"/>
  <c r="J31" i="46"/>
  <c r="K31" i="46"/>
  <c r="L31" i="46"/>
  <c r="M31" i="46"/>
  <c r="N31" i="46"/>
  <c r="O31" i="46"/>
  <c r="P31" i="46"/>
  <c r="Q31" i="46"/>
  <c r="R31" i="46"/>
  <c r="S31" i="46"/>
  <c r="T31" i="46"/>
  <c r="U31" i="46"/>
  <c r="V31" i="46"/>
  <c r="X31" i="46"/>
  <c r="Y31" i="46"/>
  <c r="Z31" i="46"/>
  <c r="AA31" i="46"/>
  <c r="AB31" i="46"/>
  <c r="AC31" i="46"/>
  <c r="AD31" i="46"/>
  <c r="AE31" i="46"/>
  <c r="AF31" i="46"/>
  <c r="AG31" i="46"/>
  <c r="AH31" i="46"/>
  <c r="AI31" i="46"/>
  <c r="AJ31" i="46"/>
  <c r="AK31" i="46"/>
  <c r="AL31" i="46"/>
  <c r="AM31" i="46"/>
  <c r="AN31" i="46"/>
  <c r="AO31" i="46"/>
  <c r="AP31" i="46"/>
  <c r="AQ31" i="46"/>
  <c r="AR31" i="46"/>
  <c r="AS31" i="46"/>
  <c r="AT31" i="46"/>
  <c r="AU31" i="46"/>
  <c r="AV31" i="46"/>
  <c r="E32" i="46"/>
  <c r="F32" i="46"/>
  <c r="G32" i="46"/>
  <c r="H32" i="46"/>
  <c r="I32" i="46"/>
  <c r="J32" i="46"/>
  <c r="K32" i="46"/>
  <c r="L32" i="46"/>
  <c r="M32" i="46"/>
  <c r="N32" i="46"/>
  <c r="O32" i="46"/>
  <c r="P32" i="46"/>
  <c r="Q32" i="46"/>
  <c r="R32" i="46"/>
  <c r="S32" i="46"/>
  <c r="T32" i="46"/>
  <c r="U32" i="46"/>
  <c r="V32" i="46"/>
  <c r="X32" i="46"/>
  <c r="Y32" i="46"/>
  <c r="Z32" i="46"/>
  <c r="AA32" i="46"/>
  <c r="AB32" i="46"/>
  <c r="AC32" i="46"/>
  <c r="AD32" i="46"/>
  <c r="AE32" i="46"/>
  <c r="AF32" i="46"/>
  <c r="AG32" i="46"/>
  <c r="AH32" i="46"/>
  <c r="AI32" i="46"/>
  <c r="AJ32" i="46"/>
  <c r="AK32" i="46"/>
  <c r="AL32" i="46"/>
  <c r="AM32" i="46"/>
  <c r="AN32" i="46"/>
  <c r="AO32" i="46"/>
  <c r="AP32" i="46"/>
  <c r="AQ32" i="46"/>
  <c r="AR32" i="46"/>
  <c r="AS32" i="46"/>
  <c r="AT32" i="46"/>
  <c r="AU32" i="46"/>
  <c r="AV32" i="46"/>
  <c r="E33" i="46"/>
  <c r="F33" i="46"/>
  <c r="G33" i="46"/>
  <c r="H33" i="46"/>
  <c r="I33" i="46"/>
  <c r="J33" i="46"/>
  <c r="K33" i="46"/>
  <c r="L33" i="46"/>
  <c r="M33" i="46"/>
  <c r="N33" i="46"/>
  <c r="O33" i="46"/>
  <c r="P33" i="46"/>
  <c r="Q33" i="46"/>
  <c r="R33" i="46"/>
  <c r="S33" i="46"/>
  <c r="T33" i="46"/>
  <c r="U33" i="46"/>
  <c r="E34" i="46"/>
  <c r="F34" i="46"/>
  <c r="G34" i="46"/>
  <c r="H34" i="46"/>
  <c r="I34" i="46"/>
  <c r="J34" i="46"/>
  <c r="K34" i="46"/>
  <c r="L34" i="46"/>
  <c r="M34" i="46"/>
  <c r="N34" i="46"/>
  <c r="O34" i="46"/>
  <c r="P34" i="46"/>
  <c r="Q34" i="46"/>
  <c r="R34" i="46"/>
  <c r="S34" i="46"/>
  <c r="T34" i="46"/>
  <c r="U34" i="46"/>
  <c r="V34" i="46"/>
  <c r="X34" i="46"/>
  <c r="Y34" i="46"/>
  <c r="Z34" i="46"/>
  <c r="AA34" i="46"/>
  <c r="AB34" i="46"/>
  <c r="AC34" i="46"/>
  <c r="AD34" i="46"/>
  <c r="AM34" i="46"/>
  <c r="AN34" i="46"/>
  <c r="AO34" i="46"/>
  <c r="AP34" i="46"/>
  <c r="AQ34" i="46"/>
  <c r="AR34" i="46"/>
  <c r="AS34" i="46"/>
  <c r="AT34" i="46"/>
  <c r="AU34" i="46"/>
  <c r="AV34" i="46"/>
  <c r="E35" i="46"/>
  <c r="F35" i="46"/>
  <c r="G35" i="46"/>
  <c r="H35" i="46"/>
  <c r="I35" i="46"/>
  <c r="J35" i="46"/>
  <c r="K35" i="46"/>
  <c r="L35" i="46"/>
  <c r="M35" i="46"/>
  <c r="N35" i="46"/>
  <c r="O35" i="46"/>
  <c r="P35" i="46"/>
  <c r="Q35" i="46"/>
  <c r="R35" i="46"/>
  <c r="S35" i="46"/>
  <c r="T35" i="46"/>
  <c r="U35" i="46"/>
  <c r="E36" i="46"/>
  <c r="F36" i="46"/>
  <c r="G36" i="46"/>
  <c r="H36" i="46"/>
  <c r="I36" i="46"/>
  <c r="J36" i="46"/>
  <c r="K36" i="46"/>
  <c r="L36" i="46"/>
  <c r="M36" i="46"/>
  <c r="N36" i="46"/>
  <c r="O36" i="46"/>
  <c r="P36" i="46"/>
  <c r="Q36" i="46"/>
  <c r="R36" i="46"/>
  <c r="S36" i="46"/>
  <c r="T36" i="46"/>
  <c r="U36" i="46"/>
  <c r="V36" i="46"/>
  <c r="X36" i="46"/>
  <c r="Y36" i="46"/>
  <c r="Z36" i="46"/>
  <c r="AA36" i="46"/>
  <c r="AB36" i="46"/>
  <c r="AC36" i="46"/>
  <c r="AD36" i="46"/>
  <c r="AE36" i="46"/>
  <c r="AF36" i="46"/>
  <c r="AG36" i="46"/>
  <c r="AH36" i="46"/>
  <c r="AI36" i="46"/>
  <c r="AJ36" i="46"/>
  <c r="AK36" i="46"/>
  <c r="AL36" i="46"/>
  <c r="AM36" i="46"/>
  <c r="AN36" i="46"/>
  <c r="AO36" i="46"/>
  <c r="AP36" i="46"/>
  <c r="AQ36" i="46"/>
  <c r="AR36" i="46"/>
  <c r="AS36" i="46"/>
  <c r="AT36" i="46"/>
  <c r="AU36" i="46"/>
  <c r="AV36" i="46"/>
  <c r="E37" i="46"/>
  <c r="F37" i="46"/>
  <c r="G37" i="46"/>
  <c r="H37" i="46"/>
  <c r="I37" i="46"/>
  <c r="J37" i="46"/>
  <c r="K37" i="46"/>
  <c r="L37" i="46"/>
  <c r="M37" i="46"/>
  <c r="N37" i="46"/>
  <c r="O37" i="46"/>
  <c r="P37" i="46"/>
  <c r="Q37" i="46"/>
  <c r="R37" i="46"/>
  <c r="S37" i="46"/>
  <c r="T37" i="46"/>
  <c r="U37" i="46"/>
  <c r="E38" i="46"/>
  <c r="F38" i="46"/>
  <c r="G38" i="46"/>
  <c r="H38" i="46"/>
  <c r="I38" i="46"/>
  <c r="J38" i="46"/>
  <c r="K38" i="46"/>
  <c r="L38" i="46"/>
  <c r="M38" i="46"/>
  <c r="N38" i="46"/>
  <c r="O38" i="46"/>
  <c r="P38" i="46"/>
  <c r="Q38" i="46"/>
  <c r="R38" i="46"/>
  <c r="S38" i="46"/>
  <c r="T38" i="46"/>
  <c r="U38" i="46"/>
  <c r="V38" i="46"/>
  <c r="X38" i="46"/>
  <c r="Y38" i="46"/>
  <c r="Z38" i="46"/>
  <c r="AA38" i="46"/>
  <c r="AB38" i="46"/>
  <c r="AC38" i="46"/>
  <c r="AD38" i="46"/>
  <c r="AE38" i="46"/>
  <c r="AF38" i="46"/>
  <c r="AG38" i="46"/>
  <c r="AH38" i="46"/>
  <c r="AI38" i="46"/>
  <c r="AJ38" i="46"/>
  <c r="AK38" i="46"/>
  <c r="AL38" i="46"/>
  <c r="AM38" i="46"/>
  <c r="AN38" i="46"/>
  <c r="AO38" i="46"/>
  <c r="AP38" i="46"/>
  <c r="AQ38" i="46"/>
  <c r="AR38" i="46"/>
  <c r="AS38" i="46"/>
  <c r="AT38" i="46"/>
  <c r="AU38" i="46"/>
  <c r="AV38" i="46"/>
  <c r="E39" i="46"/>
  <c r="F39" i="46"/>
  <c r="G39" i="46"/>
  <c r="H39" i="46"/>
  <c r="I39" i="46"/>
  <c r="J39" i="46"/>
  <c r="K39" i="46"/>
  <c r="L39" i="46"/>
  <c r="M39" i="46"/>
  <c r="N39" i="46"/>
  <c r="O39" i="46"/>
  <c r="P39" i="46"/>
  <c r="Q39" i="46"/>
  <c r="R39" i="46"/>
  <c r="S39" i="46"/>
  <c r="T39" i="46"/>
  <c r="U39" i="46"/>
  <c r="E40" i="46"/>
  <c r="F40" i="46"/>
  <c r="G40" i="46"/>
  <c r="H40" i="46"/>
  <c r="I40" i="46"/>
  <c r="J40" i="46"/>
  <c r="K40" i="46"/>
  <c r="L40" i="46"/>
  <c r="M40" i="46"/>
  <c r="N40" i="46"/>
  <c r="O40" i="46"/>
  <c r="P40" i="46"/>
  <c r="Q40" i="46"/>
  <c r="R40" i="46"/>
  <c r="S40" i="46"/>
  <c r="T40" i="46"/>
  <c r="U40" i="46"/>
  <c r="V40" i="46"/>
  <c r="W40" i="46"/>
  <c r="E41" i="46"/>
  <c r="F41" i="46"/>
  <c r="G41" i="46"/>
  <c r="H41" i="46"/>
  <c r="I41" i="46"/>
  <c r="J41" i="46"/>
  <c r="K41" i="46"/>
  <c r="L41" i="46"/>
  <c r="M41" i="46"/>
  <c r="N41" i="46"/>
  <c r="O41" i="46"/>
  <c r="P41" i="46"/>
  <c r="Q41" i="46"/>
  <c r="R41" i="46"/>
  <c r="S41" i="46"/>
  <c r="T41" i="46"/>
  <c r="U41" i="46"/>
  <c r="E42" i="46"/>
  <c r="F42" i="46"/>
  <c r="G42" i="46"/>
  <c r="H42" i="46"/>
  <c r="I42" i="46"/>
  <c r="J42" i="46"/>
  <c r="K42" i="46"/>
  <c r="L42" i="46"/>
  <c r="M42" i="46"/>
  <c r="N42" i="46"/>
  <c r="O42" i="46"/>
  <c r="P42" i="46"/>
  <c r="Q42" i="46"/>
  <c r="R42" i="46"/>
  <c r="S42" i="46"/>
  <c r="T42" i="46"/>
  <c r="U42" i="46"/>
  <c r="V42" i="46"/>
  <c r="W42" i="46"/>
  <c r="X42" i="46"/>
  <c r="Y42" i="46"/>
  <c r="Z42" i="46"/>
  <c r="AA42" i="46"/>
  <c r="AB42" i="46"/>
  <c r="AC42" i="46"/>
  <c r="AD42" i="46"/>
  <c r="AE42" i="46"/>
  <c r="AF42" i="46"/>
  <c r="AG42" i="46"/>
  <c r="AH42" i="46"/>
  <c r="AI42" i="46"/>
  <c r="AJ42" i="46"/>
  <c r="AK42" i="46"/>
  <c r="AL42" i="46"/>
  <c r="AM42" i="46"/>
  <c r="AN42" i="46"/>
  <c r="AO42" i="46"/>
  <c r="AP42" i="46"/>
  <c r="AQ42" i="46"/>
  <c r="AR42" i="46"/>
  <c r="AS42" i="46"/>
  <c r="AT42" i="46"/>
  <c r="AU42" i="46"/>
  <c r="AV42" i="46"/>
  <c r="E43" i="46"/>
  <c r="F43" i="46"/>
  <c r="G43" i="46"/>
  <c r="H43" i="46"/>
  <c r="I43" i="46"/>
  <c r="J43" i="46"/>
  <c r="K43" i="46"/>
  <c r="L43" i="46"/>
  <c r="M43" i="46"/>
  <c r="N43" i="46"/>
  <c r="O43" i="46"/>
  <c r="P43" i="46"/>
  <c r="Q43" i="46"/>
  <c r="R43" i="46"/>
  <c r="S43" i="46"/>
  <c r="T43" i="46"/>
  <c r="U43" i="46"/>
  <c r="V43" i="46"/>
  <c r="W43" i="46"/>
  <c r="X43" i="46"/>
  <c r="Y43" i="46"/>
  <c r="Z43" i="46"/>
  <c r="AA43" i="46"/>
  <c r="AB43" i="46"/>
  <c r="AC43" i="46"/>
  <c r="AD43" i="46"/>
  <c r="AE43" i="46"/>
  <c r="AF43" i="46"/>
  <c r="AG43" i="46"/>
  <c r="AH43" i="46"/>
  <c r="AI43" i="46"/>
  <c r="AJ43" i="46"/>
  <c r="AK43" i="46"/>
  <c r="AL43" i="46"/>
  <c r="AM43" i="46"/>
  <c r="AN43" i="46"/>
  <c r="AO43" i="46"/>
  <c r="AP43" i="46"/>
  <c r="AQ43" i="46"/>
  <c r="AR43" i="46"/>
  <c r="AS43" i="46"/>
  <c r="AT43" i="46"/>
  <c r="AU43" i="46"/>
  <c r="AV43" i="46"/>
  <c r="E44" i="46"/>
  <c r="F44" i="46"/>
  <c r="G44" i="46"/>
  <c r="H44" i="46"/>
  <c r="I44" i="46"/>
  <c r="J44" i="46"/>
  <c r="K44" i="46"/>
  <c r="L44" i="46"/>
  <c r="M44" i="46"/>
  <c r="N44" i="46"/>
  <c r="O44" i="46"/>
  <c r="P44" i="46"/>
  <c r="Q44" i="46"/>
  <c r="R44" i="46"/>
  <c r="S44" i="46"/>
  <c r="T44" i="46"/>
  <c r="U44" i="46"/>
  <c r="V44" i="46"/>
  <c r="W44" i="46"/>
  <c r="X44" i="46"/>
  <c r="Y44" i="46"/>
  <c r="Z44" i="46"/>
  <c r="AA44" i="46"/>
  <c r="AB44" i="46"/>
  <c r="AC44" i="46"/>
  <c r="AD44" i="46"/>
  <c r="AE44" i="46"/>
  <c r="AF44" i="46"/>
  <c r="AG44" i="46"/>
  <c r="AH44" i="46"/>
  <c r="AI44" i="46"/>
  <c r="AJ44" i="46"/>
  <c r="AK44" i="46"/>
  <c r="AL44" i="46"/>
  <c r="AM44" i="46"/>
  <c r="AN44" i="46"/>
  <c r="AO44" i="46"/>
  <c r="AP44" i="46"/>
  <c r="AQ44" i="46"/>
  <c r="AR44" i="46"/>
  <c r="AS44" i="46"/>
  <c r="AT44" i="46"/>
  <c r="AU44" i="46"/>
  <c r="AV44" i="46"/>
  <c r="E45" i="46"/>
  <c r="F45" i="46"/>
  <c r="G45" i="46"/>
  <c r="H45" i="46"/>
  <c r="I45" i="46"/>
  <c r="J45" i="46"/>
  <c r="K45" i="46"/>
  <c r="L45" i="46"/>
  <c r="M45" i="46"/>
  <c r="N45" i="46"/>
  <c r="O45" i="46"/>
  <c r="P45" i="46"/>
  <c r="Q45" i="46"/>
  <c r="R45" i="46"/>
  <c r="S45" i="46"/>
  <c r="T45" i="46"/>
  <c r="U45" i="46"/>
  <c r="V45" i="46"/>
  <c r="W45" i="46"/>
  <c r="X45" i="46"/>
  <c r="Y45" i="46"/>
  <c r="Z45" i="46"/>
  <c r="AA45" i="46"/>
  <c r="AB45" i="46"/>
  <c r="AC45" i="46"/>
  <c r="AD45" i="46"/>
  <c r="AE45" i="46"/>
  <c r="AF45" i="46"/>
  <c r="AG45" i="46"/>
  <c r="AH45" i="46"/>
  <c r="AI45" i="46"/>
  <c r="AJ45" i="46"/>
  <c r="AK45" i="46"/>
  <c r="AL45" i="46"/>
  <c r="AM45" i="46"/>
  <c r="AN45" i="46"/>
  <c r="AO45" i="46"/>
  <c r="AP45" i="46"/>
  <c r="AQ45" i="46"/>
  <c r="AR45" i="46"/>
  <c r="AS45" i="46"/>
  <c r="AT45" i="46"/>
  <c r="AU45" i="46"/>
  <c r="AV45" i="46"/>
  <c r="E46" i="46"/>
  <c r="F46" i="46"/>
  <c r="G46" i="46"/>
  <c r="H46" i="46"/>
  <c r="I46" i="46"/>
  <c r="J46" i="46"/>
  <c r="K46" i="46"/>
  <c r="L46" i="46"/>
  <c r="M46" i="46"/>
  <c r="N46" i="46"/>
  <c r="O46" i="46"/>
  <c r="P46" i="46"/>
  <c r="Q46" i="46"/>
  <c r="R46" i="46"/>
  <c r="S46" i="46"/>
  <c r="T46" i="46"/>
  <c r="U46" i="46"/>
  <c r="E47" i="46"/>
  <c r="F47" i="46"/>
  <c r="G47" i="46"/>
  <c r="H47" i="46"/>
  <c r="I47" i="46"/>
  <c r="J47" i="46"/>
  <c r="K47" i="46"/>
  <c r="L47" i="46"/>
  <c r="M47" i="46"/>
  <c r="N47" i="46"/>
  <c r="O47" i="46"/>
  <c r="P47" i="46"/>
  <c r="Q47" i="46"/>
  <c r="R47" i="46"/>
  <c r="S47" i="46"/>
  <c r="T47" i="46"/>
  <c r="U47" i="46"/>
  <c r="E48" i="46"/>
  <c r="F48" i="46"/>
  <c r="G48" i="46"/>
  <c r="H48" i="46"/>
  <c r="I48" i="46"/>
  <c r="J48" i="46"/>
  <c r="K48" i="46"/>
  <c r="L48" i="46"/>
  <c r="M48" i="46"/>
  <c r="N48" i="46"/>
  <c r="O48" i="46"/>
  <c r="P48" i="46"/>
  <c r="Q48" i="46"/>
  <c r="R48" i="46"/>
  <c r="S48" i="46"/>
  <c r="T48" i="46"/>
  <c r="U48" i="46"/>
  <c r="D7" i="46"/>
  <c r="D8" i="46"/>
  <c r="D9" i="46"/>
  <c r="D10" i="46"/>
  <c r="D11" i="46"/>
  <c r="D12" i="46"/>
  <c r="D13" i="46"/>
  <c r="D14" i="46"/>
  <c r="D15" i="46"/>
  <c r="D16" i="46"/>
  <c r="D17" i="46"/>
  <c r="D18" i="46"/>
  <c r="D19" i="46"/>
  <c r="D20" i="46"/>
  <c r="D21" i="46"/>
  <c r="D22" i="46"/>
  <c r="D23" i="46"/>
  <c r="D24" i="46"/>
  <c r="D25" i="46"/>
  <c r="D26" i="46"/>
  <c r="D27" i="46"/>
  <c r="D28" i="46"/>
  <c r="D29" i="46"/>
  <c r="D30" i="46"/>
  <c r="D31" i="46"/>
  <c r="D32" i="46"/>
  <c r="D33" i="46"/>
  <c r="D34" i="46"/>
  <c r="D35" i="46"/>
  <c r="D36" i="46"/>
  <c r="D37" i="46"/>
  <c r="D38" i="46"/>
  <c r="D39" i="46"/>
  <c r="D40" i="46"/>
  <c r="D41" i="46"/>
  <c r="D42" i="46"/>
  <c r="D43" i="46"/>
  <c r="D44" i="46"/>
  <c r="D45" i="46"/>
  <c r="D46" i="46"/>
  <c r="D47" i="46"/>
  <c r="D48" i="46"/>
  <c r="D6" i="46"/>
  <c r="E46" i="45"/>
  <c r="F46" i="45"/>
  <c r="G46" i="45"/>
  <c r="H46" i="45"/>
  <c r="I46" i="45"/>
  <c r="J46" i="45"/>
  <c r="K46" i="45"/>
  <c r="L46" i="45"/>
  <c r="M46" i="45"/>
  <c r="N46" i="45"/>
  <c r="O46" i="45"/>
  <c r="P46" i="45"/>
  <c r="Q46" i="45"/>
  <c r="R46" i="45"/>
  <c r="S46" i="45"/>
  <c r="T46" i="45"/>
  <c r="U46" i="45"/>
  <c r="V46" i="45"/>
  <c r="W46" i="45"/>
  <c r="X46" i="45"/>
  <c r="Y46" i="45"/>
  <c r="Z46" i="45"/>
  <c r="AA46" i="45"/>
  <c r="AB46" i="45"/>
  <c r="AC46" i="45"/>
  <c r="AD46" i="45"/>
  <c r="AE46" i="45"/>
  <c r="AF46" i="45"/>
  <c r="AG46" i="45"/>
  <c r="AH46" i="45"/>
  <c r="AI46" i="45"/>
  <c r="AJ46" i="45"/>
  <c r="AK46" i="45"/>
  <c r="AL46" i="45"/>
  <c r="AM46" i="45"/>
  <c r="AN46" i="45"/>
  <c r="AO46" i="45"/>
  <c r="AP46" i="45"/>
  <c r="AQ46" i="45"/>
  <c r="AR46" i="45"/>
  <c r="AS46" i="45"/>
  <c r="AT46" i="45"/>
  <c r="AU46" i="45"/>
  <c r="AV46" i="45"/>
  <c r="E47" i="45"/>
  <c r="F47" i="45"/>
  <c r="G47" i="45"/>
  <c r="H47" i="45"/>
  <c r="I47" i="45"/>
  <c r="J47" i="45"/>
  <c r="K47" i="45"/>
  <c r="L47" i="45"/>
  <c r="M47" i="45"/>
  <c r="N47" i="45"/>
  <c r="O47" i="45"/>
  <c r="P47" i="45"/>
  <c r="Q47" i="45"/>
  <c r="R47" i="45"/>
  <c r="S47" i="45"/>
  <c r="T47" i="45"/>
  <c r="U47" i="45"/>
  <c r="V47" i="45"/>
  <c r="W47" i="45"/>
  <c r="AB47" i="45"/>
  <c r="AG47" i="45"/>
  <c r="AL47" i="45"/>
  <c r="AQ47" i="45"/>
  <c r="AV47" i="45"/>
  <c r="H48" i="45"/>
  <c r="M48" i="45"/>
  <c r="R48" i="45"/>
  <c r="W48" i="45"/>
  <c r="AB48" i="45"/>
  <c r="AG48" i="45"/>
  <c r="AL48" i="45"/>
  <c r="AQ48" i="45"/>
  <c r="AV48" i="45"/>
  <c r="E49" i="45"/>
  <c r="F49" i="45"/>
  <c r="G49" i="45"/>
  <c r="H49" i="45"/>
  <c r="I49" i="45"/>
  <c r="J49" i="45"/>
  <c r="K49" i="45"/>
  <c r="L49" i="45"/>
  <c r="M49" i="45"/>
  <c r="N49" i="45"/>
  <c r="O49" i="45"/>
  <c r="P49" i="45"/>
  <c r="Q49" i="45"/>
  <c r="R49" i="45"/>
  <c r="S49" i="45"/>
  <c r="T49" i="45"/>
  <c r="U49" i="45"/>
  <c r="V49" i="45"/>
  <c r="W49" i="45"/>
  <c r="AB49" i="45"/>
  <c r="AG49" i="45"/>
  <c r="AL49" i="45"/>
  <c r="AQ49" i="45"/>
  <c r="AV49" i="45"/>
  <c r="H50" i="45"/>
  <c r="M50" i="45"/>
  <c r="R50" i="45"/>
  <c r="W50" i="45"/>
  <c r="AB50" i="45"/>
  <c r="AG50" i="45"/>
  <c r="AL50" i="45"/>
  <c r="AQ50" i="45"/>
  <c r="AV50" i="45"/>
  <c r="E51" i="45"/>
  <c r="F51" i="45"/>
  <c r="G51" i="45"/>
  <c r="H51" i="45"/>
  <c r="I51" i="45"/>
  <c r="J51" i="45"/>
  <c r="K51" i="45"/>
  <c r="L51" i="45"/>
  <c r="M51" i="45"/>
  <c r="N51" i="45"/>
  <c r="O51" i="45"/>
  <c r="P51" i="45"/>
  <c r="Q51" i="45"/>
  <c r="R51" i="45"/>
  <c r="S51" i="45"/>
  <c r="T51" i="45"/>
  <c r="U51" i="45"/>
  <c r="V51" i="45"/>
  <c r="W51" i="45"/>
  <c r="AB51" i="45"/>
  <c r="AG51" i="45"/>
  <c r="AL51" i="45"/>
  <c r="AQ51" i="45"/>
  <c r="AV51" i="45"/>
  <c r="H52" i="45"/>
  <c r="M52" i="45"/>
  <c r="R52" i="45"/>
  <c r="V52" i="45"/>
  <c r="W52" i="45"/>
  <c r="AB52" i="45"/>
  <c r="AG52" i="45"/>
  <c r="AL52" i="45"/>
  <c r="AQ52" i="45"/>
  <c r="AV52" i="45"/>
  <c r="E53" i="45"/>
  <c r="F53" i="45"/>
  <c r="G53" i="45"/>
  <c r="H53" i="45"/>
  <c r="I53" i="45"/>
  <c r="J53" i="45"/>
  <c r="K53" i="45"/>
  <c r="L53" i="45"/>
  <c r="M53" i="45"/>
  <c r="N53" i="45"/>
  <c r="O53" i="45"/>
  <c r="P53" i="45"/>
  <c r="Q53" i="45"/>
  <c r="R53" i="45"/>
  <c r="S53" i="45"/>
  <c r="T53" i="45"/>
  <c r="U53" i="45"/>
  <c r="V53" i="45"/>
  <c r="W53" i="45"/>
  <c r="AB53" i="45"/>
  <c r="AG53" i="45"/>
  <c r="AL53" i="45"/>
  <c r="AQ53" i="45"/>
  <c r="AV53" i="45"/>
  <c r="E54" i="45"/>
  <c r="F54" i="45"/>
  <c r="G54" i="45"/>
  <c r="H54" i="45"/>
  <c r="I54" i="45"/>
  <c r="J54" i="45"/>
  <c r="K54" i="45"/>
  <c r="L54" i="45"/>
  <c r="M54" i="45"/>
  <c r="N54" i="45"/>
  <c r="O54" i="45"/>
  <c r="P54" i="45"/>
  <c r="Q54" i="45"/>
  <c r="R54" i="45"/>
  <c r="S54" i="45"/>
  <c r="T54" i="45"/>
  <c r="U54" i="45"/>
  <c r="V54" i="45"/>
  <c r="W54" i="45"/>
  <c r="AB54" i="45"/>
  <c r="AG54" i="45"/>
  <c r="AL54" i="45"/>
  <c r="AQ54" i="45"/>
  <c r="AV54" i="45"/>
  <c r="E55" i="45"/>
  <c r="F55" i="45"/>
  <c r="G55" i="45"/>
  <c r="H55" i="45"/>
  <c r="I55" i="45"/>
  <c r="J55" i="45"/>
  <c r="K55" i="45"/>
  <c r="L55" i="45"/>
  <c r="M55" i="45"/>
  <c r="N55" i="45"/>
  <c r="O55" i="45"/>
  <c r="P55" i="45"/>
  <c r="Q55" i="45"/>
  <c r="R55" i="45"/>
  <c r="S55" i="45"/>
  <c r="T55" i="45"/>
  <c r="U55" i="45"/>
  <c r="V55" i="45"/>
  <c r="W55" i="45"/>
  <c r="AB55" i="45"/>
  <c r="AG55" i="45"/>
  <c r="AL55" i="45"/>
  <c r="AQ55" i="45"/>
  <c r="AV55" i="45"/>
  <c r="E56" i="45"/>
  <c r="F56" i="45"/>
  <c r="G56" i="45"/>
  <c r="H56" i="45"/>
  <c r="I56" i="45"/>
  <c r="J56" i="45"/>
  <c r="K56" i="45"/>
  <c r="L56" i="45"/>
  <c r="M56" i="45"/>
  <c r="N56" i="45"/>
  <c r="O56" i="45"/>
  <c r="P56" i="45"/>
  <c r="Q56" i="45"/>
  <c r="R56" i="45"/>
  <c r="S56" i="45"/>
  <c r="T56" i="45"/>
  <c r="U56" i="45"/>
  <c r="V56" i="45"/>
  <c r="W56" i="45"/>
  <c r="AB56" i="45"/>
  <c r="AG56" i="45"/>
  <c r="AL56" i="45"/>
  <c r="AQ56" i="45"/>
  <c r="AV56" i="45"/>
  <c r="E57" i="45"/>
  <c r="F57" i="45"/>
  <c r="G57" i="45"/>
  <c r="H57" i="45"/>
  <c r="I57" i="45"/>
  <c r="J57" i="45"/>
  <c r="K57" i="45"/>
  <c r="L57" i="45"/>
  <c r="M57" i="45"/>
  <c r="N57" i="45"/>
  <c r="O57" i="45"/>
  <c r="P57" i="45"/>
  <c r="Q57" i="45"/>
  <c r="R57" i="45"/>
  <c r="S57" i="45"/>
  <c r="T57" i="45"/>
  <c r="U57" i="45"/>
  <c r="V57" i="45"/>
  <c r="W57" i="45"/>
  <c r="X57" i="45"/>
  <c r="Y57" i="45"/>
  <c r="Z57" i="45"/>
  <c r="AA57" i="45"/>
  <c r="AB57" i="45"/>
  <c r="AC57" i="45"/>
  <c r="AD57" i="45"/>
  <c r="AE57" i="45"/>
  <c r="AF57" i="45"/>
  <c r="AG57" i="45"/>
  <c r="AH57" i="45"/>
  <c r="AI57" i="45"/>
  <c r="AJ57" i="45"/>
  <c r="AK57" i="45"/>
  <c r="AL57" i="45"/>
  <c r="AM57" i="45"/>
  <c r="AN57" i="45"/>
  <c r="AO57" i="45"/>
  <c r="AP57" i="45"/>
  <c r="AQ57" i="45"/>
  <c r="AR57" i="45"/>
  <c r="AS57" i="45"/>
  <c r="AT57" i="45"/>
  <c r="AU57" i="45"/>
  <c r="AV57" i="45"/>
  <c r="E58" i="45"/>
  <c r="F58" i="45"/>
  <c r="G58" i="45"/>
  <c r="H58" i="45"/>
  <c r="I58" i="45"/>
  <c r="J58" i="45"/>
  <c r="K58" i="45"/>
  <c r="L58" i="45"/>
  <c r="M58" i="45"/>
  <c r="N58" i="45"/>
  <c r="O58" i="45"/>
  <c r="P58" i="45"/>
  <c r="Q58" i="45"/>
  <c r="R58" i="45"/>
  <c r="S58" i="45"/>
  <c r="T58" i="45"/>
  <c r="U58" i="45"/>
  <c r="V58" i="45"/>
  <c r="W58" i="45"/>
  <c r="X58" i="45"/>
  <c r="Y58" i="45"/>
  <c r="Z58" i="45"/>
  <c r="AA58" i="45"/>
  <c r="AB58" i="45"/>
  <c r="AC58" i="45"/>
  <c r="AD58" i="45"/>
  <c r="AE58" i="45"/>
  <c r="AF58" i="45"/>
  <c r="AG58" i="45"/>
  <c r="AH58" i="45"/>
  <c r="AI58" i="45"/>
  <c r="AJ58" i="45"/>
  <c r="AK58" i="45"/>
  <c r="AL58" i="45"/>
  <c r="AM58" i="45"/>
  <c r="AN58" i="45"/>
  <c r="AO58" i="45"/>
  <c r="AP58" i="45"/>
  <c r="AQ58" i="45"/>
  <c r="AR58" i="45"/>
  <c r="AS58" i="45"/>
  <c r="AT58" i="45"/>
  <c r="AU58" i="45"/>
  <c r="AV58" i="45"/>
  <c r="E59" i="45"/>
  <c r="F59" i="45"/>
  <c r="G59" i="45"/>
  <c r="H59" i="45"/>
  <c r="I59" i="45"/>
  <c r="J59" i="45"/>
  <c r="K59" i="45"/>
  <c r="L59" i="45"/>
  <c r="M59" i="45"/>
  <c r="N59" i="45"/>
  <c r="O59" i="45"/>
  <c r="P59" i="45"/>
  <c r="Q59" i="45"/>
  <c r="R59" i="45"/>
  <c r="S59" i="45"/>
  <c r="T59" i="45"/>
  <c r="U59" i="45"/>
  <c r="V59" i="45"/>
  <c r="W59" i="45"/>
  <c r="X59" i="45"/>
  <c r="Y59" i="45"/>
  <c r="Z59" i="45"/>
  <c r="AA59" i="45"/>
  <c r="AB59" i="45"/>
  <c r="AC59" i="45"/>
  <c r="AD59" i="45"/>
  <c r="AE59" i="45"/>
  <c r="AF59" i="45"/>
  <c r="AG59" i="45"/>
  <c r="AH59" i="45"/>
  <c r="AI59" i="45"/>
  <c r="AJ59" i="45"/>
  <c r="AK59" i="45"/>
  <c r="AL59" i="45"/>
  <c r="AM59" i="45"/>
  <c r="AN59" i="45"/>
  <c r="AO59" i="45"/>
  <c r="AP59" i="45"/>
  <c r="AQ59" i="45"/>
  <c r="AR59" i="45"/>
  <c r="AS59" i="45"/>
  <c r="AT59" i="45"/>
  <c r="AU59" i="45"/>
  <c r="AV59" i="45"/>
  <c r="E60" i="45"/>
  <c r="F60" i="45"/>
  <c r="G60" i="45"/>
  <c r="H60" i="45"/>
  <c r="I60" i="45"/>
  <c r="J60" i="45"/>
  <c r="K60" i="45"/>
  <c r="L60" i="45"/>
  <c r="M60" i="45"/>
  <c r="N60" i="45"/>
  <c r="O60" i="45"/>
  <c r="P60" i="45"/>
  <c r="Q60" i="45"/>
  <c r="R60" i="45"/>
  <c r="S60" i="45"/>
  <c r="T60" i="45"/>
  <c r="U60" i="45"/>
  <c r="V60" i="45"/>
  <c r="W60" i="45"/>
  <c r="X60" i="45"/>
  <c r="Y60" i="45"/>
  <c r="Z60" i="45"/>
  <c r="AA60" i="45"/>
  <c r="AB60" i="45"/>
  <c r="AC60" i="45"/>
  <c r="AD60" i="45"/>
  <c r="AE60" i="45"/>
  <c r="AF60" i="45"/>
  <c r="AG60" i="45"/>
  <c r="AH60" i="45"/>
  <c r="AI60" i="45"/>
  <c r="AJ60" i="45"/>
  <c r="AK60" i="45"/>
  <c r="AL60" i="45"/>
  <c r="AM60" i="45"/>
  <c r="AN60" i="45"/>
  <c r="AO60" i="45"/>
  <c r="AP60" i="45"/>
  <c r="AQ60" i="45"/>
  <c r="AR60" i="45"/>
  <c r="AS60" i="45"/>
  <c r="AT60" i="45"/>
  <c r="AU60" i="45"/>
  <c r="AV60" i="45"/>
  <c r="E61" i="45"/>
  <c r="F61" i="45"/>
  <c r="G61" i="45"/>
  <c r="H61" i="45"/>
  <c r="I61" i="45"/>
  <c r="J61" i="45"/>
  <c r="K61" i="45"/>
  <c r="L61" i="45"/>
  <c r="M61" i="45"/>
  <c r="N61" i="45"/>
  <c r="O61" i="45"/>
  <c r="P61" i="45"/>
  <c r="Q61" i="45"/>
  <c r="R61" i="45"/>
  <c r="S61" i="45"/>
  <c r="T61" i="45"/>
  <c r="U61" i="45"/>
  <c r="V61" i="45"/>
  <c r="W61" i="45"/>
  <c r="X61" i="45"/>
  <c r="Y61" i="45"/>
  <c r="Z61" i="45"/>
  <c r="AA61" i="45"/>
  <c r="AB61" i="45"/>
  <c r="AC61" i="45"/>
  <c r="AD61" i="45"/>
  <c r="AE61" i="45"/>
  <c r="AG61" i="45"/>
  <c r="AH61" i="45"/>
  <c r="AI61" i="45"/>
  <c r="AK61" i="45"/>
  <c r="AL61" i="45"/>
  <c r="AM61" i="45"/>
  <c r="AN61" i="45"/>
  <c r="AO61" i="45"/>
  <c r="AP61" i="45"/>
  <c r="AQ61" i="45"/>
  <c r="AR61" i="45"/>
  <c r="AS61" i="45"/>
  <c r="AT61" i="45"/>
  <c r="AU61" i="45"/>
  <c r="AV61" i="45"/>
  <c r="E62" i="45"/>
  <c r="F62" i="45"/>
  <c r="G62" i="45"/>
  <c r="H62" i="45"/>
  <c r="I62" i="45"/>
  <c r="J62" i="45"/>
  <c r="K62" i="45"/>
  <c r="L62" i="45"/>
  <c r="M62" i="45"/>
  <c r="N62" i="45"/>
  <c r="O62" i="45"/>
  <c r="P62" i="45"/>
  <c r="Q62" i="45"/>
  <c r="R62" i="45"/>
  <c r="S62" i="45"/>
  <c r="T62" i="45"/>
  <c r="U62" i="45"/>
  <c r="AB62" i="45"/>
  <c r="AG62" i="45"/>
  <c r="AL62" i="45"/>
  <c r="AQ62" i="45"/>
  <c r="AV62" i="45"/>
  <c r="E63" i="45"/>
  <c r="F63" i="45"/>
  <c r="G63" i="45"/>
  <c r="H63" i="45"/>
  <c r="I63" i="45"/>
  <c r="J63" i="45"/>
  <c r="K63" i="45"/>
  <c r="L63" i="45"/>
  <c r="M63" i="45"/>
  <c r="N63" i="45"/>
  <c r="O63" i="45"/>
  <c r="P63" i="45"/>
  <c r="Q63" i="45"/>
  <c r="R63" i="45"/>
  <c r="S63" i="45"/>
  <c r="T63" i="45"/>
  <c r="U63" i="45"/>
  <c r="AB63" i="45"/>
  <c r="AG63" i="45"/>
  <c r="AL63" i="45"/>
  <c r="AQ63" i="45"/>
  <c r="AV63" i="45"/>
  <c r="E64" i="45"/>
  <c r="F64" i="45"/>
  <c r="G64" i="45"/>
  <c r="H64" i="45"/>
  <c r="I64" i="45"/>
  <c r="J64" i="45"/>
  <c r="K64" i="45"/>
  <c r="L64" i="45"/>
  <c r="M64" i="45"/>
  <c r="N64" i="45"/>
  <c r="O64" i="45"/>
  <c r="P64" i="45"/>
  <c r="Q64" i="45"/>
  <c r="R64" i="45"/>
  <c r="S64" i="45"/>
  <c r="T64" i="45"/>
  <c r="U64" i="45"/>
  <c r="V64" i="45"/>
  <c r="X64" i="45"/>
  <c r="Y64" i="45"/>
  <c r="Z64" i="45"/>
  <c r="AA64" i="45"/>
  <c r="AC64" i="45"/>
  <c r="AD64" i="45"/>
  <c r="AE64" i="45"/>
  <c r="AF64" i="45"/>
  <c r="AH64" i="45"/>
  <c r="AI64" i="45"/>
  <c r="AJ64" i="45"/>
  <c r="AK64" i="45"/>
  <c r="AM64" i="45"/>
  <c r="AN64" i="45"/>
  <c r="AO64" i="45"/>
  <c r="AP64" i="45"/>
  <c r="AR64" i="45"/>
  <c r="AS64" i="45"/>
  <c r="AT64" i="45"/>
  <c r="AU64" i="45"/>
  <c r="E65" i="45"/>
  <c r="F65" i="45"/>
  <c r="G65" i="45"/>
  <c r="H65" i="45"/>
  <c r="I65" i="45"/>
  <c r="J65" i="45"/>
  <c r="K65" i="45"/>
  <c r="L65" i="45"/>
  <c r="M65" i="45"/>
  <c r="N65" i="45"/>
  <c r="O65" i="45"/>
  <c r="P65" i="45"/>
  <c r="Q65" i="45"/>
  <c r="R65" i="45"/>
  <c r="S65" i="45"/>
  <c r="T65" i="45"/>
  <c r="U65" i="45"/>
  <c r="V65" i="45"/>
  <c r="X65" i="45"/>
  <c r="Y65" i="45"/>
  <c r="Z65" i="45"/>
  <c r="AA65" i="45"/>
  <c r="AC65" i="45"/>
  <c r="AD65" i="45"/>
  <c r="AE65" i="45"/>
  <c r="AF65" i="45"/>
  <c r="AH65" i="45"/>
  <c r="AI65" i="45"/>
  <c r="AJ65" i="45"/>
  <c r="AK65" i="45"/>
  <c r="AM65" i="45"/>
  <c r="AN65" i="45"/>
  <c r="AO65" i="45"/>
  <c r="AP65" i="45"/>
  <c r="AR65" i="45"/>
  <c r="AS65" i="45"/>
  <c r="AT65" i="45"/>
  <c r="AU65" i="45"/>
  <c r="E66" i="45"/>
  <c r="F66" i="45"/>
  <c r="G66" i="45"/>
  <c r="H66" i="45"/>
  <c r="I66" i="45"/>
  <c r="J66" i="45"/>
  <c r="K66" i="45"/>
  <c r="L66" i="45"/>
  <c r="M66" i="45"/>
  <c r="N66" i="45"/>
  <c r="O66" i="45"/>
  <c r="P66" i="45"/>
  <c r="Q66" i="45"/>
  <c r="R66" i="45"/>
  <c r="S66" i="45"/>
  <c r="T66" i="45"/>
  <c r="U66" i="45"/>
  <c r="V66" i="45"/>
  <c r="W66" i="45"/>
  <c r="X66" i="45"/>
  <c r="Y66" i="45"/>
  <c r="Z66" i="45"/>
  <c r="AA66" i="45"/>
  <c r="AB66" i="45"/>
  <c r="AC66" i="45"/>
  <c r="AD66" i="45"/>
  <c r="AE66" i="45"/>
  <c r="AF66" i="45"/>
  <c r="AG66" i="45"/>
  <c r="AH66" i="45"/>
  <c r="AI66" i="45"/>
  <c r="AJ66" i="45"/>
  <c r="AK66" i="45"/>
  <c r="AL66" i="45"/>
  <c r="AM66" i="45"/>
  <c r="AN66" i="45"/>
  <c r="AO66" i="45"/>
  <c r="AP66" i="45"/>
  <c r="AQ66" i="45"/>
  <c r="AR66" i="45"/>
  <c r="AS66" i="45"/>
  <c r="AT66" i="45"/>
  <c r="AU66" i="45"/>
  <c r="AV66" i="45"/>
  <c r="E67" i="45"/>
  <c r="F67" i="45"/>
  <c r="G67" i="45"/>
  <c r="H67" i="45"/>
  <c r="I67" i="45"/>
  <c r="J67" i="45"/>
  <c r="K67" i="45"/>
  <c r="L67" i="45"/>
  <c r="M67" i="45"/>
  <c r="N67" i="45"/>
  <c r="O67" i="45"/>
  <c r="P67" i="45"/>
  <c r="Q67" i="45"/>
  <c r="R67" i="45"/>
  <c r="S67" i="45"/>
  <c r="T67" i="45"/>
  <c r="U67" i="45"/>
  <c r="V67" i="45"/>
  <c r="X67" i="45"/>
  <c r="Y67" i="45"/>
  <c r="Z67" i="45"/>
  <c r="AA67" i="45"/>
  <c r="AC67" i="45"/>
  <c r="AD67" i="45"/>
  <c r="AE67" i="45"/>
  <c r="AF67" i="45"/>
  <c r="AH67" i="45"/>
  <c r="AI67" i="45"/>
  <c r="AJ67" i="45"/>
  <c r="AK67" i="45"/>
  <c r="AM67" i="45"/>
  <c r="AN67" i="45"/>
  <c r="AO67" i="45"/>
  <c r="AP67" i="45"/>
  <c r="AR67" i="45"/>
  <c r="AS67" i="45"/>
  <c r="AT67" i="45"/>
  <c r="AU67" i="45"/>
  <c r="D47" i="45"/>
  <c r="D49" i="45"/>
  <c r="D51" i="45"/>
  <c r="D53" i="45"/>
  <c r="D54" i="45"/>
  <c r="D55" i="45"/>
  <c r="D56" i="45"/>
  <c r="D57" i="45"/>
  <c r="D58" i="45"/>
  <c r="D59" i="45"/>
  <c r="D60" i="45"/>
  <c r="D61" i="45"/>
  <c r="D62" i="45"/>
  <c r="D63" i="45"/>
  <c r="D64" i="45"/>
  <c r="D65" i="45"/>
  <c r="D66" i="45"/>
  <c r="D67" i="45"/>
  <c r="D46" i="45"/>
  <c r="E37" i="45"/>
  <c r="F37" i="45"/>
  <c r="G37" i="45"/>
  <c r="H37" i="45"/>
  <c r="I37" i="45"/>
  <c r="J37" i="45"/>
  <c r="K37" i="45"/>
  <c r="L37" i="45"/>
  <c r="M37" i="45"/>
  <c r="N37" i="45"/>
  <c r="O37" i="45"/>
  <c r="P37" i="45"/>
  <c r="Q37" i="45"/>
  <c r="R37" i="45"/>
  <c r="S37" i="45"/>
  <c r="T37" i="45"/>
  <c r="U37" i="45"/>
  <c r="E38" i="45"/>
  <c r="F38" i="45"/>
  <c r="G38" i="45"/>
  <c r="H38" i="45"/>
  <c r="I38" i="45"/>
  <c r="J38" i="45"/>
  <c r="K38" i="45"/>
  <c r="L38" i="45"/>
  <c r="M38" i="45"/>
  <c r="N38" i="45"/>
  <c r="O38" i="45"/>
  <c r="P38" i="45"/>
  <c r="Q38" i="45"/>
  <c r="R38" i="45"/>
  <c r="S38" i="45"/>
  <c r="T38" i="45"/>
  <c r="U38" i="45"/>
  <c r="E39" i="45"/>
  <c r="F39" i="45"/>
  <c r="G39" i="45"/>
  <c r="H39" i="45"/>
  <c r="I39" i="45"/>
  <c r="J39" i="45"/>
  <c r="K39" i="45"/>
  <c r="L39" i="45"/>
  <c r="M39" i="45"/>
  <c r="N39" i="45"/>
  <c r="O39" i="45"/>
  <c r="P39" i="45"/>
  <c r="Q39" i="45"/>
  <c r="R39" i="45"/>
  <c r="S39" i="45"/>
  <c r="T39" i="45"/>
  <c r="U39" i="45"/>
  <c r="V39" i="45"/>
  <c r="E40" i="45"/>
  <c r="F40" i="45"/>
  <c r="G40" i="45"/>
  <c r="H40" i="45"/>
  <c r="I40" i="45"/>
  <c r="J40" i="45"/>
  <c r="K40" i="45"/>
  <c r="L40" i="45"/>
  <c r="M40" i="45"/>
  <c r="N40" i="45"/>
  <c r="O40" i="45"/>
  <c r="P40" i="45"/>
  <c r="Q40" i="45"/>
  <c r="R40" i="45"/>
  <c r="S40" i="45"/>
  <c r="T40" i="45"/>
  <c r="U40" i="45"/>
  <c r="V40" i="45"/>
  <c r="E41" i="45"/>
  <c r="F41" i="45"/>
  <c r="G41" i="45"/>
  <c r="H41" i="45"/>
  <c r="I41" i="45"/>
  <c r="J41" i="45"/>
  <c r="K41" i="45"/>
  <c r="L41" i="45"/>
  <c r="M41" i="45"/>
  <c r="N41" i="45"/>
  <c r="O41" i="45"/>
  <c r="P41" i="45"/>
  <c r="Q41" i="45"/>
  <c r="R41" i="45"/>
  <c r="S41" i="45"/>
  <c r="T41" i="45"/>
  <c r="U41" i="45"/>
  <c r="E42" i="45"/>
  <c r="F42" i="45"/>
  <c r="G42" i="45"/>
  <c r="H42" i="45"/>
  <c r="I42" i="45"/>
  <c r="J42" i="45"/>
  <c r="K42" i="45"/>
  <c r="L42" i="45"/>
  <c r="M42" i="45"/>
  <c r="N42" i="45"/>
  <c r="O42" i="45"/>
  <c r="P42" i="45"/>
  <c r="Q42" i="45"/>
  <c r="R42" i="45"/>
  <c r="S42" i="45"/>
  <c r="T42" i="45"/>
  <c r="U42" i="45"/>
  <c r="E43" i="45"/>
  <c r="F43" i="45"/>
  <c r="G43" i="45"/>
  <c r="H43" i="45"/>
  <c r="I43" i="45"/>
  <c r="J43" i="45"/>
  <c r="K43" i="45"/>
  <c r="L43" i="45"/>
  <c r="M43" i="45"/>
  <c r="N43" i="45"/>
  <c r="O43" i="45"/>
  <c r="P43" i="45"/>
  <c r="Q43" i="45"/>
  <c r="R43" i="45"/>
  <c r="S43" i="45"/>
  <c r="T43" i="45"/>
  <c r="U43" i="45"/>
  <c r="D38" i="45"/>
  <c r="D39" i="45"/>
  <c r="D40" i="45"/>
  <c r="D41" i="45"/>
  <c r="D42" i="45"/>
  <c r="D43" i="45"/>
  <c r="D37" i="45"/>
  <c r="E22" i="45"/>
  <c r="F22" i="45"/>
  <c r="G22" i="45"/>
  <c r="H22" i="45"/>
  <c r="I22" i="45"/>
  <c r="J22" i="45"/>
  <c r="K22" i="45"/>
  <c r="L22" i="45"/>
  <c r="M22" i="45"/>
  <c r="N22" i="45"/>
  <c r="O22" i="45"/>
  <c r="P22" i="45"/>
  <c r="Q22" i="45"/>
  <c r="R22" i="45"/>
  <c r="S22" i="45"/>
  <c r="T22" i="45"/>
  <c r="U22" i="45"/>
  <c r="E23" i="45"/>
  <c r="F23" i="45"/>
  <c r="G23" i="45"/>
  <c r="H23" i="45"/>
  <c r="I23" i="45"/>
  <c r="J23" i="45"/>
  <c r="K23" i="45"/>
  <c r="L23" i="45"/>
  <c r="M23" i="45"/>
  <c r="N23" i="45"/>
  <c r="O23" i="45"/>
  <c r="P23" i="45"/>
  <c r="Q23" i="45"/>
  <c r="R23" i="45"/>
  <c r="S23" i="45"/>
  <c r="T23" i="45"/>
  <c r="U23" i="45"/>
  <c r="V23" i="45"/>
  <c r="E24" i="45"/>
  <c r="F24" i="45"/>
  <c r="G24" i="45"/>
  <c r="H24" i="45"/>
  <c r="I24" i="45"/>
  <c r="J24" i="45"/>
  <c r="K24" i="45"/>
  <c r="L24" i="45"/>
  <c r="M24" i="45"/>
  <c r="N24" i="45"/>
  <c r="O24" i="45"/>
  <c r="P24" i="45"/>
  <c r="Q24" i="45"/>
  <c r="R24" i="45"/>
  <c r="S24" i="45"/>
  <c r="T24" i="45"/>
  <c r="U24" i="45"/>
  <c r="V24" i="45"/>
  <c r="E25" i="45"/>
  <c r="F25" i="45"/>
  <c r="G25" i="45"/>
  <c r="H25" i="45"/>
  <c r="I25" i="45"/>
  <c r="J25" i="45"/>
  <c r="K25" i="45"/>
  <c r="L25" i="45"/>
  <c r="M25" i="45"/>
  <c r="N25" i="45"/>
  <c r="O25" i="45"/>
  <c r="P25" i="45"/>
  <c r="Q25" i="45"/>
  <c r="R25" i="45"/>
  <c r="S25" i="45"/>
  <c r="T25" i="45"/>
  <c r="U25" i="45"/>
  <c r="V25" i="45"/>
  <c r="W25" i="45"/>
  <c r="X25" i="45"/>
  <c r="Y25" i="45"/>
  <c r="Z25" i="45"/>
  <c r="AA25" i="45"/>
  <c r="AB25" i="45"/>
  <c r="AC25" i="45"/>
  <c r="AD25" i="45"/>
  <c r="AE25" i="45"/>
  <c r="AF25" i="45"/>
  <c r="AG25" i="45"/>
  <c r="AH25" i="45"/>
  <c r="AI25" i="45"/>
  <c r="AJ25" i="45"/>
  <c r="AK25" i="45"/>
  <c r="AL25" i="45"/>
  <c r="AM25" i="45"/>
  <c r="AN25" i="45"/>
  <c r="AO25" i="45"/>
  <c r="AP25" i="45"/>
  <c r="AQ25" i="45"/>
  <c r="AR25" i="45"/>
  <c r="AS25" i="45"/>
  <c r="AT25" i="45"/>
  <c r="AU25" i="45"/>
  <c r="AV25" i="45"/>
  <c r="E26" i="45"/>
  <c r="F26" i="45"/>
  <c r="G26" i="45"/>
  <c r="H26" i="45"/>
  <c r="I26" i="45"/>
  <c r="J26" i="45"/>
  <c r="K26" i="45"/>
  <c r="L26" i="45"/>
  <c r="M26" i="45"/>
  <c r="N26" i="45"/>
  <c r="O26" i="45"/>
  <c r="P26" i="45"/>
  <c r="Q26" i="45"/>
  <c r="R26" i="45"/>
  <c r="S26" i="45"/>
  <c r="T26" i="45"/>
  <c r="U26" i="45"/>
  <c r="V26" i="45"/>
  <c r="E27" i="45"/>
  <c r="F27" i="45"/>
  <c r="G27" i="45"/>
  <c r="H27" i="45"/>
  <c r="I27" i="45"/>
  <c r="J27" i="45"/>
  <c r="K27" i="45"/>
  <c r="L27" i="45"/>
  <c r="M27" i="45"/>
  <c r="N27" i="45"/>
  <c r="O27" i="45"/>
  <c r="P27" i="45"/>
  <c r="Q27" i="45"/>
  <c r="R27" i="45"/>
  <c r="S27" i="45"/>
  <c r="T27" i="45"/>
  <c r="U27" i="45"/>
  <c r="V27" i="45"/>
  <c r="E28" i="45"/>
  <c r="F28" i="45"/>
  <c r="G28" i="45"/>
  <c r="H28" i="45"/>
  <c r="I28" i="45"/>
  <c r="J28" i="45"/>
  <c r="K28" i="45"/>
  <c r="L28" i="45"/>
  <c r="M28" i="45"/>
  <c r="N28" i="45"/>
  <c r="O28" i="45"/>
  <c r="P28" i="45"/>
  <c r="Q28" i="45"/>
  <c r="R28" i="45"/>
  <c r="S28" i="45"/>
  <c r="T28" i="45"/>
  <c r="U28" i="45"/>
  <c r="V28" i="45"/>
  <c r="E29" i="45"/>
  <c r="F29" i="45"/>
  <c r="G29" i="45"/>
  <c r="H29" i="45"/>
  <c r="I29" i="45"/>
  <c r="J29" i="45"/>
  <c r="K29" i="45"/>
  <c r="L29" i="45"/>
  <c r="M29" i="45"/>
  <c r="N29" i="45"/>
  <c r="O29" i="45"/>
  <c r="P29" i="45"/>
  <c r="Q29" i="45"/>
  <c r="R29" i="45"/>
  <c r="S29" i="45"/>
  <c r="T29" i="45"/>
  <c r="U29" i="45"/>
  <c r="V29" i="45"/>
  <c r="W29" i="45"/>
  <c r="X29" i="45"/>
  <c r="Y29" i="45"/>
  <c r="Z29" i="45"/>
  <c r="AA29" i="45"/>
  <c r="AB29" i="45"/>
  <c r="AC29" i="45"/>
  <c r="AD29" i="45"/>
  <c r="AE29" i="45"/>
  <c r="AF29" i="45"/>
  <c r="AG29" i="45"/>
  <c r="AH29" i="45"/>
  <c r="AI29" i="45"/>
  <c r="AJ29" i="45"/>
  <c r="AK29" i="45"/>
  <c r="AL29" i="45"/>
  <c r="AM29" i="45"/>
  <c r="AN29" i="45"/>
  <c r="AO29" i="45"/>
  <c r="AP29" i="45"/>
  <c r="AQ29" i="45"/>
  <c r="AR29" i="45"/>
  <c r="AS29" i="45"/>
  <c r="AT29" i="45"/>
  <c r="AU29" i="45"/>
  <c r="AV29" i="45"/>
  <c r="E30" i="45"/>
  <c r="F30" i="45"/>
  <c r="G30" i="45"/>
  <c r="H30" i="45"/>
  <c r="I30" i="45"/>
  <c r="J30" i="45"/>
  <c r="K30" i="45"/>
  <c r="L30" i="45"/>
  <c r="M30" i="45"/>
  <c r="N30" i="45"/>
  <c r="O30" i="45"/>
  <c r="P30" i="45"/>
  <c r="Q30" i="45"/>
  <c r="R30" i="45"/>
  <c r="S30" i="45"/>
  <c r="T30" i="45"/>
  <c r="U30" i="45"/>
  <c r="E31" i="45"/>
  <c r="F31" i="45"/>
  <c r="G31" i="45"/>
  <c r="H31" i="45"/>
  <c r="I31" i="45"/>
  <c r="J31" i="45"/>
  <c r="K31" i="45"/>
  <c r="L31" i="45"/>
  <c r="M31" i="45"/>
  <c r="N31" i="45"/>
  <c r="O31" i="45"/>
  <c r="P31" i="45"/>
  <c r="Q31" i="45"/>
  <c r="R31" i="45"/>
  <c r="S31" i="45"/>
  <c r="T31" i="45"/>
  <c r="U31" i="45"/>
  <c r="V31" i="45"/>
  <c r="E32" i="45"/>
  <c r="F32" i="45"/>
  <c r="G32" i="45"/>
  <c r="H32" i="45"/>
  <c r="I32" i="45"/>
  <c r="J32" i="45"/>
  <c r="K32" i="45"/>
  <c r="L32" i="45"/>
  <c r="M32" i="45"/>
  <c r="N32" i="45"/>
  <c r="O32" i="45"/>
  <c r="P32" i="45"/>
  <c r="Q32" i="45"/>
  <c r="R32" i="45"/>
  <c r="S32" i="45"/>
  <c r="T32" i="45"/>
  <c r="U32" i="45"/>
  <c r="V32" i="45"/>
  <c r="E33" i="45"/>
  <c r="F33" i="45"/>
  <c r="G33" i="45"/>
  <c r="H33" i="45"/>
  <c r="I33" i="45"/>
  <c r="J33" i="45"/>
  <c r="K33" i="45"/>
  <c r="L33" i="45"/>
  <c r="M33" i="45"/>
  <c r="N33" i="45"/>
  <c r="O33" i="45"/>
  <c r="P33" i="45"/>
  <c r="Q33" i="45"/>
  <c r="R33" i="45"/>
  <c r="S33" i="45"/>
  <c r="T33" i="45"/>
  <c r="U33" i="45"/>
  <c r="V33" i="45"/>
  <c r="E34" i="45"/>
  <c r="F34" i="45"/>
  <c r="G34" i="45"/>
  <c r="H34" i="45"/>
  <c r="I34" i="45"/>
  <c r="J34" i="45"/>
  <c r="K34" i="45"/>
  <c r="L34" i="45"/>
  <c r="M34" i="45"/>
  <c r="N34" i="45"/>
  <c r="O34" i="45"/>
  <c r="P34" i="45"/>
  <c r="Q34" i="45"/>
  <c r="R34" i="45"/>
  <c r="S34" i="45"/>
  <c r="T34" i="45"/>
  <c r="U34" i="45"/>
  <c r="V34" i="45"/>
  <c r="E35" i="45"/>
  <c r="F35" i="45"/>
  <c r="G35" i="45"/>
  <c r="H35" i="45"/>
  <c r="I35" i="45"/>
  <c r="J35" i="45"/>
  <c r="K35" i="45"/>
  <c r="L35" i="45"/>
  <c r="M35" i="45"/>
  <c r="N35" i="45"/>
  <c r="O35" i="45"/>
  <c r="P35" i="45"/>
  <c r="Q35" i="45"/>
  <c r="R35" i="45"/>
  <c r="S35" i="45"/>
  <c r="T35" i="45"/>
  <c r="U35" i="45"/>
  <c r="D23" i="45"/>
  <c r="D24" i="45"/>
  <c r="D25" i="45"/>
  <c r="D26" i="45"/>
  <c r="D27" i="45"/>
  <c r="D28" i="45"/>
  <c r="D29" i="45"/>
  <c r="D30" i="45"/>
  <c r="D31" i="45"/>
  <c r="D32" i="45"/>
  <c r="D33" i="45"/>
  <c r="D34" i="45"/>
  <c r="D35" i="45"/>
  <c r="D22" i="45"/>
  <c r="E6" i="45"/>
  <c r="F6" i="45"/>
  <c r="G6" i="45"/>
  <c r="H6" i="45"/>
  <c r="I6" i="45"/>
  <c r="J6" i="45"/>
  <c r="K6" i="45"/>
  <c r="L6" i="45"/>
  <c r="M6" i="45"/>
  <c r="N6" i="45"/>
  <c r="O6" i="45"/>
  <c r="P6" i="45"/>
  <c r="Q6" i="45"/>
  <c r="R6" i="45"/>
  <c r="S6" i="45"/>
  <c r="T6" i="45"/>
  <c r="U6" i="45"/>
  <c r="E7" i="45"/>
  <c r="F7" i="45"/>
  <c r="G7" i="45"/>
  <c r="H7" i="45"/>
  <c r="I7" i="45"/>
  <c r="J7" i="45"/>
  <c r="K7" i="45"/>
  <c r="L7" i="45"/>
  <c r="M7" i="45"/>
  <c r="N7" i="45"/>
  <c r="O7" i="45"/>
  <c r="P7" i="45"/>
  <c r="Q7" i="45"/>
  <c r="R7" i="45"/>
  <c r="S7" i="45"/>
  <c r="T7" i="45"/>
  <c r="U7" i="45"/>
  <c r="E8" i="45"/>
  <c r="F8" i="45"/>
  <c r="G8" i="45"/>
  <c r="H8" i="45"/>
  <c r="I8" i="45"/>
  <c r="J8" i="45"/>
  <c r="K8" i="45"/>
  <c r="L8" i="45"/>
  <c r="M8" i="45"/>
  <c r="N8" i="45"/>
  <c r="O8" i="45"/>
  <c r="P8" i="45"/>
  <c r="Q8" i="45"/>
  <c r="R8" i="45"/>
  <c r="S8" i="45"/>
  <c r="T8" i="45"/>
  <c r="U8" i="45"/>
  <c r="E9" i="45"/>
  <c r="F9" i="45"/>
  <c r="G9" i="45"/>
  <c r="H9" i="45"/>
  <c r="I9" i="45"/>
  <c r="J9" i="45"/>
  <c r="K9" i="45"/>
  <c r="L9" i="45"/>
  <c r="M9" i="45"/>
  <c r="N9" i="45"/>
  <c r="O9" i="45"/>
  <c r="P9" i="45"/>
  <c r="Q9" i="45"/>
  <c r="R9" i="45"/>
  <c r="S9" i="45"/>
  <c r="T9" i="45"/>
  <c r="U9" i="45"/>
  <c r="E10" i="45"/>
  <c r="F10" i="45"/>
  <c r="G10" i="45"/>
  <c r="H10" i="45"/>
  <c r="I10" i="45"/>
  <c r="J10" i="45"/>
  <c r="K10" i="45"/>
  <c r="L10" i="45"/>
  <c r="M10" i="45"/>
  <c r="N10" i="45"/>
  <c r="O10" i="45"/>
  <c r="P10" i="45"/>
  <c r="Q10" i="45"/>
  <c r="R10" i="45"/>
  <c r="S10" i="45"/>
  <c r="T10" i="45"/>
  <c r="U10" i="45"/>
  <c r="V10" i="45"/>
  <c r="E11" i="45"/>
  <c r="F11" i="45"/>
  <c r="G11" i="45"/>
  <c r="H11" i="45"/>
  <c r="I11" i="45"/>
  <c r="J11" i="45"/>
  <c r="K11" i="45"/>
  <c r="L11" i="45"/>
  <c r="M11" i="45"/>
  <c r="N11" i="45"/>
  <c r="O11" i="45"/>
  <c r="P11" i="45"/>
  <c r="Q11" i="45"/>
  <c r="R11" i="45"/>
  <c r="S11" i="45"/>
  <c r="T11" i="45"/>
  <c r="U11" i="45"/>
  <c r="E12" i="45"/>
  <c r="F12" i="45"/>
  <c r="G12" i="45"/>
  <c r="H12" i="45"/>
  <c r="I12" i="45"/>
  <c r="J12" i="45"/>
  <c r="K12" i="45"/>
  <c r="L12" i="45"/>
  <c r="M12" i="45"/>
  <c r="N12" i="45"/>
  <c r="O12" i="45"/>
  <c r="P12" i="45"/>
  <c r="Q12" i="45"/>
  <c r="R12" i="45"/>
  <c r="S12" i="45"/>
  <c r="T12" i="45"/>
  <c r="U12" i="45"/>
  <c r="E13" i="45"/>
  <c r="F13" i="45"/>
  <c r="G13" i="45"/>
  <c r="H13" i="45"/>
  <c r="I13" i="45"/>
  <c r="J13" i="45"/>
  <c r="K13" i="45"/>
  <c r="L13" i="45"/>
  <c r="M13" i="45"/>
  <c r="N13" i="45"/>
  <c r="O13" i="45"/>
  <c r="P13" i="45"/>
  <c r="Q13" i="45"/>
  <c r="R13" i="45"/>
  <c r="S13" i="45"/>
  <c r="T13" i="45"/>
  <c r="U13" i="45"/>
  <c r="V13" i="45"/>
  <c r="E14" i="45"/>
  <c r="F14" i="45"/>
  <c r="G14" i="45"/>
  <c r="H14" i="45"/>
  <c r="I14" i="45"/>
  <c r="J14" i="45"/>
  <c r="K14" i="45"/>
  <c r="L14" i="45"/>
  <c r="M14" i="45"/>
  <c r="N14" i="45"/>
  <c r="O14" i="45"/>
  <c r="P14" i="45"/>
  <c r="Q14" i="45"/>
  <c r="R14" i="45"/>
  <c r="S14" i="45"/>
  <c r="T14" i="45"/>
  <c r="U14" i="45"/>
  <c r="E15" i="45"/>
  <c r="F15" i="45"/>
  <c r="G15" i="45"/>
  <c r="H15" i="45"/>
  <c r="I15" i="45"/>
  <c r="J15" i="45"/>
  <c r="K15" i="45"/>
  <c r="L15" i="45"/>
  <c r="M15" i="45"/>
  <c r="N15" i="45"/>
  <c r="O15" i="45"/>
  <c r="P15" i="45"/>
  <c r="Q15" i="45"/>
  <c r="R15" i="45"/>
  <c r="S15" i="45"/>
  <c r="T15" i="45"/>
  <c r="U15" i="45"/>
  <c r="V15" i="45"/>
  <c r="E16" i="45"/>
  <c r="F16" i="45"/>
  <c r="G16" i="45"/>
  <c r="H16" i="45"/>
  <c r="I16" i="45"/>
  <c r="J16" i="45"/>
  <c r="K16" i="45"/>
  <c r="L16" i="45"/>
  <c r="M16" i="45"/>
  <c r="N16" i="45"/>
  <c r="O16" i="45"/>
  <c r="P16" i="45"/>
  <c r="Q16" i="45"/>
  <c r="R16" i="45"/>
  <c r="S16" i="45"/>
  <c r="T16" i="45"/>
  <c r="U16" i="45"/>
  <c r="V16" i="45"/>
  <c r="E17" i="45"/>
  <c r="F17" i="45"/>
  <c r="G17" i="45"/>
  <c r="H17" i="45"/>
  <c r="I17" i="45"/>
  <c r="J17" i="45"/>
  <c r="K17" i="45"/>
  <c r="L17" i="45"/>
  <c r="M17" i="45"/>
  <c r="N17" i="45"/>
  <c r="O17" i="45"/>
  <c r="P17" i="45"/>
  <c r="Q17" i="45"/>
  <c r="R17" i="45"/>
  <c r="S17" i="45"/>
  <c r="T17" i="45"/>
  <c r="U17" i="45"/>
  <c r="E18" i="45"/>
  <c r="F18" i="45"/>
  <c r="G18" i="45"/>
  <c r="H18" i="45"/>
  <c r="I18" i="45"/>
  <c r="J18" i="45"/>
  <c r="K18" i="45"/>
  <c r="L18" i="45"/>
  <c r="M18" i="45"/>
  <c r="N18" i="45"/>
  <c r="O18" i="45"/>
  <c r="P18" i="45"/>
  <c r="Q18" i="45"/>
  <c r="R18" i="45"/>
  <c r="S18" i="45"/>
  <c r="T18" i="45"/>
  <c r="U18" i="45"/>
  <c r="V18" i="45"/>
  <c r="E19" i="45"/>
  <c r="F19" i="45"/>
  <c r="G19" i="45"/>
  <c r="H19" i="45"/>
  <c r="I19" i="45"/>
  <c r="J19" i="45"/>
  <c r="K19" i="45"/>
  <c r="L19" i="45"/>
  <c r="M19" i="45"/>
  <c r="N19" i="45"/>
  <c r="O19" i="45"/>
  <c r="P19" i="45"/>
  <c r="Q19" i="45"/>
  <c r="R19" i="45"/>
  <c r="S19" i="45"/>
  <c r="T19" i="45"/>
  <c r="U19" i="45"/>
  <c r="V19" i="45"/>
  <c r="E20" i="45"/>
  <c r="F20" i="45"/>
  <c r="G20" i="45"/>
  <c r="H20" i="45"/>
  <c r="I20" i="45"/>
  <c r="J20" i="45"/>
  <c r="K20" i="45"/>
  <c r="L20" i="45"/>
  <c r="M20" i="45"/>
  <c r="N20" i="45"/>
  <c r="O20" i="45"/>
  <c r="P20" i="45"/>
  <c r="Q20" i="45"/>
  <c r="R20" i="45"/>
  <c r="S20" i="45"/>
  <c r="T20" i="45"/>
  <c r="U20" i="45"/>
  <c r="D7" i="45"/>
  <c r="D8" i="45"/>
  <c r="D9" i="45"/>
  <c r="D10" i="45"/>
  <c r="D11" i="45"/>
  <c r="D12" i="45"/>
  <c r="D13" i="45"/>
  <c r="D14" i="45"/>
  <c r="D15" i="45"/>
  <c r="D16" i="45"/>
  <c r="D17" i="45"/>
  <c r="D18" i="45"/>
  <c r="D19" i="45"/>
  <c r="D20" i="45"/>
  <c r="D6" i="45"/>
  <c r="E163" i="44"/>
  <c r="F163" i="44"/>
  <c r="G163" i="44"/>
  <c r="H163" i="44"/>
  <c r="I163" i="44"/>
  <c r="J163" i="44"/>
  <c r="K163" i="44"/>
  <c r="L163" i="44"/>
  <c r="M163" i="44"/>
  <c r="N163" i="44"/>
  <c r="O163" i="44"/>
  <c r="P163" i="44"/>
  <c r="Q163" i="44"/>
  <c r="R163" i="44"/>
  <c r="S163" i="44"/>
  <c r="T163" i="44"/>
  <c r="U163" i="44"/>
  <c r="V163" i="44"/>
  <c r="W163" i="44"/>
  <c r="X163" i="44"/>
  <c r="Y163" i="44"/>
  <c r="AB163" i="44"/>
  <c r="AG163" i="44"/>
  <c r="AL163" i="44"/>
  <c r="AQ163" i="44"/>
  <c r="AV163" i="44"/>
  <c r="E164" i="44"/>
  <c r="F164" i="44"/>
  <c r="G164" i="44"/>
  <c r="H164" i="44"/>
  <c r="I164" i="44"/>
  <c r="J164" i="44"/>
  <c r="K164" i="44"/>
  <c r="L164" i="44"/>
  <c r="M164" i="44"/>
  <c r="N164" i="44"/>
  <c r="O164" i="44"/>
  <c r="P164" i="44"/>
  <c r="Q164" i="44"/>
  <c r="R164" i="44"/>
  <c r="S164" i="44"/>
  <c r="T164" i="44"/>
  <c r="U164" i="44"/>
  <c r="V164" i="44"/>
  <c r="W164" i="44"/>
  <c r="X164" i="44"/>
  <c r="Y164" i="44"/>
  <c r="Z164" i="44"/>
  <c r="AA164" i="44"/>
  <c r="AB164" i="44"/>
  <c r="AC164" i="44"/>
  <c r="AD164" i="44"/>
  <c r="AE164" i="44"/>
  <c r="AF164" i="44"/>
  <c r="AG164" i="44"/>
  <c r="AH164" i="44"/>
  <c r="AI164" i="44"/>
  <c r="AJ164" i="44"/>
  <c r="AK164" i="44"/>
  <c r="AL164" i="44"/>
  <c r="AM164" i="44"/>
  <c r="AN164" i="44"/>
  <c r="AO164" i="44"/>
  <c r="AP164" i="44"/>
  <c r="AQ164" i="44"/>
  <c r="AR164" i="44"/>
  <c r="AS164" i="44"/>
  <c r="AT164" i="44"/>
  <c r="AU164" i="44"/>
  <c r="AV164" i="44"/>
  <c r="E165" i="44"/>
  <c r="F165" i="44"/>
  <c r="G165" i="44"/>
  <c r="H165" i="44"/>
  <c r="I165" i="44"/>
  <c r="J165" i="44"/>
  <c r="K165" i="44"/>
  <c r="L165" i="44"/>
  <c r="M165" i="44"/>
  <c r="N165" i="44"/>
  <c r="O165" i="44"/>
  <c r="P165" i="44"/>
  <c r="Q165" i="44"/>
  <c r="R165" i="44"/>
  <c r="S165" i="44"/>
  <c r="T165" i="44"/>
  <c r="U165" i="44"/>
  <c r="V165" i="44"/>
  <c r="W165" i="44"/>
  <c r="AB165" i="44"/>
  <c r="AG165" i="44"/>
  <c r="AL165" i="44"/>
  <c r="AQ165" i="44"/>
  <c r="AV165" i="44"/>
  <c r="E166" i="44"/>
  <c r="F166" i="44"/>
  <c r="G166" i="44"/>
  <c r="H166" i="44"/>
  <c r="I166" i="44"/>
  <c r="J166" i="44"/>
  <c r="K166" i="44"/>
  <c r="L166" i="44"/>
  <c r="M166" i="44"/>
  <c r="N166" i="44"/>
  <c r="O166" i="44"/>
  <c r="P166" i="44"/>
  <c r="Q166" i="44"/>
  <c r="R166" i="44"/>
  <c r="S166" i="44"/>
  <c r="T166" i="44"/>
  <c r="U166" i="44"/>
  <c r="V166" i="44"/>
  <c r="W166" i="44"/>
  <c r="X166" i="44"/>
  <c r="Y166" i="44"/>
  <c r="Z166" i="44"/>
  <c r="AA166" i="44"/>
  <c r="AB166" i="44"/>
  <c r="AC166" i="44"/>
  <c r="AD166" i="44"/>
  <c r="AE166" i="44"/>
  <c r="AF166" i="44"/>
  <c r="AG166" i="44"/>
  <c r="AH166" i="44"/>
  <c r="AI166" i="44"/>
  <c r="AJ166" i="44"/>
  <c r="AK166" i="44"/>
  <c r="AL166" i="44"/>
  <c r="AM166" i="44"/>
  <c r="AN166" i="44"/>
  <c r="AO166" i="44"/>
  <c r="AP166" i="44"/>
  <c r="AQ166" i="44"/>
  <c r="AR166" i="44"/>
  <c r="AS166" i="44"/>
  <c r="AT166" i="44"/>
  <c r="AU166" i="44"/>
  <c r="AV166" i="44"/>
  <c r="E167" i="44"/>
  <c r="F167" i="44"/>
  <c r="G167" i="44"/>
  <c r="H167" i="44"/>
  <c r="I167" i="44"/>
  <c r="J167" i="44"/>
  <c r="K167" i="44"/>
  <c r="L167" i="44"/>
  <c r="M167" i="44"/>
  <c r="N167" i="44"/>
  <c r="O167" i="44"/>
  <c r="P167" i="44"/>
  <c r="Q167" i="44"/>
  <c r="R167" i="44"/>
  <c r="S167" i="44"/>
  <c r="T167" i="44"/>
  <c r="U167" i="44"/>
  <c r="V167" i="44"/>
  <c r="W167" i="44"/>
  <c r="X167" i="44"/>
  <c r="Y167" i="44"/>
  <c r="AB167" i="44"/>
  <c r="AD167" i="44"/>
  <c r="AE167" i="44"/>
  <c r="AF167" i="44"/>
  <c r="AG167" i="44"/>
  <c r="AH167" i="44"/>
  <c r="AI167" i="44"/>
  <c r="AJ167" i="44"/>
  <c r="AK167" i="44"/>
  <c r="AL167" i="44"/>
  <c r="AM167" i="44"/>
  <c r="AN167" i="44"/>
  <c r="AO167" i="44"/>
  <c r="AP167" i="44"/>
  <c r="AQ167" i="44"/>
  <c r="AR167" i="44"/>
  <c r="AS167" i="44"/>
  <c r="AT167" i="44"/>
  <c r="AU167" i="44"/>
  <c r="AV167" i="44"/>
  <c r="E168" i="44"/>
  <c r="F168" i="44"/>
  <c r="G168" i="44"/>
  <c r="H168" i="44"/>
  <c r="I168" i="44"/>
  <c r="J168" i="44"/>
  <c r="K168" i="44"/>
  <c r="L168" i="44"/>
  <c r="M168" i="44"/>
  <c r="N168" i="44"/>
  <c r="O168" i="44"/>
  <c r="P168" i="44"/>
  <c r="Q168" i="44"/>
  <c r="R168" i="44"/>
  <c r="S168" i="44"/>
  <c r="T168" i="44"/>
  <c r="U168" i="44"/>
  <c r="W168" i="44"/>
  <c r="AB168" i="44"/>
  <c r="AG168" i="44"/>
  <c r="AL168" i="44"/>
  <c r="AQ168" i="44"/>
  <c r="AV168" i="44"/>
  <c r="E169" i="44"/>
  <c r="F169" i="44"/>
  <c r="G169" i="44"/>
  <c r="H169" i="44"/>
  <c r="I169" i="44"/>
  <c r="J169" i="44"/>
  <c r="K169" i="44"/>
  <c r="L169" i="44"/>
  <c r="M169" i="44"/>
  <c r="N169" i="44"/>
  <c r="O169" i="44"/>
  <c r="P169" i="44"/>
  <c r="Q169" i="44"/>
  <c r="R169" i="44"/>
  <c r="S169" i="44"/>
  <c r="T169" i="44"/>
  <c r="U169" i="44"/>
  <c r="V169" i="44"/>
  <c r="W169" i="44"/>
  <c r="X169" i="44"/>
  <c r="Y169" i="44"/>
  <c r="Z169" i="44"/>
  <c r="AA169" i="44"/>
  <c r="AB169" i="44"/>
  <c r="AC169" i="44"/>
  <c r="AD169" i="44"/>
  <c r="AE169" i="44"/>
  <c r="AF169" i="44"/>
  <c r="AG169" i="44"/>
  <c r="AH169" i="44"/>
  <c r="AI169" i="44"/>
  <c r="AJ169" i="44"/>
  <c r="AK169" i="44"/>
  <c r="AL169" i="44"/>
  <c r="AM169" i="44"/>
  <c r="AN169" i="44"/>
  <c r="AO169" i="44"/>
  <c r="AP169" i="44"/>
  <c r="AQ169" i="44"/>
  <c r="AR169" i="44"/>
  <c r="AS169" i="44"/>
  <c r="AT169" i="44"/>
  <c r="AU169" i="44"/>
  <c r="AV169" i="44"/>
  <c r="E170" i="44"/>
  <c r="F170" i="44"/>
  <c r="G170" i="44"/>
  <c r="H170" i="44"/>
  <c r="I170" i="44"/>
  <c r="J170" i="44"/>
  <c r="K170" i="44"/>
  <c r="L170" i="44"/>
  <c r="M170" i="44"/>
  <c r="N170" i="44"/>
  <c r="O170" i="44"/>
  <c r="P170" i="44"/>
  <c r="Q170" i="44"/>
  <c r="R170" i="44"/>
  <c r="S170" i="44"/>
  <c r="T170" i="44"/>
  <c r="U170" i="44"/>
  <c r="W170" i="44"/>
  <c r="AB170" i="44"/>
  <c r="AG170" i="44"/>
  <c r="AL170" i="44"/>
  <c r="AQ170" i="44"/>
  <c r="AV170" i="44"/>
  <c r="E171" i="44"/>
  <c r="F171" i="44"/>
  <c r="G171" i="44"/>
  <c r="H171" i="44"/>
  <c r="I171" i="44"/>
  <c r="J171" i="44"/>
  <c r="K171" i="44"/>
  <c r="L171" i="44"/>
  <c r="M171" i="44"/>
  <c r="N171" i="44"/>
  <c r="O171" i="44"/>
  <c r="P171" i="44"/>
  <c r="Q171" i="44"/>
  <c r="R171" i="44"/>
  <c r="S171" i="44"/>
  <c r="T171" i="44"/>
  <c r="U171" i="44"/>
  <c r="V171" i="44"/>
  <c r="W171" i="44"/>
  <c r="X171" i="44"/>
  <c r="Y171" i="44"/>
  <c r="Z171" i="44"/>
  <c r="AA171" i="44"/>
  <c r="AB171" i="44"/>
  <c r="AC171" i="44"/>
  <c r="AD171" i="44"/>
  <c r="AE171" i="44"/>
  <c r="AF171" i="44"/>
  <c r="AG171" i="44"/>
  <c r="AH171" i="44"/>
  <c r="AI171" i="44"/>
  <c r="AJ171" i="44"/>
  <c r="AK171" i="44"/>
  <c r="AL171" i="44"/>
  <c r="AM171" i="44"/>
  <c r="AN171" i="44"/>
  <c r="AO171" i="44"/>
  <c r="AP171" i="44"/>
  <c r="AQ171" i="44"/>
  <c r="AR171" i="44"/>
  <c r="AS171" i="44"/>
  <c r="AT171" i="44"/>
  <c r="AU171" i="44"/>
  <c r="AV171" i="44"/>
  <c r="E172" i="44"/>
  <c r="F172" i="44"/>
  <c r="G172" i="44"/>
  <c r="H172" i="44"/>
  <c r="I172" i="44"/>
  <c r="J172" i="44"/>
  <c r="K172" i="44"/>
  <c r="L172" i="44"/>
  <c r="M172" i="44"/>
  <c r="N172" i="44"/>
  <c r="O172" i="44"/>
  <c r="P172" i="44"/>
  <c r="Q172" i="44"/>
  <c r="R172" i="44"/>
  <c r="S172" i="44"/>
  <c r="T172" i="44"/>
  <c r="U172" i="44"/>
  <c r="W172" i="44"/>
  <c r="AB172" i="44"/>
  <c r="AG172" i="44"/>
  <c r="AL172" i="44"/>
  <c r="AQ172" i="44"/>
  <c r="AV172" i="44"/>
  <c r="E173" i="44"/>
  <c r="F173" i="44"/>
  <c r="G173" i="44"/>
  <c r="H173" i="44"/>
  <c r="I173" i="44"/>
  <c r="J173" i="44"/>
  <c r="K173" i="44"/>
  <c r="L173" i="44"/>
  <c r="M173" i="44"/>
  <c r="N173" i="44"/>
  <c r="O173" i="44"/>
  <c r="P173" i="44"/>
  <c r="Q173" i="44"/>
  <c r="R173" i="44"/>
  <c r="S173" i="44"/>
  <c r="T173" i="44"/>
  <c r="U173" i="44"/>
  <c r="V173" i="44"/>
  <c r="W173" i="44"/>
  <c r="AB173" i="44"/>
  <c r="AG173" i="44"/>
  <c r="AL173" i="44"/>
  <c r="AQ173" i="44"/>
  <c r="AV173" i="44"/>
  <c r="D164" i="44"/>
  <c r="D165" i="44"/>
  <c r="D166" i="44"/>
  <c r="D167" i="44"/>
  <c r="D168" i="44"/>
  <c r="D169" i="44"/>
  <c r="D170" i="44"/>
  <c r="D171" i="44"/>
  <c r="D172" i="44"/>
  <c r="D173" i="44"/>
  <c r="D163" i="44"/>
  <c r="E151" i="44"/>
  <c r="F151" i="44"/>
  <c r="G151" i="44"/>
  <c r="H151" i="44"/>
  <c r="I151" i="44"/>
  <c r="J151" i="44"/>
  <c r="K151" i="44"/>
  <c r="L151" i="44"/>
  <c r="M151" i="44"/>
  <c r="N151" i="44"/>
  <c r="O151" i="44"/>
  <c r="P151" i="44"/>
  <c r="Q151" i="44"/>
  <c r="R151" i="44"/>
  <c r="S151" i="44"/>
  <c r="T151" i="44"/>
  <c r="U151" i="44"/>
  <c r="V151" i="44"/>
  <c r="W151" i="44"/>
  <c r="X151" i="44"/>
  <c r="Y151" i="44"/>
  <c r="Z151" i="44"/>
  <c r="AA151" i="44"/>
  <c r="AB151" i="44"/>
  <c r="AC151" i="44"/>
  <c r="AD151" i="44"/>
  <c r="AE151" i="44"/>
  <c r="AF151" i="44"/>
  <c r="AG151" i="44"/>
  <c r="AH151" i="44"/>
  <c r="AI151" i="44"/>
  <c r="AJ151" i="44"/>
  <c r="AK151" i="44"/>
  <c r="AL151" i="44"/>
  <c r="AM151" i="44"/>
  <c r="AN151" i="44"/>
  <c r="AO151" i="44"/>
  <c r="AP151" i="44"/>
  <c r="AQ151" i="44"/>
  <c r="AR151" i="44"/>
  <c r="AS151" i="44"/>
  <c r="AT151" i="44"/>
  <c r="AU151" i="44"/>
  <c r="AV151" i="44"/>
  <c r="E152" i="44"/>
  <c r="F152" i="44"/>
  <c r="G152" i="44"/>
  <c r="H152" i="44"/>
  <c r="I152" i="44"/>
  <c r="J152" i="44"/>
  <c r="K152" i="44"/>
  <c r="L152" i="44"/>
  <c r="M152" i="44"/>
  <c r="N152" i="44"/>
  <c r="O152" i="44"/>
  <c r="P152" i="44"/>
  <c r="Q152" i="44"/>
  <c r="R152" i="44"/>
  <c r="S152" i="44"/>
  <c r="T152" i="44"/>
  <c r="U152" i="44"/>
  <c r="V152" i="44"/>
  <c r="W152" i="44"/>
  <c r="X152" i="44"/>
  <c r="Y152" i="44"/>
  <c r="Z152" i="44"/>
  <c r="AA152" i="44"/>
  <c r="AB152" i="44"/>
  <c r="AC152" i="44"/>
  <c r="AD152" i="44"/>
  <c r="AE152" i="44"/>
  <c r="AF152" i="44"/>
  <c r="AG152" i="44"/>
  <c r="AH152" i="44"/>
  <c r="AI152" i="44"/>
  <c r="AJ152" i="44"/>
  <c r="AK152" i="44"/>
  <c r="AL152" i="44"/>
  <c r="AM152" i="44"/>
  <c r="AN152" i="44"/>
  <c r="AO152" i="44"/>
  <c r="AP152" i="44"/>
  <c r="AQ152" i="44"/>
  <c r="AR152" i="44"/>
  <c r="AS152" i="44"/>
  <c r="AT152" i="44"/>
  <c r="AU152" i="44"/>
  <c r="AV152" i="44"/>
  <c r="E153" i="44"/>
  <c r="F153" i="44"/>
  <c r="G153" i="44"/>
  <c r="H153" i="44"/>
  <c r="I153" i="44"/>
  <c r="J153" i="44"/>
  <c r="K153" i="44"/>
  <c r="L153" i="44"/>
  <c r="M153" i="44"/>
  <c r="N153" i="44"/>
  <c r="O153" i="44"/>
  <c r="P153" i="44"/>
  <c r="Q153" i="44"/>
  <c r="R153" i="44"/>
  <c r="S153" i="44"/>
  <c r="T153" i="44"/>
  <c r="U153" i="44"/>
  <c r="V153" i="44"/>
  <c r="W153" i="44"/>
  <c r="X153" i="44"/>
  <c r="Y153" i="44"/>
  <c r="Z153" i="44"/>
  <c r="AA153" i="44"/>
  <c r="AB153" i="44"/>
  <c r="AG153" i="44"/>
  <c r="AL153" i="44"/>
  <c r="AQ153" i="44"/>
  <c r="AV153" i="44"/>
  <c r="E154" i="44"/>
  <c r="F154" i="44"/>
  <c r="G154" i="44"/>
  <c r="H154" i="44"/>
  <c r="I154" i="44"/>
  <c r="J154" i="44"/>
  <c r="K154" i="44"/>
  <c r="L154" i="44"/>
  <c r="M154" i="44"/>
  <c r="N154" i="44"/>
  <c r="O154" i="44"/>
  <c r="P154" i="44"/>
  <c r="Q154" i="44"/>
  <c r="R154" i="44"/>
  <c r="S154" i="44"/>
  <c r="T154" i="44"/>
  <c r="U154" i="44"/>
  <c r="V154" i="44"/>
  <c r="W154" i="44"/>
  <c r="X154" i="44"/>
  <c r="Y154" i="44"/>
  <c r="Z154" i="44"/>
  <c r="AA154" i="44"/>
  <c r="AB154" i="44"/>
  <c r="AC154" i="44"/>
  <c r="AD154" i="44"/>
  <c r="AE154" i="44"/>
  <c r="AF154" i="44"/>
  <c r="AH154" i="44"/>
  <c r="AI154" i="44"/>
  <c r="AJ154" i="44"/>
  <c r="AM154" i="44"/>
  <c r="AN154" i="44"/>
  <c r="AO154" i="44"/>
  <c r="AP154" i="44"/>
  <c r="AQ154" i="44"/>
  <c r="AR154" i="44"/>
  <c r="AS154" i="44"/>
  <c r="AT154" i="44"/>
  <c r="AU154" i="44"/>
  <c r="AV154" i="44"/>
  <c r="E155" i="44"/>
  <c r="F155" i="44"/>
  <c r="G155" i="44"/>
  <c r="H155" i="44"/>
  <c r="I155" i="44"/>
  <c r="J155" i="44"/>
  <c r="K155" i="44"/>
  <c r="L155" i="44"/>
  <c r="M155" i="44"/>
  <c r="N155" i="44"/>
  <c r="O155" i="44"/>
  <c r="P155" i="44"/>
  <c r="Q155" i="44"/>
  <c r="R155" i="44"/>
  <c r="S155" i="44"/>
  <c r="T155" i="44"/>
  <c r="U155" i="44"/>
  <c r="V155" i="44"/>
  <c r="W155" i="44"/>
  <c r="X155" i="44"/>
  <c r="Y155" i="44"/>
  <c r="Z155" i="44"/>
  <c r="AA155" i="44"/>
  <c r="AB155" i="44"/>
  <c r="E156" i="44"/>
  <c r="F156" i="44"/>
  <c r="G156" i="44"/>
  <c r="H156" i="44"/>
  <c r="I156" i="44"/>
  <c r="J156" i="44"/>
  <c r="K156" i="44"/>
  <c r="L156" i="44"/>
  <c r="M156" i="44"/>
  <c r="N156" i="44"/>
  <c r="O156" i="44"/>
  <c r="P156" i="44"/>
  <c r="Q156" i="44"/>
  <c r="R156" i="44"/>
  <c r="S156" i="44"/>
  <c r="T156" i="44"/>
  <c r="U156" i="44"/>
  <c r="V156" i="44"/>
  <c r="W156" i="44"/>
  <c r="X156" i="44"/>
  <c r="Y156" i="44"/>
  <c r="Z156" i="44"/>
  <c r="AA156" i="44"/>
  <c r="AB156" i="44"/>
  <c r="AC156" i="44"/>
  <c r="AD156" i="44"/>
  <c r="AE156" i="44"/>
  <c r="AF156" i="44"/>
  <c r="AG156" i="44"/>
  <c r="AH156" i="44"/>
  <c r="AI156" i="44"/>
  <c r="AJ156" i="44"/>
  <c r="AK156" i="44"/>
  <c r="AL156" i="44"/>
  <c r="AM156" i="44"/>
  <c r="AN156" i="44"/>
  <c r="AO156" i="44"/>
  <c r="AP156" i="44"/>
  <c r="AQ156" i="44"/>
  <c r="AR156" i="44"/>
  <c r="AS156" i="44"/>
  <c r="AT156" i="44"/>
  <c r="AU156" i="44"/>
  <c r="AV156" i="44"/>
  <c r="E157" i="44"/>
  <c r="F157" i="44"/>
  <c r="G157" i="44"/>
  <c r="H157" i="44"/>
  <c r="I157" i="44"/>
  <c r="J157" i="44"/>
  <c r="K157" i="44"/>
  <c r="L157" i="44"/>
  <c r="M157" i="44"/>
  <c r="N157" i="44"/>
  <c r="O157" i="44"/>
  <c r="P157" i="44"/>
  <c r="Q157" i="44"/>
  <c r="R157" i="44"/>
  <c r="S157" i="44"/>
  <c r="T157" i="44"/>
  <c r="U157" i="44"/>
  <c r="V157" i="44"/>
  <c r="W157" i="44"/>
  <c r="X157" i="44"/>
  <c r="Y157" i="44"/>
  <c r="Z157" i="44"/>
  <c r="AA157" i="44"/>
  <c r="AB157" i="44"/>
  <c r="AC157" i="44"/>
  <c r="AD157" i="44"/>
  <c r="AE157" i="44"/>
  <c r="AF157" i="44"/>
  <c r="AG157" i="44"/>
  <c r="AH157" i="44"/>
  <c r="AI157" i="44"/>
  <c r="AJ157" i="44"/>
  <c r="AK157" i="44"/>
  <c r="AL157" i="44"/>
  <c r="AM157" i="44"/>
  <c r="AN157" i="44"/>
  <c r="AO157" i="44"/>
  <c r="AP157" i="44"/>
  <c r="AQ157" i="44"/>
  <c r="AR157" i="44"/>
  <c r="AS157" i="44"/>
  <c r="AT157" i="44"/>
  <c r="AU157" i="44"/>
  <c r="AV157" i="44"/>
  <c r="E158" i="44"/>
  <c r="F158" i="44"/>
  <c r="G158" i="44"/>
  <c r="H158" i="44"/>
  <c r="I158" i="44"/>
  <c r="J158" i="44"/>
  <c r="K158" i="44"/>
  <c r="L158" i="44"/>
  <c r="M158" i="44"/>
  <c r="N158" i="44"/>
  <c r="O158" i="44"/>
  <c r="P158" i="44"/>
  <c r="Q158" i="44"/>
  <c r="R158" i="44"/>
  <c r="S158" i="44"/>
  <c r="T158" i="44"/>
  <c r="U158" i="44"/>
  <c r="V158" i="44"/>
  <c r="W158" i="44"/>
  <c r="X158" i="44"/>
  <c r="Y158" i="44"/>
  <c r="Z158" i="44"/>
  <c r="AA158" i="44"/>
  <c r="AB158" i="44"/>
  <c r="AC158" i="44"/>
  <c r="AD158" i="44"/>
  <c r="AE158" i="44"/>
  <c r="AF158" i="44"/>
  <c r="AG158" i="44"/>
  <c r="AH158" i="44"/>
  <c r="AI158" i="44"/>
  <c r="AJ158" i="44"/>
  <c r="AK158" i="44"/>
  <c r="AL158" i="44"/>
  <c r="AM158" i="44"/>
  <c r="AN158" i="44"/>
  <c r="AO158" i="44"/>
  <c r="AP158" i="44"/>
  <c r="AQ158" i="44"/>
  <c r="AR158" i="44"/>
  <c r="AS158" i="44"/>
  <c r="AT158" i="44"/>
  <c r="AU158" i="44"/>
  <c r="AV158" i="44"/>
  <c r="E159" i="44"/>
  <c r="F159" i="44"/>
  <c r="G159" i="44"/>
  <c r="H159" i="44"/>
  <c r="I159" i="44"/>
  <c r="J159" i="44"/>
  <c r="K159" i="44"/>
  <c r="L159" i="44"/>
  <c r="M159" i="44"/>
  <c r="N159" i="44"/>
  <c r="O159" i="44"/>
  <c r="P159" i="44"/>
  <c r="Q159" i="44"/>
  <c r="R159" i="44"/>
  <c r="S159" i="44"/>
  <c r="T159" i="44"/>
  <c r="U159" i="44"/>
  <c r="V159" i="44"/>
  <c r="W159" i="44"/>
  <c r="X159" i="44"/>
  <c r="Y159" i="44"/>
  <c r="Z159" i="44"/>
  <c r="AA159" i="44"/>
  <c r="AB159" i="44"/>
  <c r="AC159" i="44"/>
  <c r="AD159" i="44"/>
  <c r="AE159" i="44"/>
  <c r="AF159" i="44"/>
  <c r="AG159" i="44"/>
  <c r="AH159" i="44"/>
  <c r="AI159" i="44"/>
  <c r="AJ159" i="44"/>
  <c r="AK159" i="44"/>
  <c r="AL159" i="44"/>
  <c r="AM159" i="44"/>
  <c r="AN159" i="44"/>
  <c r="AO159" i="44"/>
  <c r="AP159" i="44"/>
  <c r="AQ159" i="44"/>
  <c r="AR159" i="44"/>
  <c r="AS159" i="44"/>
  <c r="AT159" i="44"/>
  <c r="AU159" i="44"/>
  <c r="AV159" i="44"/>
  <c r="E160" i="44"/>
  <c r="F160" i="44"/>
  <c r="G160" i="44"/>
  <c r="H160" i="44"/>
  <c r="I160" i="44"/>
  <c r="J160" i="44"/>
  <c r="K160" i="44"/>
  <c r="L160" i="44"/>
  <c r="M160" i="44"/>
  <c r="N160" i="44"/>
  <c r="O160" i="44"/>
  <c r="P160" i="44"/>
  <c r="Q160" i="44"/>
  <c r="R160" i="44"/>
  <c r="S160" i="44"/>
  <c r="T160" i="44"/>
  <c r="U160" i="44"/>
  <c r="V160" i="44"/>
  <c r="W160" i="44"/>
  <c r="X160" i="44"/>
  <c r="Y160" i="44"/>
  <c r="Z160" i="44"/>
  <c r="AA160" i="44"/>
  <c r="AB160" i="44"/>
  <c r="AC160" i="44"/>
  <c r="AD160" i="44"/>
  <c r="AE160" i="44"/>
  <c r="AF160" i="44"/>
  <c r="AG160" i="44"/>
  <c r="AH160" i="44"/>
  <c r="AI160" i="44"/>
  <c r="AJ160" i="44"/>
  <c r="AK160" i="44"/>
  <c r="AL160" i="44"/>
  <c r="AM160" i="44"/>
  <c r="AN160" i="44"/>
  <c r="AO160" i="44"/>
  <c r="AP160" i="44"/>
  <c r="AQ160" i="44"/>
  <c r="AR160" i="44"/>
  <c r="AS160" i="44"/>
  <c r="AT160" i="44"/>
  <c r="AU160" i="44"/>
  <c r="AV160" i="44"/>
  <c r="E161" i="44"/>
  <c r="F161" i="44"/>
  <c r="G161" i="44"/>
  <c r="H161" i="44"/>
  <c r="I161" i="44"/>
  <c r="J161" i="44"/>
  <c r="K161" i="44"/>
  <c r="L161" i="44"/>
  <c r="M161" i="44"/>
  <c r="N161" i="44"/>
  <c r="O161" i="44"/>
  <c r="P161" i="44"/>
  <c r="Q161" i="44"/>
  <c r="R161" i="44"/>
  <c r="S161" i="44"/>
  <c r="T161" i="44"/>
  <c r="U161" i="44"/>
  <c r="V161" i="44"/>
  <c r="W161" i="44"/>
  <c r="X161" i="44"/>
  <c r="Y161" i="44"/>
  <c r="Z161" i="44"/>
  <c r="AA161" i="44"/>
  <c r="AB161" i="44"/>
  <c r="AC161" i="44"/>
  <c r="AD161" i="44"/>
  <c r="AE161" i="44"/>
  <c r="AF161" i="44"/>
  <c r="AG161" i="44"/>
  <c r="AH161" i="44"/>
  <c r="AI161" i="44"/>
  <c r="AJ161" i="44"/>
  <c r="AK161" i="44"/>
  <c r="AL161" i="44"/>
  <c r="AM161" i="44"/>
  <c r="AN161" i="44"/>
  <c r="AO161" i="44"/>
  <c r="AP161" i="44"/>
  <c r="AQ161" i="44"/>
  <c r="AR161" i="44"/>
  <c r="AS161" i="44"/>
  <c r="AT161" i="44"/>
  <c r="AU161" i="44"/>
  <c r="AV161" i="44"/>
  <c r="D152" i="44"/>
  <c r="D153" i="44"/>
  <c r="D154" i="44"/>
  <c r="D155" i="44"/>
  <c r="D156" i="44"/>
  <c r="D157" i="44"/>
  <c r="D158" i="44"/>
  <c r="D159" i="44"/>
  <c r="D160" i="44"/>
  <c r="D161" i="44"/>
  <c r="D151" i="44"/>
  <c r="E139" i="44"/>
  <c r="F139" i="44"/>
  <c r="G139" i="44"/>
  <c r="H139" i="44"/>
  <c r="I139" i="44"/>
  <c r="J139" i="44"/>
  <c r="K139" i="44"/>
  <c r="L139" i="44"/>
  <c r="M139" i="44"/>
  <c r="N139" i="44"/>
  <c r="O139" i="44"/>
  <c r="P139" i="44"/>
  <c r="Q139" i="44"/>
  <c r="R139" i="44"/>
  <c r="S139" i="44"/>
  <c r="T139" i="44"/>
  <c r="U139" i="44"/>
  <c r="V139" i="44"/>
  <c r="W139" i="44"/>
  <c r="X139" i="44"/>
  <c r="Y139" i="44"/>
  <c r="Z139" i="44"/>
  <c r="AA139" i="44"/>
  <c r="AC139" i="44"/>
  <c r="AD139" i="44"/>
  <c r="AE139" i="44"/>
  <c r="AF139" i="44"/>
  <c r="AH139" i="44"/>
  <c r="AI139" i="44"/>
  <c r="AJ139" i="44"/>
  <c r="AK139" i="44"/>
  <c r="AM139" i="44"/>
  <c r="AN139" i="44"/>
  <c r="AO139" i="44"/>
  <c r="AP139" i="44"/>
  <c r="AR139" i="44"/>
  <c r="AS139" i="44"/>
  <c r="AT139" i="44"/>
  <c r="AU139" i="44"/>
  <c r="E140" i="44"/>
  <c r="F140" i="44"/>
  <c r="G140" i="44"/>
  <c r="H140" i="44"/>
  <c r="I140" i="44"/>
  <c r="J140" i="44"/>
  <c r="K140" i="44"/>
  <c r="L140" i="44"/>
  <c r="M140" i="44"/>
  <c r="N140" i="44"/>
  <c r="O140" i="44"/>
  <c r="P140" i="44"/>
  <c r="Q140" i="44"/>
  <c r="R140" i="44"/>
  <c r="S140" i="44"/>
  <c r="T140" i="44"/>
  <c r="U140" i="44"/>
  <c r="E141" i="44"/>
  <c r="F141" i="44"/>
  <c r="G141" i="44"/>
  <c r="H141" i="44"/>
  <c r="I141" i="44"/>
  <c r="J141" i="44"/>
  <c r="K141" i="44"/>
  <c r="L141" i="44"/>
  <c r="M141" i="44"/>
  <c r="N141" i="44"/>
  <c r="O141" i="44"/>
  <c r="P141" i="44"/>
  <c r="Q141" i="44"/>
  <c r="R141" i="44"/>
  <c r="S141" i="44"/>
  <c r="T141" i="44"/>
  <c r="U141" i="44"/>
  <c r="E142" i="44"/>
  <c r="F142" i="44"/>
  <c r="G142" i="44"/>
  <c r="H142" i="44"/>
  <c r="I142" i="44"/>
  <c r="J142" i="44"/>
  <c r="K142" i="44"/>
  <c r="L142" i="44"/>
  <c r="M142" i="44"/>
  <c r="N142" i="44"/>
  <c r="O142" i="44"/>
  <c r="P142" i="44"/>
  <c r="Q142" i="44"/>
  <c r="R142" i="44"/>
  <c r="S142" i="44"/>
  <c r="T142" i="44"/>
  <c r="U142" i="44"/>
  <c r="E143" i="44"/>
  <c r="F143" i="44"/>
  <c r="G143" i="44"/>
  <c r="H143" i="44"/>
  <c r="I143" i="44"/>
  <c r="J143" i="44"/>
  <c r="K143" i="44"/>
  <c r="L143" i="44"/>
  <c r="M143" i="44"/>
  <c r="N143" i="44"/>
  <c r="O143" i="44"/>
  <c r="P143" i="44"/>
  <c r="Q143" i="44"/>
  <c r="R143" i="44"/>
  <c r="S143" i="44"/>
  <c r="T143" i="44"/>
  <c r="U143" i="44"/>
  <c r="V143" i="44"/>
  <c r="X143" i="44"/>
  <c r="Y143" i="44"/>
  <c r="Z143" i="44"/>
  <c r="AA143" i="44"/>
  <c r="AC143" i="44"/>
  <c r="AD143" i="44"/>
  <c r="AE143" i="44"/>
  <c r="AF143" i="44"/>
  <c r="AH143" i="44"/>
  <c r="AI143" i="44"/>
  <c r="AJ143" i="44"/>
  <c r="AK143" i="44"/>
  <c r="AM143" i="44"/>
  <c r="AN143" i="44"/>
  <c r="AO143" i="44"/>
  <c r="AP143" i="44"/>
  <c r="AR143" i="44"/>
  <c r="AS143" i="44"/>
  <c r="AT143" i="44"/>
  <c r="AU143" i="44"/>
  <c r="E144" i="44"/>
  <c r="F144" i="44"/>
  <c r="G144" i="44"/>
  <c r="H144" i="44"/>
  <c r="I144" i="44"/>
  <c r="J144" i="44"/>
  <c r="K144" i="44"/>
  <c r="L144" i="44"/>
  <c r="M144" i="44"/>
  <c r="N144" i="44"/>
  <c r="O144" i="44"/>
  <c r="P144" i="44"/>
  <c r="Q144" i="44"/>
  <c r="R144" i="44"/>
  <c r="S144" i="44"/>
  <c r="T144" i="44"/>
  <c r="U144" i="44"/>
  <c r="V144" i="44"/>
  <c r="W144" i="44"/>
  <c r="AB144" i="44"/>
  <c r="AG144" i="44"/>
  <c r="AL144" i="44"/>
  <c r="AQ144" i="44"/>
  <c r="AV144" i="44"/>
  <c r="E145" i="44"/>
  <c r="F145" i="44"/>
  <c r="G145" i="44"/>
  <c r="H145" i="44"/>
  <c r="I145" i="44"/>
  <c r="J145" i="44"/>
  <c r="K145" i="44"/>
  <c r="L145" i="44"/>
  <c r="M145" i="44"/>
  <c r="N145" i="44"/>
  <c r="O145" i="44"/>
  <c r="P145" i="44"/>
  <c r="Q145" i="44"/>
  <c r="R145" i="44"/>
  <c r="S145" i="44"/>
  <c r="T145" i="44"/>
  <c r="U145" i="44"/>
  <c r="V145" i="44"/>
  <c r="W145" i="44"/>
  <c r="AB145" i="44"/>
  <c r="AG145" i="44"/>
  <c r="AL145" i="44"/>
  <c r="AQ145" i="44"/>
  <c r="AV145" i="44"/>
  <c r="E146" i="44"/>
  <c r="F146" i="44"/>
  <c r="G146" i="44"/>
  <c r="H146" i="44"/>
  <c r="I146" i="44"/>
  <c r="J146" i="44"/>
  <c r="K146" i="44"/>
  <c r="L146" i="44"/>
  <c r="M146" i="44"/>
  <c r="N146" i="44"/>
  <c r="O146" i="44"/>
  <c r="P146" i="44"/>
  <c r="Q146" i="44"/>
  <c r="R146" i="44"/>
  <c r="S146" i="44"/>
  <c r="T146" i="44"/>
  <c r="U146" i="44"/>
  <c r="E147" i="44"/>
  <c r="F147" i="44"/>
  <c r="G147" i="44"/>
  <c r="H147" i="44"/>
  <c r="I147" i="44"/>
  <c r="J147" i="44"/>
  <c r="K147" i="44"/>
  <c r="L147" i="44"/>
  <c r="M147" i="44"/>
  <c r="N147" i="44"/>
  <c r="O147" i="44"/>
  <c r="P147" i="44"/>
  <c r="Q147" i="44"/>
  <c r="R147" i="44"/>
  <c r="S147" i="44"/>
  <c r="T147" i="44"/>
  <c r="U147" i="44"/>
  <c r="E148" i="44"/>
  <c r="F148" i="44"/>
  <c r="G148" i="44"/>
  <c r="H148" i="44"/>
  <c r="I148" i="44"/>
  <c r="J148" i="44"/>
  <c r="K148" i="44"/>
  <c r="L148" i="44"/>
  <c r="M148" i="44"/>
  <c r="N148" i="44"/>
  <c r="O148" i="44"/>
  <c r="P148" i="44"/>
  <c r="Q148" i="44"/>
  <c r="R148" i="44"/>
  <c r="S148" i="44"/>
  <c r="T148" i="44"/>
  <c r="U148" i="44"/>
  <c r="E149" i="44"/>
  <c r="F149" i="44"/>
  <c r="G149" i="44"/>
  <c r="H149" i="44"/>
  <c r="I149" i="44"/>
  <c r="J149" i="44"/>
  <c r="K149" i="44"/>
  <c r="L149" i="44"/>
  <c r="M149" i="44"/>
  <c r="N149" i="44"/>
  <c r="O149" i="44"/>
  <c r="P149" i="44"/>
  <c r="Q149" i="44"/>
  <c r="R149" i="44"/>
  <c r="S149" i="44"/>
  <c r="T149" i="44"/>
  <c r="U149" i="44"/>
  <c r="V149" i="44"/>
  <c r="W149" i="44"/>
  <c r="X149" i="44"/>
  <c r="Y149" i="44"/>
  <c r="Z149" i="44"/>
  <c r="AA149" i="44"/>
  <c r="AB149" i="44"/>
  <c r="AC149" i="44"/>
  <c r="AD149" i="44"/>
  <c r="AE149" i="44"/>
  <c r="AF149" i="44"/>
  <c r="AG149" i="44"/>
  <c r="AH149" i="44"/>
  <c r="AI149" i="44"/>
  <c r="AJ149" i="44"/>
  <c r="AK149" i="44"/>
  <c r="AM149" i="44"/>
  <c r="AN149" i="44"/>
  <c r="AO149" i="44"/>
  <c r="AP149" i="44"/>
  <c r="AQ149" i="44"/>
  <c r="AR149" i="44"/>
  <c r="AS149" i="44"/>
  <c r="AT149" i="44"/>
  <c r="AU149" i="44"/>
  <c r="AV149" i="44"/>
  <c r="D140" i="44"/>
  <c r="D141" i="44"/>
  <c r="D142" i="44"/>
  <c r="D143" i="44"/>
  <c r="D144" i="44"/>
  <c r="D145" i="44"/>
  <c r="D146" i="44"/>
  <c r="D147" i="44"/>
  <c r="D148" i="44"/>
  <c r="D149" i="44"/>
  <c r="D139" i="44"/>
  <c r="E123" i="44"/>
  <c r="F123" i="44"/>
  <c r="G123" i="44"/>
  <c r="H123" i="44"/>
  <c r="I123" i="44"/>
  <c r="J123" i="44"/>
  <c r="K123" i="44"/>
  <c r="L123" i="44"/>
  <c r="M123" i="44"/>
  <c r="N123" i="44"/>
  <c r="O123" i="44"/>
  <c r="P123" i="44"/>
  <c r="Q123" i="44"/>
  <c r="R123" i="44"/>
  <c r="S123" i="44"/>
  <c r="T123" i="44"/>
  <c r="U123" i="44"/>
  <c r="V123" i="44"/>
  <c r="X123" i="44"/>
  <c r="Y123" i="44"/>
  <c r="Z123" i="44"/>
  <c r="AC123" i="44"/>
  <c r="AD123" i="44"/>
  <c r="AE123" i="44"/>
  <c r="AH123" i="44"/>
  <c r="AI123" i="44"/>
  <c r="AJ123" i="44"/>
  <c r="AM123" i="44"/>
  <c r="AN123" i="44"/>
  <c r="AO123" i="44"/>
  <c r="AR123" i="44"/>
  <c r="AS123" i="44"/>
  <c r="AT123" i="44"/>
  <c r="E124" i="44"/>
  <c r="F124" i="44"/>
  <c r="G124" i="44"/>
  <c r="H124" i="44"/>
  <c r="I124" i="44"/>
  <c r="J124" i="44"/>
  <c r="K124" i="44"/>
  <c r="L124" i="44"/>
  <c r="M124" i="44"/>
  <c r="N124" i="44"/>
  <c r="O124" i="44"/>
  <c r="P124" i="44"/>
  <c r="Q124" i="44"/>
  <c r="R124" i="44"/>
  <c r="S124" i="44"/>
  <c r="T124" i="44"/>
  <c r="U124" i="44"/>
  <c r="V124" i="44"/>
  <c r="X124" i="44"/>
  <c r="Y124" i="44"/>
  <c r="Z124" i="44"/>
  <c r="AA124" i="44"/>
  <c r="AC124" i="44"/>
  <c r="AD124" i="44"/>
  <c r="AE124" i="44"/>
  <c r="AF124" i="44"/>
  <c r="AH124" i="44"/>
  <c r="AI124" i="44"/>
  <c r="AJ124" i="44"/>
  <c r="AK124" i="44"/>
  <c r="AM124" i="44"/>
  <c r="AN124" i="44"/>
  <c r="AO124" i="44"/>
  <c r="AP124" i="44"/>
  <c r="AR124" i="44"/>
  <c r="AS124" i="44"/>
  <c r="AT124" i="44"/>
  <c r="AU124" i="44"/>
  <c r="E125" i="44"/>
  <c r="F125" i="44"/>
  <c r="G125" i="44"/>
  <c r="H125" i="44"/>
  <c r="I125" i="44"/>
  <c r="J125" i="44"/>
  <c r="K125" i="44"/>
  <c r="L125" i="44"/>
  <c r="M125" i="44"/>
  <c r="N125" i="44"/>
  <c r="O125" i="44"/>
  <c r="P125" i="44"/>
  <c r="Q125" i="44"/>
  <c r="R125" i="44"/>
  <c r="S125" i="44"/>
  <c r="T125" i="44"/>
  <c r="U125" i="44"/>
  <c r="V125" i="44"/>
  <c r="X125" i="44"/>
  <c r="Y125" i="44"/>
  <c r="Z125" i="44"/>
  <c r="AA125" i="44"/>
  <c r="AB125" i="44"/>
  <c r="AC125" i="44"/>
  <c r="AD125" i="44"/>
  <c r="AE125" i="44"/>
  <c r="AF125" i="44"/>
  <c r="AG125" i="44"/>
  <c r="AH125" i="44"/>
  <c r="AI125" i="44"/>
  <c r="AJ125" i="44"/>
  <c r="AK125" i="44"/>
  <c r="AL125" i="44"/>
  <c r="AM125" i="44"/>
  <c r="AN125" i="44"/>
  <c r="AO125" i="44"/>
  <c r="AP125" i="44"/>
  <c r="AQ125" i="44"/>
  <c r="AR125" i="44"/>
  <c r="AS125" i="44"/>
  <c r="AT125" i="44"/>
  <c r="AU125" i="44"/>
  <c r="AV125" i="44"/>
  <c r="E126" i="44"/>
  <c r="F126" i="44"/>
  <c r="G126" i="44"/>
  <c r="H126" i="44"/>
  <c r="I126" i="44"/>
  <c r="J126" i="44"/>
  <c r="K126" i="44"/>
  <c r="L126" i="44"/>
  <c r="M126" i="44"/>
  <c r="N126" i="44"/>
  <c r="O126" i="44"/>
  <c r="P126" i="44"/>
  <c r="Q126" i="44"/>
  <c r="R126" i="44"/>
  <c r="S126" i="44"/>
  <c r="T126" i="44"/>
  <c r="U126" i="44"/>
  <c r="V126" i="44"/>
  <c r="X126" i="44"/>
  <c r="Y126" i="44"/>
  <c r="Z126" i="44"/>
  <c r="AA126" i="44"/>
  <c r="AB126" i="44"/>
  <c r="AC126" i="44"/>
  <c r="AD126" i="44"/>
  <c r="AE126" i="44"/>
  <c r="AF126" i="44"/>
  <c r="AG126" i="44"/>
  <c r="AH126" i="44"/>
  <c r="AI126" i="44"/>
  <c r="AJ126" i="44"/>
  <c r="AK126" i="44"/>
  <c r="AL126" i="44"/>
  <c r="AM126" i="44"/>
  <c r="AN126" i="44"/>
  <c r="AO126" i="44"/>
  <c r="AP126" i="44"/>
  <c r="AQ126" i="44"/>
  <c r="AR126" i="44"/>
  <c r="AS126" i="44"/>
  <c r="AT126" i="44"/>
  <c r="AU126" i="44"/>
  <c r="AV126" i="44"/>
  <c r="E127" i="44"/>
  <c r="F127" i="44"/>
  <c r="G127" i="44"/>
  <c r="H127" i="44"/>
  <c r="I127" i="44"/>
  <c r="J127" i="44"/>
  <c r="K127" i="44"/>
  <c r="L127" i="44"/>
  <c r="M127" i="44"/>
  <c r="N127" i="44"/>
  <c r="O127" i="44"/>
  <c r="P127" i="44"/>
  <c r="Q127" i="44"/>
  <c r="R127" i="44"/>
  <c r="S127" i="44"/>
  <c r="T127" i="44"/>
  <c r="U127" i="44"/>
  <c r="E128" i="44"/>
  <c r="F128" i="44"/>
  <c r="G128" i="44"/>
  <c r="H128" i="44"/>
  <c r="I128" i="44"/>
  <c r="J128" i="44"/>
  <c r="K128" i="44"/>
  <c r="L128" i="44"/>
  <c r="M128" i="44"/>
  <c r="N128" i="44"/>
  <c r="O128" i="44"/>
  <c r="P128" i="44"/>
  <c r="Q128" i="44"/>
  <c r="R128" i="44"/>
  <c r="S128" i="44"/>
  <c r="T128" i="44"/>
  <c r="U128" i="44"/>
  <c r="V128" i="44"/>
  <c r="X128" i="44"/>
  <c r="Y128" i="44"/>
  <c r="Z128" i="44"/>
  <c r="AA128" i="44"/>
  <c r="AB128" i="44"/>
  <c r="AC128" i="44"/>
  <c r="AD128" i="44"/>
  <c r="AE128" i="44"/>
  <c r="AF128" i="44"/>
  <c r="AG128" i="44"/>
  <c r="AH128" i="44"/>
  <c r="AI128" i="44"/>
  <c r="AJ128" i="44"/>
  <c r="AK128" i="44"/>
  <c r="AL128" i="44"/>
  <c r="AM128" i="44"/>
  <c r="AN128" i="44"/>
  <c r="AO128" i="44"/>
  <c r="AP128" i="44"/>
  <c r="AQ128" i="44"/>
  <c r="AR128" i="44"/>
  <c r="AS128" i="44"/>
  <c r="AT128" i="44"/>
  <c r="AU128" i="44"/>
  <c r="AV128" i="44"/>
  <c r="E129" i="44"/>
  <c r="F129" i="44"/>
  <c r="G129" i="44"/>
  <c r="H129" i="44"/>
  <c r="I129" i="44"/>
  <c r="J129" i="44"/>
  <c r="K129" i="44"/>
  <c r="L129" i="44"/>
  <c r="M129" i="44"/>
  <c r="N129" i="44"/>
  <c r="O129" i="44"/>
  <c r="P129" i="44"/>
  <c r="Q129" i="44"/>
  <c r="R129" i="44"/>
  <c r="S129" i="44"/>
  <c r="T129" i="44"/>
  <c r="U129" i="44"/>
  <c r="V129" i="44"/>
  <c r="E130" i="44"/>
  <c r="F130" i="44"/>
  <c r="G130" i="44"/>
  <c r="H130" i="44"/>
  <c r="I130" i="44"/>
  <c r="J130" i="44"/>
  <c r="K130" i="44"/>
  <c r="L130" i="44"/>
  <c r="M130" i="44"/>
  <c r="N130" i="44"/>
  <c r="O130" i="44"/>
  <c r="P130" i="44"/>
  <c r="Q130" i="44"/>
  <c r="R130" i="44"/>
  <c r="S130" i="44"/>
  <c r="T130" i="44"/>
  <c r="U130" i="44"/>
  <c r="E131" i="44"/>
  <c r="F131" i="44"/>
  <c r="G131" i="44"/>
  <c r="H131" i="44"/>
  <c r="I131" i="44"/>
  <c r="J131" i="44"/>
  <c r="K131" i="44"/>
  <c r="L131" i="44"/>
  <c r="M131" i="44"/>
  <c r="N131" i="44"/>
  <c r="O131" i="44"/>
  <c r="P131" i="44"/>
  <c r="Q131" i="44"/>
  <c r="R131" i="44"/>
  <c r="S131" i="44"/>
  <c r="T131" i="44"/>
  <c r="U131" i="44"/>
  <c r="D124" i="44"/>
  <c r="D125" i="44"/>
  <c r="D126" i="44"/>
  <c r="D127" i="44"/>
  <c r="D128" i="44"/>
  <c r="D129" i="44"/>
  <c r="D130" i="44"/>
  <c r="D131" i="44"/>
  <c r="D123" i="44"/>
  <c r="E108" i="44"/>
  <c r="F108" i="44"/>
  <c r="G108" i="44"/>
  <c r="H108" i="44"/>
  <c r="I108" i="44"/>
  <c r="J108" i="44"/>
  <c r="K108" i="44"/>
  <c r="L108" i="44"/>
  <c r="M108" i="44"/>
  <c r="N108" i="44"/>
  <c r="O108" i="44"/>
  <c r="P108" i="44"/>
  <c r="Q108" i="44"/>
  <c r="R108" i="44"/>
  <c r="S108" i="44"/>
  <c r="T108" i="44"/>
  <c r="U108" i="44"/>
  <c r="V108" i="44"/>
  <c r="X108" i="44"/>
  <c r="Y108" i="44"/>
  <c r="Z108" i="44"/>
  <c r="AC108" i="44"/>
  <c r="AD108" i="44"/>
  <c r="AE108" i="44"/>
  <c r="AH108" i="44"/>
  <c r="AI108" i="44"/>
  <c r="AJ108" i="44"/>
  <c r="AM108" i="44"/>
  <c r="AN108" i="44"/>
  <c r="AO108" i="44"/>
  <c r="AR108" i="44"/>
  <c r="AS108" i="44"/>
  <c r="AT108" i="44"/>
  <c r="E109" i="44"/>
  <c r="F109" i="44"/>
  <c r="G109" i="44"/>
  <c r="H109" i="44"/>
  <c r="I109" i="44"/>
  <c r="J109" i="44"/>
  <c r="K109" i="44"/>
  <c r="L109" i="44"/>
  <c r="M109" i="44"/>
  <c r="N109" i="44"/>
  <c r="O109" i="44"/>
  <c r="P109" i="44"/>
  <c r="Q109" i="44"/>
  <c r="R109" i="44"/>
  <c r="S109" i="44"/>
  <c r="T109" i="44"/>
  <c r="U109" i="44"/>
  <c r="V109" i="44"/>
  <c r="X109" i="44"/>
  <c r="Y109" i="44"/>
  <c r="Z109" i="44"/>
  <c r="AA109" i="44"/>
  <c r="AC109" i="44"/>
  <c r="AD109" i="44"/>
  <c r="AE109" i="44"/>
  <c r="AF109" i="44"/>
  <c r="AH109" i="44"/>
  <c r="AI109" i="44"/>
  <c r="AJ109" i="44"/>
  <c r="AK109" i="44"/>
  <c r="AM109" i="44"/>
  <c r="AN109" i="44"/>
  <c r="AO109" i="44"/>
  <c r="AP109" i="44"/>
  <c r="AR109" i="44"/>
  <c r="AS109" i="44"/>
  <c r="AT109" i="44"/>
  <c r="AU109" i="44"/>
  <c r="E110" i="44"/>
  <c r="F110" i="44"/>
  <c r="G110" i="44"/>
  <c r="H110" i="44"/>
  <c r="I110" i="44"/>
  <c r="J110" i="44"/>
  <c r="K110" i="44"/>
  <c r="L110" i="44"/>
  <c r="M110" i="44"/>
  <c r="N110" i="44"/>
  <c r="O110" i="44"/>
  <c r="P110" i="44"/>
  <c r="Q110" i="44"/>
  <c r="R110" i="44"/>
  <c r="S110" i="44"/>
  <c r="T110" i="44"/>
  <c r="U110" i="44"/>
  <c r="X110" i="44"/>
  <c r="Y110" i="44"/>
  <c r="Z110" i="44"/>
  <c r="AC110" i="44"/>
  <c r="AD110" i="44"/>
  <c r="AE110" i="44"/>
  <c r="AH110" i="44"/>
  <c r="AI110" i="44"/>
  <c r="AJ110" i="44"/>
  <c r="AM110" i="44"/>
  <c r="AN110" i="44"/>
  <c r="AO110" i="44"/>
  <c r="AR110" i="44"/>
  <c r="AS110" i="44"/>
  <c r="AT110" i="44"/>
  <c r="E111" i="44"/>
  <c r="F111" i="44"/>
  <c r="G111" i="44"/>
  <c r="H111" i="44"/>
  <c r="I111" i="44"/>
  <c r="J111" i="44"/>
  <c r="K111" i="44"/>
  <c r="L111" i="44"/>
  <c r="M111" i="44"/>
  <c r="N111" i="44"/>
  <c r="O111" i="44"/>
  <c r="P111" i="44"/>
  <c r="Q111" i="44"/>
  <c r="R111" i="44"/>
  <c r="S111" i="44"/>
  <c r="T111" i="44"/>
  <c r="U111" i="44"/>
  <c r="V111" i="44"/>
  <c r="X111" i="44"/>
  <c r="Y111" i="44"/>
  <c r="Z111" i="44"/>
  <c r="AC111" i="44"/>
  <c r="AD111" i="44"/>
  <c r="AE111" i="44"/>
  <c r="AH111" i="44"/>
  <c r="AI111" i="44"/>
  <c r="AJ111" i="44"/>
  <c r="AM111" i="44"/>
  <c r="AN111" i="44"/>
  <c r="AO111" i="44"/>
  <c r="AR111" i="44"/>
  <c r="AS111" i="44"/>
  <c r="AT111" i="44"/>
  <c r="E112" i="44"/>
  <c r="F112" i="44"/>
  <c r="G112" i="44"/>
  <c r="H112" i="44"/>
  <c r="I112" i="44"/>
  <c r="J112" i="44"/>
  <c r="K112" i="44"/>
  <c r="L112" i="44"/>
  <c r="M112" i="44"/>
  <c r="N112" i="44"/>
  <c r="O112" i="44"/>
  <c r="P112" i="44"/>
  <c r="Q112" i="44"/>
  <c r="R112" i="44"/>
  <c r="S112" i="44"/>
  <c r="T112" i="44"/>
  <c r="U112" i="44"/>
  <c r="X112" i="44"/>
  <c r="Y112" i="44"/>
  <c r="Z112" i="44"/>
  <c r="AC112" i="44"/>
  <c r="AD112" i="44"/>
  <c r="AE112" i="44"/>
  <c r="AH112" i="44"/>
  <c r="AI112" i="44"/>
  <c r="AJ112" i="44"/>
  <c r="AM112" i="44"/>
  <c r="AN112" i="44"/>
  <c r="AO112" i="44"/>
  <c r="AR112" i="44"/>
  <c r="AS112" i="44"/>
  <c r="AT112" i="44"/>
  <c r="E113" i="44"/>
  <c r="F113" i="44"/>
  <c r="G113" i="44"/>
  <c r="H113" i="44"/>
  <c r="I113" i="44"/>
  <c r="J113" i="44"/>
  <c r="K113" i="44"/>
  <c r="L113" i="44"/>
  <c r="M113" i="44"/>
  <c r="N113" i="44"/>
  <c r="O113" i="44"/>
  <c r="P113" i="44"/>
  <c r="Q113" i="44"/>
  <c r="R113" i="44"/>
  <c r="S113" i="44"/>
  <c r="T113" i="44"/>
  <c r="U113" i="44"/>
  <c r="V113" i="44"/>
  <c r="X113" i="44"/>
  <c r="Y113" i="44"/>
  <c r="Z113" i="44"/>
  <c r="AC113" i="44"/>
  <c r="AD113" i="44"/>
  <c r="AE113" i="44"/>
  <c r="AH113" i="44"/>
  <c r="AI113" i="44"/>
  <c r="AJ113" i="44"/>
  <c r="AM113" i="44"/>
  <c r="AN113" i="44"/>
  <c r="AO113" i="44"/>
  <c r="AR113" i="44"/>
  <c r="AS113" i="44"/>
  <c r="AT113" i="44"/>
  <c r="E114" i="44"/>
  <c r="F114" i="44"/>
  <c r="G114" i="44"/>
  <c r="H114" i="44"/>
  <c r="I114" i="44"/>
  <c r="J114" i="44"/>
  <c r="K114" i="44"/>
  <c r="L114" i="44"/>
  <c r="M114" i="44"/>
  <c r="N114" i="44"/>
  <c r="O114" i="44"/>
  <c r="P114" i="44"/>
  <c r="Q114" i="44"/>
  <c r="R114" i="44"/>
  <c r="S114" i="44"/>
  <c r="T114" i="44"/>
  <c r="U114" i="44"/>
  <c r="V114" i="44"/>
  <c r="W114" i="44"/>
  <c r="X114" i="44"/>
  <c r="Y114" i="44"/>
  <c r="Z114" i="44"/>
  <c r="AA114" i="44"/>
  <c r="AB114" i="44"/>
  <c r="AC114" i="44"/>
  <c r="AD114" i="44"/>
  <c r="AE114" i="44"/>
  <c r="AF114" i="44"/>
  <c r="AG114" i="44"/>
  <c r="AH114" i="44"/>
  <c r="AI114" i="44"/>
  <c r="AJ114" i="44"/>
  <c r="AK114" i="44"/>
  <c r="AL114" i="44"/>
  <c r="AM114" i="44"/>
  <c r="AN114" i="44"/>
  <c r="AO114" i="44"/>
  <c r="AP114" i="44"/>
  <c r="AQ114" i="44"/>
  <c r="AR114" i="44"/>
  <c r="AS114" i="44"/>
  <c r="AT114" i="44"/>
  <c r="AU114" i="44"/>
  <c r="AV114" i="44"/>
  <c r="E115" i="44"/>
  <c r="F115" i="44"/>
  <c r="G115" i="44"/>
  <c r="H115" i="44"/>
  <c r="I115" i="44"/>
  <c r="J115" i="44"/>
  <c r="K115" i="44"/>
  <c r="L115" i="44"/>
  <c r="M115" i="44"/>
  <c r="N115" i="44"/>
  <c r="O115" i="44"/>
  <c r="P115" i="44"/>
  <c r="Q115" i="44"/>
  <c r="R115" i="44"/>
  <c r="S115" i="44"/>
  <c r="T115" i="44"/>
  <c r="U115" i="44"/>
  <c r="X115" i="44"/>
  <c r="Y115" i="44"/>
  <c r="Z115" i="44"/>
  <c r="AC115" i="44"/>
  <c r="AD115" i="44"/>
  <c r="AE115" i="44"/>
  <c r="AH115" i="44"/>
  <c r="AI115" i="44"/>
  <c r="AJ115" i="44"/>
  <c r="AM115" i="44"/>
  <c r="AN115" i="44"/>
  <c r="AO115" i="44"/>
  <c r="AR115" i="44"/>
  <c r="AS115" i="44"/>
  <c r="AT115" i="44"/>
  <c r="E116" i="44"/>
  <c r="F116" i="44"/>
  <c r="G116" i="44"/>
  <c r="H116" i="44"/>
  <c r="I116" i="44"/>
  <c r="J116" i="44"/>
  <c r="K116" i="44"/>
  <c r="L116" i="44"/>
  <c r="M116" i="44"/>
  <c r="N116" i="44"/>
  <c r="O116" i="44"/>
  <c r="P116" i="44"/>
  <c r="Q116" i="44"/>
  <c r="R116" i="44"/>
  <c r="S116" i="44"/>
  <c r="T116" i="44"/>
  <c r="U116" i="44"/>
  <c r="V116" i="44"/>
  <c r="X116" i="44"/>
  <c r="Y116" i="44"/>
  <c r="Z116" i="44"/>
  <c r="AC116" i="44"/>
  <c r="AD116" i="44"/>
  <c r="AE116" i="44"/>
  <c r="AH116" i="44"/>
  <c r="AI116" i="44"/>
  <c r="AJ116" i="44"/>
  <c r="AM116" i="44"/>
  <c r="AN116" i="44"/>
  <c r="AO116" i="44"/>
  <c r="AR116" i="44"/>
  <c r="AS116" i="44"/>
  <c r="AT116" i="44"/>
  <c r="E117" i="44"/>
  <c r="F117" i="44"/>
  <c r="G117" i="44"/>
  <c r="H117" i="44"/>
  <c r="I117" i="44"/>
  <c r="J117" i="44"/>
  <c r="K117" i="44"/>
  <c r="L117" i="44"/>
  <c r="M117" i="44"/>
  <c r="N117" i="44"/>
  <c r="O117" i="44"/>
  <c r="P117" i="44"/>
  <c r="Q117" i="44"/>
  <c r="R117" i="44"/>
  <c r="S117" i="44"/>
  <c r="T117" i="44"/>
  <c r="U117" i="44"/>
  <c r="E118" i="44"/>
  <c r="F118" i="44"/>
  <c r="G118" i="44"/>
  <c r="H118" i="44"/>
  <c r="I118" i="44"/>
  <c r="J118" i="44"/>
  <c r="K118" i="44"/>
  <c r="L118" i="44"/>
  <c r="M118" i="44"/>
  <c r="N118" i="44"/>
  <c r="O118" i="44"/>
  <c r="P118" i="44"/>
  <c r="Q118" i="44"/>
  <c r="R118" i="44"/>
  <c r="S118" i="44"/>
  <c r="T118" i="44"/>
  <c r="U118" i="44"/>
  <c r="E119" i="44"/>
  <c r="F119" i="44"/>
  <c r="G119" i="44"/>
  <c r="H119" i="44"/>
  <c r="I119" i="44"/>
  <c r="J119" i="44"/>
  <c r="K119" i="44"/>
  <c r="L119" i="44"/>
  <c r="M119" i="44"/>
  <c r="N119" i="44"/>
  <c r="O119" i="44"/>
  <c r="P119" i="44"/>
  <c r="Q119" i="44"/>
  <c r="R119" i="44"/>
  <c r="S119" i="44"/>
  <c r="T119" i="44"/>
  <c r="U119" i="44"/>
  <c r="V119" i="44"/>
  <c r="E120" i="44"/>
  <c r="F120" i="44"/>
  <c r="G120" i="44"/>
  <c r="H120" i="44"/>
  <c r="I120" i="44"/>
  <c r="J120" i="44"/>
  <c r="K120" i="44"/>
  <c r="L120" i="44"/>
  <c r="M120" i="44"/>
  <c r="N120" i="44"/>
  <c r="O120" i="44"/>
  <c r="P120" i="44"/>
  <c r="Q120" i="44"/>
  <c r="R120" i="44"/>
  <c r="S120" i="44"/>
  <c r="T120" i="44"/>
  <c r="U120" i="44"/>
  <c r="E121" i="44"/>
  <c r="F121" i="44"/>
  <c r="G121" i="44"/>
  <c r="H121" i="44"/>
  <c r="I121" i="44"/>
  <c r="J121" i="44"/>
  <c r="K121" i="44"/>
  <c r="L121" i="44"/>
  <c r="M121" i="44"/>
  <c r="N121" i="44"/>
  <c r="O121" i="44"/>
  <c r="P121" i="44"/>
  <c r="Q121" i="44"/>
  <c r="R121" i="44"/>
  <c r="S121" i="44"/>
  <c r="T121" i="44"/>
  <c r="U121" i="44"/>
  <c r="D109" i="44"/>
  <c r="D110" i="44"/>
  <c r="D111" i="44"/>
  <c r="D112" i="44"/>
  <c r="D113" i="44"/>
  <c r="D114" i="44"/>
  <c r="D115" i="44"/>
  <c r="D116" i="44"/>
  <c r="D117" i="44"/>
  <c r="D118" i="44"/>
  <c r="D119" i="44"/>
  <c r="D120" i="44"/>
  <c r="D121" i="44"/>
  <c r="D108" i="44"/>
  <c r="E74" i="44"/>
  <c r="F74" i="44"/>
  <c r="G74" i="44"/>
  <c r="H74" i="44"/>
  <c r="I74" i="44"/>
  <c r="J74" i="44"/>
  <c r="K74" i="44"/>
  <c r="L74" i="44"/>
  <c r="M74" i="44"/>
  <c r="N74" i="44"/>
  <c r="O74" i="44"/>
  <c r="P74" i="44"/>
  <c r="Q74" i="44"/>
  <c r="R74" i="44"/>
  <c r="S74" i="44"/>
  <c r="T74" i="44"/>
  <c r="U74" i="44"/>
  <c r="E75" i="44"/>
  <c r="F75" i="44"/>
  <c r="G75" i="44"/>
  <c r="H75" i="44"/>
  <c r="I75" i="44"/>
  <c r="J75" i="44"/>
  <c r="K75" i="44"/>
  <c r="L75" i="44"/>
  <c r="M75" i="44"/>
  <c r="N75" i="44"/>
  <c r="O75" i="44"/>
  <c r="P75" i="44"/>
  <c r="Q75" i="44"/>
  <c r="R75" i="44"/>
  <c r="S75" i="44"/>
  <c r="T75" i="44"/>
  <c r="U75" i="44"/>
  <c r="V75" i="44"/>
  <c r="X75" i="44"/>
  <c r="Y75" i="44"/>
  <c r="Z75" i="44"/>
  <c r="AA75" i="44"/>
  <c r="AB75" i="44"/>
  <c r="AC75" i="44"/>
  <c r="AD75" i="44"/>
  <c r="AE75" i="44"/>
  <c r="AF75" i="44"/>
  <c r="AG75" i="44"/>
  <c r="AH75" i="44"/>
  <c r="AI75" i="44"/>
  <c r="AJ75" i="44"/>
  <c r="AK75" i="44"/>
  <c r="AL75" i="44"/>
  <c r="AM75" i="44"/>
  <c r="AN75" i="44"/>
  <c r="AO75" i="44"/>
  <c r="AP75" i="44"/>
  <c r="AQ75" i="44"/>
  <c r="AR75" i="44"/>
  <c r="AS75" i="44"/>
  <c r="AT75" i="44"/>
  <c r="AU75" i="44"/>
  <c r="AV75" i="44"/>
  <c r="E76" i="44"/>
  <c r="F76" i="44"/>
  <c r="G76" i="44"/>
  <c r="H76" i="44"/>
  <c r="I76" i="44"/>
  <c r="J76" i="44"/>
  <c r="K76" i="44"/>
  <c r="L76" i="44"/>
  <c r="M76" i="44"/>
  <c r="N76" i="44"/>
  <c r="O76" i="44"/>
  <c r="P76" i="44"/>
  <c r="Q76" i="44"/>
  <c r="R76" i="44"/>
  <c r="S76" i="44"/>
  <c r="T76" i="44"/>
  <c r="U76" i="44"/>
  <c r="W76" i="44"/>
  <c r="AB76" i="44"/>
  <c r="AG76" i="44"/>
  <c r="AL76" i="44"/>
  <c r="AQ76" i="44"/>
  <c r="AV76" i="44"/>
  <c r="E77" i="44"/>
  <c r="F77" i="44"/>
  <c r="G77" i="44"/>
  <c r="H77" i="44"/>
  <c r="I77" i="44"/>
  <c r="J77" i="44"/>
  <c r="K77" i="44"/>
  <c r="L77" i="44"/>
  <c r="M77" i="44"/>
  <c r="N77" i="44"/>
  <c r="O77" i="44"/>
  <c r="P77" i="44"/>
  <c r="Q77" i="44"/>
  <c r="R77" i="44"/>
  <c r="S77" i="44"/>
  <c r="T77" i="44"/>
  <c r="U77" i="44"/>
  <c r="W77" i="44"/>
  <c r="X77" i="44"/>
  <c r="Y77" i="44"/>
  <c r="Z77" i="44"/>
  <c r="AB77" i="44"/>
  <c r="AC77" i="44"/>
  <c r="AD77" i="44"/>
  <c r="AE77" i="44"/>
  <c r="AG77" i="44"/>
  <c r="AH77" i="44"/>
  <c r="AI77" i="44"/>
  <c r="AJ77" i="44"/>
  <c r="AL77" i="44"/>
  <c r="AM77" i="44"/>
  <c r="AN77" i="44"/>
  <c r="AO77" i="44"/>
  <c r="AQ77" i="44"/>
  <c r="AR77" i="44"/>
  <c r="AS77" i="44"/>
  <c r="AT77" i="44"/>
  <c r="AV77" i="44"/>
  <c r="E78" i="44"/>
  <c r="F78" i="44"/>
  <c r="G78" i="44"/>
  <c r="H78" i="44"/>
  <c r="I78" i="44"/>
  <c r="J78" i="44"/>
  <c r="K78" i="44"/>
  <c r="L78" i="44"/>
  <c r="M78" i="44"/>
  <c r="N78" i="44"/>
  <c r="O78" i="44"/>
  <c r="P78" i="44"/>
  <c r="Q78" i="44"/>
  <c r="R78" i="44"/>
  <c r="S78" i="44"/>
  <c r="T78" i="44"/>
  <c r="U78" i="44"/>
  <c r="E79" i="44"/>
  <c r="F79" i="44"/>
  <c r="G79" i="44"/>
  <c r="H79" i="44"/>
  <c r="I79" i="44"/>
  <c r="J79" i="44"/>
  <c r="K79" i="44"/>
  <c r="L79" i="44"/>
  <c r="M79" i="44"/>
  <c r="N79" i="44"/>
  <c r="O79" i="44"/>
  <c r="P79" i="44"/>
  <c r="Q79" i="44"/>
  <c r="R79" i="44"/>
  <c r="S79" i="44"/>
  <c r="T79" i="44"/>
  <c r="U79" i="44"/>
  <c r="AQ79" i="44"/>
  <c r="AV79" i="44"/>
  <c r="E80" i="44"/>
  <c r="F80" i="44"/>
  <c r="G80" i="44"/>
  <c r="H80" i="44"/>
  <c r="I80" i="44"/>
  <c r="J80" i="44"/>
  <c r="K80" i="44"/>
  <c r="L80" i="44"/>
  <c r="M80" i="44"/>
  <c r="N80" i="44"/>
  <c r="O80" i="44"/>
  <c r="P80" i="44"/>
  <c r="Q80" i="44"/>
  <c r="R80" i="44"/>
  <c r="S80" i="44"/>
  <c r="T80" i="44"/>
  <c r="U80" i="44"/>
  <c r="V80" i="44"/>
  <c r="W80" i="44"/>
  <c r="X80" i="44"/>
  <c r="Y80" i="44"/>
  <c r="Z80" i="44"/>
  <c r="AA80" i="44"/>
  <c r="AB80" i="44"/>
  <c r="AC80" i="44"/>
  <c r="AD80" i="44"/>
  <c r="AE80" i="44"/>
  <c r="AF80" i="44"/>
  <c r="AG80" i="44"/>
  <c r="AH80" i="44"/>
  <c r="AI80" i="44"/>
  <c r="AJ80" i="44"/>
  <c r="AK80" i="44"/>
  <c r="AL80" i="44"/>
  <c r="AM80" i="44"/>
  <c r="AN80" i="44"/>
  <c r="AO80" i="44"/>
  <c r="AP80" i="44"/>
  <c r="AQ80" i="44"/>
  <c r="AR80" i="44"/>
  <c r="AS80" i="44"/>
  <c r="AT80" i="44"/>
  <c r="AU80" i="44"/>
  <c r="AV80" i="44"/>
  <c r="E81" i="44"/>
  <c r="F81" i="44"/>
  <c r="G81" i="44"/>
  <c r="H81" i="44"/>
  <c r="I81" i="44"/>
  <c r="J81" i="44"/>
  <c r="K81" i="44"/>
  <c r="L81" i="44"/>
  <c r="M81" i="44"/>
  <c r="N81" i="44"/>
  <c r="O81" i="44"/>
  <c r="P81" i="44"/>
  <c r="Q81" i="44"/>
  <c r="R81" i="44"/>
  <c r="S81" i="44"/>
  <c r="T81" i="44"/>
  <c r="U81" i="44"/>
  <c r="V81" i="44"/>
  <c r="W81" i="44"/>
  <c r="X81" i="44"/>
  <c r="Y81" i="44"/>
  <c r="Z81" i="44"/>
  <c r="AA81" i="44"/>
  <c r="AB81" i="44"/>
  <c r="AC81" i="44"/>
  <c r="AD81" i="44"/>
  <c r="AE81" i="44"/>
  <c r="AF81" i="44"/>
  <c r="AG81" i="44"/>
  <c r="AH81" i="44"/>
  <c r="AI81" i="44"/>
  <c r="AJ81" i="44"/>
  <c r="AK81" i="44"/>
  <c r="AL81" i="44"/>
  <c r="AM81" i="44"/>
  <c r="AN81" i="44"/>
  <c r="AO81" i="44"/>
  <c r="AP81" i="44"/>
  <c r="AQ81" i="44"/>
  <c r="AR81" i="44"/>
  <c r="AS81" i="44"/>
  <c r="AT81" i="44"/>
  <c r="AU81" i="44"/>
  <c r="AV81" i="44"/>
  <c r="E82" i="44"/>
  <c r="F82" i="44"/>
  <c r="G82" i="44"/>
  <c r="H82" i="44"/>
  <c r="I82" i="44"/>
  <c r="J82" i="44"/>
  <c r="K82" i="44"/>
  <c r="L82" i="44"/>
  <c r="M82" i="44"/>
  <c r="N82" i="44"/>
  <c r="O82" i="44"/>
  <c r="P82" i="44"/>
  <c r="Q82" i="44"/>
  <c r="R82" i="44"/>
  <c r="S82" i="44"/>
  <c r="T82" i="44"/>
  <c r="U82" i="44"/>
  <c r="V82" i="44"/>
  <c r="X82" i="44"/>
  <c r="Y82" i="44"/>
  <c r="Z82" i="44"/>
  <c r="AA82" i="44"/>
  <c r="AC82" i="44"/>
  <c r="AD82" i="44"/>
  <c r="AE82" i="44"/>
  <c r="AF82" i="44"/>
  <c r="AH82" i="44"/>
  <c r="AI82" i="44"/>
  <c r="AJ82" i="44"/>
  <c r="AK82" i="44"/>
  <c r="AM82" i="44"/>
  <c r="AN82" i="44"/>
  <c r="AO82" i="44"/>
  <c r="AP82" i="44"/>
  <c r="AQ82" i="44"/>
  <c r="AR82" i="44"/>
  <c r="AS82" i="44"/>
  <c r="AT82" i="44"/>
  <c r="AU82" i="44"/>
  <c r="AV82" i="44"/>
  <c r="E83" i="44"/>
  <c r="F83" i="44"/>
  <c r="G83" i="44"/>
  <c r="H83" i="44"/>
  <c r="I83" i="44"/>
  <c r="J83" i="44"/>
  <c r="K83" i="44"/>
  <c r="L83" i="44"/>
  <c r="M83" i="44"/>
  <c r="N83" i="44"/>
  <c r="O83" i="44"/>
  <c r="P83" i="44"/>
  <c r="Q83" i="44"/>
  <c r="R83" i="44"/>
  <c r="S83" i="44"/>
  <c r="T83" i="44"/>
  <c r="U83" i="44"/>
  <c r="E84" i="44"/>
  <c r="F84" i="44"/>
  <c r="G84" i="44"/>
  <c r="H84" i="44"/>
  <c r="I84" i="44"/>
  <c r="J84" i="44"/>
  <c r="K84" i="44"/>
  <c r="L84" i="44"/>
  <c r="M84" i="44"/>
  <c r="N84" i="44"/>
  <c r="O84" i="44"/>
  <c r="P84" i="44"/>
  <c r="Q84" i="44"/>
  <c r="R84" i="44"/>
  <c r="S84" i="44"/>
  <c r="T84" i="44"/>
  <c r="U84" i="44"/>
  <c r="V84" i="44"/>
  <c r="X84" i="44"/>
  <c r="Y84" i="44"/>
  <c r="Z84" i="44"/>
  <c r="AA84" i="44"/>
  <c r="AB84" i="44"/>
  <c r="AC84" i="44"/>
  <c r="AD84" i="44"/>
  <c r="AE84" i="44"/>
  <c r="AF84" i="44"/>
  <c r="AG84" i="44"/>
  <c r="AH84" i="44"/>
  <c r="AI84" i="44"/>
  <c r="AJ84" i="44"/>
  <c r="AK84" i="44"/>
  <c r="AL84" i="44"/>
  <c r="AM84" i="44"/>
  <c r="AN84" i="44"/>
  <c r="AO84" i="44"/>
  <c r="AP84" i="44"/>
  <c r="AQ84" i="44"/>
  <c r="AR84" i="44"/>
  <c r="AS84" i="44"/>
  <c r="AT84" i="44"/>
  <c r="AU84" i="44"/>
  <c r="AV84" i="44"/>
  <c r="E85" i="44"/>
  <c r="F85" i="44"/>
  <c r="G85" i="44"/>
  <c r="H85" i="44"/>
  <c r="I85" i="44"/>
  <c r="J85" i="44"/>
  <c r="K85" i="44"/>
  <c r="L85" i="44"/>
  <c r="M85" i="44"/>
  <c r="N85" i="44"/>
  <c r="O85" i="44"/>
  <c r="P85" i="44"/>
  <c r="Q85" i="44"/>
  <c r="R85" i="44"/>
  <c r="S85" i="44"/>
  <c r="T85" i="44"/>
  <c r="U85" i="44"/>
  <c r="W85" i="44"/>
  <c r="AB85" i="44"/>
  <c r="AG85" i="44"/>
  <c r="AL85" i="44"/>
  <c r="AQ85" i="44"/>
  <c r="AV85" i="44"/>
  <c r="E86" i="44"/>
  <c r="F86" i="44"/>
  <c r="G86" i="44"/>
  <c r="H86" i="44"/>
  <c r="I86" i="44"/>
  <c r="J86" i="44"/>
  <c r="K86" i="44"/>
  <c r="L86" i="44"/>
  <c r="M86" i="44"/>
  <c r="N86" i="44"/>
  <c r="O86" i="44"/>
  <c r="P86" i="44"/>
  <c r="Q86" i="44"/>
  <c r="R86" i="44"/>
  <c r="S86" i="44"/>
  <c r="T86" i="44"/>
  <c r="U86" i="44"/>
  <c r="V86" i="44"/>
  <c r="W86" i="44"/>
  <c r="X86" i="44"/>
  <c r="Y86" i="44"/>
  <c r="Z86" i="44"/>
  <c r="AB86" i="44"/>
  <c r="AC86" i="44"/>
  <c r="AD86" i="44"/>
  <c r="AE86" i="44"/>
  <c r="AG86" i="44"/>
  <c r="AH86" i="44"/>
  <c r="AI86" i="44"/>
  <c r="AJ86" i="44"/>
  <c r="AL86" i="44"/>
  <c r="AM86" i="44"/>
  <c r="AN86" i="44"/>
  <c r="AO86" i="44"/>
  <c r="AQ86" i="44"/>
  <c r="AR86" i="44"/>
  <c r="AS86" i="44"/>
  <c r="AT86" i="44"/>
  <c r="AV86" i="44"/>
  <c r="E87" i="44"/>
  <c r="F87" i="44"/>
  <c r="G87" i="44"/>
  <c r="H87" i="44"/>
  <c r="I87" i="44"/>
  <c r="J87" i="44"/>
  <c r="K87" i="44"/>
  <c r="L87" i="44"/>
  <c r="M87" i="44"/>
  <c r="N87" i="44"/>
  <c r="O87" i="44"/>
  <c r="P87" i="44"/>
  <c r="Q87" i="44"/>
  <c r="R87" i="44"/>
  <c r="S87" i="44"/>
  <c r="T87" i="44"/>
  <c r="U87" i="44"/>
  <c r="E88" i="44"/>
  <c r="F88" i="44"/>
  <c r="G88" i="44"/>
  <c r="H88" i="44"/>
  <c r="I88" i="44"/>
  <c r="J88" i="44"/>
  <c r="K88" i="44"/>
  <c r="L88" i="44"/>
  <c r="M88" i="44"/>
  <c r="N88" i="44"/>
  <c r="O88" i="44"/>
  <c r="P88" i="44"/>
  <c r="Q88" i="44"/>
  <c r="R88" i="44"/>
  <c r="S88" i="44"/>
  <c r="T88" i="44"/>
  <c r="U88" i="44"/>
  <c r="V88" i="44"/>
  <c r="X88" i="44"/>
  <c r="Y88" i="44"/>
  <c r="Z88" i="44"/>
  <c r="AC88" i="44"/>
  <c r="AD88" i="44"/>
  <c r="AE88" i="44"/>
  <c r="AH88" i="44"/>
  <c r="AI88" i="44"/>
  <c r="AJ88" i="44"/>
  <c r="AM88" i="44"/>
  <c r="AN88" i="44"/>
  <c r="AO88" i="44"/>
  <c r="AR88" i="44"/>
  <c r="AS88" i="44"/>
  <c r="AT88" i="44"/>
  <c r="E89" i="44"/>
  <c r="F89" i="44"/>
  <c r="G89" i="44"/>
  <c r="H89" i="44"/>
  <c r="I89" i="44"/>
  <c r="J89" i="44"/>
  <c r="K89" i="44"/>
  <c r="L89" i="44"/>
  <c r="M89" i="44"/>
  <c r="N89" i="44"/>
  <c r="O89" i="44"/>
  <c r="P89" i="44"/>
  <c r="Q89" i="44"/>
  <c r="R89" i="44"/>
  <c r="S89" i="44"/>
  <c r="T89" i="44"/>
  <c r="U89" i="44"/>
  <c r="V89" i="44"/>
  <c r="W89" i="44"/>
  <c r="X89" i="44"/>
  <c r="Y89" i="44"/>
  <c r="Z89" i="44"/>
  <c r="AA89" i="44"/>
  <c r="AB89" i="44"/>
  <c r="AC89" i="44"/>
  <c r="AD89" i="44"/>
  <c r="AE89" i="44"/>
  <c r="AF89" i="44"/>
  <c r="AG89" i="44"/>
  <c r="AH89" i="44"/>
  <c r="AI89" i="44"/>
  <c r="AJ89" i="44"/>
  <c r="AK89" i="44"/>
  <c r="AL89" i="44"/>
  <c r="AM89" i="44"/>
  <c r="AN89" i="44"/>
  <c r="AO89" i="44"/>
  <c r="AP89" i="44"/>
  <c r="AQ89" i="44"/>
  <c r="AR89" i="44"/>
  <c r="AS89" i="44"/>
  <c r="AT89" i="44"/>
  <c r="AU89" i="44"/>
  <c r="AV89" i="44"/>
  <c r="E90" i="44"/>
  <c r="F90" i="44"/>
  <c r="G90" i="44"/>
  <c r="H90" i="44"/>
  <c r="I90" i="44"/>
  <c r="J90" i="44"/>
  <c r="K90" i="44"/>
  <c r="L90" i="44"/>
  <c r="M90" i="44"/>
  <c r="N90" i="44"/>
  <c r="O90" i="44"/>
  <c r="P90" i="44"/>
  <c r="Q90" i="44"/>
  <c r="R90" i="44"/>
  <c r="S90" i="44"/>
  <c r="T90" i="44"/>
  <c r="U90" i="44"/>
  <c r="E91" i="44"/>
  <c r="F91" i="44"/>
  <c r="G91" i="44"/>
  <c r="H91" i="44"/>
  <c r="I91" i="44"/>
  <c r="J91" i="44"/>
  <c r="K91" i="44"/>
  <c r="L91" i="44"/>
  <c r="M91" i="44"/>
  <c r="N91" i="44"/>
  <c r="O91" i="44"/>
  <c r="P91" i="44"/>
  <c r="Q91" i="44"/>
  <c r="R91" i="44"/>
  <c r="S91" i="44"/>
  <c r="T91" i="44"/>
  <c r="U91" i="44"/>
  <c r="X91" i="44"/>
  <c r="Y91" i="44"/>
  <c r="Z91" i="44"/>
  <c r="AA91" i="44"/>
  <c r="AB91" i="44"/>
  <c r="AC91" i="44"/>
  <c r="AD91" i="44"/>
  <c r="AE91" i="44"/>
  <c r="AF91" i="44"/>
  <c r="AG91" i="44"/>
  <c r="AH91" i="44"/>
  <c r="AI91" i="44"/>
  <c r="AJ91" i="44"/>
  <c r="AK91" i="44"/>
  <c r="AL91" i="44"/>
  <c r="AM91" i="44"/>
  <c r="AN91" i="44"/>
  <c r="AO91" i="44"/>
  <c r="AP91" i="44"/>
  <c r="AQ91" i="44"/>
  <c r="AR91" i="44"/>
  <c r="AS91" i="44"/>
  <c r="AT91" i="44"/>
  <c r="AU91" i="44"/>
  <c r="AV91" i="44"/>
  <c r="E92" i="44"/>
  <c r="F92" i="44"/>
  <c r="G92" i="44"/>
  <c r="H92" i="44"/>
  <c r="I92" i="44"/>
  <c r="J92" i="44"/>
  <c r="K92" i="44"/>
  <c r="L92" i="44"/>
  <c r="M92" i="44"/>
  <c r="N92" i="44"/>
  <c r="O92" i="44"/>
  <c r="P92" i="44"/>
  <c r="Q92" i="44"/>
  <c r="R92" i="44"/>
  <c r="S92" i="44"/>
  <c r="T92" i="44"/>
  <c r="U92" i="44"/>
  <c r="E93" i="44"/>
  <c r="F93" i="44"/>
  <c r="G93" i="44"/>
  <c r="H93" i="44"/>
  <c r="I93" i="44"/>
  <c r="J93" i="44"/>
  <c r="K93" i="44"/>
  <c r="L93" i="44"/>
  <c r="M93" i="44"/>
  <c r="N93" i="44"/>
  <c r="O93" i="44"/>
  <c r="P93" i="44"/>
  <c r="Q93" i="44"/>
  <c r="R93" i="44"/>
  <c r="S93" i="44"/>
  <c r="T93" i="44"/>
  <c r="U93" i="44"/>
  <c r="E94" i="44"/>
  <c r="F94" i="44"/>
  <c r="G94" i="44"/>
  <c r="H94" i="44"/>
  <c r="I94" i="44"/>
  <c r="J94" i="44"/>
  <c r="K94" i="44"/>
  <c r="L94" i="44"/>
  <c r="M94" i="44"/>
  <c r="N94" i="44"/>
  <c r="O94" i="44"/>
  <c r="P94" i="44"/>
  <c r="Q94" i="44"/>
  <c r="R94" i="44"/>
  <c r="S94" i="44"/>
  <c r="T94" i="44"/>
  <c r="U94" i="44"/>
  <c r="V94" i="44"/>
  <c r="X94" i="44"/>
  <c r="Y94" i="44"/>
  <c r="Z94" i="44"/>
  <c r="AC94" i="44"/>
  <c r="AD94" i="44"/>
  <c r="AE94" i="44"/>
  <c r="AH94" i="44"/>
  <c r="AI94" i="44"/>
  <c r="AJ94" i="44"/>
  <c r="AM94" i="44"/>
  <c r="AN94" i="44"/>
  <c r="AO94" i="44"/>
  <c r="AR94" i="44"/>
  <c r="AS94" i="44"/>
  <c r="AT94" i="44"/>
  <c r="E95" i="44"/>
  <c r="F95" i="44"/>
  <c r="G95" i="44"/>
  <c r="H95" i="44"/>
  <c r="I95" i="44"/>
  <c r="J95" i="44"/>
  <c r="K95" i="44"/>
  <c r="L95" i="44"/>
  <c r="M95" i="44"/>
  <c r="N95" i="44"/>
  <c r="O95" i="44"/>
  <c r="P95" i="44"/>
  <c r="Q95" i="44"/>
  <c r="R95" i="44"/>
  <c r="S95" i="44"/>
  <c r="T95" i="44"/>
  <c r="U95" i="44"/>
  <c r="E96" i="44"/>
  <c r="F96" i="44"/>
  <c r="G96" i="44"/>
  <c r="H96" i="44"/>
  <c r="I96" i="44"/>
  <c r="J96" i="44"/>
  <c r="K96" i="44"/>
  <c r="L96" i="44"/>
  <c r="M96" i="44"/>
  <c r="N96" i="44"/>
  <c r="O96" i="44"/>
  <c r="P96" i="44"/>
  <c r="Q96" i="44"/>
  <c r="R96" i="44"/>
  <c r="S96" i="44"/>
  <c r="T96" i="44"/>
  <c r="U96" i="44"/>
  <c r="V96" i="44"/>
  <c r="X96" i="44"/>
  <c r="Y96" i="44"/>
  <c r="Z96" i="44"/>
  <c r="AC96" i="44"/>
  <c r="AD96" i="44"/>
  <c r="AE96" i="44"/>
  <c r="AH96" i="44"/>
  <c r="AI96" i="44"/>
  <c r="AJ96" i="44"/>
  <c r="AM96" i="44"/>
  <c r="AN96" i="44"/>
  <c r="AO96" i="44"/>
  <c r="AR96" i="44"/>
  <c r="AS96" i="44"/>
  <c r="AT96" i="44"/>
  <c r="E97" i="44"/>
  <c r="F97" i="44"/>
  <c r="G97" i="44"/>
  <c r="H97" i="44"/>
  <c r="I97" i="44"/>
  <c r="J97" i="44"/>
  <c r="K97" i="44"/>
  <c r="L97" i="44"/>
  <c r="M97" i="44"/>
  <c r="N97" i="44"/>
  <c r="O97" i="44"/>
  <c r="P97" i="44"/>
  <c r="Q97" i="44"/>
  <c r="R97" i="44"/>
  <c r="S97" i="44"/>
  <c r="T97" i="44"/>
  <c r="U97" i="44"/>
  <c r="E98" i="44"/>
  <c r="F98" i="44"/>
  <c r="G98" i="44"/>
  <c r="H98" i="44"/>
  <c r="I98" i="44"/>
  <c r="J98" i="44"/>
  <c r="K98" i="44"/>
  <c r="L98" i="44"/>
  <c r="M98" i="44"/>
  <c r="N98" i="44"/>
  <c r="O98" i="44"/>
  <c r="P98" i="44"/>
  <c r="Q98" i="44"/>
  <c r="R98" i="44"/>
  <c r="S98" i="44"/>
  <c r="T98" i="44"/>
  <c r="U98" i="44"/>
  <c r="V98" i="44"/>
  <c r="X98" i="44"/>
  <c r="Y98" i="44"/>
  <c r="Z98" i="44"/>
  <c r="AC98" i="44"/>
  <c r="AD98" i="44"/>
  <c r="AE98" i="44"/>
  <c r="AH98" i="44"/>
  <c r="AI98" i="44"/>
  <c r="AJ98" i="44"/>
  <c r="AM98" i="44"/>
  <c r="AN98" i="44"/>
  <c r="AO98" i="44"/>
  <c r="AR98" i="44"/>
  <c r="AS98" i="44"/>
  <c r="AT98" i="44"/>
  <c r="E99" i="44"/>
  <c r="F99" i="44"/>
  <c r="G99" i="44"/>
  <c r="H99" i="44"/>
  <c r="I99" i="44"/>
  <c r="J99" i="44"/>
  <c r="K99" i="44"/>
  <c r="L99" i="44"/>
  <c r="M99" i="44"/>
  <c r="N99" i="44"/>
  <c r="O99" i="44"/>
  <c r="P99" i="44"/>
  <c r="Q99" i="44"/>
  <c r="R99" i="44"/>
  <c r="S99" i="44"/>
  <c r="T99" i="44"/>
  <c r="U99" i="44"/>
  <c r="E100" i="44"/>
  <c r="F100" i="44"/>
  <c r="G100" i="44"/>
  <c r="H100" i="44"/>
  <c r="I100" i="44"/>
  <c r="J100" i="44"/>
  <c r="K100" i="44"/>
  <c r="L100" i="44"/>
  <c r="M100" i="44"/>
  <c r="N100" i="44"/>
  <c r="O100" i="44"/>
  <c r="P100" i="44"/>
  <c r="Q100" i="44"/>
  <c r="R100" i="44"/>
  <c r="S100" i="44"/>
  <c r="T100" i="44"/>
  <c r="U100" i="44"/>
  <c r="E101" i="44"/>
  <c r="F101" i="44"/>
  <c r="G101" i="44"/>
  <c r="H101" i="44"/>
  <c r="I101" i="44"/>
  <c r="J101" i="44"/>
  <c r="K101" i="44"/>
  <c r="L101" i="44"/>
  <c r="M101" i="44"/>
  <c r="N101" i="44"/>
  <c r="O101" i="44"/>
  <c r="P101" i="44"/>
  <c r="Q101" i="44"/>
  <c r="R101" i="44"/>
  <c r="S101" i="44"/>
  <c r="T101" i="44"/>
  <c r="U101" i="44"/>
  <c r="V101" i="44"/>
  <c r="X101" i="44"/>
  <c r="Y101" i="44"/>
  <c r="Z101" i="44"/>
  <c r="AC101" i="44"/>
  <c r="AD101" i="44"/>
  <c r="AE101" i="44"/>
  <c r="AH101" i="44"/>
  <c r="AI101" i="44"/>
  <c r="AJ101" i="44"/>
  <c r="AM101" i="44"/>
  <c r="AN101" i="44"/>
  <c r="AO101" i="44"/>
  <c r="AR101" i="44"/>
  <c r="AS101" i="44"/>
  <c r="AT101" i="44"/>
  <c r="E102" i="44"/>
  <c r="F102" i="44"/>
  <c r="G102" i="44"/>
  <c r="H102" i="44"/>
  <c r="I102" i="44"/>
  <c r="J102" i="44"/>
  <c r="K102" i="44"/>
  <c r="L102" i="44"/>
  <c r="M102" i="44"/>
  <c r="N102" i="44"/>
  <c r="O102" i="44"/>
  <c r="P102" i="44"/>
  <c r="Q102" i="44"/>
  <c r="R102" i="44"/>
  <c r="S102" i="44"/>
  <c r="T102" i="44"/>
  <c r="U102" i="44"/>
  <c r="E103" i="44"/>
  <c r="F103" i="44"/>
  <c r="G103" i="44"/>
  <c r="H103" i="44"/>
  <c r="I103" i="44"/>
  <c r="J103" i="44"/>
  <c r="K103" i="44"/>
  <c r="L103" i="44"/>
  <c r="M103" i="44"/>
  <c r="N103" i="44"/>
  <c r="O103" i="44"/>
  <c r="P103" i="44"/>
  <c r="Q103" i="44"/>
  <c r="R103" i="44"/>
  <c r="S103" i="44"/>
  <c r="T103" i="44"/>
  <c r="U103" i="44"/>
  <c r="E104" i="44"/>
  <c r="F104" i="44"/>
  <c r="G104" i="44"/>
  <c r="H104" i="44"/>
  <c r="I104" i="44"/>
  <c r="J104" i="44"/>
  <c r="K104" i="44"/>
  <c r="L104" i="44"/>
  <c r="M104" i="44"/>
  <c r="N104" i="44"/>
  <c r="O104" i="44"/>
  <c r="P104" i="44"/>
  <c r="Q104" i="44"/>
  <c r="R104" i="44"/>
  <c r="S104" i="44"/>
  <c r="T104" i="44"/>
  <c r="U104" i="44"/>
  <c r="V104" i="44"/>
  <c r="X104" i="44"/>
  <c r="Y104" i="44"/>
  <c r="Z104" i="44"/>
  <c r="AA104" i="44"/>
  <c r="AB104" i="44"/>
  <c r="AC104" i="44"/>
  <c r="AD104" i="44"/>
  <c r="AE104" i="44"/>
  <c r="AF104" i="44"/>
  <c r="AG104" i="44"/>
  <c r="AH104" i="44"/>
  <c r="AI104" i="44"/>
  <c r="AJ104" i="44"/>
  <c r="AK104" i="44"/>
  <c r="AL104" i="44"/>
  <c r="AM104" i="44"/>
  <c r="AN104" i="44"/>
  <c r="AO104" i="44"/>
  <c r="AP104" i="44"/>
  <c r="AQ104" i="44"/>
  <c r="AR104" i="44"/>
  <c r="AS104" i="44"/>
  <c r="AT104" i="44"/>
  <c r="AU104" i="44"/>
  <c r="AV104" i="44"/>
  <c r="E105" i="44"/>
  <c r="F105" i="44"/>
  <c r="G105" i="44"/>
  <c r="H105" i="44"/>
  <c r="I105" i="44"/>
  <c r="J105" i="44"/>
  <c r="K105" i="44"/>
  <c r="L105" i="44"/>
  <c r="M105" i="44"/>
  <c r="N105" i="44"/>
  <c r="O105" i="44"/>
  <c r="P105" i="44"/>
  <c r="Q105" i="44"/>
  <c r="R105" i="44"/>
  <c r="S105" i="44"/>
  <c r="T105" i="44"/>
  <c r="U105" i="44"/>
  <c r="E106" i="44"/>
  <c r="F106" i="44"/>
  <c r="G106" i="44"/>
  <c r="H106" i="44"/>
  <c r="I106" i="44"/>
  <c r="J106" i="44"/>
  <c r="K106" i="44"/>
  <c r="L106" i="44"/>
  <c r="M106" i="44"/>
  <c r="N106" i="44"/>
  <c r="O106" i="44"/>
  <c r="P106" i="44"/>
  <c r="Q106" i="44"/>
  <c r="R106" i="44"/>
  <c r="S106" i="44"/>
  <c r="T106" i="44"/>
  <c r="U106" i="44"/>
  <c r="D75" i="44"/>
  <c r="D76" i="44"/>
  <c r="D77" i="44"/>
  <c r="D78" i="44"/>
  <c r="D79" i="44"/>
  <c r="D80" i="44"/>
  <c r="D81" i="44"/>
  <c r="D82" i="44"/>
  <c r="D83" i="44"/>
  <c r="D84" i="44"/>
  <c r="D85" i="44"/>
  <c r="D86" i="44"/>
  <c r="D87" i="44"/>
  <c r="D88" i="44"/>
  <c r="D89" i="44"/>
  <c r="D90" i="44"/>
  <c r="D91" i="44"/>
  <c r="D92" i="44"/>
  <c r="D93" i="44"/>
  <c r="D94" i="44"/>
  <c r="D95" i="44"/>
  <c r="D96" i="44"/>
  <c r="D97" i="44"/>
  <c r="D98" i="44"/>
  <c r="D99" i="44"/>
  <c r="D100" i="44"/>
  <c r="D101" i="44"/>
  <c r="D102" i="44"/>
  <c r="D103" i="44"/>
  <c r="D104" i="44"/>
  <c r="D105" i="44"/>
  <c r="D106" i="44"/>
  <c r="D74" i="44"/>
  <c r="E41" i="44"/>
  <c r="F41" i="44"/>
  <c r="G41" i="44"/>
  <c r="H41" i="44"/>
  <c r="I41" i="44"/>
  <c r="J41" i="44"/>
  <c r="K41" i="44"/>
  <c r="L41" i="44"/>
  <c r="M41" i="44"/>
  <c r="N41" i="44"/>
  <c r="O41" i="44"/>
  <c r="P41" i="44"/>
  <c r="Q41" i="44"/>
  <c r="R41" i="44"/>
  <c r="S41" i="44"/>
  <c r="T41" i="44"/>
  <c r="U41" i="44"/>
  <c r="E42" i="44"/>
  <c r="F42" i="44"/>
  <c r="G42" i="44"/>
  <c r="H42" i="44"/>
  <c r="I42" i="44"/>
  <c r="J42" i="44"/>
  <c r="K42" i="44"/>
  <c r="L42" i="44"/>
  <c r="M42" i="44"/>
  <c r="N42" i="44"/>
  <c r="O42" i="44"/>
  <c r="P42" i="44"/>
  <c r="Q42" i="44"/>
  <c r="R42" i="44"/>
  <c r="S42" i="44"/>
  <c r="T42" i="44"/>
  <c r="U42" i="44"/>
  <c r="V42" i="44"/>
  <c r="X42" i="44"/>
  <c r="Y42" i="44"/>
  <c r="Z42" i="44"/>
  <c r="AA42" i="44"/>
  <c r="AB42" i="44"/>
  <c r="AC42" i="44"/>
  <c r="AD42" i="44"/>
  <c r="AE42" i="44"/>
  <c r="AF42" i="44"/>
  <c r="AG42" i="44"/>
  <c r="AH42" i="44"/>
  <c r="AI42" i="44"/>
  <c r="AJ42" i="44"/>
  <c r="AK42" i="44"/>
  <c r="AL42" i="44"/>
  <c r="AM42" i="44"/>
  <c r="AN42" i="44"/>
  <c r="AO42" i="44"/>
  <c r="AP42" i="44"/>
  <c r="AQ42" i="44"/>
  <c r="AR42" i="44"/>
  <c r="AS42" i="44"/>
  <c r="AT42" i="44"/>
  <c r="AU42" i="44"/>
  <c r="AV42" i="44"/>
  <c r="E43" i="44"/>
  <c r="F43" i="44"/>
  <c r="G43" i="44"/>
  <c r="H43" i="44"/>
  <c r="I43" i="44"/>
  <c r="J43" i="44"/>
  <c r="K43" i="44"/>
  <c r="L43" i="44"/>
  <c r="M43" i="44"/>
  <c r="N43" i="44"/>
  <c r="O43" i="44"/>
  <c r="P43" i="44"/>
  <c r="Q43" i="44"/>
  <c r="R43" i="44"/>
  <c r="S43" i="44"/>
  <c r="T43" i="44"/>
  <c r="U43" i="44"/>
  <c r="W43" i="44"/>
  <c r="AB43" i="44"/>
  <c r="AG43" i="44"/>
  <c r="AL43" i="44"/>
  <c r="AQ43" i="44"/>
  <c r="AV43" i="44"/>
  <c r="E44" i="44"/>
  <c r="F44" i="44"/>
  <c r="G44" i="44"/>
  <c r="H44" i="44"/>
  <c r="I44" i="44"/>
  <c r="J44" i="44"/>
  <c r="K44" i="44"/>
  <c r="L44" i="44"/>
  <c r="M44" i="44"/>
  <c r="N44" i="44"/>
  <c r="O44" i="44"/>
  <c r="P44" i="44"/>
  <c r="Q44" i="44"/>
  <c r="R44" i="44"/>
  <c r="S44" i="44"/>
  <c r="T44" i="44"/>
  <c r="U44" i="44"/>
  <c r="V44" i="44"/>
  <c r="W44" i="44"/>
  <c r="X44" i="44"/>
  <c r="Y44" i="44"/>
  <c r="Z44" i="44"/>
  <c r="AB44" i="44"/>
  <c r="AC44" i="44"/>
  <c r="AD44" i="44"/>
  <c r="AE44" i="44"/>
  <c r="AG44" i="44"/>
  <c r="AH44" i="44"/>
  <c r="AI44" i="44"/>
  <c r="AJ44" i="44"/>
  <c r="AL44" i="44"/>
  <c r="AM44" i="44"/>
  <c r="AN44" i="44"/>
  <c r="AO44" i="44"/>
  <c r="AQ44" i="44"/>
  <c r="AR44" i="44"/>
  <c r="AS44" i="44"/>
  <c r="AT44" i="44"/>
  <c r="AV44" i="44"/>
  <c r="E45" i="44"/>
  <c r="F45" i="44"/>
  <c r="G45" i="44"/>
  <c r="H45" i="44"/>
  <c r="I45" i="44"/>
  <c r="J45" i="44"/>
  <c r="K45" i="44"/>
  <c r="L45" i="44"/>
  <c r="M45" i="44"/>
  <c r="N45" i="44"/>
  <c r="O45" i="44"/>
  <c r="P45" i="44"/>
  <c r="Q45" i="44"/>
  <c r="R45" i="44"/>
  <c r="S45" i="44"/>
  <c r="T45" i="44"/>
  <c r="U45" i="44"/>
  <c r="E46" i="44"/>
  <c r="F46" i="44"/>
  <c r="G46" i="44"/>
  <c r="H46" i="44"/>
  <c r="I46" i="44"/>
  <c r="J46" i="44"/>
  <c r="K46" i="44"/>
  <c r="L46" i="44"/>
  <c r="M46" i="44"/>
  <c r="N46" i="44"/>
  <c r="O46" i="44"/>
  <c r="P46" i="44"/>
  <c r="Q46" i="44"/>
  <c r="R46" i="44"/>
  <c r="S46" i="44"/>
  <c r="T46" i="44"/>
  <c r="U46" i="44"/>
  <c r="E47" i="44"/>
  <c r="F47" i="44"/>
  <c r="G47" i="44"/>
  <c r="H47" i="44"/>
  <c r="I47" i="44"/>
  <c r="J47" i="44"/>
  <c r="K47" i="44"/>
  <c r="L47" i="44"/>
  <c r="M47" i="44"/>
  <c r="N47" i="44"/>
  <c r="O47" i="44"/>
  <c r="P47" i="44"/>
  <c r="Q47" i="44"/>
  <c r="R47" i="44"/>
  <c r="S47" i="44"/>
  <c r="T47" i="44"/>
  <c r="U47" i="44"/>
  <c r="V47" i="44"/>
  <c r="W47" i="44"/>
  <c r="X47" i="44"/>
  <c r="Y47" i="44"/>
  <c r="Z47" i="44"/>
  <c r="AA47" i="44"/>
  <c r="AC47" i="44"/>
  <c r="AD47" i="44"/>
  <c r="AE47" i="44"/>
  <c r="AF47" i="44"/>
  <c r="AG47" i="44"/>
  <c r="AH47" i="44"/>
  <c r="AI47" i="44"/>
  <c r="AJ47" i="44"/>
  <c r="AK47" i="44"/>
  <c r="AL47" i="44"/>
  <c r="AM47" i="44"/>
  <c r="AN47" i="44"/>
  <c r="AO47" i="44"/>
  <c r="AP47" i="44"/>
  <c r="AQ47" i="44"/>
  <c r="AR47" i="44"/>
  <c r="AS47" i="44"/>
  <c r="AT47" i="44"/>
  <c r="AU47" i="44"/>
  <c r="AV47" i="44"/>
  <c r="E48" i="44"/>
  <c r="F48" i="44"/>
  <c r="G48" i="44"/>
  <c r="H48" i="44"/>
  <c r="I48" i="44"/>
  <c r="J48" i="44"/>
  <c r="K48" i="44"/>
  <c r="L48" i="44"/>
  <c r="M48" i="44"/>
  <c r="N48" i="44"/>
  <c r="O48" i="44"/>
  <c r="P48" i="44"/>
  <c r="Q48" i="44"/>
  <c r="R48" i="44"/>
  <c r="S48" i="44"/>
  <c r="T48" i="44"/>
  <c r="U48" i="44"/>
  <c r="V48" i="44"/>
  <c r="W48" i="44"/>
  <c r="X48" i="44"/>
  <c r="Y48" i="44"/>
  <c r="Z48" i="44"/>
  <c r="AA48" i="44"/>
  <c r="AB48" i="44"/>
  <c r="AC48" i="44"/>
  <c r="AD48" i="44"/>
  <c r="AE48" i="44"/>
  <c r="AF48" i="44"/>
  <c r="AG48" i="44"/>
  <c r="AH48" i="44"/>
  <c r="AI48" i="44"/>
  <c r="AJ48" i="44"/>
  <c r="AK48" i="44"/>
  <c r="AL48" i="44"/>
  <c r="AM48" i="44"/>
  <c r="AN48" i="44"/>
  <c r="AO48" i="44"/>
  <c r="AP48" i="44"/>
  <c r="AQ48" i="44"/>
  <c r="AR48" i="44"/>
  <c r="AS48" i="44"/>
  <c r="AT48" i="44"/>
  <c r="AU48" i="44"/>
  <c r="AV48" i="44"/>
  <c r="E49" i="44"/>
  <c r="F49" i="44"/>
  <c r="G49" i="44"/>
  <c r="H49" i="44"/>
  <c r="I49" i="44"/>
  <c r="J49" i="44"/>
  <c r="K49" i="44"/>
  <c r="L49" i="44"/>
  <c r="M49" i="44"/>
  <c r="N49" i="44"/>
  <c r="O49" i="44"/>
  <c r="P49" i="44"/>
  <c r="Q49" i="44"/>
  <c r="R49" i="44"/>
  <c r="S49" i="44"/>
  <c r="T49" i="44"/>
  <c r="U49" i="44"/>
  <c r="V49" i="44"/>
  <c r="W49" i="44"/>
  <c r="X49" i="44"/>
  <c r="Y49" i="44"/>
  <c r="Z49" i="44"/>
  <c r="AA49" i="44"/>
  <c r="AB49" i="44"/>
  <c r="AC49" i="44"/>
  <c r="AD49" i="44"/>
  <c r="AE49" i="44"/>
  <c r="AF49" i="44"/>
  <c r="AG49" i="44"/>
  <c r="AH49" i="44"/>
  <c r="AI49" i="44"/>
  <c r="AJ49" i="44"/>
  <c r="AK49" i="44"/>
  <c r="AL49" i="44"/>
  <c r="AM49" i="44"/>
  <c r="AN49" i="44"/>
  <c r="AO49" i="44"/>
  <c r="AP49" i="44"/>
  <c r="AQ49" i="44"/>
  <c r="AR49" i="44"/>
  <c r="AS49" i="44"/>
  <c r="AT49" i="44"/>
  <c r="AU49" i="44"/>
  <c r="AV49" i="44"/>
  <c r="E50" i="44"/>
  <c r="F50" i="44"/>
  <c r="G50" i="44"/>
  <c r="H50" i="44"/>
  <c r="I50" i="44"/>
  <c r="J50" i="44"/>
  <c r="K50" i="44"/>
  <c r="L50" i="44"/>
  <c r="M50" i="44"/>
  <c r="N50" i="44"/>
  <c r="O50" i="44"/>
  <c r="P50" i="44"/>
  <c r="Q50" i="44"/>
  <c r="R50" i="44"/>
  <c r="S50" i="44"/>
  <c r="T50" i="44"/>
  <c r="U50" i="44"/>
  <c r="E51" i="44"/>
  <c r="F51" i="44"/>
  <c r="G51" i="44"/>
  <c r="H51" i="44"/>
  <c r="I51" i="44"/>
  <c r="J51" i="44"/>
  <c r="K51" i="44"/>
  <c r="L51" i="44"/>
  <c r="M51" i="44"/>
  <c r="N51" i="44"/>
  <c r="O51" i="44"/>
  <c r="P51" i="44"/>
  <c r="Q51" i="44"/>
  <c r="R51" i="44"/>
  <c r="S51" i="44"/>
  <c r="T51" i="44"/>
  <c r="U51" i="44"/>
  <c r="V51" i="44"/>
  <c r="X51" i="44"/>
  <c r="Y51" i="44"/>
  <c r="Z51" i="44"/>
  <c r="AA51" i="44"/>
  <c r="AB51" i="44"/>
  <c r="AC51" i="44"/>
  <c r="AD51" i="44"/>
  <c r="AE51" i="44"/>
  <c r="AF51" i="44"/>
  <c r="AG51" i="44"/>
  <c r="AH51" i="44"/>
  <c r="AI51" i="44"/>
  <c r="AJ51" i="44"/>
  <c r="AK51" i="44"/>
  <c r="AL51" i="44"/>
  <c r="AM51" i="44"/>
  <c r="AN51" i="44"/>
  <c r="AO51" i="44"/>
  <c r="AP51" i="44"/>
  <c r="AQ51" i="44"/>
  <c r="AR51" i="44"/>
  <c r="AS51" i="44"/>
  <c r="AT51" i="44"/>
  <c r="AU51" i="44"/>
  <c r="AV51" i="44"/>
  <c r="E52" i="44"/>
  <c r="F52" i="44"/>
  <c r="G52" i="44"/>
  <c r="H52" i="44"/>
  <c r="I52" i="44"/>
  <c r="J52" i="44"/>
  <c r="K52" i="44"/>
  <c r="L52" i="44"/>
  <c r="M52" i="44"/>
  <c r="N52" i="44"/>
  <c r="O52" i="44"/>
  <c r="P52" i="44"/>
  <c r="Q52" i="44"/>
  <c r="R52" i="44"/>
  <c r="S52" i="44"/>
  <c r="T52" i="44"/>
  <c r="U52" i="44"/>
  <c r="W52" i="44"/>
  <c r="AB52" i="44"/>
  <c r="AG52" i="44"/>
  <c r="AL52" i="44"/>
  <c r="AQ52" i="44"/>
  <c r="AV52" i="44"/>
  <c r="E53" i="44"/>
  <c r="F53" i="44"/>
  <c r="G53" i="44"/>
  <c r="H53" i="44"/>
  <c r="I53" i="44"/>
  <c r="J53" i="44"/>
  <c r="K53" i="44"/>
  <c r="L53" i="44"/>
  <c r="M53" i="44"/>
  <c r="N53" i="44"/>
  <c r="O53" i="44"/>
  <c r="P53" i="44"/>
  <c r="Q53" i="44"/>
  <c r="R53" i="44"/>
  <c r="S53" i="44"/>
  <c r="T53" i="44"/>
  <c r="U53" i="44"/>
  <c r="V53" i="44"/>
  <c r="W53" i="44"/>
  <c r="X53" i="44"/>
  <c r="Y53" i="44"/>
  <c r="Z53" i="44"/>
  <c r="AB53" i="44"/>
  <c r="AC53" i="44"/>
  <c r="AD53" i="44"/>
  <c r="AE53" i="44"/>
  <c r="AG53" i="44"/>
  <c r="AH53" i="44"/>
  <c r="AI53" i="44"/>
  <c r="AJ53" i="44"/>
  <c r="AL53" i="44"/>
  <c r="AM53" i="44"/>
  <c r="AN53" i="44"/>
  <c r="AO53" i="44"/>
  <c r="AQ53" i="44"/>
  <c r="AR53" i="44"/>
  <c r="AS53" i="44"/>
  <c r="AT53" i="44"/>
  <c r="AV53" i="44"/>
  <c r="E54" i="44"/>
  <c r="F54" i="44"/>
  <c r="G54" i="44"/>
  <c r="H54" i="44"/>
  <c r="I54" i="44"/>
  <c r="J54" i="44"/>
  <c r="K54" i="44"/>
  <c r="L54" i="44"/>
  <c r="M54" i="44"/>
  <c r="N54" i="44"/>
  <c r="O54" i="44"/>
  <c r="P54" i="44"/>
  <c r="Q54" i="44"/>
  <c r="R54" i="44"/>
  <c r="S54" i="44"/>
  <c r="T54" i="44"/>
  <c r="U54" i="44"/>
  <c r="E55" i="44"/>
  <c r="F55" i="44"/>
  <c r="G55" i="44"/>
  <c r="H55" i="44"/>
  <c r="I55" i="44"/>
  <c r="J55" i="44"/>
  <c r="K55" i="44"/>
  <c r="L55" i="44"/>
  <c r="M55" i="44"/>
  <c r="N55" i="44"/>
  <c r="O55" i="44"/>
  <c r="P55" i="44"/>
  <c r="Q55" i="44"/>
  <c r="R55" i="44"/>
  <c r="S55" i="44"/>
  <c r="T55" i="44"/>
  <c r="U55" i="44"/>
  <c r="V55" i="44"/>
  <c r="X55" i="44"/>
  <c r="Y55" i="44"/>
  <c r="Z55" i="44"/>
  <c r="AC55" i="44"/>
  <c r="AD55" i="44"/>
  <c r="AE55" i="44"/>
  <c r="AH55" i="44"/>
  <c r="AI55" i="44"/>
  <c r="AJ55" i="44"/>
  <c r="AM55" i="44"/>
  <c r="AN55" i="44"/>
  <c r="AO55" i="44"/>
  <c r="AR55" i="44"/>
  <c r="AS55" i="44"/>
  <c r="AT55" i="44"/>
  <c r="E56" i="44"/>
  <c r="F56" i="44"/>
  <c r="G56" i="44"/>
  <c r="H56" i="44"/>
  <c r="I56" i="44"/>
  <c r="J56" i="44"/>
  <c r="K56" i="44"/>
  <c r="L56" i="44"/>
  <c r="M56" i="44"/>
  <c r="N56" i="44"/>
  <c r="O56" i="44"/>
  <c r="P56" i="44"/>
  <c r="Q56" i="44"/>
  <c r="R56" i="44"/>
  <c r="S56" i="44"/>
  <c r="T56" i="44"/>
  <c r="U56" i="44"/>
  <c r="V56" i="44"/>
  <c r="W56" i="44"/>
  <c r="X56" i="44"/>
  <c r="Y56" i="44"/>
  <c r="Z56" i="44"/>
  <c r="AA56" i="44"/>
  <c r="AB56" i="44"/>
  <c r="AC56" i="44"/>
  <c r="AD56" i="44"/>
  <c r="AE56" i="44"/>
  <c r="AF56" i="44"/>
  <c r="AG56" i="44"/>
  <c r="AH56" i="44"/>
  <c r="AI56" i="44"/>
  <c r="AJ56" i="44"/>
  <c r="AK56" i="44"/>
  <c r="AL56" i="44"/>
  <c r="AM56" i="44"/>
  <c r="AN56" i="44"/>
  <c r="AO56" i="44"/>
  <c r="AP56" i="44"/>
  <c r="AQ56" i="44"/>
  <c r="AR56" i="44"/>
  <c r="AS56" i="44"/>
  <c r="AT56" i="44"/>
  <c r="AU56" i="44"/>
  <c r="AV56" i="44"/>
  <c r="E57" i="44"/>
  <c r="F57" i="44"/>
  <c r="G57" i="44"/>
  <c r="H57" i="44"/>
  <c r="I57" i="44"/>
  <c r="J57" i="44"/>
  <c r="K57" i="44"/>
  <c r="L57" i="44"/>
  <c r="M57" i="44"/>
  <c r="N57" i="44"/>
  <c r="O57" i="44"/>
  <c r="P57" i="44"/>
  <c r="Q57" i="44"/>
  <c r="R57" i="44"/>
  <c r="S57" i="44"/>
  <c r="T57" i="44"/>
  <c r="U57" i="44"/>
  <c r="E58" i="44"/>
  <c r="F58" i="44"/>
  <c r="G58" i="44"/>
  <c r="H58" i="44"/>
  <c r="I58" i="44"/>
  <c r="J58" i="44"/>
  <c r="K58" i="44"/>
  <c r="L58" i="44"/>
  <c r="M58" i="44"/>
  <c r="N58" i="44"/>
  <c r="O58" i="44"/>
  <c r="P58" i="44"/>
  <c r="Q58" i="44"/>
  <c r="R58" i="44"/>
  <c r="S58" i="44"/>
  <c r="T58" i="44"/>
  <c r="U58" i="44"/>
  <c r="X58" i="44"/>
  <c r="Y58" i="44"/>
  <c r="Z58" i="44"/>
  <c r="AA58" i="44"/>
  <c r="AB58" i="44"/>
  <c r="AC58" i="44"/>
  <c r="AD58" i="44"/>
  <c r="AE58" i="44"/>
  <c r="AF58" i="44"/>
  <c r="AG58" i="44"/>
  <c r="AH58" i="44"/>
  <c r="AI58" i="44"/>
  <c r="AJ58" i="44"/>
  <c r="AK58" i="44"/>
  <c r="AL58" i="44"/>
  <c r="AM58" i="44"/>
  <c r="AN58" i="44"/>
  <c r="AO58" i="44"/>
  <c r="AP58" i="44"/>
  <c r="AQ58" i="44"/>
  <c r="AR58" i="44"/>
  <c r="AS58" i="44"/>
  <c r="AT58" i="44"/>
  <c r="AU58" i="44"/>
  <c r="AV58" i="44"/>
  <c r="E59" i="44"/>
  <c r="F59" i="44"/>
  <c r="G59" i="44"/>
  <c r="H59" i="44"/>
  <c r="I59" i="44"/>
  <c r="J59" i="44"/>
  <c r="K59" i="44"/>
  <c r="L59" i="44"/>
  <c r="M59" i="44"/>
  <c r="N59" i="44"/>
  <c r="O59" i="44"/>
  <c r="P59" i="44"/>
  <c r="Q59" i="44"/>
  <c r="R59" i="44"/>
  <c r="S59" i="44"/>
  <c r="T59" i="44"/>
  <c r="U59" i="44"/>
  <c r="E60" i="44"/>
  <c r="F60" i="44"/>
  <c r="G60" i="44"/>
  <c r="H60" i="44"/>
  <c r="I60" i="44"/>
  <c r="J60" i="44"/>
  <c r="K60" i="44"/>
  <c r="L60" i="44"/>
  <c r="M60" i="44"/>
  <c r="N60" i="44"/>
  <c r="O60" i="44"/>
  <c r="P60" i="44"/>
  <c r="Q60" i="44"/>
  <c r="R60" i="44"/>
  <c r="S60" i="44"/>
  <c r="T60" i="44"/>
  <c r="U60" i="44"/>
  <c r="E61" i="44"/>
  <c r="F61" i="44"/>
  <c r="G61" i="44"/>
  <c r="H61" i="44"/>
  <c r="I61" i="44"/>
  <c r="J61" i="44"/>
  <c r="K61" i="44"/>
  <c r="L61" i="44"/>
  <c r="M61" i="44"/>
  <c r="N61" i="44"/>
  <c r="O61" i="44"/>
  <c r="P61" i="44"/>
  <c r="Q61" i="44"/>
  <c r="R61" i="44"/>
  <c r="S61" i="44"/>
  <c r="T61" i="44"/>
  <c r="U61" i="44"/>
  <c r="V61" i="44"/>
  <c r="X61" i="44"/>
  <c r="Y61" i="44"/>
  <c r="Z61" i="44"/>
  <c r="E62" i="44"/>
  <c r="F62" i="44"/>
  <c r="G62" i="44"/>
  <c r="H62" i="44"/>
  <c r="I62" i="44"/>
  <c r="J62" i="44"/>
  <c r="K62" i="44"/>
  <c r="L62" i="44"/>
  <c r="M62" i="44"/>
  <c r="N62" i="44"/>
  <c r="O62" i="44"/>
  <c r="P62" i="44"/>
  <c r="Q62" i="44"/>
  <c r="R62" i="44"/>
  <c r="S62" i="44"/>
  <c r="T62" i="44"/>
  <c r="U62" i="44"/>
  <c r="E63" i="44"/>
  <c r="F63" i="44"/>
  <c r="G63" i="44"/>
  <c r="H63" i="44"/>
  <c r="I63" i="44"/>
  <c r="J63" i="44"/>
  <c r="K63" i="44"/>
  <c r="L63" i="44"/>
  <c r="M63" i="44"/>
  <c r="N63" i="44"/>
  <c r="O63" i="44"/>
  <c r="P63" i="44"/>
  <c r="Q63" i="44"/>
  <c r="R63" i="44"/>
  <c r="S63" i="44"/>
  <c r="T63" i="44"/>
  <c r="U63" i="44"/>
  <c r="V63" i="44"/>
  <c r="X63" i="44"/>
  <c r="Y63" i="44"/>
  <c r="Z63" i="44"/>
  <c r="AD63" i="44"/>
  <c r="AE63" i="44"/>
  <c r="AI63" i="44"/>
  <c r="AJ63" i="44"/>
  <c r="AN63" i="44"/>
  <c r="AO63" i="44"/>
  <c r="AS63" i="44"/>
  <c r="AT63" i="44"/>
  <c r="E64" i="44"/>
  <c r="F64" i="44"/>
  <c r="G64" i="44"/>
  <c r="H64" i="44"/>
  <c r="I64" i="44"/>
  <c r="J64" i="44"/>
  <c r="K64" i="44"/>
  <c r="L64" i="44"/>
  <c r="M64" i="44"/>
  <c r="N64" i="44"/>
  <c r="O64" i="44"/>
  <c r="P64" i="44"/>
  <c r="Q64" i="44"/>
  <c r="R64" i="44"/>
  <c r="S64" i="44"/>
  <c r="T64" i="44"/>
  <c r="U64" i="44"/>
  <c r="E65" i="44"/>
  <c r="F65" i="44"/>
  <c r="G65" i="44"/>
  <c r="H65" i="44"/>
  <c r="I65" i="44"/>
  <c r="J65" i="44"/>
  <c r="K65" i="44"/>
  <c r="L65" i="44"/>
  <c r="M65" i="44"/>
  <c r="N65" i="44"/>
  <c r="O65" i="44"/>
  <c r="P65" i="44"/>
  <c r="Q65" i="44"/>
  <c r="R65" i="44"/>
  <c r="S65" i="44"/>
  <c r="T65" i="44"/>
  <c r="U65" i="44"/>
  <c r="V65" i="44"/>
  <c r="X65" i="44"/>
  <c r="Y65" i="44"/>
  <c r="Z65" i="44"/>
  <c r="AC65" i="44"/>
  <c r="AD65" i="44"/>
  <c r="AE65" i="44"/>
  <c r="AH65" i="44"/>
  <c r="AI65" i="44"/>
  <c r="AJ65" i="44"/>
  <c r="AM65" i="44"/>
  <c r="AN65" i="44"/>
  <c r="AO65" i="44"/>
  <c r="AR65" i="44"/>
  <c r="AS65" i="44"/>
  <c r="AT65" i="44"/>
  <c r="E66" i="44"/>
  <c r="F66" i="44"/>
  <c r="G66" i="44"/>
  <c r="H66" i="44"/>
  <c r="I66" i="44"/>
  <c r="J66" i="44"/>
  <c r="K66" i="44"/>
  <c r="L66" i="44"/>
  <c r="M66" i="44"/>
  <c r="N66" i="44"/>
  <c r="O66" i="44"/>
  <c r="P66" i="44"/>
  <c r="Q66" i="44"/>
  <c r="R66" i="44"/>
  <c r="S66" i="44"/>
  <c r="T66" i="44"/>
  <c r="U66" i="44"/>
  <c r="E67" i="44"/>
  <c r="F67" i="44"/>
  <c r="G67" i="44"/>
  <c r="H67" i="44"/>
  <c r="I67" i="44"/>
  <c r="J67" i="44"/>
  <c r="K67" i="44"/>
  <c r="L67" i="44"/>
  <c r="M67" i="44"/>
  <c r="N67" i="44"/>
  <c r="O67" i="44"/>
  <c r="P67" i="44"/>
  <c r="Q67" i="44"/>
  <c r="R67" i="44"/>
  <c r="S67" i="44"/>
  <c r="T67" i="44"/>
  <c r="U67" i="44"/>
  <c r="E68" i="44"/>
  <c r="F68" i="44"/>
  <c r="G68" i="44"/>
  <c r="H68" i="44"/>
  <c r="I68" i="44"/>
  <c r="J68" i="44"/>
  <c r="K68" i="44"/>
  <c r="L68" i="44"/>
  <c r="M68" i="44"/>
  <c r="N68" i="44"/>
  <c r="O68" i="44"/>
  <c r="P68" i="44"/>
  <c r="Q68" i="44"/>
  <c r="R68" i="44"/>
  <c r="S68" i="44"/>
  <c r="T68" i="44"/>
  <c r="U68" i="44"/>
  <c r="V68" i="44"/>
  <c r="X68" i="44"/>
  <c r="Y68" i="44"/>
  <c r="Z68" i="44"/>
  <c r="AC68" i="44"/>
  <c r="AD68" i="44"/>
  <c r="AE68" i="44"/>
  <c r="AH68" i="44"/>
  <c r="AI68" i="44"/>
  <c r="AJ68" i="44"/>
  <c r="AM68" i="44"/>
  <c r="AN68" i="44"/>
  <c r="AO68" i="44"/>
  <c r="AR68" i="44"/>
  <c r="AS68" i="44"/>
  <c r="AT68" i="44"/>
  <c r="E69" i="44"/>
  <c r="F69" i="44"/>
  <c r="G69" i="44"/>
  <c r="H69" i="44"/>
  <c r="I69" i="44"/>
  <c r="J69" i="44"/>
  <c r="K69" i="44"/>
  <c r="L69" i="44"/>
  <c r="M69" i="44"/>
  <c r="N69" i="44"/>
  <c r="O69" i="44"/>
  <c r="P69" i="44"/>
  <c r="Q69" i="44"/>
  <c r="R69" i="44"/>
  <c r="S69" i="44"/>
  <c r="T69" i="44"/>
  <c r="U69" i="44"/>
  <c r="V69" i="44"/>
  <c r="E70" i="44"/>
  <c r="F70" i="44"/>
  <c r="G70" i="44"/>
  <c r="H70" i="44"/>
  <c r="I70" i="44"/>
  <c r="J70" i="44"/>
  <c r="K70" i="44"/>
  <c r="L70" i="44"/>
  <c r="M70" i="44"/>
  <c r="N70" i="44"/>
  <c r="O70" i="44"/>
  <c r="P70" i="44"/>
  <c r="Q70" i="44"/>
  <c r="R70" i="44"/>
  <c r="S70" i="44"/>
  <c r="T70" i="44"/>
  <c r="U70" i="44"/>
  <c r="E71" i="44"/>
  <c r="F71" i="44"/>
  <c r="G71" i="44"/>
  <c r="H71" i="44"/>
  <c r="I71" i="44"/>
  <c r="J71" i="44"/>
  <c r="K71" i="44"/>
  <c r="L71" i="44"/>
  <c r="M71" i="44"/>
  <c r="N71" i="44"/>
  <c r="O71" i="44"/>
  <c r="P71" i="44"/>
  <c r="Q71" i="44"/>
  <c r="R71" i="44"/>
  <c r="S71" i="44"/>
  <c r="T71" i="44"/>
  <c r="U71" i="44"/>
  <c r="E72" i="44"/>
  <c r="F72" i="44"/>
  <c r="G72" i="44"/>
  <c r="H72" i="44"/>
  <c r="I72" i="44"/>
  <c r="J72" i="44"/>
  <c r="K72" i="44"/>
  <c r="L72" i="44"/>
  <c r="M72" i="44"/>
  <c r="N72" i="44"/>
  <c r="O72" i="44"/>
  <c r="P72" i="44"/>
  <c r="Q72" i="44"/>
  <c r="R72" i="44"/>
  <c r="S72" i="44"/>
  <c r="T72" i="44"/>
  <c r="U72" i="44"/>
  <c r="D42" i="44"/>
  <c r="D43" i="44"/>
  <c r="D44" i="44"/>
  <c r="D45" i="44"/>
  <c r="D46" i="44"/>
  <c r="D47" i="44"/>
  <c r="D48" i="44"/>
  <c r="D49" i="44"/>
  <c r="D50" i="44"/>
  <c r="D51" i="44"/>
  <c r="D52" i="44"/>
  <c r="D53" i="44"/>
  <c r="D54" i="44"/>
  <c r="D55" i="44"/>
  <c r="D56" i="44"/>
  <c r="D57" i="44"/>
  <c r="D58" i="44"/>
  <c r="D59" i="44"/>
  <c r="D60" i="44"/>
  <c r="D61" i="44"/>
  <c r="D62" i="44"/>
  <c r="D63" i="44"/>
  <c r="D64" i="44"/>
  <c r="D65" i="44"/>
  <c r="D66" i="44"/>
  <c r="D67" i="44"/>
  <c r="D68" i="44"/>
  <c r="D69" i="44"/>
  <c r="D70" i="44"/>
  <c r="D71" i="44"/>
  <c r="D72" i="44"/>
  <c r="D41" i="44"/>
  <c r="E5" i="44"/>
  <c r="F5" i="44"/>
  <c r="G5" i="44"/>
  <c r="H5" i="44"/>
  <c r="I5" i="44"/>
  <c r="J5" i="44"/>
  <c r="K5" i="44"/>
  <c r="L5" i="44"/>
  <c r="M5" i="44"/>
  <c r="N5" i="44"/>
  <c r="O5" i="44"/>
  <c r="P5" i="44"/>
  <c r="Q5" i="44"/>
  <c r="R5" i="44"/>
  <c r="S5" i="44"/>
  <c r="T5" i="44"/>
  <c r="U5" i="44"/>
  <c r="V5" i="44"/>
  <c r="E6" i="44"/>
  <c r="F6" i="44"/>
  <c r="G6" i="44"/>
  <c r="H6" i="44"/>
  <c r="I6" i="44"/>
  <c r="J6" i="44"/>
  <c r="K6" i="44"/>
  <c r="L6" i="44"/>
  <c r="M6" i="44"/>
  <c r="N6" i="44"/>
  <c r="O6" i="44"/>
  <c r="P6" i="44"/>
  <c r="Q6" i="44"/>
  <c r="R6" i="44"/>
  <c r="S6" i="44"/>
  <c r="T6" i="44"/>
  <c r="U6" i="44"/>
  <c r="V6" i="44"/>
  <c r="E7" i="44"/>
  <c r="F7" i="44"/>
  <c r="G7" i="44"/>
  <c r="H7" i="44"/>
  <c r="I7" i="44"/>
  <c r="J7" i="44"/>
  <c r="K7" i="44"/>
  <c r="L7" i="44"/>
  <c r="M7" i="44"/>
  <c r="N7" i="44"/>
  <c r="O7" i="44"/>
  <c r="P7" i="44"/>
  <c r="Q7" i="44"/>
  <c r="R7" i="44"/>
  <c r="S7" i="44"/>
  <c r="T7" i="44"/>
  <c r="U7" i="44"/>
  <c r="V7" i="44"/>
  <c r="X7" i="44"/>
  <c r="Y7" i="44"/>
  <c r="Z7" i="44"/>
  <c r="AC7" i="44"/>
  <c r="AD7" i="44"/>
  <c r="AE7" i="44"/>
  <c r="AH7" i="44"/>
  <c r="AI7" i="44"/>
  <c r="AJ7" i="44"/>
  <c r="AM7" i="44"/>
  <c r="AN7" i="44"/>
  <c r="AO7" i="44"/>
  <c r="AR7" i="44"/>
  <c r="AS7" i="44"/>
  <c r="AT7" i="44"/>
  <c r="E8" i="44"/>
  <c r="F8" i="44"/>
  <c r="G8" i="44"/>
  <c r="H8" i="44"/>
  <c r="I8" i="44"/>
  <c r="J8" i="44"/>
  <c r="K8" i="44"/>
  <c r="L8" i="44"/>
  <c r="M8" i="44"/>
  <c r="N8" i="44"/>
  <c r="O8" i="44"/>
  <c r="P8" i="44"/>
  <c r="Q8" i="44"/>
  <c r="R8" i="44"/>
  <c r="S8" i="44"/>
  <c r="T8" i="44"/>
  <c r="U8" i="44"/>
  <c r="E9" i="44"/>
  <c r="F9" i="44"/>
  <c r="G9" i="44"/>
  <c r="H9" i="44"/>
  <c r="I9" i="44"/>
  <c r="J9" i="44"/>
  <c r="K9" i="44"/>
  <c r="L9" i="44"/>
  <c r="M9" i="44"/>
  <c r="N9" i="44"/>
  <c r="O9" i="44"/>
  <c r="P9" i="44"/>
  <c r="Q9" i="44"/>
  <c r="R9" i="44"/>
  <c r="S9" i="44"/>
  <c r="T9" i="44"/>
  <c r="U9" i="44"/>
  <c r="V9" i="44"/>
  <c r="E10" i="44"/>
  <c r="F10" i="44"/>
  <c r="G10" i="44"/>
  <c r="H10" i="44"/>
  <c r="I10" i="44"/>
  <c r="J10" i="44"/>
  <c r="K10" i="44"/>
  <c r="L10" i="44"/>
  <c r="M10" i="44"/>
  <c r="N10" i="44"/>
  <c r="O10" i="44"/>
  <c r="P10" i="44"/>
  <c r="Q10" i="44"/>
  <c r="R10" i="44"/>
  <c r="S10" i="44"/>
  <c r="T10" i="44"/>
  <c r="U10" i="44"/>
  <c r="V10" i="44"/>
  <c r="E11" i="44"/>
  <c r="F11" i="44"/>
  <c r="G11" i="44"/>
  <c r="H11" i="44"/>
  <c r="I11" i="44"/>
  <c r="J11" i="44"/>
  <c r="K11" i="44"/>
  <c r="L11" i="44"/>
  <c r="M11" i="44"/>
  <c r="N11" i="44"/>
  <c r="O11" i="44"/>
  <c r="P11" i="44"/>
  <c r="Q11" i="44"/>
  <c r="R11" i="44"/>
  <c r="S11" i="44"/>
  <c r="T11" i="44"/>
  <c r="U11" i="44"/>
  <c r="V11" i="44"/>
  <c r="E12" i="44"/>
  <c r="F12" i="44"/>
  <c r="G12" i="44"/>
  <c r="H12" i="44"/>
  <c r="I12" i="44"/>
  <c r="J12" i="44"/>
  <c r="K12" i="44"/>
  <c r="L12" i="44"/>
  <c r="M12" i="44"/>
  <c r="N12" i="44"/>
  <c r="O12" i="44"/>
  <c r="P12" i="44"/>
  <c r="Q12" i="44"/>
  <c r="R12" i="44"/>
  <c r="S12" i="44"/>
  <c r="T12" i="44"/>
  <c r="U12" i="44"/>
  <c r="V12" i="44"/>
  <c r="E13" i="44"/>
  <c r="F13" i="44"/>
  <c r="G13" i="44"/>
  <c r="H13" i="44"/>
  <c r="I13" i="44"/>
  <c r="J13" i="44"/>
  <c r="K13" i="44"/>
  <c r="L13" i="44"/>
  <c r="M13" i="44"/>
  <c r="N13" i="44"/>
  <c r="O13" i="44"/>
  <c r="P13" i="44"/>
  <c r="Q13" i="44"/>
  <c r="R13" i="44"/>
  <c r="S13" i="44"/>
  <c r="T13" i="44"/>
  <c r="U13" i="44"/>
  <c r="V13" i="44"/>
  <c r="E14" i="44"/>
  <c r="F14" i="44"/>
  <c r="G14" i="44"/>
  <c r="H14" i="44"/>
  <c r="I14" i="44"/>
  <c r="J14" i="44"/>
  <c r="K14" i="44"/>
  <c r="L14" i="44"/>
  <c r="M14" i="44"/>
  <c r="N14" i="44"/>
  <c r="O14" i="44"/>
  <c r="P14" i="44"/>
  <c r="Q14" i="44"/>
  <c r="R14" i="44"/>
  <c r="S14" i="44"/>
  <c r="T14" i="44"/>
  <c r="U14" i="44"/>
  <c r="V14" i="44"/>
  <c r="E15" i="44"/>
  <c r="F15" i="44"/>
  <c r="G15" i="44"/>
  <c r="H15" i="44"/>
  <c r="I15" i="44"/>
  <c r="J15" i="44"/>
  <c r="K15" i="44"/>
  <c r="L15" i="44"/>
  <c r="M15" i="44"/>
  <c r="N15" i="44"/>
  <c r="O15" i="44"/>
  <c r="P15" i="44"/>
  <c r="Q15" i="44"/>
  <c r="R15" i="44"/>
  <c r="S15" i="44"/>
  <c r="T15" i="44"/>
  <c r="U15" i="44"/>
  <c r="E16" i="44"/>
  <c r="F16" i="44"/>
  <c r="G16" i="44"/>
  <c r="H16" i="44"/>
  <c r="I16" i="44"/>
  <c r="J16" i="44"/>
  <c r="K16" i="44"/>
  <c r="L16" i="44"/>
  <c r="M16" i="44"/>
  <c r="N16" i="44"/>
  <c r="O16" i="44"/>
  <c r="P16" i="44"/>
  <c r="Q16" i="44"/>
  <c r="R16" i="44"/>
  <c r="S16" i="44"/>
  <c r="T16" i="44"/>
  <c r="U16" i="44"/>
  <c r="V16" i="44"/>
  <c r="E17" i="44"/>
  <c r="F17" i="44"/>
  <c r="G17" i="44"/>
  <c r="H17" i="44"/>
  <c r="I17" i="44"/>
  <c r="J17" i="44"/>
  <c r="K17" i="44"/>
  <c r="L17" i="44"/>
  <c r="M17" i="44"/>
  <c r="N17" i="44"/>
  <c r="O17" i="44"/>
  <c r="P17" i="44"/>
  <c r="Q17" i="44"/>
  <c r="R17" i="44"/>
  <c r="S17" i="44"/>
  <c r="T17" i="44"/>
  <c r="U17" i="44"/>
  <c r="E18" i="44"/>
  <c r="F18" i="44"/>
  <c r="G18" i="44"/>
  <c r="H18" i="44"/>
  <c r="I18" i="44"/>
  <c r="J18" i="44"/>
  <c r="K18" i="44"/>
  <c r="L18" i="44"/>
  <c r="M18" i="44"/>
  <c r="N18" i="44"/>
  <c r="O18" i="44"/>
  <c r="P18" i="44"/>
  <c r="Q18" i="44"/>
  <c r="R18" i="44"/>
  <c r="S18" i="44"/>
  <c r="T18" i="44"/>
  <c r="U18" i="44"/>
  <c r="E19" i="44"/>
  <c r="F19" i="44"/>
  <c r="G19" i="44"/>
  <c r="H19" i="44"/>
  <c r="I19" i="44"/>
  <c r="J19" i="44"/>
  <c r="K19" i="44"/>
  <c r="L19" i="44"/>
  <c r="M19" i="44"/>
  <c r="N19" i="44"/>
  <c r="O19" i="44"/>
  <c r="P19" i="44"/>
  <c r="Q19" i="44"/>
  <c r="R19" i="44"/>
  <c r="S19" i="44"/>
  <c r="T19" i="44"/>
  <c r="U19" i="44"/>
  <c r="E20" i="44"/>
  <c r="F20" i="44"/>
  <c r="G20" i="44"/>
  <c r="H20" i="44"/>
  <c r="I20" i="44"/>
  <c r="J20" i="44"/>
  <c r="K20" i="44"/>
  <c r="L20" i="44"/>
  <c r="M20" i="44"/>
  <c r="N20" i="44"/>
  <c r="O20" i="44"/>
  <c r="P20" i="44"/>
  <c r="Q20" i="44"/>
  <c r="R20" i="44"/>
  <c r="S20" i="44"/>
  <c r="T20" i="44"/>
  <c r="U20" i="44"/>
  <c r="V20" i="44"/>
  <c r="W20" i="44"/>
  <c r="X20" i="44"/>
  <c r="Y20" i="44"/>
  <c r="Z20" i="44"/>
  <c r="AA20" i="44"/>
  <c r="AB20" i="44"/>
  <c r="AC20" i="44"/>
  <c r="AD20" i="44"/>
  <c r="AE20" i="44"/>
  <c r="AF20" i="44"/>
  <c r="AG20" i="44"/>
  <c r="AH20" i="44"/>
  <c r="AI20" i="44"/>
  <c r="AJ20" i="44"/>
  <c r="AK20" i="44"/>
  <c r="AL20" i="44"/>
  <c r="AM20" i="44"/>
  <c r="AN20" i="44"/>
  <c r="AO20" i="44"/>
  <c r="AP20" i="44"/>
  <c r="AQ20" i="44"/>
  <c r="AR20" i="44"/>
  <c r="AS20" i="44"/>
  <c r="AT20" i="44"/>
  <c r="AU20" i="44"/>
  <c r="AV20" i="44"/>
  <c r="E21" i="44"/>
  <c r="F21" i="44"/>
  <c r="G21" i="44"/>
  <c r="H21" i="44"/>
  <c r="I21" i="44"/>
  <c r="J21" i="44"/>
  <c r="K21" i="44"/>
  <c r="L21" i="44"/>
  <c r="M21" i="44"/>
  <c r="N21" i="44"/>
  <c r="O21" i="44"/>
  <c r="P21" i="44"/>
  <c r="Q21" i="44"/>
  <c r="R21" i="44"/>
  <c r="S21" i="44"/>
  <c r="T21" i="44"/>
  <c r="U21" i="44"/>
  <c r="V21" i="44"/>
  <c r="E22" i="44"/>
  <c r="F22" i="44"/>
  <c r="G22" i="44"/>
  <c r="H22" i="44"/>
  <c r="I22" i="44"/>
  <c r="J22" i="44"/>
  <c r="K22" i="44"/>
  <c r="L22" i="44"/>
  <c r="M22" i="44"/>
  <c r="N22" i="44"/>
  <c r="O22" i="44"/>
  <c r="P22" i="44"/>
  <c r="Q22" i="44"/>
  <c r="R22" i="44"/>
  <c r="S22" i="44"/>
  <c r="T22" i="44"/>
  <c r="U22" i="44"/>
  <c r="V22" i="44"/>
  <c r="E23" i="44"/>
  <c r="F23" i="44"/>
  <c r="G23" i="44"/>
  <c r="H23" i="44"/>
  <c r="I23" i="44"/>
  <c r="J23" i="44"/>
  <c r="K23" i="44"/>
  <c r="L23" i="44"/>
  <c r="M23" i="44"/>
  <c r="N23" i="44"/>
  <c r="O23" i="44"/>
  <c r="P23" i="44"/>
  <c r="Q23" i="44"/>
  <c r="R23" i="44"/>
  <c r="S23" i="44"/>
  <c r="T23" i="44"/>
  <c r="U23" i="44"/>
  <c r="E24" i="44"/>
  <c r="F24" i="44"/>
  <c r="G24" i="44"/>
  <c r="H24" i="44"/>
  <c r="I24" i="44"/>
  <c r="J24" i="44"/>
  <c r="K24" i="44"/>
  <c r="L24" i="44"/>
  <c r="M24" i="44"/>
  <c r="N24" i="44"/>
  <c r="O24" i="44"/>
  <c r="P24" i="44"/>
  <c r="Q24" i="44"/>
  <c r="R24" i="44"/>
  <c r="S24" i="44"/>
  <c r="T24" i="44"/>
  <c r="U24" i="44"/>
  <c r="E25" i="44"/>
  <c r="F25" i="44"/>
  <c r="G25" i="44"/>
  <c r="H25" i="44"/>
  <c r="I25" i="44"/>
  <c r="J25" i="44"/>
  <c r="K25" i="44"/>
  <c r="L25" i="44"/>
  <c r="M25" i="44"/>
  <c r="N25" i="44"/>
  <c r="O25" i="44"/>
  <c r="P25" i="44"/>
  <c r="Q25" i="44"/>
  <c r="R25" i="44"/>
  <c r="S25" i="44"/>
  <c r="T25" i="44"/>
  <c r="U25" i="44"/>
  <c r="E26" i="44"/>
  <c r="F26" i="44"/>
  <c r="G26" i="44"/>
  <c r="H26" i="44"/>
  <c r="I26" i="44"/>
  <c r="J26" i="44"/>
  <c r="K26" i="44"/>
  <c r="L26" i="44"/>
  <c r="M26" i="44"/>
  <c r="N26" i="44"/>
  <c r="O26" i="44"/>
  <c r="P26" i="44"/>
  <c r="Q26" i="44"/>
  <c r="R26" i="44"/>
  <c r="S26" i="44"/>
  <c r="T26" i="44"/>
  <c r="U26" i="44"/>
  <c r="V26" i="44"/>
  <c r="E27" i="44"/>
  <c r="F27" i="44"/>
  <c r="G27" i="44"/>
  <c r="H27" i="44"/>
  <c r="I27" i="44"/>
  <c r="J27" i="44"/>
  <c r="K27" i="44"/>
  <c r="L27" i="44"/>
  <c r="M27" i="44"/>
  <c r="N27" i="44"/>
  <c r="O27" i="44"/>
  <c r="P27" i="44"/>
  <c r="Q27" i="44"/>
  <c r="R27" i="44"/>
  <c r="S27" i="44"/>
  <c r="T27" i="44"/>
  <c r="U27" i="44"/>
  <c r="E28" i="44"/>
  <c r="F28" i="44"/>
  <c r="G28" i="44"/>
  <c r="H28" i="44"/>
  <c r="I28" i="44"/>
  <c r="J28" i="44"/>
  <c r="K28" i="44"/>
  <c r="L28" i="44"/>
  <c r="M28" i="44"/>
  <c r="N28" i="44"/>
  <c r="O28" i="44"/>
  <c r="P28" i="44"/>
  <c r="Q28" i="44"/>
  <c r="R28" i="44"/>
  <c r="S28" i="44"/>
  <c r="T28" i="44"/>
  <c r="U28" i="44"/>
  <c r="E29" i="44"/>
  <c r="F29" i="44"/>
  <c r="G29" i="44"/>
  <c r="H29" i="44"/>
  <c r="I29" i="44"/>
  <c r="J29" i="44"/>
  <c r="K29" i="44"/>
  <c r="L29" i="44"/>
  <c r="M29" i="44"/>
  <c r="N29" i="44"/>
  <c r="O29" i="44"/>
  <c r="P29" i="44"/>
  <c r="Q29" i="44"/>
  <c r="R29" i="44"/>
  <c r="S29" i="44"/>
  <c r="T29" i="44"/>
  <c r="U29" i="44"/>
  <c r="E30" i="44"/>
  <c r="F30" i="44"/>
  <c r="G30" i="44"/>
  <c r="H30" i="44"/>
  <c r="I30" i="44"/>
  <c r="J30" i="44"/>
  <c r="K30" i="44"/>
  <c r="L30" i="44"/>
  <c r="M30" i="44"/>
  <c r="N30" i="44"/>
  <c r="O30" i="44"/>
  <c r="P30" i="44"/>
  <c r="Q30" i="44"/>
  <c r="R30" i="44"/>
  <c r="S30" i="44"/>
  <c r="T30" i="44"/>
  <c r="U30" i="44"/>
  <c r="E31" i="44"/>
  <c r="F31" i="44"/>
  <c r="G31" i="44"/>
  <c r="H31" i="44"/>
  <c r="I31" i="44"/>
  <c r="J31" i="44"/>
  <c r="K31" i="44"/>
  <c r="L31" i="44"/>
  <c r="M31" i="44"/>
  <c r="N31" i="44"/>
  <c r="O31" i="44"/>
  <c r="P31" i="44"/>
  <c r="Q31" i="44"/>
  <c r="R31" i="44"/>
  <c r="S31" i="44"/>
  <c r="T31" i="44"/>
  <c r="U31" i="44"/>
  <c r="V31" i="44"/>
  <c r="E32" i="44"/>
  <c r="F32" i="44"/>
  <c r="G32" i="44"/>
  <c r="H32" i="44"/>
  <c r="I32" i="44"/>
  <c r="J32" i="44"/>
  <c r="K32" i="44"/>
  <c r="L32" i="44"/>
  <c r="M32" i="44"/>
  <c r="N32" i="44"/>
  <c r="O32" i="44"/>
  <c r="P32" i="44"/>
  <c r="Q32" i="44"/>
  <c r="R32" i="44"/>
  <c r="S32" i="44"/>
  <c r="T32" i="44"/>
  <c r="U32" i="44"/>
  <c r="E33" i="44"/>
  <c r="F33" i="44"/>
  <c r="G33" i="44"/>
  <c r="H33" i="44"/>
  <c r="I33" i="44"/>
  <c r="J33" i="44"/>
  <c r="K33" i="44"/>
  <c r="L33" i="44"/>
  <c r="M33" i="44"/>
  <c r="N33" i="44"/>
  <c r="O33" i="44"/>
  <c r="P33" i="44"/>
  <c r="Q33" i="44"/>
  <c r="R33" i="44"/>
  <c r="S33" i="44"/>
  <c r="T33" i="44"/>
  <c r="U33" i="44"/>
  <c r="E34" i="44"/>
  <c r="F34" i="44"/>
  <c r="G34" i="44"/>
  <c r="H34" i="44"/>
  <c r="I34" i="44"/>
  <c r="J34" i="44"/>
  <c r="K34" i="44"/>
  <c r="L34" i="44"/>
  <c r="M34" i="44"/>
  <c r="N34" i="44"/>
  <c r="O34" i="44"/>
  <c r="P34" i="44"/>
  <c r="Q34" i="44"/>
  <c r="R34" i="44"/>
  <c r="S34" i="44"/>
  <c r="T34" i="44"/>
  <c r="U34" i="44"/>
  <c r="E35" i="44"/>
  <c r="F35" i="44"/>
  <c r="G35" i="44"/>
  <c r="H35" i="44"/>
  <c r="I35" i="44"/>
  <c r="J35" i="44"/>
  <c r="K35" i="44"/>
  <c r="L35" i="44"/>
  <c r="M35" i="44"/>
  <c r="N35" i="44"/>
  <c r="O35" i="44"/>
  <c r="P35" i="44"/>
  <c r="Q35" i="44"/>
  <c r="R35" i="44"/>
  <c r="S35" i="44"/>
  <c r="T35" i="44"/>
  <c r="U35" i="44"/>
  <c r="V35" i="44"/>
  <c r="E36" i="44"/>
  <c r="F36" i="44"/>
  <c r="G36" i="44"/>
  <c r="H36" i="44"/>
  <c r="I36" i="44"/>
  <c r="J36" i="44"/>
  <c r="K36" i="44"/>
  <c r="L36" i="44"/>
  <c r="M36" i="44"/>
  <c r="N36" i="44"/>
  <c r="O36" i="44"/>
  <c r="P36" i="44"/>
  <c r="Q36" i="44"/>
  <c r="R36" i="44"/>
  <c r="S36" i="44"/>
  <c r="T36" i="44"/>
  <c r="U36" i="44"/>
  <c r="V36" i="44"/>
  <c r="X36" i="44"/>
  <c r="Y36" i="44"/>
  <c r="Z36" i="44"/>
  <c r="AA36" i="44"/>
  <c r="AC36" i="44"/>
  <c r="AD36" i="44"/>
  <c r="AE36" i="44"/>
  <c r="AF36" i="44"/>
  <c r="AH36" i="44"/>
  <c r="AI36" i="44"/>
  <c r="AJ36" i="44"/>
  <c r="AK36" i="44"/>
  <c r="AM36" i="44"/>
  <c r="AN36" i="44"/>
  <c r="AO36" i="44"/>
  <c r="AP36" i="44"/>
  <c r="AR36" i="44"/>
  <c r="AS36" i="44"/>
  <c r="AT36" i="44"/>
  <c r="AU36" i="44"/>
  <c r="E37" i="44"/>
  <c r="F37" i="44"/>
  <c r="G37" i="44"/>
  <c r="H37" i="44"/>
  <c r="I37" i="44"/>
  <c r="J37" i="44"/>
  <c r="K37" i="44"/>
  <c r="L37" i="44"/>
  <c r="M37" i="44"/>
  <c r="N37" i="44"/>
  <c r="O37" i="44"/>
  <c r="P37" i="44"/>
  <c r="Q37" i="44"/>
  <c r="R37" i="44"/>
  <c r="S37" i="44"/>
  <c r="T37" i="44"/>
  <c r="U37" i="44"/>
  <c r="V37" i="44"/>
  <c r="W37" i="44"/>
  <c r="X37" i="44"/>
  <c r="Y37" i="44"/>
  <c r="Z37" i="44"/>
  <c r="AA37" i="44"/>
  <c r="AB37" i="44"/>
  <c r="AC37" i="44"/>
  <c r="AD37" i="44"/>
  <c r="AE37" i="44"/>
  <c r="AF37" i="44"/>
  <c r="AG37" i="44"/>
  <c r="AH37" i="44"/>
  <c r="AI37" i="44"/>
  <c r="AJ37" i="44"/>
  <c r="AK37" i="44"/>
  <c r="AL37" i="44"/>
  <c r="AM37" i="44"/>
  <c r="AN37" i="44"/>
  <c r="AO37" i="44"/>
  <c r="AP37" i="44"/>
  <c r="AQ37" i="44"/>
  <c r="AR37" i="44"/>
  <c r="AS37" i="44"/>
  <c r="AT37" i="44"/>
  <c r="AU37" i="44"/>
  <c r="AV37" i="44"/>
  <c r="D6" i="44"/>
  <c r="D7" i="44"/>
  <c r="D8" i="44"/>
  <c r="D9" i="44"/>
  <c r="D10" i="44"/>
  <c r="D11" i="44"/>
  <c r="D12" i="44"/>
  <c r="D13" i="44"/>
  <c r="D14" i="44"/>
  <c r="D15" i="44"/>
  <c r="D16" i="44"/>
  <c r="D17" i="44"/>
  <c r="D18" i="44"/>
  <c r="D19" i="44"/>
  <c r="D20" i="44"/>
  <c r="D21" i="44"/>
  <c r="D22" i="44"/>
  <c r="D23" i="44"/>
  <c r="D24" i="44"/>
  <c r="D25" i="44"/>
  <c r="D26" i="44"/>
  <c r="D27" i="44"/>
  <c r="D28" i="44"/>
  <c r="D29" i="44"/>
  <c r="D30" i="44"/>
  <c r="D31" i="44"/>
  <c r="D32" i="44"/>
  <c r="D33" i="44"/>
  <c r="D34" i="44"/>
  <c r="D35" i="44"/>
  <c r="D36" i="44"/>
  <c r="D37" i="44"/>
  <c r="D5" i="44"/>
  <c r="AH18" i="73" l="1"/>
  <c r="AH18" i="70" s="1"/>
  <c r="AH172" i="73"/>
  <c r="AH28" i="73" s="1"/>
  <c r="AI170" i="73"/>
  <c r="AI170" i="70" s="1"/>
  <c r="AI168" i="70"/>
  <c r="AG18" i="73"/>
  <c r="AG18" i="70" s="1"/>
  <c r="AF18" i="70"/>
  <c r="AH117" i="70"/>
  <c r="AD121" i="70"/>
  <c r="AG102" i="73"/>
  <c r="AG102" i="70" s="1"/>
  <c r="AF102" i="70"/>
  <c r="AG120" i="73"/>
  <c r="AG118" i="70"/>
  <c r="AF120" i="73"/>
  <c r="AF118" i="70"/>
  <c r="AE121" i="73"/>
  <c r="AE120" i="70"/>
  <c r="AL129" i="73"/>
  <c r="AM129" i="73"/>
  <c r="AJ173" i="73"/>
  <c r="AI173" i="70"/>
  <c r="AG28" i="73"/>
  <c r="AK165" i="73"/>
  <c r="AJ168" i="73"/>
  <c r="AP77" i="73"/>
  <c r="AI47" i="75"/>
  <c r="AI29" i="75"/>
  <c r="AI63" i="74"/>
  <c r="AJ28" i="74"/>
  <c r="AJ22" i="73"/>
  <c r="AJ17" i="75"/>
  <c r="AK10" i="74"/>
  <c r="AK13" i="74"/>
  <c r="AI58" i="75"/>
  <c r="AE85" i="73"/>
  <c r="AE87" i="73" s="1"/>
  <c r="AF83" i="73"/>
  <c r="S41" i="75"/>
  <c r="W41" i="75"/>
  <c r="AO35" i="73"/>
  <c r="AN143" i="73"/>
  <c r="AF30" i="73"/>
  <c r="AJ33" i="75"/>
  <c r="AJ57" i="75" s="1"/>
  <c r="AP54" i="74"/>
  <c r="AK125" i="73"/>
  <c r="AL125" i="73"/>
  <c r="AI77" i="73"/>
  <c r="AM77" i="73"/>
  <c r="AH118" i="73"/>
  <c r="AI117" i="73"/>
  <c r="AI117" i="70" s="1"/>
  <c r="N46" i="75"/>
  <c r="N48" i="75" s="1"/>
  <c r="N144" i="73"/>
  <c r="N11" i="74"/>
  <c r="N20" i="74" s="1"/>
  <c r="Z74" i="73"/>
  <c r="Z76" i="73" s="1"/>
  <c r="Z78" i="73" s="1"/>
  <c r="Y90" i="73"/>
  <c r="AT44" i="73"/>
  <c r="AI44" i="73"/>
  <c r="J53" i="74"/>
  <c r="J43" i="74"/>
  <c r="P40" i="75"/>
  <c r="P41" i="75" s="1"/>
  <c r="O6" i="74"/>
  <c r="AJ20" i="75"/>
  <c r="AK25" i="74"/>
  <c r="AT77" i="73"/>
  <c r="Z46" i="73"/>
  <c r="Z62" i="73"/>
  <c r="Z59" i="73"/>
  <c r="AD6" i="73"/>
  <c r="AU44" i="73"/>
  <c r="AA41" i="73"/>
  <c r="AA43" i="73"/>
  <c r="AA45" i="73" s="1"/>
  <c r="AB45" i="73" s="1"/>
  <c r="AB46" i="73" s="1"/>
  <c r="Z57" i="73"/>
  <c r="AM9" i="75"/>
  <c r="AK21" i="75"/>
  <c r="AL21" i="75" s="1"/>
  <c r="AL23" i="74"/>
  <c r="AM23" i="74"/>
  <c r="AP163" i="73"/>
  <c r="AP163" i="70" s="1"/>
  <c r="AO69" i="73"/>
  <c r="AM136" i="73"/>
  <c r="K46" i="75"/>
  <c r="K48" i="75" s="1"/>
  <c r="K11" i="74"/>
  <c r="K20" i="74" s="1"/>
  <c r="K144" i="73"/>
  <c r="AR44" i="73"/>
  <c r="AN136" i="73"/>
  <c r="AO119" i="73"/>
  <c r="AN16" i="73"/>
  <c r="AN9" i="75" s="1"/>
  <c r="AN10" i="75" s="1"/>
  <c r="L46" i="75"/>
  <c r="L48" i="75" s="1"/>
  <c r="L11" i="74"/>
  <c r="L20" i="74" s="1"/>
  <c r="M6" i="74"/>
  <c r="L144" i="73"/>
  <c r="AR54" i="74"/>
  <c r="AS54" i="74" s="1"/>
  <c r="AH155" i="73"/>
  <c r="AI153" i="73"/>
  <c r="AJ19" i="75"/>
  <c r="AK27" i="74"/>
  <c r="AJ16" i="74"/>
  <c r="AJ8" i="75" s="1"/>
  <c r="AH102" i="73"/>
  <c r="AH102" i="70" s="1"/>
  <c r="AF14" i="73"/>
  <c r="AF52" i="73"/>
  <c r="AF54" i="73" s="1"/>
  <c r="AH50" i="73"/>
  <c r="AG50" i="73"/>
  <c r="AB54" i="65"/>
  <c r="AF18" i="65"/>
  <c r="AG18" i="65" s="1"/>
  <c r="AF172" i="65"/>
  <c r="AF172" i="70" s="1"/>
  <c r="AK55" i="66"/>
  <c r="AM54" i="66"/>
  <c r="AN54" i="66" s="1"/>
  <c r="AG120" i="65"/>
  <c r="AA87" i="65"/>
  <c r="AB87" i="65" s="1"/>
  <c r="AI86" i="65"/>
  <c r="Y76" i="65"/>
  <c r="AC54" i="65"/>
  <c r="Z134" i="65"/>
  <c r="AN53" i="65"/>
  <c r="AM55" i="66"/>
  <c r="AM40" i="66"/>
  <c r="AL40" i="66"/>
  <c r="AM39" i="66"/>
  <c r="AL39" i="66"/>
  <c r="AM32" i="66"/>
  <c r="AL32" i="66"/>
  <c r="AL31" i="66"/>
  <c r="AM31" i="66"/>
  <c r="AM34" i="66"/>
  <c r="AL34" i="66"/>
  <c r="AM33" i="66"/>
  <c r="AL33" i="66"/>
  <c r="AI8" i="67"/>
  <c r="AM26" i="66"/>
  <c r="AL26" i="66"/>
  <c r="AM24" i="66"/>
  <c r="AL24" i="66"/>
  <c r="AM19" i="66"/>
  <c r="AL19" i="66"/>
  <c r="AM18" i="66"/>
  <c r="AL18" i="66"/>
  <c r="AL15" i="66"/>
  <c r="AM15" i="66"/>
  <c r="AI102" i="65"/>
  <c r="AH170" i="65"/>
  <c r="AF120" i="65"/>
  <c r="AI117" i="65"/>
  <c r="AH118" i="65"/>
  <c r="AE121" i="65"/>
  <c r="AF28" i="65"/>
  <c r="AF28" i="70" s="1"/>
  <c r="AG14" i="65"/>
  <c r="AE28" i="65"/>
  <c r="AE28" i="70" s="1"/>
  <c r="AP145" i="65"/>
  <c r="AJ128" i="65"/>
  <c r="AJ126" i="65"/>
  <c r="AJ129" i="65"/>
  <c r="AJ129" i="70" s="1"/>
  <c r="AF10" i="67"/>
  <c r="AD31" i="65"/>
  <c r="AG58" i="67"/>
  <c r="AJ26" i="65"/>
  <c r="I43" i="71"/>
  <c r="Y79" i="65"/>
  <c r="Y92" i="65"/>
  <c r="AJ69" i="65"/>
  <c r="AJ69" i="70" s="1"/>
  <c r="S40" i="67"/>
  <c r="W40" i="67"/>
  <c r="L40" i="67"/>
  <c r="L41" i="67" s="1"/>
  <c r="L6" i="66" s="1"/>
  <c r="K6" i="66"/>
  <c r="J46" i="67"/>
  <c r="J48" i="67" s="1"/>
  <c r="J144" i="65"/>
  <c r="J11" i="66"/>
  <c r="J20" i="66" s="1"/>
  <c r="AI21" i="67"/>
  <c r="AJ23" i="66"/>
  <c r="O40" i="67"/>
  <c r="O41" i="67" s="1"/>
  <c r="N6" i="66"/>
  <c r="AD52" i="65"/>
  <c r="AE50" i="65"/>
  <c r="AP163" i="65"/>
  <c r="AH9" i="67"/>
  <c r="AH136" i="65"/>
  <c r="AK125" i="65"/>
  <c r="AJ119" i="65"/>
  <c r="AI16" i="65"/>
  <c r="AH44" i="65"/>
  <c r="AJ165" i="65"/>
  <c r="AI168" i="65"/>
  <c r="AK35" i="65"/>
  <c r="AJ13" i="66"/>
  <c r="AP77" i="65"/>
  <c r="AI20" i="67"/>
  <c r="AJ25" i="66"/>
  <c r="AT77" i="65"/>
  <c r="AM77" i="65"/>
  <c r="AJ19" i="67"/>
  <c r="AK27" i="66"/>
  <c r="AJ16" i="66"/>
  <c r="AI17" i="67"/>
  <c r="AJ10" i="66"/>
  <c r="AI29" i="67"/>
  <c r="AI63" i="66"/>
  <c r="AJ28" i="66"/>
  <c r="AI47" i="67"/>
  <c r="AJ22" i="65"/>
  <c r="AP44" i="65"/>
  <c r="AD83" i="65"/>
  <c r="AC85" i="65"/>
  <c r="Z74" i="65"/>
  <c r="Y90" i="65"/>
  <c r="AE155" i="65"/>
  <c r="AF153" i="65"/>
  <c r="AT44" i="65"/>
  <c r="AD30" i="65"/>
  <c r="AH33" i="67"/>
  <c r="Z41" i="65"/>
  <c r="Y57" i="65"/>
  <c r="Y43" i="65"/>
  <c r="I53" i="66"/>
  <c r="I43" i="66"/>
  <c r="H20" i="57"/>
  <c r="H20" i="62" s="1"/>
  <c r="H11" i="62"/>
  <c r="H48" i="58"/>
  <c r="H48" i="63" s="1"/>
  <c r="H46" i="63"/>
  <c r="AH54" i="57"/>
  <c r="AH54" i="62" s="1"/>
  <c r="AG19" i="58"/>
  <c r="AG19" i="63" s="1"/>
  <c r="AF22" i="61"/>
  <c r="AG22" i="56"/>
  <c r="AG22" i="61" s="1"/>
  <c r="AF28" i="62"/>
  <c r="AF63" i="57"/>
  <c r="AF63" i="62" s="1"/>
  <c r="AH28" i="57"/>
  <c r="AG28" i="57"/>
  <c r="AH22" i="56"/>
  <c r="AH22" i="61" s="1"/>
  <c r="AF47" i="58"/>
  <c r="AF47" i="63" s="1"/>
  <c r="AF29" i="58"/>
  <c r="Y6" i="56"/>
  <c r="Y6" i="61" s="1"/>
  <c r="AI55" i="57"/>
  <c r="AI55" i="62" s="1"/>
  <c r="Z87" i="56"/>
  <c r="Z87" i="61" s="1"/>
  <c r="Z85" i="61"/>
  <c r="AH86" i="56"/>
  <c r="AC86" i="61"/>
  <c r="X76" i="61"/>
  <c r="X77" i="56"/>
  <c r="AA54" i="56"/>
  <c r="AA52" i="61"/>
  <c r="AM53" i="56"/>
  <c r="AH53" i="61"/>
  <c r="AC44" i="61"/>
  <c r="AH44" i="56"/>
  <c r="AP39" i="57"/>
  <c r="AO39" i="62"/>
  <c r="AK40" i="57"/>
  <c r="AJ40" i="62"/>
  <c r="AI33" i="57"/>
  <c r="AH33" i="62"/>
  <c r="AK32" i="57"/>
  <c r="AJ32" i="62"/>
  <c r="AK31" i="57"/>
  <c r="AJ31" i="62"/>
  <c r="AK34" i="57"/>
  <c r="AJ34" i="62"/>
  <c r="AG21" i="58"/>
  <c r="AG21" i="63" s="1"/>
  <c r="AF21" i="63"/>
  <c r="AK26" i="57"/>
  <c r="AJ26" i="62"/>
  <c r="AK24" i="57"/>
  <c r="AJ24" i="62"/>
  <c r="AJ15" i="57"/>
  <c r="AI15" i="62"/>
  <c r="AK18" i="57"/>
  <c r="AJ18" i="62"/>
  <c r="AJ19" i="57"/>
  <c r="AI19" i="62"/>
  <c r="AM173" i="56"/>
  <c r="AK173" i="61"/>
  <c r="AE102" i="61"/>
  <c r="AF102" i="56"/>
  <c r="AF14" i="56" s="1"/>
  <c r="AH170" i="56"/>
  <c r="AH168" i="61"/>
  <c r="AJ165" i="56"/>
  <c r="AI165" i="61"/>
  <c r="AI168" i="56"/>
  <c r="AE28" i="56"/>
  <c r="AE172" i="61"/>
  <c r="AF170" i="61"/>
  <c r="AF172" i="56"/>
  <c r="AF18" i="56"/>
  <c r="AJ118" i="56"/>
  <c r="AJ118" i="61" s="1"/>
  <c r="AJ117" i="61"/>
  <c r="AK145" i="56"/>
  <c r="AJ145" i="61"/>
  <c r="AH129" i="61"/>
  <c r="AI129" i="56"/>
  <c r="AE121" i="56"/>
  <c r="AE121" i="61" s="1"/>
  <c r="AE120" i="61"/>
  <c r="AD10" i="58"/>
  <c r="AD10" i="63" s="1"/>
  <c r="AD9" i="63"/>
  <c r="AV116" i="56"/>
  <c r="AV116" i="61" s="1"/>
  <c r="AV115" i="61"/>
  <c r="AV113" i="56"/>
  <c r="AV113" i="61" s="1"/>
  <c r="AV112" i="61"/>
  <c r="Y45" i="56"/>
  <c r="Y45" i="61" s="1"/>
  <c r="Y43" i="61"/>
  <c r="X59" i="56"/>
  <c r="X46" i="56"/>
  <c r="X46" i="61" s="1"/>
  <c r="Z43" i="56"/>
  <c r="AD58" i="58"/>
  <c r="AC58" i="63"/>
  <c r="AF26" i="56"/>
  <c r="AE26" i="61"/>
  <c r="R40" i="58"/>
  <c r="N40" i="58"/>
  <c r="AC52" i="56"/>
  <c r="AD50" i="56"/>
  <c r="AD50" i="61" s="1"/>
  <c r="AF8" i="58"/>
  <c r="AG16" i="57"/>
  <c r="AG16" i="62" s="1"/>
  <c r="X79" i="56"/>
  <c r="X79" i="61" s="1"/>
  <c r="X95" i="61"/>
  <c r="X92" i="56"/>
  <c r="AH21" i="58"/>
  <c r="AH21" i="63" s="1"/>
  <c r="AI23" i="57"/>
  <c r="AI23" i="62" s="1"/>
  <c r="J40" i="58"/>
  <c r="J41" i="58" s="1"/>
  <c r="I6" i="57"/>
  <c r="AU44" i="56"/>
  <c r="AH35" i="56"/>
  <c r="AH35" i="61" s="1"/>
  <c r="AG35" i="56"/>
  <c r="AG35" i="61" s="1"/>
  <c r="AE9" i="58"/>
  <c r="AE9" i="63" s="1"/>
  <c r="Y74" i="56"/>
  <c r="X90" i="56"/>
  <c r="X90" i="61" s="1"/>
  <c r="AH119" i="56"/>
  <c r="AH119" i="61" s="1"/>
  <c r="AF16" i="56"/>
  <c r="AF120" i="56"/>
  <c r="AG119" i="56"/>
  <c r="X8" i="56"/>
  <c r="AV111" i="56"/>
  <c r="AV111" i="61" s="1"/>
  <c r="AE136" i="56"/>
  <c r="AH69" i="56"/>
  <c r="AH69" i="61" s="1"/>
  <c r="AH19" i="58"/>
  <c r="AH19" i="63" s="1"/>
  <c r="AI27" i="57"/>
  <c r="AI27" i="62" s="1"/>
  <c r="AE20" i="58"/>
  <c r="AE20" i="63" s="1"/>
  <c r="AF25" i="57"/>
  <c r="AF25" i="62" s="1"/>
  <c r="X133" i="56"/>
  <c r="AI17" i="58"/>
  <c r="AI17" i="63" s="1"/>
  <c r="AJ10" i="57"/>
  <c r="AJ10" i="62" s="1"/>
  <c r="AS77" i="56"/>
  <c r="AO77" i="56"/>
  <c r="AH16" i="57"/>
  <c r="AK77" i="56"/>
  <c r="AJ55" i="57"/>
  <c r="AJ55" i="62" s="1"/>
  <c r="AM163" i="56"/>
  <c r="AK117" i="56"/>
  <c r="AA41" i="56"/>
  <c r="AA41" i="61" s="1"/>
  <c r="Z57" i="56"/>
  <c r="Z57" i="61" s="1"/>
  <c r="AG13" i="57"/>
  <c r="AG13" i="62" s="1"/>
  <c r="AH13" i="57"/>
  <c r="AH13" i="62" s="1"/>
  <c r="AG69" i="56"/>
  <c r="AG69" i="61" s="1"/>
  <c r="Y59" i="56"/>
  <c r="Y59" i="61" s="1"/>
  <c r="H53" i="57"/>
  <c r="H53" i="62" s="1"/>
  <c r="H43" i="57"/>
  <c r="H43" i="62" s="1"/>
  <c r="AC83" i="56"/>
  <c r="AC83" i="61" s="1"/>
  <c r="AB83" i="56"/>
  <c r="AB83" i="61" s="1"/>
  <c r="AA85" i="56"/>
  <c r="AF44" i="48"/>
  <c r="AE136" i="48"/>
  <c r="AP143" i="48"/>
  <c r="AT182" i="48"/>
  <c r="AF102" i="48"/>
  <c r="AG102" i="48" s="1"/>
  <c r="AE14" i="48"/>
  <c r="AH119" i="48"/>
  <c r="AF16" i="48"/>
  <c r="AF9" i="50" s="1"/>
  <c r="AF10" i="50" s="1"/>
  <c r="AG10" i="50" s="1"/>
  <c r="AF120" i="48"/>
  <c r="AF121" i="48" s="1"/>
  <c r="AD56" i="49"/>
  <c r="AH58" i="50"/>
  <c r="AI58" i="50" s="1"/>
  <c r="AG58" i="50"/>
  <c r="AE172" i="48"/>
  <c r="AE28" i="48" s="1"/>
  <c r="AE18" i="48"/>
  <c r="AM163" i="48"/>
  <c r="AK117" i="48"/>
  <c r="AK118" i="48" s="1"/>
  <c r="AK129" i="48"/>
  <c r="AL129" i="48" s="1"/>
  <c r="Y6" i="48"/>
  <c r="Y134" i="48" s="1"/>
  <c r="AI69" i="48"/>
  <c r="X41" i="48"/>
  <c r="X43" i="48" s="1"/>
  <c r="X45" i="48" s="1"/>
  <c r="W41" i="48"/>
  <c r="V57" i="48"/>
  <c r="AB57" i="48" s="1"/>
  <c r="AH165" i="48"/>
  <c r="AF168" i="48"/>
  <c r="AF170" i="48" s="1"/>
  <c r="AL117" i="48"/>
  <c r="AL118" i="48" s="1"/>
  <c r="AS183" i="48"/>
  <c r="AQ111" i="48"/>
  <c r="AV115" i="48"/>
  <c r="AV116" i="48" s="1"/>
  <c r="AR182" i="48"/>
  <c r="AR183" i="48"/>
  <c r="AN55" i="49"/>
  <c r="AB83" i="48"/>
  <c r="AA85" i="48"/>
  <c r="AA87" i="48" s="1"/>
  <c r="AC83" i="48"/>
  <c r="AG9" i="50"/>
  <c r="AE17" i="50"/>
  <c r="AF10" i="49"/>
  <c r="AH13" i="49"/>
  <c r="AG13" i="49"/>
  <c r="AG16" i="48"/>
  <c r="AV112" i="48"/>
  <c r="AV113" i="48" s="1"/>
  <c r="AG119" i="48"/>
  <c r="AG120" i="48" s="1"/>
  <c r="AG121" i="48" s="1"/>
  <c r="AO143" i="48"/>
  <c r="AE19" i="50"/>
  <c r="AF27" i="49"/>
  <c r="AE16" i="49"/>
  <c r="AE8" i="50" s="1"/>
  <c r="AD47" i="50"/>
  <c r="AD29" i="50"/>
  <c r="AD63" i="49"/>
  <c r="AE28" i="49"/>
  <c r="AE22" i="48"/>
  <c r="AU180" i="48"/>
  <c r="AV110" i="48"/>
  <c r="AJ77" i="48"/>
  <c r="AF35" i="48"/>
  <c r="AJ44" i="48"/>
  <c r="M41" i="50"/>
  <c r="I41" i="50"/>
  <c r="H53" i="49"/>
  <c r="H43" i="49"/>
  <c r="W74" i="48"/>
  <c r="AB139" i="48" s="1"/>
  <c r="X76" i="48"/>
  <c r="X78" i="48" s="1"/>
  <c r="X74" i="48"/>
  <c r="V90" i="48"/>
  <c r="AB90" i="48" s="1"/>
  <c r="AA20" i="50"/>
  <c r="AB20" i="50" s="1"/>
  <c r="AC25" i="49"/>
  <c r="AB25" i="49"/>
  <c r="AM54" i="49"/>
  <c r="AE21" i="50"/>
  <c r="AF23" i="49"/>
  <c r="X134" i="48"/>
  <c r="Z52" i="48"/>
  <c r="Z54" i="48" s="1"/>
  <c r="AA50" i="48"/>
  <c r="V76" i="48"/>
  <c r="V77" i="48" s="1"/>
  <c r="AA77" i="48" s="1"/>
  <c r="AA167" i="44"/>
  <c r="Z167" i="44"/>
  <c r="V48" i="45"/>
  <c r="U136" i="44"/>
  <c r="T136" i="44"/>
  <c r="S136" i="44"/>
  <c r="Q136" i="44"/>
  <c r="P136" i="44"/>
  <c r="O136" i="44"/>
  <c r="N136" i="44"/>
  <c r="L136" i="44"/>
  <c r="K136" i="44"/>
  <c r="J136" i="44"/>
  <c r="I136" i="44"/>
  <c r="F136" i="44"/>
  <c r="E136" i="44"/>
  <c r="D136" i="44"/>
  <c r="U135" i="44"/>
  <c r="T135" i="44"/>
  <c r="S135" i="44"/>
  <c r="Q135" i="44"/>
  <c r="P135" i="44"/>
  <c r="O135" i="44"/>
  <c r="N135" i="44"/>
  <c r="L135" i="44"/>
  <c r="K135" i="44"/>
  <c r="J135" i="44"/>
  <c r="I135" i="44"/>
  <c r="F135" i="44"/>
  <c r="E135" i="44"/>
  <c r="D135" i="44"/>
  <c r="U134" i="44"/>
  <c r="T134" i="44"/>
  <c r="S134" i="44"/>
  <c r="Q134" i="44"/>
  <c r="P134" i="44"/>
  <c r="O134" i="44"/>
  <c r="N134" i="44"/>
  <c r="L134" i="44"/>
  <c r="K134" i="44"/>
  <c r="J134" i="44"/>
  <c r="I134" i="44"/>
  <c r="F134" i="44"/>
  <c r="E134" i="44"/>
  <c r="D134" i="44"/>
  <c r="U133" i="44"/>
  <c r="T133" i="44"/>
  <c r="S133" i="44"/>
  <c r="Q133" i="44"/>
  <c r="P133" i="44"/>
  <c r="O133" i="44"/>
  <c r="N133" i="44"/>
  <c r="L133" i="44"/>
  <c r="K133" i="44"/>
  <c r="J133" i="44"/>
  <c r="I133" i="44"/>
  <c r="F133" i="44"/>
  <c r="E133" i="44"/>
  <c r="D133" i="44"/>
  <c r="V187" i="44"/>
  <c r="Q187" i="44"/>
  <c r="Z186" i="44"/>
  <c r="U186" i="44"/>
  <c r="T186" i="44"/>
  <c r="S186" i="44"/>
  <c r="Q186" i="44"/>
  <c r="U185" i="44"/>
  <c r="U181" i="44"/>
  <c r="T181" i="44"/>
  <c r="V176" i="44"/>
  <c r="U176" i="44"/>
  <c r="G136" i="44"/>
  <c r="G135" i="44"/>
  <c r="G134" i="44"/>
  <c r="G133" i="44"/>
  <c r="AI56" i="46"/>
  <c r="Y56" i="46"/>
  <c r="W38" i="46"/>
  <c r="AJ34" i="46"/>
  <c r="AI34" i="46"/>
  <c r="AH34" i="46"/>
  <c r="AF34" i="46"/>
  <c r="AE34" i="46"/>
  <c r="W32" i="46"/>
  <c r="W31" i="46"/>
  <c r="W30" i="46"/>
  <c r="W21" i="46"/>
  <c r="W13" i="46"/>
  <c r="W11" i="46"/>
  <c r="AF61" i="45"/>
  <c r="U52" i="45"/>
  <c r="T52" i="45"/>
  <c r="S52" i="45"/>
  <c r="I52" i="45"/>
  <c r="G52" i="45"/>
  <c r="F52" i="45"/>
  <c r="E52" i="45"/>
  <c r="D52" i="45"/>
  <c r="Z52" i="45"/>
  <c r="X52" i="45"/>
  <c r="S50" i="45"/>
  <c r="K50" i="45"/>
  <c r="J50" i="45"/>
  <c r="I50" i="45"/>
  <c r="G50" i="45"/>
  <c r="F50" i="45"/>
  <c r="Z49" i="45"/>
  <c r="U48" i="45"/>
  <c r="T48" i="45"/>
  <c r="S48" i="45"/>
  <c r="K48" i="45"/>
  <c r="J48" i="45"/>
  <c r="I48" i="45"/>
  <c r="G48" i="45"/>
  <c r="F48" i="45"/>
  <c r="D48" i="45"/>
  <c r="AA47" i="45"/>
  <c r="Y47" i="45"/>
  <c r="X47" i="45"/>
  <c r="U50" i="45"/>
  <c r="T50" i="45"/>
  <c r="K52" i="45"/>
  <c r="J52" i="45"/>
  <c r="D50" i="45"/>
  <c r="W39" i="45"/>
  <c r="Y34" i="45"/>
  <c r="X34" i="45"/>
  <c r="W34" i="45"/>
  <c r="X33" i="45"/>
  <c r="W33" i="45"/>
  <c r="W32" i="45"/>
  <c r="W31" i="45"/>
  <c r="X28" i="45"/>
  <c r="W28" i="45"/>
  <c r="V63" i="45"/>
  <c r="X27" i="45"/>
  <c r="X24" i="45"/>
  <c r="W24" i="45"/>
  <c r="X23" i="45"/>
  <c r="W23" i="45"/>
  <c r="W19" i="45"/>
  <c r="W18" i="45"/>
  <c r="X18" i="45"/>
  <c r="W13" i="45"/>
  <c r="AC167" i="44"/>
  <c r="AD155" i="44"/>
  <c r="AC155" i="44"/>
  <c r="AK154" i="44"/>
  <c r="AG154" i="44"/>
  <c r="W128" i="44"/>
  <c r="W126" i="44"/>
  <c r="W125" i="44"/>
  <c r="AF123" i="44"/>
  <c r="AA123" i="44"/>
  <c r="W123" i="44"/>
  <c r="Y119" i="44"/>
  <c r="X119" i="44"/>
  <c r="W119" i="44"/>
  <c r="V117" i="44"/>
  <c r="W108" i="44"/>
  <c r="W104" i="44"/>
  <c r="X102" i="44"/>
  <c r="AA101" i="44"/>
  <c r="V91" i="44"/>
  <c r="W88" i="44"/>
  <c r="W84" i="44"/>
  <c r="W75" i="44"/>
  <c r="X69" i="44"/>
  <c r="W69" i="44"/>
  <c r="AA65" i="44"/>
  <c r="AA177" i="44" s="1"/>
  <c r="V58" i="44"/>
  <c r="AA55" i="44"/>
  <c r="W55" i="44"/>
  <c r="W51" i="44"/>
  <c r="W42" i="44"/>
  <c r="X26" i="44"/>
  <c r="X22" i="44"/>
  <c r="W22" i="44"/>
  <c r="W16" i="44"/>
  <c r="W14" i="44"/>
  <c r="W7" i="44"/>
  <c r="AF63" i="36"/>
  <c r="AF61" i="36"/>
  <c r="AC63" i="36"/>
  <c r="AC61" i="36"/>
  <c r="AD68" i="36"/>
  <c r="AC68" i="36"/>
  <c r="AL62" i="39"/>
  <c r="V117" i="36"/>
  <c r="X117" i="36" s="1"/>
  <c r="Y117" i="36" s="1"/>
  <c r="V129" i="36"/>
  <c r="V102" i="36"/>
  <c r="AI18" i="73" l="1"/>
  <c r="AI18" i="70" s="1"/>
  <c r="AI172" i="73"/>
  <c r="AI28" i="73" s="1"/>
  <c r="AJ170" i="73"/>
  <c r="AJ170" i="70" s="1"/>
  <c r="AJ168" i="70"/>
  <c r="AE121" i="70"/>
  <c r="AI14" i="65"/>
  <c r="AH120" i="73"/>
  <c r="AH118" i="70"/>
  <c r="AF121" i="73"/>
  <c r="AF120" i="70"/>
  <c r="AG121" i="73"/>
  <c r="AG121" i="70" s="1"/>
  <c r="AG120" i="70"/>
  <c r="AG14" i="73"/>
  <c r="AG14" i="70" s="1"/>
  <c r="AF14" i="70"/>
  <c r="AN129" i="73"/>
  <c r="AG28" i="70"/>
  <c r="AK173" i="73"/>
  <c r="AJ173" i="70"/>
  <c r="Z79" i="73"/>
  <c r="Z95" i="73"/>
  <c r="Z92" i="73"/>
  <c r="Z133" i="73"/>
  <c r="Z5" i="73"/>
  <c r="O46" i="75"/>
  <c r="O48" i="75" s="1"/>
  <c r="O11" i="74"/>
  <c r="O20" i="74" s="1"/>
  <c r="O144" i="73"/>
  <c r="X40" i="75"/>
  <c r="AB40" i="75"/>
  <c r="T40" i="75"/>
  <c r="T41" i="75" s="1"/>
  <c r="S6" i="74"/>
  <c r="M46" i="75"/>
  <c r="M48" i="75" s="1"/>
  <c r="M11" i="74"/>
  <c r="M20" i="74" s="1"/>
  <c r="M43" i="74" s="1"/>
  <c r="AO143" i="73"/>
  <c r="AP143" i="73" s="1"/>
  <c r="AJ29" i="75"/>
  <c r="AJ47" i="75"/>
  <c r="AK28" i="74"/>
  <c r="AJ63" i="74"/>
  <c r="AK22" i="73"/>
  <c r="AL22" i="73" s="1"/>
  <c r="AH52" i="73"/>
  <c r="AH54" i="73" s="1"/>
  <c r="AI50" i="73"/>
  <c r="L53" i="74"/>
  <c r="L43" i="74"/>
  <c r="AF85" i="73"/>
  <c r="AF87" i="73" s="1"/>
  <c r="AH83" i="73"/>
  <c r="AG83" i="73"/>
  <c r="Q40" i="75"/>
  <c r="Q41" i="75" s="1"/>
  <c r="Q6" i="74" s="1"/>
  <c r="P6" i="74"/>
  <c r="AN77" i="73"/>
  <c r="AR77" i="73"/>
  <c r="AR163" i="73"/>
  <c r="AR163" i="70" s="1"/>
  <c r="AP69" i="73"/>
  <c r="Z64" i="73"/>
  <c r="Z60" i="73"/>
  <c r="Z67" i="73"/>
  <c r="AN44" i="73"/>
  <c r="AM21" i="75"/>
  <c r="AN23" i="74"/>
  <c r="AB62" i="73"/>
  <c r="AB63" i="73" s="1"/>
  <c r="Z10" i="73"/>
  <c r="AM125" i="73"/>
  <c r="AJ58" i="75"/>
  <c r="AP119" i="73"/>
  <c r="AQ119" i="73" s="1"/>
  <c r="AO16" i="73"/>
  <c r="AO9" i="75" s="1"/>
  <c r="AO10" i="75" s="1"/>
  <c r="AM13" i="74"/>
  <c r="AL13" i="74"/>
  <c r="AU77" i="73"/>
  <c r="AD134" i="73"/>
  <c r="AI102" i="73"/>
  <c r="AI102" i="70" s="1"/>
  <c r="AH14" i="73"/>
  <c r="AH14" i="70" s="1"/>
  <c r="AK17" i="75"/>
  <c r="AL10" i="74"/>
  <c r="AM10" i="74"/>
  <c r="AM165" i="73"/>
  <c r="AK168" i="73"/>
  <c r="AM10" i="75"/>
  <c r="AA74" i="73"/>
  <c r="AA76" i="73"/>
  <c r="AA78" i="73" s="1"/>
  <c r="Z90" i="73"/>
  <c r="AL17" i="75"/>
  <c r="N53" i="74"/>
  <c r="N43" i="74"/>
  <c r="AH30" i="73"/>
  <c r="AK33" i="75"/>
  <c r="AK57" i="75" s="1"/>
  <c r="AK19" i="75"/>
  <c r="AL19" i="75" s="1"/>
  <c r="AM27" i="74"/>
  <c r="AL27" i="74"/>
  <c r="AK16" i="74"/>
  <c r="AG54" i="73"/>
  <c r="AG87" i="73"/>
  <c r="K53" i="74"/>
  <c r="K43" i="74"/>
  <c r="AA133" i="73"/>
  <c r="AA46" i="73"/>
  <c r="AA5" i="73"/>
  <c r="AA8" i="73" s="1"/>
  <c r="AA62" i="73"/>
  <c r="AA59" i="73"/>
  <c r="AB59" i="73" s="1"/>
  <c r="AP35" i="73"/>
  <c r="AQ35" i="73" s="1"/>
  <c r="AI155" i="73"/>
  <c r="AJ153" i="73"/>
  <c r="AC41" i="73"/>
  <c r="AB41" i="73"/>
  <c r="AA57" i="73"/>
  <c r="AG57" i="73" s="1"/>
  <c r="AK20" i="75"/>
  <c r="AL20" i="75" s="1"/>
  <c r="AM25" i="74"/>
  <c r="AL25" i="74"/>
  <c r="AI118" i="73"/>
  <c r="AJ117" i="73"/>
  <c r="AE6" i="73"/>
  <c r="AH31" i="73"/>
  <c r="AI31" i="73" s="1"/>
  <c r="AL33" i="75"/>
  <c r="AL57" i="75" s="1"/>
  <c r="AT54" i="74"/>
  <c r="AU54" i="74" s="1"/>
  <c r="Z43" i="65"/>
  <c r="Z45" i="65" s="1"/>
  <c r="AH18" i="65"/>
  <c r="AH172" i="65"/>
  <c r="AH172" i="70" s="1"/>
  <c r="AG121" i="65"/>
  <c r="AO54" i="66"/>
  <c r="AG10" i="67"/>
  <c r="Y101" i="65"/>
  <c r="Y98" i="65"/>
  <c r="Y94" i="65"/>
  <c r="AC87" i="65"/>
  <c r="AN86" i="65"/>
  <c r="AA6" i="65"/>
  <c r="Z76" i="65"/>
  <c r="Y77" i="65"/>
  <c r="AD54" i="65"/>
  <c r="AS53" i="65"/>
  <c r="Y44" i="65"/>
  <c r="AN55" i="66"/>
  <c r="AN39" i="66"/>
  <c r="AN40" i="66"/>
  <c r="AN33" i="66"/>
  <c r="AN34" i="66"/>
  <c r="AN31" i="66"/>
  <c r="AN32" i="66"/>
  <c r="AN24" i="66"/>
  <c r="AJ8" i="67"/>
  <c r="AN26" i="66"/>
  <c r="AN15" i="66"/>
  <c r="AN18" i="66"/>
  <c r="AN19" i="66"/>
  <c r="AH120" i="65"/>
  <c r="AI118" i="65"/>
  <c r="AJ117" i="65"/>
  <c r="AF121" i="65"/>
  <c r="AI170" i="65"/>
  <c r="AG28" i="65"/>
  <c r="AJ102" i="65"/>
  <c r="AR145" i="65"/>
  <c r="AK129" i="65"/>
  <c r="AK129" i="70" s="1"/>
  <c r="AK126" i="65"/>
  <c r="AL126" i="65"/>
  <c r="AK128" i="65"/>
  <c r="AL128" i="65" s="1"/>
  <c r="AI9" i="67"/>
  <c r="AL35" i="65"/>
  <c r="AF155" i="65"/>
  <c r="AE31" i="65"/>
  <c r="AK26" i="65"/>
  <c r="AL26" i="65"/>
  <c r="J43" i="71"/>
  <c r="K46" i="67"/>
  <c r="K48" i="67" s="1"/>
  <c r="K144" i="65"/>
  <c r="K11" i="66"/>
  <c r="K20" i="66" s="1"/>
  <c r="AM125" i="65"/>
  <c r="L46" i="67"/>
  <c r="L48" i="67" s="1"/>
  <c r="L144" i="65"/>
  <c r="M6" i="66"/>
  <c r="L11" i="66"/>
  <c r="L20" i="66" s="1"/>
  <c r="AA74" i="65"/>
  <c r="Z90" i="65"/>
  <c r="Y46" i="65"/>
  <c r="Y133" i="65"/>
  <c r="Y59" i="65"/>
  <c r="AJ47" i="67"/>
  <c r="AJ29" i="67"/>
  <c r="AJ63" i="66"/>
  <c r="AK28" i="66"/>
  <c r="AK22" i="65"/>
  <c r="AM35" i="65"/>
  <c r="AR163" i="65"/>
  <c r="W41" i="67"/>
  <c r="S41" i="67"/>
  <c r="AK69" i="65"/>
  <c r="AK69" i="70" s="1"/>
  <c r="AA41" i="65"/>
  <c r="Z57" i="65"/>
  <c r="AL125" i="65"/>
  <c r="AK165" i="65"/>
  <c r="AJ168" i="65"/>
  <c r="AE52" i="65"/>
  <c r="AF50" i="65"/>
  <c r="AJ17" i="67"/>
  <c r="AK10" i="66"/>
  <c r="AH57" i="67"/>
  <c r="AJ20" i="67"/>
  <c r="AK25" i="66"/>
  <c r="N46" i="67"/>
  <c r="N48" i="67" s="1"/>
  <c r="N144" i="65"/>
  <c r="N11" i="66"/>
  <c r="N20" i="66" s="1"/>
  <c r="AE30" i="65"/>
  <c r="AI33" i="67"/>
  <c r="AM44" i="65"/>
  <c r="P40" i="67"/>
  <c r="P41" i="67" s="1"/>
  <c r="O6" i="66"/>
  <c r="AK19" i="67"/>
  <c r="AM27" i="66"/>
  <c r="AL27" i="66"/>
  <c r="AK16" i="66"/>
  <c r="AU77" i="65"/>
  <c r="AJ21" i="67"/>
  <c r="AK23" i="66"/>
  <c r="AE83" i="65"/>
  <c r="AD85" i="65"/>
  <c r="AU44" i="65"/>
  <c r="AK13" i="66"/>
  <c r="AI136" i="65"/>
  <c r="AH10" i="67"/>
  <c r="AR77" i="65"/>
  <c r="AK119" i="65"/>
  <c r="AJ16" i="65"/>
  <c r="AJ136" i="65" s="1"/>
  <c r="AG155" i="65"/>
  <c r="J53" i="66"/>
  <c r="J43" i="66"/>
  <c r="AI54" i="57"/>
  <c r="AI54" i="62" s="1"/>
  <c r="AJ54" i="57"/>
  <c r="AJ54" i="62" s="1"/>
  <c r="AF29" i="63"/>
  <c r="AG29" i="58"/>
  <c r="AG29" i="63" s="1"/>
  <c r="AG28" i="62"/>
  <c r="AG47" i="58"/>
  <c r="AG47" i="63" s="1"/>
  <c r="AG67" i="57"/>
  <c r="AG67" i="62" s="1"/>
  <c r="AH28" i="62"/>
  <c r="AH47" i="58"/>
  <c r="AH47" i="63" s="1"/>
  <c r="AH29" i="58"/>
  <c r="AH29" i="63" s="1"/>
  <c r="AH63" i="57"/>
  <c r="AH63" i="62" s="1"/>
  <c r="AI28" i="57"/>
  <c r="AI22" i="56"/>
  <c r="AI22" i="61" s="1"/>
  <c r="Z6" i="56"/>
  <c r="Z6" i="61" s="1"/>
  <c r="Y134" i="56"/>
  <c r="Y62" i="56"/>
  <c r="Y62" i="61" s="1"/>
  <c r="Y46" i="56"/>
  <c r="Y46" i="61" s="1"/>
  <c r="AA43" i="56"/>
  <c r="AA45" i="56" s="1"/>
  <c r="AA45" i="61" s="1"/>
  <c r="X92" i="61"/>
  <c r="X101" i="56"/>
  <c r="X98" i="56"/>
  <c r="X94" i="56"/>
  <c r="X59" i="61"/>
  <c r="X61" i="56"/>
  <c r="X68" i="56"/>
  <c r="X65" i="56"/>
  <c r="AA87" i="56"/>
  <c r="AB87" i="56" s="1"/>
  <c r="AB87" i="61" s="1"/>
  <c r="AA85" i="61"/>
  <c r="AH86" i="61"/>
  <c r="AM86" i="56"/>
  <c r="Y76" i="56"/>
  <c r="Y74" i="61"/>
  <c r="X77" i="61"/>
  <c r="AC77" i="56"/>
  <c r="AC54" i="56"/>
  <c r="AC54" i="61" s="1"/>
  <c r="AC52" i="61"/>
  <c r="AR53" i="56"/>
  <c r="AR53" i="61" s="1"/>
  <c r="AM53" i="61"/>
  <c r="AA54" i="61"/>
  <c r="AB54" i="56"/>
  <c r="AB54" i="61" s="1"/>
  <c r="AH44" i="61"/>
  <c r="AM44" i="56"/>
  <c r="X8" i="61"/>
  <c r="X56" i="58"/>
  <c r="X53" i="58"/>
  <c r="X47" i="57"/>
  <c r="AK40" i="62"/>
  <c r="AM40" i="57"/>
  <c r="AL40" i="57"/>
  <c r="AL40" i="62" s="1"/>
  <c r="AP39" i="62"/>
  <c r="AR39" i="57"/>
  <c r="AQ39" i="57"/>
  <c r="AQ39" i="62" s="1"/>
  <c r="AK34" i="62"/>
  <c r="AL34" i="57"/>
  <c r="AL34" i="62" s="1"/>
  <c r="AM34" i="57"/>
  <c r="AK31" i="62"/>
  <c r="AM31" i="57"/>
  <c r="AL31" i="57"/>
  <c r="AL31" i="62" s="1"/>
  <c r="AK32" i="62"/>
  <c r="AM32" i="57"/>
  <c r="AL32" i="57"/>
  <c r="AL32" i="62" s="1"/>
  <c r="AJ33" i="57"/>
  <c r="AI33" i="62"/>
  <c r="AG8" i="58"/>
  <c r="AG8" i="63" s="1"/>
  <c r="AF8" i="63"/>
  <c r="AK24" i="62"/>
  <c r="AM24" i="57"/>
  <c r="AL24" i="57"/>
  <c r="AL24" i="62" s="1"/>
  <c r="AH8" i="58"/>
  <c r="AH8" i="63" s="1"/>
  <c r="AH16" i="62"/>
  <c r="AK26" i="62"/>
  <c r="AM26" i="57"/>
  <c r="AL26" i="57"/>
  <c r="AL26" i="62" s="1"/>
  <c r="AK19" i="57"/>
  <c r="AJ19" i="62"/>
  <c r="AK18" i="62"/>
  <c r="AM18" i="57"/>
  <c r="AL18" i="57"/>
  <c r="AL18" i="62" s="1"/>
  <c r="AK15" i="57"/>
  <c r="AJ15" i="62"/>
  <c r="AN173" i="56"/>
  <c r="AM173" i="61"/>
  <c r="AK118" i="56"/>
  <c r="AK118" i="61" s="1"/>
  <c r="AK117" i="61"/>
  <c r="AG18" i="56"/>
  <c r="AG18" i="61" s="1"/>
  <c r="AF18" i="61"/>
  <c r="AF28" i="56"/>
  <c r="AF28" i="61" s="1"/>
  <c r="AF172" i="61"/>
  <c r="AE28" i="61"/>
  <c r="AK165" i="56"/>
  <c r="AJ165" i="61"/>
  <c r="AJ168" i="56"/>
  <c r="AI170" i="56"/>
  <c r="AI168" i="61"/>
  <c r="AH170" i="61"/>
  <c r="AH172" i="56"/>
  <c r="AH18" i="56"/>
  <c r="AH18" i="61" s="1"/>
  <c r="AG102" i="56"/>
  <c r="AG102" i="61" s="1"/>
  <c r="AF102" i="61"/>
  <c r="AH102" i="56"/>
  <c r="AH14" i="56" s="1"/>
  <c r="AH14" i="61" s="1"/>
  <c r="AM145" i="56"/>
  <c r="AK145" i="61"/>
  <c r="AI129" i="61"/>
  <c r="AJ129" i="56"/>
  <c r="AG120" i="56"/>
  <c r="AG121" i="56" s="1"/>
  <c r="AG121" i="61" s="1"/>
  <c r="AG119" i="61"/>
  <c r="AF9" i="58"/>
  <c r="AF16" i="61"/>
  <c r="AF121" i="56"/>
  <c r="AF121" i="61" s="1"/>
  <c r="AF120" i="61"/>
  <c r="AG14" i="56"/>
  <c r="AG14" i="61" s="1"/>
  <c r="AF14" i="61"/>
  <c r="X67" i="61"/>
  <c r="X60" i="61"/>
  <c r="X64" i="61"/>
  <c r="Z45" i="56"/>
  <c r="Z43" i="61"/>
  <c r="AE58" i="58"/>
  <c r="AD58" i="63"/>
  <c r="AH26" i="56"/>
  <c r="AF26" i="61"/>
  <c r="AG26" i="56"/>
  <c r="AG26" i="61" s="1"/>
  <c r="AP77" i="56"/>
  <c r="AF20" i="58"/>
  <c r="AH25" i="57"/>
  <c r="AH25" i="62" s="1"/>
  <c r="AG25" i="57"/>
  <c r="AG25" i="62" s="1"/>
  <c r="Y64" i="56"/>
  <c r="Y64" i="61" s="1"/>
  <c r="Y60" i="56"/>
  <c r="Y60" i="61" s="1"/>
  <c r="Y67" i="56"/>
  <c r="Y67" i="61" s="1"/>
  <c r="X25" i="63"/>
  <c r="X12" i="63"/>
  <c r="X140" i="56"/>
  <c r="X140" i="61" s="1"/>
  <c r="X70" i="56"/>
  <c r="X93" i="61"/>
  <c r="X97" i="61"/>
  <c r="X100" i="61"/>
  <c r="AI21" i="58"/>
  <c r="AI21" i="63" s="1"/>
  <c r="AJ23" i="57"/>
  <c r="AJ23" i="62" s="1"/>
  <c r="AB41" i="56"/>
  <c r="AB41" i="61" s="1"/>
  <c r="AC41" i="56"/>
  <c r="AC41" i="61" s="1"/>
  <c r="AA57" i="56"/>
  <c r="AI19" i="58"/>
  <c r="AI19" i="63" s="1"/>
  <c r="AJ27" i="57"/>
  <c r="AJ27" i="62" s="1"/>
  <c r="AT77" i="56"/>
  <c r="AI16" i="57"/>
  <c r="AG16" i="56"/>
  <c r="AG16" i="61" s="1"/>
  <c r="AE10" i="58"/>
  <c r="AG9" i="58"/>
  <c r="AG9" i="63" s="1"/>
  <c r="AI69" i="56"/>
  <c r="AI69" i="61" s="1"/>
  <c r="AC153" i="56"/>
  <c r="AI119" i="56"/>
  <c r="AI119" i="61" s="1"/>
  <c r="AH16" i="56"/>
  <c r="AH16" i="61" s="1"/>
  <c r="AH120" i="56"/>
  <c r="AI35" i="56"/>
  <c r="AI35" i="61" s="1"/>
  <c r="AN163" i="56"/>
  <c r="AM117" i="56"/>
  <c r="AM117" i="61" s="1"/>
  <c r="AJ17" i="58"/>
  <c r="AJ17" i="63" s="1"/>
  <c r="AK10" i="57"/>
  <c r="AK10" i="62" s="1"/>
  <c r="AF136" i="56"/>
  <c r="Z74" i="56"/>
  <c r="Z74" i="61" s="1"/>
  <c r="Y90" i="56"/>
  <c r="Y90" i="61" s="1"/>
  <c r="AI13" i="57"/>
  <c r="AI13" i="62" s="1"/>
  <c r="I46" i="58"/>
  <c r="I11" i="57"/>
  <c r="I144" i="56"/>
  <c r="I144" i="61" s="1"/>
  <c r="AK55" i="57"/>
  <c r="AK55" i="62" s="1"/>
  <c r="AE50" i="56"/>
  <c r="AE50" i="61" s="1"/>
  <c r="AD52" i="56"/>
  <c r="AC85" i="56"/>
  <c r="AD83" i="56"/>
  <c r="AD83" i="61" s="1"/>
  <c r="AL117" i="56"/>
  <c r="K40" i="58"/>
  <c r="K41" i="58" s="1"/>
  <c r="J6" i="57"/>
  <c r="R41" i="58"/>
  <c r="N41" i="58"/>
  <c r="X46" i="48"/>
  <c r="X5" i="48"/>
  <c r="X62" i="48"/>
  <c r="X59" i="48"/>
  <c r="AP55" i="49"/>
  <c r="AS55" i="49" s="1"/>
  <c r="AC85" i="48"/>
  <c r="AC87" i="48" s="1"/>
  <c r="AD83" i="48"/>
  <c r="AO55" i="49"/>
  <c r="AC20" i="50"/>
  <c r="AD25" i="49"/>
  <c r="AE56" i="49"/>
  <c r="AA52" i="48"/>
  <c r="AA54" i="48" s="1"/>
  <c r="AC50" i="48"/>
  <c r="AB50" i="48"/>
  <c r="Y74" i="48"/>
  <c r="Y76" i="48"/>
  <c r="Y78" i="48" s="1"/>
  <c r="X90" i="48"/>
  <c r="Z134" i="48"/>
  <c r="Z6" i="48"/>
  <c r="X79" i="48"/>
  <c r="X95" i="48"/>
  <c r="X92" i="48"/>
  <c r="AR143" i="48"/>
  <c r="AV111" i="48"/>
  <c r="AF172" i="48"/>
  <c r="AF28" i="48" s="1"/>
  <c r="AF18" i="48"/>
  <c r="AF136" i="48"/>
  <c r="AH102" i="48"/>
  <c r="AF14" i="48"/>
  <c r="AG14" i="48" s="1"/>
  <c r="AH35" i="48"/>
  <c r="AG35" i="48"/>
  <c r="AB87" i="48"/>
  <c r="AI165" i="48"/>
  <c r="AH168" i="48"/>
  <c r="AH170" i="48" s="1"/>
  <c r="AI119" i="48"/>
  <c r="AH16" i="48"/>
  <c r="AH120" i="48"/>
  <c r="AH121" i="48" s="1"/>
  <c r="AF77" i="48"/>
  <c r="AM129" i="48"/>
  <c r="AN163" i="48"/>
  <c r="AM117" i="48"/>
  <c r="AN54" i="49"/>
  <c r="AF21" i="50"/>
  <c r="AG21" i="50" s="1"/>
  <c r="AH23" i="49"/>
  <c r="AG23" i="49"/>
  <c r="AI13" i="49"/>
  <c r="AG18" i="48"/>
  <c r="AK44" i="48"/>
  <c r="AF19" i="50"/>
  <c r="AG19" i="50" s="1"/>
  <c r="AH27" i="49"/>
  <c r="AG27" i="49"/>
  <c r="AF16" i="49"/>
  <c r="J40" i="50"/>
  <c r="J41" i="50" s="1"/>
  <c r="I6" i="49"/>
  <c r="AG22" i="48"/>
  <c r="Y41" i="48"/>
  <c r="Y43" i="48"/>
  <c r="Y45" i="48" s="1"/>
  <c r="X57" i="48"/>
  <c r="AG28" i="48"/>
  <c r="AR55" i="49"/>
  <c r="AS143" i="48"/>
  <c r="AT143" i="48" s="1"/>
  <c r="R40" i="50"/>
  <c r="N40" i="50"/>
  <c r="AE47" i="50"/>
  <c r="AE29" i="50"/>
  <c r="AE63" i="49"/>
  <c r="AF28" i="49"/>
  <c r="AF22" i="48"/>
  <c r="AF17" i="50"/>
  <c r="AG17" i="50" s="1"/>
  <c r="AH10" i="49"/>
  <c r="AG10" i="49"/>
  <c r="AJ69" i="48"/>
  <c r="AC51" i="45"/>
  <c r="X51" i="45"/>
  <c r="Y51" i="45"/>
  <c r="Z51" i="45"/>
  <c r="Z50" i="45"/>
  <c r="X50" i="45"/>
  <c r="X49" i="45"/>
  <c r="AD50" i="45"/>
  <c r="Y49" i="45"/>
  <c r="AE50" i="45"/>
  <c r="X48" i="45"/>
  <c r="Z48" i="45"/>
  <c r="Z47" i="45"/>
  <c r="AD47" i="45"/>
  <c r="AD56" i="46"/>
  <c r="AA163" i="44"/>
  <c r="Z163" i="44"/>
  <c r="X173" i="44"/>
  <c r="X165" i="44"/>
  <c r="Y165" i="44"/>
  <c r="V168" i="44"/>
  <c r="W117" i="44"/>
  <c r="X117" i="44"/>
  <c r="W102" i="44"/>
  <c r="V102" i="44"/>
  <c r="V30" i="44"/>
  <c r="X145" i="44"/>
  <c r="Y16" i="44"/>
  <c r="X9" i="46"/>
  <c r="X16" i="44"/>
  <c r="V112" i="44"/>
  <c r="V115" i="44"/>
  <c r="W58" i="44"/>
  <c r="AA50" i="45"/>
  <c r="AA49" i="45"/>
  <c r="AF49" i="45"/>
  <c r="X39" i="45"/>
  <c r="Y33" i="45"/>
  <c r="X32" i="45"/>
  <c r="Y31" i="45"/>
  <c r="X31" i="45"/>
  <c r="Y63" i="45"/>
  <c r="W67" i="45"/>
  <c r="Y24" i="45"/>
  <c r="X19" i="45"/>
  <c r="X31" i="44"/>
  <c r="V10" i="46"/>
  <c r="V9" i="46"/>
  <c r="F137" i="44"/>
  <c r="T137" i="44"/>
  <c r="Q175" i="44"/>
  <c r="S175" i="44"/>
  <c r="T175" i="44"/>
  <c r="V135" i="44"/>
  <c r="Q176" i="44"/>
  <c r="V136" i="44"/>
  <c r="X135" i="44"/>
  <c r="S176" i="44"/>
  <c r="Y135" i="44"/>
  <c r="T176" i="44"/>
  <c r="Z135" i="44"/>
  <c r="S181" i="44"/>
  <c r="Q185" i="44"/>
  <c r="S187" i="44"/>
  <c r="Q181" i="44"/>
  <c r="S185" i="44"/>
  <c r="T187" i="44"/>
  <c r="T185" i="44"/>
  <c r="U187" i="44"/>
  <c r="AB55" i="44"/>
  <c r="Y69" i="44"/>
  <c r="AF55" i="44"/>
  <c r="X10" i="46"/>
  <c r="AF101" i="44"/>
  <c r="AA108" i="44"/>
  <c r="AC63" i="44"/>
  <c r="V83" i="44"/>
  <c r="W109" i="44"/>
  <c r="W26" i="44"/>
  <c r="AA68" i="44"/>
  <c r="AF65" i="44"/>
  <c r="AB108" i="44"/>
  <c r="AK123" i="44"/>
  <c r="Z165" i="44"/>
  <c r="W15" i="45"/>
  <c r="X129" i="44"/>
  <c r="W129" i="44"/>
  <c r="V33" i="46"/>
  <c r="W91" i="44"/>
  <c r="W35" i="44"/>
  <c r="AA111" i="44"/>
  <c r="V110" i="44"/>
  <c r="AA113" i="44"/>
  <c r="X35" i="44"/>
  <c r="AA116" i="44"/>
  <c r="Z119" i="44"/>
  <c r="W124" i="44"/>
  <c r="AB123" i="44"/>
  <c r="AG123" i="44"/>
  <c r="W19" i="46"/>
  <c r="W27" i="45"/>
  <c r="Y27" i="45"/>
  <c r="X19" i="46"/>
  <c r="X13" i="45"/>
  <c r="W17" i="46"/>
  <c r="X10" i="45"/>
  <c r="W10" i="45"/>
  <c r="L52" i="45"/>
  <c r="L48" i="45"/>
  <c r="L50" i="45"/>
  <c r="AF50" i="45"/>
  <c r="N52" i="45"/>
  <c r="N48" i="45"/>
  <c r="N50" i="45"/>
  <c r="AA48" i="45"/>
  <c r="O52" i="45"/>
  <c r="O48" i="45"/>
  <c r="O50" i="45"/>
  <c r="P48" i="45"/>
  <c r="P52" i="45"/>
  <c r="AD48" i="45"/>
  <c r="P50" i="45"/>
  <c r="Q48" i="45"/>
  <c r="Q50" i="45"/>
  <c r="Q52" i="45"/>
  <c r="AK50" i="45"/>
  <c r="AK34" i="46"/>
  <c r="AJ61" i="45"/>
  <c r="AL154" i="44"/>
  <c r="AA51" i="45"/>
  <c r="Y55" i="45"/>
  <c r="W20" i="46"/>
  <c r="AC52" i="45"/>
  <c r="W9" i="46"/>
  <c r="X21" i="46"/>
  <c r="W29" i="46"/>
  <c r="Y23" i="45"/>
  <c r="W40" i="45"/>
  <c r="W26" i="45"/>
  <c r="W63" i="45"/>
  <c r="E50" i="45"/>
  <c r="E48" i="45"/>
  <c r="Y50" i="45"/>
  <c r="Y52" i="45"/>
  <c r="Y48" i="45"/>
  <c r="X29" i="46"/>
  <c r="X47" i="46"/>
  <c r="X63" i="45"/>
  <c r="AG34" i="46"/>
  <c r="W36" i="46"/>
  <c r="V47" i="46"/>
  <c r="AD52" i="45"/>
  <c r="X54" i="45"/>
  <c r="W47" i="46"/>
  <c r="W34" i="46"/>
  <c r="AJ56" i="46"/>
  <c r="AF61" i="38"/>
  <c r="AF35" i="36"/>
  <c r="AA35" i="36"/>
  <c r="V35" i="36"/>
  <c r="AU51" i="38"/>
  <c r="AT51" i="38"/>
  <c r="AS51" i="38"/>
  <c r="AR51" i="38"/>
  <c r="AU49" i="38"/>
  <c r="AT49" i="38"/>
  <c r="AS49" i="38"/>
  <c r="AR49" i="38"/>
  <c r="AU47" i="38"/>
  <c r="AT47" i="38"/>
  <c r="AS47" i="38"/>
  <c r="AR47" i="38"/>
  <c r="AP51" i="38"/>
  <c r="AO51" i="38"/>
  <c r="AN51" i="38"/>
  <c r="AM51" i="38"/>
  <c r="AP49" i="38"/>
  <c r="AO49" i="38"/>
  <c r="AN49" i="38"/>
  <c r="AM49" i="38"/>
  <c r="AP47" i="38"/>
  <c r="AO47" i="38"/>
  <c r="AN47" i="38"/>
  <c r="AM47" i="38"/>
  <c r="AK51" i="38"/>
  <c r="AJ51" i="38"/>
  <c r="AI51" i="38"/>
  <c r="AH51" i="38"/>
  <c r="AK49" i="38"/>
  <c r="AJ49" i="38"/>
  <c r="AI49" i="38"/>
  <c r="AH49" i="38"/>
  <c r="AK47" i="38"/>
  <c r="AJ47" i="38"/>
  <c r="AI47" i="38"/>
  <c r="AH47" i="38"/>
  <c r="AF51" i="38"/>
  <c r="AE51" i="38"/>
  <c r="AD51" i="38"/>
  <c r="AC51" i="38"/>
  <c r="AF49" i="38"/>
  <c r="AE49" i="38"/>
  <c r="AD49" i="38"/>
  <c r="AC49" i="38"/>
  <c r="AF47" i="38"/>
  <c r="AE47" i="38"/>
  <c r="AD47" i="38"/>
  <c r="AC47" i="38"/>
  <c r="AA51" i="38"/>
  <c r="Z51" i="38"/>
  <c r="Y51" i="38"/>
  <c r="X51" i="38"/>
  <c r="AA49" i="38"/>
  <c r="Z49" i="38"/>
  <c r="Y49" i="38"/>
  <c r="X49" i="38"/>
  <c r="AA47" i="38"/>
  <c r="Z47" i="38"/>
  <c r="Y47" i="38"/>
  <c r="X47" i="38"/>
  <c r="V51" i="38"/>
  <c r="V49" i="38"/>
  <c r="V47" i="38"/>
  <c r="AF68" i="36"/>
  <c r="AL63" i="39"/>
  <c r="G37" i="36"/>
  <c r="L37" i="36"/>
  <c r="Q37" i="36"/>
  <c r="D57" i="39"/>
  <c r="AA63" i="36"/>
  <c r="Z63" i="36"/>
  <c r="V144" i="36"/>
  <c r="X144" i="36" s="1"/>
  <c r="Y144" i="36" s="1"/>
  <c r="Z144" i="36" s="1"/>
  <c r="AA144" i="36" s="1"/>
  <c r="AC144" i="36" s="1"/>
  <c r="AD144" i="36" s="1"/>
  <c r="AE144" i="36" s="1"/>
  <c r="AF144" i="36" s="1"/>
  <c r="AH144" i="36" s="1"/>
  <c r="AI144" i="36" s="1"/>
  <c r="AJ144" i="36" s="1"/>
  <c r="AK144" i="36" s="1"/>
  <c r="AM144" i="36" s="1"/>
  <c r="AN144" i="36" s="1"/>
  <c r="AO144" i="36" s="1"/>
  <c r="AP144" i="36" s="1"/>
  <c r="AR144" i="36" s="1"/>
  <c r="AS144" i="36" s="1"/>
  <c r="AT144" i="36" s="1"/>
  <c r="AU144" i="36" s="1"/>
  <c r="V145" i="36"/>
  <c r="X145" i="36" s="1"/>
  <c r="Y145" i="36" s="1"/>
  <c r="Z145" i="36" s="1"/>
  <c r="AA145" i="36" s="1"/>
  <c r="AC145" i="36" s="1"/>
  <c r="AD145" i="36" s="1"/>
  <c r="AE145" i="36" s="1"/>
  <c r="AF145" i="36" s="1"/>
  <c r="AH145" i="36" s="1"/>
  <c r="AI145" i="36" s="1"/>
  <c r="AJ145" i="36" s="1"/>
  <c r="AK145" i="36" s="1"/>
  <c r="AM145" i="36" s="1"/>
  <c r="AN145" i="36" s="1"/>
  <c r="AO145" i="36" s="1"/>
  <c r="AP145" i="36" s="1"/>
  <c r="AR145" i="36" s="1"/>
  <c r="AS145" i="36" s="1"/>
  <c r="AT145" i="36" s="1"/>
  <c r="AU145" i="36" s="1"/>
  <c r="AV66" i="38"/>
  <c r="AQ66" i="38"/>
  <c r="AL66" i="38"/>
  <c r="AG66" i="38"/>
  <c r="AB66" i="38"/>
  <c r="W66" i="38"/>
  <c r="W67" i="38"/>
  <c r="M67" i="38"/>
  <c r="R67" i="38"/>
  <c r="AJ172" i="73" l="1"/>
  <c r="AJ28" i="73" s="1"/>
  <c r="AK170" i="73"/>
  <c r="AK170" i="70" s="1"/>
  <c r="AK168" i="70"/>
  <c r="AJ18" i="73"/>
  <c r="AJ18" i="70" s="1"/>
  <c r="AF121" i="70"/>
  <c r="AJ117" i="70"/>
  <c r="AQ69" i="73"/>
  <c r="AI120" i="73"/>
  <c r="AI118" i="70"/>
  <c r="AH121" i="73"/>
  <c r="AH120" i="70"/>
  <c r="AO129" i="73"/>
  <c r="AH28" i="65"/>
  <c r="AH28" i="70" s="1"/>
  <c r="AM173" i="73"/>
  <c r="AK173" i="70"/>
  <c r="AM153" i="73"/>
  <c r="AN21" i="75"/>
  <c r="AO23" i="74"/>
  <c r="AE134" i="73"/>
  <c r="AK153" i="73"/>
  <c r="AK155" i="73" s="1"/>
  <c r="AJ155" i="73"/>
  <c r="AJ50" i="73"/>
  <c r="AI52" i="73"/>
  <c r="AI54" i="73" s="1"/>
  <c r="X41" i="75"/>
  <c r="AK8" i="75"/>
  <c r="AL8" i="75" s="1"/>
  <c r="AL16" i="74"/>
  <c r="AN165" i="73"/>
  <c r="AM168" i="73"/>
  <c r="AS44" i="73"/>
  <c r="AS77" i="73"/>
  <c r="O53" i="74"/>
  <c r="O43" i="74"/>
  <c r="AM17" i="75"/>
  <c r="AN10" i="74"/>
  <c r="AN13" i="74"/>
  <c r="AM19" i="75"/>
  <c r="AN27" i="74"/>
  <c r="AM16" i="74"/>
  <c r="AM8" i="75" s="1"/>
  <c r="AJ31" i="73"/>
  <c r="AK31" i="73" s="1"/>
  <c r="AR35" i="73"/>
  <c r="AF6" i="73"/>
  <c r="AG6" i="73" s="1"/>
  <c r="AK29" i="75"/>
  <c r="AK47" i="75"/>
  <c r="AM28" i="74"/>
  <c r="AL28" i="74"/>
  <c r="AK63" i="74"/>
  <c r="AM22" i="73"/>
  <c r="AB60" i="73"/>
  <c r="Z70" i="73"/>
  <c r="Z9" i="73"/>
  <c r="AD41" i="73"/>
  <c r="AD43" i="73" s="1"/>
  <c r="AD45" i="73" s="1"/>
  <c r="AC57" i="73"/>
  <c r="AA64" i="73"/>
  <c r="AA60" i="73"/>
  <c r="AA67" i="73"/>
  <c r="AB67" i="73" s="1"/>
  <c r="AB68" i="73" s="1"/>
  <c r="AI30" i="73"/>
  <c r="AM33" i="75"/>
  <c r="AR119" i="73"/>
  <c r="AP16" i="73"/>
  <c r="AB64" i="73"/>
  <c r="AB65" i="73" s="1"/>
  <c r="P46" i="75"/>
  <c r="P48" i="75" s="1"/>
  <c r="P11" i="74"/>
  <c r="P20" i="74" s="1"/>
  <c r="P144" i="73"/>
  <c r="AJ118" i="73"/>
  <c r="AK117" i="73"/>
  <c r="AO136" i="73"/>
  <c r="Q46" i="75"/>
  <c r="Q48" i="75" s="1"/>
  <c r="Q11" i="74"/>
  <c r="Q20" i="74" s="1"/>
  <c r="R6" i="74"/>
  <c r="Q144" i="73"/>
  <c r="AL29" i="75"/>
  <c r="Z8" i="73"/>
  <c r="AB5" i="73"/>
  <c r="AB8" i="73" s="1"/>
  <c r="AA12" i="75"/>
  <c r="AA25" i="75"/>
  <c r="AA8" i="74"/>
  <c r="AA140" i="73"/>
  <c r="AK58" i="75"/>
  <c r="AL58" i="75" s="1"/>
  <c r="AR143" i="73"/>
  <c r="AI14" i="73"/>
  <c r="AI14" i="70" s="1"/>
  <c r="AJ102" i="73"/>
  <c r="AJ102" i="70" s="1"/>
  <c r="AN125" i="73"/>
  <c r="Z93" i="73"/>
  <c r="Z97" i="73"/>
  <c r="Z11" i="73" s="1"/>
  <c r="Z100" i="73"/>
  <c r="AM20" i="75"/>
  <c r="AN25" i="74"/>
  <c r="AS163" i="73"/>
  <c r="AS163" i="70" s="1"/>
  <c r="AR69" i="73"/>
  <c r="AH85" i="73"/>
  <c r="AH87" i="73" s="1"/>
  <c r="AI83" i="73"/>
  <c r="S46" i="75"/>
  <c r="S48" i="75" s="1"/>
  <c r="S144" i="73"/>
  <c r="S11" i="74"/>
  <c r="S20" i="74" s="1"/>
  <c r="AA79" i="73"/>
  <c r="AA95" i="73"/>
  <c r="AA10" i="73" s="1"/>
  <c r="AB10" i="73" s="1"/>
  <c r="AA92" i="73"/>
  <c r="AB92" i="73" s="1"/>
  <c r="AB82" i="73" s="1"/>
  <c r="U40" i="75"/>
  <c r="U41" i="75" s="1"/>
  <c r="T6" i="74"/>
  <c r="AB78" i="73"/>
  <c r="AB79" i="73" s="1"/>
  <c r="AC43" i="73"/>
  <c r="AC45" i="73" s="1"/>
  <c r="AC74" i="73"/>
  <c r="AC76" i="73"/>
  <c r="AC78" i="73" s="1"/>
  <c r="AB74" i="73"/>
  <c r="AG139" i="73" s="1"/>
  <c r="AA90" i="73"/>
  <c r="AG90" i="73" s="1"/>
  <c r="Z62" i="65"/>
  <c r="Z59" i="65"/>
  <c r="Z46" i="65"/>
  <c r="AP54" i="66"/>
  <c r="AR54" i="66"/>
  <c r="AI18" i="65"/>
  <c r="AI172" i="65"/>
  <c r="AJ14" i="65"/>
  <c r="AD94" i="65"/>
  <c r="Y180" i="65"/>
  <c r="Y182" i="65"/>
  <c r="AD98" i="65"/>
  <c r="Y183" i="65"/>
  <c r="AD101" i="65"/>
  <c r="Y68" i="65"/>
  <c r="Y65" i="65"/>
  <c r="Y61" i="65"/>
  <c r="AA134" i="65"/>
  <c r="AB6" i="65"/>
  <c r="AS86" i="65"/>
  <c r="AD87" i="65"/>
  <c r="AC6" i="65"/>
  <c r="AA76" i="65"/>
  <c r="AD77" i="65"/>
  <c r="Z78" i="65"/>
  <c r="AE54" i="65"/>
  <c r="AA43" i="65"/>
  <c r="AD44" i="65"/>
  <c r="AO55" i="66"/>
  <c r="AP55" i="66" s="1"/>
  <c r="AO40" i="66"/>
  <c r="AO39" i="66"/>
  <c r="AO32" i="66"/>
  <c r="AO31" i="66"/>
  <c r="AO34" i="66"/>
  <c r="AO33" i="66"/>
  <c r="AL19" i="67"/>
  <c r="AO24" i="66"/>
  <c r="AO26" i="66"/>
  <c r="AO19" i="66"/>
  <c r="AO15" i="66"/>
  <c r="AO18" i="66"/>
  <c r="AJ118" i="65"/>
  <c r="AK117" i="65"/>
  <c r="AI120" i="65"/>
  <c r="AK102" i="65"/>
  <c r="AJ170" i="65"/>
  <c r="AH121" i="65"/>
  <c r="AL117" i="65"/>
  <c r="AL22" i="65"/>
  <c r="AS145" i="65"/>
  <c r="AM128" i="65"/>
  <c r="AM126" i="65"/>
  <c r="AL129" i="65"/>
  <c r="AL129" i="70" s="1"/>
  <c r="AM129" i="65"/>
  <c r="AM129" i="70" s="1"/>
  <c r="AJ9" i="67"/>
  <c r="AI10" i="67"/>
  <c r="AL69" i="65"/>
  <c r="AL69" i="70" s="1"/>
  <c r="AH153" i="65"/>
  <c r="AF31" i="65"/>
  <c r="AH58" i="67"/>
  <c r="AI57" i="67"/>
  <c r="AM26" i="65"/>
  <c r="L43" i="71"/>
  <c r="M43" i="71"/>
  <c r="K43" i="71"/>
  <c r="N43" i="71"/>
  <c r="AK14" i="65"/>
  <c r="AM69" i="65"/>
  <c r="AM69" i="70" s="1"/>
  <c r="AM19" i="67"/>
  <c r="AN27" i="66"/>
  <c r="AM16" i="66"/>
  <c r="AK17" i="67"/>
  <c r="AM10" i="66"/>
  <c r="AL10" i="66"/>
  <c r="AF30" i="65"/>
  <c r="AJ33" i="67"/>
  <c r="AS163" i="65"/>
  <c r="N53" i="66"/>
  <c r="N43" i="66"/>
  <c r="AN35" i="65"/>
  <c r="AC74" i="65"/>
  <c r="AB74" i="65"/>
  <c r="AA90" i="65"/>
  <c r="L53" i="66"/>
  <c r="L43" i="66"/>
  <c r="AE85" i="65"/>
  <c r="AF83" i="65"/>
  <c r="Y103" i="65"/>
  <c r="AK20" i="67"/>
  <c r="AM25" i="66"/>
  <c r="AL25" i="66"/>
  <c r="AF52" i="65"/>
  <c r="AH50" i="65"/>
  <c r="AG50" i="65"/>
  <c r="M46" i="67"/>
  <c r="M48" i="67" s="1"/>
  <c r="M11" i="66"/>
  <c r="M20" i="66" s="1"/>
  <c r="M43" i="66" s="1"/>
  <c r="AK8" i="67"/>
  <c r="AL16" i="66"/>
  <c r="AM119" i="65"/>
  <c r="AK16" i="65"/>
  <c r="AL119" i="65"/>
  <c r="AK47" i="67"/>
  <c r="AK29" i="67"/>
  <c r="AK63" i="66"/>
  <c r="AM28" i="66"/>
  <c r="AL28" i="66"/>
  <c r="AM22" i="65"/>
  <c r="AM13" i="66"/>
  <c r="AL13" i="66"/>
  <c r="AK21" i="67"/>
  <c r="AL23" i="66"/>
  <c r="AM23" i="66"/>
  <c r="AM165" i="65"/>
  <c r="AK168" i="65"/>
  <c r="AN125" i="65"/>
  <c r="Y8" i="65"/>
  <c r="O46" i="67"/>
  <c r="O48" i="67" s="1"/>
  <c r="O11" i="66"/>
  <c r="O20" i="66" s="1"/>
  <c r="O144" i="65"/>
  <c r="Q40" i="67"/>
  <c r="Q41" i="67" s="1"/>
  <c r="Q6" i="66" s="1"/>
  <c r="P6" i="66"/>
  <c r="T40" i="67"/>
  <c r="T41" i="67" s="1"/>
  <c r="S6" i="66"/>
  <c r="AB40" i="67"/>
  <c r="X40" i="67"/>
  <c r="AI153" i="65"/>
  <c r="AH155" i="65"/>
  <c r="K53" i="66"/>
  <c r="K43" i="66"/>
  <c r="AR44" i="65"/>
  <c r="AD6" i="65"/>
  <c r="AC41" i="65"/>
  <c r="AB41" i="65"/>
  <c r="AA57" i="65"/>
  <c r="AK54" i="57"/>
  <c r="AK54" i="62" s="1"/>
  <c r="I20" i="57"/>
  <c r="I20" i="62" s="1"/>
  <c r="I11" i="62"/>
  <c r="I48" i="58"/>
  <c r="I48" i="63" s="1"/>
  <c r="I46" i="63"/>
  <c r="AI28" i="62"/>
  <c r="AI47" i="58"/>
  <c r="AI47" i="63" s="1"/>
  <c r="AI29" i="58"/>
  <c r="AI29" i="63" s="1"/>
  <c r="AI63" i="57"/>
  <c r="AI63" i="62" s="1"/>
  <c r="AJ28" i="57"/>
  <c r="AJ22" i="56"/>
  <c r="AJ22" i="61" s="1"/>
  <c r="AG120" i="61"/>
  <c r="Z134" i="56"/>
  <c r="AA43" i="61"/>
  <c r="X94" i="61"/>
  <c r="AC94" i="56"/>
  <c r="X180" i="56"/>
  <c r="X98" i="61"/>
  <c r="X182" i="56"/>
  <c r="AC98" i="56"/>
  <c r="X101" i="61"/>
  <c r="X183" i="56"/>
  <c r="AC101" i="56"/>
  <c r="X65" i="61"/>
  <c r="X177" i="56"/>
  <c r="AC65" i="56"/>
  <c r="X68" i="61"/>
  <c r="X178" i="56"/>
  <c r="AC68" i="56"/>
  <c r="X61" i="61"/>
  <c r="AC61" i="56"/>
  <c r="X175" i="56"/>
  <c r="AC87" i="56"/>
  <c r="AC87" i="61" s="1"/>
  <c r="AC85" i="61"/>
  <c r="AR86" i="56"/>
  <c r="AR86" i="61" s="1"/>
  <c r="AM86" i="61"/>
  <c r="AA87" i="61"/>
  <c r="AA6" i="56"/>
  <c r="AC77" i="61"/>
  <c r="AH77" i="56"/>
  <c r="Y78" i="56"/>
  <c r="Y76" i="61"/>
  <c r="AD54" i="56"/>
  <c r="AD54" i="61" s="1"/>
  <c r="AD52" i="61"/>
  <c r="AM44" i="61"/>
  <c r="AR44" i="56"/>
  <c r="AR44" i="61" s="1"/>
  <c r="AG28" i="56"/>
  <c r="AG28" i="61" s="1"/>
  <c r="X47" i="62"/>
  <c r="AC47" i="57"/>
  <c r="X48" i="57"/>
  <c r="X48" i="62" s="1"/>
  <c r="X53" i="63"/>
  <c r="Y53" i="58"/>
  <c r="X56" i="63"/>
  <c r="AM55" i="57"/>
  <c r="AM55" i="62" s="1"/>
  <c r="AS39" i="57"/>
  <c r="AR39" i="62"/>
  <c r="AN40" i="57"/>
  <c r="AM40" i="62"/>
  <c r="AK33" i="57"/>
  <c r="AJ33" i="62"/>
  <c r="AN32" i="57"/>
  <c r="AM32" i="62"/>
  <c r="AN31" i="57"/>
  <c r="AM31" i="62"/>
  <c r="AN34" i="57"/>
  <c r="AM34" i="62"/>
  <c r="AJ16" i="57"/>
  <c r="AG20" i="58"/>
  <c r="AG20" i="63" s="1"/>
  <c r="AF20" i="63"/>
  <c r="AN26" i="57"/>
  <c r="AM26" i="62"/>
  <c r="AN24" i="57"/>
  <c r="AM24" i="62"/>
  <c r="AI8" i="58"/>
  <c r="AI8" i="63" s="1"/>
  <c r="AI16" i="62"/>
  <c r="AK15" i="62"/>
  <c r="AM15" i="57"/>
  <c r="AL15" i="57"/>
  <c r="AL15" i="62" s="1"/>
  <c r="AN18" i="57"/>
  <c r="AM18" i="62"/>
  <c r="AK19" i="62"/>
  <c r="AL19" i="57"/>
  <c r="AL19" i="62" s="1"/>
  <c r="AM19" i="57"/>
  <c r="AO173" i="56"/>
  <c r="AN173" i="61"/>
  <c r="AJ170" i="56"/>
  <c r="AJ168" i="61"/>
  <c r="AM165" i="56"/>
  <c r="AK165" i="61"/>
  <c r="AK168" i="56"/>
  <c r="AI170" i="61"/>
  <c r="AI172" i="56"/>
  <c r="AI18" i="56"/>
  <c r="AI18" i="61" s="1"/>
  <c r="AL118" i="56"/>
  <c r="AL118" i="61" s="1"/>
  <c r="AL117" i="61"/>
  <c r="AH102" i="61"/>
  <c r="AI102" i="56"/>
  <c r="AH28" i="56"/>
  <c r="AH28" i="61" s="1"/>
  <c r="AH172" i="61"/>
  <c r="AN145" i="56"/>
  <c r="AM145" i="61"/>
  <c r="AJ129" i="61"/>
  <c r="AK129" i="56"/>
  <c r="AE10" i="63"/>
  <c r="AF10" i="58"/>
  <c r="AF10" i="63" s="1"/>
  <c r="AF9" i="63"/>
  <c r="AH121" i="56"/>
  <c r="AH121" i="61" s="1"/>
  <c r="AH120" i="61"/>
  <c r="X71" i="56"/>
  <c r="X71" i="61" s="1"/>
  <c r="X70" i="61"/>
  <c r="AB45" i="56"/>
  <c r="AG57" i="56"/>
  <c r="AG57" i="61" s="1"/>
  <c r="AA57" i="61"/>
  <c r="AA62" i="56"/>
  <c r="AA62" i="61" s="1"/>
  <c r="AA46" i="56"/>
  <c r="AA46" i="61" s="1"/>
  <c r="AC43" i="56"/>
  <c r="AA59" i="56"/>
  <c r="AA59" i="61" s="1"/>
  <c r="Z45" i="61"/>
  <c r="Z59" i="56"/>
  <c r="Z46" i="56"/>
  <c r="Z46" i="61" s="1"/>
  <c r="Z62" i="56"/>
  <c r="Z62" i="61" s="1"/>
  <c r="AD153" i="56"/>
  <c r="AC153" i="61"/>
  <c r="AF58" i="58"/>
  <c r="AE58" i="63"/>
  <c r="AH26" i="61"/>
  <c r="AI26" i="56"/>
  <c r="X15" i="63"/>
  <c r="X8" i="62"/>
  <c r="AO163" i="56"/>
  <c r="AN117" i="56"/>
  <c r="O40" i="58"/>
  <c r="O41" i="58" s="1"/>
  <c r="N6" i="57"/>
  <c r="AD41" i="56"/>
  <c r="AD41" i="61" s="1"/>
  <c r="AC57" i="56"/>
  <c r="AC57" i="61" s="1"/>
  <c r="AH20" i="58"/>
  <c r="AH20" i="63" s="1"/>
  <c r="AI25" i="57"/>
  <c r="AI25" i="62" s="1"/>
  <c r="J46" i="58"/>
  <c r="J11" i="57"/>
  <c r="J144" i="56"/>
  <c r="J144" i="61" s="1"/>
  <c r="X14" i="62"/>
  <c r="AU77" i="56"/>
  <c r="L40" i="58"/>
  <c r="L41" i="58" s="1"/>
  <c r="L6" i="57" s="1"/>
  <c r="K6" i="57"/>
  <c r="AM54" i="57"/>
  <c r="AM54" i="62" s="1"/>
  <c r="AI14" i="56"/>
  <c r="AI14" i="61" s="1"/>
  <c r="AJ69" i="56"/>
  <c r="AJ69" i="61" s="1"/>
  <c r="AJ19" i="58"/>
  <c r="AJ19" i="63" s="1"/>
  <c r="AK27" i="57"/>
  <c r="AK27" i="62" s="1"/>
  <c r="AJ21" i="58"/>
  <c r="AJ21" i="63" s="1"/>
  <c r="AK23" i="57"/>
  <c r="AK23" i="62" s="1"/>
  <c r="AJ35" i="56"/>
  <c r="AJ35" i="61" s="1"/>
  <c r="AJ13" i="57"/>
  <c r="AJ13" i="62" s="1"/>
  <c r="AD85" i="56"/>
  <c r="AE83" i="56"/>
  <c r="AE83" i="61" s="1"/>
  <c r="W40" i="58"/>
  <c r="S40" i="58"/>
  <c r="X103" i="56"/>
  <c r="AK17" i="58"/>
  <c r="AL10" i="57"/>
  <c r="AL10" i="62" s="1"/>
  <c r="AM10" i="57"/>
  <c r="AM10" i="62" s="1"/>
  <c r="AA74" i="56"/>
  <c r="AA74" i="61" s="1"/>
  <c r="Z90" i="56"/>
  <c r="Z90" i="61" s="1"/>
  <c r="AJ119" i="56"/>
  <c r="AJ119" i="61" s="1"/>
  <c r="AI16" i="56"/>
  <c r="AI120" i="56"/>
  <c r="AF50" i="56"/>
  <c r="AF50" i="61" s="1"/>
  <c r="AE52" i="56"/>
  <c r="Z76" i="56"/>
  <c r="AM118" i="56"/>
  <c r="AM118" i="61" s="1"/>
  <c r="AH9" i="58"/>
  <c r="AH9" i="63" s="1"/>
  <c r="AH136" i="56"/>
  <c r="AC153" i="48"/>
  <c r="AD153" i="48" s="1"/>
  <c r="AE153" i="48" s="1"/>
  <c r="AA6" i="48"/>
  <c r="AA134" i="48" s="1"/>
  <c r="AJ13" i="49"/>
  <c r="AB6" i="48"/>
  <c r="AU143" i="48"/>
  <c r="AI102" i="48"/>
  <c r="AH14" i="48"/>
  <c r="AD85" i="48"/>
  <c r="AD87" i="48" s="1"/>
  <c r="AE83" i="48"/>
  <c r="AK69" i="48"/>
  <c r="AL69" i="48" s="1"/>
  <c r="AF56" i="49"/>
  <c r="X64" i="48"/>
  <c r="X60" i="48"/>
  <c r="X67" i="48"/>
  <c r="Y46" i="48"/>
  <c r="Y5" i="48"/>
  <c r="Y8" i="48" s="1"/>
  <c r="Y62" i="48"/>
  <c r="Y59" i="48"/>
  <c r="AH21" i="50"/>
  <c r="AI23" i="49"/>
  <c r="AD20" i="50"/>
  <c r="AE25" i="49"/>
  <c r="X10" i="48"/>
  <c r="N41" i="50"/>
  <c r="R41" i="50"/>
  <c r="Z41" i="48"/>
  <c r="Z43" i="48"/>
  <c r="Z45" i="48" s="1"/>
  <c r="Y57" i="48"/>
  <c r="X8" i="48"/>
  <c r="AI35" i="48"/>
  <c r="AH17" i="50"/>
  <c r="AI10" i="49"/>
  <c r="AH9" i="50"/>
  <c r="AK77" i="48"/>
  <c r="I46" i="50"/>
  <c r="I48" i="50" s="1"/>
  <c r="I11" i="49"/>
  <c r="I20" i="49" s="1"/>
  <c r="I144" i="48"/>
  <c r="K40" i="50"/>
  <c r="K41" i="50" s="1"/>
  <c r="J6" i="49"/>
  <c r="AH136" i="48"/>
  <c r="Y79" i="48"/>
  <c r="Y95" i="48"/>
  <c r="Y92" i="48"/>
  <c r="X133" i="48"/>
  <c r="AF29" i="50"/>
  <c r="AF47" i="50"/>
  <c r="AF63" i="49"/>
  <c r="AH28" i="49"/>
  <c r="AG28" i="49"/>
  <c r="AH22" i="48"/>
  <c r="AI136" i="48"/>
  <c r="AJ119" i="48"/>
  <c r="AI16" i="48"/>
  <c r="AI9" i="50" s="1"/>
  <c r="AI10" i="50" s="1"/>
  <c r="AI120" i="48"/>
  <c r="AI121" i="48" s="1"/>
  <c r="Z74" i="48"/>
  <c r="Z76" i="48"/>
  <c r="Z78" i="48" s="1"/>
  <c r="Y90" i="48"/>
  <c r="AF8" i="50"/>
  <c r="AG8" i="50" s="1"/>
  <c r="AG16" i="49"/>
  <c r="AH172" i="48"/>
  <c r="AH28" i="48" s="1"/>
  <c r="AH18" i="48"/>
  <c r="AO54" i="49"/>
  <c r="AR54" i="49" s="1"/>
  <c r="AM118" i="48"/>
  <c r="AJ165" i="48"/>
  <c r="AI168" i="48"/>
  <c r="AI170" i="48" s="1"/>
  <c r="AT55" i="49"/>
  <c r="AH56" i="49"/>
  <c r="AH19" i="50"/>
  <c r="AI27" i="49"/>
  <c r="AH16" i="49"/>
  <c r="AH8" i="50" s="1"/>
  <c r="AO163" i="48"/>
  <c r="AN117" i="48"/>
  <c r="AN118" i="48" s="1"/>
  <c r="AN129" i="48"/>
  <c r="AP54" i="49"/>
  <c r="X93" i="48"/>
  <c r="X100" i="48"/>
  <c r="X97" i="48"/>
  <c r="AD50" i="48"/>
  <c r="AC52" i="48"/>
  <c r="AC54" i="48" s="1"/>
  <c r="AB54" i="48"/>
  <c r="AE52" i="45"/>
  <c r="AE51" i="45"/>
  <c r="AJ51" i="45"/>
  <c r="AH51" i="45"/>
  <c r="AD51" i="45"/>
  <c r="AE49" i="45"/>
  <c r="AD49" i="45"/>
  <c r="AC50" i="45"/>
  <c r="AC49" i="45"/>
  <c r="AN47" i="45"/>
  <c r="AI47" i="45"/>
  <c r="AE47" i="45"/>
  <c r="AE48" i="45"/>
  <c r="AM47" i="45"/>
  <c r="AH47" i="45"/>
  <c r="AC48" i="45"/>
  <c r="AC47" i="45"/>
  <c r="AF56" i="46"/>
  <c r="AE56" i="46"/>
  <c r="AL34" i="46"/>
  <c r="AC163" i="44"/>
  <c r="AA56" i="46"/>
  <c r="Z56" i="46"/>
  <c r="Y173" i="44"/>
  <c r="Y170" i="44"/>
  <c r="Y168" i="44"/>
  <c r="X168" i="44"/>
  <c r="Y102" i="44"/>
  <c r="V170" i="44"/>
  <c r="Y117" i="44"/>
  <c r="X30" i="44"/>
  <c r="Y145" i="44"/>
  <c r="Y22" i="44"/>
  <c r="Y10" i="46"/>
  <c r="Y9" i="46"/>
  <c r="W116" i="44"/>
  <c r="W115" i="44"/>
  <c r="W112" i="44"/>
  <c r="W113" i="44"/>
  <c r="AB88" i="44"/>
  <c r="AA88" i="44"/>
  <c r="AA53" i="44"/>
  <c r="Z55" i="45"/>
  <c r="X55" i="45"/>
  <c r="AF47" i="45"/>
  <c r="AK49" i="45"/>
  <c r="X40" i="45"/>
  <c r="Y39" i="45"/>
  <c r="Z34" i="45"/>
  <c r="Z33" i="45"/>
  <c r="Y32" i="45"/>
  <c r="Y29" i="46"/>
  <c r="Y28" i="45"/>
  <c r="Z22" i="44"/>
  <c r="Y47" i="46"/>
  <c r="Z28" i="45"/>
  <c r="X26" i="45"/>
  <c r="Z24" i="45"/>
  <c r="Y19" i="45"/>
  <c r="Y18" i="45"/>
  <c r="X15" i="45"/>
  <c r="X53" i="46"/>
  <c r="Y31" i="44"/>
  <c r="Y26" i="44"/>
  <c r="V57" i="46"/>
  <c r="W33" i="46"/>
  <c r="V186" i="44"/>
  <c r="T182" i="44"/>
  <c r="S180" i="44"/>
  <c r="X175" i="44"/>
  <c r="Q137" i="44"/>
  <c r="X187" i="44"/>
  <c r="T183" i="44"/>
  <c r="X186" i="44"/>
  <c r="T180" i="44"/>
  <c r="D137" i="44"/>
  <c r="X181" i="44"/>
  <c r="O137" i="44"/>
  <c r="Y175" i="44"/>
  <c r="V185" i="44"/>
  <c r="T178" i="44"/>
  <c r="I137" i="44"/>
  <c r="Z181" i="44"/>
  <c r="Y187" i="44"/>
  <c r="S177" i="44"/>
  <c r="E137" i="44"/>
  <c r="Q182" i="44"/>
  <c r="X176" i="44"/>
  <c r="Y181" i="44"/>
  <c r="Q183" i="44"/>
  <c r="U175" i="44"/>
  <c r="X185" i="44"/>
  <c r="Q180" i="44"/>
  <c r="J137" i="44"/>
  <c r="AF177" i="44"/>
  <c r="V181" i="44"/>
  <c r="P137" i="44"/>
  <c r="G137" i="44"/>
  <c r="V175" i="44"/>
  <c r="S183" i="44"/>
  <c r="AA187" i="44"/>
  <c r="U178" i="44"/>
  <c r="K137" i="44"/>
  <c r="AE186" i="44"/>
  <c r="T177" i="44"/>
  <c r="Q178" i="44"/>
  <c r="U137" i="44"/>
  <c r="Z185" i="44"/>
  <c r="U177" i="44"/>
  <c r="Y176" i="44"/>
  <c r="L137" i="44"/>
  <c r="U180" i="44"/>
  <c r="Z187" i="44"/>
  <c r="Y186" i="44"/>
  <c r="S182" i="44"/>
  <c r="Z176" i="44"/>
  <c r="AD135" i="44"/>
  <c r="S178" i="44"/>
  <c r="N137" i="44"/>
  <c r="U182" i="44"/>
  <c r="S137" i="44"/>
  <c r="Y185" i="44"/>
  <c r="AE135" i="44"/>
  <c r="V177" i="44"/>
  <c r="Q177" i="44"/>
  <c r="U183" i="44"/>
  <c r="X83" i="44"/>
  <c r="W83" i="44"/>
  <c r="V85" i="44"/>
  <c r="AM48" i="45"/>
  <c r="AH48" i="45"/>
  <c r="AF113" i="44"/>
  <c r="Y14" i="44"/>
  <c r="X14" i="44"/>
  <c r="AH63" i="44"/>
  <c r="AA63" i="44"/>
  <c r="AA176" i="44" s="1"/>
  <c r="Y16" i="45"/>
  <c r="Y21" i="46"/>
  <c r="Z23" i="45"/>
  <c r="AI48" i="45"/>
  <c r="AF111" i="44"/>
  <c r="AA110" i="44"/>
  <c r="AP123" i="44"/>
  <c r="Z47" i="46"/>
  <c r="AA28" i="45"/>
  <c r="Y54" i="45"/>
  <c r="W8" i="46"/>
  <c r="W16" i="45"/>
  <c r="AH52" i="45"/>
  <c r="AB109" i="44"/>
  <c r="AF108" i="44"/>
  <c r="AF68" i="44"/>
  <c r="AN48" i="45"/>
  <c r="AB124" i="44"/>
  <c r="AK101" i="44"/>
  <c r="AA55" i="45"/>
  <c r="W10" i="46"/>
  <c r="Z16" i="44"/>
  <c r="AF88" i="44"/>
  <c r="AB7" i="44"/>
  <c r="AF51" i="45"/>
  <c r="AA52" i="45"/>
  <c r="AJ52" i="45"/>
  <c r="AF48" i="45"/>
  <c r="AC33" i="46"/>
  <c r="Y35" i="44"/>
  <c r="AA96" i="44"/>
  <c r="AC61" i="44"/>
  <c r="AM52" i="45"/>
  <c r="W110" i="44"/>
  <c r="AG124" i="44"/>
  <c r="AA165" i="44"/>
  <c r="X17" i="46"/>
  <c r="Y10" i="45"/>
  <c r="W90" i="44"/>
  <c r="Z69" i="44"/>
  <c r="AK48" i="45"/>
  <c r="AF116" i="44"/>
  <c r="AA115" i="44"/>
  <c r="AK55" i="44"/>
  <c r="Y19" i="46"/>
  <c r="Y13" i="45"/>
  <c r="AK65" i="44"/>
  <c r="AG55" i="44"/>
  <c r="AK154" i="36"/>
  <c r="AJ61" i="38" s="1"/>
  <c r="AH34" i="39"/>
  <c r="V68" i="36"/>
  <c r="AA68" i="36" s="1"/>
  <c r="AK68" i="36" s="1"/>
  <c r="V63" i="36"/>
  <c r="V176" i="36" s="1"/>
  <c r="V61" i="36"/>
  <c r="V175" i="36" s="1"/>
  <c r="V69" i="36"/>
  <c r="X69" i="36" s="1"/>
  <c r="Y69" i="36" s="1"/>
  <c r="Y176" i="36"/>
  <c r="Y63" i="36"/>
  <c r="X63" i="36"/>
  <c r="AJ68" i="36"/>
  <c r="AI68" i="36"/>
  <c r="AI178" i="36" s="1"/>
  <c r="AH68" i="36"/>
  <c r="AM68" i="36" s="1"/>
  <c r="AR68" i="36" s="1"/>
  <c r="AH65" i="36"/>
  <c r="AI65" i="36"/>
  <c r="AJ65" i="36"/>
  <c r="AK65" i="36"/>
  <c r="AK177" i="36"/>
  <c r="AO65" i="36"/>
  <c r="AT65" i="36" s="1"/>
  <c r="AN65" i="36"/>
  <c r="AS65" i="36" s="1"/>
  <c r="AH177" i="36"/>
  <c r="AI63" i="36"/>
  <c r="AH63" i="36"/>
  <c r="AM63" i="36" s="1"/>
  <c r="AR63" i="36" s="1"/>
  <c r="AJ61" i="36"/>
  <c r="AO61" i="36" s="1"/>
  <c r="AT61" i="36" s="1"/>
  <c r="AI61" i="36"/>
  <c r="AI175" i="36" s="1"/>
  <c r="AH61" i="36"/>
  <c r="AE68" i="36"/>
  <c r="AD178" i="36"/>
  <c r="AE63" i="36"/>
  <c r="AE176" i="36" s="1"/>
  <c r="AD63" i="36"/>
  <c r="AD176" i="36" s="1"/>
  <c r="AC176" i="36"/>
  <c r="AE61" i="36"/>
  <c r="AD61" i="36"/>
  <c r="AC175" i="36"/>
  <c r="AO68" i="36"/>
  <c r="AT68" i="36" s="1"/>
  <c r="AF65" i="36"/>
  <c r="AF177" i="36" s="1"/>
  <c r="AE65" i="36"/>
  <c r="AE177" i="36" s="1"/>
  <c r="AD65" i="36"/>
  <c r="AD177" i="36" s="1"/>
  <c r="AC65" i="36"/>
  <c r="AC177" i="36" s="1"/>
  <c r="AD175" i="36"/>
  <c r="AE175" i="36"/>
  <c r="AC178" i="36"/>
  <c r="AE178" i="36"/>
  <c r="Z68" i="36"/>
  <c r="Z178" i="36" s="1"/>
  <c r="Y68" i="36"/>
  <c r="Y178" i="36" s="1"/>
  <c r="Y61" i="36"/>
  <c r="Y175" i="36" s="1"/>
  <c r="X61" i="36"/>
  <c r="X175" i="36" s="1"/>
  <c r="X176" i="36"/>
  <c r="X68" i="36"/>
  <c r="X178" i="36" s="1"/>
  <c r="Z61" i="36"/>
  <c r="Z175" i="36" s="1"/>
  <c r="X65" i="36"/>
  <c r="AA65" i="36"/>
  <c r="Z65" i="36"/>
  <c r="Y65" i="36"/>
  <c r="Z176" i="36"/>
  <c r="V177" i="36"/>
  <c r="X177" i="36"/>
  <c r="Y177" i="36"/>
  <c r="Z177" i="36"/>
  <c r="AA177" i="36"/>
  <c r="Q176" i="36"/>
  <c r="S176" i="36"/>
  <c r="T176" i="36"/>
  <c r="Q177" i="36"/>
  <c r="S177" i="36"/>
  <c r="T177" i="36"/>
  <c r="Q178" i="36"/>
  <c r="S178" i="36"/>
  <c r="T178" i="36"/>
  <c r="U178" i="36"/>
  <c r="U176" i="36"/>
  <c r="U177" i="36"/>
  <c r="U175" i="36"/>
  <c r="Q175" i="36"/>
  <c r="S175" i="36"/>
  <c r="T175" i="36"/>
  <c r="AD56" i="39"/>
  <c r="AE56" i="39" s="1"/>
  <c r="AF56" i="39" s="1"/>
  <c r="Y56" i="39"/>
  <c r="Z56" i="39" s="1"/>
  <c r="AA56" i="39" s="1"/>
  <c r="R45" i="36"/>
  <c r="U54" i="39"/>
  <c r="T54" i="39"/>
  <c r="S54" i="39"/>
  <c r="R54" i="39"/>
  <c r="Q54" i="39"/>
  <c r="P54" i="39"/>
  <c r="O54" i="39"/>
  <c r="N54" i="39"/>
  <c r="M54" i="39"/>
  <c r="L54" i="39"/>
  <c r="K54" i="39"/>
  <c r="J54" i="39"/>
  <c r="I54" i="39"/>
  <c r="H54" i="39"/>
  <c r="G54" i="39"/>
  <c r="F54" i="39"/>
  <c r="E54" i="39"/>
  <c r="AU34" i="39"/>
  <c r="AT34" i="39"/>
  <c r="AS34" i="39"/>
  <c r="AR34" i="39"/>
  <c r="AP34" i="39"/>
  <c r="AO34" i="39"/>
  <c r="AN34" i="39"/>
  <c r="AM34" i="39"/>
  <c r="AD34" i="39"/>
  <c r="AC34" i="39"/>
  <c r="AA34" i="39"/>
  <c r="Z34" i="39"/>
  <c r="Y34" i="39"/>
  <c r="X34" i="39"/>
  <c r="AK18" i="73" l="1"/>
  <c r="AL18" i="73" s="1"/>
  <c r="AL18" i="70" s="1"/>
  <c r="AK172" i="73"/>
  <c r="AK28" i="73" s="1"/>
  <c r="AM170" i="73"/>
  <c r="AM170" i="70" s="1"/>
  <c r="AM168" i="70"/>
  <c r="AH121" i="70"/>
  <c r="Z71" i="73"/>
  <c r="Z72" i="73" s="1"/>
  <c r="AL117" i="73"/>
  <c r="AK117" i="70"/>
  <c r="AJ120" i="73"/>
  <c r="AJ118" i="70"/>
  <c r="AI121" i="73"/>
  <c r="AI120" i="70"/>
  <c r="AP129" i="73"/>
  <c r="AI28" i="65"/>
  <c r="AI28" i="70" s="1"/>
  <c r="AI172" i="70"/>
  <c r="AN173" i="73"/>
  <c r="AM173" i="70"/>
  <c r="AD46" i="73"/>
  <c r="AD62" i="73"/>
  <c r="AD59" i="73"/>
  <c r="AB95" i="73"/>
  <c r="AB96" i="73" s="1"/>
  <c r="Z103" i="73"/>
  <c r="Z13" i="73"/>
  <c r="AL155" i="73"/>
  <c r="AI85" i="73"/>
  <c r="AI87" i="73" s="1"/>
  <c r="AJ83" i="73"/>
  <c r="AB8" i="74"/>
  <c r="AE43" i="73"/>
  <c r="AE45" i="73" s="1"/>
  <c r="AE41" i="73"/>
  <c r="AD57" i="73"/>
  <c r="AC79" i="73"/>
  <c r="AC95" i="73"/>
  <c r="AC92" i="73"/>
  <c r="P53" i="74"/>
  <c r="P43" i="74"/>
  <c r="Z22" i="74"/>
  <c r="Z9" i="74"/>
  <c r="Z16" i="75" s="1"/>
  <c r="Z15" i="73"/>
  <c r="AD74" i="73"/>
  <c r="AC90" i="73"/>
  <c r="AO27" i="74"/>
  <c r="AN19" i="75"/>
  <c r="AN16" i="74"/>
  <c r="AN8" i="75" s="1"/>
  <c r="AK118" i="73"/>
  <c r="AM117" i="73"/>
  <c r="AC133" i="73"/>
  <c r="AC46" i="73"/>
  <c r="AC5" i="73"/>
  <c r="AC62" i="73"/>
  <c r="AC59" i="73"/>
  <c r="AB140" i="73"/>
  <c r="AB61" i="73"/>
  <c r="AO21" i="75"/>
  <c r="AP23" i="74"/>
  <c r="Z12" i="75"/>
  <c r="Z25" i="75"/>
  <c r="Z8" i="74"/>
  <c r="Z15" i="75" s="1"/>
  <c r="Z140" i="73"/>
  <c r="AO13" i="74"/>
  <c r="AO165" i="73"/>
  <c r="AN168" i="73"/>
  <c r="T46" i="75"/>
  <c r="T48" i="75" s="1"/>
  <c r="T144" i="73"/>
  <c r="T11" i="74"/>
  <c r="T20" i="74" s="1"/>
  <c r="AP9" i="75"/>
  <c r="AQ16" i="73"/>
  <c r="V40" i="75"/>
  <c r="V41" i="75" s="1"/>
  <c r="V6" i="74" s="1"/>
  <c r="U6" i="74"/>
  <c r="AS119" i="73"/>
  <c r="AR136" i="73"/>
  <c r="AR16" i="73"/>
  <c r="AL47" i="75"/>
  <c r="AL67" i="74"/>
  <c r="AN17" i="75"/>
  <c r="AO10" i="74"/>
  <c r="AO125" i="73"/>
  <c r="AP136" i="73"/>
  <c r="AN153" i="73"/>
  <c r="AM155" i="73"/>
  <c r="AM31" i="73" s="1"/>
  <c r="AT163" i="73"/>
  <c r="AT163" i="70" s="1"/>
  <c r="AS69" i="73"/>
  <c r="AK102" i="73"/>
  <c r="AK102" i="70" s="1"/>
  <c r="AJ14" i="73"/>
  <c r="AJ14" i="70" s="1"/>
  <c r="R46" i="75"/>
  <c r="R48" i="75" s="1"/>
  <c r="R11" i="74"/>
  <c r="R20" i="74" s="1"/>
  <c r="R43" i="74" s="1"/>
  <c r="AM57" i="75"/>
  <c r="AM29" i="75"/>
  <c r="AM47" i="75"/>
  <c r="AM63" i="74"/>
  <c r="AN28" i="74"/>
  <c r="AN22" i="73"/>
  <c r="Y40" i="75"/>
  <c r="Y41" i="75" s="1"/>
  <c r="X6" i="74"/>
  <c r="AA100" i="73"/>
  <c r="AB100" i="73" s="1"/>
  <c r="AB101" i="73" s="1"/>
  <c r="AA93" i="73"/>
  <c r="AB93" i="73" s="1"/>
  <c r="AA97" i="73"/>
  <c r="AB97" i="73" s="1"/>
  <c r="AB98" i="73" s="1"/>
  <c r="Q53" i="74"/>
  <c r="Q43" i="74"/>
  <c r="AJ30" i="73"/>
  <c r="AN33" i="75"/>
  <c r="AN57" i="75" s="1"/>
  <c r="AI134" i="73"/>
  <c r="AI6" i="73"/>
  <c r="AF134" i="73"/>
  <c r="AN20" i="75"/>
  <c r="AO25" i="74"/>
  <c r="AA13" i="73"/>
  <c r="AK50" i="73"/>
  <c r="AJ52" i="73"/>
  <c r="AJ54" i="73" s="1"/>
  <c r="AS143" i="73"/>
  <c r="S53" i="74"/>
  <c r="S43" i="74"/>
  <c r="AS35" i="73"/>
  <c r="AT35" i="73" s="1"/>
  <c r="AU35" i="73" s="1"/>
  <c r="AH6" i="73"/>
  <c r="AC43" i="65"/>
  <c r="Z67" i="65"/>
  <c r="Z60" i="65"/>
  <c r="Z64" i="65"/>
  <c r="AS54" i="66"/>
  <c r="AT54" i="66" s="1"/>
  <c r="AJ18" i="65"/>
  <c r="AJ172" i="65"/>
  <c r="AJ172" i="70" s="1"/>
  <c r="AD183" i="65"/>
  <c r="AI101" i="65"/>
  <c r="AD182" i="65"/>
  <c r="AI98" i="65"/>
  <c r="AD180" i="65"/>
  <c r="AI94" i="65"/>
  <c r="Y175" i="65"/>
  <c r="Y177" i="65"/>
  <c r="AD65" i="65"/>
  <c r="AD68" i="65"/>
  <c r="Y178" i="65"/>
  <c r="AC134" i="65"/>
  <c r="AE87" i="65"/>
  <c r="AG90" i="65"/>
  <c r="AC76" i="65"/>
  <c r="Z92" i="65"/>
  <c r="Z95" i="65"/>
  <c r="Z5" i="65"/>
  <c r="Z79" i="65"/>
  <c r="AI77" i="65"/>
  <c r="AA78" i="65"/>
  <c r="AF54" i="65"/>
  <c r="AI44" i="65"/>
  <c r="AG57" i="65"/>
  <c r="AA45" i="65"/>
  <c r="Y56" i="67"/>
  <c r="Y53" i="67"/>
  <c r="Y17" i="65"/>
  <c r="Y23" i="65" s="1"/>
  <c r="Y47" i="66"/>
  <c r="AI58" i="67"/>
  <c r="AR55" i="66"/>
  <c r="AS55" i="66" s="1"/>
  <c r="AP40" i="66"/>
  <c r="AP39" i="66"/>
  <c r="AP33" i="66"/>
  <c r="AP34" i="66"/>
  <c r="AP31" i="66"/>
  <c r="AP32" i="66"/>
  <c r="AL21" i="67"/>
  <c r="AL8" i="67"/>
  <c r="AL20" i="67"/>
  <c r="AP26" i="66"/>
  <c r="AM8" i="67"/>
  <c r="AP24" i="66"/>
  <c r="AP18" i="66"/>
  <c r="AP15" i="66"/>
  <c r="AP19" i="66"/>
  <c r="AL17" i="67"/>
  <c r="AL118" i="65"/>
  <c r="AJ28" i="65"/>
  <c r="AJ28" i="70" s="1"/>
  <c r="AL102" i="65"/>
  <c r="AM102" i="65"/>
  <c r="AK170" i="65"/>
  <c r="AI121" i="65"/>
  <c r="AK118" i="65"/>
  <c r="AM117" i="65"/>
  <c r="AJ120" i="65"/>
  <c r="AT145" i="65"/>
  <c r="AN129" i="65"/>
  <c r="AN129" i="70" s="1"/>
  <c r="AN126" i="65"/>
  <c r="AN128" i="65"/>
  <c r="AJ10" i="67"/>
  <c r="Y105" i="65"/>
  <c r="AL14" i="65"/>
  <c r="AJ57" i="67"/>
  <c r="AN26" i="65"/>
  <c r="O43" i="71"/>
  <c r="AH31" i="65"/>
  <c r="AN19" i="67"/>
  <c r="AO27" i="66"/>
  <c r="AN16" i="66"/>
  <c r="AJ153" i="65"/>
  <c r="AI155" i="65"/>
  <c r="S46" i="67"/>
  <c r="S48" i="67" s="1"/>
  <c r="S11" i="66"/>
  <c r="S20" i="66" s="1"/>
  <c r="S144" i="65"/>
  <c r="Y70" i="65"/>
  <c r="U40" i="67"/>
  <c r="U41" i="67" s="1"/>
  <c r="T6" i="66"/>
  <c r="AK9" i="67"/>
  <c r="AL16" i="65"/>
  <c r="P46" i="67"/>
  <c r="P48" i="67" s="1"/>
  <c r="P11" i="66"/>
  <c r="P20" i="66" s="1"/>
  <c r="P144" i="65"/>
  <c r="AK136" i="65"/>
  <c r="AN69" i="65"/>
  <c r="AN69" i="70" s="1"/>
  <c r="Q46" i="67"/>
  <c r="Q48" i="67" s="1"/>
  <c r="R6" i="66"/>
  <c r="Q11" i="66"/>
  <c r="Q20" i="66" s="1"/>
  <c r="Q144" i="65"/>
  <c r="AN13" i="66"/>
  <c r="AN119" i="65"/>
  <c r="AM16" i="65"/>
  <c r="AI50" i="65"/>
  <c r="AH52" i="65"/>
  <c r="AG139" i="65"/>
  <c r="AO125" i="65"/>
  <c r="AD74" i="65"/>
  <c r="AC90" i="65"/>
  <c r="AT163" i="65"/>
  <c r="X41" i="67"/>
  <c r="AO35" i="65"/>
  <c r="AL47" i="67"/>
  <c r="AL67" i="66"/>
  <c r="AN25" i="66"/>
  <c r="AM20" i="67"/>
  <c r="AM21" i="67"/>
  <c r="AN23" i="66"/>
  <c r="AM47" i="67"/>
  <c r="AM63" i="66"/>
  <c r="AN28" i="66"/>
  <c r="AM29" i="67"/>
  <c r="AN22" i="65"/>
  <c r="AD41" i="65"/>
  <c r="AC57" i="65"/>
  <c r="AD134" i="65"/>
  <c r="O53" i="66"/>
  <c r="O43" i="66"/>
  <c r="AL29" i="67"/>
  <c r="AH30" i="65"/>
  <c r="AK33" i="67"/>
  <c r="AF85" i="65"/>
  <c r="AH83" i="65"/>
  <c r="AG83" i="65"/>
  <c r="AN165" i="65"/>
  <c r="AM168" i="65"/>
  <c r="AM17" i="67"/>
  <c r="AN10" i="66"/>
  <c r="Y140" i="65"/>
  <c r="I43" i="57"/>
  <c r="I43" i="62" s="1"/>
  <c r="AN55" i="57"/>
  <c r="AN55" i="62" s="1"/>
  <c r="I53" i="57"/>
  <c r="I53" i="62" s="1"/>
  <c r="J20" i="57"/>
  <c r="J20" i="62" s="1"/>
  <c r="J11" i="62"/>
  <c r="J48" i="58"/>
  <c r="J48" i="63" s="1"/>
  <c r="J46" i="63"/>
  <c r="AK16" i="57"/>
  <c r="AK16" i="62" s="1"/>
  <c r="AJ28" i="62"/>
  <c r="AK22" i="56"/>
  <c r="AK22" i="61" s="1"/>
  <c r="AK28" i="57"/>
  <c r="AJ29" i="58"/>
  <c r="AJ29" i="63" s="1"/>
  <c r="AJ63" i="57"/>
  <c r="AJ63" i="62" s="1"/>
  <c r="AJ47" i="58"/>
  <c r="AJ47" i="63" s="1"/>
  <c r="AC6" i="56"/>
  <c r="AC6" i="61" s="1"/>
  <c r="AA76" i="56"/>
  <c r="AA76" i="61" s="1"/>
  <c r="AA67" i="56"/>
  <c r="AA67" i="61" s="1"/>
  <c r="AC101" i="61"/>
  <c r="AC183" i="56"/>
  <c r="AH101" i="56"/>
  <c r="AC98" i="61"/>
  <c r="AH98" i="56"/>
  <c r="AC182" i="56"/>
  <c r="AC94" i="61"/>
  <c r="AC180" i="56"/>
  <c r="AH94" i="56"/>
  <c r="AC61" i="61"/>
  <c r="AC175" i="56"/>
  <c r="AH61" i="56"/>
  <c r="AC68" i="61"/>
  <c r="AC178" i="56"/>
  <c r="AH68" i="56"/>
  <c r="AC65" i="61"/>
  <c r="AC177" i="56"/>
  <c r="AH65" i="56"/>
  <c r="AD87" i="56"/>
  <c r="AD85" i="61"/>
  <c r="AB6" i="56"/>
  <c r="AB6" i="61" s="1"/>
  <c r="AA134" i="56"/>
  <c r="AA6" i="61"/>
  <c r="Z78" i="56"/>
  <c r="Z78" i="61" s="1"/>
  <c r="Z76" i="61"/>
  <c r="Y78" i="61"/>
  <c r="Y79" i="56"/>
  <c r="Y79" i="61" s="1"/>
  <c r="Y95" i="56"/>
  <c r="Y92" i="56"/>
  <c r="Y5" i="56"/>
  <c r="AH77" i="61"/>
  <c r="AM77" i="56"/>
  <c r="AE54" i="56"/>
  <c r="AE54" i="61" s="1"/>
  <c r="AE52" i="61"/>
  <c r="AA64" i="56"/>
  <c r="AA64" i="61" s="1"/>
  <c r="AA60" i="56"/>
  <c r="AA60" i="61" s="1"/>
  <c r="Y56" i="63"/>
  <c r="Z56" i="58"/>
  <c r="Z53" i="58"/>
  <c r="Y53" i="63"/>
  <c r="AC47" i="62"/>
  <c r="AH47" i="57"/>
  <c r="AC48" i="57"/>
  <c r="AC48" i="62" s="1"/>
  <c r="AO40" i="57"/>
  <c r="AN40" i="62"/>
  <c r="AT39" i="57"/>
  <c r="AS39" i="62"/>
  <c r="AK33" i="62"/>
  <c r="AL33" i="57"/>
  <c r="AL33" i="62" s="1"/>
  <c r="AM33" i="57"/>
  <c r="AO34" i="57"/>
  <c r="AN34" i="62"/>
  <c r="AO31" i="57"/>
  <c r="AN31" i="62"/>
  <c r="AO32" i="57"/>
  <c r="AN32" i="62"/>
  <c r="AO24" i="57"/>
  <c r="AN24" i="62"/>
  <c r="AO26" i="57"/>
  <c r="AN26" i="62"/>
  <c r="AJ8" i="58"/>
  <c r="AJ8" i="63" s="1"/>
  <c r="AJ16" i="62"/>
  <c r="AN19" i="57"/>
  <c r="AM19" i="62"/>
  <c r="AO18" i="57"/>
  <c r="AN18" i="62"/>
  <c r="AN15" i="57"/>
  <c r="AM15" i="62"/>
  <c r="AL17" i="58"/>
  <c r="AL17" i="63" s="1"/>
  <c r="AK17" i="63"/>
  <c r="AP173" i="56"/>
  <c r="AO173" i="61"/>
  <c r="AI102" i="61"/>
  <c r="AJ102" i="56"/>
  <c r="AJ14" i="56" s="1"/>
  <c r="AJ14" i="61" s="1"/>
  <c r="AI28" i="56"/>
  <c r="AI28" i="61" s="1"/>
  <c r="AI172" i="61"/>
  <c r="AN118" i="56"/>
  <c r="AN118" i="61" s="1"/>
  <c r="AN117" i="61"/>
  <c r="AK170" i="56"/>
  <c r="AK168" i="61"/>
  <c r="AN165" i="56"/>
  <c r="AM165" i="61"/>
  <c r="AM168" i="56"/>
  <c r="AJ170" i="61"/>
  <c r="AJ18" i="56"/>
  <c r="AJ18" i="61" s="1"/>
  <c r="AJ172" i="56"/>
  <c r="AO145" i="56"/>
  <c r="AN145" i="61"/>
  <c r="AL129" i="56"/>
  <c r="AL129" i="61" s="1"/>
  <c r="AK129" i="61"/>
  <c r="AM129" i="56"/>
  <c r="AI121" i="56"/>
  <c r="AI121" i="61" s="1"/>
  <c r="AI120" i="61"/>
  <c r="AI9" i="58"/>
  <c r="AI16" i="61"/>
  <c r="AG10" i="58"/>
  <c r="AG10" i="63" s="1"/>
  <c r="X105" i="56"/>
  <c r="X105" i="61" s="1"/>
  <c r="X103" i="61"/>
  <c r="X72" i="56"/>
  <c r="X72" i="61" s="1"/>
  <c r="Z59" i="61"/>
  <c r="Z64" i="56"/>
  <c r="Z64" i="61" s="1"/>
  <c r="Z60" i="56"/>
  <c r="Z67" i="56"/>
  <c r="Z67" i="61" s="1"/>
  <c r="AB59" i="56"/>
  <c r="AC45" i="56"/>
  <c r="AC43" i="61"/>
  <c r="AB46" i="56"/>
  <c r="AB46" i="61" s="1"/>
  <c r="AB45" i="61"/>
  <c r="AB62" i="56"/>
  <c r="AE153" i="56"/>
  <c r="AD153" i="61"/>
  <c r="AF58" i="63"/>
  <c r="AH58" i="58"/>
  <c r="AG58" i="58"/>
  <c r="AG58" i="63" s="1"/>
  <c r="AJ26" i="56"/>
  <c r="AI26" i="61"/>
  <c r="X37" i="62"/>
  <c r="X35" i="63"/>
  <c r="AE85" i="56"/>
  <c r="AF83" i="56"/>
  <c r="AF83" i="61" s="1"/>
  <c r="AK35" i="56"/>
  <c r="AK35" i="61" s="1"/>
  <c r="AK69" i="56"/>
  <c r="AH50" i="56"/>
  <c r="AH50" i="61" s="1"/>
  <c r="AG50" i="56"/>
  <c r="AG50" i="61" s="1"/>
  <c r="AF52" i="56"/>
  <c r="N46" i="58"/>
  <c r="N11" i="57"/>
  <c r="N144" i="56"/>
  <c r="N144" i="61" s="1"/>
  <c r="AM17" i="58"/>
  <c r="AM17" i="63" s="1"/>
  <c r="AN10" i="57"/>
  <c r="AN10" i="62" s="1"/>
  <c r="P40" i="58"/>
  <c r="P41" i="58" s="1"/>
  <c r="O6" i="57"/>
  <c r="K46" i="58"/>
  <c r="K11" i="57"/>
  <c r="K144" i="56"/>
  <c r="K144" i="61" s="1"/>
  <c r="AK8" i="58"/>
  <c r="AL16" i="57"/>
  <c r="AL16" i="62" s="1"/>
  <c r="L46" i="58"/>
  <c r="M6" i="57"/>
  <c r="M6" i="62" s="1"/>
  <c r="L11" i="57"/>
  <c r="L144" i="56"/>
  <c r="L144" i="61" s="1"/>
  <c r="X22" i="62"/>
  <c r="J43" i="57"/>
  <c r="J43" i="62" s="1"/>
  <c r="AP163" i="56"/>
  <c r="AO117" i="56"/>
  <c r="AK21" i="58"/>
  <c r="AM23" i="57"/>
  <c r="AM23" i="62" s="1"/>
  <c r="AL23" i="57"/>
  <c r="AL23" i="62" s="1"/>
  <c r="AI20" i="58"/>
  <c r="AI20" i="63" s="1"/>
  <c r="AJ25" i="57"/>
  <c r="AJ25" i="62" s="1"/>
  <c r="AI136" i="56"/>
  <c r="AK119" i="56"/>
  <c r="AK119" i="61" s="1"/>
  <c r="AJ16" i="56"/>
  <c r="AJ16" i="61" s="1"/>
  <c r="AJ120" i="56"/>
  <c r="AE41" i="56"/>
  <c r="AE41" i="61" s="1"/>
  <c r="AD57" i="56"/>
  <c r="AD57" i="61" s="1"/>
  <c r="AD43" i="56"/>
  <c r="AN54" i="57"/>
  <c r="AN54" i="62" s="1"/>
  <c r="S41" i="58"/>
  <c r="W41" i="58"/>
  <c r="AL35" i="56"/>
  <c r="AL35" i="61" s="1"/>
  <c r="AH10" i="58"/>
  <c r="AH10" i="63" s="1"/>
  <c r="X37" i="58"/>
  <c r="X37" i="63" s="1"/>
  <c r="AC74" i="56"/>
  <c r="AC74" i="61" s="1"/>
  <c r="AB74" i="56"/>
  <c r="AA90" i="56"/>
  <c r="AK13" i="57"/>
  <c r="AK13" i="62" s="1"/>
  <c r="AK19" i="58"/>
  <c r="AL27" i="57"/>
  <c r="AL27" i="62" s="1"/>
  <c r="AM27" i="57"/>
  <c r="AM27" i="62" s="1"/>
  <c r="AS54" i="49"/>
  <c r="X11" i="48"/>
  <c r="Y93" i="48"/>
  <c r="Y97" i="48"/>
  <c r="Y100" i="48"/>
  <c r="W40" i="50"/>
  <c r="S40" i="50"/>
  <c r="AG29" i="50"/>
  <c r="X103" i="48"/>
  <c r="X105" i="48" s="1"/>
  <c r="AH10" i="50"/>
  <c r="O40" i="50"/>
  <c r="O41" i="50" s="1"/>
  <c r="N6" i="49"/>
  <c r="AE50" i="48"/>
  <c r="AD52" i="48"/>
  <c r="AD54" i="48" s="1"/>
  <c r="Z79" i="48"/>
  <c r="Z95" i="48"/>
  <c r="Z92" i="48"/>
  <c r="AI56" i="49"/>
  <c r="AA41" i="48"/>
  <c r="AA43" i="48"/>
  <c r="AA45" i="48" s="1"/>
  <c r="Z57" i="48"/>
  <c r="AA74" i="48"/>
  <c r="AA76" i="48" s="1"/>
  <c r="AA78" i="48" s="1"/>
  <c r="Z90" i="48"/>
  <c r="AI17" i="50"/>
  <c r="AJ10" i="49"/>
  <c r="AK13" i="49"/>
  <c r="J46" i="50"/>
  <c r="J48" i="50" s="1"/>
  <c r="J11" i="49"/>
  <c r="J20" i="49" s="1"/>
  <c r="J144" i="48"/>
  <c r="AE20" i="50"/>
  <c r="AF25" i="49"/>
  <c r="AM69" i="48"/>
  <c r="L40" i="50"/>
  <c r="L41" i="50" s="1"/>
  <c r="L6" i="49" s="1"/>
  <c r="K6" i="49"/>
  <c r="AJ35" i="48"/>
  <c r="Z46" i="48"/>
  <c r="Z5" i="48"/>
  <c r="Z8" i="48" s="1"/>
  <c r="Z62" i="48"/>
  <c r="Z59" i="48"/>
  <c r="AI172" i="48"/>
  <c r="AI28" i="48" s="1"/>
  <c r="AI18" i="48"/>
  <c r="AK119" i="48"/>
  <c r="AJ136" i="48"/>
  <c r="AJ16" i="48"/>
  <c r="AJ120" i="48"/>
  <c r="AJ121" i="48" s="1"/>
  <c r="AL119" i="48"/>
  <c r="AL120" i="48" s="1"/>
  <c r="AL121" i="48" s="1"/>
  <c r="AI21" i="50"/>
  <c r="AJ23" i="49"/>
  <c r="AE85" i="48"/>
  <c r="AE87" i="48" s="1"/>
  <c r="AF83" i="48"/>
  <c r="AJ102" i="48"/>
  <c r="AI14" i="48"/>
  <c r="AK165" i="48"/>
  <c r="AJ168" i="48"/>
  <c r="AJ170" i="48" s="1"/>
  <c r="X25" i="50"/>
  <c r="X12" i="50"/>
  <c r="X8" i="49"/>
  <c r="X15" i="50" s="1"/>
  <c r="X140" i="48"/>
  <c r="Y64" i="48"/>
  <c r="Y11" i="48" s="1"/>
  <c r="Y60" i="48"/>
  <c r="Y67" i="48"/>
  <c r="AO129" i="48"/>
  <c r="AP163" i="48"/>
  <c r="AO117" i="48"/>
  <c r="AO118" i="48" s="1"/>
  <c r="AG47" i="50"/>
  <c r="AG67" i="49"/>
  <c r="Y10" i="48"/>
  <c r="AU55" i="49"/>
  <c r="AB45" i="48"/>
  <c r="AB46" i="48" s="1"/>
  <c r="AT54" i="49"/>
  <c r="AU54" i="49" s="1"/>
  <c r="AH47" i="50"/>
  <c r="AH29" i="50"/>
  <c r="AH63" i="49"/>
  <c r="AI28" i="49"/>
  <c r="AI22" i="48"/>
  <c r="I53" i="49"/>
  <c r="I43" i="49"/>
  <c r="Y25" i="50"/>
  <c r="Y12" i="50"/>
  <c r="Y8" i="49"/>
  <c r="Y15" i="50" s="1"/>
  <c r="Y140" i="48"/>
  <c r="X13" i="48"/>
  <c r="AJ56" i="49"/>
  <c r="AE155" i="48"/>
  <c r="AF153" i="48"/>
  <c r="AF155" i="48" s="1"/>
  <c r="X70" i="48"/>
  <c r="X71" i="48" s="1"/>
  <c r="X9" i="48"/>
  <c r="AC6" i="48"/>
  <c r="AI19" i="50"/>
  <c r="AJ27" i="49"/>
  <c r="AI16" i="49"/>
  <c r="AI8" i="50" s="1"/>
  <c r="Y133" i="48"/>
  <c r="AI51" i="45"/>
  <c r="AI52" i="45"/>
  <c r="AM51" i="45"/>
  <c r="AO51" i="45"/>
  <c r="AO52" i="45"/>
  <c r="AH49" i="45"/>
  <c r="AH50" i="45"/>
  <c r="AI49" i="45"/>
  <c r="AI50" i="45"/>
  <c r="AJ49" i="45"/>
  <c r="AJ50" i="45"/>
  <c r="AR48" i="45"/>
  <c r="AS48" i="45"/>
  <c r="AS47" i="45"/>
  <c r="AJ47" i="45"/>
  <c r="AJ48" i="45"/>
  <c r="X33" i="46"/>
  <c r="AD163" i="44"/>
  <c r="AM56" i="46"/>
  <c r="AK56" i="46"/>
  <c r="Z173" i="44"/>
  <c r="Y18" i="44"/>
  <c r="X170" i="44"/>
  <c r="X18" i="44"/>
  <c r="Z170" i="44"/>
  <c r="Z168" i="44"/>
  <c r="V172" i="44"/>
  <c r="AB117" i="44"/>
  <c r="Z117" i="44"/>
  <c r="V18" i="44"/>
  <c r="W18" i="44"/>
  <c r="AB102" i="44"/>
  <c r="Z102" i="44"/>
  <c r="Y30" i="44"/>
  <c r="Z145" i="44"/>
  <c r="Y129" i="44"/>
  <c r="AB119" i="44"/>
  <c r="AA119" i="44"/>
  <c r="AA112" i="44"/>
  <c r="V118" i="44"/>
  <c r="AA86" i="44"/>
  <c r="AA7" i="44"/>
  <c r="AA135" i="44" s="1"/>
  <c r="AF53" i="44"/>
  <c r="AC55" i="45"/>
  <c r="AP49" i="45"/>
  <c r="AP50" i="45"/>
  <c r="AK47" i="45"/>
  <c r="Y40" i="45"/>
  <c r="Z39" i="45"/>
  <c r="AA34" i="45"/>
  <c r="AB34" i="45"/>
  <c r="AA33" i="45"/>
  <c r="AB33" i="45"/>
  <c r="Z32" i="45"/>
  <c r="Z31" i="45"/>
  <c r="AB22" i="44"/>
  <c r="Z63" i="45"/>
  <c r="Z29" i="46"/>
  <c r="X8" i="46"/>
  <c r="X16" i="45"/>
  <c r="Z27" i="45"/>
  <c r="Y26" i="45"/>
  <c r="AA24" i="45"/>
  <c r="AB24" i="45"/>
  <c r="Z19" i="45"/>
  <c r="Z18" i="45"/>
  <c r="Y15" i="45"/>
  <c r="Y53" i="46"/>
  <c r="W57" i="46"/>
  <c r="Z31" i="44"/>
  <c r="Z26" i="44"/>
  <c r="AE185" i="44"/>
  <c r="V178" i="44"/>
  <c r="AC176" i="44"/>
  <c r="AD187" i="44"/>
  <c r="AC175" i="44"/>
  <c r="Y177" i="44"/>
  <c r="AF187" i="44"/>
  <c r="AC185" i="44"/>
  <c r="AC187" i="44"/>
  <c r="AJ135" i="44"/>
  <c r="AD186" i="44"/>
  <c r="Z175" i="44"/>
  <c r="X136" i="44"/>
  <c r="V182" i="44"/>
  <c r="X180" i="44"/>
  <c r="AE181" i="44"/>
  <c r="AC181" i="44"/>
  <c r="Y183" i="44"/>
  <c r="X178" i="44"/>
  <c r="AE187" i="44"/>
  <c r="AD176" i="44"/>
  <c r="AH135" i="44"/>
  <c r="Y182" i="44"/>
  <c r="AD185" i="44"/>
  <c r="AJ186" i="44"/>
  <c r="AD181" i="44"/>
  <c r="X177" i="44"/>
  <c r="AA185" i="44"/>
  <c r="AI135" i="44"/>
  <c r="Z180" i="44"/>
  <c r="Z177" i="44"/>
  <c r="AA186" i="44"/>
  <c r="AC135" i="44"/>
  <c r="Y180" i="44"/>
  <c r="Z183" i="44"/>
  <c r="V183" i="44"/>
  <c r="Y178" i="44"/>
  <c r="AE176" i="44"/>
  <c r="Z178" i="44"/>
  <c r="AK177" i="44"/>
  <c r="X183" i="44"/>
  <c r="AC186" i="44"/>
  <c r="X182" i="44"/>
  <c r="Z182" i="44"/>
  <c r="AA181" i="44"/>
  <c r="V180" i="44"/>
  <c r="AA98" i="44"/>
  <c r="AC57" i="46"/>
  <c r="AK51" i="45"/>
  <c r="AF52" i="45"/>
  <c r="Z54" i="45"/>
  <c r="Z21" i="46"/>
  <c r="AA23" i="45"/>
  <c r="Y8" i="46"/>
  <c r="AF115" i="44"/>
  <c r="AK116" i="44"/>
  <c r="AM63" i="44"/>
  <c r="AA54" i="45"/>
  <c r="AG7" i="44"/>
  <c r="W57" i="44"/>
  <c r="AK68" i="44"/>
  <c r="AD61" i="44"/>
  <c r="AD175" i="44" s="1"/>
  <c r="AA94" i="44"/>
  <c r="W111" i="44"/>
  <c r="AK88" i="44"/>
  <c r="AG88" i="44"/>
  <c r="AL123" i="44"/>
  <c r="AP101" i="44"/>
  <c r="AU123" i="44"/>
  <c r="AG108" i="44"/>
  <c r="Z13" i="45"/>
  <c r="AH61" i="44"/>
  <c r="AE61" i="44"/>
  <c r="AF63" i="44"/>
  <c r="AF176" i="44" s="1"/>
  <c r="X56" i="45"/>
  <c r="AA61" i="44"/>
  <c r="AA175" i="44" s="1"/>
  <c r="Z9" i="46"/>
  <c r="AK113" i="44"/>
  <c r="V87" i="44"/>
  <c r="Z19" i="46"/>
  <c r="AC119" i="44"/>
  <c r="AK111" i="44"/>
  <c r="AF110" i="44"/>
  <c r="Y33" i="46"/>
  <c r="Z35" i="44"/>
  <c r="AP55" i="44"/>
  <c r="Y17" i="46"/>
  <c r="Z10" i="45"/>
  <c r="AF96" i="44"/>
  <c r="V50" i="44"/>
  <c r="AC28" i="45"/>
  <c r="AB28" i="45"/>
  <c r="AB110" i="44"/>
  <c r="AC165" i="44"/>
  <c r="AL55" i="44"/>
  <c r="Y83" i="44"/>
  <c r="AE34" i="39"/>
  <c r="AF34" i="39"/>
  <c r="AJ63" i="36"/>
  <c r="AO63" i="36" s="1"/>
  <c r="AT63" i="36" s="1"/>
  <c r="AA61" i="36"/>
  <c r="AK61" i="36" s="1"/>
  <c r="AP61" i="36" s="1"/>
  <c r="AU61" i="36" s="1"/>
  <c r="AH178" i="36"/>
  <c r="AP65" i="36"/>
  <c r="AU65" i="36" s="1"/>
  <c r="AI177" i="36"/>
  <c r="AJ177" i="36"/>
  <c r="AM65" i="36"/>
  <c r="AR65" i="36" s="1"/>
  <c r="AH176" i="36"/>
  <c r="AF178" i="36"/>
  <c r="AK178" i="36"/>
  <c r="AA178" i="36"/>
  <c r="AJ178" i="36"/>
  <c r="AN68" i="36"/>
  <c r="AS68" i="36" s="1"/>
  <c r="AN61" i="36"/>
  <c r="AS61" i="36" s="1"/>
  <c r="AJ175" i="36"/>
  <c r="V178" i="36"/>
  <c r="E57" i="39"/>
  <c r="F57" i="39"/>
  <c r="G57" i="39"/>
  <c r="H57" i="39"/>
  <c r="I57" i="39"/>
  <c r="J57" i="39"/>
  <c r="K57" i="39"/>
  <c r="L57" i="39"/>
  <c r="M57" i="39"/>
  <c r="N57" i="39"/>
  <c r="O57" i="39"/>
  <c r="P57" i="39"/>
  <c r="Q57" i="39"/>
  <c r="R57" i="39"/>
  <c r="S57" i="39"/>
  <c r="T57" i="39"/>
  <c r="U57" i="39"/>
  <c r="AM18" i="73" l="1"/>
  <c r="AM18" i="70" s="1"/>
  <c r="AM172" i="73"/>
  <c r="AK18" i="70"/>
  <c r="AN170" i="73"/>
  <c r="AN170" i="70" s="1"/>
  <c r="AN168" i="70"/>
  <c r="AM117" i="70"/>
  <c r="AI121" i="70"/>
  <c r="Z105" i="73"/>
  <c r="AK120" i="73"/>
  <c r="AK118" i="70"/>
  <c r="AJ121" i="73"/>
  <c r="AJ120" i="70"/>
  <c r="AL118" i="73"/>
  <c r="AL117" i="70"/>
  <c r="Z17" i="73"/>
  <c r="AQ129" i="73"/>
  <c r="AR129" i="73"/>
  <c r="AM28" i="73"/>
  <c r="AO173" i="73"/>
  <c r="AN173" i="70"/>
  <c r="AL28" i="73"/>
  <c r="AB94" i="73"/>
  <c r="AU143" i="73"/>
  <c r="AA9" i="73"/>
  <c r="AP13" i="74"/>
  <c r="AC97" i="73"/>
  <c r="AC100" i="73"/>
  <c r="AC93" i="73"/>
  <c r="AT143" i="73"/>
  <c r="AR9" i="75"/>
  <c r="Z106" i="73"/>
  <c r="AA11" i="73"/>
  <c r="AB11" i="73" s="1"/>
  <c r="X46" i="75"/>
  <c r="X48" i="75" s="1"/>
  <c r="F36" i="77" s="1"/>
  <c r="X144" i="73"/>
  <c r="X11" i="74"/>
  <c r="X20" i="74" s="1"/>
  <c r="AE76" i="73"/>
  <c r="AE78" i="73" s="1"/>
  <c r="AE74" i="73"/>
  <c r="AD90" i="73"/>
  <c r="Z40" i="75"/>
  <c r="Y6" i="74"/>
  <c r="AT119" i="73"/>
  <c r="AS16" i="73"/>
  <c r="AS9" i="75" s="1"/>
  <c r="AS10" i="75" s="1"/>
  <c r="AC64" i="73"/>
  <c r="AC60" i="73"/>
  <c r="AC67" i="73"/>
  <c r="AD76" i="73"/>
  <c r="AD78" i="73" s="1"/>
  <c r="AO20" i="75"/>
  <c r="AP25" i="74"/>
  <c r="AU163" i="73"/>
  <c r="AU163" i="70" s="1"/>
  <c r="AT69" i="73"/>
  <c r="U46" i="75"/>
  <c r="U48" i="75" s="1"/>
  <c r="U144" i="73"/>
  <c r="U11" i="74"/>
  <c r="U20" i="74" s="1"/>
  <c r="AB25" i="75"/>
  <c r="AB56" i="75" s="1"/>
  <c r="Z14" i="74"/>
  <c r="AC10" i="73"/>
  <c r="AF43" i="73"/>
  <c r="AF45" i="73" s="1"/>
  <c r="AF41" i="73"/>
  <c r="AE57" i="73"/>
  <c r="AH134" i="73"/>
  <c r="AN29" i="75"/>
  <c r="AN47" i="75"/>
  <c r="AO28" i="74"/>
  <c r="AN63" i="74"/>
  <c r="AO22" i="73"/>
  <c r="V46" i="75"/>
  <c r="V48" i="75" s="1"/>
  <c r="V11" i="74"/>
  <c r="V20" i="74" s="1"/>
  <c r="W6" i="74"/>
  <c r="V144" i="73"/>
  <c r="Z37" i="74"/>
  <c r="AB12" i="75"/>
  <c r="Z35" i="75"/>
  <c r="AE46" i="73"/>
  <c r="AE5" i="73"/>
  <c r="AE8" i="73" s="1"/>
  <c r="AE62" i="73"/>
  <c r="AE59" i="73"/>
  <c r="AC8" i="73"/>
  <c r="AV35" i="73"/>
  <c r="AO153" i="73"/>
  <c r="AN155" i="73"/>
  <c r="AP10" i="75"/>
  <c r="AQ10" i="75" s="1"/>
  <c r="AQ9" i="75"/>
  <c r="AA15" i="75"/>
  <c r="AB15" i="75" s="1"/>
  <c r="AD64" i="73"/>
  <c r="AD67" i="73"/>
  <c r="AD60" i="73"/>
  <c r="AJ85" i="73"/>
  <c r="AJ87" i="73" s="1"/>
  <c r="AK83" i="73"/>
  <c r="AK14" i="73"/>
  <c r="AM102" i="73"/>
  <c r="AM102" i="70" s="1"/>
  <c r="AL102" i="73"/>
  <c r="AL102" i="70" s="1"/>
  <c r="T53" i="74"/>
  <c r="T43" i="74"/>
  <c r="AR23" i="74"/>
  <c r="AQ23" i="74"/>
  <c r="AP21" i="75"/>
  <c r="AQ21" i="75" s="1"/>
  <c r="AM118" i="73"/>
  <c r="AN117" i="73"/>
  <c r="AN117" i="70" s="1"/>
  <c r="AP125" i="73"/>
  <c r="Z18" i="75"/>
  <c r="Z30" i="74"/>
  <c r="Z35" i="74" s="1"/>
  <c r="AJ6" i="73"/>
  <c r="AK30" i="73"/>
  <c r="AO33" i="75"/>
  <c r="AO57" i="75" s="1"/>
  <c r="AO17" i="75"/>
  <c r="AP10" i="74"/>
  <c r="AM50" i="73"/>
  <c r="AL50" i="73"/>
  <c r="AK52" i="73"/>
  <c r="AK54" i="73" s="1"/>
  <c r="AP165" i="73"/>
  <c r="AO168" i="73"/>
  <c r="AO19" i="75"/>
  <c r="AP27" i="74"/>
  <c r="AO16" i="74"/>
  <c r="AO8" i="75" s="1"/>
  <c r="AB13" i="73"/>
  <c r="AC45" i="65"/>
  <c r="AD43" i="65"/>
  <c r="AJ58" i="67"/>
  <c r="AL120" i="65"/>
  <c r="AU54" i="66"/>
  <c r="AM14" i="65"/>
  <c r="AM136" i="65"/>
  <c r="AN94" i="65"/>
  <c r="AI180" i="65"/>
  <c r="AN98" i="65"/>
  <c r="AI182" i="65"/>
  <c r="AI183" i="65"/>
  <c r="AN101" i="65"/>
  <c r="AD178" i="65"/>
  <c r="AI68" i="65"/>
  <c r="AD177" i="65"/>
  <c r="AI65" i="65"/>
  <c r="AD175" i="65"/>
  <c r="AI61" i="65"/>
  <c r="AF87" i="65"/>
  <c r="AE6" i="65"/>
  <c r="AA95" i="65"/>
  <c r="AA79" i="65"/>
  <c r="AA92" i="65"/>
  <c r="AB78" i="65"/>
  <c r="AN77" i="65"/>
  <c r="Z8" i="65"/>
  <c r="Z133" i="65"/>
  <c r="Z10" i="65"/>
  <c r="Z100" i="65"/>
  <c r="Z97" i="65"/>
  <c r="Z93" i="65"/>
  <c r="AC78" i="65"/>
  <c r="AD76" i="65"/>
  <c r="AH54" i="65"/>
  <c r="AG54" i="65"/>
  <c r="AB45" i="65"/>
  <c r="AA59" i="65"/>
  <c r="AA62" i="65"/>
  <c r="AA46" i="65"/>
  <c r="AA5" i="65"/>
  <c r="AN44" i="65"/>
  <c r="Y48" i="66"/>
  <c r="AD47" i="66"/>
  <c r="Y143" i="65"/>
  <c r="Y25" i="65"/>
  <c r="Y27" i="65" s="1"/>
  <c r="Z53" i="67"/>
  <c r="AT55" i="66"/>
  <c r="AQ40" i="66"/>
  <c r="AR40" i="66"/>
  <c r="AR39" i="66"/>
  <c r="AQ39" i="66"/>
  <c r="AQ32" i="66"/>
  <c r="AR32" i="66"/>
  <c r="AR31" i="66"/>
  <c r="AQ31" i="66"/>
  <c r="AR34" i="66"/>
  <c r="AQ34" i="66"/>
  <c r="AR33" i="66"/>
  <c r="AQ33" i="66"/>
  <c r="AR24" i="66"/>
  <c r="AQ24" i="66"/>
  <c r="AR26" i="66"/>
  <c r="AQ26" i="66"/>
  <c r="AN8" i="67"/>
  <c r="AR19" i="66"/>
  <c r="AQ19" i="66"/>
  <c r="AR15" i="66"/>
  <c r="AQ15" i="66"/>
  <c r="AR18" i="66"/>
  <c r="AQ18" i="66"/>
  <c r="AK120" i="65"/>
  <c r="AM170" i="65"/>
  <c r="AN102" i="65"/>
  <c r="AN117" i="65"/>
  <c r="AM118" i="65"/>
  <c r="AK18" i="65"/>
  <c r="AK172" i="65"/>
  <c r="AK172" i="70" s="1"/>
  <c r="AJ121" i="65"/>
  <c r="AU145" i="65"/>
  <c r="AO128" i="65"/>
  <c r="AO126" i="65"/>
  <c r="AO129" i="65"/>
  <c r="AO129" i="70" s="1"/>
  <c r="Y106" i="65"/>
  <c r="Y71" i="65"/>
  <c r="AO26" i="65"/>
  <c r="Q43" i="71"/>
  <c r="R43" i="71"/>
  <c r="P43" i="71"/>
  <c r="S43" i="71"/>
  <c r="AI30" i="65"/>
  <c r="AM33" i="67"/>
  <c r="Y40" i="67"/>
  <c r="X6" i="66"/>
  <c r="AP125" i="65"/>
  <c r="AO119" i="65"/>
  <c r="AN16" i="65"/>
  <c r="AK153" i="65"/>
  <c r="AJ155" i="65"/>
  <c r="AO13" i="66"/>
  <c r="AE41" i="65"/>
  <c r="AD57" i="65"/>
  <c r="AN20" i="67"/>
  <c r="AO25" i="66"/>
  <c r="AP27" i="66"/>
  <c r="AO19" i="67"/>
  <c r="AO16" i="66"/>
  <c r="P53" i="66"/>
  <c r="P43" i="66"/>
  <c r="AJ50" i="65"/>
  <c r="AI52" i="65"/>
  <c r="Q53" i="66"/>
  <c r="Q43" i="66"/>
  <c r="AK10" i="67"/>
  <c r="AL9" i="67"/>
  <c r="R46" i="67"/>
  <c r="R48" i="67" s="1"/>
  <c r="R11" i="66"/>
  <c r="R20" i="66" s="1"/>
  <c r="R43" i="66" s="1"/>
  <c r="T46" i="67"/>
  <c r="T48" i="67" s="1"/>
  <c r="T11" i="66"/>
  <c r="T20" i="66" s="1"/>
  <c r="T144" i="65"/>
  <c r="AN29" i="67"/>
  <c r="AN47" i="67"/>
  <c r="AN63" i="66"/>
  <c r="AO28" i="66"/>
  <c r="AO22" i="65"/>
  <c r="AU163" i="65"/>
  <c r="V40" i="67"/>
  <c r="V41" i="67" s="1"/>
  <c r="V6" i="66" s="1"/>
  <c r="U6" i="66"/>
  <c r="AN21" i="67"/>
  <c r="AO23" i="66"/>
  <c r="AH85" i="65"/>
  <c r="AI83" i="65"/>
  <c r="AO69" i="65"/>
  <c r="AO69" i="70" s="1"/>
  <c r="Y72" i="65"/>
  <c r="AI31" i="65"/>
  <c r="AK57" i="67"/>
  <c r="AL33" i="67"/>
  <c r="AN17" i="67"/>
  <c r="AO10" i="66"/>
  <c r="AE74" i="65"/>
  <c r="AD90" i="65"/>
  <c r="AP35" i="65"/>
  <c r="AO165" i="65"/>
  <c r="AN168" i="65"/>
  <c r="AM9" i="67"/>
  <c r="S53" i="66"/>
  <c r="S43" i="66"/>
  <c r="J53" i="57"/>
  <c r="J53" i="62" s="1"/>
  <c r="AO55" i="57"/>
  <c r="AO55" i="62" s="1"/>
  <c r="N20" i="57"/>
  <c r="N20" i="62" s="1"/>
  <c r="N11" i="62"/>
  <c r="N48" i="58"/>
  <c r="N48" i="63" s="1"/>
  <c r="N46" i="63"/>
  <c r="L20" i="57"/>
  <c r="L20" i="62" s="1"/>
  <c r="L11" i="62"/>
  <c r="L48" i="58"/>
  <c r="L48" i="63" s="1"/>
  <c r="L46" i="63"/>
  <c r="K20" i="57"/>
  <c r="K20" i="62" s="1"/>
  <c r="K11" i="62"/>
  <c r="K48" i="58"/>
  <c r="K48" i="63" s="1"/>
  <c r="K46" i="63"/>
  <c r="AK28" i="62"/>
  <c r="AK29" i="58"/>
  <c r="AK63" i="57"/>
  <c r="AK63" i="62" s="1"/>
  <c r="AK47" i="58"/>
  <c r="AK47" i="63" s="1"/>
  <c r="AM28" i="57"/>
  <c r="AL28" i="57"/>
  <c r="AM22" i="56"/>
  <c r="AM22" i="61" s="1"/>
  <c r="AL22" i="56"/>
  <c r="AL22" i="61" s="1"/>
  <c r="Z5" i="56"/>
  <c r="Z5" i="61" s="1"/>
  <c r="Z79" i="56"/>
  <c r="Z79" i="61" s="1"/>
  <c r="AC134" i="56"/>
  <c r="AA78" i="56"/>
  <c r="AA78" i="61" s="1"/>
  <c r="AC76" i="56"/>
  <c r="AC76" i="61" s="1"/>
  <c r="Z92" i="56"/>
  <c r="Z92" i="61" s="1"/>
  <c r="Z95" i="56"/>
  <c r="Z95" i="61" s="1"/>
  <c r="AB67" i="56"/>
  <c r="AB68" i="56" s="1"/>
  <c r="AB68" i="61" s="1"/>
  <c r="AB64" i="56"/>
  <c r="AB65" i="56" s="1"/>
  <c r="AB65" i="61" s="1"/>
  <c r="AH98" i="61"/>
  <c r="AH182" i="56"/>
  <c r="AM98" i="56"/>
  <c r="AH94" i="61"/>
  <c r="AH180" i="56"/>
  <c r="AM94" i="56"/>
  <c r="AH101" i="61"/>
  <c r="AH183" i="56"/>
  <c r="AM101" i="56"/>
  <c r="AH65" i="61"/>
  <c r="AH177" i="56"/>
  <c r="AM65" i="56"/>
  <c r="AH68" i="61"/>
  <c r="AH178" i="56"/>
  <c r="AM68" i="56"/>
  <c r="AH61" i="61"/>
  <c r="AM61" i="56"/>
  <c r="AH175" i="56"/>
  <c r="AE87" i="56"/>
  <c r="AE85" i="61"/>
  <c r="AD87" i="61"/>
  <c r="AD6" i="56"/>
  <c r="AG139" i="56"/>
  <c r="AG139" i="61" s="1"/>
  <c r="AB74" i="61"/>
  <c r="AM77" i="61"/>
  <c r="AR77" i="56"/>
  <c r="AR77" i="61" s="1"/>
  <c r="Y5" i="61"/>
  <c r="Y8" i="56"/>
  <c r="Y133" i="56"/>
  <c r="Y92" i="61"/>
  <c r="Y100" i="56"/>
  <c r="Y93" i="56"/>
  <c r="Y97" i="56"/>
  <c r="Y95" i="61"/>
  <c r="Y10" i="56"/>
  <c r="Y10" i="61" s="1"/>
  <c r="AG90" i="56"/>
  <c r="AG90" i="61" s="1"/>
  <c r="AA90" i="61"/>
  <c r="AF54" i="56"/>
  <c r="AF52" i="61"/>
  <c r="AH47" i="62"/>
  <c r="AM47" i="57"/>
  <c r="AH48" i="57"/>
  <c r="AH48" i="62" s="1"/>
  <c r="Z53" i="63"/>
  <c r="AA53" i="58"/>
  <c r="AA56" i="58"/>
  <c r="AA56" i="63" s="1"/>
  <c r="Z56" i="63"/>
  <c r="AU39" i="57"/>
  <c r="AT39" i="62"/>
  <c r="AP40" i="57"/>
  <c r="AO40" i="62"/>
  <c r="AP32" i="57"/>
  <c r="AO32" i="62"/>
  <c r="AP31" i="57"/>
  <c r="AO31" i="62"/>
  <c r="AP34" i="57"/>
  <c r="AO34" i="62"/>
  <c r="AN33" i="57"/>
  <c r="AM33" i="62"/>
  <c r="AL21" i="58"/>
  <c r="AL21" i="63" s="1"/>
  <c r="AK21" i="63"/>
  <c r="AP26" i="57"/>
  <c r="AO26" i="62"/>
  <c r="AP24" i="57"/>
  <c r="AO24" i="62"/>
  <c r="AL8" i="58"/>
  <c r="AL8" i="63" s="1"/>
  <c r="AK8" i="63"/>
  <c r="AL19" i="58"/>
  <c r="AL19" i="63" s="1"/>
  <c r="AK19" i="63"/>
  <c r="AO15" i="57"/>
  <c r="AN15" i="62"/>
  <c r="AP18" i="57"/>
  <c r="AO18" i="62"/>
  <c r="AO19" i="57"/>
  <c r="AN19" i="62"/>
  <c r="AR173" i="56"/>
  <c r="AP173" i="61"/>
  <c r="AJ28" i="56"/>
  <c r="AJ28" i="61" s="1"/>
  <c r="AJ172" i="61"/>
  <c r="AM170" i="56"/>
  <c r="AM168" i="61"/>
  <c r="AO165" i="56"/>
  <c r="AN165" i="61"/>
  <c r="AN168" i="56"/>
  <c r="AK170" i="61"/>
  <c r="AK172" i="56"/>
  <c r="AK18" i="56"/>
  <c r="AO118" i="56"/>
  <c r="AO118" i="61" s="1"/>
  <c r="AO117" i="61"/>
  <c r="AJ102" i="61"/>
  <c r="AK102" i="56"/>
  <c r="AL102" i="56"/>
  <c r="AL102" i="61" s="1"/>
  <c r="AP145" i="56"/>
  <c r="AO145" i="61"/>
  <c r="AM129" i="61"/>
  <c r="AN129" i="56"/>
  <c r="AJ121" i="56"/>
  <c r="AJ121" i="61" s="1"/>
  <c r="AJ120" i="61"/>
  <c r="AI10" i="58"/>
  <c r="AI10" i="63" s="1"/>
  <c r="AI9" i="63"/>
  <c r="X106" i="56"/>
  <c r="X106" i="61" s="1"/>
  <c r="AL69" i="56"/>
  <c r="AL69" i="61" s="1"/>
  <c r="AK69" i="61"/>
  <c r="AE43" i="56"/>
  <c r="AB63" i="56"/>
  <c r="AB63" i="61" s="1"/>
  <c r="AB62" i="61"/>
  <c r="AC59" i="56"/>
  <c r="AC45" i="61"/>
  <c r="AC46" i="56"/>
  <c r="AC46" i="61" s="1"/>
  <c r="AC62" i="56"/>
  <c r="AC62" i="61" s="1"/>
  <c r="AB47" i="61"/>
  <c r="AB59" i="61"/>
  <c r="Z60" i="61"/>
  <c r="AB60" i="56"/>
  <c r="AD45" i="56"/>
  <c r="AD45" i="61" s="1"/>
  <c r="AD43" i="61"/>
  <c r="AE153" i="61"/>
  <c r="AE155" i="56"/>
  <c r="AF153" i="56"/>
  <c r="AI58" i="58"/>
  <c r="AI58" i="63" s="1"/>
  <c r="AH58" i="63"/>
  <c r="AK26" i="56"/>
  <c r="AJ26" i="61"/>
  <c r="AL26" i="56"/>
  <c r="AL26" i="61" s="1"/>
  <c r="X16" i="63"/>
  <c r="X9" i="62"/>
  <c r="X17" i="56"/>
  <c r="X15" i="61"/>
  <c r="Z100" i="56"/>
  <c r="Z100" i="61" s="1"/>
  <c r="AM13" i="57"/>
  <c r="AM13" i="62" s="1"/>
  <c r="AL13" i="57"/>
  <c r="AL13" i="62" s="1"/>
  <c r="AN17" i="58"/>
  <c r="AN17" i="63" s="1"/>
  <c r="AO10" i="57"/>
  <c r="AO10" i="62" s="1"/>
  <c r="Z10" i="56"/>
  <c r="AH153" i="56"/>
  <c r="AH153" i="61" s="1"/>
  <c r="AJ20" i="58"/>
  <c r="AJ20" i="63" s="1"/>
  <c r="AK25" i="57"/>
  <c r="AK25" i="62" s="1"/>
  <c r="AB40" i="58"/>
  <c r="X40" i="58"/>
  <c r="AO54" i="57"/>
  <c r="AO54" i="62" s="1"/>
  <c r="N43" i="57"/>
  <c r="N43" i="62" s="1"/>
  <c r="AD74" i="56"/>
  <c r="AD74" i="61" s="1"/>
  <c r="AC90" i="56"/>
  <c r="AC90" i="61" s="1"/>
  <c r="T40" i="58"/>
  <c r="T41" i="58" s="1"/>
  <c r="S6" i="57"/>
  <c r="AF41" i="56"/>
  <c r="AF41" i="61" s="1"/>
  <c r="AE57" i="56"/>
  <c r="AE57" i="61" s="1"/>
  <c r="AM69" i="56"/>
  <c r="AM69" i="61" s="1"/>
  <c r="M46" i="58"/>
  <c r="M11" i="57"/>
  <c r="AR163" i="56"/>
  <c r="AP117" i="56"/>
  <c r="AP117" i="61" s="1"/>
  <c r="AJ9" i="58"/>
  <c r="AJ9" i="63" s="1"/>
  <c r="AP55" i="57"/>
  <c r="AP55" i="62" s="1"/>
  <c r="AM119" i="56"/>
  <c r="AM119" i="61" s="1"/>
  <c r="AK16" i="56"/>
  <c r="AK136" i="56" s="1"/>
  <c r="AK120" i="56"/>
  <c r="AL119" i="56"/>
  <c r="AM35" i="56"/>
  <c r="AM35" i="61" s="1"/>
  <c r="AJ136" i="56"/>
  <c r="AM21" i="58"/>
  <c r="AM21" i="63" s="1"/>
  <c r="AN23" i="57"/>
  <c r="AN23" i="62" s="1"/>
  <c r="X18" i="63"/>
  <c r="AF85" i="56"/>
  <c r="AH83" i="56"/>
  <c r="AH83" i="61" s="1"/>
  <c r="AG83" i="56"/>
  <c r="AG83" i="61" s="1"/>
  <c r="O46" i="58"/>
  <c r="O144" i="56"/>
  <c r="O144" i="61" s="1"/>
  <c r="O11" i="57"/>
  <c r="AH52" i="56"/>
  <c r="AI50" i="56"/>
  <c r="AI50" i="61" s="1"/>
  <c r="AM19" i="58"/>
  <c r="AM19" i="63" s="1"/>
  <c r="AN27" i="57"/>
  <c r="AN27" i="62" s="1"/>
  <c r="AM16" i="57"/>
  <c r="L53" i="57"/>
  <c r="L53" i="62" s="1"/>
  <c r="Q40" i="58"/>
  <c r="Q41" i="58" s="1"/>
  <c r="Q6" i="57" s="1"/>
  <c r="P6" i="57"/>
  <c r="AG20" i="50"/>
  <c r="AA79" i="48"/>
  <c r="AA95" i="48"/>
  <c r="AA92" i="48"/>
  <c r="AB78" i="48"/>
  <c r="AB79" i="48" s="1"/>
  <c r="AB92" i="48"/>
  <c r="AB82" i="48" s="1"/>
  <c r="AB95" i="48"/>
  <c r="AB96" i="48" s="1"/>
  <c r="Z12" i="50"/>
  <c r="Z25" i="50"/>
  <c r="Z8" i="49"/>
  <c r="Z15" i="50" s="1"/>
  <c r="Z140" i="48"/>
  <c r="AF85" i="48"/>
  <c r="AF87" i="48" s="1"/>
  <c r="AH83" i="48"/>
  <c r="AG83" i="48"/>
  <c r="Y13" i="48"/>
  <c r="Z10" i="48"/>
  <c r="S41" i="50"/>
  <c r="W41" i="50"/>
  <c r="Y9" i="48"/>
  <c r="Z133" i="48"/>
  <c r="AK35" i="48"/>
  <c r="AG87" i="48"/>
  <c r="AJ21" i="50"/>
  <c r="AK23" i="49"/>
  <c r="AJ17" i="50"/>
  <c r="AK10" i="49"/>
  <c r="K46" i="50"/>
  <c r="K48" i="50" s="1"/>
  <c r="K11" i="49"/>
  <c r="K20" i="49" s="1"/>
  <c r="K144" i="48"/>
  <c r="AD6" i="48"/>
  <c r="AD134" i="48" s="1"/>
  <c r="AM13" i="49"/>
  <c r="AL13" i="49"/>
  <c r="X35" i="50"/>
  <c r="AL35" i="48"/>
  <c r="L46" i="50"/>
  <c r="L48" i="50" s="1"/>
  <c r="L11" i="49"/>
  <c r="L20" i="49" s="1"/>
  <c r="M6" i="49"/>
  <c r="L144" i="48"/>
  <c r="AK102" i="48"/>
  <c r="AJ14" i="48"/>
  <c r="AC134" i="48"/>
  <c r="X14" i="49"/>
  <c r="AF50" i="48"/>
  <c r="AE52" i="48"/>
  <c r="AE54" i="48" s="1"/>
  <c r="X22" i="49"/>
  <c r="X9" i="49"/>
  <c r="X16" i="50" s="1"/>
  <c r="X15" i="48"/>
  <c r="X17" i="48" s="1"/>
  <c r="AN69" i="48"/>
  <c r="AB74" i="48"/>
  <c r="AG139" i="48" s="1"/>
  <c r="AC74" i="48"/>
  <c r="AA90" i="48"/>
  <c r="AG90" i="48" s="1"/>
  <c r="N46" i="50"/>
  <c r="N48" i="50" s="1"/>
  <c r="N144" i="48"/>
  <c r="N11" i="49"/>
  <c r="N20" i="49" s="1"/>
  <c r="AJ19" i="50"/>
  <c r="AK27" i="49"/>
  <c r="AJ16" i="49"/>
  <c r="AJ8" i="50" s="1"/>
  <c r="AJ9" i="50"/>
  <c r="AL16" i="48"/>
  <c r="P40" i="50"/>
  <c r="P41" i="50" s="1"/>
  <c r="O6" i="49"/>
  <c r="X72" i="48"/>
  <c r="AF20" i="50"/>
  <c r="AH25" i="49"/>
  <c r="AG25" i="49"/>
  <c r="Z100" i="48"/>
  <c r="Z93" i="48"/>
  <c r="Z97" i="48"/>
  <c r="AI47" i="50"/>
  <c r="AI29" i="50"/>
  <c r="AI63" i="49"/>
  <c r="AJ28" i="49"/>
  <c r="AJ22" i="48"/>
  <c r="AM119" i="48"/>
  <c r="AK16" i="48"/>
  <c r="AK9" i="50" s="1"/>
  <c r="AK10" i="50" s="1"/>
  <c r="AK120" i="48"/>
  <c r="AK121" i="48" s="1"/>
  <c r="AA46" i="48"/>
  <c r="AA5" i="48"/>
  <c r="AA8" i="48" s="1"/>
  <c r="AA62" i="48"/>
  <c r="AA10" i="48" s="1"/>
  <c r="AB10" i="48" s="1"/>
  <c r="AA59" i="48"/>
  <c r="AE31" i="48"/>
  <c r="AF31" i="48" s="1"/>
  <c r="AG155" i="48"/>
  <c r="AE30" i="48"/>
  <c r="AR163" i="48"/>
  <c r="AP117" i="48"/>
  <c r="AP129" i="48"/>
  <c r="AB41" i="48"/>
  <c r="AC43" i="48"/>
  <c r="AC45" i="48" s="1"/>
  <c r="AC41" i="48"/>
  <c r="AA57" i="48"/>
  <c r="AG57" i="48" s="1"/>
  <c r="X106" i="48"/>
  <c r="AL102" i="48"/>
  <c r="AQ129" i="48"/>
  <c r="AJ172" i="48"/>
  <c r="AJ28" i="48" s="1"/>
  <c r="AJ18" i="48"/>
  <c r="AM165" i="48"/>
  <c r="AK168" i="48"/>
  <c r="AK170" i="48" s="1"/>
  <c r="Z64" i="48"/>
  <c r="Z11" i="48" s="1"/>
  <c r="Z67" i="48"/>
  <c r="Z60" i="48"/>
  <c r="AB59" i="48"/>
  <c r="AB47" i="48" s="1"/>
  <c r="J53" i="49"/>
  <c r="J43" i="49"/>
  <c r="AK56" i="49"/>
  <c r="AR47" i="45"/>
  <c r="AT52" i="45"/>
  <c r="AT51" i="45"/>
  <c r="AR52" i="45"/>
  <c r="AR51" i="45"/>
  <c r="AN51" i="45"/>
  <c r="AN52" i="45"/>
  <c r="AM49" i="45"/>
  <c r="AM50" i="45"/>
  <c r="AO49" i="45"/>
  <c r="AO50" i="45"/>
  <c r="AN49" i="45"/>
  <c r="AN50" i="45"/>
  <c r="AO47" i="45"/>
  <c r="AO48" i="45"/>
  <c r="AE163" i="44"/>
  <c r="Z18" i="44"/>
  <c r="AN56" i="46"/>
  <c r="AA173" i="44"/>
  <c r="AA170" i="44"/>
  <c r="AA168" i="44"/>
  <c r="Y28" i="44"/>
  <c r="Y172" i="44"/>
  <c r="X28" i="44"/>
  <c r="X172" i="44"/>
  <c r="Z121" i="44"/>
  <c r="Z118" i="44"/>
  <c r="Y121" i="44"/>
  <c r="Y118" i="44"/>
  <c r="X121" i="44"/>
  <c r="X118" i="44"/>
  <c r="AA117" i="44"/>
  <c r="AA102" i="44"/>
  <c r="W28" i="44"/>
  <c r="V28" i="44"/>
  <c r="Z30" i="44"/>
  <c r="AC22" i="44"/>
  <c r="AA145" i="44"/>
  <c r="AB129" i="44"/>
  <c r="Z129" i="44"/>
  <c r="Z14" i="44"/>
  <c r="AA16" i="44"/>
  <c r="AB113" i="44"/>
  <c r="AB112" i="44"/>
  <c r="AF112" i="44"/>
  <c r="W118" i="44"/>
  <c r="AB116" i="44"/>
  <c r="AB115" i="44"/>
  <c r="AL108" i="44"/>
  <c r="AK108" i="44"/>
  <c r="V121" i="44"/>
  <c r="V120" i="44"/>
  <c r="AK7" i="44"/>
  <c r="AF86" i="44"/>
  <c r="AB69" i="44"/>
  <c r="AA69" i="44"/>
  <c r="AU65" i="44"/>
  <c r="AP65" i="44"/>
  <c r="AF7" i="44"/>
  <c r="AF135" i="44" s="1"/>
  <c r="AQ55" i="44"/>
  <c r="AK53" i="44"/>
  <c r="X87" i="44"/>
  <c r="X85" i="44"/>
  <c r="AE55" i="45"/>
  <c r="AD55" i="45"/>
  <c r="AP47" i="45"/>
  <c r="AP48" i="45"/>
  <c r="AU49" i="45"/>
  <c r="AU50" i="45"/>
  <c r="Z40" i="45"/>
  <c r="AB39" i="45"/>
  <c r="AA39" i="45"/>
  <c r="AC34" i="45"/>
  <c r="AC33" i="45"/>
  <c r="AA32" i="45"/>
  <c r="AB32" i="45"/>
  <c r="AA31" i="45"/>
  <c r="AB31" i="45"/>
  <c r="AA63" i="45"/>
  <c r="AA47" i="46"/>
  <c r="AA22" i="44"/>
  <c r="AA29" i="46"/>
  <c r="AA16" i="45"/>
  <c r="AA27" i="45"/>
  <c r="Z8" i="46"/>
  <c r="Z16" i="45"/>
  <c r="Z26" i="45"/>
  <c r="AC24" i="45"/>
  <c r="AA19" i="45"/>
  <c r="AB19" i="45"/>
  <c r="AA18" i="45"/>
  <c r="AB18" i="45"/>
  <c r="Z15" i="45"/>
  <c r="Z53" i="46"/>
  <c r="AA31" i="44"/>
  <c r="AA26" i="44"/>
  <c r="AB26" i="44"/>
  <c r="X58" i="46"/>
  <c r="X57" i="46"/>
  <c r="AD57" i="46"/>
  <c r="AD33" i="46"/>
  <c r="AD177" i="44"/>
  <c r="AC178" i="44"/>
  <c r="AJ185" i="44"/>
  <c r="AJ176" i="44"/>
  <c r="AN135" i="44"/>
  <c r="AF185" i="44"/>
  <c r="AA183" i="44"/>
  <c r="AF186" i="44"/>
  <c r="AA182" i="44"/>
  <c r="AI186" i="44"/>
  <c r="AI187" i="44"/>
  <c r="AO186" i="44"/>
  <c r="AD180" i="44"/>
  <c r="AC177" i="44"/>
  <c r="AA180" i="44"/>
  <c r="AD178" i="44"/>
  <c r="AJ181" i="44"/>
  <c r="AH176" i="44"/>
  <c r="AI181" i="44"/>
  <c r="AE175" i="44"/>
  <c r="AC180" i="44"/>
  <c r="Y136" i="44"/>
  <c r="AH175" i="44"/>
  <c r="AF181" i="44"/>
  <c r="AC182" i="44"/>
  <c r="AO135" i="44"/>
  <c r="AE180" i="44"/>
  <c r="AI176" i="44"/>
  <c r="AJ187" i="44"/>
  <c r="AD183" i="44"/>
  <c r="AH185" i="44"/>
  <c r="AE178" i="44"/>
  <c r="AD182" i="44"/>
  <c r="AH186" i="44"/>
  <c r="AC183" i="44"/>
  <c r="AE177" i="44"/>
  <c r="AI185" i="44"/>
  <c r="AE183" i="44"/>
  <c r="AK187" i="44"/>
  <c r="AA178" i="44"/>
  <c r="AE182" i="44"/>
  <c r="AH181" i="44"/>
  <c r="AH187" i="44"/>
  <c r="W87" i="44"/>
  <c r="AJ61" i="44"/>
  <c r="AG110" i="44"/>
  <c r="AR63" i="44"/>
  <c r="AP68" i="44"/>
  <c r="AF98" i="44"/>
  <c r="AK96" i="44"/>
  <c r="AU101" i="44"/>
  <c r="AB29" i="46"/>
  <c r="AA44" i="44"/>
  <c r="V127" i="44"/>
  <c r="V99" i="44"/>
  <c r="V66" i="44"/>
  <c r="W7" i="46"/>
  <c r="AL124" i="44"/>
  <c r="AP51" i="45"/>
  <c r="AK52" i="45"/>
  <c r="AP111" i="44"/>
  <c r="AK110" i="44"/>
  <c r="AD165" i="44"/>
  <c r="AA13" i="45"/>
  <c r="AQ123" i="44"/>
  <c r="AB9" i="46"/>
  <c r="AU55" i="44"/>
  <c r="AC16" i="44"/>
  <c r="AF61" i="44"/>
  <c r="AF175" i="44" s="1"/>
  <c r="AK115" i="44"/>
  <c r="AP116" i="44"/>
  <c r="AF94" i="44"/>
  <c r="AB27" i="45"/>
  <c r="AC27" i="45"/>
  <c r="AG109" i="44"/>
  <c r="AC54" i="45"/>
  <c r="AD28" i="45"/>
  <c r="Z33" i="46"/>
  <c r="AK63" i="44"/>
  <c r="AK176" i="44" s="1"/>
  <c r="AP108" i="44"/>
  <c r="Y56" i="45"/>
  <c r="AK112" i="44"/>
  <c r="AP113" i="44"/>
  <c r="AM61" i="44"/>
  <c r="AB111" i="44"/>
  <c r="X50" i="44"/>
  <c r="W50" i="44"/>
  <c r="AL110" i="44"/>
  <c r="AP88" i="44"/>
  <c r="AL88" i="44"/>
  <c r="AC69" i="44"/>
  <c r="Z17" i="46"/>
  <c r="AA10" i="45"/>
  <c r="Z83" i="44"/>
  <c r="AB16" i="44"/>
  <c r="AI61" i="44"/>
  <c r="AI175" i="44" s="1"/>
  <c r="AC23" i="45"/>
  <c r="AB23" i="45"/>
  <c r="AI34" i="39"/>
  <c r="AJ176" i="36"/>
  <c r="AA175" i="36"/>
  <c r="AF175" i="36"/>
  <c r="AF176" i="36"/>
  <c r="AK63" i="36"/>
  <c r="AA176" i="36"/>
  <c r="AK175" i="36"/>
  <c r="AP68" i="36"/>
  <c r="AU68" i="36" s="1"/>
  <c r="AI176" i="36"/>
  <c r="AN63" i="36"/>
  <c r="AS63" i="36" s="1"/>
  <c r="AH175" i="36"/>
  <c r="AM61" i="36"/>
  <c r="AR61" i="36" s="1"/>
  <c r="V16" i="38"/>
  <c r="V27" i="38"/>
  <c r="AO170" i="73" l="1"/>
  <c r="AO170" i="70" s="1"/>
  <c r="AO168" i="70"/>
  <c r="AN18" i="73"/>
  <c r="AN18" i="70" s="1"/>
  <c r="AN172" i="73"/>
  <c r="AN28" i="73" s="1"/>
  <c r="AJ121" i="70"/>
  <c r="AM120" i="73"/>
  <c r="AM118" i="70"/>
  <c r="AL120" i="73"/>
  <c r="AL118" i="70"/>
  <c r="AK121" i="73"/>
  <c r="AK120" i="70"/>
  <c r="Z19" i="73"/>
  <c r="Z142" i="73" s="1"/>
  <c r="AS129" i="73"/>
  <c r="Z141" i="73"/>
  <c r="AL14" i="73"/>
  <c r="AL14" i="70" s="1"/>
  <c r="AK14" i="70"/>
  <c r="Z137" i="73"/>
  <c r="AP173" i="73"/>
  <c r="AO173" i="70"/>
  <c r="AQ22" i="73"/>
  <c r="AG59" i="73"/>
  <c r="AC13" i="73"/>
  <c r="AR165" i="73"/>
  <c r="AP168" i="73"/>
  <c r="AJ134" i="73"/>
  <c r="V53" i="74"/>
  <c r="V43" i="74"/>
  <c r="AA14" i="74"/>
  <c r="AA7" i="75"/>
  <c r="AC11" i="73"/>
  <c r="AQ13" i="74"/>
  <c r="AR13" i="74"/>
  <c r="AO155" i="73"/>
  <c r="AQ155" i="73" s="1"/>
  <c r="AP153" i="73"/>
  <c r="AP155" i="73" s="1"/>
  <c r="AM14" i="73"/>
  <c r="AM14" i="70" s="1"/>
  <c r="AN102" i="73"/>
  <c r="AN102" i="70" s="1"/>
  <c r="AR153" i="73"/>
  <c r="U53" i="74"/>
  <c r="U43" i="74"/>
  <c r="AA22" i="74"/>
  <c r="AA9" i="74"/>
  <c r="AB9" i="73"/>
  <c r="AC9" i="73"/>
  <c r="AN50" i="73"/>
  <c r="AM52" i="73"/>
  <c r="AM54" i="73" s="1"/>
  <c r="AR125" i="73"/>
  <c r="W46" i="75"/>
  <c r="W48" i="75" s="1"/>
  <c r="W11" i="74"/>
  <c r="W20" i="74" s="1"/>
  <c r="W43" i="74" s="1"/>
  <c r="AC12" i="75"/>
  <c r="AC25" i="75"/>
  <c r="AC8" i="74"/>
  <c r="AC15" i="75" s="1"/>
  <c r="AC140" i="73"/>
  <c r="AN31" i="73"/>
  <c r="AO29" i="75"/>
  <c r="AO47" i="75"/>
  <c r="AP28" i="74"/>
  <c r="AO63" i="74"/>
  <c r="AP22" i="73"/>
  <c r="AU119" i="73"/>
  <c r="AT16" i="73"/>
  <c r="AT9" i="75" s="1"/>
  <c r="AT10" i="75" s="1"/>
  <c r="AK85" i="73"/>
  <c r="AK87" i="73" s="1"/>
  <c r="AM83" i="73"/>
  <c r="AL83" i="73"/>
  <c r="AE64" i="73"/>
  <c r="AE60" i="73"/>
  <c r="AE67" i="73"/>
  <c r="AS136" i="73"/>
  <c r="AN118" i="73"/>
  <c r="AO117" i="73"/>
  <c r="Y46" i="75"/>
  <c r="Y48" i="75" s="1"/>
  <c r="Y11" i="74"/>
  <c r="Y20" i="74" s="1"/>
  <c r="Y144" i="73"/>
  <c r="Z21" i="73"/>
  <c r="AR10" i="75"/>
  <c r="AP17" i="75"/>
  <c r="AQ10" i="74"/>
  <c r="AR10" i="74"/>
  <c r="AE25" i="75"/>
  <c r="AE12" i="75"/>
  <c r="AE140" i="73"/>
  <c r="AE8" i="74"/>
  <c r="AU69" i="73"/>
  <c r="AQ17" i="75"/>
  <c r="AL54" i="73"/>
  <c r="AE133" i="73"/>
  <c r="AF76" i="73"/>
  <c r="AF78" i="73" s="1"/>
  <c r="AF74" i="73"/>
  <c r="AE90" i="73"/>
  <c r="AA35" i="75"/>
  <c r="AB35" i="75"/>
  <c r="AB37" i="75" s="1"/>
  <c r="Z37" i="75"/>
  <c r="AP20" i="75"/>
  <c r="AR25" i="74"/>
  <c r="AQ25" i="74"/>
  <c r="AE79" i="73"/>
  <c r="AE95" i="73"/>
  <c r="AE10" i="73" s="1"/>
  <c r="AE92" i="73"/>
  <c r="AR21" i="75"/>
  <c r="AS23" i="74"/>
  <c r="AG41" i="73"/>
  <c r="AH41" i="73"/>
  <c r="AF57" i="73"/>
  <c r="AL57" i="73" s="1"/>
  <c r="AQ20" i="75"/>
  <c r="X53" i="74"/>
  <c r="X43" i="74"/>
  <c r="AP19" i="75"/>
  <c r="AQ19" i="75" s="1"/>
  <c r="AR27" i="74"/>
  <c r="AQ27" i="74"/>
  <c r="AP16" i="74"/>
  <c r="AM30" i="73"/>
  <c r="AP33" i="75"/>
  <c r="AP57" i="75" s="1"/>
  <c r="AA37" i="74"/>
  <c r="AF46" i="73"/>
  <c r="AF62" i="73"/>
  <c r="AF59" i="73"/>
  <c r="AG45" i="73"/>
  <c r="AG46" i="73" s="1"/>
  <c r="AD79" i="73"/>
  <c r="AD95" i="73"/>
  <c r="AD92" i="73"/>
  <c r="AD133" i="73"/>
  <c r="AD5" i="73"/>
  <c r="AG78" i="73"/>
  <c r="AG79" i="73" s="1"/>
  <c r="AQ125" i="73"/>
  <c r="AF6" i="65"/>
  <c r="AG87" i="65"/>
  <c r="AE76" i="65"/>
  <c r="AE78" i="65" s="1"/>
  <c r="AC62" i="65"/>
  <c r="AC59" i="65"/>
  <c r="AC67" i="65" s="1"/>
  <c r="AC46" i="65"/>
  <c r="AD45" i="65"/>
  <c r="AL121" i="65"/>
  <c r="AU55" i="66"/>
  <c r="AM18" i="65"/>
  <c r="AM172" i="65"/>
  <c r="AM172" i="70" s="1"/>
  <c r="AN14" i="65"/>
  <c r="AQ125" i="65"/>
  <c r="AS101" i="65"/>
  <c r="AN183" i="65"/>
  <c r="AN182" i="65"/>
  <c r="AS98" i="65"/>
  <c r="AN180" i="65"/>
  <c r="AS94" i="65"/>
  <c r="AI175" i="65"/>
  <c r="AN61" i="65"/>
  <c r="AI177" i="65"/>
  <c r="AN65" i="65"/>
  <c r="AI178" i="65"/>
  <c r="AN68" i="65"/>
  <c r="AH87" i="65"/>
  <c r="AE134" i="65"/>
  <c r="Z11" i="65"/>
  <c r="Z13" i="65"/>
  <c r="Z9" i="65"/>
  <c r="Z8" i="66"/>
  <c r="Z140" i="65"/>
  <c r="AS77" i="65"/>
  <c r="AD78" i="65"/>
  <c r="AA93" i="65"/>
  <c r="AA97" i="65"/>
  <c r="AA100" i="65"/>
  <c r="AB92" i="65"/>
  <c r="AB79" i="65"/>
  <c r="AC5" i="65"/>
  <c r="AC79" i="65"/>
  <c r="AC95" i="65"/>
  <c r="AC92" i="65"/>
  <c r="AB95" i="65"/>
  <c r="AI54" i="65"/>
  <c r="AS44" i="65"/>
  <c r="AA8" i="65"/>
  <c r="AB5" i="65"/>
  <c r="AA133" i="65"/>
  <c r="AA10" i="65"/>
  <c r="AB62" i="65"/>
  <c r="AB59" i="65"/>
  <c r="AA64" i="65"/>
  <c r="AA60" i="65"/>
  <c r="AA67" i="65"/>
  <c r="AB46" i="65"/>
  <c r="AA56" i="67"/>
  <c r="Z25" i="67"/>
  <c r="AA53" i="67"/>
  <c r="Z12" i="67"/>
  <c r="Z35" i="67" s="1"/>
  <c r="AC143" i="65"/>
  <c r="AD143" i="65" s="1"/>
  <c r="AD48" i="66"/>
  <c r="AI47" i="66"/>
  <c r="AS39" i="66"/>
  <c r="AS40" i="66"/>
  <c r="AS33" i="66"/>
  <c r="AS34" i="66"/>
  <c r="AS31" i="66"/>
  <c r="AS32" i="66"/>
  <c r="AO8" i="67"/>
  <c r="AS26" i="66"/>
  <c r="AS24" i="66"/>
  <c r="AS15" i="66"/>
  <c r="AS18" i="66"/>
  <c r="AS19" i="66"/>
  <c r="AK28" i="65"/>
  <c r="AK28" i="70" s="1"/>
  <c r="AL18" i="65"/>
  <c r="AM120" i="65"/>
  <c r="AN118" i="65"/>
  <c r="AO117" i="65"/>
  <c r="AN170" i="65"/>
  <c r="AO102" i="65"/>
  <c r="AO14" i="65" s="1"/>
  <c r="AK121" i="65"/>
  <c r="AP129" i="65"/>
  <c r="AP129" i="70" s="1"/>
  <c r="AP126" i="65"/>
  <c r="AQ126" i="65" s="1"/>
  <c r="AP128" i="65"/>
  <c r="AQ128" i="65"/>
  <c r="AL10" i="67"/>
  <c r="AN9" i="67"/>
  <c r="AK155" i="65"/>
  <c r="AL57" i="67"/>
  <c r="AK58" i="67"/>
  <c r="AP26" i="65"/>
  <c r="AQ26" i="65"/>
  <c r="T43" i="71"/>
  <c r="AF74" i="65"/>
  <c r="AE90" i="65"/>
  <c r="AI85" i="65"/>
  <c r="AJ83" i="65"/>
  <c r="AM57" i="67"/>
  <c r="AO17" i="67"/>
  <c r="AP10" i="66"/>
  <c r="AO20" i="67"/>
  <c r="AP25" i="66"/>
  <c r="AJ30" i="65"/>
  <c r="AN33" i="67"/>
  <c r="X46" i="67"/>
  <c r="X48" i="67" s="1"/>
  <c r="F36" i="69" s="1"/>
  <c r="X144" i="65"/>
  <c r="X11" i="66"/>
  <c r="X20" i="66" s="1"/>
  <c r="AO21" i="67"/>
  <c r="AP23" i="66"/>
  <c r="AK50" i="65"/>
  <c r="AJ52" i="65"/>
  <c r="AO29" i="67"/>
  <c r="AO47" i="67"/>
  <c r="AO63" i="66"/>
  <c r="AP28" i="66"/>
  <c r="AP22" i="65"/>
  <c r="AF41" i="65"/>
  <c r="AE57" i="65"/>
  <c r="AE43" i="65"/>
  <c r="Y141" i="65"/>
  <c r="Y19" i="65"/>
  <c r="AM10" i="67"/>
  <c r="AJ31" i="65"/>
  <c r="U46" i="67"/>
  <c r="U48" i="67" s="1"/>
  <c r="U11" i="66"/>
  <c r="U20" i="66" s="1"/>
  <c r="U144" i="65"/>
  <c r="Y30" i="66"/>
  <c r="V46" i="67"/>
  <c r="V48" i="67" s="1"/>
  <c r="V144" i="65"/>
  <c r="W6" i="66"/>
  <c r="V11" i="66"/>
  <c r="V20" i="66" s="1"/>
  <c r="AP13" i="66"/>
  <c r="AN136" i="65"/>
  <c r="AP165" i="65"/>
  <c r="AO168" i="65"/>
  <c r="AP119" i="65"/>
  <c r="AO136" i="65"/>
  <c r="AO16" i="65"/>
  <c r="Y137" i="65"/>
  <c r="Y37" i="67"/>
  <c r="AR35" i="65"/>
  <c r="AQ35" i="65"/>
  <c r="AP69" i="65"/>
  <c r="AP69" i="70" s="1"/>
  <c r="AR125" i="65"/>
  <c r="T53" i="66"/>
  <c r="T43" i="66"/>
  <c r="AP19" i="67"/>
  <c r="AR27" i="66"/>
  <c r="AQ27" i="66"/>
  <c r="AP16" i="66"/>
  <c r="K43" i="57"/>
  <c r="K43" i="62" s="1"/>
  <c r="K53" i="57"/>
  <c r="K53" i="62" s="1"/>
  <c r="N53" i="57"/>
  <c r="N53" i="62" s="1"/>
  <c r="L43" i="57"/>
  <c r="L43" i="62" s="1"/>
  <c r="O20" i="57"/>
  <c r="O20" i="62" s="1"/>
  <c r="O11" i="62"/>
  <c r="O48" i="58"/>
  <c r="O48" i="63" s="1"/>
  <c r="O46" i="63"/>
  <c r="M20" i="57"/>
  <c r="M11" i="62"/>
  <c r="M48" i="58"/>
  <c r="M48" i="63" s="1"/>
  <c r="M46" i="63"/>
  <c r="AL28" i="62"/>
  <c r="AL67" i="57"/>
  <c r="AL67" i="62" s="1"/>
  <c r="AL47" i="58"/>
  <c r="AL47" i="63" s="1"/>
  <c r="AM28" i="62"/>
  <c r="AN22" i="56"/>
  <c r="AN22" i="61" s="1"/>
  <c r="AM29" i="58"/>
  <c r="AM29" i="63" s="1"/>
  <c r="AM63" i="57"/>
  <c r="AM63" i="62" s="1"/>
  <c r="AM47" i="58"/>
  <c r="AM47" i="63" s="1"/>
  <c r="AN28" i="57"/>
  <c r="AK29" i="63"/>
  <c r="AL29" i="58"/>
  <c r="AL29" i="63" s="1"/>
  <c r="Z8" i="56"/>
  <c r="Z8" i="61" s="1"/>
  <c r="Z133" i="56"/>
  <c r="Z97" i="56"/>
  <c r="Z97" i="61" s="1"/>
  <c r="AA5" i="56"/>
  <c r="AB5" i="56" s="1"/>
  <c r="AB8" i="56" s="1"/>
  <c r="AB8" i="61" s="1"/>
  <c r="AA79" i="56"/>
  <c r="AA79" i="61" s="1"/>
  <c r="AA95" i="56"/>
  <c r="AA10" i="56" s="1"/>
  <c r="AA10" i="61" s="1"/>
  <c r="AB78" i="56"/>
  <c r="AA92" i="56"/>
  <c r="AA92" i="61" s="1"/>
  <c r="AC78" i="56"/>
  <c r="AC92" i="56" s="1"/>
  <c r="Z93" i="56"/>
  <c r="Z93" i="61" s="1"/>
  <c r="AD76" i="56"/>
  <c r="AD76" i="61" s="1"/>
  <c r="AB67" i="61"/>
  <c r="AD62" i="56"/>
  <c r="AD62" i="61" s="1"/>
  <c r="AB64" i="61"/>
  <c r="AD59" i="56"/>
  <c r="AD59" i="61" s="1"/>
  <c r="AD46" i="56"/>
  <c r="AD46" i="61" s="1"/>
  <c r="AF43" i="56"/>
  <c r="AF45" i="56" s="1"/>
  <c r="AM101" i="61"/>
  <c r="AM183" i="56"/>
  <c r="AR101" i="56"/>
  <c r="AM94" i="61"/>
  <c r="AR94" i="56"/>
  <c r="AM180" i="56"/>
  <c r="AM98" i="61"/>
  <c r="AM182" i="56"/>
  <c r="AR98" i="56"/>
  <c r="AM61" i="61"/>
  <c r="AR61" i="56"/>
  <c r="AR61" i="61" s="1"/>
  <c r="AM68" i="61"/>
  <c r="AR68" i="56"/>
  <c r="AR68" i="61" s="1"/>
  <c r="AR65" i="56"/>
  <c r="AR65" i="61" s="1"/>
  <c r="AM65" i="61"/>
  <c r="AF87" i="56"/>
  <c r="AF87" i="61" s="1"/>
  <c r="AF85" i="61"/>
  <c r="AD6" i="61"/>
  <c r="AD134" i="56"/>
  <c r="AE87" i="61"/>
  <c r="AE6" i="56"/>
  <c r="AE6" i="61" s="1"/>
  <c r="Y9" i="56"/>
  <c r="Y93" i="61"/>
  <c r="Y13" i="56"/>
  <c r="Y13" i="61" s="1"/>
  <c r="Y100" i="61"/>
  <c r="Y11" i="56"/>
  <c r="Y11" i="61" s="1"/>
  <c r="Y97" i="61"/>
  <c r="Y8" i="61"/>
  <c r="Y25" i="58"/>
  <c r="Y25" i="63" s="1"/>
  <c r="Y12" i="58"/>
  <c r="Y8" i="57"/>
  <c r="Y140" i="56"/>
  <c r="Y140" i="61" s="1"/>
  <c r="AH54" i="56"/>
  <c r="AH54" i="61" s="1"/>
  <c r="AH52" i="61"/>
  <c r="AF54" i="61"/>
  <c r="AG54" i="56"/>
  <c r="AG54" i="61" s="1"/>
  <c r="AC53" i="58"/>
  <c r="AA53" i="63"/>
  <c r="X17" i="61"/>
  <c r="X23" i="56"/>
  <c r="AM47" i="62"/>
  <c r="AM48" i="57"/>
  <c r="AM48" i="62" s="1"/>
  <c r="AR47" i="57"/>
  <c r="AP54" i="57"/>
  <c r="AP40" i="62"/>
  <c r="AR40" i="57"/>
  <c r="AQ40" i="57"/>
  <c r="AQ40" i="62" s="1"/>
  <c r="AV39" i="57"/>
  <c r="AV39" i="62" s="1"/>
  <c r="AU39" i="62"/>
  <c r="AO33" i="57"/>
  <c r="AN33" i="62"/>
  <c r="AP34" i="62"/>
  <c r="AR34" i="57"/>
  <c r="AQ34" i="57"/>
  <c r="AQ34" i="62" s="1"/>
  <c r="AP31" i="62"/>
  <c r="AR31" i="57"/>
  <c r="AQ31" i="57"/>
  <c r="AQ31" i="62" s="1"/>
  <c r="AP32" i="62"/>
  <c r="AR32" i="57"/>
  <c r="AQ32" i="57"/>
  <c r="AQ32" i="62" s="1"/>
  <c r="AP24" i="62"/>
  <c r="AR24" i="57"/>
  <c r="AQ24" i="57"/>
  <c r="AQ24" i="62" s="1"/>
  <c r="AM8" i="58"/>
  <c r="AM8" i="63" s="1"/>
  <c r="AM16" i="62"/>
  <c r="AP26" i="62"/>
  <c r="AR26" i="57"/>
  <c r="AQ26" i="57"/>
  <c r="AQ26" i="62" s="1"/>
  <c r="AP19" i="57"/>
  <c r="AO19" i="62"/>
  <c r="AP18" i="62"/>
  <c r="AR18" i="57"/>
  <c r="AQ18" i="57"/>
  <c r="AQ18" i="62" s="1"/>
  <c r="AP15" i="57"/>
  <c r="AO15" i="62"/>
  <c r="AS173" i="56"/>
  <c r="AR173" i="61"/>
  <c r="AK102" i="61"/>
  <c r="AM102" i="56"/>
  <c r="AM14" i="56" s="1"/>
  <c r="AM14" i="61" s="1"/>
  <c r="AK14" i="56"/>
  <c r="AK14" i="61" s="1"/>
  <c r="AL18" i="56"/>
  <c r="AL18" i="61" s="1"/>
  <c r="AK18" i="61"/>
  <c r="AK28" i="56"/>
  <c r="AK172" i="61"/>
  <c r="AN170" i="56"/>
  <c r="AN168" i="61"/>
  <c r="AP165" i="56"/>
  <c r="AO165" i="61"/>
  <c r="AO168" i="56"/>
  <c r="AM170" i="61"/>
  <c r="AM172" i="56"/>
  <c r="AM18" i="56"/>
  <c r="AM18" i="61" s="1"/>
  <c r="AR145" i="56"/>
  <c r="AP145" i="61"/>
  <c r="AN129" i="61"/>
  <c r="AO129" i="56"/>
  <c r="AL120" i="56"/>
  <c r="AL120" i="61" s="1"/>
  <c r="AL119" i="61"/>
  <c r="AK121" i="56"/>
  <c r="AK121" i="61" s="1"/>
  <c r="AK120" i="61"/>
  <c r="AK9" i="58"/>
  <c r="AK16" i="61"/>
  <c r="AL16" i="56"/>
  <c r="AL16" i="61" s="1"/>
  <c r="AL121" i="56"/>
  <c r="AL121" i="61" s="1"/>
  <c r="Z10" i="61"/>
  <c r="AC59" i="61"/>
  <c r="AC64" i="56"/>
  <c r="AC64" i="61" s="1"/>
  <c r="AC60" i="56"/>
  <c r="AC60" i="61" s="1"/>
  <c r="AC67" i="56"/>
  <c r="AC67" i="61" s="1"/>
  <c r="AB60" i="61"/>
  <c r="AB61" i="56"/>
  <c r="AB61" i="61" s="1"/>
  <c r="AE45" i="56"/>
  <c r="AE43" i="61"/>
  <c r="AF155" i="56"/>
  <c r="AF155" i="61" s="1"/>
  <c r="AF153" i="61"/>
  <c r="AE155" i="61"/>
  <c r="AE31" i="56"/>
  <c r="AE30" i="56"/>
  <c r="AM26" i="56"/>
  <c r="AK26" i="61"/>
  <c r="X137" i="56"/>
  <c r="X35" i="62"/>
  <c r="X30" i="62"/>
  <c r="X19" i="56"/>
  <c r="X19" i="61" s="1"/>
  <c r="X141" i="56"/>
  <c r="X141" i="61" s="1"/>
  <c r="AN35" i="56"/>
  <c r="AN35" i="61" s="1"/>
  <c r="AN13" i="57"/>
  <c r="AN13" i="62" s="1"/>
  <c r="AH41" i="56"/>
  <c r="AH41" i="61" s="1"/>
  <c r="AG41" i="56"/>
  <c r="AG41" i="61" s="1"/>
  <c r="AF57" i="56"/>
  <c r="AJ10" i="58"/>
  <c r="AL9" i="58"/>
  <c r="AL9" i="63" s="1"/>
  <c r="S46" i="58"/>
  <c r="S144" i="56"/>
  <c r="S144" i="61" s="1"/>
  <c r="S11" i="57"/>
  <c r="AN19" i="58"/>
  <c r="AN19" i="63" s="1"/>
  <c r="AO27" i="57"/>
  <c r="AO27" i="62" s="1"/>
  <c r="AN16" i="57"/>
  <c r="U40" i="58"/>
  <c r="U41" i="58" s="1"/>
  <c r="T6" i="57"/>
  <c r="AK20" i="58"/>
  <c r="AM25" i="57"/>
  <c r="AM25" i="62" s="1"/>
  <c r="AL25" i="57"/>
  <c r="AL25" i="62" s="1"/>
  <c r="AD60" i="56"/>
  <c r="AD60" i="61" s="1"/>
  <c r="AI52" i="56"/>
  <c r="AJ50" i="56"/>
  <c r="AJ50" i="61" s="1"/>
  <c r="AE74" i="56"/>
  <c r="AD90" i="56"/>
  <c r="AD90" i="61" s="1"/>
  <c r="Z13" i="56"/>
  <c r="AI153" i="56"/>
  <c r="AI153" i="61" s="1"/>
  <c r="AH155" i="56"/>
  <c r="AH155" i="61" s="1"/>
  <c r="AO17" i="58"/>
  <c r="AO17" i="63" s="1"/>
  <c r="AP10" i="57"/>
  <c r="AP10" i="62" s="1"/>
  <c r="AH85" i="56"/>
  <c r="AI83" i="56"/>
  <c r="AI83" i="61" s="1"/>
  <c r="AP118" i="56"/>
  <c r="AP118" i="61" s="1"/>
  <c r="AQ117" i="56"/>
  <c r="AS163" i="56"/>
  <c r="AR117" i="56"/>
  <c r="AR117" i="61" s="1"/>
  <c r="Q46" i="58"/>
  <c r="Q11" i="57"/>
  <c r="R6" i="57"/>
  <c r="R6" i="62" s="1"/>
  <c r="Q144" i="56"/>
  <c r="Q144" i="61" s="1"/>
  <c r="AN21" i="58"/>
  <c r="AN21" i="63" s="1"/>
  <c r="AO23" i="57"/>
  <c r="AO23" i="62" s="1"/>
  <c r="O53" i="57"/>
  <c r="O53" i="62" s="1"/>
  <c r="O43" i="57"/>
  <c r="O43" i="62" s="1"/>
  <c r="AN119" i="56"/>
  <c r="AN119" i="61" s="1"/>
  <c r="AM16" i="56"/>
  <c r="AM16" i="61" s="1"/>
  <c r="AM120" i="56"/>
  <c r="AN69" i="56"/>
  <c r="AN69" i="61" s="1"/>
  <c r="P46" i="58"/>
  <c r="P11" i="57"/>
  <c r="P144" i="56"/>
  <c r="P144" i="61" s="1"/>
  <c r="AR55" i="57"/>
  <c r="AR55" i="62" s="1"/>
  <c r="AB60" i="48"/>
  <c r="AJ47" i="50"/>
  <c r="AJ63" i="49"/>
  <c r="AJ29" i="50"/>
  <c r="AK28" i="49"/>
  <c r="AK22" i="48"/>
  <c r="AL22" i="48" s="1"/>
  <c r="M46" i="50"/>
  <c r="M48" i="50" s="1"/>
  <c r="M11" i="49"/>
  <c r="M20" i="49" s="1"/>
  <c r="M43" i="49" s="1"/>
  <c r="Z13" i="48"/>
  <c r="AB67" i="48"/>
  <c r="AB68" i="48" s="1"/>
  <c r="AH153" i="48"/>
  <c r="AK17" i="50"/>
  <c r="AL17" i="50" s="1"/>
  <c r="AM10" i="49"/>
  <c r="AL10" i="49"/>
  <c r="AB62" i="48"/>
  <c r="AB63" i="48" s="1"/>
  <c r="Y22" i="49"/>
  <c r="Y9" i="49"/>
  <c r="Y16" i="50" s="1"/>
  <c r="Z9" i="48"/>
  <c r="AA64" i="48"/>
  <c r="AA67" i="48"/>
  <c r="AA60" i="48"/>
  <c r="Y35" i="50"/>
  <c r="X37" i="50"/>
  <c r="AM56" i="49"/>
  <c r="AB40" i="50"/>
  <c r="X40" i="50"/>
  <c r="T40" i="50"/>
  <c r="T41" i="50" s="1"/>
  <c r="S6" i="49"/>
  <c r="AK19" i="50"/>
  <c r="AL19" i="50" s="1"/>
  <c r="AL27" i="49"/>
  <c r="AM27" i="49"/>
  <c r="AK16" i="49"/>
  <c r="X18" i="50"/>
  <c r="X30" i="49"/>
  <c r="X35" i="49" s="1"/>
  <c r="X37" i="49"/>
  <c r="AK21" i="50"/>
  <c r="AL21" i="50" s="1"/>
  <c r="AM23" i="49"/>
  <c r="AL23" i="49"/>
  <c r="AK172" i="48"/>
  <c r="AK28" i="48" s="1"/>
  <c r="AL28" i="48" s="1"/>
  <c r="AK18" i="48"/>
  <c r="AL18" i="48" s="1"/>
  <c r="AE6" i="48"/>
  <c r="AG54" i="48"/>
  <c r="AP118" i="48"/>
  <c r="AQ117" i="48"/>
  <c r="AQ118" i="48" s="1"/>
  <c r="AF30" i="48"/>
  <c r="AJ33" i="50"/>
  <c r="X141" i="48"/>
  <c r="X19" i="48"/>
  <c r="AA12" i="50"/>
  <c r="AB12" i="50" s="1"/>
  <c r="AA25" i="50"/>
  <c r="AB25" i="50" s="1"/>
  <c r="AB56" i="50" s="1"/>
  <c r="AA8" i="49"/>
  <c r="AA140" i="48"/>
  <c r="AN165" i="48"/>
  <c r="AM168" i="48"/>
  <c r="AM170" i="48" s="1"/>
  <c r="AD41" i="48"/>
  <c r="AC57" i="48"/>
  <c r="AB64" i="48"/>
  <c r="AB65" i="48" s="1"/>
  <c r="AB5" i="48"/>
  <c r="AB8" i="48" s="1"/>
  <c r="AH85" i="48"/>
  <c r="AH87" i="48" s="1"/>
  <c r="AI83" i="48"/>
  <c r="AA100" i="48"/>
  <c r="AB100" i="48" s="1"/>
  <c r="AB101" i="48" s="1"/>
  <c r="AA97" i="48"/>
  <c r="AB97" i="48" s="1"/>
  <c r="AB98" i="48" s="1"/>
  <c r="AA93" i="48"/>
  <c r="AC46" i="48"/>
  <c r="AC5" i="48"/>
  <c r="AC62" i="48"/>
  <c r="AC59" i="48"/>
  <c r="AA133" i="48"/>
  <c r="N53" i="49"/>
  <c r="N43" i="49"/>
  <c r="AH50" i="48"/>
  <c r="AG50" i="48"/>
  <c r="AF52" i="48"/>
  <c r="AF54" i="48" s="1"/>
  <c r="AN13" i="49"/>
  <c r="AS163" i="48"/>
  <c r="AR117" i="48"/>
  <c r="AR129" i="48"/>
  <c r="L53" i="49"/>
  <c r="L43" i="49"/>
  <c r="AH20" i="50"/>
  <c r="AI25" i="49"/>
  <c r="Y7" i="50"/>
  <c r="Y14" i="49" s="1"/>
  <c r="K53" i="49"/>
  <c r="K43" i="49"/>
  <c r="O46" i="50"/>
  <c r="O48" i="50" s="1"/>
  <c r="O144" i="48"/>
  <c r="O11" i="49"/>
  <c r="O20" i="49" s="1"/>
  <c r="AM136" i="48"/>
  <c r="AN119" i="48"/>
  <c r="AM16" i="48"/>
  <c r="AM120" i="48"/>
  <c r="AM121" i="48" s="1"/>
  <c r="AO69" i="48"/>
  <c r="Q40" i="50"/>
  <c r="Q41" i="50" s="1"/>
  <c r="Q6" i="49" s="1"/>
  <c r="P6" i="49"/>
  <c r="AJ10" i="50"/>
  <c r="AL10" i="50" s="1"/>
  <c r="AL9" i="50"/>
  <c r="AB93" i="48"/>
  <c r="AK136" i="48"/>
  <c r="AD74" i="48"/>
  <c r="AC90" i="48"/>
  <c r="AM35" i="48"/>
  <c r="X137" i="48"/>
  <c r="AC76" i="48"/>
  <c r="AC78" i="48" s="1"/>
  <c r="AC133" i="48" s="1"/>
  <c r="AM102" i="48"/>
  <c r="AK14" i="48"/>
  <c r="AL14" i="48" s="1"/>
  <c r="AS51" i="45"/>
  <c r="AS52" i="45"/>
  <c r="AS49" i="45"/>
  <c r="AS50" i="45"/>
  <c r="AT50" i="45"/>
  <c r="AT49" i="45"/>
  <c r="AR49" i="45"/>
  <c r="AR50" i="45"/>
  <c r="AT48" i="45"/>
  <c r="AT47" i="45"/>
  <c r="AA118" i="44"/>
  <c r="X120" i="44"/>
  <c r="AF163" i="44"/>
  <c r="Y120" i="44"/>
  <c r="AP56" i="46"/>
  <c r="AO56" i="46"/>
  <c r="AC173" i="44"/>
  <c r="Z28" i="44"/>
  <c r="Z172" i="44"/>
  <c r="AC170" i="44"/>
  <c r="AC168" i="44"/>
  <c r="Z120" i="44"/>
  <c r="AC117" i="44"/>
  <c r="AC102" i="44"/>
  <c r="AC120" i="44"/>
  <c r="AC118" i="44"/>
  <c r="AA30" i="44"/>
  <c r="AD22" i="44"/>
  <c r="AC145" i="44"/>
  <c r="AC14" i="44"/>
  <c r="AA129" i="44"/>
  <c r="AB10" i="46"/>
  <c r="Z10" i="46"/>
  <c r="AA10" i="46"/>
  <c r="AA9" i="46"/>
  <c r="AD119" i="44"/>
  <c r="AG116" i="44"/>
  <c r="AG115" i="44"/>
  <c r="AA121" i="44"/>
  <c r="AA120" i="44"/>
  <c r="W121" i="44"/>
  <c r="W120" i="44"/>
  <c r="AL113" i="44"/>
  <c r="AL112" i="44"/>
  <c r="AG113" i="44"/>
  <c r="AG112" i="44"/>
  <c r="AB118" i="44"/>
  <c r="AL109" i="44"/>
  <c r="AL7" i="44"/>
  <c r="AK86" i="44"/>
  <c r="AV55" i="44"/>
  <c r="AU53" i="44"/>
  <c r="AP53" i="44"/>
  <c r="Y87" i="44"/>
  <c r="Y85" i="44"/>
  <c r="V74" i="44"/>
  <c r="V54" i="44"/>
  <c r="V134" i="44" s="1"/>
  <c r="V52" i="44"/>
  <c r="AU48" i="45"/>
  <c r="AU47" i="45"/>
  <c r="AA40" i="45"/>
  <c r="AB40" i="45"/>
  <c r="AC39" i="45"/>
  <c r="AD34" i="45"/>
  <c r="AA8" i="46"/>
  <c r="AD33" i="45"/>
  <c r="AB16" i="45"/>
  <c r="AC32" i="45"/>
  <c r="AC29" i="46"/>
  <c r="AC63" i="45"/>
  <c r="AC47" i="46"/>
  <c r="AC31" i="45"/>
  <c r="AB67" i="45"/>
  <c r="AB47" i="46"/>
  <c r="AB19" i="46"/>
  <c r="AA19" i="46"/>
  <c r="AA26" i="45"/>
  <c r="AB26" i="45"/>
  <c r="AD24" i="45"/>
  <c r="AB21" i="46"/>
  <c r="AA21" i="46"/>
  <c r="AC19" i="45"/>
  <c r="AC18" i="45"/>
  <c r="AA15" i="45"/>
  <c r="AB15" i="45"/>
  <c r="AA53" i="46"/>
  <c r="AD31" i="44"/>
  <c r="AC31" i="44"/>
  <c r="AC26" i="44"/>
  <c r="AE57" i="46"/>
  <c r="AE33" i="46"/>
  <c r="Y58" i="46"/>
  <c r="Y57" i="46"/>
  <c r="AB35" i="44"/>
  <c r="AA35" i="44"/>
  <c r="AN185" i="44"/>
  <c r="AP187" i="44"/>
  <c r="AK181" i="44"/>
  <c r="AI180" i="44"/>
  <c r="AN186" i="44"/>
  <c r="AF183" i="44"/>
  <c r="AK185" i="44"/>
  <c r="AJ177" i="44"/>
  <c r="AM185" i="44"/>
  <c r="AN181" i="44"/>
  <c r="AK135" i="44"/>
  <c r="AI177" i="44"/>
  <c r="AF180" i="44"/>
  <c r="AF182" i="44"/>
  <c r="AH183" i="44"/>
  <c r="AS135" i="44"/>
  <c r="AT135" i="44"/>
  <c r="AH178" i="44"/>
  <c r="Z136" i="44"/>
  <c r="AO181" i="44"/>
  <c r="AO185" i="44"/>
  <c r="AM187" i="44"/>
  <c r="AJ182" i="44"/>
  <c r="AM186" i="44"/>
  <c r="AA136" i="44"/>
  <c r="AT186" i="44"/>
  <c r="AJ183" i="44"/>
  <c r="AJ178" i="44"/>
  <c r="AO187" i="44"/>
  <c r="AJ180" i="44"/>
  <c r="AI183" i="44"/>
  <c r="AF178" i="44"/>
  <c r="AH180" i="44"/>
  <c r="AK186" i="44"/>
  <c r="AN187" i="44"/>
  <c r="AI182" i="44"/>
  <c r="AI178" i="44"/>
  <c r="AM181" i="44"/>
  <c r="AH182" i="44"/>
  <c r="AJ175" i="44"/>
  <c r="AM135" i="44"/>
  <c r="AH177" i="44"/>
  <c r="AR61" i="44"/>
  <c r="AK98" i="44"/>
  <c r="AL111" i="44"/>
  <c r="AN61" i="44"/>
  <c r="AC9" i="46"/>
  <c r="W12" i="44"/>
  <c r="W66" i="44"/>
  <c r="AU88" i="44"/>
  <c r="AQ88" i="44"/>
  <c r="AO61" i="44"/>
  <c r="AE165" i="44"/>
  <c r="AG111" i="44"/>
  <c r="AP52" i="45"/>
  <c r="AD69" i="44"/>
  <c r="AU113" i="44"/>
  <c r="AP112" i="44"/>
  <c r="AQ110" i="44"/>
  <c r="Z56" i="45"/>
  <c r="AU111" i="44"/>
  <c r="AP110" i="44"/>
  <c r="AU68" i="44"/>
  <c r="AF33" i="46"/>
  <c r="AC35" i="44"/>
  <c r="AA83" i="44"/>
  <c r="AC19" i="46"/>
  <c r="AD27" i="45"/>
  <c r="AP96" i="44"/>
  <c r="AD23" i="45"/>
  <c r="AD54" i="45"/>
  <c r="W74" i="44"/>
  <c r="X74" i="44"/>
  <c r="AQ112" i="44"/>
  <c r="AB10" i="45"/>
  <c r="AC10" i="45"/>
  <c r="Y50" i="44"/>
  <c r="AU108" i="44"/>
  <c r="AQ108" i="44"/>
  <c r="AD29" i="46"/>
  <c r="AD47" i="46"/>
  <c r="AD63" i="45"/>
  <c r="AE28" i="45"/>
  <c r="AQ124" i="44"/>
  <c r="W99" i="44"/>
  <c r="W6" i="44"/>
  <c r="AV123" i="44"/>
  <c r="AK94" i="44"/>
  <c r="AK61" i="44"/>
  <c r="AK175" i="44" s="1"/>
  <c r="AF44" i="44"/>
  <c r="AP115" i="44"/>
  <c r="AU116" i="44"/>
  <c r="AH163" i="44"/>
  <c r="AP63" i="44"/>
  <c r="AB13" i="45"/>
  <c r="AC13" i="45"/>
  <c r="AJ34" i="39"/>
  <c r="AK176" i="36"/>
  <c r="AP63" i="36"/>
  <c r="AU63" i="36" s="1"/>
  <c r="F145" i="36"/>
  <c r="E145" i="36"/>
  <c r="L145" i="36"/>
  <c r="K145" i="36"/>
  <c r="J145" i="36"/>
  <c r="I145" i="36"/>
  <c r="N145" i="36"/>
  <c r="S145" i="36"/>
  <c r="Q145" i="36"/>
  <c r="P145" i="36"/>
  <c r="O145" i="36"/>
  <c r="T145" i="36"/>
  <c r="U145" i="36"/>
  <c r="AO18" i="73" l="1"/>
  <c r="AO18" i="70" s="1"/>
  <c r="AO172" i="73"/>
  <c r="AO28" i="73" s="1"/>
  <c r="AP170" i="73"/>
  <c r="AP170" i="70" s="1"/>
  <c r="AP168" i="70"/>
  <c r="AK121" i="70"/>
  <c r="AO117" i="70"/>
  <c r="AL121" i="73"/>
  <c r="AL121" i="70" s="1"/>
  <c r="AL120" i="70"/>
  <c r="AN120" i="73"/>
  <c r="AN118" i="70"/>
  <c r="AM121" i="73"/>
  <c r="AM120" i="70"/>
  <c r="AT129" i="73"/>
  <c r="AM28" i="65"/>
  <c r="AM28" i="70" s="1"/>
  <c r="AR173" i="73"/>
  <c r="AP173" i="70"/>
  <c r="AF133" i="73"/>
  <c r="AU16" i="73"/>
  <c r="AR19" i="75"/>
  <c r="AS27" i="74"/>
  <c r="AR16" i="74"/>
  <c r="AR8" i="75" s="1"/>
  <c r="AN52" i="73"/>
  <c r="AN54" i="73" s="1"/>
  <c r="AO50" i="73"/>
  <c r="AD100" i="73"/>
  <c r="AD93" i="73"/>
  <c r="AD97" i="73"/>
  <c r="AD10" i="73"/>
  <c r="AP29" i="75"/>
  <c r="AP47" i="75"/>
  <c r="AP63" i="74"/>
  <c r="AR28" i="74"/>
  <c r="AQ28" i="74"/>
  <c r="AR22" i="73"/>
  <c r="AC22" i="74"/>
  <c r="AC9" i="74"/>
  <c r="AC16" i="75" s="1"/>
  <c r="AS165" i="73"/>
  <c r="AR168" i="73"/>
  <c r="AQ29" i="75"/>
  <c r="AF64" i="73"/>
  <c r="AF67" i="73"/>
  <c r="AF60" i="73"/>
  <c r="AG60" i="73" s="1"/>
  <c r="AC35" i="75"/>
  <c r="AA37" i="75"/>
  <c r="AE11" i="73"/>
  <c r="AO31" i="73"/>
  <c r="AP31" i="73" s="1"/>
  <c r="AG67" i="73"/>
  <c r="AG68" i="73" s="1"/>
  <c r="AG62" i="73"/>
  <c r="AG63" i="73" s="1"/>
  <c r="AV69" i="73"/>
  <c r="Z23" i="73"/>
  <c r="AK6" i="73"/>
  <c r="AL6" i="73" s="1"/>
  <c r="AR17" i="75"/>
  <c r="AS10" i="74"/>
  <c r="AF5" i="73"/>
  <c r="AF8" i="73" s="1"/>
  <c r="AI43" i="73"/>
  <c r="AI45" i="73" s="1"/>
  <c r="AI41" i="73"/>
  <c r="AH57" i="73"/>
  <c r="AQ33" i="75"/>
  <c r="AQ57" i="75" s="1"/>
  <c r="AA16" i="75"/>
  <c r="AB16" i="75" s="1"/>
  <c r="AB9" i="74"/>
  <c r="Y53" i="74"/>
  <c r="AA53" i="74" s="1"/>
  <c r="Y43" i="74"/>
  <c r="AA18" i="75"/>
  <c r="AB18" i="75" s="1"/>
  <c r="AB22" i="74"/>
  <c r="AB30" i="74" s="1"/>
  <c r="AB35" i="74" s="1"/>
  <c r="AA30" i="74"/>
  <c r="AA35" i="74" s="1"/>
  <c r="AS13" i="74"/>
  <c r="AR20" i="75"/>
  <c r="AS25" i="74"/>
  <c r="AH43" i="73"/>
  <c r="AH45" i="73" s="1"/>
  <c r="AM85" i="73"/>
  <c r="AM87" i="73" s="1"/>
  <c r="AM134" i="73" s="1"/>
  <c r="AN83" i="73"/>
  <c r="AC37" i="74"/>
  <c r="AB37" i="74"/>
  <c r="AS21" i="75"/>
  <c r="AT23" i="74"/>
  <c r="Z53" i="74"/>
  <c r="AH74" i="73"/>
  <c r="AG74" i="73"/>
  <c r="AL139" i="73" s="1"/>
  <c r="AF90" i="73"/>
  <c r="AL90" i="73" s="1"/>
  <c r="AV119" i="73"/>
  <c r="AF79" i="73"/>
  <c r="AF95" i="73"/>
  <c r="AG95" i="73" s="1"/>
  <c r="AG96" i="73" s="1"/>
  <c r="AF92" i="73"/>
  <c r="AS153" i="73"/>
  <c r="AR155" i="73"/>
  <c r="AN30" i="73"/>
  <c r="AR33" i="75"/>
  <c r="AE100" i="73"/>
  <c r="AE13" i="73" s="1"/>
  <c r="AE93" i="73"/>
  <c r="AE9" i="73" s="1"/>
  <c r="AE97" i="73"/>
  <c r="AL87" i="73"/>
  <c r="AT136" i="73"/>
  <c r="AS125" i="73"/>
  <c r="AN14" i="73"/>
  <c r="AN14" i="70" s="1"/>
  <c r="AO102" i="73"/>
  <c r="AO102" i="70" s="1"/>
  <c r="AA66" i="73"/>
  <c r="AB7" i="75"/>
  <c r="AA99" i="73"/>
  <c r="AA127" i="73"/>
  <c r="AP8" i="75"/>
  <c r="AQ8" i="75" s="1"/>
  <c r="AQ16" i="74"/>
  <c r="AB14" i="74"/>
  <c r="AC7" i="75" s="1"/>
  <c r="AC14" i="74" s="1"/>
  <c r="AD8" i="73"/>
  <c r="AG5" i="73"/>
  <c r="AG8" i="73" s="1"/>
  <c r="AO118" i="73"/>
  <c r="AP117" i="73"/>
  <c r="AM6" i="73"/>
  <c r="AG6" i="65"/>
  <c r="AF134" i="65"/>
  <c r="AH6" i="65"/>
  <c r="AE95" i="65"/>
  <c r="AE79" i="65"/>
  <c r="AE92" i="65"/>
  <c r="AC60" i="65"/>
  <c r="AC64" i="65"/>
  <c r="AD46" i="65"/>
  <c r="AD62" i="65"/>
  <c r="AD59" i="65"/>
  <c r="AS180" i="65"/>
  <c r="AS182" i="65"/>
  <c r="AS183" i="65"/>
  <c r="AS68" i="65"/>
  <c r="AS65" i="65"/>
  <c r="AS61" i="65"/>
  <c r="AI87" i="65"/>
  <c r="AB97" i="65"/>
  <c r="AB93" i="65"/>
  <c r="AC100" i="65"/>
  <c r="AC93" i="65"/>
  <c r="AC97" i="65"/>
  <c r="AC10" i="65"/>
  <c r="AC8" i="65"/>
  <c r="AC133" i="65"/>
  <c r="Z15" i="67"/>
  <c r="AD5" i="65"/>
  <c r="AD133" i="65" s="1"/>
  <c r="AD79" i="65"/>
  <c r="AD95" i="65"/>
  <c r="AD92" i="65"/>
  <c r="AB96" i="65"/>
  <c r="Z9" i="66"/>
  <c r="Z22" i="66"/>
  <c r="AB82" i="65"/>
  <c r="AB100" i="65"/>
  <c r="AJ54" i="65"/>
  <c r="AB67" i="65"/>
  <c r="AA13" i="65"/>
  <c r="AB64" i="65"/>
  <c r="AA11" i="65"/>
  <c r="AB60" i="65"/>
  <c r="AA9" i="65"/>
  <c r="AB63" i="65"/>
  <c r="AE45" i="65"/>
  <c r="AB8" i="65"/>
  <c r="AA140" i="65"/>
  <c r="AA8" i="66"/>
  <c r="AB10" i="65"/>
  <c r="AI48" i="66"/>
  <c r="AN47" i="66"/>
  <c r="AE143" i="65"/>
  <c r="AF143" i="65" s="1"/>
  <c r="AC53" i="67"/>
  <c r="AA12" i="67"/>
  <c r="AA25" i="67"/>
  <c r="AT40" i="66"/>
  <c r="AT39" i="66"/>
  <c r="AT32" i="66"/>
  <c r="AT31" i="66"/>
  <c r="AT34" i="66"/>
  <c r="AT33" i="66"/>
  <c r="AQ19" i="67"/>
  <c r="AT24" i="66"/>
  <c r="AT26" i="66"/>
  <c r="AT19" i="66"/>
  <c r="AT18" i="66"/>
  <c r="AT15" i="66"/>
  <c r="AP102" i="65"/>
  <c r="AO118" i="65"/>
  <c r="AP117" i="65"/>
  <c r="AQ117" i="65" s="1"/>
  <c r="AN18" i="65"/>
  <c r="AN120" i="65"/>
  <c r="AN172" i="65"/>
  <c r="AN172" i="70" s="1"/>
  <c r="AM121" i="65"/>
  <c r="AO170" i="65"/>
  <c r="AL28" i="65"/>
  <c r="AL28" i="70" s="1"/>
  <c r="AA144" i="65"/>
  <c r="AQ22" i="65"/>
  <c r="AR128" i="65"/>
  <c r="AR126" i="65"/>
  <c r="AQ129" i="65"/>
  <c r="AQ129" i="70" s="1"/>
  <c r="AR129" i="65"/>
  <c r="AR129" i="70" s="1"/>
  <c r="AN10" i="67"/>
  <c r="AL155" i="65"/>
  <c r="AK31" i="65"/>
  <c r="AN57" i="67"/>
  <c r="AL58" i="67"/>
  <c r="AR26" i="65"/>
  <c r="Y35" i="66"/>
  <c r="Z37" i="66"/>
  <c r="X43" i="71"/>
  <c r="W43" i="71"/>
  <c r="U43" i="71"/>
  <c r="V43" i="71"/>
  <c r="AL50" i="65"/>
  <c r="AK52" i="65"/>
  <c r="AM50" i="65"/>
  <c r="AH41" i="65"/>
  <c r="AG41" i="65"/>
  <c r="AF57" i="65"/>
  <c r="AR13" i="66"/>
  <c r="AQ13" i="66"/>
  <c r="AF43" i="65"/>
  <c r="AP17" i="67"/>
  <c r="AR10" i="66"/>
  <c r="AQ10" i="66"/>
  <c r="AE93" i="65"/>
  <c r="AE97" i="65"/>
  <c r="AE100" i="65"/>
  <c r="AH74" i="65"/>
  <c r="AG74" i="65"/>
  <c r="AF90" i="65"/>
  <c r="AP8" i="67"/>
  <c r="AQ16" i="66"/>
  <c r="AR69" i="65"/>
  <c r="AR69" i="70" s="1"/>
  <c r="AQ69" i="65"/>
  <c r="AQ69" i="70" s="1"/>
  <c r="V53" i="66"/>
  <c r="V43" i="66"/>
  <c r="AP21" i="67"/>
  <c r="AR23" i="66"/>
  <c r="AQ23" i="66"/>
  <c r="AF76" i="65"/>
  <c r="W46" i="67"/>
  <c r="W48" i="67" s="1"/>
  <c r="W11" i="66"/>
  <c r="W20" i="66" s="1"/>
  <c r="W43" i="66" s="1"/>
  <c r="AR19" i="67"/>
  <c r="AS27" i="66"/>
  <c r="AR16" i="66"/>
  <c r="AM153" i="65"/>
  <c r="AO9" i="67"/>
  <c r="AP29" i="67"/>
  <c r="AP47" i="67"/>
  <c r="AP63" i="66"/>
  <c r="AQ28" i="66"/>
  <c r="AR28" i="66"/>
  <c r="AR22" i="65"/>
  <c r="X53" i="66"/>
  <c r="X43" i="66"/>
  <c r="AH134" i="65"/>
  <c r="AS35" i="65"/>
  <c r="Y142" i="65"/>
  <c r="AR119" i="65"/>
  <c r="AP16" i="65"/>
  <c r="AQ119" i="65"/>
  <c r="AK30" i="65"/>
  <c r="AO33" i="67"/>
  <c r="AJ85" i="65"/>
  <c r="AK83" i="65"/>
  <c r="Z37" i="67"/>
  <c r="AP20" i="67"/>
  <c r="AR25" i="66"/>
  <c r="AQ25" i="66"/>
  <c r="AR165" i="65"/>
  <c r="AP168" i="65"/>
  <c r="AS125" i="65"/>
  <c r="U53" i="66"/>
  <c r="U43" i="66"/>
  <c r="S20" i="57"/>
  <c r="S20" i="62" s="1"/>
  <c r="S11" i="62"/>
  <c r="S48" i="58"/>
  <c r="S48" i="63" s="1"/>
  <c r="S46" i="63"/>
  <c r="P48" i="58"/>
  <c r="P48" i="63" s="1"/>
  <c r="P46" i="63"/>
  <c r="Q20" i="57"/>
  <c r="Q20" i="62" s="1"/>
  <c r="Q11" i="62"/>
  <c r="M43" i="57"/>
  <c r="M43" i="62" s="1"/>
  <c r="M20" i="62"/>
  <c r="Q48" i="58"/>
  <c r="Q48" i="63" s="1"/>
  <c r="Q46" i="63"/>
  <c r="P20" i="57"/>
  <c r="P20" i="62" s="1"/>
  <c r="P11" i="62"/>
  <c r="AN28" i="62"/>
  <c r="AN29" i="58"/>
  <c r="AN29" i="63" s="1"/>
  <c r="AN47" i="58"/>
  <c r="AN47" i="63" s="1"/>
  <c r="AN63" i="57"/>
  <c r="AN63" i="62" s="1"/>
  <c r="AO28" i="57"/>
  <c r="AO22" i="56"/>
  <c r="AO22" i="61" s="1"/>
  <c r="AB10" i="56"/>
  <c r="AB10" i="61" s="1"/>
  <c r="AB95" i="56"/>
  <c r="AB96" i="56" s="1"/>
  <c r="AB96" i="61" s="1"/>
  <c r="AA95" i="61"/>
  <c r="Z8" i="57"/>
  <c r="Z15" i="58" s="1"/>
  <c r="Z15" i="63" s="1"/>
  <c r="Z25" i="58"/>
  <c r="Z25" i="63" s="1"/>
  <c r="Z12" i="58"/>
  <c r="Z140" i="56"/>
  <c r="Z140" i="61" s="1"/>
  <c r="AA100" i="56"/>
  <c r="AA100" i="61" s="1"/>
  <c r="AA93" i="56"/>
  <c r="AA93" i="61" s="1"/>
  <c r="Z11" i="56"/>
  <c r="Z11" i="61" s="1"/>
  <c r="AA97" i="56"/>
  <c r="AA11" i="56" s="1"/>
  <c r="AA11" i="61" s="1"/>
  <c r="AB92" i="56"/>
  <c r="AB92" i="61" s="1"/>
  <c r="AB5" i="61"/>
  <c r="AA8" i="56"/>
  <c r="AA8" i="61" s="1"/>
  <c r="AA133" i="56"/>
  <c r="AA5" i="61"/>
  <c r="AG87" i="56"/>
  <c r="AG87" i="61" s="1"/>
  <c r="AF6" i="56"/>
  <c r="AG6" i="56" s="1"/>
  <c r="AG6" i="61" s="1"/>
  <c r="AC92" i="61"/>
  <c r="AC100" i="56"/>
  <c r="AC100" i="61" s="1"/>
  <c r="AB79" i="56"/>
  <c r="AB79" i="61" s="1"/>
  <c r="AB78" i="61"/>
  <c r="AC93" i="56"/>
  <c r="AC93" i="61" s="1"/>
  <c r="AC97" i="56"/>
  <c r="AC97" i="61" s="1"/>
  <c r="AD78" i="56"/>
  <c r="AD95" i="56" s="1"/>
  <c r="AD95" i="61" s="1"/>
  <c r="AC78" i="61"/>
  <c r="AC79" i="56"/>
  <c r="AC79" i="61" s="1"/>
  <c r="AC5" i="56"/>
  <c r="AC95" i="56"/>
  <c r="Z9" i="56"/>
  <c r="Z9" i="61" s="1"/>
  <c r="AD67" i="56"/>
  <c r="AD67" i="61" s="1"/>
  <c r="AD64" i="56"/>
  <c r="AD64" i="61" s="1"/>
  <c r="AF43" i="61"/>
  <c r="AH43" i="56"/>
  <c r="AH45" i="56" s="1"/>
  <c r="AH45" i="61" s="1"/>
  <c r="AR98" i="61"/>
  <c r="AR182" i="56"/>
  <c r="AR94" i="61"/>
  <c r="AR180" i="56"/>
  <c r="AR101" i="61"/>
  <c r="AR183" i="56"/>
  <c r="AH87" i="56"/>
  <c r="AH87" i="61" s="1"/>
  <c r="AH85" i="61"/>
  <c r="AE134" i="56"/>
  <c r="Y15" i="58"/>
  <c r="Y15" i="63" s="1"/>
  <c r="Y8" i="62"/>
  <c r="Y12" i="63"/>
  <c r="Y35" i="58"/>
  <c r="Z35" i="58" s="1"/>
  <c r="Z35" i="63" s="1"/>
  <c r="AE76" i="56"/>
  <c r="AE74" i="61"/>
  <c r="Y9" i="61"/>
  <c r="Y22" i="57"/>
  <c r="Y9" i="57"/>
  <c r="AI54" i="56"/>
  <c r="AI54" i="61" s="1"/>
  <c r="AI52" i="61"/>
  <c r="AR48" i="57"/>
  <c r="AR48" i="62" s="1"/>
  <c r="AR47" i="62"/>
  <c r="X143" i="56"/>
  <c r="X25" i="56"/>
  <c r="X27" i="56" s="1"/>
  <c r="AD53" i="58"/>
  <c r="AC53" i="63"/>
  <c r="AR54" i="57"/>
  <c r="AP54" i="62"/>
  <c r="AS40" i="57"/>
  <c r="AR40" i="62"/>
  <c r="AS32" i="57"/>
  <c r="AR32" i="62"/>
  <c r="AS31" i="57"/>
  <c r="AR31" i="62"/>
  <c r="AS34" i="57"/>
  <c r="AR34" i="62"/>
  <c r="AP33" i="57"/>
  <c r="AO33" i="62"/>
  <c r="AL20" i="58"/>
  <c r="AL20" i="63" s="1"/>
  <c r="AK20" i="63"/>
  <c r="AS26" i="57"/>
  <c r="AR26" i="62"/>
  <c r="AN8" i="58"/>
  <c r="AN8" i="63" s="1"/>
  <c r="AN16" i="62"/>
  <c r="AS24" i="57"/>
  <c r="AR24" i="62"/>
  <c r="AP15" i="62"/>
  <c r="AR15" i="57"/>
  <c r="AQ15" i="57"/>
  <c r="AQ15" i="62" s="1"/>
  <c r="AS18" i="57"/>
  <c r="AR18" i="62"/>
  <c r="AP19" i="62"/>
  <c r="AR19" i="57"/>
  <c r="AQ19" i="57"/>
  <c r="AQ19" i="62" s="1"/>
  <c r="AT173" i="56"/>
  <c r="AS173" i="61"/>
  <c r="AM28" i="56"/>
  <c r="AM28" i="61" s="1"/>
  <c r="AM172" i="61"/>
  <c r="AO170" i="56"/>
  <c r="AO168" i="61"/>
  <c r="AQ118" i="56"/>
  <c r="AQ118" i="61" s="1"/>
  <c r="AQ117" i="61"/>
  <c r="AR165" i="56"/>
  <c r="AP165" i="61"/>
  <c r="AP168" i="56"/>
  <c r="X142" i="56"/>
  <c r="X142" i="61" s="1"/>
  <c r="AN170" i="61"/>
  <c r="AN172" i="56"/>
  <c r="AN18" i="56"/>
  <c r="AN18" i="61" s="1"/>
  <c r="AL28" i="56"/>
  <c r="AL28" i="61" s="1"/>
  <c r="AK28" i="61"/>
  <c r="AM102" i="61"/>
  <c r="AN102" i="56"/>
  <c r="AN14" i="56" s="1"/>
  <c r="AN14" i="61" s="1"/>
  <c r="AL14" i="56"/>
  <c r="AL14" i="61" s="1"/>
  <c r="AS145" i="56"/>
  <c r="AR145" i="61"/>
  <c r="AO129" i="61"/>
  <c r="AP129" i="56"/>
  <c r="AJ10" i="63"/>
  <c r="AM136" i="56"/>
  <c r="AK10" i="58"/>
  <c r="AK10" i="63" s="1"/>
  <c r="AK9" i="63"/>
  <c r="AM121" i="56"/>
  <c r="AM121" i="61" s="1"/>
  <c r="AM120" i="61"/>
  <c r="AF45" i="61"/>
  <c r="AF59" i="56"/>
  <c r="AL57" i="56"/>
  <c r="AL57" i="61" s="1"/>
  <c r="AF57" i="61"/>
  <c r="AF62" i="56"/>
  <c r="AF62" i="61" s="1"/>
  <c r="AF46" i="56"/>
  <c r="AF46" i="61" s="1"/>
  <c r="Z13" i="61"/>
  <c r="Z12" i="63"/>
  <c r="AE59" i="56"/>
  <c r="AE45" i="61"/>
  <c r="AE46" i="56"/>
  <c r="AE46" i="61" s="1"/>
  <c r="AE62" i="56"/>
  <c r="AE62" i="61" s="1"/>
  <c r="AG45" i="56"/>
  <c r="AG155" i="56"/>
  <c r="AG155" i="61" s="1"/>
  <c r="AE30" i="61"/>
  <c r="AF30" i="56"/>
  <c r="AJ33" i="58"/>
  <c r="AF31" i="56"/>
  <c r="AF31" i="61" s="1"/>
  <c r="AE31" i="61"/>
  <c r="AM26" i="61"/>
  <c r="AN26" i="56"/>
  <c r="AB140" i="56"/>
  <c r="AB140" i="61" s="1"/>
  <c r="AO21" i="58"/>
  <c r="AO21" i="63" s="1"/>
  <c r="AP23" i="57"/>
  <c r="AP23" i="62" s="1"/>
  <c r="AT163" i="56"/>
  <c r="AS117" i="56"/>
  <c r="AM9" i="58"/>
  <c r="AM9" i="63" s="1"/>
  <c r="AP17" i="58"/>
  <c r="AQ10" i="57"/>
  <c r="AQ10" i="62" s="1"/>
  <c r="AR10" i="57"/>
  <c r="AR10" i="62" s="1"/>
  <c r="AO119" i="56"/>
  <c r="AO119" i="61" s="1"/>
  <c r="AN16" i="56"/>
  <c r="AN120" i="56"/>
  <c r="AI41" i="56"/>
  <c r="AI41" i="61" s="1"/>
  <c r="AH57" i="56"/>
  <c r="AH57" i="61" s="1"/>
  <c r="AF74" i="56"/>
  <c r="AF74" i="61" s="1"/>
  <c r="AE90" i="56"/>
  <c r="AE90" i="61" s="1"/>
  <c r="AO19" i="58"/>
  <c r="AO19" i="63" s="1"/>
  <c r="AP27" i="57"/>
  <c r="AP27" i="62" s="1"/>
  <c r="AO16" i="57"/>
  <c r="R46" i="58"/>
  <c r="R11" i="57"/>
  <c r="AJ153" i="56"/>
  <c r="AJ153" i="61" s="1"/>
  <c r="AI155" i="56"/>
  <c r="AO35" i="56"/>
  <c r="AO35" i="61" s="1"/>
  <c r="Q53" i="57"/>
  <c r="Q53" i="62" s="1"/>
  <c r="Q43" i="57"/>
  <c r="Q43" i="62" s="1"/>
  <c r="AJ52" i="56"/>
  <c r="AK50" i="56"/>
  <c r="AK50" i="61" s="1"/>
  <c r="AR118" i="56"/>
  <c r="AR118" i="61" s="1"/>
  <c r="AM20" i="58"/>
  <c r="AM20" i="63" s="1"/>
  <c r="AN25" i="57"/>
  <c r="AN25" i="62" s="1"/>
  <c r="AO69" i="56"/>
  <c r="AO69" i="61" s="1"/>
  <c r="T46" i="58"/>
  <c r="T11" i="57"/>
  <c r="T144" i="56"/>
  <c r="T144" i="61" s="1"/>
  <c r="V40" i="58"/>
  <c r="V41" i="58" s="1"/>
  <c r="V6" i="57" s="1"/>
  <c r="U6" i="57"/>
  <c r="AS55" i="57"/>
  <c r="AS55" i="62" s="1"/>
  <c r="AJ83" i="56"/>
  <c r="AJ83" i="61" s="1"/>
  <c r="AI85" i="56"/>
  <c r="AO13" i="57"/>
  <c r="AO13" i="62" s="1"/>
  <c r="Z7" i="50"/>
  <c r="Z14" i="49"/>
  <c r="AO119" i="48"/>
  <c r="AN16" i="48"/>
  <c r="AN9" i="50" s="1"/>
  <c r="AN10" i="50" s="1"/>
  <c r="AN120" i="48"/>
  <c r="AN121" i="48" s="1"/>
  <c r="AR118" i="48"/>
  <c r="AO165" i="48"/>
  <c r="AN168" i="48"/>
  <c r="AN170" i="48" s="1"/>
  <c r="AG6" i="48"/>
  <c r="U40" i="50"/>
  <c r="U41" i="50" s="1"/>
  <c r="T6" i="49"/>
  <c r="Z22" i="49"/>
  <c r="Z9" i="49"/>
  <c r="Z16" i="50" s="1"/>
  <c r="AB94" i="48"/>
  <c r="AT163" i="48"/>
  <c r="AS117" i="48"/>
  <c r="AS118" i="48" s="1"/>
  <c r="AS129" i="48"/>
  <c r="AE134" i="48"/>
  <c r="Y18" i="50"/>
  <c r="Y30" i="49"/>
  <c r="Y35" i="49" s="1"/>
  <c r="S46" i="50"/>
  <c r="S48" i="50" s="1"/>
  <c r="S11" i="49"/>
  <c r="S20" i="49" s="1"/>
  <c r="S144" i="48"/>
  <c r="O53" i="49"/>
  <c r="O43" i="49"/>
  <c r="AA15" i="50"/>
  <c r="AB15" i="50" s="1"/>
  <c r="AB8" i="49"/>
  <c r="AO13" i="49"/>
  <c r="AM17" i="50"/>
  <c r="AN10" i="49"/>
  <c r="P46" i="50"/>
  <c r="P48" i="50" s="1"/>
  <c r="P11" i="49"/>
  <c r="P20" i="49" s="1"/>
  <c r="P144" i="48"/>
  <c r="AM21" i="50"/>
  <c r="AN23" i="49"/>
  <c r="AB61" i="48"/>
  <c r="AE74" i="48"/>
  <c r="AD90" i="48"/>
  <c r="AD76" i="48"/>
  <c r="AD78" i="48" s="1"/>
  <c r="Q46" i="50"/>
  <c r="Q48" i="50" s="1"/>
  <c r="Q11" i="49"/>
  <c r="Q20" i="49" s="1"/>
  <c r="R6" i="49"/>
  <c r="Q144" i="48"/>
  <c r="AF134" i="48"/>
  <c r="AF6" i="48"/>
  <c r="X142" i="48"/>
  <c r="Z35" i="50"/>
  <c r="Y37" i="50"/>
  <c r="AN102" i="48"/>
  <c r="AM14" i="48"/>
  <c r="AP69" i="48"/>
  <c r="AI85" i="48"/>
  <c r="AI87" i="48" s="1"/>
  <c r="AJ83" i="48"/>
  <c r="Y37" i="49"/>
  <c r="AH155" i="48"/>
  <c r="AI153" i="48"/>
  <c r="AE43" i="48"/>
  <c r="AE45" i="48" s="1"/>
  <c r="AE41" i="48"/>
  <c r="AD57" i="48"/>
  <c r="AM172" i="48"/>
  <c r="AM28" i="48" s="1"/>
  <c r="AM18" i="48"/>
  <c r="AC79" i="48"/>
  <c r="AC95" i="48"/>
  <c r="AC92" i="48"/>
  <c r="Y66" i="48"/>
  <c r="Y99" i="48"/>
  <c r="Y127" i="48"/>
  <c r="AI20" i="50"/>
  <c r="AJ25" i="49"/>
  <c r="AH52" i="48"/>
  <c r="AH54" i="48" s="1"/>
  <c r="AI50" i="48"/>
  <c r="AJ57" i="50"/>
  <c r="AJ58" i="50" s="1"/>
  <c r="AA9" i="48"/>
  <c r="AB9" i="48" s="1"/>
  <c r="AN56" i="49"/>
  <c r="AC64" i="48"/>
  <c r="AC60" i="48"/>
  <c r="AC67" i="48"/>
  <c r="AD43" i="48"/>
  <c r="AD45" i="48" s="1"/>
  <c r="AC8" i="48"/>
  <c r="AB140" i="48"/>
  <c r="AH30" i="48"/>
  <c r="AK33" i="50"/>
  <c r="AK57" i="50" s="1"/>
  <c r="AK8" i="50"/>
  <c r="AL8" i="50" s="1"/>
  <c r="AL16" i="49"/>
  <c r="AA13" i="48"/>
  <c r="AB13" i="48" s="1"/>
  <c r="AK29" i="50"/>
  <c r="AL29" i="50" s="1"/>
  <c r="AK63" i="49"/>
  <c r="AK47" i="50"/>
  <c r="AM28" i="49"/>
  <c r="AL28" i="49"/>
  <c r="AM22" i="48"/>
  <c r="AN35" i="48"/>
  <c r="AM9" i="50"/>
  <c r="AM19" i="50"/>
  <c r="AN27" i="49"/>
  <c r="AM16" i="49"/>
  <c r="AM8" i="50" s="1"/>
  <c r="AA11" i="48"/>
  <c r="AB11" i="48" s="1"/>
  <c r="AA14" i="44"/>
  <c r="AC121" i="44"/>
  <c r="AC18" i="44"/>
  <c r="AC28" i="44"/>
  <c r="AR56" i="46"/>
  <c r="AD173" i="44"/>
  <c r="AD170" i="44"/>
  <c r="AD168" i="44"/>
  <c r="AA172" i="44"/>
  <c r="AA18" i="44"/>
  <c r="AB18" i="44"/>
  <c r="AD102" i="44"/>
  <c r="AD117" i="44"/>
  <c r="AD30" i="44"/>
  <c r="AC30" i="44"/>
  <c r="AD145" i="44"/>
  <c r="AC129" i="44"/>
  <c r="AD14" i="44"/>
  <c r="AE119" i="44"/>
  <c r="AD16" i="44"/>
  <c r="AB121" i="44"/>
  <c r="AB120" i="44"/>
  <c r="AL116" i="44"/>
  <c r="AL115" i="44"/>
  <c r="AU86" i="44"/>
  <c r="AP86" i="44"/>
  <c r="AQ7" i="44"/>
  <c r="AP7" i="44"/>
  <c r="AP135" i="44" s="1"/>
  <c r="Z87" i="44"/>
  <c r="Z85" i="44"/>
  <c r="V76" i="44"/>
  <c r="AB90" i="44"/>
  <c r="V90" i="44"/>
  <c r="X78" i="44"/>
  <c r="X76" i="44"/>
  <c r="X54" i="44"/>
  <c r="X52" i="44"/>
  <c r="W54" i="44"/>
  <c r="AF54" i="45"/>
  <c r="AE54" i="45"/>
  <c r="AU52" i="45"/>
  <c r="AU51" i="45"/>
  <c r="AF55" i="45"/>
  <c r="AC40" i="45"/>
  <c r="AD39" i="45"/>
  <c r="AE34" i="45"/>
  <c r="AB8" i="46"/>
  <c r="AE33" i="45"/>
  <c r="AD32" i="45"/>
  <c r="AD31" i="45"/>
  <c r="AC8" i="46"/>
  <c r="AC16" i="45"/>
  <c r="AC26" i="45"/>
  <c r="AC21" i="46"/>
  <c r="AE24" i="45"/>
  <c r="AD19" i="45"/>
  <c r="AD18" i="45"/>
  <c r="AC15" i="45"/>
  <c r="AB17" i="46"/>
  <c r="AA17" i="46"/>
  <c r="AC53" i="46"/>
  <c r="W127" i="44"/>
  <c r="V131" i="44"/>
  <c r="V130" i="44"/>
  <c r="AD26" i="44"/>
  <c r="Z58" i="46"/>
  <c r="Z57" i="46"/>
  <c r="AB33" i="46"/>
  <c r="AA33" i="46"/>
  <c r="AP186" i="44"/>
  <c r="AR181" i="44"/>
  <c r="AR186" i="44"/>
  <c r="AS185" i="44"/>
  <c r="AO183" i="44"/>
  <c r="AM183" i="44"/>
  <c r="AK183" i="44"/>
  <c r="AN182" i="44"/>
  <c r="AO180" i="44"/>
  <c r="AT181" i="44"/>
  <c r="AO182" i="44"/>
  <c r="AK178" i="44"/>
  <c r="AS186" i="44"/>
  <c r="AT187" i="44"/>
  <c r="AU187" i="44"/>
  <c r="AR187" i="44"/>
  <c r="AK182" i="44"/>
  <c r="AN180" i="44"/>
  <c r="AN183" i="44"/>
  <c r="AM182" i="44"/>
  <c r="AT185" i="44"/>
  <c r="AS187" i="44"/>
  <c r="AK180" i="44"/>
  <c r="AM180" i="44"/>
  <c r="AR135" i="44"/>
  <c r="AS181" i="44"/>
  <c r="AP181" i="44"/>
  <c r="AR185" i="44"/>
  <c r="AC136" i="44"/>
  <c r="AP185" i="44"/>
  <c r="V41" i="44"/>
  <c r="AD19" i="46"/>
  <c r="AE27" i="45"/>
  <c r="AA56" i="45"/>
  <c r="AQ109" i="44"/>
  <c r="AC10" i="46"/>
  <c r="AD21" i="46"/>
  <c r="AE23" i="45"/>
  <c r="AF165" i="44"/>
  <c r="AT61" i="44"/>
  <c r="AH54" i="45"/>
  <c r="AV124" i="44"/>
  <c r="Y74" i="44"/>
  <c r="X90" i="44"/>
  <c r="AP98" i="44"/>
  <c r="AS61" i="44"/>
  <c r="Z50" i="44"/>
  <c r="AI163" i="44"/>
  <c r="AC17" i="46"/>
  <c r="AD10" i="45"/>
  <c r="AU96" i="44"/>
  <c r="AQ111" i="44"/>
  <c r="AP94" i="44"/>
  <c r="AU110" i="44"/>
  <c r="AV110" i="44"/>
  <c r="AE69" i="44"/>
  <c r="AU115" i="44"/>
  <c r="AU63" i="44"/>
  <c r="AF119" i="44"/>
  <c r="AE16" i="44"/>
  <c r="AV108" i="44"/>
  <c r="AV88" i="44"/>
  <c r="AB83" i="44"/>
  <c r="AC83" i="44"/>
  <c r="AF28" i="45"/>
  <c r="AQ113" i="44"/>
  <c r="AK44" i="44"/>
  <c r="AP61" i="44"/>
  <c r="AH33" i="46"/>
  <c r="AD35" i="44"/>
  <c r="AD13" i="45"/>
  <c r="X95" i="44"/>
  <c r="AI54" i="45"/>
  <c r="AF57" i="46"/>
  <c r="AK34" i="39"/>
  <c r="V22" i="36"/>
  <c r="AI56" i="39"/>
  <c r="AJ56" i="39" s="1"/>
  <c r="AK56" i="39" s="1"/>
  <c r="D54" i="39"/>
  <c r="T47" i="39"/>
  <c r="Q47" i="39"/>
  <c r="P47" i="39"/>
  <c r="O47" i="39"/>
  <c r="G47" i="39"/>
  <c r="F47" i="39"/>
  <c r="D47" i="39"/>
  <c r="H40" i="39"/>
  <c r="AV38" i="39"/>
  <c r="AQ38" i="39"/>
  <c r="AL38" i="39"/>
  <c r="AG38" i="39"/>
  <c r="AB38" i="39"/>
  <c r="U38" i="39"/>
  <c r="W38" i="39" s="1"/>
  <c r="T38" i="39"/>
  <c r="O38" i="39"/>
  <c r="J38" i="39"/>
  <c r="E38" i="39"/>
  <c r="F38" i="39" s="1"/>
  <c r="G38" i="39" s="1"/>
  <c r="D38" i="39"/>
  <c r="H38" i="39" s="1"/>
  <c r="S37" i="39"/>
  <c r="D37" i="39"/>
  <c r="AV36" i="39"/>
  <c r="AQ36" i="39"/>
  <c r="AL36" i="39"/>
  <c r="AG36" i="39"/>
  <c r="AB36" i="39"/>
  <c r="T36" i="39"/>
  <c r="P36" i="39"/>
  <c r="O36" i="39"/>
  <c r="J36" i="39"/>
  <c r="E36" i="39"/>
  <c r="T35" i="39"/>
  <c r="O35" i="39"/>
  <c r="J35" i="39"/>
  <c r="E35" i="39"/>
  <c r="AQ34" i="39"/>
  <c r="U34" i="39"/>
  <c r="T34" i="39"/>
  <c r="O34" i="39"/>
  <c r="O37" i="39" s="1"/>
  <c r="K34" i="39"/>
  <c r="L34" i="39" s="1"/>
  <c r="J34" i="39"/>
  <c r="M34" i="39" s="1"/>
  <c r="G34" i="39"/>
  <c r="E34" i="39"/>
  <c r="F34" i="39" s="1"/>
  <c r="T33" i="39"/>
  <c r="O33" i="39"/>
  <c r="P33" i="39" s="1"/>
  <c r="Q33" i="39" s="1"/>
  <c r="J33" i="39"/>
  <c r="E33" i="39"/>
  <c r="AV32" i="39"/>
  <c r="AQ32" i="39"/>
  <c r="AL32" i="39"/>
  <c r="AG32" i="39"/>
  <c r="AB32" i="39"/>
  <c r="T32" i="39"/>
  <c r="O32" i="39"/>
  <c r="J32" i="39"/>
  <c r="E32" i="39"/>
  <c r="AV31" i="39"/>
  <c r="AQ31" i="39"/>
  <c r="AL31" i="39"/>
  <c r="AG31" i="39"/>
  <c r="AB31" i="39"/>
  <c r="T31" i="39"/>
  <c r="O31" i="39"/>
  <c r="I31" i="39"/>
  <c r="G31" i="39"/>
  <c r="H31" i="39" s="1"/>
  <c r="AV30" i="39"/>
  <c r="AQ30" i="39"/>
  <c r="AL30" i="39"/>
  <c r="AG30" i="39"/>
  <c r="AB30" i="39"/>
  <c r="U30" i="39"/>
  <c r="W30" i="39" s="1"/>
  <c r="O30" i="39"/>
  <c r="P30" i="39" s="1"/>
  <c r="N30" i="39"/>
  <c r="L30" i="39"/>
  <c r="M30" i="39" s="1"/>
  <c r="J30" i="39"/>
  <c r="G30" i="39"/>
  <c r="F30" i="39"/>
  <c r="H30" i="39" s="1"/>
  <c r="U29" i="39"/>
  <c r="T29" i="39"/>
  <c r="T37" i="39" s="1"/>
  <c r="Q29" i="39"/>
  <c r="P29" i="39"/>
  <c r="O29" i="39"/>
  <c r="R29" i="39" s="1"/>
  <c r="J29" i="39"/>
  <c r="E29" i="39"/>
  <c r="E37" i="39" s="1"/>
  <c r="N27" i="39"/>
  <c r="U26" i="39"/>
  <c r="T26" i="39"/>
  <c r="O26" i="39"/>
  <c r="P26" i="39" s="1"/>
  <c r="J26" i="39"/>
  <c r="E26" i="39"/>
  <c r="F26" i="39" s="1"/>
  <c r="G26" i="39" s="1"/>
  <c r="T25" i="39"/>
  <c r="O25" i="39"/>
  <c r="K25" i="39"/>
  <c r="L25" i="39" s="1"/>
  <c r="J25" i="39"/>
  <c r="E25" i="39"/>
  <c r="S24" i="39"/>
  <c r="T24" i="39" s="1"/>
  <c r="N24" i="39"/>
  <c r="I24" i="39"/>
  <c r="J24" i="39" s="1"/>
  <c r="D24" i="39"/>
  <c r="E24" i="39" s="1"/>
  <c r="S21" i="39"/>
  <c r="T21" i="39" s="1"/>
  <c r="U21" i="39" s="1"/>
  <c r="N21" i="39"/>
  <c r="O21" i="39" s="1"/>
  <c r="J21" i="39"/>
  <c r="K21" i="39" s="1"/>
  <c r="L21" i="39" s="1"/>
  <c r="I21" i="39"/>
  <c r="M21" i="39" s="1"/>
  <c r="G21" i="39"/>
  <c r="H21" i="39" s="1"/>
  <c r="F21" i="39"/>
  <c r="E21" i="39"/>
  <c r="T20" i="39"/>
  <c r="O20" i="39"/>
  <c r="P20" i="39" s="1"/>
  <c r="K20" i="39"/>
  <c r="J20" i="39"/>
  <c r="F20" i="39"/>
  <c r="U19" i="39"/>
  <c r="T19" i="39"/>
  <c r="O19" i="39"/>
  <c r="J19" i="39"/>
  <c r="E19" i="39"/>
  <c r="F19" i="39" s="1"/>
  <c r="G19" i="39" s="1"/>
  <c r="T18" i="39"/>
  <c r="U18" i="39" s="1"/>
  <c r="O18" i="39"/>
  <c r="J18" i="39"/>
  <c r="F18" i="39"/>
  <c r="G18" i="39" s="1"/>
  <c r="E18" i="39"/>
  <c r="H18" i="39" s="1"/>
  <c r="S17" i="39"/>
  <c r="P17" i="39"/>
  <c r="Q17" i="39" s="1"/>
  <c r="O17" i="39"/>
  <c r="J17" i="39"/>
  <c r="K17" i="39" s="1"/>
  <c r="E17" i="39"/>
  <c r="T16" i="39"/>
  <c r="U16" i="39" s="1"/>
  <c r="O16" i="39"/>
  <c r="J16" i="39"/>
  <c r="E16" i="39"/>
  <c r="T15" i="39"/>
  <c r="P15" i="39"/>
  <c r="Q15" i="39" s="1"/>
  <c r="O15" i="39"/>
  <c r="J15" i="39"/>
  <c r="E15" i="39"/>
  <c r="AV13" i="39"/>
  <c r="AQ13" i="39"/>
  <c r="AL13" i="39"/>
  <c r="AG13" i="39"/>
  <c r="AB13" i="39"/>
  <c r="U13" i="39"/>
  <c r="T13" i="39"/>
  <c r="O13" i="39"/>
  <c r="P13" i="39" s="1"/>
  <c r="Q13" i="39" s="1"/>
  <c r="N13" i="39"/>
  <c r="R13" i="39" s="1"/>
  <c r="J13" i="39"/>
  <c r="K13" i="39" s="1"/>
  <c r="L13" i="39" s="1"/>
  <c r="I13" i="39"/>
  <c r="M13" i="39" s="1"/>
  <c r="F13" i="39"/>
  <c r="G13" i="39" s="1"/>
  <c r="E13" i="39"/>
  <c r="H13" i="39" s="1"/>
  <c r="T12" i="39"/>
  <c r="O12" i="39"/>
  <c r="J12" i="39"/>
  <c r="K12" i="39" s="1"/>
  <c r="E12" i="39"/>
  <c r="F12" i="39" s="1"/>
  <c r="AV11" i="39"/>
  <c r="AQ11" i="39"/>
  <c r="T11" i="39"/>
  <c r="J11" i="39"/>
  <c r="F11" i="39"/>
  <c r="E11" i="39"/>
  <c r="U10" i="39"/>
  <c r="T10" i="39"/>
  <c r="O10" i="39"/>
  <c r="P10" i="39" s="1"/>
  <c r="J10" i="39"/>
  <c r="E10" i="39"/>
  <c r="F10" i="39" s="1"/>
  <c r="G10" i="39" s="1"/>
  <c r="T9" i="39"/>
  <c r="O9" i="39"/>
  <c r="J9" i="39"/>
  <c r="E9" i="39"/>
  <c r="F9" i="39" s="1"/>
  <c r="G9" i="39" s="1"/>
  <c r="T8" i="39"/>
  <c r="O8" i="39"/>
  <c r="J8" i="39"/>
  <c r="E8" i="39"/>
  <c r="U7" i="39"/>
  <c r="T7" i="39"/>
  <c r="O7" i="39"/>
  <c r="J7" i="39"/>
  <c r="E7" i="39"/>
  <c r="S22" i="39"/>
  <c r="N22" i="39"/>
  <c r="I22" i="39"/>
  <c r="D22" i="39"/>
  <c r="U63" i="38"/>
  <c r="T63" i="38"/>
  <c r="Q63" i="38"/>
  <c r="P63" i="38"/>
  <c r="O63" i="38"/>
  <c r="G63" i="38"/>
  <c r="F63" i="38"/>
  <c r="D63" i="38"/>
  <c r="G62" i="38"/>
  <c r="F62" i="38"/>
  <c r="AU60" i="38"/>
  <c r="AR60" i="38" s="1"/>
  <c r="AT60" i="38"/>
  <c r="AS60" i="38"/>
  <c r="AP60" i="38"/>
  <c r="AO60" i="38"/>
  <c r="AN60" i="38"/>
  <c r="AM60" i="38"/>
  <c r="AK60" i="38"/>
  <c r="AJ60" i="38"/>
  <c r="AI60" i="38"/>
  <c r="AH60" i="38"/>
  <c r="AF60" i="38"/>
  <c r="AE60" i="38"/>
  <c r="AD60" i="38"/>
  <c r="AC60" i="38"/>
  <c r="AA60" i="38"/>
  <c r="Y60" i="38"/>
  <c r="X60" i="38"/>
  <c r="V60" i="38"/>
  <c r="AD59" i="38"/>
  <c r="Z60" i="38" s="1"/>
  <c r="U56" i="38"/>
  <c r="T56" i="38"/>
  <c r="S56" i="38"/>
  <c r="N56" i="38"/>
  <c r="J56" i="38"/>
  <c r="I56" i="38"/>
  <c r="X55" i="38"/>
  <c r="U55" i="38"/>
  <c r="T55" i="38"/>
  <c r="S55" i="38"/>
  <c r="Q55" i="38"/>
  <c r="V55" i="38" s="1"/>
  <c r="P55" i="38"/>
  <c r="O55" i="38"/>
  <c r="N55" i="38"/>
  <c r="L55" i="38"/>
  <c r="K55" i="38"/>
  <c r="J55" i="38"/>
  <c r="I55" i="38"/>
  <c r="G55" i="38"/>
  <c r="F55" i="38"/>
  <c r="E55" i="38"/>
  <c r="D55" i="38"/>
  <c r="U54" i="38"/>
  <c r="T54" i="38"/>
  <c r="S54" i="38"/>
  <c r="X54" i="38" s="1"/>
  <c r="Q54" i="38"/>
  <c r="V54" i="38" s="1"/>
  <c r="P54" i="38"/>
  <c r="O54" i="38"/>
  <c r="N54" i="38"/>
  <c r="L54" i="38"/>
  <c r="K54" i="38"/>
  <c r="J54" i="38"/>
  <c r="I54" i="38"/>
  <c r="G54" i="38"/>
  <c r="F54" i="38"/>
  <c r="E54" i="38"/>
  <c r="D54" i="38"/>
  <c r="X52" i="38"/>
  <c r="V52" i="38"/>
  <c r="I52" i="38"/>
  <c r="G52" i="38"/>
  <c r="E52" i="38"/>
  <c r="D52" i="38"/>
  <c r="AH50" i="38"/>
  <c r="N50" i="38"/>
  <c r="L50" i="38"/>
  <c r="E48" i="38"/>
  <c r="V48" i="38"/>
  <c r="K48" i="38"/>
  <c r="J48" i="38"/>
  <c r="I48" i="38"/>
  <c r="G48" i="38"/>
  <c r="F48" i="38"/>
  <c r="D48" i="38"/>
  <c r="AU46" i="38"/>
  <c r="AT46" i="38"/>
  <c r="AS46" i="38"/>
  <c r="AR46" i="38"/>
  <c r="AP46" i="38"/>
  <c r="AO46" i="38"/>
  <c r="AN46" i="38"/>
  <c r="AM46" i="38"/>
  <c r="AK46" i="38"/>
  <c r="AJ46" i="38"/>
  <c r="AI46" i="38"/>
  <c r="AH46" i="38"/>
  <c r="AF46" i="38"/>
  <c r="AE46" i="38"/>
  <c r="AD46" i="38"/>
  <c r="AC46" i="38"/>
  <c r="AA46" i="38"/>
  <c r="Z46" i="38"/>
  <c r="Z50" i="38" s="1"/>
  <c r="Y46" i="38"/>
  <c r="X46" i="38"/>
  <c r="V46" i="38"/>
  <c r="U46" i="38"/>
  <c r="T46" i="38"/>
  <c r="S46" i="38"/>
  <c r="S52" i="38" s="1"/>
  <c r="Q46" i="38"/>
  <c r="Q52" i="38" s="1"/>
  <c r="P46" i="38"/>
  <c r="P52" i="38" s="1"/>
  <c r="O46" i="38"/>
  <c r="O52" i="38" s="1"/>
  <c r="N46" i="38"/>
  <c r="L46" i="38"/>
  <c r="K46" i="38"/>
  <c r="J46" i="38"/>
  <c r="J50" i="38" s="1"/>
  <c r="I46" i="38"/>
  <c r="I50" i="38" s="1"/>
  <c r="G46" i="38"/>
  <c r="G50" i="38" s="1"/>
  <c r="F46" i="38"/>
  <c r="F50" i="38" s="1"/>
  <c r="E46" i="38"/>
  <c r="E50" i="38" s="1"/>
  <c r="D46" i="38"/>
  <c r="D50" i="38" s="1"/>
  <c r="U41" i="38"/>
  <c r="T41" i="38"/>
  <c r="S41" i="38"/>
  <c r="R41" i="38"/>
  <c r="G41" i="38"/>
  <c r="G42" i="38" s="1"/>
  <c r="F41" i="38"/>
  <c r="E41" i="38"/>
  <c r="D41" i="38"/>
  <c r="D42" i="38" s="1"/>
  <c r="X40" i="38"/>
  <c r="Y40" i="38" s="1"/>
  <c r="Z40" i="38" s="1"/>
  <c r="AA40" i="38" s="1"/>
  <c r="W40" i="38"/>
  <c r="V40" i="38"/>
  <c r="R40" i="38"/>
  <c r="M40" i="38"/>
  <c r="H40" i="38"/>
  <c r="AD39" i="38"/>
  <c r="AE39" i="38" s="1"/>
  <c r="AF39" i="38" s="1"/>
  <c r="AC39" i="38"/>
  <c r="V39" i="38"/>
  <c r="X39" i="38" s="1"/>
  <c r="Y39" i="38" s="1"/>
  <c r="Z39" i="38" s="1"/>
  <c r="AA39" i="38" s="1"/>
  <c r="AB39" i="38" s="1"/>
  <c r="R39" i="38"/>
  <c r="M39" i="38"/>
  <c r="H39" i="38"/>
  <c r="R38" i="38"/>
  <c r="M38" i="38"/>
  <c r="H38" i="38"/>
  <c r="U37" i="38"/>
  <c r="T37" i="38"/>
  <c r="S37" i="38"/>
  <c r="R37" i="38"/>
  <c r="Q37" i="38"/>
  <c r="Q41" i="38" s="1"/>
  <c r="P37" i="38"/>
  <c r="P41" i="38" s="1"/>
  <c r="O37" i="38"/>
  <c r="O41" i="38" s="1"/>
  <c r="N37" i="38"/>
  <c r="N41" i="38" s="1"/>
  <c r="M37" i="38"/>
  <c r="M41" i="38" s="1"/>
  <c r="L37" i="38"/>
  <c r="L41" i="38" s="1"/>
  <c r="K37" i="38"/>
  <c r="K41" i="38" s="1"/>
  <c r="K42" i="38" s="1"/>
  <c r="J37" i="38"/>
  <c r="J41" i="38" s="1"/>
  <c r="I37" i="38"/>
  <c r="I41" i="38" s="1"/>
  <c r="G37" i="38"/>
  <c r="H37" i="38" s="1"/>
  <c r="H41" i="38" s="1"/>
  <c r="F37" i="38"/>
  <c r="E37" i="38"/>
  <c r="D37" i="38"/>
  <c r="O35" i="38"/>
  <c r="G35" i="38"/>
  <c r="F35" i="38"/>
  <c r="F42" i="38" s="1"/>
  <c r="X34" i="38"/>
  <c r="Y34" i="38" s="1"/>
  <c r="Z34" i="38" s="1"/>
  <c r="AA34" i="38" s="1"/>
  <c r="W34" i="38"/>
  <c r="V34" i="38"/>
  <c r="R34" i="38"/>
  <c r="M34" i="38"/>
  <c r="H34" i="38"/>
  <c r="V33" i="38"/>
  <c r="X33" i="38" s="1"/>
  <c r="Y33" i="38" s="1"/>
  <c r="Z33" i="38" s="1"/>
  <c r="AA33" i="38" s="1"/>
  <c r="R33" i="38"/>
  <c r="M33" i="38"/>
  <c r="H33" i="38"/>
  <c r="X32" i="38"/>
  <c r="Y32" i="38" s="1"/>
  <c r="Z32" i="38" s="1"/>
  <c r="AA32" i="38" s="1"/>
  <c r="W32" i="38"/>
  <c r="V32" i="38"/>
  <c r="R32" i="38"/>
  <c r="M32" i="38"/>
  <c r="H32" i="38"/>
  <c r="V31" i="38"/>
  <c r="X31" i="38" s="1"/>
  <c r="Y31" i="38" s="1"/>
  <c r="R31" i="38"/>
  <c r="M31" i="38"/>
  <c r="H31" i="38"/>
  <c r="T30" i="38"/>
  <c r="T35" i="38" s="1"/>
  <c r="S30" i="38"/>
  <c r="S35" i="38" s="1"/>
  <c r="Q30" i="38"/>
  <c r="Q35" i="38" s="1"/>
  <c r="P30" i="38"/>
  <c r="P35" i="38" s="1"/>
  <c r="O30" i="38"/>
  <c r="L30" i="38"/>
  <c r="L35" i="38" s="1"/>
  <c r="K30" i="38"/>
  <c r="K35" i="38" s="1"/>
  <c r="G30" i="38"/>
  <c r="F30" i="38"/>
  <c r="D30" i="38"/>
  <c r="D35" i="38" s="1"/>
  <c r="AV29" i="38"/>
  <c r="AQ29" i="38"/>
  <c r="AL29" i="38"/>
  <c r="AG29" i="38"/>
  <c r="AB29" i="38"/>
  <c r="W29" i="38"/>
  <c r="R29" i="38"/>
  <c r="M29" i="38"/>
  <c r="H29" i="38"/>
  <c r="V28" i="38"/>
  <c r="V63" i="38" s="1"/>
  <c r="U28" i="38"/>
  <c r="U47" i="39" s="1"/>
  <c r="S28" i="38"/>
  <c r="S47" i="39" s="1"/>
  <c r="R28" i="38"/>
  <c r="R47" i="39" s="1"/>
  <c r="N28" i="38"/>
  <c r="M28" i="38"/>
  <c r="L28" i="38"/>
  <c r="L47" i="39" s="1"/>
  <c r="K28" i="38"/>
  <c r="K47" i="39" s="1"/>
  <c r="J28" i="38"/>
  <c r="J47" i="39" s="1"/>
  <c r="I28" i="38"/>
  <c r="I47" i="39" s="1"/>
  <c r="H28" i="38"/>
  <c r="H47" i="39" s="1"/>
  <c r="E28" i="38"/>
  <c r="E47" i="39" s="1"/>
  <c r="X27" i="38"/>
  <c r="X19" i="39" s="1"/>
  <c r="W27" i="38"/>
  <c r="V19" i="39"/>
  <c r="R27" i="38"/>
  <c r="M27" i="38"/>
  <c r="H27" i="38"/>
  <c r="Z26" i="38"/>
  <c r="AA26" i="38" s="1"/>
  <c r="W26" i="38"/>
  <c r="V26" i="38"/>
  <c r="X26" i="38" s="1"/>
  <c r="Y26" i="38" s="1"/>
  <c r="R26" i="38"/>
  <c r="M26" i="38"/>
  <c r="H26" i="38"/>
  <c r="U25" i="38"/>
  <c r="T25" i="38"/>
  <c r="R25" i="38"/>
  <c r="M25" i="38"/>
  <c r="H25" i="38"/>
  <c r="X24" i="38"/>
  <c r="Y24" i="38" s="1"/>
  <c r="Z24" i="38" s="1"/>
  <c r="AA24" i="38" s="1"/>
  <c r="AC24" i="38" s="1"/>
  <c r="AD24" i="38" s="1"/>
  <c r="AE24" i="38" s="1"/>
  <c r="AF24" i="38" s="1"/>
  <c r="W24" i="38"/>
  <c r="V24" i="38"/>
  <c r="R24" i="38"/>
  <c r="M24" i="38"/>
  <c r="H24" i="38"/>
  <c r="V23" i="38"/>
  <c r="R23" i="38"/>
  <c r="M23" i="38"/>
  <c r="H23" i="38"/>
  <c r="R22" i="38"/>
  <c r="M22" i="38"/>
  <c r="H22" i="38"/>
  <c r="V19" i="38"/>
  <c r="X19" i="38" s="1"/>
  <c r="Y19" i="38" s="1"/>
  <c r="Z19" i="38" s="1"/>
  <c r="AA19" i="38" s="1"/>
  <c r="R19" i="38"/>
  <c r="M19" i="38"/>
  <c r="H19" i="38"/>
  <c r="Z18" i="38"/>
  <c r="AA18" i="38" s="1"/>
  <c r="Y18" i="38"/>
  <c r="X18" i="38"/>
  <c r="W18" i="38"/>
  <c r="V18" i="38"/>
  <c r="R18" i="38"/>
  <c r="M18" i="38"/>
  <c r="H18" i="38"/>
  <c r="R17" i="38"/>
  <c r="M17" i="38"/>
  <c r="H17" i="38"/>
  <c r="R16" i="38"/>
  <c r="M16" i="38"/>
  <c r="H16" i="38"/>
  <c r="H55" i="38" s="1"/>
  <c r="W15" i="38"/>
  <c r="V15" i="38"/>
  <c r="X15" i="38" s="1"/>
  <c r="Y15" i="38" s="1"/>
  <c r="Z15" i="38" s="1"/>
  <c r="AA15" i="38" s="1"/>
  <c r="R15" i="38"/>
  <c r="M15" i="38"/>
  <c r="H15" i="38"/>
  <c r="R14" i="38"/>
  <c r="M14" i="38"/>
  <c r="H14" i="38"/>
  <c r="W13" i="38"/>
  <c r="V13" i="38"/>
  <c r="R13" i="38"/>
  <c r="M13" i="38"/>
  <c r="H13" i="38"/>
  <c r="R12" i="38"/>
  <c r="M12" i="38"/>
  <c r="H12" i="38"/>
  <c r="X10" i="38"/>
  <c r="X17" i="39" s="1"/>
  <c r="W10" i="38"/>
  <c r="V10" i="38"/>
  <c r="V17" i="39" s="1"/>
  <c r="R10" i="38"/>
  <c r="M10" i="38"/>
  <c r="H10" i="38"/>
  <c r="R9" i="38"/>
  <c r="M9" i="38"/>
  <c r="H9" i="38"/>
  <c r="R8" i="38"/>
  <c r="M8" i="38"/>
  <c r="H8" i="38"/>
  <c r="R7" i="38"/>
  <c r="M7" i="38"/>
  <c r="H7" i="38"/>
  <c r="H54" i="38" s="1"/>
  <c r="AR170" i="73" l="1"/>
  <c r="AR170" i="70" s="1"/>
  <c r="AR168" i="70"/>
  <c r="AP18" i="73"/>
  <c r="AP172" i="73"/>
  <c r="AP14" i="65"/>
  <c r="AP117" i="70"/>
  <c r="AM121" i="70"/>
  <c r="AO120" i="73"/>
  <c r="AO118" i="70"/>
  <c r="AN121" i="73"/>
  <c r="AN120" i="70"/>
  <c r="AU129" i="73"/>
  <c r="AV129" i="73" s="1"/>
  <c r="AP28" i="73"/>
  <c r="AS173" i="73"/>
  <c r="AR173" i="70"/>
  <c r="AC53" i="74"/>
  <c r="AG61" i="73"/>
  <c r="AE22" i="74"/>
  <c r="AE9" i="74"/>
  <c r="AD7" i="75"/>
  <c r="AC127" i="73"/>
  <c r="AB127" i="73"/>
  <c r="AB130" i="73" s="1"/>
  <c r="AA130" i="73"/>
  <c r="AO30" i="73"/>
  <c r="AS33" i="75"/>
  <c r="AS57" i="75" s="1"/>
  <c r="AG64" i="73"/>
  <c r="AG65" i="73" s="1"/>
  <c r="AD9" i="73"/>
  <c r="AC99" i="73"/>
  <c r="AB99" i="73"/>
  <c r="AB103" i="73" s="1"/>
  <c r="AA103" i="73"/>
  <c r="Z24" i="73"/>
  <c r="AD13" i="73"/>
  <c r="AT21" i="75"/>
  <c r="AU23" i="74"/>
  <c r="AC66" i="73"/>
  <c r="AA12" i="73"/>
  <c r="AB66" i="73"/>
  <c r="AB70" i="73" s="1"/>
  <c r="AA70" i="73"/>
  <c r="AS155" i="73"/>
  <c r="AT153" i="73"/>
  <c r="AF100" i="73"/>
  <c r="AF13" i="73" s="1"/>
  <c r="AF97" i="73"/>
  <c r="AF11" i="73" s="1"/>
  <c r="AF93" i="73"/>
  <c r="AF9" i="73" s="1"/>
  <c r="AC18" i="75"/>
  <c r="AC30" i="74"/>
  <c r="AC35" i="74" s="1"/>
  <c r="AO52" i="73"/>
  <c r="AO54" i="73" s="1"/>
  <c r="AP50" i="73"/>
  <c r="AP102" i="73"/>
  <c r="AP102" i="70" s="1"/>
  <c r="AO14" i="73"/>
  <c r="AO14" i="70" s="1"/>
  <c r="AD53" i="74"/>
  <c r="AN6" i="73"/>
  <c r="AN134" i="73" s="1"/>
  <c r="AF10" i="73"/>
  <c r="AQ47" i="75"/>
  <c r="AQ67" i="74"/>
  <c r="AP118" i="73"/>
  <c r="AR117" i="73"/>
  <c r="AQ117" i="73"/>
  <c r="AT125" i="73"/>
  <c r="AR29" i="75"/>
  <c r="AR47" i="75"/>
  <c r="AS28" i="74"/>
  <c r="AR63" i="74"/>
  <c r="AS22" i="73"/>
  <c r="AN85" i="73"/>
  <c r="AN87" i="73" s="1"/>
  <c r="AO83" i="73"/>
  <c r="AT27" i="74"/>
  <c r="AS19" i="75"/>
  <c r="AS16" i="74"/>
  <c r="AS8" i="75" s="1"/>
  <c r="AG140" i="73"/>
  <c r="AR31" i="73"/>
  <c r="AS31" i="73" s="1"/>
  <c r="AD12" i="75"/>
  <c r="AG12" i="75" s="1"/>
  <c r="AD25" i="75"/>
  <c r="AG25" i="75" s="1"/>
  <c r="AG56" i="75" s="1"/>
  <c r="AD8" i="74"/>
  <c r="AD140" i="73"/>
  <c r="AU9" i="75"/>
  <c r="AV16" i="73"/>
  <c r="AH46" i="73"/>
  <c r="AH5" i="73"/>
  <c r="AH62" i="73"/>
  <c r="AH59" i="73"/>
  <c r="AJ41" i="73"/>
  <c r="AI57" i="73"/>
  <c r="AU136" i="73"/>
  <c r="AI74" i="73"/>
  <c r="AH90" i="73"/>
  <c r="AS20" i="75"/>
  <c r="AT25" i="74"/>
  <c r="AI46" i="73"/>
  <c r="AI62" i="73"/>
  <c r="AI59" i="73"/>
  <c r="AT165" i="73"/>
  <c r="AS168" i="73"/>
  <c r="AG10" i="73"/>
  <c r="AH76" i="73"/>
  <c r="AH78" i="73" s="1"/>
  <c r="AF12" i="75"/>
  <c r="AF25" i="75"/>
  <c r="AF8" i="74"/>
  <c r="AF140" i="73"/>
  <c r="AC37" i="75"/>
  <c r="AT13" i="74"/>
  <c r="AS17" i="75"/>
  <c r="AT10" i="74"/>
  <c r="AG92" i="73"/>
  <c r="AG82" i="73" s="1"/>
  <c r="AR57" i="75"/>
  <c r="AD11" i="73"/>
  <c r="AG97" i="73"/>
  <c r="AG98" i="73" s="1"/>
  <c r="AK134" i="73"/>
  <c r="AD64" i="65"/>
  <c r="AD60" i="65"/>
  <c r="AD67" i="65"/>
  <c r="AE46" i="65"/>
  <c r="AJ87" i="65"/>
  <c r="AI6" i="65"/>
  <c r="AB101" i="65"/>
  <c r="AC25" i="67"/>
  <c r="AC8" i="66"/>
  <c r="AC140" i="65"/>
  <c r="Z30" i="66"/>
  <c r="Z18" i="67"/>
  <c r="AL90" i="65"/>
  <c r="Z16" i="67"/>
  <c r="AC11" i="65"/>
  <c r="AC9" i="65"/>
  <c r="AC13" i="65"/>
  <c r="AD10" i="65"/>
  <c r="AB94" i="65"/>
  <c r="AF78" i="65"/>
  <c r="AD93" i="65"/>
  <c r="AD100" i="65"/>
  <c r="AD97" i="65"/>
  <c r="AD8" i="65"/>
  <c r="AB98" i="65"/>
  <c r="AK54" i="65"/>
  <c r="AL57" i="65"/>
  <c r="AE59" i="65"/>
  <c r="AB9" i="65"/>
  <c r="AA22" i="66"/>
  <c r="AA9" i="66"/>
  <c r="AE62" i="65"/>
  <c r="AL139" i="65"/>
  <c r="AB140" i="65"/>
  <c r="AE5" i="65"/>
  <c r="AB61" i="65"/>
  <c r="AB11" i="65"/>
  <c r="AB65" i="65"/>
  <c r="AB13" i="65"/>
  <c r="AA15" i="67"/>
  <c r="AB8" i="66"/>
  <c r="AB68" i="65"/>
  <c r="AF45" i="65"/>
  <c r="AB25" i="67"/>
  <c r="AB56" i="67" s="1"/>
  <c r="AH143" i="65"/>
  <c r="AD53" i="67"/>
  <c r="AC12" i="67"/>
  <c r="AB12" i="67"/>
  <c r="AI143" i="65"/>
  <c r="AA35" i="67"/>
  <c r="AS47" i="66"/>
  <c r="AN48" i="66"/>
  <c r="AU39" i="66"/>
  <c r="AU40" i="66"/>
  <c r="AU33" i="66"/>
  <c r="AU34" i="66"/>
  <c r="AU31" i="66"/>
  <c r="AU32" i="66"/>
  <c r="AQ20" i="67"/>
  <c r="AR8" i="67"/>
  <c r="AQ21" i="67"/>
  <c r="AQ8" i="67"/>
  <c r="AU26" i="66"/>
  <c r="AU24" i="66"/>
  <c r="AU15" i="66"/>
  <c r="AU18" i="66"/>
  <c r="AU19" i="66"/>
  <c r="AQ17" i="67"/>
  <c r="AP170" i="65"/>
  <c r="AN28" i="65"/>
  <c r="AN28" i="70" s="1"/>
  <c r="AN121" i="65"/>
  <c r="AQ118" i="65"/>
  <c r="AO18" i="65"/>
  <c r="AP118" i="65"/>
  <c r="AR117" i="65"/>
  <c r="AO172" i="65"/>
  <c r="AO172" i="70" s="1"/>
  <c r="AO120" i="65"/>
  <c r="AQ102" i="65"/>
  <c r="AR102" i="65"/>
  <c r="AC144" i="65"/>
  <c r="AS129" i="65"/>
  <c r="AS129" i="70" s="1"/>
  <c r="AS126" i="65"/>
  <c r="AS128" i="65"/>
  <c r="AP9" i="67"/>
  <c r="AQ14" i="65"/>
  <c r="AT35" i="65"/>
  <c r="AS26" i="65"/>
  <c r="AI41" i="65"/>
  <c r="AH57" i="65"/>
  <c r="AS19" i="67"/>
  <c r="AT27" i="66"/>
  <c r="AS16" i="66"/>
  <c r="AH43" i="65"/>
  <c r="AF46" i="65"/>
  <c r="AF5" i="65"/>
  <c r="AG5" i="65" s="1"/>
  <c r="AF62" i="65"/>
  <c r="AK85" i="65"/>
  <c r="AM83" i="65"/>
  <c r="AL83" i="65"/>
  <c r="AR47" i="67"/>
  <c r="AR29" i="67"/>
  <c r="AR63" i="66"/>
  <c r="AS28" i="66"/>
  <c r="AS22" i="65"/>
  <c r="AM52" i="65"/>
  <c r="AN50" i="65"/>
  <c r="AP172" i="65"/>
  <c r="AP18" i="65"/>
  <c r="AI74" i="65"/>
  <c r="AH90" i="65"/>
  <c r="AS165" i="65"/>
  <c r="AR168" i="65"/>
  <c r="AP136" i="65"/>
  <c r="AQ47" i="67"/>
  <c r="AQ67" i="66"/>
  <c r="AH76" i="65"/>
  <c r="AS13" i="66"/>
  <c r="AS69" i="65"/>
  <c r="AS69" i="70" s="1"/>
  <c r="AO57" i="67"/>
  <c r="AS119" i="65"/>
  <c r="AR16" i="65"/>
  <c r="AF79" i="65"/>
  <c r="AF95" i="65"/>
  <c r="AF92" i="65"/>
  <c r="AP33" i="67"/>
  <c r="AR17" i="67"/>
  <c r="AS10" i="66"/>
  <c r="AT125" i="65"/>
  <c r="AQ29" i="67"/>
  <c r="AR21" i="67"/>
  <c r="AS23" i="66"/>
  <c r="AR20" i="67"/>
  <c r="AS25" i="66"/>
  <c r="AQ16" i="65"/>
  <c r="AO10" i="67"/>
  <c r="AM155" i="65"/>
  <c r="AN153" i="65"/>
  <c r="S43" i="57"/>
  <c r="S43" i="62" s="1"/>
  <c r="S53" i="57"/>
  <c r="S53" i="62" s="1"/>
  <c r="R20" i="57"/>
  <c r="R11" i="62"/>
  <c r="T20" i="57"/>
  <c r="T20" i="62" s="1"/>
  <c r="T11" i="62"/>
  <c r="R48" i="58"/>
  <c r="R48" i="63" s="1"/>
  <c r="R46" i="63"/>
  <c r="T48" i="58"/>
  <c r="T48" i="63" s="1"/>
  <c r="T46" i="63"/>
  <c r="P43" i="57"/>
  <c r="P43" i="62" s="1"/>
  <c r="P53" i="57"/>
  <c r="P53" i="62" s="1"/>
  <c r="AO28" i="62"/>
  <c r="AO29" i="58"/>
  <c r="AO29" i="63" s="1"/>
  <c r="AO47" i="58"/>
  <c r="AO47" i="63" s="1"/>
  <c r="AO63" i="57"/>
  <c r="AO63" i="62" s="1"/>
  <c r="AP28" i="57"/>
  <c r="AP22" i="56"/>
  <c r="AB95" i="61"/>
  <c r="AH31" i="56"/>
  <c r="AH31" i="61" s="1"/>
  <c r="Z8" i="62"/>
  <c r="AA140" i="56"/>
  <c r="AA140" i="61" s="1"/>
  <c r="AA25" i="58"/>
  <c r="AA25" i="63" s="1"/>
  <c r="AB93" i="56"/>
  <c r="AB93" i="61" s="1"/>
  <c r="AA8" i="57"/>
  <c r="AA8" i="62" s="1"/>
  <c r="AA12" i="58"/>
  <c r="AA12" i="63" s="1"/>
  <c r="AA13" i="56"/>
  <c r="AA13" i="61" s="1"/>
  <c r="AB100" i="56"/>
  <c r="AB100" i="61" s="1"/>
  <c r="AA9" i="56"/>
  <c r="AA9" i="61" s="1"/>
  <c r="AC9" i="56"/>
  <c r="AC9" i="61" s="1"/>
  <c r="AF6" i="61"/>
  <c r="AB82" i="56"/>
  <c r="AB82" i="61" s="1"/>
  <c r="AB11" i="56"/>
  <c r="AB11" i="61" s="1"/>
  <c r="AB101" i="56"/>
  <c r="AB101" i="61" s="1"/>
  <c r="AA97" i="61"/>
  <c r="AB97" i="56"/>
  <c r="AB98" i="56" s="1"/>
  <c r="AB98" i="61" s="1"/>
  <c r="AC11" i="56"/>
  <c r="AC11" i="61" s="1"/>
  <c r="Z22" i="57"/>
  <c r="Z22" i="62" s="1"/>
  <c r="AB25" i="58"/>
  <c r="AB56" i="58" s="1"/>
  <c r="AB56" i="63" s="1"/>
  <c r="AD10" i="56"/>
  <c r="AD10" i="61" s="1"/>
  <c r="AF134" i="56"/>
  <c r="AC13" i="56"/>
  <c r="AC13" i="61" s="1"/>
  <c r="AH6" i="56"/>
  <c r="AH6" i="61" s="1"/>
  <c r="AD79" i="56"/>
  <c r="AD79" i="61" s="1"/>
  <c r="AD5" i="56"/>
  <c r="AD5" i="61" s="1"/>
  <c r="AD78" i="61"/>
  <c r="AD92" i="56"/>
  <c r="AD92" i="61" s="1"/>
  <c r="AB9" i="56"/>
  <c r="AB9" i="61" s="1"/>
  <c r="Z9" i="57"/>
  <c r="AC95" i="61"/>
  <c r="AC10" i="56"/>
  <c r="AC10" i="61" s="1"/>
  <c r="AC5" i="61"/>
  <c r="AC8" i="56"/>
  <c r="AC133" i="56"/>
  <c r="AF76" i="56"/>
  <c r="AF78" i="56" s="1"/>
  <c r="AH43" i="61"/>
  <c r="AH59" i="56"/>
  <c r="AH59" i="61" s="1"/>
  <c r="AH62" i="56"/>
  <c r="AH62" i="61" s="1"/>
  <c r="AH46" i="56"/>
  <c r="AH46" i="61" s="1"/>
  <c r="AI87" i="56"/>
  <c r="AI87" i="61" s="1"/>
  <c r="AI85" i="61"/>
  <c r="Z37" i="58"/>
  <c r="Z37" i="63" s="1"/>
  <c r="AA35" i="58"/>
  <c r="AA35" i="63" s="1"/>
  <c r="Y9" i="62"/>
  <c r="Y16" i="58"/>
  <c r="Y16" i="63" s="1"/>
  <c r="Y22" i="62"/>
  <c r="Y18" i="58"/>
  <c r="Y18" i="63" s="1"/>
  <c r="Y30" i="57"/>
  <c r="AE78" i="56"/>
  <c r="AE76" i="61"/>
  <c r="Y35" i="63"/>
  <c r="Y37" i="58"/>
  <c r="Y37" i="63" s="1"/>
  <c r="Y37" i="57"/>
  <c r="AJ54" i="56"/>
  <c r="AJ54" i="61" s="1"/>
  <c r="AJ52" i="61"/>
  <c r="AG62" i="56"/>
  <c r="AG63" i="56" s="1"/>
  <c r="AG63" i="61" s="1"/>
  <c r="AE53" i="58"/>
  <c r="AD53" i="63"/>
  <c r="X143" i="61"/>
  <c r="AC143" i="56"/>
  <c r="AT55" i="57"/>
  <c r="AT55" i="62" s="1"/>
  <c r="AR54" i="62"/>
  <c r="AS54" i="57"/>
  <c r="AS54" i="62" s="1"/>
  <c r="AT40" i="57"/>
  <c r="AS40" i="62"/>
  <c r="AP33" i="62"/>
  <c r="AQ33" i="57"/>
  <c r="AQ33" i="62" s="1"/>
  <c r="AR33" i="57"/>
  <c r="AT34" i="57"/>
  <c r="AS34" i="62"/>
  <c r="AT31" i="57"/>
  <c r="AS31" i="62"/>
  <c r="AT32" i="57"/>
  <c r="AS32" i="62"/>
  <c r="AT24" i="57"/>
  <c r="AS24" i="62"/>
  <c r="AO8" i="58"/>
  <c r="AO8" i="63" s="1"/>
  <c r="AO16" i="62"/>
  <c r="AT26" i="57"/>
  <c r="AS26" i="62"/>
  <c r="AS19" i="57"/>
  <c r="AR19" i="62"/>
  <c r="AT18" i="57"/>
  <c r="AS18" i="62"/>
  <c r="AS15" i="57"/>
  <c r="AR15" i="62"/>
  <c r="AQ17" i="58"/>
  <c r="AQ17" i="63" s="1"/>
  <c r="AP17" i="63"/>
  <c r="AU173" i="56"/>
  <c r="AU173" i="61" s="1"/>
  <c r="AT173" i="61"/>
  <c r="AN28" i="56"/>
  <c r="AN28" i="61" s="1"/>
  <c r="AN172" i="61"/>
  <c r="AS118" i="56"/>
  <c r="AS118" i="61" s="1"/>
  <c r="AS117" i="61"/>
  <c r="AP170" i="56"/>
  <c r="AP168" i="61"/>
  <c r="AS165" i="56"/>
  <c r="AR165" i="61"/>
  <c r="AR168" i="56"/>
  <c r="AO170" i="61"/>
  <c r="AO18" i="56"/>
  <c r="AO18" i="61" s="1"/>
  <c r="AO172" i="56"/>
  <c r="AN102" i="61"/>
  <c r="AO102" i="56"/>
  <c r="AT145" i="56"/>
  <c r="AS145" i="61"/>
  <c r="AQ129" i="56"/>
  <c r="AQ129" i="61" s="1"/>
  <c r="AP129" i="61"/>
  <c r="AR129" i="56"/>
  <c r="AN9" i="58"/>
  <c r="AN16" i="61"/>
  <c r="AN121" i="56"/>
  <c r="AN121" i="61" s="1"/>
  <c r="AN120" i="61"/>
  <c r="AL10" i="58"/>
  <c r="AL10" i="63" s="1"/>
  <c r="AG46" i="56"/>
  <c r="AG46" i="61" s="1"/>
  <c r="AG45" i="61"/>
  <c r="AF59" i="61"/>
  <c r="AF60" i="56"/>
  <c r="AF60" i="61" s="1"/>
  <c r="AF64" i="56"/>
  <c r="AF64" i="61" s="1"/>
  <c r="AF67" i="56"/>
  <c r="AF67" i="61" s="1"/>
  <c r="AE59" i="61"/>
  <c r="AE64" i="56"/>
  <c r="AE60" i="56"/>
  <c r="AE67" i="56"/>
  <c r="AG59" i="56"/>
  <c r="AG59" i="61" s="1"/>
  <c r="AJ33" i="63"/>
  <c r="AJ57" i="58"/>
  <c r="AF30" i="61"/>
  <c r="AH30" i="56"/>
  <c r="AI30" i="56" s="1"/>
  <c r="AI30" i="61" s="1"/>
  <c r="AK33" i="58"/>
  <c r="AI155" i="61"/>
  <c r="AO26" i="56"/>
  <c r="AN26" i="61"/>
  <c r="AP13" i="57"/>
  <c r="AP13" i="62" s="1"/>
  <c r="AJ155" i="56"/>
  <c r="AK153" i="56"/>
  <c r="AJ41" i="56"/>
  <c r="AJ41" i="61" s="1"/>
  <c r="AI57" i="56"/>
  <c r="AI57" i="61" s="1"/>
  <c r="AR17" i="58"/>
  <c r="AR17" i="63" s="1"/>
  <c r="AS10" i="57"/>
  <c r="AS10" i="62" s="1"/>
  <c r="AI43" i="56"/>
  <c r="AU163" i="56"/>
  <c r="AT117" i="56"/>
  <c r="AT117" i="61" s="1"/>
  <c r="AP69" i="56"/>
  <c r="AH74" i="56"/>
  <c r="AH74" i="61" s="1"/>
  <c r="AG74" i="56"/>
  <c r="AF90" i="56"/>
  <c r="AJ85" i="56"/>
  <c r="AK83" i="56"/>
  <c r="AK83" i="61" s="1"/>
  <c r="AP119" i="56"/>
  <c r="AP119" i="61" s="1"/>
  <c r="AO16" i="56"/>
  <c r="AO120" i="56"/>
  <c r="AP35" i="56"/>
  <c r="AN136" i="56"/>
  <c r="AM10" i="58"/>
  <c r="AM10" i="63" s="1"/>
  <c r="AP21" i="58"/>
  <c r="AP21" i="63" s="1"/>
  <c r="AR23" i="57"/>
  <c r="AR23" i="62" s="1"/>
  <c r="AQ23" i="57"/>
  <c r="AQ23" i="62" s="1"/>
  <c r="AN20" i="58"/>
  <c r="AN20" i="63" s="1"/>
  <c r="AO25" i="57"/>
  <c r="AO25" i="62" s="1"/>
  <c r="AK52" i="56"/>
  <c r="AM50" i="56"/>
  <c r="AM50" i="61" s="1"/>
  <c r="AL50" i="56"/>
  <c r="AL50" i="61" s="1"/>
  <c r="U46" i="58"/>
  <c r="U11" i="57"/>
  <c r="U144" i="56"/>
  <c r="U144" i="61" s="1"/>
  <c r="AP19" i="58"/>
  <c r="AR27" i="57"/>
  <c r="AR27" i="62" s="1"/>
  <c r="AQ27" i="57"/>
  <c r="AQ27" i="62" s="1"/>
  <c r="AP16" i="57"/>
  <c r="AP16" i="62" s="1"/>
  <c r="V46" i="58"/>
  <c r="V11" i="57"/>
  <c r="W6" i="57"/>
  <c r="W6" i="62" s="1"/>
  <c r="V144" i="56"/>
  <c r="V144" i="61" s="1"/>
  <c r="AC93" i="48"/>
  <c r="AC100" i="48"/>
  <c r="AC97" i="48"/>
  <c r="Z18" i="50"/>
  <c r="Z30" i="49"/>
  <c r="Z35" i="49" s="1"/>
  <c r="AI30" i="48"/>
  <c r="AM33" i="50"/>
  <c r="AR69" i="48"/>
  <c r="AQ69" i="48"/>
  <c r="R46" i="50"/>
  <c r="R48" i="50" s="1"/>
  <c r="R11" i="49"/>
  <c r="R20" i="49" s="1"/>
  <c r="R43" i="49" s="1"/>
  <c r="T46" i="50"/>
  <c r="T48" i="50" s="1"/>
  <c r="T11" i="49"/>
  <c r="T20" i="49" s="1"/>
  <c r="T144" i="48"/>
  <c r="AM10" i="50"/>
  <c r="AL33" i="50"/>
  <c r="AL57" i="50" s="1"/>
  <c r="Q53" i="49"/>
  <c r="Q43" i="49"/>
  <c r="AN17" i="50"/>
  <c r="AO10" i="49"/>
  <c r="V40" i="50"/>
  <c r="V41" i="50" s="1"/>
  <c r="V6" i="49" s="1"/>
  <c r="U6" i="49"/>
  <c r="AK58" i="50"/>
  <c r="AL58" i="50" s="1"/>
  <c r="AN172" i="48"/>
  <c r="AN28" i="48" s="1"/>
  <c r="AN18" i="48"/>
  <c r="AH134" i="48"/>
  <c r="AH6" i="48"/>
  <c r="AP13" i="49"/>
  <c r="AP165" i="48"/>
  <c r="AO168" i="48"/>
  <c r="AO170" i="48" s="1"/>
  <c r="AA9" i="49"/>
  <c r="AA22" i="49"/>
  <c r="AC25" i="50"/>
  <c r="AC8" i="49"/>
  <c r="AC15" i="50" s="1"/>
  <c r="AC12" i="50"/>
  <c r="AC140" i="48"/>
  <c r="AC10" i="48"/>
  <c r="AF76" i="48"/>
  <c r="AF78" i="48" s="1"/>
  <c r="AF74" i="48"/>
  <c r="AE90" i="48"/>
  <c r="AO35" i="48"/>
  <c r="AL47" i="50"/>
  <c r="AL67" i="49"/>
  <c r="AD46" i="48"/>
  <c r="AD5" i="48"/>
  <c r="AD62" i="48"/>
  <c r="AD59" i="48"/>
  <c r="AG45" i="48"/>
  <c r="AG46" i="48" s="1"/>
  <c r="AJ20" i="50"/>
  <c r="AK25" i="49"/>
  <c r="AF43" i="48"/>
  <c r="AF45" i="48" s="1"/>
  <c r="AF41" i="48"/>
  <c r="AE57" i="48"/>
  <c r="AE76" i="48"/>
  <c r="AE78" i="48" s="1"/>
  <c r="AO102" i="48"/>
  <c r="AN14" i="48"/>
  <c r="AM47" i="50"/>
  <c r="AM63" i="49"/>
  <c r="AM29" i="50"/>
  <c r="AN28" i="49"/>
  <c r="AN22" i="48"/>
  <c r="AC13" i="48"/>
  <c r="AE46" i="48"/>
  <c r="AE62" i="48"/>
  <c r="AE59" i="48"/>
  <c r="AD79" i="48"/>
  <c r="AD95" i="48"/>
  <c r="AD92" i="48"/>
  <c r="AC9" i="48"/>
  <c r="AI155" i="48"/>
  <c r="AJ153" i="48"/>
  <c r="AC11" i="48"/>
  <c r="AH31" i="48"/>
  <c r="AI31" i="48" s="1"/>
  <c r="AA35" i="50"/>
  <c r="Z37" i="50"/>
  <c r="AU163" i="48"/>
  <c r="AT129" i="48"/>
  <c r="AT117" i="48"/>
  <c r="AT118" i="48" s="1"/>
  <c r="AP119" i="48"/>
  <c r="AO16" i="48"/>
  <c r="AO120" i="48"/>
  <c r="AO121" i="48" s="1"/>
  <c r="AI52" i="48"/>
  <c r="AI54" i="48" s="1"/>
  <c r="AJ50" i="48"/>
  <c r="AN21" i="50"/>
  <c r="AO23" i="49"/>
  <c r="AN136" i="48"/>
  <c r="Z127" i="48"/>
  <c r="Y130" i="48"/>
  <c r="Y131" i="48" s="1"/>
  <c r="Z37" i="49"/>
  <c r="AA7" i="50"/>
  <c r="AB7" i="50" s="1"/>
  <c r="AA14" i="49"/>
  <c r="AO56" i="49"/>
  <c r="Z99" i="48"/>
  <c r="Y103" i="48"/>
  <c r="Y105" i="48" s="1"/>
  <c r="AN19" i="50"/>
  <c r="AO27" i="49"/>
  <c r="AN16" i="49"/>
  <c r="AN8" i="50" s="1"/>
  <c r="Z66" i="48"/>
  <c r="Y12" i="48"/>
  <c r="Y70" i="48"/>
  <c r="Y71" i="48" s="1"/>
  <c r="AJ85" i="48"/>
  <c r="AJ87" i="48" s="1"/>
  <c r="AK83" i="48"/>
  <c r="P53" i="49"/>
  <c r="P43" i="49"/>
  <c r="S53" i="49"/>
  <c r="S43" i="49"/>
  <c r="AB57" i="46"/>
  <c r="AB14" i="44"/>
  <c r="AC172" i="44"/>
  <c r="AS56" i="46"/>
  <c r="AE173" i="44"/>
  <c r="AE170" i="44"/>
  <c r="AE168" i="44"/>
  <c r="AD18" i="44"/>
  <c r="AA28" i="44"/>
  <c r="AB28" i="44"/>
  <c r="AE117" i="44"/>
  <c r="AD118" i="44"/>
  <c r="AE102" i="44"/>
  <c r="AF22" i="44"/>
  <c r="AE145" i="44"/>
  <c r="AE22" i="44"/>
  <c r="AD129" i="44"/>
  <c r="AE14" i="44"/>
  <c r="AD10" i="46"/>
  <c r="AD9" i="46"/>
  <c r="AU112" i="44"/>
  <c r="AQ116" i="44"/>
  <c r="AQ115" i="44"/>
  <c r="AV7" i="44"/>
  <c r="AU7" i="44"/>
  <c r="AU135" i="44" s="1"/>
  <c r="AA85" i="44"/>
  <c r="X92" i="44"/>
  <c r="X79" i="44"/>
  <c r="Y78" i="44"/>
  <c r="Y76" i="44"/>
  <c r="Y54" i="44"/>
  <c r="Y52" i="44"/>
  <c r="X6" i="44"/>
  <c r="X134" i="44" s="1"/>
  <c r="AJ54" i="45"/>
  <c r="AH55" i="45"/>
  <c r="AD40" i="45"/>
  <c r="AE39" i="45"/>
  <c r="AF34" i="45"/>
  <c r="AG34" i="45"/>
  <c r="AF33" i="45"/>
  <c r="AG33" i="45"/>
  <c r="AE32" i="45"/>
  <c r="AF47" i="46"/>
  <c r="AE31" i="45"/>
  <c r="AE29" i="46"/>
  <c r="AE63" i="45"/>
  <c r="AE47" i="46"/>
  <c r="AD8" i="46"/>
  <c r="AD16" i="45"/>
  <c r="AE21" i="46"/>
  <c r="AD26" i="45"/>
  <c r="AF24" i="45"/>
  <c r="AG24" i="45"/>
  <c r="AE19" i="45"/>
  <c r="AE18" i="45"/>
  <c r="AD15" i="45"/>
  <c r="AD53" i="46"/>
  <c r="W131" i="44"/>
  <c r="W130" i="44"/>
  <c r="AG26" i="44"/>
  <c r="AE26" i="44"/>
  <c r="AG57" i="46"/>
  <c r="AG33" i="46"/>
  <c r="AA58" i="46"/>
  <c r="AA57" i="46"/>
  <c r="AS180" i="44"/>
  <c r="AP183" i="44"/>
  <c r="AP180" i="44"/>
  <c r="AT180" i="44"/>
  <c r="AU185" i="44"/>
  <c r="AR180" i="44"/>
  <c r="AU181" i="44"/>
  <c r="AP182" i="44"/>
  <c r="AR183" i="44"/>
  <c r="AU186" i="44"/>
  <c r="AR182" i="44"/>
  <c r="AS182" i="44"/>
  <c r="AT183" i="44"/>
  <c r="AS183" i="44"/>
  <c r="AD136" i="44"/>
  <c r="AT182" i="44"/>
  <c r="AH119" i="44"/>
  <c r="AU94" i="44"/>
  <c r="AE35" i="44"/>
  <c r="Y79" i="44"/>
  <c r="Y95" i="44"/>
  <c r="Y92" i="44"/>
  <c r="AD83" i="44"/>
  <c r="AD17" i="46"/>
  <c r="AE10" i="45"/>
  <c r="X41" i="44"/>
  <c r="AH28" i="45"/>
  <c r="AG28" i="45"/>
  <c r="AV109" i="44"/>
  <c r="AU98" i="44"/>
  <c r="AH165" i="44"/>
  <c r="AP44" i="44"/>
  <c r="AF23" i="45"/>
  <c r="AE13" i="45"/>
  <c r="AJ163" i="44"/>
  <c r="AC56" i="45"/>
  <c r="AE9" i="46"/>
  <c r="AG16" i="44"/>
  <c r="AU61" i="44"/>
  <c r="AF69" i="44"/>
  <c r="AA50" i="44"/>
  <c r="AV111" i="44"/>
  <c r="Y6" i="44"/>
  <c r="AE19" i="46"/>
  <c r="AF27" i="45"/>
  <c r="AH57" i="46"/>
  <c r="Z74" i="44"/>
  <c r="Y90" i="44"/>
  <c r="AL34" i="39"/>
  <c r="AT50" i="38"/>
  <c r="N55" i="39"/>
  <c r="N148" i="36" s="1"/>
  <c r="I55" i="39"/>
  <c r="I148" i="36" s="1"/>
  <c r="S55" i="39"/>
  <c r="S148" i="36" s="1"/>
  <c r="X22" i="36"/>
  <c r="AC50" i="38"/>
  <c r="AG11" i="39"/>
  <c r="K50" i="38"/>
  <c r="AL11" i="39"/>
  <c r="T52" i="38"/>
  <c r="J22" i="39"/>
  <c r="U52" i="38"/>
  <c r="Z52" i="38"/>
  <c r="N37" i="39"/>
  <c r="X50" i="38"/>
  <c r="AA50" i="38"/>
  <c r="AE50" i="38"/>
  <c r="X48" i="38"/>
  <c r="AR50" i="38"/>
  <c r="AF50" i="38"/>
  <c r="AV34" i="39"/>
  <c r="AB34" i="39"/>
  <c r="AG34" i="39"/>
  <c r="V50" i="38"/>
  <c r="AB11" i="39"/>
  <c r="V8" i="39"/>
  <c r="W16" i="38"/>
  <c r="AC19" i="38"/>
  <c r="AD19" i="38" s="1"/>
  <c r="AE19" i="38" s="1"/>
  <c r="AF19" i="38" s="1"/>
  <c r="AB19" i="38"/>
  <c r="AC18" i="38"/>
  <c r="AD18" i="38" s="1"/>
  <c r="AE18" i="38" s="1"/>
  <c r="AF18" i="38" s="1"/>
  <c r="AB18" i="38"/>
  <c r="AC15" i="38"/>
  <c r="AD15" i="38" s="1"/>
  <c r="AE15" i="38" s="1"/>
  <c r="AF15" i="38" s="1"/>
  <c r="AB15" i="38"/>
  <c r="AC48" i="38"/>
  <c r="S42" i="38"/>
  <c r="Y55" i="38"/>
  <c r="T42" i="38"/>
  <c r="AC32" i="38"/>
  <c r="AD32" i="38" s="1"/>
  <c r="AE32" i="38" s="1"/>
  <c r="AF32" i="38" s="1"/>
  <c r="AB32" i="38"/>
  <c r="AC34" i="38"/>
  <c r="AD34" i="38" s="1"/>
  <c r="AE34" i="38" s="1"/>
  <c r="AF34" i="38" s="1"/>
  <c r="AB34" i="38"/>
  <c r="Y50" i="38"/>
  <c r="AS50" i="38"/>
  <c r="Y48" i="38"/>
  <c r="F24" i="39"/>
  <c r="E27" i="39"/>
  <c r="U30" i="38"/>
  <c r="U35" i="38" s="1"/>
  <c r="U42" i="38" s="1"/>
  <c r="V25" i="38"/>
  <c r="AH24" i="38"/>
  <c r="AI24" i="38" s="1"/>
  <c r="AJ24" i="38" s="1"/>
  <c r="AK24" i="38" s="1"/>
  <c r="AG24" i="38"/>
  <c r="L42" i="38"/>
  <c r="Z48" i="38"/>
  <c r="AH52" i="38"/>
  <c r="Y10" i="38"/>
  <c r="AB24" i="38"/>
  <c r="M47" i="39"/>
  <c r="M42" i="38"/>
  <c r="H17" i="39"/>
  <c r="N47" i="39"/>
  <c r="N63" i="38"/>
  <c r="N62" i="38"/>
  <c r="N30" i="38"/>
  <c r="N35" i="38" s="1"/>
  <c r="N42" i="38"/>
  <c r="AH39" i="38"/>
  <c r="AI39" i="38" s="1"/>
  <c r="AJ39" i="38" s="1"/>
  <c r="AK39" i="38" s="1"/>
  <c r="AG39" i="38"/>
  <c r="X16" i="38"/>
  <c r="X8" i="39" s="1"/>
  <c r="O42" i="38"/>
  <c r="O62" i="38"/>
  <c r="AC40" i="38"/>
  <c r="AD40" i="38" s="1"/>
  <c r="AE40" i="38" s="1"/>
  <c r="AF40" i="38" s="1"/>
  <c r="AB40" i="38"/>
  <c r="AD50" i="38"/>
  <c r="H30" i="38"/>
  <c r="H35" i="38" s="1"/>
  <c r="H42" i="38" s="1"/>
  <c r="V21" i="39"/>
  <c r="X23" i="38"/>
  <c r="W23" i="38"/>
  <c r="P42" i="38"/>
  <c r="P62" i="38"/>
  <c r="M30" i="38"/>
  <c r="M35" i="38" s="1"/>
  <c r="Y27" i="38"/>
  <c r="Z31" i="38"/>
  <c r="AA31" i="38" s="1"/>
  <c r="Q42" i="38"/>
  <c r="Q62" i="38"/>
  <c r="L52" i="38"/>
  <c r="L48" i="38"/>
  <c r="Q20" i="39"/>
  <c r="R20" i="39"/>
  <c r="Q30" i="39"/>
  <c r="R30" i="38"/>
  <c r="R35" i="38" s="1"/>
  <c r="R42" i="38" s="1"/>
  <c r="N52" i="38"/>
  <c r="N48" i="38"/>
  <c r="M32" i="39"/>
  <c r="AC33" i="38"/>
  <c r="AD33" i="38" s="1"/>
  <c r="AE33" i="38" s="1"/>
  <c r="AF33" i="38" s="1"/>
  <c r="AB33" i="38"/>
  <c r="AC26" i="38"/>
  <c r="AD26" i="38" s="1"/>
  <c r="AE26" i="38" s="1"/>
  <c r="AF26" i="38" s="1"/>
  <c r="AB26" i="38"/>
  <c r="Z55" i="38"/>
  <c r="X13" i="38"/>
  <c r="Y52" i="38"/>
  <c r="AD52" i="38"/>
  <c r="Y54" i="38"/>
  <c r="R15" i="39"/>
  <c r="E56" i="38"/>
  <c r="F7" i="39"/>
  <c r="O50" i="38"/>
  <c r="AI50" i="38"/>
  <c r="I62" i="38"/>
  <c r="K24" i="39"/>
  <c r="J27" i="39"/>
  <c r="R35" i="39"/>
  <c r="P35" i="39"/>
  <c r="Q35" i="39" s="1"/>
  <c r="S39" i="39"/>
  <c r="P50" i="38"/>
  <c r="AJ50" i="38"/>
  <c r="F52" i="38"/>
  <c r="J62" i="38"/>
  <c r="H9" i="39"/>
  <c r="Q10" i="39"/>
  <c r="R10" i="39" s="1"/>
  <c r="L17" i="39"/>
  <c r="M17" i="39" s="1"/>
  <c r="Q50" i="38"/>
  <c r="AK50" i="38"/>
  <c r="K62" i="38"/>
  <c r="E63" i="38"/>
  <c r="K9" i="39"/>
  <c r="L9" i="39" s="1"/>
  <c r="R17" i="39"/>
  <c r="H19" i="39"/>
  <c r="H34" i="39"/>
  <c r="V47" i="39"/>
  <c r="V29" i="39"/>
  <c r="S50" i="38"/>
  <c r="L62" i="38"/>
  <c r="E22" i="39"/>
  <c r="U24" i="39"/>
  <c r="T27" i="39"/>
  <c r="W28" i="38"/>
  <c r="W33" i="38"/>
  <c r="T50" i="38"/>
  <c r="AN50" i="38"/>
  <c r="J52" i="38"/>
  <c r="K7" i="39"/>
  <c r="G12" i="39"/>
  <c r="W17" i="39"/>
  <c r="X28" i="38"/>
  <c r="U50" i="38"/>
  <c r="AO50" i="38"/>
  <c r="K52" i="38"/>
  <c r="I63" i="38"/>
  <c r="L12" i="39"/>
  <c r="W13" i="39"/>
  <c r="J63" i="38"/>
  <c r="F16" i="39"/>
  <c r="G16" i="39" s="1"/>
  <c r="I37" i="39"/>
  <c r="J31" i="39"/>
  <c r="K31" i="39" s="1"/>
  <c r="L31" i="39" s="1"/>
  <c r="P34" i="39"/>
  <c r="Q34" i="39" s="1"/>
  <c r="K63" i="38"/>
  <c r="P12" i="39"/>
  <c r="W19" i="39"/>
  <c r="H26" i="39"/>
  <c r="U37" i="39"/>
  <c r="E30" i="38"/>
  <c r="E35" i="38" s="1"/>
  <c r="E42" i="38" s="1"/>
  <c r="W31" i="38"/>
  <c r="W39" i="38"/>
  <c r="O48" i="38"/>
  <c r="S62" i="38"/>
  <c r="L63" i="38"/>
  <c r="P7" i="39"/>
  <c r="R21" i="39"/>
  <c r="P21" i="39"/>
  <c r="Q21" i="39" s="1"/>
  <c r="M25" i="39"/>
  <c r="M26" i="39"/>
  <c r="W31" i="39"/>
  <c r="M33" i="39"/>
  <c r="W36" i="39"/>
  <c r="P48" i="38"/>
  <c r="T62" i="38"/>
  <c r="H11" i="39"/>
  <c r="R26" i="39"/>
  <c r="Q26" i="39"/>
  <c r="Q48" i="38"/>
  <c r="U62" i="38"/>
  <c r="L6" i="39"/>
  <c r="G11" i="39"/>
  <c r="W21" i="39"/>
  <c r="U25" i="39"/>
  <c r="R33" i="39"/>
  <c r="W19" i="38"/>
  <c r="S48" i="38"/>
  <c r="O56" i="38"/>
  <c r="U8" i="39"/>
  <c r="K11" i="39"/>
  <c r="L11" i="39" s="1"/>
  <c r="I30" i="38"/>
  <c r="I35" i="38" s="1"/>
  <c r="I42" i="38" s="1"/>
  <c r="T48" i="38"/>
  <c r="D62" i="38"/>
  <c r="J30" i="38"/>
  <c r="J35" i="38" s="1"/>
  <c r="J42" i="38" s="1"/>
  <c r="U48" i="38"/>
  <c r="E62" i="38"/>
  <c r="S63" i="38"/>
  <c r="H10" i="39"/>
  <c r="W11" i="39"/>
  <c r="M15" i="39"/>
  <c r="N39" i="39"/>
  <c r="K19" i="39"/>
  <c r="L19" i="39" s="1"/>
  <c r="U20" i="39"/>
  <c r="O24" i="39"/>
  <c r="K26" i="39"/>
  <c r="L26" i="39" s="1"/>
  <c r="F32" i="39"/>
  <c r="G32" i="39" s="1"/>
  <c r="U33" i="39"/>
  <c r="F36" i="39"/>
  <c r="G36" i="39" s="1"/>
  <c r="F29" i="39"/>
  <c r="F8" i="39"/>
  <c r="G8" i="39" s="1"/>
  <c r="U15" i="39"/>
  <c r="F25" i="39"/>
  <c r="S27" i="39"/>
  <c r="U35" i="39"/>
  <c r="P9" i="39"/>
  <c r="Q9" i="39" s="1"/>
  <c r="U12" i="39"/>
  <c r="K16" i="39"/>
  <c r="L16" i="39" s="1"/>
  <c r="P19" i="39"/>
  <c r="Q19" i="39" s="1"/>
  <c r="D27" i="39"/>
  <c r="D39" i="39" s="1"/>
  <c r="D41" i="39" s="1"/>
  <c r="R30" i="39"/>
  <c r="P31" i="39"/>
  <c r="Q31" i="39" s="1"/>
  <c r="K32" i="39"/>
  <c r="L32" i="39" s="1"/>
  <c r="F33" i="39"/>
  <c r="G33" i="39" s="1"/>
  <c r="K36" i="39"/>
  <c r="L36" i="39" s="1"/>
  <c r="T17" i="39"/>
  <c r="U17" i="39" s="1"/>
  <c r="G20" i="39"/>
  <c r="H20" i="39" s="1"/>
  <c r="O11" i="39"/>
  <c r="P11" i="39" s="1"/>
  <c r="Q11" i="39" s="1"/>
  <c r="K29" i="39"/>
  <c r="K38" i="39"/>
  <c r="L38" i="39" s="1"/>
  <c r="K8" i="39"/>
  <c r="L8" i="39" s="1"/>
  <c r="F15" i="39"/>
  <c r="G15" i="39" s="1"/>
  <c r="K18" i="39"/>
  <c r="L18" i="39" s="1"/>
  <c r="F35" i="39"/>
  <c r="G35" i="39" s="1"/>
  <c r="U9" i="39"/>
  <c r="P16" i="39"/>
  <c r="Q16" i="39" s="1"/>
  <c r="U31" i="39"/>
  <c r="P32" i="39"/>
  <c r="Q32" i="39" s="1"/>
  <c r="K33" i="39"/>
  <c r="L33" i="39" s="1"/>
  <c r="K10" i="39"/>
  <c r="F17" i="39"/>
  <c r="G17" i="39" s="1"/>
  <c r="L20" i="39"/>
  <c r="M20" i="39" s="1"/>
  <c r="I27" i="39"/>
  <c r="Q36" i="39"/>
  <c r="R36" i="39" s="1"/>
  <c r="P38" i="39"/>
  <c r="Q38" i="39" s="1"/>
  <c r="P8" i="39"/>
  <c r="Q8" i="39" s="1"/>
  <c r="U11" i="39"/>
  <c r="K15" i="39"/>
  <c r="L15" i="39" s="1"/>
  <c r="P18" i="39"/>
  <c r="Q18" i="39" s="1"/>
  <c r="P25" i="39"/>
  <c r="K35" i="39"/>
  <c r="L35" i="39" s="1"/>
  <c r="U32" i="39"/>
  <c r="W32" i="39" s="1"/>
  <c r="U36" i="39"/>
  <c r="AP172" i="70" l="1"/>
  <c r="AR18" i="73"/>
  <c r="AR18" i="70" s="1"/>
  <c r="AQ102" i="73"/>
  <c r="AQ102" i="70" s="1"/>
  <c r="AS170" i="73"/>
  <c r="AS170" i="70" s="1"/>
  <c r="AS168" i="70"/>
  <c r="AR172" i="73"/>
  <c r="AR28" i="73" s="1"/>
  <c r="AP18" i="70"/>
  <c r="AQ18" i="73"/>
  <c r="AQ18" i="70" s="1"/>
  <c r="AR117" i="70"/>
  <c r="AN121" i="70"/>
  <c r="AA71" i="73"/>
  <c r="AA72" i="73" s="1"/>
  <c r="AA105" i="73"/>
  <c r="AA106" i="73" s="1"/>
  <c r="AQ118" i="73"/>
  <c r="AQ117" i="70"/>
  <c r="AP120" i="73"/>
  <c r="AP118" i="70"/>
  <c r="AO121" i="73"/>
  <c r="AO120" i="70"/>
  <c r="AB131" i="73"/>
  <c r="AA131" i="73"/>
  <c r="Z25" i="73"/>
  <c r="AT173" i="73"/>
  <c r="AS173" i="70"/>
  <c r="AQ28" i="73"/>
  <c r="AF9" i="74"/>
  <c r="AF22" i="74"/>
  <c r="AD37" i="74"/>
  <c r="AG100" i="73"/>
  <c r="AG101" i="73" s="1"/>
  <c r="AT17" i="75"/>
  <c r="AU10" i="74"/>
  <c r="AD127" i="73"/>
  <c r="AC130" i="73"/>
  <c r="Z29" i="73"/>
  <c r="AU165" i="73"/>
  <c r="AU168" i="73" s="1"/>
  <c r="AT168" i="73"/>
  <c r="AU13" i="74"/>
  <c r="AI64" i="73"/>
  <c r="AI67" i="73"/>
  <c r="AI60" i="73"/>
  <c r="AK43" i="73"/>
  <c r="AK45" i="73" s="1"/>
  <c r="AK41" i="73"/>
  <c r="AJ57" i="73"/>
  <c r="AT31" i="73"/>
  <c r="AU31" i="73" s="1"/>
  <c r="AS47" i="75"/>
  <c r="AS63" i="74"/>
  <c r="AT28" i="74"/>
  <c r="AS29" i="75"/>
  <c r="AT22" i="73"/>
  <c r="AD99" i="73"/>
  <c r="AC103" i="73"/>
  <c r="AD14" i="74"/>
  <c r="AJ43" i="73"/>
  <c r="AJ45" i="73" s="1"/>
  <c r="AU153" i="73"/>
  <c r="AU155" i="73" s="1"/>
  <c r="AT155" i="73"/>
  <c r="AV155" i="73" s="1"/>
  <c r="AG93" i="73"/>
  <c r="AD35" i="75"/>
  <c r="AH64" i="73"/>
  <c r="AH60" i="73"/>
  <c r="AH67" i="73"/>
  <c r="AD22" i="74"/>
  <c r="AD9" i="74"/>
  <c r="AD16" i="75" s="1"/>
  <c r="AG9" i="73"/>
  <c r="AE16" i="75"/>
  <c r="AD15" i="75"/>
  <c r="AE15" i="75"/>
  <c r="AH8" i="73"/>
  <c r="AU125" i="73"/>
  <c r="AR102" i="73"/>
  <c r="AR102" i="70" s="1"/>
  <c r="AP14" i="73"/>
  <c r="AE18" i="75"/>
  <c r="AE30" i="74"/>
  <c r="AE35" i="74" s="1"/>
  <c r="AG11" i="73"/>
  <c r="AT20" i="75"/>
  <c r="AU25" i="74"/>
  <c r="AP52" i="73"/>
  <c r="AP54" i="73" s="1"/>
  <c r="AR50" i="73"/>
  <c r="AQ50" i="73"/>
  <c r="AB12" i="73"/>
  <c r="AB15" i="73" s="1"/>
  <c r="AA15" i="73"/>
  <c r="AF15" i="75"/>
  <c r="AG8" i="74"/>
  <c r="AR118" i="73"/>
  <c r="AS117" i="73"/>
  <c r="AO6" i="73"/>
  <c r="AD66" i="73"/>
  <c r="AC12" i="73"/>
  <c r="AC70" i="73"/>
  <c r="AH133" i="73"/>
  <c r="AT19" i="75"/>
  <c r="AU27" i="74"/>
  <c r="AT16" i="74"/>
  <c r="AT8" i="75" s="1"/>
  <c r="AU21" i="75"/>
  <c r="AV21" i="75" s="1"/>
  <c r="AV23" i="74"/>
  <c r="AJ76" i="73"/>
  <c r="AJ78" i="73" s="1"/>
  <c r="AJ74" i="73"/>
  <c r="AI90" i="73"/>
  <c r="AO85" i="73"/>
  <c r="AO87" i="73" s="1"/>
  <c r="AP83" i="73"/>
  <c r="AE53" i="74"/>
  <c r="AI76" i="73"/>
  <c r="AI78" i="73" s="1"/>
  <c r="AU10" i="75"/>
  <c r="AV10" i="75" s="1"/>
  <c r="AV9" i="75"/>
  <c r="AH79" i="73"/>
  <c r="AH95" i="73"/>
  <c r="AH10" i="73" s="1"/>
  <c r="AH92" i="73"/>
  <c r="AG13" i="73"/>
  <c r="AP30" i="73"/>
  <c r="AT33" i="75"/>
  <c r="AF59" i="65"/>
  <c r="AE133" i="65"/>
  <c r="AE67" i="65"/>
  <c r="AE60" i="65"/>
  <c r="AC15" i="67"/>
  <c r="AK87" i="65"/>
  <c r="AI134" i="65"/>
  <c r="AJ6" i="65"/>
  <c r="AD25" i="67"/>
  <c r="AD8" i="66"/>
  <c r="AD140" i="65"/>
  <c r="AD11" i="65"/>
  <c r="AD9" i="65"/>
  <c r="AH78" i="65"/>
  <c r="Z35" i="66"/>
  <c r="AD13" i="65"/>
  <c r="AG78" i="65"/>
  <c r="AG79" i="65" s="1"/>
  <c r="AG95" i="65"/>
  <c r="AC22" i="66"/>
  <c r="AC9" i="66"/>
  <c r="AM54" i="65"/>
  <c r="AE64" i="65"/>
  <c r="AL54" i="65"/>
  <c r="AE8" i="65"/>
  <c r="AF10" i="65"/>
  <c r="AA16" i="67"/>
  <c r="AB9" i="66"/>
  <c r="AA37" i="67"/>
  <c r="AB15" i="67"/>
  <c r="AA18" i="67"/>
  <c r="AB22" i="66"/>
  <c r="AA30" i="66"/>
  <c r="AC35" i="67"/>
  <c r="AF8" i="65"/>
  <c r="AE10" i="65"/>
  <c r="AH45" i="65"/>
  <c r="AG45" i="65"/>
  <c r="AS48" i="66"/>
  <c r="AJ143" i="65"/>
  <c r="AK143" i="65" s="1"/>
  <c r="AA37" i="66"/>
  <c r="AE53" i="67"/>
  <c r="AD12" i="67"/>
  <c r="AB35" i="67"/>
  <c r="AB37" i="67" s="1"/>
  <c r="AV40" i="66"/>
  <c r="AV39" i="66"/>
  <c r="AV32" i="66"/>
  <c r="AV31" i="66"/>
  <c r="AV34" i="66"/>
  <c r="AV33" i="66"/>
  <c r="AS8" i="67"/>
  <c r="AV24" i="66"/>
  <c r="AV26" i="66"/>
  <c r="AV19" i="66"/>
  <c r="AV18" i="66"/>
  <c r="AV15" i="66"/>
  <c r="AO28" i="65"/>
  <c r="AO28" i="70" s="1"/>
  <c r="AR118" i="65"/>
  <c r="AS117" i="65"/>
  <c r="AO121" i="65"/>
  <c r="AQ18" i="65"/>
  <c r="AP120" i="65"/>
  <c r="AP28" i="65"/>
  <c r="AP28" i="70" s="1"/>
  <c r="AR14" i="65"/>
  <c r="AQ120" i="65"/>
  <c r="AS102" i="65"/>
  <c r="AR170" i="65"/>
  <c r="AD144" i="65"/>
  <c r="AT128" i="65"/>
  <c r="AT126" i="65"/>
  <c r="AT129" i="65"/>
  <c r="AT129" i="70" s="1"/>
  <c r="AP10" i="67"/>
  <c r="AQ9" i="67"/>
  <c r="AG8" i="65"/>
  <c r="AU35" i="65"/>
  <c r="AP57" i="67"/>
  <c r="AQ33" i="67"/>
  <c r="AT26" i="65"/>
  <c r="AR9" i="67"/>
  <c r="AS47" i="67"/>
  <c r="AS29" i="67"/>
  <c r="AT28" i="66"/>
  <c r="AS63" i="66"/>
  <c r="AT22" i="65"/>
  <c r="AU27" i="66"/>
  <c r="AT19" i="67"/>
  <c r="AT16" i="66"/>
  <c r="AR136" i="65"/>
  <c r="AR172" i="65"/>
  <c r="AR18" i="65"/>
  <c r="AU125" i="65"/>
  <c r="AT119" i="65"/>
  <c r="AS16" i="65"/>
  <c r="AT165" i="65"/>
  <c r="AS168" i="65"/>
  <c r="AN155" i="65"/>
  <c r="AO153" i="65"/>
  <c r="AS17" i="67"/>
  <c r="AT10" i="66"/>
  <c r="AM31" i="65"/>
  <c r="AM85" i="65"/>
  <c r="AN83" i="65"/>
  <c r="AT69" i="65"/>
  <c r="AT69" i="70" s="1"/>
  <c r="AS20" i="67"/>
  <c r="AT25" i="66"/>
  <c r="AJ74" i="65"/>
  <c r="AI90" i="65"/>
  <c r="AM30" i="65"/>
  <c r="AI76" i="65"/>
  <c r="AF133" i="65"/>
  <c r="AT13" i="66"/>
  <c r="AS21" i="67"/>
  <c r="AT23" i="66"/>
  <c r="AJ41" i="65"/>
  <c r="AI57" i="65"/>
  <c r="AF93" i="65"/>
  <c r="AF97" i="65"/>
  <c r="AF100" i="65"/>
  <c r="AG92" i="65"/>
  <c r="AH79" i="65"/>
  <c r="AH95" i="65"/>
  <c r="AH92" i="65"/>
  <c r="AN52" i="65"/>
  <c r="AO50" i="65"/>
  <c r="AI43" i="65"/>
  <c r="AG62" i="65"/>
  <c r="AB8" i="57"/>
  <c r="AB8" i="62" s="1"/>
  <c r="T43" i="57"/>
  <c r="T43" i="62" s="1"/>
  <c r="T53" i="57"/>
  <c r="T53" i="62" s="1"/>
  <c r="V48" i="58"/>
  <c r="V48" i="63" s="1"/>
  <c r="V46" i="63"/>
  <c r="U20" i="57"/>
  <c r="U20" i="62" s="1"/>
  <c r="U11" i="62"/>
  <c r="U48" i="58"/>
  <c r="U48" i="63" s="1"/>
  <c r="U46" i="63"/>
  <c r="V20" i="57"/>
  <c r="V20" i="62" s="1"/>
  <c r="V11" i="62"/>
  <c r="R43" i="57"/>
  <c r="R43" i="62" s="1"/>
  <c r="R20" i="62"/>
  <c r="Z30" i="57"/>
  <c r="Z35" i="57" s="1"/>
  <c r="Z35" i="62" s="1"/>
  <c r="Z18" i="58"/>
  <c r="Z18" i="63" s="1"/>
  <c r="AU55" i="57"/>
  <c r="AU55" i="62" s="1"/>
  <c r="AQ22" i="56"/>
  <c r="AQ22" i="61" s="1"/>
  <c r="AP22" i="61"/>
  <c r="AP28" i="62"/>
  <c r="AP29" i="58"/>
  <c r="AP47" i="58"/>
  <c r="AP47" i="63" s="1"/>
  <c r="AQ28" i="57"/>
  <c r="AR28" i="57"/>
  <c r="AP63" i="57"/>
  <c r="AP63" i="62" s="1"/>
  <c r="AR22" i="56"/>
  <c r="AR22" i="61" s="1"/>
  <c r="AB94" i="56"/>
  <c r="AB94" i="61" s="1"/>
  <c r="AI31" i="56"/>
  <c r="AJ31" i="56" s="1"/>
  <c r="AA9" i="57"/>
  <c r="AA9" i="62" s="1"/>
  <c r="AB12" i="58"/>
  <c r="AB12" i="63" s="1"/>
  <c r="AH134" i="56"/>
  <c r="AC9" i="57"/>
  <c r="AC9" i="62" s="1"/>
  <c r="AA22" i="57"/>
  <c r="AA22" i="62" s="1"/>
  <c r="AC22" i="57"/>
  <c r="AC22" i="62" s="1"/>
  <c r="AA15" i="58"/>
  <c r="AB15" i="58" s="1"/>
  <c r="AB15" i="63" s="1"/>
  <c r="AB13" i="56"/>
  <c r="AB13" i="61" s="1"/>
  <c r="AD133" i="56"/>
  <c r="AB97" i="61"/>
  <c r="AB25" i="63"/>
  <c r="AD8" i="56"/>
  <c r="AD12" i="58" s="1"/>
  <c r="AD12" i="63" s="1"/>
  <c r="AD97" i="56"/>
  <c r="AD97" i="61" s="1"/>
  <c r="AI6" i="56"/>
  <c r="AI134" i="56" s="1"/>
  <c r="AD100" i="56"/>
  <c r="AD100" i="61" s="1"/>
  <c r="AD93" i="56"/>
  <c r="AD9" i="56" s="1"/>
  <c r="AD9" i="61" s="1"/>
  <c r="Z9" i="62"/>
  <c r="Z16" i="58"/>
  <c r="Z16" i="63" s="1"/>
  <c r="AC8" i="61"/>
  <c r="AC12" i="58"/>
  <c r="AC12" i="63" s="1"/>
  <c r="AC25" i="58"/>
  <c r="AC25" i="63" s="1"/>
  <c r="AC8" i="57"/>
  <c r="AC140" i="56"/>
  <c r="AC140" i="61" s="1"/>
  <c r="AF92" i="56"/>
  <c r="AF92" i="61" s="1"/>
  <c r="AF5" i="56"/>
  <c r="AF8" i="56" s="1"/>
  <c r="AF8" i="61" s="1"/>
  <c r="AF79" i="56"/>
  <c r="AF79" i="61" s="1"/>
  <c r="AF95" i="56"/>
  <c r="AF10" i="56" s="1"/>
  <c r="AF10" i="61" s="1"/>
  <c r="AF76" i="61"/>
  <c r="AH67" i="56"/>
  <c r="AH67" i="61" s="1"/>
  <c r="AA37" i="58"/>
  <c r="AA37" i="63" s="1"/>
  <c r="AH60" i="56"/>
  <c r="AH60" i="61" s="1"/>
  <c r="AH64" i="56"/>
  <c r="AH64" i="61" s="1"/>
  <c r="AJ43" i="56"/>
  <c r="AJ43" i="61" s="1"/>
  <c r="AB35" i="58"/>
  <c r="AB37" i="58" s="1"/>
  <c r="AB37" i="63" s="1"/>
  <c r="AT54" i="57"/>
  <c r="AU54" i="57" s="1"/>
  <c r="AU54" i="62" s="1"/>
  <c r="AG62" i="61"/>
  <c r="AJ87" i="56"/>
  <c r="AJ85" i="61"/>
  <c r="Y37" i="62"/>
  <c r="Z37" i="57"/>
  <c r="AL90" i="56"/>
  <c r="AL90" i="61" s="1"/>
  <c r="AF90" i="61"/>
  <c r="AL139" i="56"/>
  <c r="AL139" i="61" s="1"/>
  <c r="AG74" i="61"/>
  <c r="AG78" i="56"/>
  <c r="AF78" i="61"/>
  <c r="AE78" i="61"/>
  <c r="AE79" i="56"/>
  <c r="AE79" i="61" s="1"/>
  <c r="AE95" i="56"/>
  <c r="AE92" i="56"/>
  <c r="AE5" i="56"/>
  <c r="AE133" i="56" s="1"/>
  <c r="Y35" i="57"/>
  <c r="Y35" i="62" s="1"/>
  <c r="Y30" i="62"/>
  <c r="AK54" i="56"/>
  <c r="AK54" i="61" s="1"/>
  <c r="AK52" i="61"/>
  <c r="AC143" i="61"/>
  <c r="AD143" i="56"/>
  <c r="AE143" i="56" s="1"/>
  <c r="AF53" i="58"/>
  <c r="AE53" i="63"/>
  <c r="AU40" i="57"/>
  <c r="AT40" i="62"/>
  <c r="AU32" i="57"/>
  <c r="AT32" i="62"/>
  <c r="AU31" i="57"/>
  <c r="AT31" i="62"/>
  <c r="AU34" i="57"/>
  <c r="AT34" i="62"/>
  <c r="AS33" i="57"/>
  <c r="AR33" i="62"/>
  <c r="AQ19" i="58"/>
  <c r="AQ19" i="63" s="1"/>
  <c r="AP19" i="63"/>
  <c r="AU26" i="57"/>
  <c r="AT26" i="62"/>
  <c r="AU24" i="57"/>
  <c r="AT24" i="62"/>
  <c r="AQ21" i="58"/>
  <c r="AQ21" i="63" s="1"/>
  <c r="AT15" i="57"/>
  <c r="AS15" i="62"/>
  <c r="AU18" i="57"/>
  <c r="AT18" i="62"/>
  <c r="AT19" i="57"/>
  <c r="AS19" i="62"/>
  <c r="AO102" i="61"/>
  <c r="AP102" i="56"/>
  <c r="AP14" i="56" s="1"/>
  <c r="AP14" i="61" s="1"/>
  <c r="AO28" i="56"/>
  <c r="AO28" i="61" s="1"/>
  <c r="AO172" i="61"/>
  <c r="AR170" i="56"/>
  <c r="AR168" i="61"/>
  <c r="AT165" i="56"/>
  <c r="AS165" i="61"/>
  <c r="AS168" i="56"/>
  <c r="AO14" i="56"/>
  <c r="AO14" i="61" s="1"/>
  <c r="AP170" i="61"/>
  <c r="AP172" i="56"/>
  <c r="AP18" i="56"/>
  <c r="AU145" i="56"/>
  <c r="AU145" i="61" s="1"/>
  <c r="AT145" i="61"/>
  <c r="AR129" i="61"/>
  <c r="AS129" i="56"/>
  <c r="AO121" i="56"/>
  <c r="AO121" i="61" s="1"/>
  <c r="AO120" i="61"/>
  <c r="AO136" i="56"/>
  <c r="AO16" i="61"/>
  <c r="AN10" i="58"/>
  <c r="AN10" i="63" s="1"/>
  <c r="AN9" i="63"/>
  <c r="AQ69" i="56"/>
  <c r="AQ69" i="61" s="1"/>
  <c r="AP69" i="61"/>
  <c r="AJ45" i="56"/>
  <c r="AJ46" i="56" s="1"/>
  <c r="AJ46" i="61" s="1"/>
  <c r="AI45" i="56"/>
  <c r="AI45" i="61" s="1"/>
  <c r="AI43" i="61"/>
  <c r="AE67" i="61"/>
  <c r="AG67" i="56"/>
  <c r="AE60" i="61"/>
  <c r="AG60" i="56"/>
  <c r="AE64" i="61"/>
  <c r="AG64" i="56"/>
  <c r="AQ35" i="56"/>
  <c r="AQ35" i="61" s="1"/>
  <c r="AP35" i="61"/>
  <c r="AK155" i="56"/>
  <c r="AK153" i="61"/>
  <c r="AJ30" i="56"/>
  <c r="AJ30" i="61" s="1"/>
  <c r="AJ155" i="61"/>
  <c r="AK57" i="58"/>
  <c r="AK57" i="63" s="1"/>
  <c r="AL33" i="58"/>
  <c r="AK33" i="63"/>
  <c r="AH30" i="61"/>
  <c r="AM33" i="58"/>
  <c r="AN33" i="58"/>
  <c r="AN33" i="63" s="1"/>
  <c r="AJ58" i="58"/>
  <c r="AJ57" i="63"/>
  <c r="AP26" i="56"/>
  <c r="AQ26" i="56" s="1"/>
  <c r="AQ26" i="61" s="1"/>
  <c r="AO26" i="61"/>
  <c r="AM153" i="56"/>
  <c r="AM153" i="61" s="1"/>
  <c r="AR119" i="56"/>
  <c r="AR119" i="61" s="1"/>
  <c r="AP16" i="56"/>
  <c r="AQ16" i="56" s="1"/>
  <c r="AQ16" i="61" s="1"/>
  <c r="AP120" i="56"/>
  <c r="AQ119" i="56"/>
  <c r="AR13" i="57"/>
  <c r="AR13" i="62" s="1"/>
  <c r="AQ13" i="57"/>
  <c r="AQ13" i="62" s="1"/>
  <c r="AT118" i="56"/>
  <c r="AT118" i="61" s="1"/>
  <c r="AI74" i="56"/>
  <c r="AI74" i="61" s="1"/>
  <c r="AH90" i="56"/>
  <c r="AH90" i="61" s="1"/>
  <c r="AU117" i="56"/>
  <c r="AO9" i="58"/>
  <c r="AO9" i="63" s="1"/>
  <c r="W46" i="58"/>
  <c r="W11" i="57"/>
  <c r="U53" i="57"/>
  <c r="U53" i="62" s="1"/>
  <c r="U43" i="57"/>
  <c r="U43" i="62" s="1"/>
  <c r="AO20" i="58"/>
  <c r="AO20" i="63" s="1"/>
  <c r="AP25" i="57"/>
  <c r="AP25" i="62" s="1"/>
  <c r="AR35" i="56"/>
  <c r="AR35" i="61" s="1"/>
  <c r="AH76" i="56"/>
  <c r="AR21" i="58"/>
  <c r="AR21" i="63" s="1"/>
  <c r="AS23" i="57"/>
  <c r="AS23" i="62" s="1"/>
  <c r="AK85" i="56"/>
  <c r="AM83" i="56"/>
  <c r="AM83" i="61" s="1"/>
  <c r="AL83" i="56"/>
  <c r="AL83" i="61" s="1"/>
  <c r="AS17" i="58"/>
  <c r="AS17" i="63" s="1"/>
  <c r="AT10" i="57"/>
  <c r="AT10" i="62" s="1"/>
  <c r="AR69" i="56"/>
  <c r="AR69" i="61" s="1"/>
  <c r="AP8" i="58"/>
  <c r="AQ16" i="57"/>
  <c r="AQ16" i="62" s="1"/>
  <c r="AM52" i="56"/>
  <c r="AN50" i="56"/>
  <c r="AN50" i="61" s="1"/>
  <c r="AR19" i="58"/>
  <c r="AR19" i="63" s="1"/>
  <c r="AS27" i="57"/>
  <c r="AS27" i="62" s="1"/>
  <c r="AR16" i="57"/>
  <c r="AL54" i="56"/>
  <c r="AL54" i="61" s="1"/>
  <c r="AK41" i="56"/>
  <c r="AK41" i="61" s="1"/>
  <c r="AJ57" i="56"/>
  <c r="AJ57" i="61" s="1"/>
  <c r="AP35" i="48"/>
  <c r="AA99" i="48"/>
  <c r="Z103" i="48"/>
  <c r="Z105" i="48" s="1"/>
  <c r="Z106" i="48" s="1"/>
  <c r="AC35" i="50"/>
  <c r="AA37" i="50"/>
  <c r="AB35" i="50"/>
  <c r="AB37" i="50" s="1"/>
  <c r="AE64" i="48"/>
  <c r="AE67" i="48"/>
  <c r="AE60" i="48"/>
  <c r="AE79" i="48"/>
  <c r="AE95" i="48"/>
  <c r="AE10" i="48" s="1"/>
  <c r="AE92" i="48"/>
  <c r="AG78" i="48"/>
  <c r="AG79" i="48" s="1"/>
  <c r="AR13" i="49"/>
  <c r="AQ13" i="49"/>
  <c r="AO17" i="50"/>
  <c r="AP10" i="49"/>
  <c r="AP23" i="49"/>
  <c r="AO21" i="50"/>
  <c r="AR165" i="48"/>
  <c r="AP168" i="48"/>
  <c r="AP170" i="48" s="1"/>
  <c r="AP56" i="49"/>
  <c r="AJ52" i="48"/>
  <c r="AJ54" i="48" s="1"/>
  <c r="AK50" i="48"/>
  <c r="AE5" i="48"/>
  <c r="AE8" i="48" s="1"/>
  <c r="AH41" i="48"/>
  <c r="AH43" i="48" s="1"/>
  <c r="AH45" i="48" s="1"/>
  <c r="AG41" i="48"/>
  <c r="AF57" i="48"/>
  <c r="AL57" i="48" s="1"/>
  <c r="AH74" i="48"/>
  <c r="AG74" i="48"/>
  <c r="AF90" i="48"/>
  <c r="AL90" i="48" s="1"/>
  <c r="AF133" i="48"/>
  <c r="AF46" i="48"/>
  <c r="AF5" i="48"/>
  <c r="AF8" i="48" s="1"/>
  <c r="AF62" i="48"/>
  <c r="AF59" i="48"/>
  <c r="AF79" i="48"/>
  <c r="AF95" i="48"/>
  <c r="AF92" i="48"/>
  <c r="Y106" i="48"/>
  <c r="AJ30" i="48"/>
  <c r="AN33" i="50"/>
  <c r="AN57" i="50" s="1"/>
  <c r="AK85" i="48"/>
  <c r="AK87" i="48" s="1"/>
  <c r="AM83" i="48"/>
  <c r="AL83" i="48"/>
  <c r="AI6" i="48"/>
  <c r="AE133" i="48"/>
  <c r="AK20" i="50"/>
  <c r="AL20" i="50" s="1"/>
  <c r="AM25" i="49"/>
  <c r="AL25" i="49"/>
  <c r="AB14" i="49"/>
  <c r="AC7" i="50" s="1"/>
  <c r="Y72" i="48"/>
  <c r="AO9" i="50"/>
  <c r="AQ16" i="48"/>
  <c r="T53" i="49"/>
  <c r="T43" i="49"/>
  <c r="AP136" i="48"/>
  <c r="AR119" i="48"/>
  <c r="AP16" i="48"/>
  <c r="AP9" i="50" s="1"/>
  <c r="AP10" i="50" s="1"/>
  <c r="AQ119" i="48"/>
  <c r="AQ120" i="48" s="1"/>
  <c r="AQ121" i="48" s="1"/>
  <c r="AP120" i="48"/>
  <c r="AP121" i="48" s="1"/>
  <c r="AD64" i="48"/>
  <c r="AD60" i="48"/>
  <c r="AD67" i="48"/>
  <c r="AG59" i="48"/>
  <c r="AM57" i="50"/>
  <c r="Y15" i="48"/>
  <c r="Y17" i="48" s="1"/>
  <c r="Y137" i="48" s="1"/>
  <c r="AA37" i="49"/>
  <c r="AO136" i="48"/>
  <c r="AJ155" i="48"/>
  <c r="AJ31" i="48" s="1"/>
  <c r="AK31" i="48" s="1"/>
  <c r="AK153" i="48"/>
  <c r="AK155" i="48" s="1"/>
  <c r="AN29" i="50"/>
  <c r="AN47" i="50"/>
  <c r="AO28" i="49"/>
  <c r="AN63" i="49"/>
  <c r="AO22" i="48"/>
  <c r="AD10" i="48"/>
  <c r="AG62" i="48"/>
  <c r="AG63" i="48" s="1"/>
  <c r="AP102" i="48"/>
  <c r="AO14" i="48"/>
  <c r="AA66" i="48"/>
  <c r="AB66" i="48" s="1"/>
  <c r="AB70" i="48" s="1"/>
  <c r="Z12" i="48"/>
  <c r="Z15" i="48" s="1"/>
  <c r="Z17" i="48" s="1"/>
  <c r="Z70" i="48"/>
  <c r="Z71" i="48" s="1"/>
  <c r="AD8" i="48"/>
  <c r="AO172" i="48"/>
  <c r="AO28" i="48" s="1"/>
  <c r="AO18" i="48"/>
  <c r="AC9" i="49"/>
  <c r="AC16" i="50" s="1"/>
  <c r="AC22" i="49"/>
  <c r="AO19" i="50"/>
  <c r="AP27" i="49"/>
  <c r="AO16" i="49"/>
  <c r="AO8" i="50" s="1"/>
  <c r="AD133" i="48"/>
  <c r="AS69" i="48"/>
  <c r="AA127" i="48"/>
  <c r="Z130" i="48"/>
  <c r="Z131" i="48" s="1"/>
  <c r="AV129" i="48"/>
  <c r="AA18" i="50"/>
  <c r="AB18" i="50" s="1"/>
  <c r="AA30" i="49"/>
  <c r="AA35" i="49" s="1"/>
  <c r="AB22" i="49"/>
  <c r="AB30" i="49" s="1"/>
  <c r="AB35" i="49" s="1"/>
  <c r="U46" i="50"/>
  <c r="U48" i="50" s="1"/>
  <c r="U11" i="49"/>
  <c r="U20" i="49" s="1"/>
  <c r="U144" i="48"/>
  <c r="AQ35" i="48"/>
  <c r="AU117" i="48"/>
  <c r="AU129" i="48"/>
  <c r="AD93" i="48"/>
  <c r="AD97" i="48"/>
  <c r="AD100" i="48"/>
  <c r="AA16" i="50"/>
  <c r="AB16" i="50" s="1"/>
  <c r="AB9" i="49"/>
  <c r="V46" i="50"/>
  <c r="V48" i="50" s="1"/>
  <c r="V11" i="49"/>
  <c r="V20" i="49" s="1"/>
  <c r="W6" i="49"/>
  <c r="V144" i="48"/>
  <c r="X144" i="48" s="1"/>
  <c r="Y144" i="48" s="1"/>
  <c r="Z144" i="48" s="1"/>
  <c r="AA144" i="48" s="1"/>
  <c r="AC144" i="48" s="1"/>
  <c r="AD144" i="48" s="1"/>
  <c r="AE144" i="48" s="1"/>
  <c r="AF144" i="48" s="1"/>
  <c r="AH144" i="48" s="1"/>
  <c r="AI144" i="48" s="1"/>
  <c r="AJ144" i="48" s="1"/>
  <c r="AK144" i="48" s="1"/>
  <c r="AM144" i="48" s="1"/>
  <c r="AN144" i="48" s="1"/>
  <c r="AO144" i="48" s="1"/>
  <c r="AP144" i="48" s="1"/>
  <c r="AR144" i="48" s="1"/>
  <c r="AS144" i="48" s="1"/>
  <c r="AT144" i="48" s="1"/>
  <c r="AU144" i="48" s="1"/>
  <c r="AB58" i="46"/>
  <c r="AF63" i="45"/>
  <c r="AE18" i="44"/>
  <c r="AE28" i="44"/>
  <c r="AG22" i="44"/>
  <c r="AU56" i="46"/>
  <c r="AT56" i="46"/>
  <c r="AF173" i="44"/>
  <c r="AF170" i="44"/>
  <c r="AF168" i="44"/>
  <c r="AD28" i="44"/>
  <c r="AD172" i="44"/>
  <c r="AG102" i="44"/>
  <c r="AF102" i="44"/>
  <c r="AD121" i="44"/>
  <c r="AD120" i="44"/>
  <c r="AF117" i="44"/>
  <c r="AE118" i="44"/>
  <c r="AF145" i="44"/>
  <c r="AE129" i="44"/>
  <c r="AG119" i="44"/>
  <c r="AF16" i="44"/>
  <c r="AV116" i="44"/>
  <c r="AV115" i="44"/>
  <c r="AV113" i="44"/>
  <c r="AV112" i="44"/>
  <c r="AC87" i="44"/>
  <c r="AC85" i="44"/>
  <c r="AB87" i="44"/>
  <c r="AA87" i="44"/>
  <c r="X93" i="44"/>
  <c r="X100" i="44"/>
  <c r="X97" i="44"/>
  <c r="Z54" i="44"/>
  <c r="Z52" i="44"/>
  <c r="Y134" i="44"/>
  <c r="AB57" i="44"/>
  <c r="V57" i="44"/>
  <c r="V45" i="44"/>
  <c r="V43" i="44"/>
  <c r="AB139" i="44"/>
  <c r="W41" i="44"/>
  <c r="AM54" i="45"/>
  <c r="AK54" i="45"/>
  <c r="AI55" i="45"/>
  <c r="AE40" i="45"/>
  <c r="AG39" i="45"/>
  <c r="AF39" i="45"/>
  <c r="AH34" i="45"/>
  <c r="AH33" i="45"/>
  <c r="AF32" i="45"/>
  <c r="AG32" i="45"/>
  <c r="AF31" i="45"/>
  <c r="AH29" i="46"/>
  <c r="AG31" i="45"/>
  <c r="AE8" i="46"/>
  <c r="AE16" i="45"/>
  <c r="AE26" i="45"/>
  <c r="AH24" i="45"/>
  <c r="AF19" i="45"/>
  <c r="AG19" i="45"/>
  <c r="AF18" i="45"/>
  <c r="AG18" i="45"/>
  <c r="AE15" i="45"/>
  <c r="AE53" i="46"/>
  <c r="AF26" i="44"/>
  <c r="AC58" i="46"/>
  <c r="AI57" i="46"/>
  <c r="AI33" i="46"/>
  <c r="AU182" i="44"/>
  <c r="AU183" i="44"/>
  <c r="AU180" i="44"/>
  <c r="Z6" i="44"/>
  <c r="AN54" i="45"/>
  <c r="AH47" i="46"/>
  <c r="AI28" i="45"/>
  <c r="AH63" i="45"/>
  <c r="AE83" i="44"/>
  <c r="AF35" i="44"/>
  <c r="AG35" i="44"/>
  <c r="Y100" i="44"/>
  <c r="Y97" i="44"/>
  <c r="Y93" i="44"/>
  <c r="V46" i="44"/>
  <c r="V62" i="44"/>
  <c r="V59" i="44"/>
  <c r="AG9" i="46"/>
  <c r="AD56" i="45"/>
  <c r="AF13" i="45"/>
  <c r="AI165" i="44"/>
  <c r="Y41" i="44"/>
  <c r="X57" i="44"/>
  <c r="AU44" i="44"/>
  <c r="AF21" i="46"/>
  <c r="AG23" i="45"/>
  <c r="AH23" i="45"/>
  <c r="AH27" i="45"/>
  <c r="AG27" i="45"/>
  <c r="AF16" i="45"/>
  <c r="AH69" i="44"/>
  <c r="AG69" i="44"/>
  <c r="AI119" i="44"/>
  <c r="AH16" i="44"/>
  <c r="AA74" i="44"/>
  <c r="Z90" i="44"/>
  <c r="AC50" i="44"/>
  <c r="AB50" i="44"/>
  <c r="AK163" i="44"/>
  <c r="AF10" i="45"/>
  <c r="AE17" i="46"/>
  <c r="J55" i="39"/>
  <c r="J148" i="36" s="1"/>
  <c r="W8" i="39"/>
  <c r="Y22" i="36"/>
  <c r="K22" i="39"/>
  <c r="Q37" i="39"/>
  <c r="M11" i="39"/>
  <c r="AE52" i="38"/>
  <c r="AM50" i="38"/>
  <c r="AF52" i="38"/>
  <c r="AA52" i="38"/>
  <c r="O22" i="39"/>
  <c r="O55" i="39" s="1"/>
  <c r="O148" i="36" s="1"/>
  <c r="E40" i="39"/>
  <c r="D6" i="38"/>
  <c r="F22" i="39"/>
  <c r="F56" i="38"/>
  <c r="G7" i="39"/>
  <c r="AA48" i="38"/>
  <c r="V20" i="39"/>
  <c r="W20" i="39" s="1"/>
  <c r="W25" i="38"/>
  <c r="X25" i="38"/>
  <c r="AH34" i="38"/>
  <c r="AI34" i="38" s="1"/>
  <c r="AJ34" i="38" s="1"/>
  <c r="AK34" i="38" s="1"/>
  <c r="AG34" i="38"/>
  <c r="F37" i="39"/>
  <c r="G29" i="39"/>
  <c r="P22" i="39"/>
  <c r="P55" i="39" s="1"/>
  <c r="P148" i="36" s="1"/>
  <c r="AH32" i="38"/>
  <c r="AI32" i="38" s="1"/>
  <c r="AJ32" i="38" s="1"/>
  <c r="AK32" i="38" s="1"/>
  <c r="AG32" i="38"/>
  <c r="AH15" i="38"/>
  <c r="AI15" i="38" s="1"/>
  <c r="AJ15" i="38" s="1"/>
  <c r="AK15" i="38" s="1"/>
  <c r="AG15" i="38"/>
  <c r="M38" i="39"/>
  <c r="H7" i="39"/>
  <c r="AH26" i="38"/>
  <c r="AI26" i="38" s="1"/>
  <c r="AJ26" i="38" s="1"/>
  <c r="AK26" i="38" s="1"/>
  <c r="AG26" i="38"/>
  <c r="AM24" i="38"/>
  <c r="AN24" i="38" s="1"/>
  <c r="AO24" i="38" s="1"/>
  <c r="AP24" i="38" s="1"/>
  <c r="AL24" i="38"/>
  <c r="M36" i="39"/>
  <c r="X47" i="39"/>
  <c r="X29" i="39"/>
  <c r="Y28" i="38"/>
  <c r="X63" i="38"/>
  <c r="G24" i="39"/>
  <c r="F27" i="39"/>
  <c r="H33" i="39"/>
  <c r="R38" i="39"/>
  <c r="H36" i="39"/>
  <c r="AB31" i="38"/>
  <c r="AB67" i="38" s="1"/>
  <c r="AC31" i="38"/>
  <c r="AD31" i="38" s="1"/>
  <c r="AE31" i="38" s="1"/>
  <c r="AF31" i="38" s="1"/>
  <c r="H24" i="39"/>
  <c r="R16" i="39"/>
  <c r="R31" i="39"/>
  <c r="R19" i="39"/>
  <c r="J37" i="39"/>
  <c r="J39" i="39" s="1"/>
  <c r="E39" i="39"/>
  <c r="Z54" i="38"/>
  <c r="Y19" i="39"/>
  <c r="Z27" i="38"/>
  <c r="X21" i="39"/>
  <c r="Y23" i="38"/>
  <c r="AM39" i="38"/>
  <c r="AN39" i="38" s="1"/>
  <c r="AO39" i="38" s="1"/>
  <c r="AP39" i="38" s="1"/>
  <c r="AL39" i="38"/>
  <c r="AH18" i="38"/>
  <c r="AI18" i="38" s="1"/>
  <c r="AJ18" i="38" s="1"/>
  <c r="AK18" i="38" s="1"/>
  <c r="AG18" i="38"/>
  <c r="K37" i="39"/>
  <c r="L29" i="39"/>
  <c r="W29" i="39"/>
  <c r="R34" i="39"/>
  <c r="W47" i="39"/>
  <c r="W63" i="38"/>
  <c r="R32" i="39"/>
  <c r="Y17" i="39"/>
  <c r="Z10" i="38"/>
  <c r="M35" i="39"/>
  <c r="G25" i="39"/>
  <c r="Q25" i="39"/>
  <c r="M18" i="39"/>
  <c r="M16" i="39"/>
  <c r="M31" i="39"/>
  <c r="M12" i="39"/>
  <c r="L24" i="39"/>
  <c r="K27" i="39"/>
  <c r="Y13" i="38"/>
  <c r="AH33" i="38"/>
  <c r="AI33" i="38" s="1"/>
  <c r="AJ33" i="38" s="1"/>
  <c r="AK33" i="38" s="1"/>
  <c r="AG33" i="38"/>
  <c r="H32" i="39"/>
  <c r="Y16" i="38"/>
  <c r="Y8" i="39" s="1"/>
  <c r="L10" i="39"/>
  <c r="P24" i="39"/>
  <c r="O27" i="39"/>
  <c r="R8" i="39"/>
  <c r="M8" i="39"/>
  <c r="I39" i="39"/>
  <c r="H12" i="39"/>
  <c r="U27" i="39"/>
  <c r="P37" i="39"/>
  <c r="AD48" i="38"/>
  <c r="AP50" i="38"/>
  <c r="R18" i="39"/>
  <c r="P56" i="38"/>
  <c r="Q7" i="39"/>
  <c r="Q12" i="39"/>
  <c r="AC52" i="38"/>
  <c r="AG19" i="38"/>
  <c r="AH19" i="38"/>
  <c r="AI19" i="38" s="1"/>
  <c r="AJ19" i="38" s="1"/>
  <c r="AK19" i="38" s="1"/>
  <c r="AH48" i="38"/>
  <c r="H15" i="39"/>
  <c r="M19" i="39"/>
  <c r="M9" i="39"/>
  <c r="Z16" i="38"/>
  <c r="Z8" i="39" s="1"/>
  <c r="H35" i="39"/>
  <c r="AE48" i="38"/>
  <c r="AH40" i="38"/>
  <c r="AI40" i="38" s="1"/>
  <c r="AJ40" i="38" s="1"/>
  <c r="AK40" i="38" s="1"/>
  <c r="AG40" i="38"/>
  <c r="R11" i="39"/>
  <c r="H16" i="39"/>
  <c r="R9" i="39"/>
  <c r="AA55" i="38"/>
  <c r="H8" i="39"/>
  <c r="K56" i="38"/>
  <c r="L7" i="39"/>
  <c r="U22" i="39"/>
  <c r="T22" i="39"/>
  <c r="AR172" i="70" l="1"/>
  <c r="AS18" i="73"/>
  <c r="AS18" i="70" s="1"/>
  <c r="AS172" i="73"/>
  <c r="AS28" i="73" s="1"/>
  <c r="AB105" i="73"/>
  <c r="AB106" i="73" s="1"/>
  <c r="AT170" i="73"/>
  <c r="AT170" i="70" s="1"/>
  <c r="AT168" i="70"/>
  <c r="AB71" i="73"/>
  <c r="AU170" i="73"/>
  <c r="AU170" i="70" s="1"/>
  <c r="AU168" i="70"/>
  <c r="AO121" i="70"/>
  <c r="AS117" i="70"/>
  <c r="AB72" i="73"/>
  <c r="AC71" i="73"/>
  <c r="AC72" i="73" s="1"/>
  <c r="Z6" i="75"/>
  <c r="Z38" i="74" s="1"/>
  <c r="AC105" i="73"/>
  <c r="AC106" i="73" s="1"/>
  <c r="Z27" i="73"/>
  <c r="Z33" i="73" s="1"/>
  <c r="AP121" i="73"/>
  <c r="AP120" i="70"/>
  <c r="AR120" i="73"/>
  <c r="AR118" i="70"/>
  <c r="AQ120" i="73"/>
  <c r="AQ118" i="70"/>
  <c r="AA17" i="73"/>
  <c r="AB17" i="73"/>
  <c r="AC131" i="73"/>
  <c r="AQ14" i="73"/>
  <c r="AQ14" i="70" s="1"/>
  <c r="AP14" i="70"/>
  <c r="Z34" i="73"/>
  <c r="AU173" i="73"/>
  <c r="AU173" i="70" s="1"/>
  <c r="AT173" i="70"/>
  <c r="AV125" i="73"/>
  <c r="AI79" i="73"/>
  <c r="AI95" i="73"/>
  <c r="AI10" i="73" s="1"/>
  <c r="AI92" i="73"/>
  <c r="AI133" i="73"/>
  <c r="AI5" i="73"/>
  <c r="AU19" i="75"/>
  <c r="AV19" i="75" s="1"/>
  <c r="AV27" i="74"/>
  <c r="AU16" i="74"/>
  <c r="AH25" i="75"/>
  <c r="AH12" i="75"/>
  <c r="AH140" i="73"/>
  <c r="AH8" i="74"/>
  <c r="AH15" i="75" s="1"/>
  <c r="AV13" i="74"/>
  <c r="AD103" i="73"/>
  <c r="AU17" i="75"/>
  <c r="AV17" i="75" s="1"/>
  <c r="AV10" i="74"/>
  <c r="AG15" i="75"/>
  <c r="AH13" i="73"/>
  <c r="AF53" i="74"/>
  <c r="AR83" i="73"/>
  <c r="AQ83" i="73"/>
  <c r="AP85" i="73"/>
  <c r="AP87" i="73" s="1"/>
  <c r="AC15" i="73"/>
  <c r="AR52" i="73"/>
  <c r="AR54" i="73" s="1"/>
  <c r="AS50" i="73"/>
  <c r="AH9" i="73"/>
  <c r="AT57" i="75"/>
  <c r="AV33" i="75"/>
  <c r="AV57" i="75" s="1"/>
  <c r="AE66" i="73"/>
  <c r="AD12" i="73"/>
  <c r="AD15" i="73" s="1"/>
  <c r="AD70" i="73"/>
  <c r="AP6" i="73"/>
  <c r="AQ6" i="73" s="1"/>
  <c r="AH11" i="73"/>
  <c r="AT47" i="75"/>
  <c r="AT29" i="75"/>
  <c r="AU28" i="74"/>
  <c r="AT63" i="74"/>
  <c r="AU22" i="73"/>
  <c r="AV22" i="73" s="1"/>
  <c r="AE37" i="74"/>
  <c r="AR30" i="73"/>
  <c r="AS30" i="73" s="1"/>
  <c r="AT30" i="73" s="1"/>
  <c r="AU30" i="73" s="1"/>
  <c r="AU33" i="75"/>
  <c r="AU57" i="75" s="1"/>
  <c r="AE7" i="75"/>
  <c r="AE14" i="74" s="1"/>
  <c r="AQ54" i="73"/>
  <c r="AU20" i="75"/>
  <c r="AV25" i="74"/>
  <c r="AA137" i="73"/>
  <c r="AH93" i="73"/>
  <c r="AH100" i="73"/>
  <c r="AH97" i="73"/>
  <c r="AK74" i="73"/>
  <c r="AK76" i="73" s="1"/>
  <c r="AK78" i="73" s="1"/>
  <c r="AJ90" i="73"/>
  <c r="AV20" i="75"/>
  <c r="AE35" i="75"/>
  <c r="AD37" i="75"/>
  <c r="AJ79" i="73"/>
  <c r="AJ95" i="73"/>
  <c r="AJ92" i="73"/>
  <c r="AG94" i="73"/>
  <c r="AO134" i="73"/>
  <c r="AS118" i="73"/>
  <c r="AT117" i="73"/>
  <c r="AM43" i="73"/>
  <c r="AM45" i="73" s="1"/>
  <c r="AM41" i="73"/>
  <c r="AL41" i="73"/>
  <c r="AK57" i="73"/>
  <c r="AJ46" i="73"/>
  <c r="AJ5" i="73"/>
  <c r="AJ8" i="73" s="1"/>
  <c r="AJ62" i="73"/>
  <c r="AJ59" i="73"/>
  <c r="AL45" i="73"/>
  <c r="AL46" i="73" s="1"/>
  <c r="AK46" i="73"/>
  <c r="AK62" i="73"/>
  <c r="AK59" i="73"/>
  <c r="AE127" i="73"/>
  <c r="AD130" i="73"/>
  <c r="AG22" i="74"/>
  <c r="AG30" i="74" s="1"/>
  <c r="AG35" i="74" s="1"/>
  <c r="AF18" i="75"/>
  <c r="AF30" i="74"/>
  <c r="AF35" i="74" s="1"/>
  <c r="AR14" i="73"/>
  <c r="AR14" i="70" s="1"/>
  <c r="AS102" i="73"/>
  <c r="AS102" i="70" s="1"/>
  <c r="AD18" i="75"/>
  <c r="AG18" i="75" s="1"/>
  <c r="AD30" i="74"/>
  <c r="AD35" i="74" s="1"/>
  <c r="AF16" i="75"/>
  <c r="AG16" i="75" s="1"/>
  <c r="AG9" i="74"/>
  <c r="AF67" i="65"/>
  <c r="AF13" i="65" s="1"/>
  <c r="AF64" i="65"/>
  <c r="AF60" i="65"/>
  <c r="AG59" i="65"/>
  <c r="AE11" i="65"/>
  <c r="AE13" i="65"/>
  <c r="AE9" i="65"/>
  <c r="AJ43" i="65"/>
  <c r="AH59" i="65"/>
  <c r="AE8" i="66"/>
  <c r="AV125" i="65"/>
  <c r="AJ134" i="65"/>
  <c r="AM87" i="65"/>
  <c r="AK6" i="65"/>
  <c r="AL87" i="65"/>
  <c r="AI78" i="65"/>
  <c r="AE140" i="65"/>
  <c r="AG97" i="65"/>
  <c r="AG98" i="65" s="1"/>
  <c r="AE25" i="67"/>
  <c r="AC16" i="67"/>
  <c r="AD22" i="66"/>
  <c r="AD9" i="66"/>
  <c r="AG100" i="65"/>
  <c r="AG96" i="65"/>
  <c r="AC18" i="67"/>
  <c r="AC30" i="66"/>
  <c r="AD15" i="67"/>
  <c r="AN54" i="65"/>
  <c r="AE12" i="67"/>
  <c r="AH62" i="65"/>
  <c r="AA35" i="66"/>
  <c r="AH5" i="65"/>
  <c r="AB30" i="66"/>
  <c r="AH46" i="65"/>
  <c r="AB18" i="67"/>
  <c r="AB37" i="66"/>
  <c r="AF140" i="65"/>
  <c r="AG46" i="65"/>
  <c r="AB16" i="67"/>
  <c r="AJ45" i="65"/>
  <c r="AF8" i="66"/>
  <c r="AF25" i="67"/>
  <c r="AC37" i="67"/>
  <c r="AG10" i="65"/>
  <c r="AI45" i="65"/>
  <c r="AM143" i="65"/>
  <c r="AC37" i="66"/>
  <c r="AD35" i="67"/>
  <c r="AF53" i="67"/>
  <c r="AT8" i="67"/>
  <c r="AP121" i="65"/>
  <c r="AQ121" i="65"/>
  <c r="AR28" i="65"/>
  <c r="AR28" i="70" s="1"/>
  <c r="AS170" i="65"/>
  <c r="AS118" i="65"/>
  <c r="AT117" i="65"/>
  <c r="AR120" i="65"/>
  <c r="AS14" i="65"/>
  <c r="AT102" i="65"/>
  <c r="AQ28" i="65"/>
  <c r="AQ28" i="70" s="1"/>
  <c r="AE144" i="65"/>
  <c r="AU129" i="65"/>
  <c r="AU129" i="70" s="1"/>
  <c r="AU126" i="65"/>
  <c r="AU128" i="65"/>
  <c r="AS9" i="67"/>
  <c r="AQ10" i="67"/>
  <c r="AG140" i="65"/>
  <c r="AG82" i="65"/>
  <c r="AG63" i="65"/>
  <c r="AV35" i="65"/>
  <c r="AQ57" i="67"/>
  <c r="AU26" i="65"/>
  <c r="AV26" i="65"/>
  <c r="AG93" i="65"/>
  <c r="AN85" i="65"/>
  <c r="AO83" i="65"/>
  <c r="Y29" i="65"/>
  <c r="AO155" i="65"/>
  <c r="AP153" i="65"/>
  <c r="AU119" i="65"/>
  <c r="AT16" i="65"/>
  <c r="AT136" i="65" s="1"/>
  <c r="AK41" i="65"/>
  <c r="AJ57" i="65"/>
  <c r="AN30" i="65"/>
  <c r="AR33" i="67"/>
  <c r="AN31" i="65"/>
  <c r="AO52" i="65"/>
  <c r="AP50" i="65"/>
  <c r="AU69" i="65"/>
  <c r="AU69" i="70" s="1"/>
  <c r="AH100" i="65"/>
  <c r="AH97" i="65"/>
  <c r="AH93" i="65"/>
  <c r="AT21" i="67"/>
  <c r="AU23" i="66"/>
  <c r="AK74" i="65"/>
  <c r="AJ90" i="65"/>
  <c r="AT47" i="67"/>
  <c r="AT29" i="67"/>
  <c r="AU28" i="66"/>
  <c r="AT63" i="66"/>
  <c r="AU22" i="65"/>
  <c r="AR10" i="67"/>
  <c r="AJ76" i="65"/>
  <c r="AU165" i="65"/>
  <c r="AT168" i="65"/>
  <c r="AU13" i="66"/>
  <c r="AU19" i="67"/>
  <c r="AV27" i="66"/>
  <c r="AU16" i="66"/>
  <c r="AM6" i="65"/>
  <c r="AT20" i="67"/>
  <c r="AU25" i="66"/>
  <c r="AT17" i="67"/>
  <c r="AU10" i="66"/>
  <c r="AS136" i="65"/>
  <c r="Z30" i="62"/>
  <c r="V43" i="57"/>
  <c r="V43" i="62" s="1"/>
  <c r="V53" i="57"/>
  <c r="V53" i="62" s="1"/>
  <c r="W20" i="57"/>
  <c r="W11" i="62"/>
  <c r="W48" i="58"/>
  <c r="W46" i="63"/>
  <c r="AT54" i="62"/>
  <c r="AR28" i="62"/>
  <c r="AR47" i="58"/>
  <c r="AR47" i="63" s="1"/>
  <c r="AR63" i="57"/>
  <c r="AR63" i="62" s="1"/>
  <c r="AR29" i="58"/>
  <c r="AR29" i="63" s="1"/>
  <c r="AS28" i="57"/>
  <c r="AS22" i="56"/>
  <c r="AS22" i="61" s="1"/>
  <c r="AQ28" i="62"/>
  <c r="AQ47" i="58"/>
  <c r="AQ47" i="63" s="1"/>
  <c r="AQ67" i="57"/>
  <c r="AQ67" i="62" s="1"/>
  <c r="AQ29" i="58"/>
  <c r="AQ29" i="63" s="1"/>
  <c r="AP29" i="63"/>
  <c r="AI31" i="61"/>
  <c r="AK30" i="56"/>
  <c r="AK30" i="61" s="1"/>
  <c r="AC30" i="57"/>
  <c r="AC35" i="57" s="1"/>
  <c r="AC35" i="62" s="1"/>
  <c r="AA15" i="63"/>
  <c r="AA16" i="58"/>
  <c r="AA16" i="63" s="1"/>
  <c r="AC16" i="58"/>
  <c r="AC16" i="63" s="1"/>
  <c r="AB9" i="57"/>
  <c r="AB9" i="62" s="1"/>
  <c r="AA30" i="57"/>
  <c r="AA35" i="57" s="1"/>
  <c r="AA35" i="62" s="1"/>
  <c r="AB22" i="57"/>
  <c r="AC18" i="58"/>
  <c r="AC18" i="63" s="1"/>
  <c r="AA18" i="58"/>
  <c r="AA18" i="63" s="1"/>
  <c r="AD11" i="56"/>
  <c r="AD11" i="61" s="1"/>
  <c r="AD25" i="58"/>
  <c r="AD25" i="63" s="1"/>
  <c r="AD140" i="56"/>
  <c r="AD140" i="61" s="1"/>
  <c r="AD8" i="57"/>
  <c r="AD8" i="62" s="1"/>
  <c r="AD8" i="61"/>
  <c r="AD22" i="57"/>
  <c r="AD22" i="62" s="1"/>
  <c r="AF95" i="61"/>
  <c r="AD9" i="57"/>
  <c r="AD9" i="62" s="1"/>
  <c r="AF133" i="56"/>
  <c r="AI6" i="61"/>
  <c r="AD13" i="56"/>
  <c r="AD13" i="61" s="1"/>
  <c r="AD93" i="61"/>
  <c r="AF93" i="56"/>
  <c r="AF93" i="61" s="1"/>
  <c r="AF97" i="56"/>
  <c r="AF11" i="56" s="1"/>
  <c r="AF11" i="61" s="1"/>
  <c r="AG92" i="56"/>
  <c r="AG82" i="56" s="1"/>
  <c r="AG82" i="61" s="1"/>
  <c r="AF100" i="56"/>
  <c r="AF100" i="61" s="1"/>
  <c r="AC35" i="58"/>
  <c r="AC35" i="63" s="1"/>
  <c r="AG95" i="56"/>
  <c r="AG95" i="61" s="1"/>
  <c r="AC8" i="62"/>
  <c r="AC15" i="58"/>
  <c r="AC15" i="63" s="1"/>
  <c r="AF5" i="61"/>
  <c r="AI76" i="56"/>
  <c r="AI76" i="61" s="1"/>
  <c r="AG5" i="56"/>
  <c r="AG8" i="56" s="1"/>
  <c r="AG8" i="61" s="1"/>
  <c r="AB35" i="63"/>
  <c r="AJ62" i="56"/>
  <c r="AJ62" i="61" s="1"/>
  <c r="AK87" i="56"/>
  <c r="AK85" i="61"/>
  <c r="AJ87" i="61"/>
  <c r="AJ6" i="56"/>
  <c r="AH78" i="56"/>
  <c r="AH78" i="61" s="1"/>
  <c r="AH76" i="61"/>
  <c r="AG79" i="56"/>
  <c r="AG79" i="61" s="1"/>
  <c r="AG78" i="61"/>
  <c r="AE5" i="61"/>
  <c r="AE8" i="56"/>
  <c r="AE92" i="61"/>
  <c r="AE97" i="56"/>
  <c r="AE100" i="56"/>
  <c r="AE93" i="56"/>
  <c r="Z37" i="62"/>
  <c r="AA37" i="57"/>
  <c r="AE95" i="61"/>
  <c r="AE10" i="56"/>
  <c r="AF8" i="57"/>
  <c r="AF8" i="62" s="1"/>
  <c r="AF25" i="58"/>
  <c r="AF25" i="63" s="1"/>
  <c r="AM54" i="56"/>
  <c r="AM54" i="61" s="1"/>
  <c r="AM52" i="61"/>
  <c r="AF12" i="58"/>
  <c r="AF12" i="63" s="1"/>
  <c r="AF140" i="56"/>
  <c r="AF140" i="61" s="1"/>
  <c r="AK43" i="56"/>
  <c r="AI59" i="56"/>
  <c r="AI59" i="61" s="1"/>
  <c r="AI62" i="56"/>
  <c r="AI62" i="61" s="1"/>
  <c r="AF143" i="56"/>
  <c r="AF143" i="61" s="1"/>
  <c r="AH53" i="58"/>
  <c r="AF53" i="63"/>
  <c r="AE143" i="61"/>
  <c r="AD143" i="61"/>
  <c r="AV40" i="57"/>
  <c r="AV40" i="62" s="1"/>
  <c r="AU40" i="62"/>
  <c r="AT33" i="57"/>
  <c r="AS33" i="62"/>
  <c r="AV34" i="57"/>
  <c r="AV34" i="62" s="1"/>
  <c r="AU34" i="62"/>
  <c r="AV31" i="57"/>
  <c r="AV31" i="62" s="1"/>
  <c r="AU31" i="62"/>
  <c r="AV32" i="57"/>
  <c r="AV32" i="62" s="1"/>
  <c r="AU32" i="62"/>
  <c r="AR8" i="58"/>
  <c r="AR8" i="63" s="1"/>
  <c r="AR16" i="62"/>
  <c r="AQ8" i="58"/>
  <c r="AQ8" i="63" s="1"/>
  <c r="AP8" i="63"/>
  <c r="AV24" i="57"/>
  <c r="AV24" i="62" s="1"/>
  <c r="AU24" i="62"/>
  <c r="AV26" i="57"/>
  <c r="AV26" i="62" s="1"/>
  <c r="AU26" i="62"/>
  <c r="AU19" i="57"/>
  <c r="AT19" i="62"/>
  <c r="AV18" i="57"/>
  <c r="AV18" i="62" s="1"/>
  <c r="AU18" i="62"/>
  <c r="AU15" i="57"/>
  <c r="AT15" i="62"/>
  <c r="AQ18" i="56"/>
  <c r="AQ18" i="61" s="1"/>
  <c r="AP18" i="61"/>
  <c r="AP28" i="56"/>
  <c r="AP172" i="61"/>
  <c r="AU118" i="56"/>
  <c r="AU118" i="61" s="1"/>
  <c r="AU117" i="61"/>
  <c r="AS170" i="56"/>
  <c r="AS168" i="61"/>
  <c r="AU165" i="56"/>
  <c r="AT165" i="61"/>
  <c r="AT168" i="56"/>
  <c r="AR170" i="61"/>
  <c r="AR172" i="56"/>
  <c r="AR18" i="56"/>
  <c r="AR18" i="61" s="1"/>
  <c r="AQ102" i="56"/>
  <c r="AQ102" i="61" s="1"/>
  <c r="AP102" i="61"/>
  <c r="AR102" i="56"/>
  <c r="AQ14" i="56"/>
  <c r="AQ14" i="61" s="1"/>
  <c r="AS129" i="61"/>
  <c r="AT129" i="56"/>
  <c r="AQ120" i="56"/>
  <c r="AQ121" i="56" s="1"/>
  <c r="AQ121" i="61" s="1"/>
  <c r="AQ119" i="61"/>
  <c r="AP121" i="56"/>
  <c r="AP121" i="61" s="1"/>
  <c r="AP120" i="61"/>
  <c r="AP9" i="58"/>
  <c r="AQ9" i="58" s="1"/>
  <c r="AQ9" i="63" s="1"/>
  <c r="AP16" i="61"/>
  <c r="AP136" i="56"/>
  <c r="AQ120" i="61"/>
  <c r="AK45" i="56"/>
  <c r="AL45" i="56" s="1"/>
  <c r="AK43" i="61"/>
  <c r="AG65" i="56"/>
  <c r="AG65" i="61" s="1"/>
  <c r="AG64" i="61"/>
  <c r="AI46" i="56"/>
  <c r="AI46" i="61" s="1"/>
  <c r="AG60" i="61"/>
  <c r="AG61" i="56"/>
  <c r="AG61" i="61" s="1"/>
  <c r="AJ45" i="61"/>
  <c r="AJ59" i="56"/>
  <c r="AG68" i="56"/>
  <c r="AG68" i="61" s="1"/>
  <c r="AG67" i="61"/>
  <c r="AJ58" i="63"/>
  <c r="AK58" i="58"/>
  <c r="AM33" i="63"/>
  <c r="AM57" i="58"/>
  <c r="AM57" i="63" s="1"/>
  <c r="AN57" i="58"/>
  <c r="AN57" i="63" s="1"/>
  <c r="AL33" i="63"/>
  <c r="AL57" i="58"/>
  <c r="AL57" i="63" s="1"/>
  <c r="AL155" i="56"/>
  <c r="AL155" i="61" s="1"/>
  <c r="AK155" i="61"/>
  <c r="AO33" i="58"/>
  <c r="AO33" i="63" s="1"/>
  <c r="AK31" i="56"/>
  <c r="AK31" i="61" s="1"/>
  <c r="AJ31" i="61"/>
  <c r="AR26" i="56"/>
  <c r="AP26" i="61"/>
  <c r="AP20" i="58"/>
  <c r="AR25" i="57"/>
  <c r="AR25" i="62" s="1"/>
  <c r="AQ25" i="57"/>
  <c r="AQ25" i="62" s="1"/>
  <c r="AJ74" i="56"/>
  <c r="AJ74" i="61" s="1"/>
  <c r="AI90" i="56"/>
  <c r="AI90" i="61" s="1"/>
  <c r="AV117" i="56"/>
  <c r="AS13" i="57"/>
  <c r="AS13" i="62" s="1"/>
  <c r="AS21" i="58"/>
  <c r="AS21" i="63" s="1"/>
  <c r="AT23" i="57"/>
  <c r="AT23" i="62" s="1"/>
  <c r="AR14" i="56"/>
  <c r="AR14" i="61" s="1"/>
  <c r="AS69" i="56"/>
  <c r="AS69" i="61" s="1"/>
  <c r="AO50" i="56"/>
  <c r="AO50" i="61" s="1"/>
  <c r="AN52" i="56"/>
  <c r="AT17" i="58"/>
  <c r="AT17" i="63" s="1"/>
  <c r="AU10" i="57"/>
  <c r="AU10" i="62" s="1"/>
  <c r="AS35" i="56"/>
  <c r="AO10" i="58"/>
  <c r="AS19" i="58"/>
  <c r="AS19" i="63" s="1"/>
  <c r="AT27" i="57"/>
  <c r="AT27" i="62" s="1"/>
  <c r="AS16" i="57"/>
  <c r="AM85" i="56"/>
  <c r="AN83" i="56"/>
  <c r="AN83" i="61" s="1"/>
  <c r="X23" i="61"/>
  <c r="AM155" i="56"/>
  <c r="AM155" i="61" s="1"/>
  <c r="AN153" i="56"/>
  <c r="AN153" i="61" s="1"/>
  <c r="AK46" i="56"/>
  <c r="AK46" i="61" s="1"/>
  <c r="AM41" i="56"/>
  <c r="AM41" i="61" s="1"/>
  <c r="AL41" i="56"/>
  <c r="AL41" i="61" s="1"/>
  <c r="AK57" i="56"/>
  <c r="AK57" i="61" s="1"/>
  <c r="AS119" i="56"/>
  <c r="AS119" i="61" s="1"/>
  <c r="AR16" i="56"/>
  <c r="AR16" i="61" s="1"/>
  <c r="AR120" i="56"/>
  <c r="AH46" i="48"/>
  <c r="AH62" i="48"/>
  <c r="AH59" i="48"/>
  <c r="AG10" i="48"/>
  <c r="AC37" i="50"/>
  <c r="AM153" i="48"/>
  <c r="Z137" i="48"/>
  <c r="Z72" i="48"/>
  <c r="AS119" i="48"/>
  <c r="AR16" i="48"/>
  <c r="AR120" i="48"/>
  <c r="AR121" i="48" s="1"/>
  <c r="AM20" i="50"/>
  <c r="AN25" i="49"/>
  <c r="AP19" i="50"/>
  <c r="AQ19" i="50" s="1"/>
  <c r="AR27" i="49"/>
  <c r="AQ27" i="49"/>
  <c r="AP16" i="49"/>
  <c r="AR102" i="48"/>
  <c r="AP14" i="48"/>
  <c r="AB12" i="48"/>
  <c r="AB15" i="48" s="1"/>
  <c r="AB17" i="48" s="1"/>
  <c r="AF64" i="48"/>
  <c r="AF60" i="48"/>
  <c r="AF67" i="48"/>
  <c r="AE25" i="50"/>
  <c r="AE12" i="50"/>
  <c r="AE8" i="49"/>
  <c r="AE140" i="48"/>
  <c r="AP21" i="50"/>
  <c r="AQ21" i="50" s="1"/>
  <c r="AR23" i="49"/>
  <c r="AQ23" i="49"/>
  <c r="AC99" i="48"/>
  <c r="AA103" i="48"/>
  <c r="AA105" i="48" s="1"/>
  <c r="AA106" i="48" s="1"/>
  <c r="AB99" i="48"/>
  <c r="AB103" i="48" s="1"/>
  <c r="AO10" i="50"/>
  <c r="AQ10" i="50" s="1"/>
  <c r="AQ9" i="50"/>
  <c r="AI134" i="48"/>
  <c r="AF10" i="48"/>
  <c r="AS13" i="49"/>
  <c r="AR35" i="48"/>
  <c r="AP17" i="50"/>
  <c r="AQ17" i="50" s="1"/>
  <c r="AR10" i="49"/>
  <c r="AQ10" i="49"/>
  <c r="AC18" i="50"/>
  <c r="AC30" i="49"/>
  <c r="AC35" i="49" s="1"/>
  <c r="AF12" i="50"/>
  <c r="AF25" i="50"/>
  <c r="AF8" i="49"/>
  <c r="AF140" i="48"/>
  <c r="AK52" i="48"/>
  <c r="AK54" i="48" s="1"/>
  <c r="AM50" i="48"/>
  <c r="AL50" i="48"/>
  <c r="AJ6" i="48"/>
  <c r="AC66" i="48"/>
  <c r="AA12" i="48"/>
  <c r="AA15" i="48" s="1"/>
  <c r="AA17" i="48" s="1"/>
  <c r="AA70" i="48"/>
  <c r="AA71" i="48" s="1"/>
  <c r="AE93" i="48"/>
  <c r="AE100" i="48"/>
  <c r="AG100" i="48" s="1"/>
  <c r="AG101" i="48" s="1"/>
  <c r="AE97" i="48"/>
  <c r="AE11" i="48" s="1"/>
  <c r="AG92" i="48"/>
  <c r="AG82" i="48" s="1"/>
  <c r="AI41" i="48"/>
  <c r="AI43" i="48" s="1"/>
  <c r="AI45" i="48" s="1"/>
  <c r="AH57" i="48"/>
  <c r="AD13" i="48"/>
  <c r="AN83" i="48"/>
  <c r="AM85" i="48"/>
  <c r="AM87" i="48" s="1"/>
  <c r="AG95" i="48"/>
  <c r="AG96" i="48" s="1"/>
  <c r="AC37" i="49"/>
  <c r="AB37" i="49"/>
  <c r="Y141" i="48"/>
  <c r="Y19" i="48"/>
  <c r="AC127" i="48"/>
  <c r="AA130" i="48"/>
  <c r="AA131" i="48" s="1"/>
  <c r="AO29" i="50"/>
  <c r="AO47" i="50"/>
  <c r="AP28" i="49"/>
  <c r="AO63" i="49"/>
  <c r="AP22" i="48"/>
  <c r="AQ22" i="48" s="1"/>
  <c r="AD9" i="48"/>
  <c r="AG60" i="48"/>
  <c r="AC14" i="49"/>
  <c r="AL87" i="48"/>
  <c r="AS56" i="49"/>
  <c r="W46" i="50"/>
  <c r="W48" i="50" s="1"/>
  <c r="F36" i="52" s="1"/>
  <c r="W11" i="49"/>
  <c r="W20" i="49" s="1"/>
  <c r="W43" i="49" s="1"/>
  <c r="V53" i="49"/>
  <c r="V43" i="49"/>
  <c r="AG5" i="48"/>
  <c r="AG8" i="48" s="1"/>
  <c r="AD11" i="48"/>
  <c r="AG64" i="48"/>
  <c r="AG65" i="48" s="1"/>
  <c r="AE9" i="48"/>
  <c r="AF100" i="48"/>
  <c r="AF97" i="48"/>
  <c r="AF93" i="48"/>
  <c r="AQ14" i="48"/>
  <c r="AD25" i="50"/>
  <c r="AG25" i="50" s="1"/>
  <c r="AG56" i="50" s="1"/>
  <c r="AD8" i="49"/>
  <c r="AD15" i="50" s="1"/>
  <c r="AD12" i="50"/>
  <c r="AG12" i="50" s="1"/>
  <c r="AD140" i="48"/>
  <c r="AK30" i="48"/>
  <c r="AO33" i="50"/>
  <c r="AR56" i="49"/>
  <c r="AT56" i="49" s="1"/>
  <c r="AQ102" i="48"/>
  <c r="U53" i="49"/>
  <c r="X53" i="49" s="1"/>
  <c r="U43" i="49"/>
  <c r="AU118" i="48"/>
  <c r="AV117" i="48"/>
  <c r="AV118" i="48" s="1"/>
  <c r="AT69" i="48"/>
  <c r="AB105" i="48"/>
  <c r="AB106" i="48" s="1"/>
  <c r="AL139" i="48"/>
  <c r="AB127" i="48"/>
  <c r="AB130" i="48" s="1"/>
  <c r="AB131" i="48" s="1"/>
  <c r="AI76" i="48"/>
  <c r="AI78" i="48" s="1"/>
  <c r="AI74" i="48"/>
  <c r="AH90" i="48"/>
  <c r="AP172" i="48"/>
  <c r="AP28" i="48" s="1"/>
  <c r="AQ28" i="48" s="1"/>
  <c r="AP18" i="48"/>
  <c r="AQ18" i="48" s="1"/>
  <c r="Z141" i="48"/>
  <c r="Z19" i="48"/>
  <c r="X21" i="48"/>
  <c r="AL155" i="48"/>
  <c r="AH76" i="48"/>
  <c r="AH78" i="48" s="1"/>
  <c r="AS165" i="48"/>
  <c r="AR168" i="48"/>
  <c r="AR170" i="48" s="1"/>
  <c r="AG67" i="45"/>
  <c r="AG47" i="46"/>
  <c r="AF29" i="46"/>
  <c r="AG29" i="46"/>
  <c r="AE172" i="44"/>
  <c r="AF18" i="44"/>
  <c r="AH173" i="44"/>
  <c r="AH170" i="44"/>
  <c r="AH168" i="44"/>
  <c r="AE121" i="44"/>
  <c r="AE120" i="44"/>
  <c r="AH117" i="44"/>
  <c r="AG117" i="44"/>
  <c r="AF118" i="44"/>
  <c r="AH102" i="44"/>
  <c r="AH145" i="44"/>
  <c r="AH22" i="44"/>
  <c r="AG129" i="44"/>
  <c r="AF129" i="44"/>
  <c r="AH14" i="44"/>
  <c r="AE10" i="46"/>
  <c r="AF10" i="46"/>
  <c r="AF9" i="46"/>
  <c r="AG14" i="44"/>
  <c r="AF14" i="44"/>
  <c r="AD87" i="44"/>
  <c r="AD85" i="44"/>
  <c r="AA76" i="44"/>
  <c r="Z76" i="44"/>
  <c r="AA52" i="44"/>
  <c r="Z134" i="44"/>
  <c r="Y45" i="44"/>
  <c r="Y43" i="44"/>
  <c r="W46" i="44"/>
  <c r="W45" i="44"/>
  <c r="X43" i="44"/>
  <c r="AJ55" i="45"/>
  <c r="AK55" i="45"/>
  <c r="AO54" i="45"/>
  <c r="AF40" i="45"/>
  <c r="AG40" i="45"/>
  <c r="AH39" i="45"/>
  <c r="AI34" i="45"/>
  <c r="AI33" i="45"/>
  <c r="AH32" i="45"/>
  <c r="AI29" i="46"/>
  <c r="AH31" i="45"/>
  <c r="AG19" i="46"/>
  <c r="AF19" i="46"/>
  <c r="AF26" i="45"/>
  <c r="AG26" i="45"/>
  <c r="AI24" i="45"/>
  <c r="AG21" i="46"/>
  <c r="AH19" i="45"/>
  <c r="AH18" i="45"/>
  <c r="AF15" i="45"/>
  <c r="AG15" i="45"/>
  <c r="AF53" i="46"/>
  <c r="AH26" i="44"/>
  <c r="AD58" i="46"/>
  <c r="AE136" i="44"/>
  <c r="AH19" i="46"/>
  <c r="AI27" i="45"/>
  <c r="AJ28" i="45"/>
  <c r="AH10" i="45"/>
  <c r="AG10" i="45"/>
  <c r="Z41" i="44"/>
  <c r="Y57" i="44"/>
  <c r="V64" i="44"/>
  <c r="W59" i="44"/>
  <c r="V67" i="44"/>
  <c r="V60" i="44"/>
  <c r="AJ119" i="44"/>
  <c r="W10" i="44"/>
  <c r="AI69" i="44"/>
  <c r="AG13" i="45"/>
  <c r="AH13" i="45"/>
  <c r="V8" i="44"/>
  <c r="AH21" i="46"/>
  <c r="AI23" i="45"/>
  <c r="AE56" i="45"/>
  <c r="AJ165" i="44"/>
  <c r="AD50" i="44"/>
  <c r="AH35" i="44"/>
  <c r="AM163" i="44"/>
  <c r="AF83" i="44"/>
  <c r="AC74" i="44"/>
  <c r="AB74" i="44"/>
  <c r="AH9" i="46"/>
  <c r="AG16" i="45"/>
  <c r="AO52" i="38"/>
  <c r="K55" i="39"/>
  <c r="K148" i="36" s="1"/>
  <c r="U55" i="39"/>
  <c r="U148" i="36" s="1"/>
  <c r="T55" i="39"/>
  <c r="T148" i="36" s="1"/>
  <c r="O39" i="39"/>
  <c r="Z22" i="36"/>
  <c r="AP52" i="38"/>
  <c r="U39" i="39"/>
  <c r="M10" i="39"/>
  <c r="R37" i="39"/>
  <c r="T39" i="39"/>
  <c r="AM52" i="38"/>
  <c r="AH31" i="38"/>
  <c r="AI31" i="38" s="1"/>
  <c r="AJ31" i="38" s="1"/>
  <c r="AK31" i="38" s="1"/>
  <c r="AG31" i="38"/>
  <c r="AG67" i="38" s="1"/>
  <c r="Y47" i="39"/>
  <c r="Y29" i="39"/>
  <c r="Y63" i="38"/>
  <c r="Z28" i="38"/>
  <c r="AJ48" i="38"/>
  <c r="Z19" i="39"/>
  <c r="AA27" i="38"/>
  <c r="AL26" i="38"/>
  <c r="AM26" i="38"/>
  <c r="AN26" i="38" s="1"/>
  <c r="AO26" i="38" s="1"/>
  <c r="AP26" i="38" s="1"/>
  <c r="G37" i="39"/>
  <c r="H29" i="39"/>
  <c r="H37" i="39" s="1"/>
  <c r="L56" i="38"/>
  <c r="M7" i="39"/>
  <c r="F39" i="39"/>
  <c r="D46" i="39"/>
  <c r="D48" i="39" s="1"/>
  <c r="D11" i="38"/>
  <c r="D20" i="38" s="1"/>
  <c r="H56" i="38"/>
  <c r="H22" i="39"/>
  <c r="E41" i="39"/>
  <c r="Y21" i="39"/>
  <c r="Z23" i="38"/>
  <c r="AM33" i="38"/>
  <c r="AN33" i="38" s="1"/>
  <c r="AO33" i="38" s="1"/>
  <c r="AP33" i="38" s="1"/>
  <c r="AL33" i="38"/>
  <c r="AM34" i="38"/>
  <c r="AN34" i="38" s="1"/>
  <c r="AO34" i="38" s="1"/>
  <c r="AP34" i="38" s="1"/>
  <c r="AL34" i="38"/>
  <c r="L22" i="39"/>
  <c r="L55" i="39" s="1"/>
  <c r="L148" i="36" s="1"/>
  <c r="Z13" i="38"/>
  <c r="AK52" i="38"/>
  <c r="X20" i="39"/>
  <c r="Y25" i="38"/>
  <c r="AI52" i="38"/>
  <c r="R25" i="39"/>
  <c r="AC55" i="38"/>
  <c r="Q56" i="38"/>
  <c r="V56" i="38" s="1"/>
  <c r="R7" i="39"/>
  <c r="Q22" i="39"/>
  <c r="AA54" i="38"/>
  <c r="AM56" i="39"/>
  <c r="AM48" i="38"/>
  <c r="L37" i="39"/>
  <c r="M29" i="39"/>
  <c r="M37" i="39" s="1"/>
  <c r="AR39" i="38"/>
  <c r="AS39" i="38" s="1"/>
  <c r="AT39" i="38" s="1"/>
  <c r="AU39" i="38" s="1"/>
  <c r="AV39" i="38" s="1"/>
  <c r="AQ39" i="38"/>
  <c r="R12" i="39"/>
  <c r="L27" i="39"/>
  <c r="M24" i="39"/>
  <c r="M27" i="39" s="1"/>
  <c r="K39" i="39"/>
  <c r="AU50" i="38"/>
  <c r="AF48" i="38"/>
  <c r="H25" i="39"/>
  <c r="Q24" i="39"/>
  <c r="Q27" i="39" s="1"/>
  <c r="P27" i="39"/>
  <c r="P39" i="39" s="1"/>
  <c r="AM15" i="38"/>
  <c r="AN15" i="38" s="1"/>
  <c r="AO15" i="38" s="1"/>
  <c r="AP15" i="38" s="1"/>
  <c r="AL15" i="38"/>
  <c r="AM40" i="38"/>
  <c r="AN40" i="38" s="1"/>
  <c r="AO40" i="38" s="1"/>
  <c r="AP40" i="38" s="1"/>
  <c r="AL40" i="38"/>
  <c r="Z17" i="39"/>
  <c r="AA10" i="38"/>
  <c r="AL18" i="38"/>
  <c r="AM18" i="38"/>
  <c r="AN18" i="38" s="1"/>
  <c r="AO18" i="38" s="1"/>
  <c r="AP18" i="38" s="1"/>
  <c r="G27" i="39"/>
  <c r="AQ24" i="38"/>
  <c r="AR24" i="38"/>
  <c r="AS24" i="38" s="1"/>
  <c r="AT24" i="38" s="1"/>
  <c r="AU24" i="38" s="1"/>
  <c r="AV24" i="38" s="1"/>
  <c r="AM19" i="38"/>
  <c r="AN19" i="38" s="1"/>
  <c r="AO19" i="38" s="1"/>
  <c r="AP19" i="38" s="1"/>
  <c r="AL19" i="38"/>
  <c r="AM32" i="38"/>
  <c r="AN32" i="38" s="1"/>
  <c r="AO32" i="38" s="1"/>
  <c r="AP32" i="38" s="1"/>
  <c r="AL32" i="38"/>
  <c r="G56" i="38"/>
  <c r="G22" i="39"/>
  <c r="AI48" i="38"/>
  <c r="R24" i="39"/>
  <c r="AU18" i="73" l="1"/>
  <c r="AU18" i="70" s="1"/>
  <c r="AT172" i="73"/>
  <c r="Z22" i="75"/>
  <c r="AT18" i="73"/>
  <c r="AT18" i="70" s="1"/>
  <c r="AT117" i="70"/>
  <c r="AP121" i="70"/>
  <c r="AD71" i="73"/>
  <c r="Z32" i="73"/>
  <c r="AD105" i="73"/>
  <c r="AA19" i="73"/>
  <c r="AS120" i="73"/>
  <c r="AS118" i="70"/>
  <c r="AB19" i="73"/>
  <c r="AB65" i="74" s="1"/>
  <c r="AQ121" i="73"/>
  <c r="AQ121" i="70" s="1"/>
  <c r="AQ120" i="70"/>
  <c r="AB141" i="73"/>
  <c r="AR121" i="73"/>
  <c r="AR121" i="70" s="1"/>
  <c r="AR120" i="70"/>
  <c r="AA141" i="73"/>
  <c r="AC17" i="73"/>
  <c r="AC141" i="73" s="1"/>
  <c r="Z146" i="73"/>
  <c r="AD131" i="73"/>
  <c r="AD17" i="73"/>
  <c r="AT28" i="73"/>
  <c r="AU172" i="73"/>
  <c r="Z147" i="73"/>
  <c r="AK79" i="73"/>
  <c r="AK95" i="73"/>
  <c r="AL95" i="73" s="1"/>
  <c r="AK92" i="73"/>
  <c r="AL78" i="73"/>
  <c r="AL79" i="73" s="1"/>
  <c r="AK133" i="73"/>
  <c r="AK5" i="73"/>
  <c r="AK8" i="73" s="1"/>
  <c r="AF7" i="75"/>
  <c r="AG7" i="75" s="1"/>
  <c r="AL64" i="75"/>
  <c r="AQ57" i="73"/>
  <c r="Z41" i="74"/>
  <c r="AE12" i="73"/>
  <c r="AE70" i="73"/>
  <c r="AE130" i="73"/>
  <c r="AN41" i="73"/>
  <c r="AM57" i="73"/>
  <c r="AI8" i="73"/>
  <c r="AL5" i="73"/>
  <c r="AL8" i="73" s="1"/>
  <c r="AA142" i="73"/>
  <c r="AK64" i="73"/>
  <c r="AK60" i="73"/>
  <c r="AK67" i="73"/>
  <c r="AM46" i="73"/>
  <c r="AM62" i="73"/>
  <c r="AM59" i="73"/>
  <c r="AK10" i="73"/>
  <c r="AT118" i="73"/>
  <c r="AU117" i="73"/>
  <c r="AH22" i="74"/>
  <c r="AH9" i="74"/>
  <c r="AH16" i="75" s="1"/>
  <c r="AI100" i="73"/>
  <c r="AI13" i="73" s="1"/>
  <c r="AI97" i="73"/>
  <c r="AI11" i="73" s="1"/>
  <c r="AI93" i="73"/>
  <c r="AF35" i="75"/>
  <c r="AE37" i="75"/>
  <c r="Z55" i="75"/>
  <c r="Z42" i="75"/>
  <c r="AU29" i="75"/>
  <c r="AU47" i="75"/>
  <c r="AU63" i="74"/>
  <c r="AV28" i="74"/>
  <c r="AV29" i="75"/>
  <c r="AS52" i="73"/>
  <c r="AS54" i="73" s="1"/>
  <c r="AT50" i="73"/>
  <c r="AS14" i="73"/>
  <c r="AS14" i="70" s="1"/>
  <c r="AT102" i="73"/>
  <c r="AT102" i="70" s="1"/>
  <c r="AJ64" i="73"/>
  <c r="AJ60" i="73"/>
  <c r="AJ67" i="73"/>
  <c r="AL59" i="73"/>
  <c r="AM76" i="73"/>
  <c r="AM78" i="73" s="1"/>
  <c r="AL74" i="73"/>
  <c r="AQ139" i="73" s="1"/>
  <c r="AM74" i="73"/>
  <c r="AK90" i="73"/>
  <c r="AQ90" i="73" s="1"/>
  <c r="AF37" i="74"/>
  <c r="AJ10" i="73"/>
  <c r="AL10" i="73" s="1"/>
  <c r="AL62" i="73"/>
  <c r="AL63" i="73" s="1"/>
  <c r="AE99" i="73"/>
  <c r="AJ25" i="75"/>
  <c r="AJ8" i="74"/>
  <c r="AJ12" i="75"/>
  <c r="AJ140" i="73"/>
  <c r="AJ133" i="73"/>
  <c r="AJ97" i="73"/>
  <c r="AJ100" i="73"/>
  <c r="AJ93" i="73"/>
  <c r="AL92" i="73"/>
  <c r="AL82" i="73" s="1"/>
  <c r="AQ87" i="73"/>
  <c r="AP134" i="73"/>
  <c r="AD72" i="73"/>
  <c r="AH53" i="74"/>
  <c r="AS83" i="73"/>
  <c r="AR85" i="73"/>
  <c r="AR87" i="73" s="1"/>
  <c r="AR6" i="73" s="1"/>
  <c r="AU8" i="75"/>
  <c r="AV8" i="75" s="1"/>
  <c r="AV16" i="74"/>
  <c r="AG67" i="65"/>
  <c r="AG68" i="65" s="1"/>
  <c r="AF9" i="65"/>
  <c r="AG60" i="65"/>
  <c r="AF11" i="65"/>
  <c r="AG64" i="65"/>
  <c r="AG65" i="65" s="1"/>
  <c r="AG101" i="65"/>
  <c r="AE15" i="67"/>
  <c r="AJ62" i="65"/>
  <c r="AH60" i="65"/>
  <c r="AH64" i="65"/>
  <c r="AE9" i="66"/>
  <c r="AE16" i="67" s="1"/>
  <c r="AE22" i="66"/>
  <c r="AJ46" i="65"/>
  <c r="AK43" i="65"/>
  <c r="AK45" i="65" s="1"/>
  <c r="AH67" i="65"/>
  <c r="AH10" i="65"/>
  <c r="AS18" i="65"/>
  <c r="AS172" i="65"/>
  <c r="AV126" i="65"/>
  <c r="AI92" i="65"/>
  <c r="AI95" i="65"/>
  <c r="AI79" i="65"/>
  <c r="AN87" i="65"/>
  <c r="AK134" i="65"/>
  <c r="AL6" i="65"/>
  <c r="AD16" i="67"/>
  <c r="AD18" i="67"/>
  <c r="AD30" i="66"/>
  <c r="AH8" i="65"/>
  <c r="AJ78" i="65"/>
  <c r="AG13" i="65"/>
  <c r="AH133" i="65"/>
  <c r="AC35" i="66"/>
  <c r="AO54" i="65"/>
  <c r="AG8" i="66"/>
  <c r="AF15" i="67"/>
  <c r="AD37" i="66"/>
  <c r="AI59" i="65"/>
  <c r="AD37" i="67"/>
  <c r="AI62" i="65"/>
  <c r="AB35" i="66"/>
  <c r="AE35" i="67"/>
  <c r="AI5" i="65"/>
  <c r="AI46" i="65"/>
  <c r="AG25" i="67"/>
  <c r="AG56" i="67" s="1"/>
  <c r="AJ59" i="65"/>
  <c r="AN143" i="65"/>
  <c r="AH53" i="67"/>
  <c r="AF12" i="67"/>
  <c r="AV19" i="67"/>
  <c r="AU102" i="65"/>
  <c r="AR121" i="65"/>
  <c r="AT118" i="65"/>
  <c r="AU117" i="65"/>
  <c r="AV117" i="65" s="1"/>
  <c r="AT14" i="65"/>
  <c r="AS120" i="65"/>
  <c r="AT170" i="65"/>
  <c r="AU168" i="65"/>
  <c r="AV22" i="65"/>
  <c r="AF144" i="65"/>
  <c r="AV128" i="65"/>
  <c r="AG11" i="65"/>
  <c r="AV129" i="65"/>
  <c r="AV129" i="70" s="1"/>
  <c r="AT9" i="67"/>
  <c r="AS10" i="67"/>
  <c r="AP155" i="65"/>
  <c r="AR153" i="65"/>
  <c r="AO31" i="65"/>
  <c r="Y34" i="65"/>
  <c r="AU20" i="67"/>
  <c r="AV25" i="66"/>
  <c r="AG94" i="65"/>
  <c r="AR57" i="67"/>
  <c r="AU16" i="65"/>
  <c r="AF22" i="66"/>
  <c r="AF9" i="66"/>
  <c r="AO30" i="65"/>
  <c r="AS33" i="67"/>
  <c r="AH13" i="65"/>
  <c r="AV69" i="65"/>
  <c r="AV69" i="70" s="1"/>
  <c r="AU17" i="67"/>
  <c r="AV10" i="66"/>
  <c r="AU8" i="67"/>
  <c r="AV16" i="66"/>
  <c r="AU47" i="67"/>
  <c r="AU29" i="67"/>
  <c r="AV28" i="66"/>
  <c r="AU63" i="66"/>
  <c r="AH11" i="65"/>
  <c r="Y32" i="65"/>
  <c r="Y33" i="65"/>
  <c r="AP52" i="65"/>
  <c r="AR50" i="65"/>
  <c r="AQ50" i="65"/>
  <c r="AV13" i="66"/>
  <c r="AI97" i="65"/>
  <c r="AO85" i="65"/>
  <c r="AP83" i="65"/>
  <c r="AM74" i="65"/>
  <c r="AL74" i="65"/>
  <c r="AK90" i="65"/>
  <c r="AK76" i="65"/>
  <c r="AG9" i="65"/>
  <c r="AM134" i="65"/>
  <c r="AJ79" i="65"/>
  <c r="AJ95" i="65"/>
  <c r="AJ92" i="65"/>
  <c r="AU21" i="67"/>
  <c r="AV23" i="66"/>
  <c r="AM41" i="65"/>
  <c r="AL41" i="65"/>
  <c r="AK57" i="65"/>
  <c r="AV119" i="65"/>
  <c r="W48" i="63"/>
  <c r="W43" i="57"/>
  <c r="W43" i="62" s="1"/>
  <c r="W20" i="62"/>
  <c r="AD15" i="58"/>
  <c r="AD15" i="63" s="1"/>
  <c r="AC30" i="62"/>
  <c r="AS28" i="62"/>
  <c r="AS47" i="58"/>
  <c r="AS47" i="63" s="1"/>
  <c r="AS29" i="58"/>
  <c r="AS29" i="63" s="1"/>
  <c r="AS63" i="57"/>
  <c r="AS63" i="62" s="1"/>
  <c r="AT28" i="57"/>
  <c r="AT22" i="56"/>
  <c r="AT22" i="61" s="1"/>
  <c r="AP33" i="58"/>
  <c r="AP33" i="63" s="1"/>
  <c r="AO57" i="58"/>
  <c r="AO57" i="63" s="1"/>
  <c r="AB16" i="58"/>
  <c r="AB16" i="63" s="1"/>
  <c r="AD16" i="58"/>
  <c r="AD16" i="63" s="1"/>
  <c r="AB18" i="58"/>
  <c r="AB18" i="63" s="1"/>
  <c r="AA30" i="62"/>
  <c r="AD18" i="58"/>
  <c r="AD18" i="63" s="1"/>
  <c r="AD30" i="57"/>
  <c r="AD35" i="57" s="1"/>
  <c r="AD35" i="62" s="1"/>
  <c r="AB30" i="57"/>
  <c r="AB22" i="62"/>
  <c r="AF97" i="61"/>
  <c r="AG92" i="61"/>
  <c r="AF13" i="56"/>
  <c r="AF13" i="61" s="1"/>
  <c r="AF9" i="56"/>
  <c r="AF9" i="61" s="1"/>
  <c r="AI78" i="56"/>
  <c r="AI78" i="61" s="1"/>
  <c r="AG96" i="56"/>
  <c r="AG96" i="61" s="1"/>
  <c r="AD35" i="58"/>
  <c r="AD35" i="63" s="1"/>
  <c r="AC37" i="58"/>
  <c r="AC37" i="63" s="1"/>
  <c r="AG5" i="61"/>
  <c r="AJ76" i="56"/>
  <c r="AJ76" i="61" s="1"/>
  <c r="AH95" i="56"/>
  <c r="AH95" i="61" s="1"/>
  <c r="AH92" i="56"/>
  <c r="AH92" i="61" s="1"/>
  <c r="AH5" i="56"/>
  <c r="AH5" i="61" s="1"/>
  <c r="AK62" i="56"/>
  <c r="AK62" i="61" s="1"/>
  <c r="AI64" i="56"/>
  <c r="AI64" i="61" s="1"/>
  <c r="AI67" i="56"/>
  <c r="AI67" i="61" s="1"/>
  <c r="AI60" i="56"/>
  <c r="AI60" i="61" s="1"/>
  <c r="AH79" i="56"/>
  <c r="AH79" i="61" s="1"/>
  <c r="AM87" i="56"/>
  <c r="AM85" i="61"/>
  <c r="AG8" i="57"/>
  <c r="AG8" i="62" s="1"/>
  <c r="AJ6" i="61"/>
  <c r="AJ134" i="56"/>
  <c r="AK87" i="61"/>
  <c r="AL87" i="56"/>
  <c r="AL87" i="61" s="1"/>
  <c r="AK6" i="56"/>
  <c r="AE8" i="61"/>
  <c r="AE25" i="58"/>
  <c r="AE12" i="58"/>
  <c r="AE8" i="57"/>
  <c r="AF15" i="58" s="1"/>
  <c r="AF15" i="63" s="1"/>
  <c r="AE140" i="56"/>
  <c r="AE140" i="61" s="1"/>
  <c r="AE10" i="61"/>
  <c r="AG10" i="56"/>
  <c r="AG10" i="61" s="1"/>
  <c r="AA37" i="62"/>
  <c r="AB37" i="57"/>
  <c r="AB37" i="62" s="1"/>
  <c r="AC37" i="57"/>
  <c r="AE93" i="61"/>
  <c r="AE9" i="56"/>
  <c r="AG93" i="56"/>
  <c r="AE13" i="56"/>
  <c r="AE100" i="61"/>
  <c r="AG100" i="56"/>
  <c r="AE97" i="61"/>
  <c r="AE11" i="56"/>
  <c r="AG97" i="56"/>
  <c r="AN54" i="56"/>
  <c r="AN54" i="61" s="1"/>
  <c r="AN52" i="61"/>
  <c r="AH143" i="56"/>
  <c r="AI143" i="56" s="1"/>
  <c r="AI143" i="61" s="1"/>
  <c r="AI53" i="58"/>
  <c r="AH53" i="63"/>
  <c r="AU33" i="57"/>
  <c r="AT33" i="62"/>
  <c r="AS8" i="58"/>
  <c r="AS8" i="63" s="1"/>
  <c r="AS16" i="62"/>
  <c r="AQ20" i="58"/>
  <c r="AQ20" i="63" s="1"/>
  <c r="AP20" i="63"/>
  <c r="AV15" i="57"/>
  <c r="AV15" i="62" s="1"/>
  <c r="AU15" i="62"/>
  <c r="AV19" i="57"/>
  <c r="AV19" i="62" s="1"/>
  <c r="AU19" i="62"/>
  <c r="AR28" i="56"/>
  <c r="AR172" i="61"/>
  <c r="AV118" i="56"/>
  <c r="AV118" i="61" s="1"/>
  <c r="AV117" i="61"/>
  <c r="AT170" i="56"/>
  <c r="AT168" i="61"/>
  <c r="AU165" i="61"/>
  <c r="AU168" i="56"/>
  <c r="AS170" i="61"/>
  <c r="AS18" i="56"/>
  <c r="AS18" i="61" s="1"/>
  <c r="AS172" i="56"/>
  <c r="AQ28" i="56"/>
  <c r="AQ28" i="61" s="1"/>
  <c r="AP28" i="61"/>
  <c r="AR102" i="61"/>
  <c r="AS102" i="56"/>
  <c r="AS14" i="56" s="1"/>
  <c r="AS14" i="61" s="1"/>
  <c r="AT129" i="61"/>
  <c r="AU129" i="56"/>
  <c r="AO10" i="63"/>
  <c r="AP10" i="58"/>
  <c r="AP10" i="63" s="1"/>
  <c r="AP9" i="63"/>
  <c r="AR136" i="56"/>
  <c r="AR121" i="56"/>
  <c r="AR121" i="61" s="1"/>
  <c r="AR120" i="61"/>
  <c r="AG140" i="56"/>
  <c r="AG140" i="61" s="1"/>
  <c r="AJ59" i="61"/>
  <c r="AJ67" i="56"/>
  <c r="AJ67" i="61" s="1"/>
  <c r="AJ64" i="56"/>
  <c r="AJ64" i="61" s="1"/>
  <c r="AJ60" i="56"/>
  <c r="AJ60" i="61" s="1"/>
  <c r="AL46" i="56"/>
  <c r="AL46" i="61" s="1"/>
  <c r="AL45" i="61"/>
  <c r="AK59" i="56"/>
  <c r="AK45" i="61"/>
  <c r="AT35" i="56"/>
  <c r="AS35" i="61"/>
  <c r="AL58" i="58"/>
  <c r="AL58" i="63" s="1"/>
  <c r="AK58" i="63"/>
  <c r="AQ33" i="58"/>
  <c r="AQ33" i="63" s="1"/>
  <c r="AR26" i="61"/>
  <c r="AS26" i="56"/>
  <c r="AU17" i="58"/>
  <c r="AV10" i="57"/>
  <c r="AV10" i="62" s="1"/>
  <c r="AT13" i="57"/>
  <c r="AT13" i="62" s="1"/>
  <c r="AO153" i="56"/>
  <c r="AO153" i="61" s="1"/>
  <c r="AN155" i="56"/>
  <c r="AN155" i="61" s="1"/>
  <c r="AU23" i="57"/>
  <c r="AU23" i="62" s="1"/>
  <c r="AT21" i="58"/>
  <c r="AT21" i="63" s="1"/>
  <c r="AM31" i="56"/>
  <c r="AM31" i="61" s="1"/>
  <c r="AT19" i="58"/>
  <c r="AT19" i="63" s="1"/>
  <c r="AU27" i="57"/>
  <c r="AU27" i="62" s="1"/>
  <c r="AT16" i="57"/>
  <c r="AP50" i="56"/>
  <c r="AP50" i="61" s="1"/>
  <c r="AO52" i="56"/>
  <c r="X24" i="61"/>
  <c r="AM30" i="56"/>
  <c r="AM30" i="61" s="1"/>
  <c r="AQ57" i="56"/>
  <c r="AQ57" i="61" s="1"/>
  <c r="AO83" i="56"/>
  <c r="AO83" i="61" s="1"/>
  <c r="AN85" i="56"/>
  <c r="AR9" i="58"/>
  <c r="AR9" i="63" s="1"/>
  <c r="AN41" i="56"/>
  <c r="AN41" i="61" s="1"/>
  <c r="AM57" i="56"/>
  <c r="AM57" i="61" s="1"/>
  <c r="AK74" i="56"/>
  <c r="AK74" i="61" s="1"/>
  <c r="AJ90" i="56"/>
  <c r="AJ90" i="61" s="1"/>
  <c r="AM43" i="56"/>
  <c r="AT69" i="56"/>
  <c r="AT69" i="61" s="1"/>
  <c r="AT119" i="56"/>
  <c r="AT119" i="61" s="1"/>
  <c r="AS16" i="56"/>
  <c r="AS120" i="56"/>
  <c r="AR20" i="58"/>
  <c r="AR20" i="63" s="1"/>
  <c r="AS25" i="57"/>
  <c r="AS25" i="62" s="1"/>
  <c r="AI46" i="48"/>
  <c r="AI5" i="48"/>
  <c r="AI8" i="48" s="1"/>
  <c r="AI62" i="48"/>
  <c r="AI59" i="48"/>
  <c r="AL6" i="48"/>
  <c r="AU56" i="49"/>
  <c r="Y142" i="48"/>
  <c r="AJ134" i="48"/>
  <c r="AN20" i="50"/>
  <c r="AO25" i="49"/>
  <c r="AC130" i="48"/>
  <c r="AC131" i="48" s="1"/>
  <c r="AD127" i="48"/>
  <c r="X23" i="48"/>
  <c r="AS35" i="48"/>
  <c r="AT35" i="48" s="1"/>
  <c r="AU35" i="48" s="1"/>
  <c r="AE15" i="50"/>
  <c r="AG15" i="50" s="1"/>
  <c r="AR17" i="50"/>
  <c r="AS10" i="49"/>
  <c r="AU69" i="48"/>
  <c r="Y53" i="49"/>
  <c r="AH79" i="48"/>
  <c r="AH95" i="48"/>
  <c r="AH92" i="48"/>
  <c r="AT13" i="49"/>
  <c r="AR9" i="50"/>
  <c r="AH64" i="48"/>
  <c r="AH67" i="48"/>
  <c r="AH60" i="48"/>
  <c r="AD7" i="50"/>
  <c r="AD14" i="49"/>
  <c r="AM52" i="48"/>
  <c r="AM54" i="48" s="1"/>
  <c r="AN50" i="48"/>
  <c r="AF13" i="48"/>
  <c r="AR136" i="48"/>
  <c r="AH10" i="48"/>
  <c r="AJ43" i="48"/>
  <c r="AJ45" i="48" s="1"/>
  <c r="AJ41" i="48"/>
  <c r="AI57" i="48"/>
  <c r="AG61" i="48"/>
  <c r="AK134" i="48"/>
  <c r="AK6" i="48"/>
  <c r="AF9" i="48"/>
  <c r="AT119" i="48"/>
  <c r="AS16" i="48"/>
  <c r="AS9" i="50" s="1"/>
  <c r="AS10" i="50" s="1"/>
  <c r="AS120" i="48"/>
  <c r="AS121" i="48" s="1"/>
  <c r="AH5" i="48"/>
  <c r="Z53" i="49"/>
  <c r="AF11" i="48"/>
  <c r="AG11" i="48" s="1"/>
  <c r="Z142" i="48"/>
  <c r="AD9" i="49"/>
  <c r="AD16" i="50" s="1"/>
  <c r="AD22" i="49"/>
  <c r="AE9" i="49"/>
  <c r="AE16" i="50" s="1"/>
  <c r="AE22" i="49"/>
  <c r="AF15" i="50"/>
  <c r="AG8" i="49"/>
  <c r="AB141" i="48"/>
  <c r="AB19" i="48"/>
  <c r="AH133" i="48"/>
  <c r="AJ74" i="48"/>
  <c r="AI90" i="48"/>
  <c r="AE13" i="48"/>
  <c r="AO83" i="48"/>
  <c r="AN85" i="48"/>
  <c r="AN87" i="48" s="1"/>
  <c r="AG97" i="48"/>
  <c r="AG98" i="48" s="1"/>
  <c r="AI79" i="48"/>
  <c r="AI95" i="48"/>
  <c r="AI92" i="48"/>
  <c r="AP29" i="50"/>
  <c r="AP47" i="50"/>
  <c r="AP63" i="49"/>
  <c r="AR28" i="49"/>
  <c r="AQ28" i="49"/>
  <c r="AR22" i="48"/>
  <c r="AA137" i="48"/>
  <c r="AA72" i="48"/>
  <c r="AS102" i="48"/>
  <c r="AR14" i="48"/>
  <c r="AM155" i="48"/>
  <c r="AN153" i="48"/>
  <c r="AO57" i="50"/>
  <c r="AG67" i="48"/>
  <c r="AG68" i="48" s="1"/>
  <c r="AA141" i="48"/>
  <c r="AA19" i="48"/>
  <c r="AB71" i="48"/>
  <c r="AB72" i="48" s="1"/>
  <c r="AD99" i="48"/>
  <c r="AC103" i="48"/>
  <c r="AC105" i="48" s="1"/>
  <c r="AP8" i="50"/>
  <c r="AQ8" i="50" s="1"/>
  <c r="AQ16" i="49"/>
  <c r="AR172" i="48"/>
  <c r="AR28" i="48" s="1"/>
  <c r="AR18" i="48"/>
  <c r="AM30" i="48"/>
  <c r="AP33" i="50"/>
  <c r="AP57" i="50" s="1"/>
  <c r="AG140" i="48"/>
  <c r="AG13" i="48"/>
  <c r="AD66" i="48"/>
  <c r="AC12" i="48"/>
  <c r="AC70" i="48"/>
  <c r="AC71" i="48" s="1"/>
  <c r="AD35" i="50"/>
  <c r="AD37" i="49" s="1"/>
  <c r="AT165" i="48"/>
  <c r="AS168" i="48"/>
  <c r="AS170" i="48" s="1"/>
  <c r="AG93" i="48"/>
  <c r="AQ29" i="50"/>
  <c r="AL54" i="48"/>
  <c r="AR21" i="50"/>
  <c r="AS23" i="49"/>
  <c r="AR19" i="50"/>
  <c r="AS27" i="49"/>
  <c r="AR16" i="49"/>
  <c r="AR8" i="50" s="1"/>
  <c r="AI47" i="46"/>
  <c r="AI63" i="45"/>
  <c r="AH18" i="44"/>
  <c r="AG18" i="44"/>
  <c r="AF172" i="44"/>
  <c r="AH172" i="44"/>
  <c r="AI173" i="44"/>
  <c r="AI170" i="44"/>
  <c r="AI168" i="44"/>
  <c r="AF28" i="44"/>
  <c r="AG28" i="44"/>
  <c r="AI102" i="44"/>
  <c r="AF121" i="44"/>
  <c r="AF120" i="44"/>
  <c r="AG118" i="44"/>
  <c r="AH118" i="44"/>
  <c r="AI117" i="44"/>
  <c r="AI145" i="44"/>
  <c r="AI22" i="44"/>
  <c r="AH129" i="44"/>
  <c r="AI14" i="44"/>
  <c r="AI16" i="44"/>
  <c r="AG10" i="46"/>
  <c r="AE87" i="44"/>
  <c r="AE85" i="44"/>
  <c r="AG90" i="44"/>
  <c r="AA90" i="44"/>
  <c r="Z78" i="44"/>
  <c r="Z79" i="44"/>
  <c r="Z95" i="44"/>
  <c r="AA54" i="44"/>
  <c r="AB54" i="44"/>
  <c r="AB6" i="44"/>
  <c r="AA6" i="44"/>
  <c r="AC54" i="44"/>
  <c r="AC52" i="44"/>
  <c r="W63" i="44"/>
  <c r="W62" i="44"/>
  <c r="Y59" i="44"/>
  <c r="Y46" i="44"/>
  <c r="X45" i="44"/>
  <c r="X46" i="44"/>
  <c r="AP54" i="45"/>
  <c r="AR54" i="45"/>
  <c r="AM55" i="45"/>
  <c r="AH40" i="45"/>
  <c r="AI39" i="45"/>
  <c r="AJ34" i="45"/>
  <c r="AJ33" i="45"/>
  <c r="AI32" i="45"/>
  <c r="AI31" i="45"/>
  <c r="AJ47" i="46"/>
  <c r="AH8" i="46"/>
  <c r="AH16" i="45"/>
  <c r="AG8" i="46"/>
  <c r="AF8" i="46"/>
  <c r="AH26" i="45"/>
  <c r="AJ24" i="45"/>
  <c r="AI19" i="45"/>
  <c r="AI18" i="45"/>
  <c r="AH15" i="45"/>
  <c r="AG17" i="46"/>
  <c r="AF17" i="46"/>
  <c r="AH53" i="46"/>
  <c r="AI26" i="44"/>
  <c r="W8" i="44"/>
  <c r="W5" i="44"/>
  <c r="AC153" i="44"/>
  <c r="AE58" i="46"/>
  <c r="AF136" i="44"/>
  <c r="AK28" i="45"/>
  <c r="AH83" i="44"/>
  <c r="AG83" i="44"/>
  <c r="AE50" i="44"/>
  <c r="AF56" i="45"/>
  <c r="AA41" i="44"/>
  <c r="Z57" i="44"/>
  <c r="W11" i="44"/>
  <c r="AH17" i="46"/>
  <c r="AI10" i="45"/>
  <c r="AD74" i="44"/>
  <c r="AC90" i="44"/>
  <c r="AI19" i="46"/>
  <c r="AJ27" i="45"/>
  <c r="AN163" i="44"/>
  <c r="V12" i="46"/>
  <c r="V25" i="46"/>
  <c r="V140" i="44"/>
  <c r="V8" i="45"/>
  <c r="AK119" i="44"/>
  <c r="AK165" i="44"/>
  <c r="AH10" i="46"/>
  <c r="W140" i="44"/>
  <c r="AI21" i="46"/>
  <c r="AJ23" i="45"/>
  <c r="AI35" i="44"/>
  <c r="AI13" i="45"/>
  <c r="AJ69" i="44"/>
  <c r="W13" i="44"/>
  <c r="W60" i="44"/>
  <c r="AT52" i="38"/>
  <c r="AJ52" i="38"/>
  <c r="Q55" i="39"/>
  <c r="Q148" i="36" s="1"/>
  <c r="AA22" i="36"/>
  <c r="Q39" i="39"/>
  <c r="AS52" i="38"/>
  <c r="AO48" i="38"/>
  <c r="AR32" i="38"/>
  <c r="AS32" i="38" s="1"/>
  <c r="AT32" i="38" s="1"/>
  <c r="AU32" i="38" s="1"/>
  <c r="AV32" i="38" s="1"/>
  <c r="AQ32" i="38"/>
  <c r="AN56" i="39"/>
  <c r="AR33" i="38"/>
  <c r="AS33" i="38" s="1"/>
  <c r="AT33" i="38" s="1"/>
  <c r="AU33" i="38" s="1"/>
  <c r="AV33" i="38" s="1"/>
  <c r="AQ33" i="38"/>
  <c r="M22" i="39"/>
  <c r="M55" i="39" s="1"/>
  <c r="M148" i="36" s="1"/>
  <c r="AQ15" i="38"/>
  <c r="AR15" i="38"/>
  <c r="AS15" i="38" s="1"/>
  <c r="AT15" i="38" s="1"/>
  <c r="AU15" i="38" s="1"/>
  <c r="AV15" i="38" s="1"/>
  <c r="AC54" i="38"/>
  <c r="Z21" i="39"/>
  <c r="AA23" i="38"/>
  <c r="H27" i="39"/>
  <c r="AR40" i="38"/>
  <c r="AS40" i="38" s="1"/>
  <c r="AT40" i="38" s="1"/>
  <c r="AU40" i="38" s="1"/>
  <c r="AV40" i="38" s="1"/>
  <c r="AQ40" i="38"/>
  <c r="AR19" i="38"/>
  <c r="AS19" i="38" s="1"/>
  <c r="AT19" i="38" s="1"/>
  <c r="AU19" i="38" s="1"/>
  <c r="AV19" i="38" s="1"/>
  <c r="AQ19" i="38"/>
  <c r="AR52" i="38"/>
  <c r="Y20" i="39"/>
  <c r="Z25" i="38"/>
  <c r="F40" i="39"/>
  <c r="F41" i="39" s="1"/>
  <c r="E6" i="38"/>
  <c r="E144" i="36" s="1"/>
  <c r="Z47" i="39"/>
  <c r="Z29" i="39"/>
  <c r="AA28" i="38"/>
  <c r="Z63" i="38"/>
  <c r="H39" i="39"/>
  <c r="H41" i="39" s="1"/>
  <c r="G39" i="39"/>
  <c r="R27" i="39"/>
  <c r="AU52" i="38"/>
  <c r="AR26" i="38"/>
  <c r="AS26" i="38" s="1"/>
  <c r="AT26" i="38" s="1"/>
  <c r="AU26" i="38" s="1"/>
  <c r="AV26" i="38" s="1"/>
  <c r="AQ26" i="38"/>
  <c r="AN52" i="38"/>
  <c r="AK48" i="38"/>
  <c r="D53" i="38"/>
  <c r="D43" i="38"/>
  <c r="AQ18" i="38"/>
  <c r="AR18" i="38"/>
  <c r="AS18" i="38" s="1"/>
  <c r="AT18" i="38" s="1"/>
  <c r="AU18" i="38" s="1"/>
  <c r="AV18" i="38" s="1"/>
  <c r="L39" i="39"/>
  <c r="R22" i="39"/>
  <c r="AA13" i="38"/>
  <c r="AA19" i="39"/>
  <c r="AB19" i="39" s="1"/>
  <c r="AC27" i="38"/>
  <c r="AC16" i="38" s="1"/>
  <c r="AC8" i="39" s="1"/>
  <c r="AB27" i="38"/>
  <c r="AM31" i="38"/>
  <c r="AN31" i="38" s="1"/>
  <c r="AO31" i="38" s="1"/>
  <c r="AP31" i="38" s="1"/>
  <c r="AL31" i="38"/>
  <c r="AL67" i="38" s="1"/>
  <c r="V7" i="39"/>
  <c r="X56" i="38"/>
  <c r="AA17" i="39"/>
  <c r="AB17" i="39" s="1"/>
  <c r="AB10" i="38"/>
  <c r="AC10" i="38"/>
  <c r="AD55" i="38"/>
  <c r="AA16" i="38"/>
  <c r="AN48" i="38"/>
  <c r="AR48" i="38"/>
  <c r="AR34" i="38"/>
  <c r="AS34" i="38" s="1"/>
  <c r="AT34" i="38" s="1"/>
  <c r="AU34" i="38" s="1"/>
  <c r="AV34" i="38" s="1"/>
  <c r="AQ34" i="38"/>
  <c r="AV18" i="73" l="1"/>
  <c r="AV18" i="70" s="1"/>
  <c r="AB142" i="73"/>
  <c r="AE71" i="73"/>
  <c r="AC19" i="73"/>
  <c r="AC142" i="73" s="1"/>
  <c r="AD106" i="73"/>
  <c r="AU118" i="73"/>
  <c r="AU117" i="70"/>
  <c r="AV117" i="73"/>
  <c r="AT120" i="73"/>
  <c r="AT118" i="70"/>
  <c r="AD137" i="73"/>
  <c r="AD19" i="73"/>
  <c r="AD141" i="73"/>
  <c r="AS121" i="73"/>
  <c r="AS121" i="70" s="1"/>
  <c r="AS120" i="70"/>
  <c r="Z148" i="73"/>
  <c r="AB64" i="74"/>
  <c r="AE131" i="73"/>
  <c r="AC137" i="73"/>
  <c r="AS28" i="65"/>
  <c r="AS28" i="70" s="1"/>
  <c r="AS172" i="70"/>
  <c r="AU28" i="73"/>
  <c r="AF99" i="73"/>
  <c r="AE103" i="73"/>
  <c r="AG99" i="73"/>
  <c r="AG103" i="73" s="1"/>
  <c r="AM79" i="73"/>
  <c r="AM95" i="73"/>
  <c r="AM92" i="73"/>
  <c r="AK9" i="73"/>
  <c r="AE72" i="73"/>
  <c r="AE15" i="73"/>
  <c r="AJ13" i="73"/>
  <c r="AL67" i="73"/>
  <c r="AL68" i="73" s="1"/>
  <c r="AF66" i="73"/>
  <c r="AJ9" i="73"/>
  <c r="AL60" i="73"/>
  <c r="AH18" i="75"/>
  <c r="AH30" i="74"/>
  <c r="AH35" i="74" s="1"/>
  <c r="Z42" i="74"/>
  <c r="Z62" i="74"/>
  <c r="AJ11" i="73"/>
  <c r="AL64" i="73"/>
  <c r="AL65" i="73" s="1"/>
  <c r="AV47" i="75"/>
  <c r="AV67" i="74"/>
  <c r="AL65" i="75"/>
  <c r="AL140" i="73"/>
  <c r="AT14" i="73"/>
  <c r="AT14" i="70" s="1"/>
  <c r="AU102" i="73"/>
  <c r="AI12" i="75"/>
  <c r="AL12" i="75" s="1"/>
  <c r="AI25" i="75"/>
  <c r="AL25" i="75" s="1"/>
  <c r="AL56" i="75" s="1"/>
  <c r="AI8" i="74"/>
  <c r="AI15" i="75" s="1"/>
  <c r="AI140" i="73"/>
  <c r="AG37" i="74"/>
  <c r="AF14" i="74"/>
  <c r="AM64" i="73"/>
  <c r="AM60" i="73"/>
  <c r="AM67" i="73"/>
  <c r="AO41" i="73"/>
  <c r="AN57" i="73"/>
  <c r="AM10" i="73"/>
  <c r="AN43" i="73"/>
  <c r="AN45" i="73" s="1"/>
  <c r="AK25" i="75"/>
  <c r="AK12" i="75"/>
  <c r="AK8" i="74"/>
  <c r="AK140" i="73"/>
  <c r="AH35" i="75"/>
  <c r="AF37" i="75"/>
  <c r="AG35" i="75"/>
  <c r="AG37" i="75" s="1"/>
  <c r="AM5" i="73"/>
  <c r="AJ15" i="75"/>
  <c r="AR134" i="73"/>
  <c r="AI9" i="73"/>
  <c r="AF127" i="73"/>
  <c r="AT83" i="73"/>
  <c r="AS85" i="73"/>
  <c r="AS87" i="73" s="1"/>
  <c r="AT52" i="73"/>
  <c r="AT54" i="73" s="1"/>
  <c r="AU50" i="73"/>
  <c r="AK100" i="73"/>
  <c r="AL100" i="73" s="1"/>
  <c r="AL101" i="73" s="1"/>
  <c r="AK93" i="73"/>
  <c r="AK97" i="73"/>
  <c r="AL97" i="73" s="1"/>
  <c r="AL98" i="73" s="1"/>
  <c r="AN74" i="73"/>
  <c r="AM90" i="73"/>
  <c r="AL96" i="73"/>
  <c r="AI53" i="74"/>
  <c r="AK13" i="73"/>
  <c r="AG61" i="65"/>
  <c r="AH9" i="65"/>
  <c r="AI100" i="65"/>
  <c r="AI93" i="65"/>
  <c r="AI10" i="65"/>
  <c r="AE30" i="66"/>
  <c r="AE35" i="66" s="1"/>
  <c r="AE18" i="67"/>
  <c r="AM43" i="65"/>
  <c r="AK59" i="65"/>
  <c r="AK62" i="65"/>
  <c r="AK46" i="65"/>
  <c r="AL45" i="65"/>
  <c r="AL46" i="65" s="1"/>
  <c r="AI8" i="65"/>
  <c r="AT18" i="65"/>
  <c r="AT172" i="65"/>
  <c r="AT172" i="70" s="1"/>
  <c r="AI60" i="65"/>
  <c r="AI64" i="65"/>
  <c r="AI11" i="65" s="1"/>
  <c r="AI67" i="65"/>
  <c r="AO87" i="65"/>
  <c r="AH140" i="65"/>
  <c r="AN6" i="65"/>
  <c r="AJ10" i="65"/>
  <c r="AJ5" i="65"/>
  <c r="AD35" i="66"/>
  <c r="AH8" i="66"/>
  <c r="AH15" i="67" s="1"/>
  <c r="AH12" i="67"/>
  <c r="AK78" i="65"/>
  <c r="AL78" i="65" s="1"/>
  <c r="AH25" i="67"/>
  <c r="AQ90" i="65"/>
  <c r="AG15" i="67"/>
  <c r="AE37" i="66"/>
  <c r="AP54" i="65"/>
  <c r="AI133" i="65"/>
  <c r="AM45" i="65"/>
  <c r="AJ60" i="65"/>
  <c r="AE37" i="67"/>
  <c r="AJ67" i="65"/>
  <c r="AF35" i="67"/>
  <c r="AJ64" i="65"/>
  <c r="AO143" i="65"/>
  <c r="AP143" i="65" s="1"/>
  <c r="AG12" i="67"/>
  <c r="AI53" i="67"/>
  <c r="AV20" i="67"/>
  <c r="AV8" i="67"/>
  <c r="AV21" i="67"/>
  <c r="AV29" i="67"/>
  <c r="AV17" i="67"/>
  <c r="AT28" i="65"/>
  <c r="AT28" i="70" s="1"/>
  <c r="AU170" i="65"/>
  <c r="AS121" i="65"/>
  <c r="AV118" i="65"/>
  <c r="AU118" i="65"/>
  <c r="AT120" i="65"/>
  <c r="AU14" i="65"/>
  <c r="AV14" i="65" s="1"/>
  <c r="AV102" i="65"/>
  <c r="AH144" i="65"/>
  <c r="AT10" i="67"/>
  <c r="AS153" i="65"/>
  <c r="AR155" i="65"/>
  <c r="AQ155" i="65"/>
  <c r="AP31" i="65"/>
  <c r="Y147" i="65"/>
  <c r="Y146" i="65"/>
  <c r="AN41" i="65"/>
  <c r="AM57" i="65"/>
  <c r="AQ139" i="65"/>
  <c r="AM46" i="65"/>
  <c r="AM62" i="65"/>
  <c r="AN74" i="65"/>
  <c r="AM90" i="65"/>
  <c r="AM76" i="65"/>
  <c r="Y41" i="66"/>
  <c r="AV47" i="67"/>
  <c r="AV67" i="66"/>
  <c r="AJ93" i="65"/>
  <c r="AJ97" i="65"/>
  <c r="AJ100" i="65"/>
  <c r="AR52" i="65"/>
  <c r="AS50" i="65"/>
  <c r="AR83" i="65"/>
  <c r="AQ83" i="65"/>
  <c r="AP85" i="65"/>
  <c r="AS57" i="67"/>
  <c r="AK95" i="65"/>
  <c r="AP30" i="65"/>
  <c r="AT33" i="67"/>
  <c r="AO6" i="65"/>
  <c r="AU9" i="67"/>
  <c r="AV16" i="65"/>
  <c r="AH22" i="66"/>
  <c r="AH9" i="66"/>
  <c r="AU136" i="65"/>
  <c r="AF18" i="67"/>
  <c r="AF30" i="66"/>
  <c r="AG22" i="66"/>
  <c r="AL64" i="67"/>
  <c r="AQ57" i="65"/>
  <c r="AF16" i="67"/>
  <c r="AG9" i="66"/>
  <c r="AD30" i="62"/>
  <c r="AT28" i="62"/>
  <c r="AT47" i="58"/>
  <c r="AT47" i="63" s="1"/>
  <c r="AT29" i="58"/>
  <c r="AT29" i="63" s="1"/>
  <c r="AT63" i="57"/>
  <c r="AT63" i="62" s="1"/>
  <c r="AU28" i="57"/>
  <c r="AU22" i="56"/>
  <c r="AP57" i="58"/>
  <c r="AP57" i="63" s="1"/>
  <c r="AF22" i="57"/>
  <c r="AF22" i="62" s="1"/>
  <c r="AB35" i="57"/>
  <c r="AB35" i="62" s="1"/>
  <c r="AB30" i="62"/>
  <c r="AF9" i="57"/>
  <c r="AF9" i="62" s="1"/>
  <c r="AJ78" i="56"/>
  <c r="AJ78" i="61" s="1"/>
  <c r="AH133" i="56"/>
  <c r="AH8" i="56"/>
  <c r="AH8" i="61" s="1"/>
  <c r="AD37" i="58"/>
  <c r="AD37" i="63" s="1"/>
  <c r="AI79" i="56"/>
  <c r="AI79" i="61" s="1"/>
  <c r="AI95" i="56"/>
  <c r="AI95" i="61" s="1"/>
  <c r="AI5" i="56"/>
  <c r="AI92" i="56"/>
  <c r="AI97" i="56" s="1"/>
  <c r="AI5" i="61"/>
  <c r="AJ92" i="56"/>
  <c r="AJ92" i="61" s="1"/>
  <c r="AH93" i="56"/>
  <c r="AH93" i="61" s="1"/>
  <c r="AJ5" i="56"/>
  <c r="AJ8" i="56" s="1"/>
  <c r="AJ8" i="61" s="1"/>
  <c r="AH100" i="56"/>
  <c r="AH100" i="61" s="1"/>
  <c r="AH10" i="56"/>
  <c r="AH10" i="61" s="1"/>
  <c r="AH97" i="56"/>
  <c r="AH97" i="61" s="1"/>
  <c r="AL62" i="56"/>
  <c r="AL62" i="61" s="1"/>
  <c r="AK134" i="56"/>
  <c r="AK6" i="61"/>
  <c r="AL6" i="56"/>
  <c r="AL6" i="61" s="1"/>
  <c r="AN87" i="56"/>
  <c r="AN87" i="61" s="1"/>
  <c r="AN85" i="61"/>
  <c r="AM87" i="61"/>
  <c r="AM6" i="56"/>
  <c r="AC37" i="62"/>
  <c r="AD37" i="57"/>
  <c r="AG98" i="56"/>
  <c r="AG98" i="61" s="1"/>
  <c r="AG97" i="61"/>
  <c r="AG11" i="56"/>
  <c r="AG11" i="61" s="1"/>
  <c r="AE11" i="61"/>
  <c r="AG100" i="61"/>
  <c r="AG101" i="56"/>
  <c r="AG101" i="61" s="1"/>
  <c r="AE13" i="61"/>
  <c r="AG13" i="56"/>
  <c r="AG13" i="61" s="1"/>
  <c r="AE8" i="62"/>
  <c r="AE15" i="58"/>
  <c r="AG93" i="61"/>
  <c r="AG94" i="56"/>
  <c r="AG94" i="61" s="1"/>
  <c r="AG12" i="58"/>
  <c r="AG12" i="63" s="1"/>
  <c r="AE12" i="63"/>
  <c r="AE35" i="58"/>
  <c r="AE9" i="61"/>
  <c r="AE22" i="57"/>
  <c r="AE9" i="57"/>
  <c r="AG25" i="58"/>
  <c r="AE25" i="63"/>
  <c r="AG9" i="56"/>
  <c r="AG9" i="61" s="1"/>
  <c r="AO54" i="56"/>
  <c r="AO54" i="61" s="1"/>
  <c r="AO52" i="61"/>
  <c r="AN43" i="56"/>
  <c r="AN45" i="56" s="1"/>
  <c r="AH143" i="61"/>
  <c r="AJ143" i="56"/>
  <c r="AJ143" i="61" s="1"/>
  <c r="AJ53" i="58"/>
  <c r="AI53" i="63"/>
  <c r="AV33" i="57"/>
  <c r="AV33" i="62" s="1"/>
  <c r="AU33" i="62"/>
  <c r="AT8" i="58"/>
  <c r="AT8" i="63" s="1"/>
  <c r="AT16" i="62"/>
  <c r="AV17" i="58"/>
  <c r="AV17" i="63" s="1"/>
  <c r="AU17" i="63"/>
  <c r="AS102" i="61"/>
  <c r="AT102" i="56"/>
  <c r="AT14" i="56" s="1"/>
  <c r="AT14" i="61" s="1"/>
  <c r="AS28" i="56"/>
  <c r="AS28" i="61" s="1"/>
  <c r="AS172" i="61"/>
  <c r="AU170" i="56"/>
  <c r="AU168" i="61"/>
  <c r="AT170" i="61"/>
  <c r="AT172" i="56"/>
  <c r="AT18" i="56"/>
  <c r="AT18" i="61" s="1"/>
  <c r="AR28" i="61"/>
  <c r="AV129" i="56"/>
  <c r="AV129" i="61" s="1"/>
  <c r="AU129" i="61"/>
  <c r="AS9" i="58"/>
  <c r="AS16" i="61"/>
  <c r="AS121" i="56"/>
  <c r="AS121" i="61" s="1"/>
  <c r="AS120" i="61"/>
  <c r="AQ10" i="58"/>
  <c r="AQ10" i="63" s="1"/>
  <c r="AK59" i="61"/>
  <c r="AK64" i="56"/>
  <c r="AK60" i="56"/>
  <c r="AK60" i="61" s="1"/>
  <c r="AK67" i="56"/>
  <c r="AK67" i="61" s="1"/>
  <c r="AM45" i="56"/>
  <c r="AM45" i="61" s="1"/>
  <c r="AM43" i="61"/>
  <c r="AL59" i="56"/>
  <c r="AL59" i="61" s="1"/>
  <c r="AQ57" i="58"/>
  <c r="AQ57" i="63" s="1"/>
  <c r="AU35" i="56"/>
  <c r="AT35" i="61"/>
  <c r="AT26" i="56"/>
  <c r="AS26" i="61"/>
  <c r="AP153" i="56"/>
  <c r="AO155" i="56"/>
  <c r="AP83" i="56"/>
  <c r="AP83" i="61" s="1"/>
  <c r="AO85" i="56"/>
  <c r="AU19" i="58"/>
  <c r="AV27" i="57"/>
  <c r="AV27" i="62" s="1"/>
  <c r="AU16" i="57"/>
  <c r="AU16" i="62" s="1"/>
  <c r="AM74" i="56"/>
  <c r="AM74" i="61" s="1"/>
  <c r="AL74" i="56"/>
  <c r="AK90" i="56"/>
  <c r="AK90" i="61" s="1"/>
  <c r="AK76" i="56"/>
  <c r="AN31" i="56"/>
  <c r="AN31" i="61" s="1"/>
  <c r="AN30" i="56"/>
  <c r="AN30" i="61" s="1"/>
  <c r="AR33" i="58"/>
  <c r="AR33" i="63" s="1"/>
  <c r="AU119" i="56"/>
  <c r="AU119" i="61" s="1"/>
  <c r="AT16" i="56"/>
  <c r="AV119" i="56"/>
  <c r="AT120" i="56"/>
  <c r="X29" i="56"/>
  <c r="AU21" i="58"/>
  <c r="AV23" i="57"/>
  <c r="AV23" i="62" s="1"/>
  <c r="AS136" i="56"/>
  <c r="X25" i="61"/>
  <c r="AO41" i="56"/>
  <c r="AN57" i="56"/>
  <c r="AN57" i="61" s="1"/>
  <c r="AS20" i="58"/>
  <c r="AS20" i="63" s="1"/>
  <c r="AT25" i="57"/>
  <c r="AT25" i="62" s="1"/>
  <c r="AU13" i="57"/>
  <c r="AU13" i="62" s="1"/>
  <c r="AU69" i="56"/>
  <c r="AU69" i="61" s="1"/>
  <c r="AR10" i="58"/>
  <c r="AR10" i="63" s="1"/>
  <c r="AQ50" i="56"/>
  <c r="AQ50" i="61" s="1"/>
  <c r="AP52" i="56"/>
  <c r="AR50" i="56"/>
  <c r="AR50" i="61" s="1"/>
  <c r="AR47" i="50"/>
  <c r="AR29" i="50"/>
  <c r="AR63" i="49"/>
  <c r="AS28" i="49"/>
  <c r="AS22" i="48"/>
  <c r="AS19" i="50"/>
  <c r="AT27" i="49"/>
  <c r="AS16" i="49"/>
  <c r="AS8" i="50" s="1"/>
  <c r="AS17" i="50"/>
  <c r="AT10" i="49"/>
  <c r="AJ46" i="48"/>
  <c r="AJ62" i="48"/>
  <c r="AJ59" i="48"/>
  <c r="AS21" i="50"/>
  <c r="AT23" i="49"/>
  <c r="AR33" i="50"/>
  <c r="AU119" i="48"/>
  <c r="AT16" i="48"/>
  <c r="AT9" i="50" s="1"/>
  <c r="AT10" i="50" s="1"/>
  <c r="AT120" i="48"/>
  <c r="AT121" i="48" s="1"/>
  <c r="AV119" i="48"/>
  <c r="AV120" i="48" s="1"/>
  <c r="AV121" i="48" s="1"/>
  <c r="AR10" i="50"/>
  <c r="AE66" i="48"/>
  <c r="AD12" i="48"/>
  <c r="AD15" i="48" s="1"/>
  <c r="AD17" i="48" s="1"/>
  <c r="AD70" i="48"/>
  <c r="AD71" i="48" s="1"/>
  <c r="AN155" i="48"/>
  <c r="AN30" i="48" s="1"/>
  <c r="AO153" i="48"/>
  <c r="AE18" i="50"/>
  <c r="AE30" i="49"/>
  <c r="AE35" i="49" s="1"/>
  <c r="AS136" i="48"/>
  <c r="AN52" i="48"/>
  <c r="AN54" i="48" s="1"/>
  <c r="AO50" i="48"/>
  <c r="AU13" i="49"/>
  <c r="AV35" i="48"/>
  <c r="AM31" i="48"/>
  <c r="AF9" i="49"/>
  <c r="AF22" i="49"/>
  <c r="AM6" i="48"/>
  <c r="AH8" i="48"/>
  <c r="AC53" i="49"/>
  <c r="AO20" i="50"/>
  <c r="AP25" i="49"/>
  <c r="AQ33" i="50"/>
  <c r="AQ57" i="50" s="1"/>
  <c r="AG94" i="48"/>
  <c r="AT102" i="48"/>
  <c r="AS14" i="48"/>
  <c r="X24" i="48"/>
  <c r="X25" i="48" s="1"/>
  <c r="AB65" i="49"/>
  <c r="AB64" i="49" s="1"/>
  <c r="AB142" i="48"/>
  <c r="AI93" i="48"/>
  <c r="AI97" i="48"/>
  <c r="AI100" i="48"/>
  <c r="AS172" i="48"/>
  <c r="AS28" i="48" s="1"/>
  <c r="AS18" i="48"/>
  <c r="AP83" i="48"/>
  <c r="AO85" i="48"/>
  <c r="AO87" i="48" s="1"/>
  <c r="AG9" i="48"/>
  <c r="AH93" i="48"/>
  <c r="AH9" i="48" s="1"/>
  <c r="AH97" i="48"/>
  <c r="AH100" i="48"/>
  <c r="AI64" i="48"/>
  <c r="AI11" i="48" s="1"/>
  <c r="AI60" i="48"/>
  <c r="AI67" i="48"/>
  <c r="AI13" i="48" s="1"/>
  <c r="AV69" i="48"/>
  <c r="AU165" i="48"/>
  <c r="AU168" i="48" s="1"/>
  <c r="AU170" i="48" s="1"/>
  <c r="AT168" i="48"/>
  <c r="AT170" i="48" s="1"/>
  <c r="AC106" i="48"/>
  <c r="AE7" i="50"/>
  <c r="AE127" i="48"/>
  <c r="AD130" i="48"/>
  <c r="AD131" i="48" s="1"/>
  <c r="AI10" i="48"/>
  <c r="AE35" i="50"/>
  <c r="AD37" i="50"/>
  <c r="AD18" i="50"/>
  <c r="AD30" i="49"/>
  <c r="AD35" i="49" s="1"/>
  <c r="AI12" i="50"/>
  <c r="AI25" i="50"/>
  <c r="AI8" i="49"/>
  <c r="AI140" i="48"/>
  <c r="AK43" i="48"/>
  <c r="AK45" i="48" s="1"/>
  <c r="AL45" i="48" s="1"/>
  <c r="AL46" i="48" s="1"/>
  <c r="AK41" i="48"/>
  <c r="AJ57" i="48"/>
  <c r="AC137" i="48"/>
  <c r="AC72" i="48"/>
  <c r="AE99" i="48"/>
  <c r="AD103" i="48"/>
  <c r="AD105" i="48" s="1"/>
  <c r="AD106" i="48" s="1"/>
  <c r="AK74" i="48"/>
  <c r="AJ90" i="48"/>
  <c r="AA142" i="48"/>
  <c r="AC15" i="48"/>
  <c r="AC17" i="48" s="1"/>
  <c r="AQ47" i="50"/>
  <c r="AQ67" i="49"/>
  <c r="AJ76" i="48"/>
  <c r="AJ78" i="48" s="1"/>
  <c r="AJ5" i="48" s="1"/>
  <c r="AD53" i="49"/>
  <c r="AA53" i="49"/>
  <c r="AI133" i="48"/>
  <c r="AJ63" i="45"/>
  <c r="AJ29" i="46"/>
  <c r="AH28" i="44"/>
  <c r="AI18" i="44"/>
  <c r="AJ173" i="44"/>
  <c r="AJ170" i="44"/>
  <c r="AJ168" i="44"/>
  <c r="AJ117" i="44"/>
  <c r="AI118" i="44"/>
  <c r="AH121" i="44"/>
  <c r="AH120" i="44"/>
  <c r="AG121" i="44"/>
  <c r="AG120" i="44"/>
  <c r="AJ102" i="44"/>
  <c r="AJ145" i="44"/>
  <c r="AJ22" i="44"/>
  <c r="AI129" i="44"/>
  <c r="AJ14" i="44"/>
  <c r="AI10" i="46"/>
  <c r="AI9" i="46"/>
  <c r="AJ16" i="44"/>
  <c r="AF87" i="44"/>
  <c r="AF85" i="44"/>
  <c r="Z92" i="44"/>
  <c r="AC78" i="44"/>
  <c r="AC76" i="44"/>
  <c r="AD54" i="44"/>
  <c r="AD52" i="44"/>
  <c r="AC6" i="44"/>
  <c r="AC134" i="44" s="1"/>
  <c r="AA134" i="44"/>
  <c r="Z43" i="44"/>
  <c r="X62" i="44"/>
  <c r="X10" i="44"/>
  <c r="X59" i="44"/>
  <c r="W65" i="44"/>
  <c r="W64" i="44"/>
  <c r="X5" i="44"/>
  <c r="X133" i="44" s="1"/>
  <c r="AA45" i="44"/>
  <c r="AA43" i="44"/>
  <c r="Y5" i="44"/>
  <c r="Y133" i="44" s="1"/>
  <c r="W68" i="44"/>
  <c r="W67" i="44"/>
  <c r="Y60" i="44"/>
  <c r="Y10" i="44"/>
  <c r="Y62" i="44"/>
  <c r="Y13" i="44"/>
  <c r="Y67" i="44"/>
  <c r="AN55" i="45"/>
  <c r="AS54" i="45"/>
  <c r="AT54" i="45"/>
  <c r="AI40" i="45"/>
  <c r="AJ39" i="45"/>
  <c r="AK34" i="45"/>
  <c r="AL34" i="45"/>
  <c r="AK33" i="45"/>
  <c r="AL33" i="45"/>
  <c r="AJ32" i="45"/>
  <c r="AJ31" i="45"/>
  <c r="AI8" i="46"/>
  <c r="AI16" i="45"/>
  <c r="AI26" i="45"/>
  <c r="AK24" i="45"/>
  <c r="AL24" i="45"/>
  <c r="AJ19" i="45"/>
  <c r="AJ18" i="45"/>
  <c r="AI15" i="45"/>
  <c r="AI53" i="46"/>
  <c r="V71" i="44"/>
  <c r="V70" i="44"/>
  <c r="AL26" i="44"/>
  <c r="AJ26" i="44"/>
  <c r="AD153" i="44"/>
  <c r="AF58" i="46"/>
  <c r="AG58" i="46"/>
  <c r="AH136" i="44"/>
  <c r="AA59" i="44"/>
  <c r="AC41" i="44"/>
  <c r="AJ19" i="46"/>
  <c r="AK27" i="45"/>
  <c r="AF50" i="44"/>
  <c r="V9" i="45"/>
  <c r="V22" i="45"/>
  <c r="W8" i="45"/>
  <c r="AE74" i="44"/>
  <c r="AD90" i="44"/>
  <c r="AK69" i="44"/>
  <c r="V14" i="45"/>
  <c r="AM28" i="45"/>
  <c r="AL28" i="45"/>
  <c r="AJ35" i="44"/>
  <c r="W12" i="46"/>
  <c r="V35" i="46"/>
  <c r="AI17" i="46"/>
  <c r="AJ10" i="45"/>
  <c r="AI83" i="44"/>
  <c r="W70" i="44"/>
  <c r="W61" i="44"/>
  <c r="AK23" i="45"/>
  <c r="AJ21" i="46"/>
  <c r="AO163" i="44"/>
  <c r="AM119" i="44"/>
  <c r="AJ13" i="45"/>
  <c r="AJ9" i="46"/>
  <c r="AM165" i="44"/>
  <c r="AH56" i="45"/>
  <c r="AJ18" i="44"/>
  <c r="V66" i="36"/>
  <c r="V99" i="36"/>
  <c r="V127" i="36"/>
  <c r="R55" i="39"/>
  <c r="R148" i="36" s="1"/>
  <c r="R39" i="39"/>
  <c r="AC22" i="36"/>
  <c r="W7" i="39"/>
  <c r="AR31" i="38"/>
  <c r="AS31" i="38" s="1"/>
  <c r="AT31" i="38" s="1"/>
  <c r="AU31" i="38" s="1"/>
  <c r="AV31" i="38" s="1"/>
  <c r="AV67" i="38" s="1"/>
  <c r="AQ31" i="38"/>
  <c r="AQ67" i="38" s="1"/>
  <c r="AC19" i="39"/>
  <c r="AD27" i="38"/>
  <c r="AD16" i="38" s="1"/>
  <c r="AD8" i="39" s="1"/>
  <c r="AE55" i="38"/>
  <c r="M39" i="39"/>
  <c r="AO56" i="39"/>
  <c r="AC13" i="38"/>
  <c r="AB13" i="38"/>
  <c r="AA47" i="39"/>
  <c r="AA29" i="39"/>
  <c r="AC28" i="38"/>
  <c r="AB28" i="38"/>
  <c r="AA63" i="38"/>
  <c r="AA21" i="39"/>
  <c r="AB21" i="39" s="1"/>
  <c r="AC23" i="38"/>
  <c r="AB23" i="38"/>
  <c r="AC17" i="39"/>
  <c r="AD10" i="38"/>
  <c r="AA8" i="39"/>
  <c r="AB8" i="39" s="1"/>
  <c r="AB16" i="38"/>
  <c r="AP48" i="38"/>
  <c r="E46" i="39"/>
  <c r="E48" i="39" s="1"/>
  <c r="E11" i="38"/>
  <c r="E20" i="38" s="1"/>
  <c r="G40" i="39"/>
  <c r="G41" i="39" s="1"/>
  <c r="G6" i="38" s="1"/>
  <c r="F6" i="38"/>
  <c r="F144" i="36" s="1"/>
  <c r="AE54" i="38"/>
  <c r="AT48" i="38"/>
  <c r="Y56" i="38"/>
  <c r="Z56" i="38" s="1"/>
  <c r="Z20" i="39"/>
  <c r="AA25" i="38"/>
  <c r="AD54" i="38"/>
  <c r="M40" i="39"/>
  <c r="I40" i="39"/>
  <c r="AS48" i="38"/>
  <c r="AE105" i="73" l="1"/>
  <c r="AU14" i="73"/>
  <c r="AU14" i="70" s="1"/>
  <c r="AU102" i="70"/>
  <c r="AT121" i="73"/>
  <c r="AT120" i="70"/>
  <c r="AV118" i="73"/>
  <c r="AV117" i="70"/>
  <c r="AD142" i="73"/>
  <c r="AU120" i="73"/>
  <c r="AU118" i="70"/>
  <c r="AE17" i="73"/>
  <c r="AE141" i="73" s="1"/>
  <c r="AV28" i="73"/>
  <c r="AK22" i="74"/>
  <c r="AK9" i="74"/>
  <c r="AL93" i="73"/>
  <c r="AM8" i="73"/>
  <c r="AL61" i="73"/>
  <c r="AM100" i="73"/>
  <c r="AM97" i="73"/>
  <c r="AM93" i="73"/>
  <c r="AP41" i="73"/>
  <c r="AP43" i="73"/>
  <c r="AP45" i="73" s="1"/>
  <c r="AO57" i="73"/>
  <c r="AJ22" i="74"/>
  <c r="AJ9" i="74"/>
  <c r="AJ16" i="75" s="1"/>
  <c r="AU52" i="73"/>
  <c r="AU54" i="73" s="1"/>
  <c r="AV50" i="73"/>
  <c r="AO43" i="73"/>
  <c r="AO45" i="73" s="1"/>
  <c r="AI35" i="75"/>
  <c r="AH37" i="75"/>
  <c r="AK11" i="73"/>
  <c r="AL11" i="73" s="1"/>
  <c r="Z17" i="74"/>
  <c r="Z7" i="74"/>
  <c r="Z12" i="74"/>
  <c r="AM133" i="73"/>
  <c r="AM9" i="73"/>
  <c r="AV14" i="73"/>
  <c r="AV14" i="70" s="1"/>
  <c r="AF12" i="73"/>
  <c r="AF70" i="73"/>
  <c r="AG66" i="73"/>
  <c r="AG70" i="73" s="1"/>
  <c r="AE106" i="73"/>
  <c r="AS6" i="73"/>
  <c r="AU83" i="73"/>
  <c r="AT85" i="73"/>
  <c r="AT87" i="73" s="1"/>
  <c r="AF103" i="73"/>
  <c r="AM11" i="73"/>
  <c r="AL13" i="73"/>
  <c r="AF130" i="73"/>
  <c r="AG127" i="73"/>
  <c r="AG130" i="73" s="1"/>
  <c r="AK15" i="75"/>
  <c r="AL15" i="75" s="1"/>
  <c r="AL8" i="74"/>
  <c r="AH14" i="74"/>
  <c r="AG14" i="74"/>
  <c r="AH7" i="75" s="1"/>
  <c r="AO74" i="73"/>
  <c r="AN90" i="73"/>
  <c r="AI22" i="74"/>
  <c r="AI9" i="74"/>
  <c r="AI16" i="75" s="1"/>
  <c r="AL9" i="73"/>
  <c r="AN76" i="73"/>
  <c r="AN78" i="73" s="1"/>
  <c r="AH37" i="74"/>
  <c r="AV102" i="73"/>
  <c r="AV102" i="70" s="1"/>
  <c r="AN46" i="73"/>
  <c r="AN5" i="73"/>
  <c r="AN8" i="73" s="1"/>
  <c r="AN62" i="73"/>
  <c r="AN59" i="73"/>
  <c r="AJ53" i="74"/>
  <c r="AO134" i="65"/>
  <c r="AK92" i="65"/>
  <c r="AK79" i="65"/>
  <c r="AK60" i="65"/>
  <c r="AM59" i="65"/>
  <c r="AI12" i="67"/>
  <c r="AK64" i="65"/>
  <c r="AL59" i="65"/>
  <c r="AI9" i="65"/>
  <c r="AK67" i="65"/>
  <c r="AI25" i="67"/>
  <c r="AI8" i="66"/>
  <c r="AL62" i="65"/>
  <c r="AL63" i="65" s="1"/>
  <c r="AI13" i="65"/>
  <c r="AI140" i="65"/>
  <c r="AV120" i="65"/>
  <c r="AG35" i="67"/>
  <c r="AP87" i="65"/>
  <c r="AN134" i="65"/>
  <c r="AL95" i="65"/>
  <c r="AL96" i="65" s="1"/>
  <c r="AM78" i="65"/>
  <c r="AM95" i="65" s="1"/>
  <c r="AK5" i="65"/>
  <c r="AJ133" i="65"/>
  <c r="AJ8" i="65"/>
  <c r="AF37" i="66"/>
  <c r="AR54" i="65"/>
  <c r="AQ54" i="65"/>
  <c r="AF37" i="67"/>
  <c r="AH35" i="67"/>
  <c r="AL64" i="65"/>
  <c r="AJ11" i="65"/>
  <c r="AR143" i="65"/>
  <c r="AS143" i="65"/>
  <c r="AJ53" i="67"/>
  <c r="AT121" i="65"/>
  <c r="AU120" i="65"/>
  <c r="AU172" i="65"/>
  <c r="AU172" i="70" s="1"/>
  <c r="AU18" i="65"/>
  <c r="AI144" i="65"/>
  <c r="AH16" i="67"/>
  <c r="AG16" i="67"/>
  <c r="AG30" i="66"/>
  <c r="AF35" i="66"/>
  <c r="AG18" i="67"/>
  <c r="AL79" i="65"/>
  <c r="AS155" i="65"/>
  <c r="AT153" i="65"/>
  <c r="AR31" i="65"/>
  <c r="AS83" i="65"/>
  <c r="AR85" i="65"/>
  <c r="AT57" i="67"/>
  <c r="AU10" i="67"/>
  <c r="AV9" i="67"/>
  <c r="AR30" i="65"/>
  <c r="AU33" i="67"/>
  <c r="AS52" i="65"/>
  <c r="AT50" i="65"/>
  <c r="AK93" i="65"/>
  <c r="AK100" i="65"/>
  <c r="AL100" i="65" s="1"/>
  <c r="AK97" i="65"/>
  <c r="AL92" i="65"/>
  <c r="AL97" i="65"/>
  <c r="AH18" i="67"/>
  <c r="AH30" i="66"/>
  <c r="AI9" i="66"/>
  <c r="AJ9" i="65"/>
  <c r="AK10" i="65"/>
  <c r="AO41" i="65"/>
  <c r="AN57" i="65"/>
  <c r="AJ13" i="65"/>
  <c r="AO74" i="65"/>
  <c r="AO76" i="65"/>
  <c r="AN90" i="65"/>
  <c r="AN43" i="65"/>
  <c r="Y42" i="66"/>
  <c r="Y62" i="66"/>
  <c r="AN76" i="65"/>
  <c r="AM64" i="65"/>
  <c r="AM60" i="65"/>
  <c r="AM67" i="65"/>
  <c r="AF16" i="58"/>
  <c r="AF16" i="63" s="1"/>
  <c r="AV22" i="56"/>
  <c r="AV22" i="61" s="1"/>
  <c r="AU22" i="61"/>
  <c r="AU28" i="62"/>
  <c r="AU47" i="58"/>
  <c r="AU47" i="63" s="1"/>
  <c r="AU29" i="58"/>
  <c r="AU63" i="57"/>
  <c r="AU63" i="62" s="1"/>
  <c r="AV28" i="57"/>
  <c r="AG9" i="57"/>
  <c r="AG9" i="62" s="1"/>
  <c r="AJ95" i="56"/>
  <c r="AJ10" i="56" s="1"/>
  <c r="AJ10" i="61" s="1"/>
  <c r="AF18" i="58"/>
  <c r="AF18" i="63" s="1"/>
  <c r="AG22" i="57"/>
  <c r="AF30" i="57"/>
  <c r="AF35" i="57" s="1"/>
  <c r="AF35" i="62" s="1"/>
  <c r="AI100" i="56"/>
  <c r="AI100" i="61" s="1"/>
  <c r="AJ79" i="56"/>
  <c r="AJ79" i="61" s="1"/>
  <c r="AJ93" i="56"/>
  <c r="AJ93" i="61" s="1"/>
  <c r="AJ100" i="56"/>
  <c r="AH140" i="56"/>
  <c r="AH140" i="61" s="1"/>
  <c r="AH8" i="57"/>
  <c r="AH15" i="58" s="1"/>
  <c r="AH15" i="63" s="1"/>
  <c r="AH25" i="58"/>
  <c r="AH25" i="63" s="1"/>
  <c r="AH12" i="58"/>
  <c r="AH12" i="63" s="1"/>
  <c r="AI97" i="61"/>
  <c r="AI11" i="56"/>
  <c r="AI11" i="61" s="1"/>
  <c r="AJ133" i="56"/>
  <c r="AJ5" i="61"/>
  <c r="AI10" i="56"/>
  <c r="AI10" i="61" s="1"/>
  <c r="AH13" i="56"/>
  <c r="AH13" i="61" s="1"/>
  <c r="AI92" i="61"/>
  <c r="AI93" i="56"/>
  <c r="AJ97" i="56"/>
  <c r="AJ97" i="61" s="1"/>
  <c r="AI133" i="56"/>
  <c r="AI8" i="56"/>
  <c r="AH11" i="56"/>
  <c r="AH11" i="61" s="1"/>
  <c r="AH9" i="56"/>
  <c r="AH9" i="61" s="1"/>
  <c r="AN6" i="56"/>
  <c r="AN6" i="61" s="1"/>
  <c r="AL63" i="56"/>
  <c r="AL63" i="61" s="1"/>
  <c r="AN45" i="61"/>
  <c r="AN62" i="56"/>
  <c r="AN62" i="61" s="1"/>
  <c r="AN59" i="56"/>
  <c r="AN59" i="61" s="1"/>
  <c r="AN46" i="56"/>
  <c r="AN46" i="61" s="1"/>
  <c r="AN43" i="61"/>
  <c r="AO87" i="56"/>
  <c r="AO85" i="61"/>
  <c r="AJ140" i="56"/>
  <c r="AJ140" i="61" s="1"/>
  <c r="AM134" i="56"/>
  <c r="AM6" i="61"/>
  <c r="AJ25" i="58"/>
  <c r="AJ25" i="63" s="1"/>
  <c r="AG56" i="58"/>
  <c r="AG56" i="63" s="1"/>
  <c r="AG25" i="63"/>
  <c r="AE9" i="62"/>
  <c r="AE16" i="58"/>
  <c r="AE16" i="63" s="1"/>
  <c r="AE22" i="62"/>
  <c r="AE18" i="58"/>
  <c r="AE18" i="63" s="1"/>
  <c r="AE30" i="57"/>
  <c r="AJ13" i="56"/>
  <c r="AJ13" i="61" s="1"/>
  <c r="AJ100" i="61"/>
  <c r="AE35" i="63"/>
  <c r="AF35" i="58"/>
  <c r="AE37" i="58"/>
  <c r="AE37" i="63" s="1"/>
  <c r="AJ8" i="57"/>
  <c r="AQ139" i="56"/>
  <c r="AQ139" i="61" s="1"/>
  <c r="AL74" i="61"/>
  <c r="AJ12" i="58"/>
  <c r="AJ12" i="63" s="1"/>
  <c r="AD37" i="62"/>
  <c r="AE37" i="57"/>
  <c r="AK78" i="56"/>
  <c r="AK78" i="61" s="1"/>
  <c r="AK76" i="61"/>
  <c r="AE15" i="63"/>
  <c r="AG15" i="58"/>
  <c r="AG15" i="63" s="1"/>
  <c r="AP54" i="56"/>
  <c r="AP52" i="61"/>
  <c r="AK143" i="56"/>
  <c r="AK143" i="61" s="1"/>
  <c r="AK53" i="58"/>
  <c r="AJ53" i="63"/>
  <c r="AV21" i="58"/>
  <c r="AV21" i="63" s="1"/>
  <c r="AU21" i="63"/>
  <c r="AV19" i="58"/>
  <c r="AV19" i="63" s="1"/>
  <c r="AU19" i="63"/>
  <c r="AT28" i="56"/>
  <c r="AT172" i="61"/>
  <c r="AU170" i="61"/>
  <c r="AU172" i="56"/>
  <c r="AU18" i="56"/>
  <c r="AT102" i="61"/>
  <c r="AU102" i="56"/>
  <c r="AU14" i="56" s="1"/>
  <c r="AT121" i="56"/>
  <c r="AT121" i="61" s="1"/>
  <c r="AT120" i="61"/>
  <c r="AV120" i="56"/>
  <c r="AV121" i="56" s="1"/>
  <c r="AV121" i="61" s="1"/>
  <c r="AV119" i="61"/>
  <c r="AT9" i="58"/>
  <c r="AT16" i="61"/>
  <c r="AS10" i="58"/>
  <c r="AS10" i="63" s="1"/>
  <c r="AS9" i="63"/>
  <c r="AG30" i="57"/>
  <c r="AG22" i="62"/>
  <c r="AK64" i="61"/>
  <c r="AL64" i="56"/>
  <c r="AL60" i="56"/>
  <c r="AO43" i="56"/>
  <c r="AO41" i="61"/>
  <c r="AM59" i="56"/>
  <c r="AM59" i="61" s="1"/>
  <c r="AM62" i="56"/>
  <c r="AM62" i="61" s="1"/>
  <c r="AL67" i="56"/>
  <c r="AM46" i="56"/>
  <c r="AM46" i="61" s="1"/>
  <c r="AO155" i="61"/>
  <c r="AP155" i="56"/>
  <c r="AP155" i="61" s="1"/>
  <c r="AP153" i="61"/>
  <c r="AU35" i="61"/>
  <c r="AV35" i="56"/>
  <c r="AU26" i="56"/>
  <c r="AU26" i="61" s="1"/>
  <c r="AT26" i="61"/>
  <c r="AV26" i="56"/>
  <c r="AV26" i="61" s="1"/>
  <c r="X34" i="56"/>
  <c r="X34" i="61" s="1"/>
  <c r="X29" i="61"/>
  <c r="AT136" i="56"/>
  <c r="AR57" i="58"/>
  <c r="AR57" i="63" s="1"/>
  <c r="AQ90" i="56"/>
  <c r="AQ90" i="61" s="1"/>
  <c r="AL64" i="58"/>
  <c r="AL64" i="63" s="1"/>
  <c r="AV69" i="56"/>
  <c r="AV69" i="61" s="1"/>
  <c r="AO30" i="56"/>
  <c r="AO30" i="61" s="1"/>
  <c r="AS33" i="58"/>
  <c r="AS33" i="63" s="1"/>
  <c r="AN74" i="56"/>
  <c r="AM90" i="56"/>
  <c r="AM90" i="61" s="1"/>
  <c r="AM76" i="56"/>
  <c r="X6" i="63"/>
  <c r="X27" i="61"/>
  <c r="AU16" i="56"/>
  <c r="AU120" i="56"/>
  <c r="AV13" i="57"/>
  <c r="AV13" i="62" s="1"/>
  <c r="AJ9" i="56"/>
  <c r="AJ9" i="61" s="1"/>
  <c r="AV16" i="57"/>
  <c r="AV16" i="62" s="1"/>
  <c r="AU8" i="58"/>
  <c r="AO31" i="56"/>
  <c r="AN64" i="56"/>
  <c r="AN64" i="61" s="1"/>
  <c r="AN60" i="56"/>
  <c r="AN60" i="61" s="1"/>
  <c r="AN67" i="56"/>
  <c r="AN67" i="61" s="1"/>
  <c r="AR52" i="56"/>
  <c r="AS50" i="56"/>
  <c r="AS50" i="61" s="1"/>
  <c r="AR83" i="56"/>
  <c r="AR83" i="61" s="1"/>
  <c r="AQ83" i="56"/>
  <c r="AQ83" i="61" s="1"/>
  <c r="AP85" i="56"/>
  <c r="AP41" i="56"/>
  <c r="AP41" i="61" s="1"/>
  <c r="AO57" i="56"/>
  <c r="AO57" i="61" s="1"/>
  <c r="AT20" i="58"/>
  <c r="AT20" i="63" s="1"/>
  <c r="AU25" i="57"/>
  <c r="AU25" i="62" s="1"/>
  <c r="X6" i="50"/>
  <c r="X27" i="48"/>
  <c r="AJ8" i="48"/>
  <c r="AS33" i="50"/>
  <c r="AS57" i="50" s="1"/>
  <c r="AQ20" i="50"/>
  <c r="AG35" i="50"/>
  <c r="AG37" i="50" s="1"/>
  <c r="AH9" i="49"/>
  <c r="AH16" i="50" s="1"/>
  <c r="AH22" i="49"/>
  <c r="AV28" i="48"/>
  <c r="AN31" i="48"/>
  <c r="AO31" i="48" s="1"/>
  <c r="AI9" i="48"/>
  <c r="AP20" i="50"/>
  <c r="AR25" i="49"/>
  <c r="AQ25" i="49"/>
  <c r="AD137" i="48"/>
  <c r="AD72" i="48"/>
  <c r="AE12" i="48"/>
  <c r="AE15" i="48" s="1"/>
  <c r="AE17" i="48" s="1"/>
  <c r="AE70" i="48"/>
  <c r="AE71" i="48" s="1"/>
  <c r="AF35" i="50"/>
  <c r="AE37" i="50"/>
  <c r="AT21" i="50"/>
  <c r="AU23" i="49"/>
  <c r="AT19" i="50"/>
  <c r="AU27" i="49"/>
  <c r="AT16" i="49"/>
  <c r="AT8" i="50" s="1"/>
  <c r="AD141" i="48"/>
  <c r="AD19" i="48"/>
  <c r="AC141" i="48"/>
  <c r="AC19" i="48"/>
  <c r="AM41" i="48"/>
  <c r="AL41" i="48"/>
  <c r="AK57" i="48"/>
  <c r="AR153" i="48"/>
  <c r="AE103" i="48"/>
  <c r="AE105" i="48" s="1"/>
  <c r="AE130" i="48"/>
  <c r="AE131" i="48" s="1"/>
  <c r="AH25" i="50"/>
  <c r="AH12" i="50"/>
  <c r="AH8" i="49"/>
  <c r="AH15" i="50" s="1"/>
  <c r="AH140" i="48"/>
  <c r="AV13" i="49"/>
  <c r="AJ64" i="48"/>
  <c r="AJ67" i="48"/>
  <c r="AJ60" i="48"/>
  <c r="AJ10" i="48"/>
  <c r="AL62" i="48"/>
  <c r="AL63" i="48" s="1"/>
  <c r="AS47" i="50"/>
  <c r="AS29" i="50"/>
  <c r="AS63" i="49"/>
  <c r="AT28" i="49"/>
  <c r="AT22" i="48"/>
  <c r="AE14" i="49"/>
  <c r="AI15" i="50"/>
  <c r="X29" i="48"/>
  <c r="X34" i="48" s="1"/>
  <c r="X147" i="48" s="1"/>
  <c r="AO52" i="48"/>
  <c r="AO54" i="48" s="1"/>
  <c r="AP50" i="48"/>
  <c r="AU136" i="48"/>
  <c r="AU16" i="48"/>
  <c r="AU120" i="48"/>
  <c r="AU121" i="48" s="1"/>
  <c r="AJ79" i="48"/>
  <c r="AJ95" i="48"/>
  <c r="AJ92" i="48"/>
  <c r="AN6" i="48"/>
  <c r="AT136" i="48"/>
  <c r="AJ133" i="48"/>
  <c r="AM74" i="48"/>
  <c r="AL74" i="48"/>
  <c r="AQ139" i="48" s="1"/>
  <c r="AM76" i="48"/>
  <c r="AM78" i="48" s="1"/>
  <c r="AK90" i="48"/>
  <c r="AQ90" i="48" s="1"/>
  <c r="AR57" i="50"/>
  <c r="AT17" i="50"/>
  <c r="AU10" i="49"/>
  <c r="AK76" i="48"/>
  <c r="AK78" i="48" s="1"/>
  <c r="AT172" i="48"/>
  <c r="AT28" i="48" s="1"/>
  <c r="AT18" i="48"/>
  <c r="AV18" i="48" s="1"/>
  <c r="AR83" i="48"/>
  <c r="AQ83" i="48"/>
  <c r="AP85" i="48"/>
  <c r="AP87" i="48" s="1"/>
  <c r="AU102" i="48"/>
  <c r="AU14" i="48" s="1"/>
  <c r="AT14" i="48"/>
  <c r="AM134" i="48"/>
  <c r="AE37" i="49"/>
  <c r="AE53" i="49"/>
  <c r="AK46" i="48"/>
  <c r="AK62" i="48"/>
  <c r="AK59" i="48"/>
  <c r="AU172" i="48"/>
  <c r="AU28" i="48" s="1"/>
  <c r="AU18" i="48"/>
  <c r="AV102" i="48"/>
  <c r="AH13" i="48"/>
  <c r="AH11" i="48"/>
  <c r="AF16" i="50"/>
  <c r="AG16" i="50" s="1"/>
  <c r="AG9" i="49"/>
  <c r="AF18" i="50"/>
  <c r="AG18" i="50" s="1"/>
  <c r="AG22" i="49"/>
  <c r="AG30" i="49" s="1"/>
  <c r="AG35" i="49" s="1"/>
  <c r="AF30" i="49"/>
  <c r="AF35" i="49" s="1"/>
  <c r="AO155" i="48"/>
  <c r="AO30" i="48" s="1"/>
  <c r="AP153" i="48"/>
  <c r="AP155" i="48" s="1"/>
  <c r="AK173" i="44"/>
  <c r="AJ28" i="44"/>
  <c r="AJ172" i="44"/>
  <c r="AK170" i="44"/>
  <c r="AK168" i="44"/>
  <c r="AI28" i="44"/>
  <c r="AI172" i="44"/>
  <c r="AL102" i="44"/>
  <c r="AK102" i="44"/>
  <c r="AI121" i="44"/>
  <c r="AI120" i="44"/>
  <c r="AJ118" i="44"/>
  <c r="AL118" i="44"/>
  <c r="AL117" i="44"/>
  <c r="AK117" i="44"/>
  <c r="AM22" i="44"/>
  <c r="AK145" i="44"/>
  <c r="AJ129" i="44"/>
  <c r="AL119" i="44"/>
  <c r="AK16" i="44"/>
  <c r="AH87" i="44"/>
  <c r="AH85" i="44"/>
  <c r="AG87" i="44"/>
  <c r="Z100" i="44"/>
  <c r="Z93" i="44"/>
  <c r="Z97" i="44"/>
  <c r="AC95" i="44"/>
  <c r="AC79" i="44"/>
  <c r="AC92" i="44"/>
  <c r="AD78" i="44"/>
  <c r="AD76" i="44"/>
  <c r="AE54" i="44"/>
  <c r="AE52" i="44"/>
  <c r="AD6" i="44"/>
  <c r="AD134" i="44" s="1"/>
  <c r="Y9" i="44"/>
  <c r="AA62" i="44"/>
  <c r="X8" i="44"/>
  <c r="X12" i="46"/>
  <c r="X25" i="46"/>
  <c r="X140" i="44"/>
  <c r="Y11" i="44"/>
  <c r="Y64" i="44"/>
  <c r="X60" i="44"/>
  <c r="X67" i="44"/>
  <c r="X13" i="44"/>
  <c r="AG57" i="44"/>
  <c r="AA57" i="44"/>
  <c r="X64" i="44"/>
  <c r="X11" i="44"/>
  <c r="AC45" i="44"/>
  <c r="AC43" i="44"/>
  <c r="AG139" i="44"/>
  <c r="AB41" i="44"/>
  <c r="AA46" i="44"/>
  <c r="Y8" i="44"/>
  <c r="Y12" i="46"/>
  <c r="Y140" i="44"/>
  <c r="Y25" i="46"/>
  <c r="Z45" i="44"/>
  <c r="Z46" i="44"/>
  <c r="AO55" i="45"/>
  <c r="AR55" i="45"/>
  <c r="AU54" i="45"/>
  <c r="AS55" i="45"/>
  <c r="AJ40" i="45"/>
  <c r="AK39" i="45"/>
  <c r="AL39" i="45"/>
  <c r="AM34" i="45"/>
  <c r="AM33" i="45"/>
  <c r="AK32" i="45"/>
  <c r="AL32" i="45"/>
  <c r="AK31" i="45"/>
  <c r="AL31" i="45"/>
  <c r="AM47" i="46"/>
  <c r="AK63" i="45"/>
  <c r="AK47" i="46"/>
  <c r="AK29" i="46"/>
  <c r="AJ8" i="46"/>
  <c r="AJ16" i="45"/>
  <c r="AJ26" i="45"/>
  <c r="AM24" i="45"/>
  <c r="AK19" i="45"/>
  <c r="AL19" i="45"/>
  <c r="AK18" i="45"/>
  <c r="AL18" i="45"/>
  <c r="AJ15" i="45"/>
  <c r="AJ53" i="46"/>
  <c r="V72" i="44"/>
  <c r="AK26" i="44"/>
  <c r="W9" i="44"/>
  <c r="V17" i="44"/>
  <c r="V15" i="44"/>
  <c r="W56" i="46"/>
  <c r="W25" i="46"/>
  <c r="V37" i="45"/>
  <c r="W15" i="46"/>
  <c r="V15" i="46"/>
  <c r="AI58" i="46"/>
  <c r="AH58" i="46"/>
  <c r="AE153" i="44"/>
  <c r="AI136" i="44"/>
  <c r="AH50" i="44"/>
  <c r="AG50" i="44"/>
  <c r="AI56" i="45"/>
  <c r="AE6" i="44"/>
  <c r="AA64" i="44"/>
  <c r="AA60" i="44"/>
  <c r="AL27" i="45"/>
  <c r="AM27" i="45"/>
  <c r="AK16" i="45"/>
  <c r="AN119" i="44"/>
  <c r="AM16" i="44"/>
  <c r="AN165" i="44"/>
  <c r="AL16" i="44"/>
  <c r="AM69" i="44"/>
  <c r="AL9" i="46"/>
  <c r="AP163" i="44"/>
  <c r="AJ17" i="46"/>
  <c r="AK10" i="45"/>
  <c r="AL69" i="44"/>
  <c r="AF74" i="44"/>
  <c r="AE90" i="44"/>
  <c r="AJ83" i="44"/>
  <c r="AK13" i="45"/>
  <c r="X35" i="46"/>
  <c r="V37" i="46"/>
  <c r="AC46" i="44"/>
  <c r="AC5" i="44"/>
  <c r="AC62" i="44"/>
  <c r="AC59" i="44"/>
  <c r="AL23" i="45"/>
  <c r="AM23" i="45"/>
  <c r="W9" i="45"/>
  <c r="AN28" i="45"/>
  <c r="AD41" i="44"/>
  <c r="AC57" i="44"/>
  <c r="AD22" i="36"/>
  <c r="AA56" i="38"/>
  <c r="AB47" i="39"/>
  <c r="AC47" i="39"/>
  <c r="AC29" i="39"/>
  <c r="AD28" i="38"/>
  <c r="AC63" i="38"/>
  <c r="AB29" i="39"/>
  <c r="M41" i="39"/>
  <c r="I41" i="39"/>
  <c r="F46" i="39"/>
  <c r="F48" i="39" s="1"/>
  <c r="F11" i="38"/>
  <c r="F20" i="38" s="1"/>
  <c r="AU48" i="38"/>
  <c r="G46" i="39"/>
  <c r="G48" i="39" s="1"/>
  <c r="H6" i="38"/>
  <c r="G11" i="38"/>
  <c r="G20" i="38" s="1"/>
  <c r="AD13" i="38"/>
  <c r="AD19" i="39"/>
  <c r="AE27" i="38"/>
  <c r="AF54" i="38"/>
  <c r="AA20" i="39"/>
  <c r="AC25" i="38"/>
  <c r="AB25" i="38"/>
  <c r="AB20" i="39"/>
  <c r="AD17" i="39"/>
  <c r="AE10" i="38"/>
  <c r="AP56" i="39"/>
  <c r="E53" i="38"/>
  <c r="E43" i="38"/>
  <c r="AH54" i="38"/>
  <c r="AC21" i="39"/>
  <c r="AD23" i="38"/>
  <c r="AE16" i="38"/>
  <c r="AE8" i="39" s="1"/>
  <c r="AF55" i="38"/>
  <c r="AE19" i="73" l="1"/>
  <c r="AT121" i="70"/>
  <c r="AF71" i="73"/>
  <c r="AF105" i="73"/>
  <c r="AU121" i="73"/>
  <c r="AU121" i="70" s="1"/>
  <c r="AU120" i="70"/>
  <c r="AE137" i="73"/>
  <c r="AV120" i="73"/>
  <c r="AV118" i="70"/>
  <c r="AG131" i="73"/>
  <c r="AF131" i="73"/>
  <c r="Z24" i="75"/>
  <c r="AP74" i="73"/>
  <c r="AP76" i="73"/>
  <c r="AP78" i="73" s="1"/>
  <c r="AO90" i="73"/>
  <c r="Z26" i="75"/>
  <c r="AN133" i="73"/>
  <c r="AI7" i="75"/>
  <c r="AI37" i="74"/>
  <c r="AM13" i="73"/>
  <c r="AN79" i="73"/>
  <c r="AN95" i="73"/>
  <c r="AN92" i="73"/>
  <c r="AM25" i="75"/>
  <c r="AM8" i="74"/>
  <c r="AM15" i="75" s="1"/>
  <c r="AM140" i="73"/>
  <c r="AM12" i="75"/>
  <c r="AE142" i="73"/>
  <c r="AQ5" i="73"/>
  <c r="AQ8" i="73" s="1"/>
  <c r="AH127" i="73"/>
  <c r="AF72" i="73"/>
  <c r="AG71" i="73"/>
  <c r="AF15" i="73"/>
  <c r="AG12" i="73"/>
  <c r="AG15" i="73" s="1"/>
  <c r="AJ35" i="75"/>
  <c r="AI37" i="75"/>
  <c r="AJ18" i="75"/>
  <c r="AJ30" i="74"/>
  <c r="AJ35" i="74" s="1"/>
  <c r="AL94" i="73"/>
  <c r="AN12" i="75"/>
  <c r="AN25" i="75"/>
  <c r="AN140" i="73"/>
  <c r="AN8" i="74"/>
  <c r="AH66" i="73"/>
  <c r="AV54" i="73"/>
  <c r="AK53" i="74"/>
  <c r="AM53" i="74" s="1"/>
  <c r="AP46" i="73"/>
  <c r="AP5" i="73"/>
  <c r="AP8" i="73" s="1"/>
  <c r="AP62" i="73"/>
  <c r="AP59" i="73"/>
  <c r="AS134" i="73"/>
  <c r="AM22" i="74"/>
  <c r="AM9" i="74"/>
  <c r="AM16" i="75" s="1"/>
  <c r="AT6" i="73"/>
  <c r="AT134" i="73" s="1"/>
  <c r="AR41" i="73"/>
  <c r="AQ41" i="73"/>
  <c r="AR43" i="73"/>
  <c r="AR45" i="73" s="1"/>
  <c r="AP57" i="73"/>
  <c r="AV57" i="73" s="1"/>
  <c r="AK16" i="75"/>
  <c r="AL16" i="75" s="1"/>
  <c r="AL9" i="74"/>
  <c r="AI18" i="75"/>
  <c r="AI30" i="74"/>
  <c r="AI35" i="74" s="1"/>
  <c r="AK18" i="75"/>
  <c r="AK30" i="74"/>
  <c r="AK35" i="74" s="1"/>
  <c r="AL22" i="74"/>
  <c r="AL30" i="74" s="1"/>
  <c r="AL35" i="74" s="1"/>
  <c r="AQ45" i="73"/>
  <c r="AQ46" i="73" s="1"/>
  <c r="AH99" i="73"/>
  <c r="AO46" i="73"/>
  <c r="AO5" i="73"/>
  <c r="AO8" i="73" s="1"/>
  <c r="AO62" i="73"/>
  <c r="AO59" i="73"/>
  <c r="AV83" i="73"/>
  <c r="AU85" i="73"/>
  <c r="AU87" i="73" s="1"/>
  <c r="AN64" i="73"/>
  <c r="AN67" i="73"/>
  <c r="AN60" i="73"/>
  <c r="AO76" i="73"/>
  <c r="AO78" i="73" s="1"/>
  <c r="AO133" i="73" s="1"/>
  <c r="AQ87" i="65"/>
  <c r="AP6" i="65"/>
  <c r="AQ6" i="65" s="1"/>
  <c r="AM79" i="65"/>
  <c r="AM92" i="65"/>
  <c r="AL60" i="65"/>
  <c r="AI15" i="67"/>
  <c r="AI22" i="66"/>
  <c r="AL67" i="65"/>
  <c r="AL68" i="65" s="1"/>
  <c r="AG37" i="67"/>
  <c r="AL65" i="65"/>
  <c r="AV121" i="65"/>
  <c r="AG37" i="66"/>
  <c r="AI35" i="67"/>
  <c r="AR87" i="65"/>
  <c r="AK9" i="65"/>
  <c r="AN78" i="65"/>
  <c r="AJ25" i="67"/>
  <c r="AJ8" i="66"/>
  <c r="AJ140" i="65"/>
  <c r="AO78" i="65"/>
  <c r="AK11" i="65"/>
  <c r="AL5" i="65"/>
  <c r="AK8" i="65"/>
  <c r="AK13" i="65"/>
  <c r="AK133" i="65"/>
  <c r="AM5" i="65"/>
  <c r="AS54" i="65"/>
  <c r="AH37" i="66"/>
  <c r="AH37" i="67"/>
  <c r="AN45" i="65"/>
  <c r="AL10" i="65"/>
  <c r="AT143" i="65"/>
  <c r="AK53" i="67"/>
  <c r="AJ12" i="67"/>
  <c r="AV18" i="65"/>
  <c r="AU28" i="65"/>
  <c r="AU28" i="70" s="1"/>
  <c r="AU121" i="65"/>
  <c r="AJ144" i="65"/>
  <c r="AG35" i="66"/>
  <c r="AH35" i="66"/>
  <c r="AV10" i="67"/>
  <c r="AL98" i="65"/>
  <c r="AL101" i="65"/>
  <c r="AL82" i="65"/>
  <c r="AI16" i="67"/>
  <c r="AT155" i="65"/>
  <c r="AU153" i="65"/>
  <c r="AS30" i="65"/>
  <c r="AS31" i="65"/>
  <c r="AN95" i="65"/>
  <c r="AN92" i="65"/>
  <c r="AT83" i="65"/>
  <c r="AS85" i="65"/>
  <c r="AP41" i="65"/>
  <c r="AO57" i="65"/>
  <c r="AO43" i="65"/>
  <c r="AR6" i="65"/>
  <c r="AU57" i="67"/>
  <c r="AJ22" i="66"/>
  <c r="AJ9" i="66"/>
  <c r="AP74" i="65"/>
  <c r="AO90" i="65"/>
  <c r="AM10" i="65"/>
  <c r="AL93" i="65"/>
  <c r="AV33" i="67"/>
  <c r="AT52" i="65"/>
  <c r="AU50" i="65"/>
  <c r="AV28" i="62"/>
  <c r="AV47" i="58"/>
  <c r="AV47" i="63" s="1"/>
  <c r="AV67" i="57"/>
  <c r="AV67" i="62" s="1"/>
  <c r="AU29" i="63"/>
  <c r="AV29" i="58"/>
  <c r="AV29" i="63" s="1"/>
  <c r="AF30" i="62"/>
  <c r="AJ95" i="61"/>
  <c r="AN134" i="56"/>
  <c r="AI13" i="56"/>
  <c r="AI13" i="61" s="1"/>
  <c r="AH8" i="62"/>
  <c r="AJ11" i="56"/>
  <c r="AJ11" i="61" s="1"/>
  <c r="AK95" i="56"/>
  <c r="AK95" i="61" s="1"/>
  <c r="AL78" i="56"/>
  <c r="AK5" i="56"/>
  <c r="AK5" i="61" s="1"/>
  <c r="AK92" i="56"/>
  <c r="AK92" i="61" s="1"/>
  <c r="AH22" i="57"/>
  <c r="AH22" i="62" s="1"/>
  <c r="AH9" i="57"/>
  <c r="AH16" i="58" s="1"/>
  <c r="AH16" i="63" s="1"/>
  <c r="AI8" i="61"/>
  <c r="AI140" i="56"/>
  <c r="AI140" i="61" s="1"/>
  <c r="AI25" i="58"/>
  <c r="AI25" i="63" s="1"/>
  <c r="AI8" i="57"/>
  <c r="AI12" i="58"/>
  <c r="AI12" i="63" s="1"/>
  <c r="AI93" i="61"/>
  <c r="AI9" i="56"/>
  <c r="AG16" i="58"/>
  <c r="AG16" i="63" s="1"/>
  <c r="AJ8" i="62"/>
  <c r="AP87" i="56"/>
  <c r="AP87" i="61" s="1"/>
  <c r="AP85" i="61"/>
  <c r="AG18" i="58"/>
  <c r="AG18" i="63" s="1"/>
  <c r="AO87" i="61"/>
  <c r="AO6" i="56"/>
  <c r="AN76" i="56"/>
  <c r="AN74" i="61"/>
  <c r="AF35" i="63"/>
  <c r="AF37" i="58"/>
  <c r="AF37" i="63" s="1"/>
  <c r="AG35" i="58"/>
  <c r="AE35" i="57"/>
  <c r="AE35" i="62" s="1"/>
  <c r="AE30" i="62"/>
  <c r="AE37" i="62"/>
  <c r="AF37" i="57"/>
  <c r="AK79" i="56"/>
  <c r="AK79" i="61" s="1"/>
  <c r="AM78" i="56"/>
  <c r="AM78" i="61" s="1"/>
  <c r="AM76" i="61"/>
  <c r="AH35" i="58"/>
  <c r="AH35" i="63" s="1"/>
  <c r="AR54" i="56"/>
  <c r="AR54" i="61" s="1"/>
  <c r="AR52" i="61"/>
  <c r="AP54" i="61"/>
  <c r="AQ54" i="56"/>
  <c r="AQ54" i="61" s="1"/>
  <c r="AM143" i="56"/>
  <c r="AN143" i="56" s="1"/>
  <c r="AO143" i="56" s="1"/>
  <c r="AO143" i="61" s="1"/>
  <c r="AM53" i="58"/>
  <c r="AK53" i="63"/>
  <c r="AV8" i="58"/>
  <c r="AV8" i="63" s="1"/>
  <c r="AU8" i="63"/>
  <c r="AV102" i="56"/>
  <c r="AV102" i="61" s="1"/>
  <c r="AU102" i="61"/>
  <c r="AV120" i="61"/>
  <c r="AV18" i="56"/>
  <c r="AV18" i="61" s="1"/>
  <c r="AU18" i="61"/>
  <c r="AU28" i="56"/>
  <c r="AU28" i="61" s="1"/>
  <c r="AU172" i="61"/>
  <c r="AT28" i="61"/>
  <c r="AV28" i="56"/>
  <c r="AV28" i="61" s="1"/>
  <c r="AU9" i="58"/>
  <c r="AV9" i="58" s="1"/>
  <c r="AV9" i="63" s="1"/>
  <c r="AU16" i="61"/>
  <c r="AT10" i="58"/>
  <c r="AT10" i="63" s="1"/>
  <c r="AT9" i="63"/>
  <c r="AU121" i="56"/>
  <c r="AU121" i="61" s="1"/>
  <c r="AU120" i="61"/>
  <c r="AL79" i="56"/>
  <c r="AL79" i="61" s="1"/>
  <c r="AL78" i="61"/>
  <c r="AV14" i="56"/>
  <c r="AV14" i="61" s="1"/>
  <c r="AU14" i="61"/>
  <c r="AO45" i="56"/>
  <c r="AO43" i="61"/>
  <c r="AL60" i="61"/>
  <c r="AL61" i="56"/>
  <c r="AL61" i="61" s="1"/>
  <c r="AM60" i="56"/>
  <c r="AM60" i="61" s="1"/>
  <c r="AL68" i="56"/>
  <c r="AL68" i="61" s="1"/>
  <c r="AL67" i="61"/>
  <c r="AM67" i="56"/>
  <c r="AM67" i="61" s="1"/>
  <c r="AL65" i="56"/>
  <c r="AL65" i="61" s="1"/>
  <c r="AL64" i="61"/>
  <c r="AM64" i="56"/>
  <c r="AM64" i="61" s="1"/>
  <c r="AG35" i="57"/>
  <c r="AG35" i="62" s="1"/>
  <c r="AG30" i="62"/>
  <c r="AV35" i="61"/>
  <c r="AR153" i="56"/>
  <c r="AQ155" i="56"/>
  <c r="AQ155" i="61" s="1"/>
  <c r="AP31" i="56"/>
  <c r="AO31" i="61"/>
  <c r="X147" i="56"/>
  <c r="X147" i="61" s="1"/>
  <c r="AO74" i="56"/>
  <c r="AO74" i="61" s="1"/>
  <c r="AN90" i="56"/>
  <c r="AN90" i="61" s="1"/>
  <c r="AS83" i="56"/>
  <c r="AS83" i="61" s="1"/>
  <c r="AR85" i="56"/>
  <c r="AU136" i="56"/>
  <c r="AU20" i="58"/>
  <c r="AV25" i="57"/>
  <c r="AV25" i="62" s="1"/>
  <c r="X32" i="56"/>
  <c r="X32" i="61" s="1"/>
  <c r="X33" i="56"/>
  <c r="X38" i="62"/>
  <c r="AK93" i="56"/>
  <c r="AK93" i="61" s="1"/>
  <c r="AL5" i="56"/>
  <c r="AS52" i="56"/>
  <c r="AT50" i="56"/>
  <c r="AT50" i="61" s="1"/>
  <c r="AC133" i="44"/>
  <c r="AS57" i="58"/>
  <c r="AS57" i="63" s="1"/>
  <c r="AR41" i="56"/>
  <c r="AR41" i="61" s="1"/>
  <c r="AQ41" i="56"/>
  <c r="AQ41" i="61" s="1"/>
  <c r="AP57" i="56"/>
  <c r="AV16" i="56"/>
  <c r="AV16" i="61" s="1"/>
  <c r="AP30" i="56"/>
  <c r="AP30" i="61" s="1"/>
  <c r="AT33" i="58"/>
  <c r="AT33" i="63" s="1"/>
  <c r="AP43" i="56"/>
  <c r="AJ22" i="57"/>
  <c r="AJ22" i="62" s="1"/>
  <c r="AJ9" i="57"/>
  <c r="AQ87" i="48"/>
  <c r="AN134" i="48"/>
  <c r="AP30" i="48"/>
  <c r="AT33" i="50"/>
  <c r="AU9" i="50"/>
  <c r="AV16" i="48"/>
  <c r="AP31" i="48"/>
  <c r="AR31" i="48" s="1"/>
  <c r="AR85" i="48"/>
  <c r="AR87" i="48" s="1"/>
  <c r="AS83" i="48"/>
  <c r="AP52" i="48"/>
  <c r="AP54" i="48" s="1"/>
  <c r="AR50" i="48"/>
  <c r="AQ50" i="48"/>
  <c r="AK64" i="48"/>
  <c r="AK60" i="48"/>
  <c r="AK67" i="48"/>
  <c r="AO6" i="48"/>
  <c r="AL59" i="48"/>
  <c r="AE106" i="48"/>
  <c r="AU17" i="50"/>
  <c r="AV17" i="50" s="1"/>
  <c r="AV10" i="49"/>
  <c r="AU21" i="50"/>
  <c r="AV23" i="49"/>
  <c r="AS153" i="48"/>
  <c r="AR155" i="48"/>
  <c r="AV21" i="50"/>
  <c r="AD142" i="48"/>
  <c r="AK79" i="48"/>
  <c r="AK95" i="48"/>
  <c r="AL95" i="48" s="1"/>
  <c r="AL96" i="48" s="1"/>
  <c r="AK92" i="48"/>
  <c r="AL78" i="48"/>
  <c r="AL79" i="48" s="1"/>
  <c r="AF7" i="50"/>
  <c r="AF14" i="49"/>
  <c r="AQ155" i="48"/>
  <c r="AK5" i="48"/>
  <c r="AF37" i="49"/>
  <c r="AJ100" i="48"/>
  <c r="AJ93" i="48"/>
  <c r="AJ97" i="48"/>
  <c r="AL92" i="48"/>
  <c r="AL82" i="48" s="1"/>
  <c r="AL64" i="50"/>
  <c r="AQ57" i="48"/>
  <c r="AU19" i="50"/>
  <c r="AV19" i="50" s="1"/>
  <c r="AV27" i="49"/>
  <c r="AU16" i="49"/>
  <c r="AM79" i="48"/>
  <c r="AM95" i="48"/>
  <c r="AM92" i="48"/>
  <c r="AV22" i="48"/>
  <c r="AR20" i="50"/>
  <c r="AS25" i="49"/>
  <c r="AF53" i="49"/>
  <c r="AV14" i="48"/>
  <c r="AT47" i="50"/>
  <c r="AT29" i="50"/>
  <c r="AT63" i="49"/>
  <c r="AU28" i="49"/>
  <c r="AU22" i="48"/>
  <c r="AN41" i="48"/>
  <c r="AN43" i="48"/>
  <c r="AN45" i="48" s="1"/>
  <c r="AM57" i="48"/>
  <c r="AH35" i="50"/>
  <c r="AF37" i="50"/>
  <c r="AJ9" i="48"/>
  <c r="AN74" i="48"/>
  <c r="AN76" i="48"/>
  <c r="AN78" i="48" s="1"/>
  <c r="AM90" i="48"/>
  <c r="AM43" i="48"/>
  <c r="AM45" i="48" s="1"/>
  <c r="AI9" i="49"/>
  <c r="AI16" i="50" s="1"/>
  <c r="AI22" i="49"/>
  <c r="AJ12" i="50"/>
  <c r="AJ25" i="50"/>
  <c r="AJ8" i="49"/>
  <c r="AJ15" i="50" s="1"/>
  <c r="AJ140" i="48"/>
  <c r="AH18" i="50"/>
  <c r="AH30" i="49"/>
  <c r="AH35" i="49" s="1"/>
  <c r="AC142" i="48"/>
  <c r="AE137" i="48"/>
  <c r="AE72" i="48"/>
  <c r="X32" i="48"/>
  <c r="X33" i="48"/>
  <c r="X146" i="48" s="1"/>
  <c r="AE141" i="48"/>
  <c r="AE19" i="48"/>
  <c r="X38" i="49"/>
  <c r="X22" i="50"/>
  <c r="AL29" i="46"/>
  <c r="AM63" i="45"/>
  <c r="AM29" i="46"/>
  <c r="AL67" i="45"/>
  <c r="AL120" i="44"/>
  <c r="Y22" i="45"/>
  <c r="AM173" i="44"/>
  <c r="AL18" i="44"/>
  <c r="AK18" i="44"/>
  <c r="AM170" i="44"/>
  <c r="AM168" i="44"/>
  <c r="AM117" i="44"/>
  <c r="AJ121" i="44"/>
  <c r="AJ120" i="44"/>
  <c r="AK118" i="44"/>
  <c r="AM102" i="44"/>
  <c r="AK22" i="44"/>
  <c r="AL22" i="44"/>
  <c r="AM145" i="44"/>
  <c r="AL129" i="44"/>
  <c r="AK129" i="44"/>
  <c r="AM14" i="44"/>
  <c r="AK10" i="46"/>
  <c r="AK9" i="46"/>
  <c r="AL10" i="46"/>
  <c r="AJ10" i="46"/>
  <c r="AL14" i="44"/>
  <c r="AK14" i="44"/>
  <c r="AI87" i="44"/>
  <c r="AI85" i="44"/>
  <c r="AC97" i="44"/>
  <c r="AD92" i="44"/>
  <c r="AD79" i="44"/>
  <c r="AE78" i="44"/>
  <c r="AE76" i="44"/>
  <c r="AD95" i="44"/>
  <c r="AC93" i="44"/>
  <c r="AC100" i="44"/>
  <c r="AF54" i="44"/>
  <c r="AF52" i="44"/>
  <c r="AE134" i="44"/>
  <c r="X9" i="44"/>
  <c r="Y8" i="45"/>
  <c r="Y15" i="46"/>
  <c r="AA67" i="44"/>
  <c r="Y9" i="45"/>
  <c r="X15" i="46"/>
  <c r="X8" i="45"/>
  <c r="Z5" i="44"/>
  <c r="Z133" i="44" s="1"/>
  <c r="Z62" i="44"/>
  <c r="AB46" i="44"/>
  <c r="AB45" i="44"/>
  <c r="Z59" i="44"/>
  <c r="AB60" i="44"/>
  <c r="AP55" i="45"/>
  <c r="AT55" i="45"/>
  <c r="AK40" i="45"/>
  <c r="AL40" i="45"/>
  <c r="AM39" i="45"/>
  <c r="AN34" i="45"/>
  <c r="AN33" i="45"/>
  <c r="AM32" i="45"/>
  <c r="AN29" i="46"/>
  <c r="AM31" i="45"/>
  <c r="AL47" i="46"/>
  <c r="AL19" i="46"/>
  <c r="AK19" i="46"/>
  <c r="AK26" i="45"/>
  <c r="AL26" i="45"/>
  <c r="AN24" i="45"/>
  <c r="AL21" i="46"/>
  <c r="AK21" i="46"/>
  <c r="AM19" i="45"/>
  <c r="AM18" i="45"/>
  <c r="AK15" i="45"/>
  <c r="AL15" i="45"/>
  <c r="AK53" i="46"/>
  <c r="W72" i="44"/>
  <c r="W71" i="44"/>
  <c r="AM26" i="44"/>
  <c r="W16" i="46"/>
  <c r="V16" i="46"/>
  <c r="W18" i="46"/>
  <c r="V18" i="46"/>
  <c r="W22" i="45"/>
  <c r="V141" i="44"/>
  <c r="V35" i="45"/>
  <c r="V30" i="45"/>
  <c r="W15" i="44"/>
  <c r="W37" i="45"/>
  <c r="W37" i="46"/>
  <c r="W35" i="46"/>
  <c r="X127" i="44"/>
  <c r="W14" i="45"/>
  <c r="X37" i="45"/>
  <c r="AE155" i="44"/>
  <c r="AF155" i="44"/>
  <c r="AF153" i="44"/>
  <c r="AL35" i="44"/>
  <c r="AK35" i="44"/>
  <c r="AK136" i="44"/>
  <c r="AJ136" i="44"/>
  <c r="AH153" i="44"/>
  <c r="AM9" i="46"/>
  <c r="AI50" i="44"/>
  <c r="AE41" i="44"/>
  <c r="AD57" i="44"/>
  <c r="AH74" i="44"/>
  <c r="AG74" i="44"/>
  <c r="AO119" i="44"/>
  <c r="AD93" i="44"/>
  <c r="AD100" i="44"/>
  <c r="AD97" i="44"/>
  <c r="AK17" i="46"/>
  <c r="AM10" i="45"/>
  <c r="AL10" i="45"/>
  <c r="AN69" i="44"/>
  <c r="AK83" i="44"/>
  <c r="AO28" i="45"/>
  <c r="AN63" i="45"/>
  <c r="AE79" i="44"/>
  <c r="AE95" i="44"/>
  <c r="AM13" i="45"/>
  <c r="AL13" i="45"/>
  <c r="AC10" i="44"/>
  <c r="Y35" i="46"/>
  <c r="X37" i="46"/>
  <c r="AR163" i="44"/>
  <c r="AG54" i="44"/>
  <c r="AC64" i="44"/>
  <c r="AC67" i="44"/>
  <c r="AC60" i="44"/>
  <c r="AC8" i="44"/>
  <c r="AL16" i="45"/>
  <c r="AM19" i="46"/>
  <c r="AN27" i="45"/>
  <c r="AM21" i="46"/>
  <c r="AN23" i="45"/>
  <c r="AM35" i="44"/>
  <c r="AO165" i="44"/>
  <c r="AE22" i="36"/>
  <c r="AE17" i="39"/>
  <c r="AF10" i="38"/>
  <c r="G53" i="38"/>
  <c r="G43" i="38"/>
  <c r="H46" i="39"/>
  <c r="H48" i="39" s="1"/>
  <c r="H11" i="38"/>
  <c r="H20" i="38" s="1"/>
  <c r="AD47" i="39"/>
  <c r="AD29" i="39"/>
  <c r="AE28" i="38"/>
  <c r="AD63" i="38"/>
  <c r="AH55" i="38"/>
  <c r="AI55" i="38" s="1"/>
  <c r="AD21" i="39"/>
  <c r="AE23" i="38"/>
  <c r="AC20" i="39"/>
  <c r="AD25" i="38"/>
  <c r="F53" i="38"/>
  <c r="F43" i="38"/>
  <c r="AR56" i="39"/>
  <c r="AS56" i="39" s="1"/>
  <c r="J40" i="39"/>
  <c r="J41" i="39" s="1"/>
  <c r="I6" i="38"/>
  <c r="I144" i="36" s="1"/>
  <c r="AI54" i="38"/>
  <c r="N40" i="39"/>
  <c r="R40" i="39"/>
  <c r="AC56" i="38"/>
  <c r="AE13" i="38"/>
  <c r="AE19" i="39"/>
  <c r="AF27" i="38"/>
  <c r="AG72" i="73" l="1"/>
  <c r="AF106" i="73"/>
  <c r="AG105" i="73"/>
  <c r="AV121" i="73"/>
  <c r="AV121" i="70" s="1"/>
  <c r="AV120" i="70"/>
  <c r="AG17" i="73"/>
  <c r="AF17" i="73"/>
  <c r="Z27" i="75"/>
  <c r="AJ37" i="74"/>
  <c r="AO64" i="73"/>
  <c r="AO60" i="73"/>
  <c r="AO67" i="73"/>
  <c r="AI14" i="74"/>
  <c r="AO10" i="73"/>
  <c r="AP133" i="73"/>
  <c r="AO25" i="75"/>
  <c r="AO12" i="75"/>
  <c r="AO140" i="73"/>
  <c r="AO8" i="74"/>
  <c r="AO15" i="75" s="1"/>
  <c r="AR46" i="73"/>
  <c r="AR62" i="73"/>
  <c r="AR59" i="73"/>
  <c r="AN53" i="74"/>
  <c r="AS41" i="73"/>
  <c r="AS43" i="73"/>
  <c r="AS45" i="73" s="1"/>
  <c r="AR57" i="73"/>
  <c r="AQ12" i="75"/>
  <c r="AO79" i="73"/>
  <c r="AO95" i="73"/>
  <c r="AQ95" i="73" s="1"/>
  <c r="AQ96" i="73" s="1"/>
  <c r="AO92" i="73"/>
  <c r="AI99" i="73"/>
  <c r="AH103" i="73"/>
  <c r="AK35" i="75"/>
  <c r="AJ37" i="75"/>
  <c r="AL35" i="75"/>
  <c r="AL37" i="75" s="1"/>
  <c r="AV6" i="73"/>
  <c r="AP25" i="75"/>
  <c r="AQ25" i="75" s="1"/>
  <c r="AQ56" i="75" s="1"/>
  <c r="AP12" i="75"/>
  <c r="AP8" i="74"/>
  <c r="AP140" i="73"/>
  <c r="AQ59" i="73"/>
  <c r="AG141" i="73"/>
  <c r="AG19" i="73"/>
  <c r="AQ60" i="73"/>
  <c r="AI66" i="73"/>
  <c r="AH12" i="73"/>
  <c r="AH70" i="73"/>
  <c r="AQ78" i="73"/>
  <c r="AN11" i="73"/>
  <c r="AQ64" i="73"/>
  <c r="AQ65" i="73" s="1"/>
  <c r="AM18" i="75"/>
  <c r="AM30" i="74"/>
  <c r="AM35" i="74" s="1"/>
  <c r="AN100" i="73"/>
  <c r="AN13" i="73" s="1"/>
  <c r="AN93" i="73"/>
  <c r="AN97" i="73"/>
  <c r="AF137" i="73"/>
  <c r="AP79" i="73"/>
  <c r="AP95" i="73"/>
  <c r="AP10" i="73" s="1"/>
  <c r="AP92" i="73"/>
  <c r="AI127" i="73"/>
  <c r="AH130" i="73"/>
  <c r="AQ74" i="73"/>
  <c r="AV139" i="73" s="1"/>
  <c r="AR74" i="73"/>
  <c r="AR76" i="73" s="1"/>
  <c r="AR78" i="73" s="1"/>
  <c r="AP90" i="73"/>
  <c r="AV90" i="73" s="1"/>
  <c r="AQ140" i="73"/>
  <c r="AL18" i="75"/>
  <c r="AN15" i="75"/>
  <c r="AQ62" i="73"/>
  <c r="AQ63" i="73" s="1"/>
  <c r="AP64" i="73"/>
  <c r="AP60" i="73"/>
  <c r="AP67" i="73"/>
  <c r="AU6" i="73"/>
  <c r="AU134" i="73" s="1"/>
  <c r="AV87" i="73"/>
  <c r="AN10" i="73"/>
  <c r="AL61" i="65"/>
  <c r="AP134" i="65"/>
  <c r="AR134" i="65"/>
  <c r="AL11" i="65"/>
  <c r="AP76" i="65"/>
  <c r="AN79" i="65"/>
  <c r="AM93" i="65"/>
  <c r="AM97" i="65"/>
  <c r="AM100" i="65"/>
  <c r="AO92" i="65"/>
  <c r="AO95" i="65"/>
  <c r="AL9" i="65"/>
  <c r="AI18" i="67"/>
  <c r="AI30" i="66"/>
  <c r="AI37" i="67"/>
  <c r="AP43" i="65"/>
  <c r="AP45" i="65" s="1"/>
  <c r="AJ35" i="67"/>
  <c r="AL13" i="65"/>
  <c r="AK9" i="66"/>
  <c r="AK22" i="66"/>
  <c r="AN59" i="65"/>
  <c r="AN62" i="65"/>
  <c r="AN46" i="65"/>
  <c r="AN5" i="65"/>
  <c r="AM13" i="65"/>
  <c r="AS87" i="65"/>
  <c r="AK8" i="66"/>
  <c r="AK140" i="65"/>
  <c r="AK25" i="67"/>
  <c r="AL8" i="65"/>
  <c r="AP78" i="65"/>
  <c r="AI37" i="66"/>
  <c r="AJ15" i="67"/>
  <c r="AO79" i="65"/>
  <c r="AM11" i="65"/>
  <c r="AM133" i="65"/>
  <c r="AM8" i="65"/>
  <c r="AT54" i="65"/>
  <c r="AO45" i="65"/>
  <c r="AO46" i="65" s="1"/>
  <c r="AU143" i="65"/>
  <c r="AM53" i="67"/>
  <c r="AK12" i="67"/>
  <c r="AV28" i="65"/>
  <c r="AV28" i="70" s="1"/>
  <c r="AK144" i="65"/>
  <c r="AJ16" i="67"/>
  <c r="AU155" i="65"/>
  <c r="AT31" i="65"/>
  <c r="AT30" i="65"/>
  <c r="AV57" i="67"/>
  <c r="AL94" i="65"/>
  <c r="AN64" i="65"/>
  <c r="AN60" i="65"/>
  <c r="AN67" i="65"/>
  <c r="AR41" i="65"/>
  <c r="AQ41" i="65"/>
  <c r="AP57" i="65"/>
  <c r="AU52" i="65"/>
  <c r="AV50" i="65"/>
  <c r="AU83" i="65"/>
  <c r="AT85" i="65"/>
  <c r="AR74" i="65"/>
  <c r="AQ74" i="65"/>
  <c r="AP90" i="65"/>
  <c r="AJ18" i="67"/>
  <c r="AJ30" i="66"/>
  <c r="AN97" i="65"/>
  <c r="AN100" i="65"/>
  <c r="AN93" i="65"/>
  <c r="AO97" i="65"/>
  <c r="AO100" i="65"/>
  <c r="AL95" i="56"/>
  <c r="AK10" i="56"/>
  <c r="AK133" i="56"/>
  <c r="AH9" i="62"/>
  <c r="AH30" i="57"/>
  <c r="AH30" i="62" s="1"/>
  <c r="AH18" i="58"/>
  <c r="AH18" i="63" s="1"/>
  <c r="AK8" i="56"/>
  <c r="AK8" i="61" s="1"/>
  <c r="AL92" i="56"/>
  <c r="AK100" i="56"/>
  <c r="AK100" i="61" s="1"/>
  <c r="AK97" i="56"/>
  <c r="AK97" i="61" s="1"/>
  <c r="AQ87" i="56"/>
  <c r="AQ87" i="61" s="1"/>
  <c r="AP6" i="56"/>
  <c r="AQ6" i="56" s="1"/>
  <c r="AQ6" i="61" s="1"/>
  <c r="AI9" i="61"/>
  <c r="AI9" i="57"/>
  <c r="AJ16" i="58" s="1"/>
  <c r="AJ16" i="63" s="1"/>
  <c r="AI22" i="57"/>
  <c r="AJ18" i="58" s="1"/>
  <c r="AJ18" i="63" s="1"/>
  <c r="AI8" i="62"/>
  <c r="AI15" i="58"/>
  <c r="AI15" i="63" s="1"/>
  <c r="AJ15" i="58"/>
  <c r="AJ15" i="63" s="1"/>
  <c r="AO76" i="56"/>
  <c r="AO78" i="56" s="1"/>
  <c r="AO78" i="61" s="1"/>
  <c r="AH37" i="58"/>
  <c r="AH37" i="63" s="1"/>
  <c r="AH37" i="57"/>
  <c r="AH37" i="62" s="1"/>
  <c r="AO134" i="56"/>
  <c r="AO6" i="61"/>
  <c r="AR87" i="56"/>
  <c r="AR87" i="61" s="1"/>
  <c r="AR85" i="61"/>
  <c r="AF37" i="62"/>
  <c r="AG37" i="57"/>
  <c r="AG37" i="62" s="1"/>
  <c r="AG37" i="58"/>
  <c r="AG37" i="63" s="1"/>
  <c r="AG35" i="63"/>
  <c r="AM5" i="56"/>
  <c r="AM5" i="61" s="1"/>
  <c r="AM92" i="56"/>
  <c r="AM92" i="61" s="1"/>
  <c r="AM95" i="56"/>
  <c r="AM95" i="61" s="1"/>
  <c r="AM79" i="56"/>
  <c r="AM79" i="61" s="1"/>
  <c r="AI35" i="58"/>
  <c r="AI35" i="63" s="1"/>
  <c r="AN78" i="56"/>
  <c r="AN76" i="61"/>
  <c r="AS54" i="56"/>
  <c r="AS54" i="61" s="1"/>
  <c r="AS52" i="61"/>
  <c r="AR43" i="56"/>
  <c r="AR45" i="56" s="1"/>
  <c r="AN143" i="61"/>
  <c r="AP143" i="56"/>
  <c r="AP143" i="61" s="1"/>
  <c r="AM143" i="61"/>
  <c r="AN53" i="58"/>
  <c r="AM53" i="63"/>
  <c r="AV20" i="58"/>
  <c r="AV20" i="63" s="1"/>
  <c r="AU20" i="63"/>
  <c r="AU10" i="58"/>
  <c r="AU9" i="63"/>
  <c r="AL82" i="56"/>
  <c r="AL82" i="61" s="1"/>
  <c r="AL92" i="61"/>
  <c r="AL96" i="56"/>
  <c r="AL96" i="61" s="1"/>
  <c r="AL95" i="61"/>
  <c r="AL8" i="56"/>
  <c r="AL8" i="61" s="1"/>
  <c r="AL5" i="61"/>
  <c r="AV57" i="56"/>
  <c r="AV57" i="61" s="1"/>
  <c r="AP57" i="61"/>
  <c r="AJ9" i="62"/>
  <c r="AO45" i="61"/>
  <c r="AO46" i="56"/>
  <c r="AO46" i="61" s="1"/>
  <c r="AO62" i="56"/>
  <c r="AO62" i="61" s="1"/>
  <c r="AO59" i="56"/>
  <c r="AL10" i="56"/>
  <c r="AL10" i="61" s="1"/>
  <c r="AK10" i="61"/>
  <c r="AP45" i="56"/>
  <c r="AP45" i="61" s="1"/>
  <c r="AP43" i="61"/>
  <c r="AR153" i="61"/>
  <c r="AS153" i="56"/>
  <c r="AR155" i="56"/>
  <c r="AR155" i="61" s="1"/>
  <c r="AR31" i="56"/>
  <c r="AP31" i="61"/>
  <c r="X146" i="56"/>
  <c r="X146" i="61" s="1"/>
  <c r="X33" i="61"/>
  <c r="AP74" i="56"/>
  <c r="AP74" i="61" s="1"/>
  <c r="AO90" i="56"/>
  <c r="AO90" i="61" s="1"/>
  <c r="AT57" i="58"/>
  <c r="AT57" i="63" s="1"/>
  <c r="AU33" i="58"/>
  <c r="AU33" i="63" s="1"/>
  <c r="X41" i="57"/>
  <c r="X41" i="62" s="1"/>
  <c r="AT52" i="56"/>
  <c r="AU50" i="56"/>
  <c r="AU50" i="61" s="1"/>
  <c r="AP46" i="56"/>
  <c r="AP46" i="61" s="1"/>
  <c r="AP62" i="56"/>
  <c r="AP62" i="61" s="1"/>
  <c r="AQ45" i="56"/>
  <c r="AS41" i="56"/>
  <c r="AR57" i="56"/>
  <c r="AR57" i="61" s="1"/>
  <c r="AK12" i="58"/>
  <c r="AK25" i="58"/>
  <c r="AK8" i="57"/>
  <c r="AK8" i="62" s="1"/>
  <c r="AK140" i="56"/>
  <c r="AK140" i="61" s="1"/>
  <c r="AK11" i="56"/>
  <c r="AL97" i="56"/>
  <c r="AS85" i="56"/>
  <c r="AT83" i="56"/>
  <c r="AT83" i="61" s="1"/>
  <c r="AJ30" i="57"/>
  <c r="AK9" i="56"/>
  <c r="AK9" i="61" s="1"/>
  <c r="AL93" i="56"/>
  <c r="AL93" i="61" s="1"/>
  <c r="AK100" i="48"/>
  <c r="AK97" i="48"/>
  <c r="AK93" i="48"/>
  <c r="AP6" i="48"/>
  <c r="X41" i="49"/>
  <c r="AO74" i="48"/>
  <c r="AO76" i="48" s="1"/>
  <c r="AO78" i="48" s="1"/>
  <c r="AN90" i="48"/>
  <c r="AS20" i="50"/>
  <c r="AT25" i="49"/>
  <c r="AJ9" i="49"/>
  <c r="AJ16" i="50" s="1"/>
  <c r="AJ22" i="49"/>
  <c r="AL100" i="48"/>
  <c r="AL101" i="48" s="1"/>
  <c r="AQ54" i="48"/>
  <c r="AH37" i="49"/>
  <c r="AG37" i="49"/>
  <c r="AU10" i="50"/>
  <c r="AV10" i="50" s="1"/>
  <c r="AV9" i="50"/>
  <c r="AL97" i="48"/>
  <c r="AL98" i="48" s="1"/>
  <c r="AK10" i="48"/>
  <c r="AL10" i="48" s="1"/>
  <c r="AI35" i="50"/>
  <c r="AH37" i="50"/>
  <c r="AT153" i="48"/>
  <c r="AS155" i="48"/>
  <c r="AS85" i="48"/>
  <c r="AS87" i="48" s="1"/>
  <c r="AT83" i="48"/>
  <c r="AM93" i="48"/>
  <c r="AM100" i="48"/>
  <c r="AM97" i="48"/>
  <c r="AK8" i="48"/>
  <c r="AL5" i="48"/>
  <c r="AL8" i="48" s="1"/>
  <c r="AO134" i="48"/>
  <c r="AN46" i="48"/>
  <c r="AN5" i="48"/>
  <c r="AN62" i="48"/>
  <c r="AN59" i="48"/>
  <c r="AK13" i="48"/>
  <c r="AL67" i="48"/>
  <c r="AL68" i="48" s="1"/>
  <c r="AT57" i="50"/>
  <c r="AE142" i="48"/>
  <c r="AO41" i="48"/>
  <c r="AO43" i="48" s="1"/>
  <c r="AO45" i="48" s="1"/>
  <c r="AN57" i="48"/>
  <c r="AG14" i="49"/>
  <c r="AH7" i="50" s="1"/>
  <c r="AK9" i="48"/>
  <c r="AR30" i="48"/>
  <c r="AS30" i="48" s="1"/>
  <c r="AU33" i="50"/>
  <c r="AU57" i="50" s="1"/>
  <c r="AG7" i="50"/>
  <c r="AF99" i="48"/>
  <c r="AF127" i="48"/>
  <c r="AF66" i="48"/>
  <c r="AJ11" i="48"/>
  <c r="AK11" i="48"/>
  <c r="AL64" i="48"/>
  <c r="AL65" i="48" s="1"/>
  <c r="AL60" i="48"/>
  <c r="AV16" i="49"/>
  <c r="AU8" i="50"/>
  <c r="AV8" i="50" s="1"/>
  <c r="AH53" i="49"/>
  <c r="AN79" i="48"/>
  <c r="AN95" i="48"/>
  <c r="AN92" i="48"/>
  <c r="AI18" i="50"/>
  <c r="AI30" i="49"/>
  <c r="AI35" i="49" s="1"/>
  <c r="AU47" i="50"/>
  <c r="AU29" i="50"/>
  <c r="AU63" i="49"/>
  <c r="AV28" i="49"/>
  <c r="AK133" i="48"/>
  <c r="X55" i="50"/>
  <c r="X148" i="48" s="1"/>
  <c r="AM46" i="48"/>
  <c r="AM5" i="48"/>
  <c r="AM62" i="48"/>
  <c r="AM59" i="48"/>
  <c r="AV29" i="50"/>
  <c r="AJ13" i="48"/>
  <c r="AR52" i="48"/>
  <c r="AR54" i="48" s="1"/>
  <c r="AS50" i="48"/>
  <c r="Y18" i="46"/>
  <c r="Y16" i="46"/>
  <c r="AN47" i="46"/>
  <c r="AL121" i="44"/>
  <c r="AK172" i="44"/>
  <c r="AM18" i="44"/>
  <c r="AN173" i="44"/>
  <c r="AK28" i="44"/>
  <c r="AL28" i="44"/>
  <c r="AN170" i="44"/>
  <c r="AN168" i="44"/>
  <c r="AM28" i="44"/>
  <c r="AM172" i="44"/>
  <c r="AN102" i="44"/>
  <c r="V19" i="44"/>
  <c r="V142" i="44"/>
  <c r="AK120" i="44"/>
  <c r="AK121" i="44"/>
  <c r="AN117" i="44"/>
  <c r="AM118" i="44"/>
  <c r="AN145" i="44"/>
  <c r="AN22" i="44"/>
  <c r="AM129" i="44"/>
  <c r="AN14" i="44"/>
  <c r="AN16" i="44"/>
  <c r="AJ87" i="44"/>
  <c r="AJ85" i="44"/>
  <c r="AH78" i="44"/>
  <c r="AH76" i="44"/>
  <c r="AL90" i="44"/>
  <c r="AF90" i="44"/>
  <c r="AE92" i="44"/>
  <c r="AF76" i="44"/>
  <c r="AH54" i="44"/>
  <c r="AH52" i="44"/>
  <c r="AF6" i="44"/>
  <c r="AF134" i="44" s="1"/>
  <c r="AG6" i="44"/>
  <c r="Z60" i="44"/>
  <c r="Z13" i="44"/>
  <c r="Z67" i="44"/>
  <c r="Z11" i="44"/>
  <c r="Z64" i="44"/>
  <c r="AB47" i="44"/>
  <c r="AB59" i="44"/>
  <c r="AB68" i="44"/>
  <c r="AB67" i="44"/>
  <c r="AD45" i="44"/>
  <c r="AD43" i="44"/>
  <c r="Z10" i="44"/>
  <c r="AB63" i="44"/>
  <c r="AB62" i="44"/>
  <c r="X9" i="45"/>
  <c r="X16" i="46"/>
  <c r="Z8" i="44"/>
  <c r="Z140" i="44"/>
  <c r="X22" i="45"/>
  <c r="X18" i="46"/>
  <c r="X66" i="44"/>
  <c r="AJ56" i="45"/>
  <c r="X99" i="44"/>
  <c r="AU55" i="45"/>
  <c r="AM40" i="45"/>
  <c r="AN39" i="45"/>
  <c r="AO34" i="45"/>
  <c r="AO33" i="45"/>
  <c r="AN32" i="45"/>
  <c r="AN31" i="45"/>
  <c r="AL8" i="46"/>
  <c r="AK8" i="46"/>
  <c r="AM8" i="46"/>
  <c r="AM16" i="45"/>
  <c r="AM26" i="45"/>
  <c r="AO24" i="45"/>
  <c r="Y35" i="45"/>
  <c r="Y30" i="45"/>
  <c r="AN19" i="45"/>
  <c r="AN18" i="45"/>
  <c r="AM15" i="45"/>
  <c r="AL17" i="46"/>
  <c r="AM53" i="46"/>
  <c r="AN26" i="44"/>
  <c r="W17" i="44"/>
  <c r="W141" i="44"/>
  <c r="W35" i="45"/>
  <c r="W30" i="45"/>
  <c r="X7" i="46"/>
  <c r="AG155" i="44"/>
  <c r="AE30" i="44"/>
  <c r="AF31" i="44"/>
  <c r="AE31" i="44"/>
  <c r="AH6" i="44"/>
  <c r="AO47" i="46"/>
  <c r="AO29" i="46"/>
  <c r="AO63" i="45"/>
  <c r="AP28" i="45"/>
  <c r="AM10" i="46"/>
  <c r="AO69" i="44"/>
  <c r="AP165" i="44"/>
  <c r="AD46" i="44"/>
  <c r="AD5" i="44"/>
  <c r="AD62" i="44"/>
  <c r="AD59" i="44"/>
  <c r="AN18" i="44"/>
  <c r="AL83" i="44"/>
  <c r="AM83" i="44"/>
  <c r="Y37" i="45"/>
  <c r="AM17" i="46"/>
  <c r="AN10" i="45"/>
  <c r="AB61" i="44"/>
  <c r="AN21" i="46"/>
  <c r="AO23" i="45"/>
  <c r="AH79" i="44"/>
  <c r="AH95" i="44"/>
  <c r="AH92" i="44"/>
  <c r="AC9" i="44"/>
  <c r="AN13" i="45"/>
  <c r="AI74" i="44"/>
  <c r="AH90" i="44"/>
  <c r="AN35" i="44"/>
  <c r="AC12" i="46"/>
  <c r="AC25" i="46"/>
  <c r="AC140" i="44"/>
  <c r="AC13" i="44"/>
  <c r="AC11" i="44"/>
  <c r="AP119" i="44"/>
  <c r="AQ119" i="44"/>
  <c r="AE57" i="44"/>
  <c r="AE93" i="44"/>
  <c r="AI153" i="44"/>
  <c r="AH155" i="44"/>
  <c r="Z35" i="46"/>
  <c r="Y37" i="46"/>
  <c r="AO27" i="45"/>
  <c r="AN19" i="46"/>
  <c r="AS163" i="44"/>
  <c r="AJ50" i="44"/>
  <c r="AF22" i="36"/>
  <c r="AJ55" i="38"/>
  <c r="I46" i="39"/>
  <c r="I48" i="39" s="1"/>
  <c r="I11" i="38"/>
  <c r="I20" i="38" s="1"/>
  <c r="AE29" i="39"/>
  <c r="AF28" i="38"/>
  <c r="AE63" i="38"/>
  <c r="AE47" i="39"/>
  <c r="H53" i="38"/>
  <c r="H43" i="38"/>
  <c r="AF13" i="38"/>
  <c r="AT56" i="39"/>
  <c r="AE21" i="39"/>
  <c r="AF23" i="38"/>
  <c r="AF19" i="39"/>
  <c r="AG19" i="39" s="1"/>
  <c r="AH27" i="38"/>
  <c r="AG27" i="38"/>
  <c r="R41" i="39"/>
  <c r="N41" i="39"/>
  <c r="AJ54" i="38"/>
  <c r="AF17" i="39"/>
  <c r="AG17" i="39" s="1"/>
  <c r="AH10" i="38"/>
  <c r="AG10" i="38"/>
  <c r="K40" i="39"/>
  <c r="K41" i="39" s="1"/>
  <c r="J6" i="38"/>
  <c r="J144" i="36" s="1"/>
  <c r="AD56" i="38"/>
  <c r="AH16" i="38"/>
  <c r="AF16" i="38"/>
  <c r="AD20" i="39"/>
  <c r="AE25" i="38"/>
  <c r="AK55" i="38"/>
  <c r="AH71" i="73" l="1"/>
  <c r="AF19" i="73"/>
  <c r="AF141" i="73"/>
  <c r="AG106" i="73"/>
  <c r="AH105" i="73"/>
  <c r="AH131" i="73"/>
  <c r="Z39" i="75"/>
  <c r="AR79" i="73"/>
  <c r="AR95" i="73"/>
  <c r="AR92" i="73"/>
  <c r="AR5" i="73"/>
  <c r="AJ7" i="75"/>
  <c r="AS74" i="73"/>
  <c r="AS76" i="73"/>
  <c r="AS78" i="73" s="1"/>
  <c r="AR90" i="73"/>
  <c r="AQ61" i="73"/>
  <c r="AQ10" i="73"/>
  <c r="AN9" i="73"/>
  <c r="AM35" i="75"/>
  <c r="AK37" i="75"/>
  <c r="AO9" i="73"/>
  <c r="AH106" i="73"/>
  <c r="AR64" i="73"/>
  <c r="AR60" i="73"/>
  <c r="AR67" i="73"/>
  <c r="AR10" i="73"/>
  <c r="AI130" i="73"/>
  <c r="AG65" i="74"/>
  <c r="AG142" i="73"/>
  <c r="AI103" i="73"/>
  <c r="AK37" i="74"/>
  <c r="AP9" i="73"/>
  <c r="AH72" i="73"/>
  <c r="AO97" i="73"/>
  <c r="AO11" i="73" s="1"/>
  <c r="AQ11" i="73" s="1"/>
  <c r="AO93" i="73"/>
  <c r="AO100" i="73"/>
  <c r="AO13" i="73" s="1"/>
  <c r="AQ13" i="73" s="1"/>
  <c r="AP11" i="73"/>
  <c r="AP100" i="73"/>
  <c r="AP13" i="73" s="1"/>
  <c r="AP97" i="73"/>
  <c r="AP93" i="73"/>
  <c r="AH15" i="73"/>
  <c r="AI12" i="73"/>
  <c r="AI15" i="73" s="1"/>
  <c r="AI70" i="73"/>
  <c r="AO53" i="74"/>
  <c r="AQ67" i="73"/>
  <c r="AQ68" i="73" s="1"/>
  <c r="AQ92" i="73"/>
  <c r="AP15" i="75"/>
  <c r="AQ15" i="75" s="1"/>
  <c r="AQ8" i="74"/>
  <c r="AS46" i="73"/>
  <c r="AS5" i="73"/>
  <c r="AS8" i="73" s="1"/>
  <c r="AS62" i="73"/>
  <c r="AS59" i="73"/>
  <c r="AQ97" i="73"/>
  <c r="AQ98" i="73" s="1"/>
  <c r="AT41" i="73"/>
  <c r="AT43" i="73" s="1"/>
  <c r="AT45" i="73" s="1"/>
  <c r="AS57" i="73"/>
  <c r="AO93" i="65"/>
  <c r="AS6" i="65"/>
  <c r="AM9" i="65"/>
  <c r="AP79" i="65"/>
  <c r="AQ78" i="65"/>
  <c r="AP92" i="65"/>
  <c r="AP95" i="65"/>
  <c r="AI35" i="66"/>
  <c r="AP46" i="65"/>
  <c r="AL9" i="66"/>
  <c r="AK16" i="67"/>
  <c r="AN133" i="65"/>
  <c r="AN8" i="65"/>
  <c r="AO59" i="65"/>
  <c r="AO60" i="65" s="1"/>
  <c r="AO62" i="65"/>
  <c r="AO10" i="65" s="1"/>
  <c r="AO5" i="65"/>
  <c r="AO8" i="65" s="1"/>
  <c r="AP59" i="65"/>
  <c r="AP62" i="65"/>
  <c r="AP5" i="65"/>
  <c r="AL22" i="66"/>
  <c r="AL30" i="66" s="1"/>
  <c r="AK30" i="66"/>
  <c r="AK35" i="66" s="1"/>
  <c r="AK18" i="67"/>
  <c r="AJ37" i="67"/>
  <c r="AN10" i="65"/>
  <c r="AT87" i="65"/>
  <c r="AL25" i="67"/>
  <c r="AL56" i="67" s="1"/>
  <c r="AV90" i="65"/>
  <c r="AQ95" i="65"/>
  <c r="AQ96" i="65" s="1"/>
  <c r="AJ37" i="66"/>
  <c r="AL140" i="65"/>
  <c r="AL65" i="67"/>
  <c r="AM25" i="67"/>
  <c r="AM8" i="66"/>
  <c r="AM140" i="65"/>
  <c r="AK15" i="67"/>
  <c r="AL8" i="66"/>
  <c r="AU54" i="65"/>
  <c r="AV57" i="65"/>
  <c r="AK35" i="67"/>
  <c r="AL35" i="67" s="1"/>
  <c r="AR43" i="65"/>
  <c r="AQ45" i="65"/>
  <c r="AN53" i="67"/>
  <c r="AM12" i="67"/>
  <c r="AL12" i="67"/>
  <c r="AM144" i="65"/>
  <c r="AJ35" i="66"/>
  <c r="AS134" i="65"/>
  <c r="AV155" i="65"/>
  <c r="AU30" i="65"/>
  <c r="AU31" i="65"/>
  <c r="Y27" i="67"/>
  <c r="AU85" i="65"/>
  <c r="AV83" i="65"/>
  <c r="AN13" i="65"/>
  <c r="AS74" i="65"/>
  <c r="AR90" i="65"/>
  <c r="AN9" i="65"/>
  <c r="AM22" i="66"/>
  <c r="AN11" i="65"/>
  <c r="AS41" i="65"/>
  <c r="AR57" i="65"/>
  <c r="AR76" i="65"/>
  <c r="AV139" i="65"/>
  <c r="AH35" i="57"/>
  <c r="AH35" i="62" s="1"/>
  <c r="AP134" i="56"/>
  <c r="AL100" i="56"/>
  <c r="AL100" i="61" s="1"/>
  <c r="AP6" i="61"/>
  <c r="AK13" i="56"/>
  <c r="AL13" i="56" s="1"/>
  <c r="AL13" i="61" s="1"/>
  <c r="AO76" i="61"/>
  <c r="AI22" i="62"/>
  <c r="AI18" i="58"/>
  <c r="AI18" i="63" s="1"/>
  <c r="AI30" i="57"/>
  <c r="AI9" i="62"/>
  <c r="AI16" i="58"/>
  <c r="AI16" i="63" s="1"/>
  <c r="AR6" i="56"/>
  <c r="AR6" i="61" s="1"/>
  <c r="AO92" i="56"/>
  <c r="AO92" i="61" s="1"/>
  <c r="AO5" i="56"/>
  <c r="AO8" i="56" s="1"/>
  <c r="AO8" i="61" s="1"/>
  <c r="AO95" i="56"/>
  <c r="AO95" i="61" s="1"/>
  <c r="AO79" i="56"/>
  <c r="AO79" i="61" s="1"/>
  <c r="AR43" i="61"/>
  <c r="AR46" i="56"/>
  <c r="AR46" i="61" s="1"/>
  <c r="AR62" i="56"/>
  <c r="AR62" i="61" s="1"/>
  <c r="AM93" i="56"/>
  <c r="AM93" i="61" s="1"/>
  <c r="AM133" i="56"/>
  <c r="AM8" i="56"/>
  <c r="AM8" i="61" s="1"/>
  <c r="AM97" i="56"/>
  <c r="AM97" i="61" s="1"/>
  <c r="AM100" i="56"/>
  <c r="AM100" i="61" s="1"/>
  <c r="AS87" i="56"/>
  <c r="AS85" i="61"/>
  <c r="AN78" i="61"/>
  <c r="AN79" i="56"/>
  <c r="AN79" i="61" s="1"/>
  <c r="AN95" i="56"/>
  <c r="AN92" i="56"/>
  <c r="AN5" i="56"/>
  <c r="AN133" i="56" s="1"/>
  <c r="AI37" i="57"/>
  <c r="AI37" i="62" s="1"/>
  <c r="AJ35" i="58"/>
  <c r="AJ35" i="63" s="1"/>
  <c r="AL65" i="58"/>
  <c r="AL65" i="63" s="1"/>
  <c r="AM10" i="56"/>
  <c r="AM10" i="61" s="1"/>
  <c r="AI37" i="58"/>
  <c r="AI37" i="63" s="1"/>
  <c r="AT54" i="56"/>
  <c r="AT54" i="61" s="1"/>
  <c r="AT52" i="61"/>
  <c r="AL140" i="56"/>
  <c r="AL140" i="61" s="1"/>
  <c r="AP59" i="56"/>
  <c r="AP59" i="61" s="1"/>
  <c r="AR143" i="56"/>
  <c r="AR143" i="61" s="1"/>
  <c r="AS143" i="56"/>
  <c r="AO53" i="58"/>
  <c r="AN53" i="63"/>
  <c r="AS143" i="61"/>
  <c r="AT143" i="56"/>
  <c r="AV10" i="58"/>
  <c r="AV10" i="63" s="1"/>
  <c r="AU10" i="63"/>
  <c r="AL98" i="56"/>
  <c r="AL98" i="61" s="1"/>
  <c r="AL97" i="61"/>
  <c r="AL101" i="56"/>
  <c r="AL101" i="61" s="1"/>
  <c r="AL11" i="56"/>
  <c r="AL11" i="61" s="1"/>
  <c r="AK11" i="61"/>
  <c r="AO59" i="61"/>
  <c r="AO64" i="56"/>
  <c r="AO64" i="61" s="1"/>
  <c r="AO60" i="56"/>
  <c r="AO60" i="61" s="1"/>
  <c r="AO67" i="56"/>
  <c r="AO67" i="61" s="1"/>
  <c r="AQ46" i="56"/>
  <c r="AQ46" i="61" s="1"/>
  <c r="AQ45" i="61"/>
  <c r="AL25" i="58"/>
  <c r="AK25" i="63"/>
  <c r="AJ35" i="57"/>
  <c r="AJ35" i="62" s="1"/>
  <c r="AJ30" i="62"/>
  <c r="AL12" i="58"/>
  <c r="AL12" i="63" s="1"/>
  <c r="AK12" i="63"/>
  <c r="AS43" i="56"/>
  <c r="AS41" i="61"/>
  <c r="AR59" i="56"/>
  <c r="AR45" i="61"/>
  <c r="AR30" i="56"/>
  <c r="AS153" i="61"/>
  <c r="AT153" i="56"/>
  <c r="AS155" i="56"/>
  <c r="AS155" i="61" s="1"/>
  <c r="AS30" i="56"/>
  <c r="AS30" i="61" s="1"/>
  <c r="AR30" i="61"/>
  <c r="AR31" i="61"/>
  <c r="AS31" i="56"/>
  <c r="AS31" i="61" s="1"/>
  <c r="AK22" i="57"/>
  <c r="AK22" i="62" s="1"/>
  <c r="AK9" i="57"/>
  <c r="AK9" i="62" s="1"/>
  <c r="AL9" i="56"/>
  <c r="AL9" i="61" s="1"/>
  <c r="X42" i="57"/>
  <c r="X42" i="62" s="1"/>
  <c r="X62" i="57"/>
  <c r="X62" i="62" s="1"/>
  <c r="AR74" i="56"/>
  <c r="AR74" i="61" s="1"/>
  <c r="AR76" i="56"/>
  <c r="AQ74" i="56"/>
  <c r="AP90" i="56"/>
  <c r="AP76" i="56"/>
  <c r="AQ62" i="56"/>
  <c r="AK15" i="58"/>
  <c r="AL8" i="57"/>
  <c r="AL8" i="62" s="1"/>
  <c r="AU52" i="56"/>
  <c r="AV50" i="56"/>
  <c r="AV50" i="61" s="1"/>
  <c r="AL94" i="56"/>
  <c r="AL94" i="61" s="1"/>
  <c r="AU83" i="56"/>
  <c r="AU83" i="61" s="1"/>
  <c r="AT85" i="56"/>
  <c r="AU57" i="58"/>
  <c r="AU57" i="63" s="1"/>
  <c r="AV33" i="58"/>
  <c r="AV33" i="63" s="1"/>
  <c r="AT41" i="56"/>
  <c r="AT41" i="61" s="1"/>
  <c r="AS57" i="56"/>
  <c r="AS57" i="61" s="1"/>
  <c r="AH134" i="44"/>
  <c r="AQ6" i="48"/>
  <c r="AN8" i="48"/>
  <c r="AO46" i="48"/>
  <c r="AO5" i="48"/>
  <c r="AO62" i="48"/>
  <c r="AO59" i="48"/>
  <c r="AV155" i="48"/>
  <c r="AO79" i="48"/>
  <c r="AO95" i="48"/>
  <c r="AO92" i="48"/>
  <c r="AQ78" i="48"/>
  <c r="AH66" i="48"/>
  <c r="AF12" i="48"/>
  <c r="AF70" i="48"/>
  <c r="AF71" i="48" s="1"/>
  <c r="AG66" i="48"/>
  <c r="AG70" i="48" s="1"/>
  <c r="AM8" i="48"/>
  <c r="AN64" i="48"/>
  <c r="AN60" i="48"/>
  <c r="AN67" i="48"/>
  <c r="AS31" i="48"/>
  <c r="AT31" i="48" s="1"/>
  <c r="AU31" i="48" s="1"/>
  <c r="X42" i="49"/>
  <c r="X62" i="49"/>
  <c r="AH99" i="48"/>
  <c r="AF103" i="48"/>
  <c r="AF105" i="48" s="1"/>
  <c r="AG99" i="48"/>
  <c r="AG103" i="48" s="1"/>
  <c r="AN10" i="48"/>
  <c r="AU153" i="48"/>
  <c r="AU155" i="48" s="1"/>
  <c r="AT155" i="48"/>
  <c r="AT30" i="48" s="1"/>
  <c r="AU30" i="48" s="1"/>
  <c r="AK9" i="49"/>
  <c r="AK22" i="49"/>
  <c r="AP74" i="48"/>
  <c r="AP76" i="48"/>
  <c r="AP78" i="48" s="1"/>
  <c r="AO90" i="48"/>
  <c r="AM133" i="48"/>
  <c r="AL9" i="48"/>
  <c r="AH127" i="48"/>
  <c r="AF130" i="48"/>
  <c r="AF131" i="48" s="1"/>
  <c r="AG127" i="48"/>
  <c r="AG130" i="48" s="1"/>
  <c r="AG131" i="48" s="1"/>
  <c r="AI53" i="49"/>
  <c r="AN133" i="48"/>
  <c r="AJ35" i="50"/>
  <c r="AI37" i="50"/>
  <c r="AP134" i="48"/>
  <c r="AH14" i="49"/>
  <c r="AJ18" i="50"/>
  <c r="AJ30" i="49"/>
  <c r="AJ35" i="49" s="1"/>
  <c r="AL65" i="50"/>
  <c r="AL140" i="48"/>
  <c r="AT85" i="48"/>
  <c r="AT87" i="48" s="1"/>
  <c r="AU83" i="48"/>
  <c r="AK12" i="50"/>
  <c r="AL12" i="50" s="1"/>
  <c r="AK25" i="50"/>
  <c r="AL25" i="50" s="1"/>
  <c r="AL56" i="50" s="1"/>
  <c r="AK8" i="49"/>
  <c r="AK140" i="48"/>
  <c r="AL93" i="48"/>
  <c r="AN97" i="48"/>
  <c r="AN93" i="48"/>
  <c r="AN100" i="48"/>
  <c r="AM10" i="48"/>
  <c r="AS52" i="48"/>
  <c r="AS54" i="48" s="1"/>
  <c r="AT50" i="48"/>
  <c r="AV47" i="50"/>
  <c r="AV67" i="49"/>
  <c r="AL61" i="48"/>
  <c r="AP41" i="48"/>
  <c r="AP43" i="48"/>
  <c r="AP45" i="48" s="1"/>
  <c r="AO57" i="48"/>
  <c r="AR6" i="48"/>
  <c r="AT20" i="50"/>
  <c r="AU25" i="49"/>
  <c r="AL13" i="48"/>
  <c r="AM64" i="48"/>
  <c r="AM67" i="48"/>
  <c r="AM60" i="48"/>
  <c r="AL11" i="48"/>
  <c r="AV33" i="50"/>
  <c r="AV57" i="50" s="1"/>
  <c r="AI37" i="49"/>
  <c r="AO173" i="44"/>
  <c r="AO170" i="44"/>
  <c r="AO168" i="44"/>
  <c r="AN28" i="44"/>
  <c r="AN172" i="44"/>
  <c r="AO117" i="44"/>
  <c r="AN118" i="44"/>
  <c r="AM121" i="44"/>
  <c r="AM120" i="44"/>
  <c r="AO102" i="44"/>
  <c r="X144" i="44"/>
  <c r="AO145" i="44"/>
  <c r="AO22" i="44"/>
  <c r="AN129" i="44"/>
  <c r="AO14" i="44"/>
  <c r="AN10" i="46"/>
  <c r="AN9" i="46"/>
  <c r="AO16" i="44"/>
  <c r="X71" i="44"/>
  <c r="X12" i="44"/>
  <c r="AK87" i="44"/>
  <c r="AK85" i="44"/>
  <c r="AI78" i="44"/>
  <c r="AI76" i="44"/>
  <c r="AE100" i="44"/>
  <c r="AE97" i="44"/>
  <c r="AI54" i="44"/>
  <c r="AI52" i="44"/>
  <c r="AE43" i="44"/>
  <c r="X35" i="45"/>
  <c r="X30" i="45"/>
  <c r="Z12" i="46"/>
  <c r="Z25" i="46"/>
  <c r="AB65" i="44"/>
  <c r="AB64" i="44"/>
  <c r="AF41" i="44"/>
  <c r="Z8" i="45"/>
  <c r="AC8" i="45"/>
  <c r="AD133" i="44"/>
  <c r="Z9" i="44"/>
  <c r="AK56" i="45"/>
  <c r="X105" i="44"/>
  <c r="AN40" i="45"/>
  <c r="AO39" i="45"/>
  <c r="AP34" i="45"/>
  <c r="AQ34" i="45"/>
  <c r="AP33" i="45"/>
  <c r="AQ33" i="45"/>
  <c r="AO32" i="45"/>
  <c r="AP29" i="46"/>
  <c r="AO31" i="45"/>
  <c r="AN8" i="46"/>
  <c r="AN16" i="45"/>
  <c r="AN26" i="45"/>
  <c r="AP24" i="45"/>
  <c r="AQ24" i="45"/>
  <c r="AO19" i="45"/>
  <c r="AO18" i="45"/>
  <c r="AN15" i="45"/>
  <c r="AN53" i="46"/>
  <c r="AO26" i="44"/>
  <c r="W19" i="44"/>
  <c r="W142" i="44"/>
  <c r="X131" i="44"/>
  <c r="X130" i="44"/>
  <c r="X70" i="44"/>
  <c r="X14" i="45"/>
  <c r="AJ33" i="46"/>
  <c r="AF30" i="44"/>
  <c r="AN136" i="44"/>
  <c r="AM136" i="44"/>
  <c r="AO21" i="46"/>
  <c r="AP23" i="45"/>
  <c r="AD64" i="44"/>
  <c r="AD67" i="44"/>
  <c r="AD60" i="44"/>
  <c r="AN83" i="44"/>
  <c r="AD8" i="44"/>
  <c r="AO13" i="45"/>
  <c r="W21" i="44"/>
  <c r="V23" i="44"/>
  <c r="AO19" i="46"/>
  <c r="AP27" i="45"/>
  <c r="AO18" i="44"/>
  <c r="AR119" i="44"/>
  <c r="AR165" i="44"/>
  <c r="AJ74" i="44"/>
  <c r="AI90" i="44"/>
  <c r="AK50" i="44"/>
  <c r="AC22" i="45"/>
  <c r="AO35" i="44"/>
  <c r="AH30" i="44"/>
  <c r="AJ153" i="44"/>
  <c r="AI155" i="44"/>
  <c r="AN17" i="46"/>
  <c r="AO10" i="45"/>
  <c r="Z37" i="46"/>
  <c r="AP69" i="44"/>
  <c r="AR28" i="45"/>
  <c r="AQ28" i="45"/>
  <c r="AP63" i="45"/>
  <c r="AI79" i="44"/>
  <c r="AI95" i="44"/>
  <c r="AI92" i="44"/>
  <c r="AO9" i="46"/>
  <c r="AH97" i="44"/>
  <c r="AH100" i="44"/>
  <c r="AH93" i="44"/>
  <c r="AT163" i="44"/>
  <c r="Z37" i="45"/>
  <c r="AL87" i="44"/>
  <c r="AH22" i="36"/>
  <c r="AF29" i="39"/>
  <c r="AG29" i="39" s="1"/>
  <c r="AF47" i="39"/>
  <c r="AF63" i="38"/>
  <c r="AG28" i="38"/>
  <c r="AH28" i="38"/>
  <c r="AF21" i="39"/>
  <c r="AG21" i="39" s="1"/>
  <c r="AH23" i="38"/>
  <c r="AG23" i="38"/>
  <c r="I53" i="38"/>
  <c r="I43" i="38"/>
  <c r="J46" i="39"/>
  <c r="J48" i="39" s="1"/>
  <c r="J11" i="38"/>
  <c r="J20" i="38" s="1"/>
  <c r="AU56" i="39"/>
  <c r="AE56" i="38"/>
  <c r="AE20" i="39"/>
  <c r="AF25" i="38"/>
  <c r="L40" i="39"/>
  <c r="L41" i="39" s="1"/>
  <c r="L6" i="38" s="1"/>
  <c r="K6" i="38"/>
  <c r="K144" i="36" s="1"/>
  <c r="AH17" i="39"/>
  <c r="AI10" i="38"/>
  <c r="AK54" i="38"/>
  <c r="O40" i="39"/>
  <c r="O41" i="39" s="1"/>
  <c r="N6" i="38"/>
  <c r="N144" i="36" s="1"/>
  <c r="W40" i="39"/>
  <c r="S40" i="39"/>
  <c r="AH8" i="39"/>
  <c r="AH13" i="38"/>
  <c r="AG13" i="38"/>
  <c r="AF8" i="39"/>
  <c r="AG8" i="39" s="1"/>
  <c r="AG16" i="38"/>
  <c r="AM55" i="38"/>
  <c r="AH19" i="39"/>
  <c r="AI27" i="38"/>
  <c r="AN55" i="38"/>
  <c r="AI71" i="73" l="1"/>
  <c r="AF142" i="73"/>
  <c r="AI105" i="73"/>
  <c r="AG64" i="74"/>
  <c r="AI17" i="73"/>
  <c r="AI131" i="73"/>
  <c r="AH17" i="73"/>
  <c r="Z41" i="75"/>
  <c r="AT46" i="73"/>
  <c r="AT62" i="73"/>
  <c r="AT59" i="73"/>
  <c r="AV45" i="73"/>
  <c r="AV46" i="73" s="1"/>
  <c r="AO22" i="74"/>
  <c r="AO9" i="74"/>
  <c r="AJ127" i="73"/>
  <c r="AN35" i="75"/>
  <c r="AM37" i="75"/>
  <c r="AQ93" i="73"/>
  <c r="AQ100" i="73"/>
  <c r="AQ101" i="73" s="1"/>
  <c r="AN9" i="74"/>
  <c r="AN16" i="75" s="1"/>
  <c r="AN22" i="74"/>
  <c r="AQ9" i="73"/>
  <c r="AR53" i="74"/>
  <c r="AI137" i="73"/>
  <c r="AI72" i="73"/>
  <c r="AP53" i="74"/>
  <c r="AS64" i="73"/>
  <c r="AS60" i="73"/>
  <c r="AS67" i="73"/>
  <c r="AS10" i="73"/>
  <c r="AJ66" i="73"/>
  <c r="AS12" i="75"/>
  <c r="AS25" i="75"/>
  <c r="AS8" i="74"/>
  <c r="AS140" i="73"/>
  <c r="AU41" i="73"/>
  <c r="AU43" i="73"/>
  <c r="AU45" i="73" s="1"/>
  <c r="AT57" i="73"/>
  <c r="AP9" i="74"/>
  <c r="AP22" i="74"/>
  <c r="AR8" i="73"/>
  <c r="AS133" i="73"/>
  <c r="AR9" i="73"/>
  <c r="AR133" i="73"/>
  <c r="AL37" i="74"/>
  <c r="AM37" i="74"/>
  <c r="AR93" i="73"/>
  <c r="AR100" i="73"/>
  <c r="AR97" i="73"/>
  <c r="AR11" i="73"/>
  <c r="AS79" i="73"/>
  <c r="AS95" i="73"/>
  <c r="AS92" i="73"/>
  <c r="AT76" i="73"/>
  <c r="AT78" i="73" s="1"/>
  <c r="AT74" i="73"/>
  <c r="AS90" i="73"/>
  <c r="AJ99" i="73"/>
  <c r="AJ14" i="74"/>
  <c r="AV54" i="65"/>
  <c r="AO67" i="65"/>
  <c r="AO64" i="65"/>
  <c r="AO11" i="65" s="1"/>
  <c r="AQ92" i="65"/>
  <c r="AM9" i="66"/>
  <c r="AT6" i="65"/>
  <c r="AP93" i="65"/>
  <c r="AP97" i="65"/>
  <c r="AQ97" i="65" s="1"/>
  <c r="AS76" i="65"/>
  <c r="AP100" i="65"/>
  <c r="AP60" i="65"/>
  <c r="AP64" i="65"/>
  <c r="AN8" i="66"/>
  <c r="AN25" i="67"/>
  <c r="AN12" i="67"/>
  <c r="AO133" i="65"/>
  <c r="AL16" i="67"/>
  <c r="AQ59" i="65"/>
  <c r="AP133" i="65"/>
  <c r="AP10" i="65"/>
  <c r="AP67" i="65"/>
  <c r="AN140" i="65"/>
  <c r="AP8" i="65"/>
  <c r="AQ5" i="65"/>
  <c r="AQ62" i="65"/>
  <c r="AQ63" i="65" s="1"/>
  <c r="AL15" i="67"/>
  <c r="AL18" i="67"/>
  <c r="AU87" i="65"/>
  <c r="AV87" i="65" s="1"/>
  <c r="AR78" i="65"/>
  <c r="AS78" i="65"/>
  <c r="AM15" i="67"/>
  <c r="AO8" i="66"/>
  <c r="AQ100" i="65"/>
  <c r="AQ101" i="65" s="1"/>
  <c r="AO25" i="67"/>
  <c r="AK37" i="66"/>
  <c r="AK37" i="67"/>
  <c r="AR45" i="65"/>
  <c r="AR5" i="65" s="1"/>
  <c r="AO13" i="65"/>
  <c r="AQ46" i="65"/>
  <c r="AM35" i="67"/>
  <c r="AO140" i="65"/>
  <c r="AO53" i="67"/>
  <c r="AN144" i="65"/>
  <c r="AM16" i="67"/>
  <c r="AL35" i="66"/>
  <c r="AL37" i="67"/>
  <c r="AM18" i="67"/>
  <c r="AM30" i="66"/>
  <c r="AT41" i="65"/>
  <c r="AS57" i="65"/>
  <c r="AN22" i="66"/>
  <c r="AN9" i="66"/>
  <c r="AO9" i="65"/>
  <c r="AQ93" i="65"/>
  <c r="AT74" i="65"/>
  <c r="AS90" i="65"/>
  <c r="AS43" i="65"/>
  <c r="AO10" i="56"/>
  <c r="AO10" i="61" s="1"/>
  <c r="AK13" i="61"/>
  <c r="AO133" i="56"/>
  <c r="AM25" i="58"/>
  <c r="AM25" i="63" s="1"/>
  <c r="AO100" i="56"/>
  <c r="AO100" i="61" s="1"/>
  <c r="AM140" i="56"/>
  <c r="AM140" i="61" s="1"/>
  <c r="AI35" i="57"/>
  <c r="AI35" i="62" s="1"/>
  <c r="AI30" i="62"/>
  <c r="AM8" i="57"/>
  <c r="AM15" i="58" s="1"/>
  <c r="AM15" i="63" s="1"/>
  <c r="AM12" i="58"/>
  <c r="AM12" i="63" s="1"/>
  <c r="AM13" i="56"/>
  <c r="AM13" i="61" s="1"/>
  <c r="AM11" i="56"/>
  <c r="AM11" i="61" s="1"/>
  <c r="AO97" i="56"/>
  <c r="AO97" i="61" s="1"/>
  <c r="AO93" i="56"/>
  <c r="AO93" i="61" s="1"/>
  <c r="AR134" i="56"/>
  <c r="AM9" i="56"/>
  <c r="AM9" i="61" s="1"/>
  <c r="AO5" i="61"/>
  <c r="AQ59" i="56"/>
  <c r="AQ59" i="61" s="1"/>
  <c r="AP67" i="56"/>
  <c r="AP67" i="61" s="1"/>
  <c r="AP60" i="56"/>
  <c r="AP60" i="61" s="1"/>
  <c r="AP64" i="56"/>
  <c r="AP64" i="61" s="1"/>
  <c r="AK35" i="58"/>
  <c r="AK35" i="63" s="1"/>
  <c r="AJ37" i="58"/>
  <c r="AJ37" i="63" s="1"/>
  <c r="AT87" i="56"/>
  <c r="AT85" i="61"/>
  <c r="AS87" i="61"/>
  <c r="AS6" i="56"/>
  <c r="AV90" i="56"/>
  <c r="AV90" i="61" s="1"/>
  <c r="AP90" i="61"/>
  <c r="AV139" i="56"/>
  <c r="AV139" i="61" s="1"/>
  <c r="AQ74" i="61"/>
  <c r="AR78" i="56"/>
  <c r="AR78" i="61" s="1"/>
  <c r="AR76" i="61"/>
  <c r="AP78" i="56"/>
  <c r="AP78" i="61" s="1"/>
  <c r="AP76" i="61"/>
  <c r="AN8" i="56"/>
  <c r="AN5" i="61"/>
  <c r="AN92" i="61"/>
  <c r="AN93" i="56"/>
  <c r="AN100" i="56"/>
  <c r="AN97" i="56"/>
  <c r="AN10" i="56"/>
  <c r="AN10" i="61" s="1"/>
  <c r="AN95" i="61"/>
  <c r="AJ37" i="57"/>
  <c r="AJ37" i="62" s="1"/>
  <c r="AO13" i="56"/>
  <c r="AO13" i="61" s="1"/>
  <c r="AU54" i="56"/>
  <c r="AU54" i="61" s="1"/>
  <c r="AU52" i="61"/>
  <c r="AO140" i="56"/>
  <c r="AO140" i="61" s="1"/>
  <c r="AO8" i="57"/>
  <c r="AT43" i="56"/>
  <c r="AO12" i="58"/>
  <c r="AO12" i="63" s="1"/>
  <c r="AO25" i="58"/>
  <c r="AO25" i="63" s="1"/>
  <c r="AT143" i="61"/>
  <c r="AU143" i="56"/>
  <c r="AU143" i="61" s="1"/>
  <c r="AP53" i="58"/>
  <c r="AO53" i="63"/>
  <c r="AL15" i="58"/>
  <c r="AL15" i="63" s="1"/>
  <c r="AK15" i="63"/>
  <c r="AT45" i="56"/>
  <c r="AT45" i="61" s="1"/>
  <c r="AT43" i="61"/>
  <c r="AL56" i="58"/>
  <c r="AL56" i="63" s="1"/>
  <c r="AL25" i="63"/>
  <c r="AR59" i="61"/>
  <c r="AR64" i="56"/>
  <c r="AR64" i="61" s="1"/>
  <c r="AR60" i="56"/>
  <c r="AR60" i="61" s="1"/>
  <c r="AR67" i="56"/>
  <c r="AR67" i="61" s="1"/>
  <c r="AQ63" i="56"/>
  <c r="AQ63" i="61" s="1"/>
  <c r="AQ62" i="61"/>
  <c r="AS45" i="56"/>
  <c r="AS43" i="61"/>
  <c r="AT153" i="61"/>
  <c r="AT155" i="56"/>
  <c r="AU153" i="56"/>
  <c r="AK16" i="58"/>
  <c r="AL9" i="57"/>
  <c r="AL9" i="62" s="1"/>
  <c r="AU85" i="56"/>
  <c r="AV83" i="56"/>
  <c r="AV83" i="61" s="1"/>
  <c r="AK18" i="58"/>
  <c r="AK30" i="57"/>
  <c r="AL22" i="57"/>
  <c r="AQ64" i="56"/>
  <c r="AU41" i="56"/>
  <c r="AU41" i="61" s="1"/>
  <c r="AT57" i="56"/>
  <c r="AT57" i="61" s="1"/>
  <c r="AS74" i="56"/>
  <c r="AS74" i="61" s="1"/>
  <c r="AR90" i="56"/>
  <c r="AR90" i="61" s="1"/>
  <c r="X17" i="62"/>
  <c r="X7" i="62"/>
  <c r="X12" i="62"/>
  <c r="AV57" i="58"/>
  <c r="AV57" i="63" s="1"/>
  <c r="AN140" i="48"/>
  <c r="AN8" i="49"/>
  <c r="AN12" i="50"/>
  <c r="AN25" i="50"/>
  <c r="AO8" i="48"/>
  <c r="AN13" i="48"/>
  <c r="AN11" i="48"/>
  <c r="AK15" i="50"/>
  <c r="AL15" i="50" s="1"/>
  <c r="AL8" i="49"/>
  <c r="AO100" i="48"/>
  <c r="AO93" i="48"/>
  <c r="AO97" i="48"/>
  <c r="AI66" i="48"/>
  <c r="AH12" i="48"/>
  <c r="AH70" i="48"/>
  <c r="AH71" i="48" s="1"/>
  <c r="AK35" i="50"/>
  <c r="AJ37" i="50"/>
  <c r="X17" i="49"/>
  <c r="X12" i="49"/>
  <c r="X7" i="49"/>
  <c r="X24" i="50" s="1"/>
  <c r="AP46" i="48"/>
  <c r="AP5" i="48"/>
  <c r="AP62" i="48"/>
  <c r="AP59" i="48"/>
  <c r="AK18" i="50"/>
  <c r="AL18" i="50" s="1"/>
  <c r="AL22" i="49"/>
  <c r="AL30" i="49" s="1"/>
  <c r="AL35" i="49" s="1"/>
  <c r="AK30" i="49"/>
  <c r="AK35" i="49" s="1"/>
  <c r="AN9" i="48"/>
  <c r="AQ45" i="48"/>
  <c r="AT52" i="48"/>
  <c r="AT54" i="48" s="1"/>
  <c r="AU50" i="48"/>
  <c r="AU85" i="48"/>
  <c r="AU87" i="48" s="1"/>
  <c r="AV83" i="48"/>
  <c r="AK16" i="50"/>
  <c r="AL16" i="50" s="1"/>
  <c r="AL9" i="49"/>
  <c r="AO64" i="48"/>
  <c r="AO67" i="48"/>
  <c r="AO60" i="48"/>
  <c r="AS6" i="48"/>
  <c r="AO10" i="48"/>
  <c r="AI7" i="50"/>
  <c r="AI14" i="49"/>
  <c r="AQ92" i="48"/>
  <c r="AI127" i="48"/>
  <c r="AH130" i="48"/>
  <c r="AH131" i="48" s="1"/>
  <c r="AR41" i="48"/>
  <c r="AQ41" i="48"/>
  <c r="AR43" i="48"/>
  <c r="AR45" i="48" s="1"/>
  <c r="AP57" i="48"/>
  <c r="AV57" i="48" s="1"/>
  <c r="AM25" i="50"/>
  <c r="AM12" i="50"/>
  <c r="AM8" i="49"/>
  <c r="AM140" i="48"/>
  <c r="AF106" i="48"/>
  <c r="AG105" i="48"/>
  <c r="AG106" i="48" s="1"/>
  <c r="AU20" i="50"/>
  <c r="AV20" i="50" s="1"/>
  <c r="AV25" i="49"/>
  <c r="AO133" i="48"/>
  <c r="AI99" i="48"/>
  <c r="AH103" i="48"/>
  <c r="AH105" i="48" s="1"/>
  <c r="AJ53" i="49"/>
  <c r="AM11" i="48"/>
  <c r="AJ37" i="49"/>
  <c r="AM9" i="48"/>
  <c r="AR134" i="48"/>
  <c r="AP79" i="48"/>
  <c r="AP95" i="48"/>
  <c r="AP92" i="48"/>
  <c r="AF72" i="48"/>
  <c r="AG71" i="48"/>
  <c r="AG72" i="48" s="1"/>
  <c r="AL94" i="48"/>
  <c r="AM13" i="48"/>
  <c r="AR74" i="48"/>
  <c r="AQ74" i="48"/>
  <c r="AV139" i="48" s="1"/>
  <c r="AR76" i="48"/>
  <c r="AR78" i="48" s="1"/>
  <c r="AP90" i="48"/>
  <c r="AV90" i="48" s="1"/>
  <c r="AF15" i="48"/>
  <c r="AF17" i="48" s="1"/>
  <c r="AG12" i="48"/>
  <c r="AG15" i="48" s="1"/>
  <c r="AG17" i="48" s="1"/>
  <c r="AP47" i="46"/>
  <c r="AQ29" i="46"/>
  <c r="AP173" i="44"/>
  <c r="AO28" i="44"/>
  <c r="AO172" i="44"/>
  <c r="AP170" i="44"/>
  <c r="AP168" i="44"/>
  <c r="AQ117" i="44"/>
  <c r="AP102" i="44"/>
  <c r="AN121" i="44"/>
  <c r="AN120" i="44"/>
  <c r="AO118" i="44"/>
  <c r="AQ102" i="44"/>
  <c r="AP117" i="44"/>
  <c r="AP145" i="44"/>
  <c r="Y144" i="44"/>
  <c r="AO129" i="44"/>
  <c r="X141" i="44"/>
  <c r="AP16" i="44"/>
  <c r="X103" i="44"/>
  <c r="AM87" i="44"/>
  <c r="AM85" i="44"/>
  <c r="AJ78" i="44"/>
  <c r="AJ76" i="44"/>
  <c r="AJ54" i="44"/>
  <c r="AJ52" i="44"/>
  <c r="AI6" i="44"/>
  <c r="AI134" i="44" s="1"/>
  <c r="AF43" i="44"/>
  <c r="Z15" i="46"/>
  <c r="Z22" i="45"/>
  <c r="AH41" i="44"/>
  <c r="Z16" i="46"/>
  <c r="Z9" i="45"/>
  <c r="AC9" i="45"/>
  <c r="AD10" i="44"/>
  <c r="AL57" i="44"/>
  <c r="AF57" i="44"/>
  <c r="AL139" i="44"/>
  <c r="AG41" i="44"/>
  <c r="AE45" i="44"/>
  <c r="AE46" i="44"/>
  <c r="AM56" i="45"/>
  <c r="X106" i="44"/>
  <c r="AO40" i="45"/>
  <c r="AP39" i="45"/>
  <c r="AQ39" i="45"/>
  <c r="AR34" i="45"/>
  <c r="AR33" i="45"/>
  <c r="AP32" i="45"/>
  <c r="AQ32" i="45"/>
  <c r="AP31" i="45"/>
  <c r="AQ31" i="45"/>
  <c r="AR63" i="45"/>
  <c r="AO8" i="46"/>
  <c r="AO16" i="45"/>
  <c r="AO26" i="45"/>
  <c r="AR24" i="45"/>
  <c r="AP19" i="45"/>
  <c r="AQ19" i="45"/>
  <c r="AP18" i="45"/>
  <c r="AQ18" i="45"/>
  <c r="AO15" i="45"/>
  <c r="AO53" i="46"/>
  <c r="X72" i="44"/>
  <c r="AP26" i="44"/>
  <c r="AQ26" i="44"/>
  <c r="W64" i="45"/>
  <c r="W65" i="45"/>
  <c r="Y14" i="45"/>
  <c r="Y7" i="46"/>
  <c r="AK33" i="46"/>
  <c r="AI31" i="44"/>
  <c r="AH31" i="44"/>
  <c r="AJ58" i="46"/>
  <c r="AJ57" i="46"/>
  <c r="AI30" i="44"/>
  <c r="AM33" i="46"/>
  <c r="AI93" i="44"/>
  <c r="AI97" i="44"/>
  <c r="AI100" i="44"/>
  <c r="AS119" i="44"/>
  <c r="AR16" i="44"/>
  <c r="AO83" i="44"/>
  <c r="AS28" i="45"/>
  <c r="AM50" i="44"/>
  <c r="AL50" i="44"/>
  <c r="AJ6" i="44"/>
  <c r="AD140" i="44"/>
  <c r="AR27" i="45"/>
  <c r="AQ27" i="45"/>
  <c r="AP19" i="46"/>
  <c r="AP16" i="45"/>
  <c r="V24" i="44"/>
  <c r="V25" i="44"/>
  <c r="AD9" i="44"/>
  <c r="AS165" i="44"/>
  <c r="AJ79" i="44"/>
  <c r="AJ95" i="44"/>
  <c r="AJ92" i="44"/>
  <c r="W23" i="44"/>
  <c r="AO17" i="46"/>
  <c r="AP10" i="45"/>
  <c r="AP35" i="44"/>
  <c r="AQ35" i="44"/>
  <c r="AK74" i="44"/>
  <c r="AJ90" i="44"/>
  <c r="AD11" i="44"/>
  <c r="AQ16" i="44"/>
  <c r="AJ155" i="44"/>
  <c r="AU163" i="44"/>
  <c r="AI41" i="44"/>
  <c r="AH57" i="44"/>
  <c r="AR69" i="44"/>
  <c r="AQ69" i="44"/>
  <c r="AQ9" i="46"/>
  <c r="AP18" i="44"/>
  <c r="AP13" i="45"/>
  <c r="AR23" i="45"/>
  <c r="AQ23" i="45"/>
  <c r="AI22" i="36"/>
  <c r="L144" i="36"/>
  <c r="AF56" i="38"/>
  <c r="AH29" i="39"/>
  <c r="AH47" i="39"/>
  <c r="AH63" i="38"/>
  <c r="AI28" i="38"/>
  <c r="AG47" i="39"/>
  <c r="J53" i="38"/>
  <c r="J43" i="38"/>
  <c r="L46" i="39"/>
  <c r="L48" i="39" s="1"/>
  <c r="L11" i="38"/>
  <c r="L20" i="38" s="1"/>
  <c r="M6" i="38"/>
  <c r="AH56" i="38"/>
  <c r="AF20" i="39"/>
  <c r="AG20" i="39" s="1"/>
  <c r="AH25" i="38"/>
  <c r="AG25" i="38"/>
  <c r="S41" i="39"/>
  <c r="AN54" i="38"/>
  <c r="AI13" i="38"/>
  <c r="AI17" i="39"/>
  <c r="AJ10" i="38"/>
  <c r="N46" i="39"/>
  <c r="N48" i="39" s="1"/>
  <c r="N11" i="38"/>
  <c r="N20" i="38" s="1"/>
  <c r="AI19" i="39"/>
  <c r="AJ27" i="38"/>
  <c r="AI16" i="38"/>
  <c r="AI8" i="39" s="1"/>
  <c r="AH21" i="39"/>
  <c r="AI23" i="38"/>
  <c r="P40" i="39"/>
  <c r="P41" i="39" s="1"/>
  <c r="O6" i="38"/>
  <c r="O144" i="36" s="1"/>
  <c r="AO55" i="38"/>
  <c r="K46" i="39"/>
  <c r="K48" i="39" s="1"/>
  <c r="K11" i="38"/>
  <c r="K20" i="38" s="1"/>
  <c r="AM54" i="38"/>
  <c r="AI19" i="73" l="1"/>
  <c r="AI106" i="73"/>
  <c r="AA40" i="75"/>
  <c r="Z6" i="74"/>
  <c r="AH137" i="73"/>
  <c r="AH19" i="73"/>
  <c r="AH141" i="73"/>
  <c r="AI141" i="73"/>
  <c r="AJ130" i="73"/>
  <c r="AR22" i="74"/>
  <c r="AR9" i="74"/>
  <c r="AR16" i="75" s="1"/>
  <c r="AK7" i="75"/>
  <c r="AL7" i="75" s="1"/>
  <c r="AR25" i="75"/>
  <c r="AR12" i="75"/>
  <c r="AR8" i="74"/>
  <c r="AR15" i="75" s="1"/>
  <c r="AR140" i="73"/>
  <c r="AJ12" i="73"/>
  <c r="AJ70" i="73"/>
  <c r="AN18" i="75"/>
  <c r="AQ18" i="75" s="1"/>
  <c r="AN30" i="74"/>
  <c r="AN35" i="74" s="1"/>
  <c r="AJ103" i="73"/>
  <c r="AR13" i="73"/>
  <c r="AO16" i="75"/>
  <c r="AQ16" i="75" s="1"/>
  <c r="AI142" i="73"/>
  <c r="AO18" i="75"/>
  <c r="AO30" i="74"/>
  <c r="AO35" i="74" s="1"/>
  <c r="AU74" i="73"/>
  <c r="AU76" i="73"/>
  <c r="AU78" i="73" s="1"/>
  <c r="AT90" i="73"/>
  <c r="AN37" i="74"/>
  <c r="AP18" i="75"/>
  <c r="AP30" i="74"/>
  <c r="AP35" i="74" s="1"/>
  <c r="AQ22" i="74"/>
  <c r="AQ30" i="74" s="1"/>
  <c r="AQ35" i="74" s="1"/>
  <c r="AT79" i="73"/>
  <c r="AT95" i="73"/>
  <c r="AT92" i="73"/>
  <c r="AP16" i="75"/>
  <c r="AQ9" i="74"/>
  <c r="AT64" i="73"/>
  <c r="AT60" i="73"/>
  <c r="AT67" i="73"/>
  <c r="AQ94" i="73"/>
  <c r="AU46" i="73"/>
  <c r="AU62" i="73"/>
  <c r="AU59" i="73"/>
  <c r="AT5" i="73"/>
  <c r="AS100" i="73"/>
  <c r="AS97" i="73"/>
  <c r="AS93" i="73"/>
  <c r="AV41" i="73"/>
  <c r="AU57" i="73"/>
  <c r="AS53" i="74"/>
  <c r="AO35" i="75"/>
  <c r="AN37" i="75"/>
  <c r="AP9" i="65"/>
  <c r="AT134" i="65"/>
  <c r="AQ60" i="65"/>
  <c r="AQ64" i="65"/>
  <c r="AQ65" i="65" s="1"/>
  <c r="AP11" i="65"/>
  <c r="AQ11" i="65" s="1"/>
  <c r="AR92" i="65"/>
  <c r="AN15" i="67"/>
  <c r="AQ98" i="65"/>
  <c r="AR95" i="65"/>
  <c r="AR79" i="65"/>
  <c r="AS92" i="65"/>
  <c r="AS95" i="65"/>
  <c r="AS79" i="65"/>
  <c r="AQ67" i="65"/>
  <c r="AQ68" i="65" s="1"/>
  <c r="AT43" i="65"/>
  <c r="AQ8" i="65"/>
  <c r="AQ10" i="65"/>
  <c r="AP13" i="65"/>
  <c r="AP25" i="67"/>
  <c r="AP8" i="66"/>
  <c r="AP15" i="67" s="1"/>
  <c r="AP140" i="65"/>
  <c r="AU6" i="65"/>
  <c r="AL37" i="66"/>
  <c r="AT76" i="65"/>
  <c r="AR133" i="65"/>
  <c r="AM37" i="67"/>
  <c r="AN35" i="67"/>
  <c r="AO15" i="67"/>
  <c r="AS45" i="65"/>
  <c r="AM37" i="66"/>
  <c r="AT45" i="65"/>
  <c r="AR46" i="65"/>
  <c r="AR62" i="65"/>
  <c r="AR59" i="65"/>
  <c r="AP53" i="67"/>
  <c r="AO12" i="67"/>
  <c r="AO144" i="65"/>
  <c r="AM35" i="66"/>
  <c r="AN16" i="67"/>
  <c r="AO22" i="66"/>
  <c r="AO9" i="66"/>
  <c r="AQ9" i="65"/>
  <c r="AP22" i="66"/>
  <c r="AP9" i="66"/>
  <c r="AU74" i="65"/>
  <c r="AT90" i="65"/>
  <c r="AR93" i="65"/>
  <c r="AR100" i="65"/>
  <c r="AR97" i="65"/>
  <c r="AU41" i="65"/>
  <c r="AT57" i="65"/>
  <c r="AR8" i="65"/>
  <c r="AN18" i="67"/>
  <c r="AN30" i="66"/>
  <c r="AQ94" i="65"/>
  <c r="AS76" i="56"/>
  <c r="AM8" i="62"/>
  <c r="AO9" i="56"/>
  <c r="AO9" i="61" s="1"/>
  <c r="AO11" i="56"/>
  <c r="AO11" i="61" s="1"/>
  <c r="AM9" i="57"/>
  <c r="AM22" i="57"/>
  <c r="AM22" i="62" s="1"/>
  <c r="AP92" i="56"/>
  <c r="AP92" i="61" s="1"/>
  <c r="AP79" i="56"/>
  <c r="AP79" i="61" s="1"/>
  <c r="AQ67" i="56"/>
  <c r="AV54" i="56"/>
  <c r="AV54" i="61" s="1"/>
  <c r="AQ60" i="56"/>
  <c r="AQ60" i="61" s="1"/>
  <c r="AR5" i="56"/>
  <c r="AR5" i="61" s="1"/>
  <c r="AR92" i="56"/>
  <c r="AR92" i="61" s="1"/>
  <c r="AR95" i="56"/>
  <c r="AR95" i="61" s="1"/>
  <c r="AM35" i="58"/>
  <c r="AM35" i="63" s="1"/>
  <c r="AR79" i="56"/>
  <c r="AR79" i="61" s="1"/>
  <c r="AK37" i="58"/>
  <c r="AK37" i="63" s="1"/>
  <c r="AL35" i="58"/>
  <c r="AU87" i="56"/>
  <c r="AU87" i="61" s="1"/>
  <c r="AU85" i="61"/>
  <c r="AS6" i="61"/>
  <c r="AS134" i="56"/>
  <c r="AT87" i="61"/>
  <c r="AT6" i="56"/>
  <c r="AN11" i="56"/>
  <c r="AN11" i="61" s="1"/>
  <c r="AN97" i="61"/>
  <c r="AN13" i="56"/>
  <c r="AN13" i="61" s="1"/>
  <c r="AN100" i="61"/>
  <c r="AN93" i="61"/>
  <c r="AN9" i="56"/>
  <c r="AN8" i="61"/>
  <c r="AN140" i="56"/>
  <c r="AN140" i="61" s="1"/>
  <c r="AN8" i="57"/>
  <c r="AN25" i="58"/>
  <c r="AN25" i="63" s="1"/>
  <c r="AN12" i="58"/>
  <c r="AN12" i="63" s="1"/>
  <c r="AS78" i="56"/>
  <c r="AS78" i="61" s="1"/>
  <c r="AS76" i="61"/>
  <c r="AQ78" i="56"/>
  <c r="AQ78" i="61" s="1"/>
  <c r="AP5" i="56"/>
  <c r="AP5" i="61" s="1"/>
  <c r="AO8" i="62"/>
  <c r="AP95" i="56"/>
  <c r="AP95" i="61" s="1"/>
  <c r="AK37" i="57"/>
  <c r="AK37" i="62" s="1"/>
  <c r="AT59" i="56"/>
  <c r="AT64" i="56" s="1"/>
  <c r="AT64" i="61" s="1"/>
  <c r="AT62" i="56"/>
  <c r="AT62" i="61" s="1"/>
  <c r="AT46" i="56"/>
  <c r="AT46" i="61" s="1"/>
  <c r="AR53" i="58"/>
  <c r="AP53" i="63"/>
  <c r="AS45" i="61"/>
  <c r="AS46" i="56"/>
  <c r="AS46" i="61" s="1"/>
  <c r="AS62" i="56"/>
  <c r="AS62" i="61" s="1"/>
  <c r="AS59" i="56"/>
  <c r="AQ68" i="56"/>
  <c r="AQ68" i="61" s="1"/>
  <c r="AQ67" i="61"/>
  <c r="AL30" i="57"/>
  <c r="AL22" i="62"/>
  <c r="AQ65" i="56"/>
  <c r="AQ65" i="61" s="1"/>
  <c r="AQ64" i="61"/>
  <c r="AK35" i="57"/>
  <c r="AK35" i="62" s="1"/>
  <c r="AK30" i="62"/>
  <c r="AL18" i="58"/>
  <c r="AL18" i="63" s="1"/>
  <c r="AK18" i="63"/>
  <c r="AM16" i="58"/>
  <c r="AM16" i="63" s="1"/>
  <c r="AM9" i="62"/>
  <c r="AU43" i="56"/>
  <c r="AL16" i="58"/>
  <c r="AL16" i="63" s="1"/>
  <c r="AK16" i="63"/>
  <c r="AU155" i="56"/>
  <c r="AU155" i="61" s="1"/>
  <c r="AU153" i="61"/>
  <c r="AT155" i="61"/>
  <c r="AT30" i="56"/>
  <c r="AV155" i="56"/>
  <c r="AV155" i="61" s="1"/>
  <c r="AT31" i="56"/>
  <c r="AJ134" i="44"/>
  <c r="X26" i="63"/>
  <c r="AV41" i="56"/>
  <c r="AV41" i="61" s="1"/>
  <c r="AU57" i="56"/>
  <c r="AU57" i="61" s="1"/>
  <c r="AM18" i="58"/>
  <c r="AM18" i="63" s="1"/>
  <c r="AM30" i="57"/>
  <c r="X24" i="63"/>
  <c r="AP100" i="56"/>
  <c r="AP100" i="61" s="1"/>
  <c r="AT74" i="56"/>
  <c r="AT74" i="61" s="1"/>
  <c r="AS90" i="56"/>
  <c r="AS90" i="61" s="1"/>
  <c r="AO140" i="48"/>
  <c r="AO25" i="50"/>
  <c r="AO12" i="50"/>
  <c r="AQ95" i="48"/>
  <c r="AO8" i="49"/>
  <c r="AO15" i="50"/>
  <c r="AQ46" i="48"/>
  <c r="AM15" i="50"/>
  <c r="AO13" i="48"/>
  <c r="AO11" i="48"/>
  <c r="AS134" i="48"/>
  <c r="AI12" i="48"/>
  <c r="AI15" i="48" s="1"/>
  <c r="AI17" i="48" s="1"/>
  <c r="AI70" i="48"/>
  <c r="AI71" i="48" s="1"/>
  <c r="AM35" i="50"/>
  <c r="AK37" i="50"/>
  <c r="AR79" i="48"/>
  <c r="AR95" i="48"/>
  <c r="AR92" i="48"/>
  <c r="AS74" i="48"/>
  <c r="AR90" i="48"/>
  <c r="AJ127" i="48"/>
  <c r="AI130" i="48"/>
  <c r="AI131" i="48" s="1"/>
  <c r="AP64" i="48"/>
  <c r="AP67" i="48"/>
  <c r="AQ67" i="48" s="1"/>
  <c r="AP60" i="48"/>
  <c r="AQ59" i="48"/>
  <c r="AH137" i="48"/>
  <c r="AH72" i="48"/>
  <c r="AV87" i="48"/>
  <c r="AP10" i="48"/>
  <c r="AQ62" i="48"/>
  <c r="AH15" i="48"/>
  <c r="AH17" i="48" s="1"/>
  <c r="AJ7" i="50"/>
  <c r="AJ66" i="48" s="1"/>
  <c r="AP8" i="48"/>
  <c r="AQ5" i="48"/>
  <c r="AF141" i="48"/>
  <c r="AF19" i="48"/>
  <c r="AK37" i="49"/>
  <c r="AK53" i="49"/>
  <c r="AH106" i="48"/>
  <c r="AU52" i="48"/>
  <c r="AU54" i="48" s="1"/>
  <c r="AV50" i="48"/>
  <c r="AP133" i="48"/>
  <c r="AN15" i="50"/>
  <c r="AJ99" i="48"/>
  <c r="AI103" i="48"/>
  <c r="AI105" i="48" s="1"/>
  <c r="AI106" i="48" s="1"/>
  <c r="AT6" i="48"/>
  <c r="AF137" i="48"/>
  <c r="AR46" i="48"/>
  <c r="AR5" i="48"/>
  <c r="AR62" i="48"/>
  <c r="AR59" i="48"/>
  <c r="AM22" i="49"/>
  <c r="AM9" i="49"/>
  <c r="AP100" i="48"/>
  <c r="AP97" i="48"/>
  <c r="AP93" i="48"/>
  <c r="AN22" i="49"/>
  <c r="AN9" i="49"/>
  <c r="X26" i="50"/>
  <c r="AS41" i="48"/>
  <c r="AR57" i="48"/>
  <c r="AL35" i="50"/>
  <c r="AL37" i="50" s="1"/>
  <c r="AG141" i="48"/>
  <c r="AG19" i="48"/>
  <c r="AO9" i="48"/>
  <c r="AR47" i="46"/>
  <c r="AR29" i="46"/>
  <c r="AQ67" i="45"/>
  <c r="AQ47" i="46"/>
  <c r="AQ18" i="44"/>
  <c r="AR173" i="44"/>
  <c r="AP172" i="44"/>
  <c r="AR170" i="44"/>
  <c r="AR168" i="44"/>
  <c r="AR117" i="44"/>
  <c r="AP118" i="44"/>
  <c r="AO120" i="44"/>
  <c r="AO121" i="44"/>
  <c r="AR102" i="44"/>
  <c r="AQ118" i="44"/>
  <c r="Z144" i="44"/>
  <c r="AP22" i="44"/>
  <c r="AQ22" i="44"/>
  <c r="AR145" i="44"/>
  <c r="AR22" i="44"/>
  <c r="AP129" i="44"/>
  <c r="AR14" i="44"/>
  <c r="AQ129" i="44"/>
  <c r="X15" i="44"/>
  <c r="AO10" i="46"/>
  <c r="AP10" i="46"/>
  <c r="AP9" i="46"/>
  <c r="AQ14" i="44"/>
  <c r="AP14" i="44"/>
  <c r="AN87" i="44"/>
  <c r="AN85" i="44"/>
  <c r="AK52" i="44"/>
  <c r="AE59" i="44"/>
  <c r="AE5" i="44"/>
  <c r="AE133" i="44" s="1"/>
  <c r="AH43" i="44"/>
  <c r="Z35" i="45"/>
  <c r="Z30" i="45"/>
  <c r="AE62" i="44"/>
  <c r="AD15" i="46"/>
  <c r="AD8" i="45"/>
  <c r="Z18" i="46"/>
  <c r="AD25" i="46"/>
  <c r="AI45" i="44"/>
  <c r="AI43" i="44"/>
  <c r="AD13" i="44"/>
  <c r="AF45" i="44"/>
  <c r="AF46" i="44"/>
  <c r="Y53" i="45"/>
  <c r="X53" i="45"/>
  <c r="AN56" i="45"/>
  <c r="AP40" i="45"/>
  <c r="AQ40" i="45"/>
  <c r="AR39" i="45"/>
  <c r="AS34" i="45"/>
  <c r="AS33" i="45"/>
  <c r="AR32" i="45"/>
  <c r="AS29" i="46"/>
  <c r="AR31" i="45"/>
  <c r="AQ19" i="46"/>
  <c r="AP26" i="45"/>
  <c r="AQ26" i="45"/>
  <c r="AS24" i="45"/>
  <c r="AQ21" i="46"/>
  <c r="AP21" i="46"/>
  <c r="AC35" i="45"/>
  <c r="AC30" i="45"/>
  <c r="AR19" i="45"/>
  <c r="AR18" i="45"/>
  <c r="AP15" i="45"/>
  <c r="AQ15" i="45"/>
  <c r="AD12" i="46"/>
  <c r="AP53" i="46"/>
  <c r="X19" i="44"/>
  <c r="AR26" i="44"/>
  <c r="Y127" i="44"/>
  <c r="Y66" i="44"/>
  <c r="Y99" i="44"/>
  <c r="Z7" i="46"/>
  <c r="X17" i="44"/>
  <c r="X137" i="44" s="1"/>
  <c r="AL57" i="46"/>
  <c r="AL33" i="46"/>
  <c r="AK155" i="44"/>
  <c r="AK153" i="44"/>
  <c r="AK57" i="46"/>
  <c r="AJ31" i="44"/>
  <c r="AO136" i="44"/>
  <c r="Z53" i="45"/>
  <c r="AM74" i="44"/>
  <c r="AL74" i="44"/>
  <c r="AT165" i="44"/>
  <c r="AT119" i="44"/>
  <c r="AM153" i="44"/>
  <c r="AR18" i="44"/>
  <c r="W24" i="44"/>
  <c r="AT28" i="45"/>
  <c r="AR10" i="45"/>
  <c r="AQ10" i="45"/>
  <c r="AQ16" i="45"/>
  <c r="AS69" i="44"/>
  <c r="AR13" i="45"/>
  <c r="AQ13" i="45"/>
  <c r="AJ97" i="44"/>
  <c r="AJ100" i="44"/>
  <c r="AJ93" i="44"/>
  <c r="AR21" i="46"/>
  <c r="AS23" i="45"/>
  <c r="AJ41" i="44"/>
  <c r="AI57" i="44"/>
  <c r="AR19" i="46"/>
  <c r="AS27" i="45"/>
  <c r="AP83" i="44"/>
  <c r="AA53" i="45"/>
  <c r="AJ30" i="44"/>
  <c r="AN33" i="46"/>
  <c r="AR35" i="44"/>
  <c r="AN50" i="44"/>
  <c r="AD22" i="45"/>
  <c r="AI46" i="44"/>
  <c r="AR9" i="46"/>
  <c r="V6" i="46"/>
  <c r="V27" i="44"/>
  <c r="AM57" i="46"/>
  <c r="AJ22" i="36"/>
  <c r="T40" i="39"/>
  <c r="T41" i="39" s="1"/>
  <c r="S6" i="38"/>
  <c r="AI29" i="39"/>
  <c r="AI47" i="39"/>
  <c r="AI63" i="38"/>
  <c r="AJ28" i="38"/>
  <c r="AH20" i="39"/>
  <c r="AI25" i="38"/>
  <c r="AJ13" i="38"/>
  <c r="AP55" i="38"/>
  <c r="AJ19" i="39"/>
  <c r="AK27" i="38"/>
  <c r="AJ16" i="38"/>
  <c r="AJ8" i="39" s="1"/>
  <c r="M46" i="39"/>
  <c r="M11" i="38"/>
  <c r="M20" i="38" s="1"/>
  <c r="M43" i="38" s="1"/>
  <c r="L53" i="38"/>
  <c r="L43" i="38"/>
  <c r="AO54" i="38"/>
  <c r="AP54" i="38" s="1"/>
  <c r="AJ17" i="39"/>
  <c r="AK10" i="38"/>
  <c r="O46" i="39"/>
  <c r="O48" i="39" s="1"/>
  <c r="O11" i="38"/>
  <c r="O20" i="38" s="1"/>
  <c r="Q40" i="39"/>
  <c r="Q41" i="39" s="1"/>
  <c r="Q6" i="38" s="1"/>
  <c r="Q144" i="36" s="1"/>
  <c r="P6" i="38"/>
  <c r="P144" i="36" s="1"/>
  <c r="AJ56" i="38"/>
  <c r="AK56" i="38" s="1"/>
  <c r="K53" i="38"/>
  <c r="K43" i="38"/>
  <c r="N53" i="38"/>
  <c r="N43" i="38"/>
  <c r="AI56" i="38"/>
  <c r="AI21" i="39"/>
  <c r="AJ23" i="38"/>
  <c r="AR55" i="38"/>
  <c r="AS55" i="38" s="1"/>
  <c r="AJ71" i="73" l="1"/>
  <c r="AJ105" i="73"/>
  <c r="AJ131" i="73"/>
  <c r="AH142" i="73"/>
  <c r="Z46" i="75"/>
  <c r="Z11" i="74"/>
  <c r="AA21" i="73"/>
  <c r="AO37" i="74"/>
  <c r="AK14" i="74"/>
  <c r="AV67" i="73"/>
  <c r="AV68" i="73" s="1"/>
  <c r="AT8" i="73"/>
  <c r="AV5" i="73"/>
  <c r="AV8" i="73" s="1"/>
  <c r="AV60" i="73"/>
  <c r="AU79" i="73"/>
  <c r="AU95" i="73"/>
  <c r="AU10" i="73" s="1"/>
  <c r="AU92" i="73"/>
  <c r="AV78" i="73"/>
  <c r="AT133" i="73"/>
  <c r="AV74" i="73"/>
  <c r="AU90" i="73"/>
  <c r="AS11" i="73"/>
  <c r="AT11" i="73"/>
  <c r="AV64" i="73"/>
  <c r="AV65" i="73" s="1"/>
  <c r="AP35" i="75"/>
  <c r="AO37" i="75"/>
  <c r="AQ35" i="75"/>
  <c r="AQ37" i="75" s="1"/>
  <c r="AU64" i="73"/>
  <c r="AU67" i="73"/>
  <c r="AU60" i="73"/>
  <c r="AV59" i="73"/>
  <c r="AS13" i="73"/>
  <c r="AJ72" i="73"/>
  <c r="AU5" i="73"/>
  <c r="AU8" i="73" s="1"/>
  <c r="AJ15" i="73"/>
  <c r="AT93" i="73"/>
  <c r="AT9" i="73" s="1"/>
  <c r="AT100" i="73"/>
  <c r="AT97" i="73"/>
  <c r="AV92" i="73"/>
  <c r="AK66" i="73"/>
  <c r="AR30" i="74"/>
  <c r="AR35" i="74" s="1"/>
  <c r="AR18" i="75"/>
  <c r="AV62" i="73"/>
  <c r="AV63" i="73" s="1"/>
  <c r="AT10" i="73"/>
  <c r="AT53" i="74"/>
  <c r="AS15" i="75"/>
  <c r="AJ106" i="73"/>
  <c r="AS9" i="73"/>
  <c r="AK99" i="73"/>
  <c r="AK127" i="73"/>
  <c r="AQ61" i="65"/>
  <c r="AQ13" i="65"/>
  <c r="AS97" i="65"/>
  <c r="AQ140" i="65"/>
  <c r="AS93" i="65"/>
  <c r="AS100" i="65"/>
  <c r="AQ15" i="67"/>
  <c r="AQ25" i="67"/>
  <c r="AQ56" i="67" s="1"/>
  <c r="AT59" i="65"/>
  <c r="AT62" i="65"/>
  <c r="AT46" i="65"/>
  <c r="AQ8" i="66"/>
  <c r="AN37" i="67"/>
  <c r="AU43" i="65"/>
  <c r="AO35" i="67"/>
  <c r="AS59" i="65"/>
  <c r="AS62" i="65"/>
  <c r="AS5" i="65"/>
  <c r="AS133" i="65" s="1"/>
  <c r="AS46" i="65"/>
  <c r="AU134" i="65"/>
  <c r="AV6" i="65"/>
  <c r="AT78" i="65"/>
  <c r="AN37" i="66"/>
  <c r="AR64" i="65"/>
  <c r="AR60" i="65"/>
  <c r="AR67" i="65"/>
  <c r="AR10" i="65"/>
  <c r="AR53" i="67"/>
  <c r="AP12" i="67"/>
  <c r="AP144" i="65"/>
  <c r="AO16" i="67"/>
  <c r="AN35" i="66"/>
  <c r="AO18" i="67"/>
  <c r="AO30" i="66"/>
  <c r="AT64" i="65"/>
  <c r="AR25" i="67"/>
  <c r="AR8" i="66"/>
  <c r="AR140" i="65"/>
  <c r="AV74" i="65"/>
  <c r="AU90" i="65"/>
  <c r="AV41" i="65"/>
  <c r="AU57" i="65"/>
  <c r="AU76" i="65"/>
  <c r="AP16" i="67"/>
  <c r="AQ9" i="66"/>
  <c r="AP18" i="67"/>
  <c r="AQ22" i="66"/>
  <c r="AP30" i="66"/>
  <c r="AT76" i="56"/>
  <c r="AP93" i="56"/>
  <c r="AP93" i="61" s="1"/>
  <c r="AO9" i="57"/>
  <c r="AO9" i="62" s="1"/>
  <c r="AO22" i="57"/>
  <c r="AO22" i="62" s="1"/>
  <c r="AQ92" i="56"/>
  <c r="AQ92" i="61" s="1"/>
  <c r="AR97" i="56"/>
  <c r="AR97" i="61" s="1"/>
  <c r="AQ95" i="56"/>
  <c r="AP97" i="56"/>
  <c r="AP97" i="61" s="1"/>
  <c r="AR100" i="56"/>
  <c r="AR100" i="61" s="1"/>
  <c r="AP10" i="56"/>
  <c r="AQ10" i="56" s="1"/>
  <c r="AQ10" i="61" s="1"/>
  <c r="AR93" i="56"/>
  <c r="AR93" i="61" s="1"/>
  <c r="AU6" i="56"/>
  <c r="AU6" i="61" s="1"/>
  <c r="AV87" i="56"/>
  <c r="AV87" i="61" s="1"/>
  <c r="AQ61" i="56"/>
  <c r="AQ61" i="61" s="1"/>
  <c r="AM37" i="58"/>
  <c r="AM37" i="63" s="1"/>
  <c r="AT59" i="61"/>
  <c r="AT67" i="56"/>
  <c r="AT67" i="61" s="1"/>
  <c r="AT60" i="56"/>
  <c r="AT60" i="61" s="1"/>
  <c r="AP133" i="56"/>
  <c r="AQ5" i="56"/>
  <c r="AQ5" i="61" s="1"/>
  <c r="AP8" i="56"/>
  <c r="AP8" i="61" s="1"/>
  <c r="AR10" i="56"/>
  <c r="AR10" i="61" s="1"/>
  <c r="AM37" i="57"/>
  <c r="AM37" i="62" s="1"/>
  <c r="AL37" i="57"/>
  <c r="AL37" i="62" s="1"/>
  <c r="AL37" i="58"/>
  <c r="AL37" i="63" s="1"/>
  <c r="AL35" i="63"/>
  <c r="AR8" i="56"/>
  <c r="AR8" i="61" s="1"/>
  <c r="AR133" i="56"/>
  <c r="AT6" i="61"/>
  <c r="AT134" i="56"/>
  <c r="AS79" i="56"/>
  <c r="AS79" i="61" s="1"/>
  <c r="AN8" i="62"/>
  <c r="AN15" i="58"/>
  <c r="AN15" i="63" s="1"/>
  <c r="AT78" i="56"/>
  <c r="AT78" i="61" s="1"/>
  <c r="AT76" i="61"/>
  <c r="AN9" i="61"/>
  <c r="AN9" i="57"/>
  <c r="AN22" i="57"/>
  <c r="AN35" i="58"/>
  <c r="AN35" i="63" s="1"/>
  <c r="AS5" i="56"/>
  <c r="AS8" i="56" s="1"/>
  <c r="AS92" i="56"/>
  <c r="AS92" i="61" s="1"/>
  <c r="AS95" i="56"/>
  <c r="AO15" i="58"/>
  <c r="AO15" i="63" s="1"/>
  <c r="AR53" i="63"/>
  <c r="AS53" i="58"/>
  <c r="AQ96" i="56"/>
  <c r="AQ96" i="61" s="1"/>
  <c r="AQ95" i="61"/>
  <c r="AM35" i="57"/>
  <c r="AM35" i="62" s="1"/>
  <c r="AM30" i="62"/>
  <c r="AL35" i="57"/>
  <c r="AL35" i="62" s="1"/>
  <c r="AL30" i="62"/>
  <c r="AU45" i="56"/>
  <c r="AU43" i="61"/>
  <c r="AS59" i="61"/>
  <c r="AS67" i="56"/>
  <c r="AS67" i="61" s="1"/>
  <c r="AS64" i="56"/>
  <c r="AS60" i="56"/>
  <c r="AU31" i="56"/>
  <c r="AU31" i="61" s="1"/>
  <c r="AT31" i="61"/>
  <c r="AU30" i="56"/>
  <c r="AU30" i="61" s="1"/>
  <c r="AT30" i="61"/>
  <c r="AT95" i="56"/>
  <c r="AQ100" i="56"/>
  <c r="AP13" i="56"/>
  <c r="X27" i="58"/>
  <c r="AU74" i="56"/>
  <c r="AU74" i="61" s="1"/>
  <c r="AT90" i="56"/>
  <c r="AT90" i="61" s="1"/>
  <c r="AO30" i="57"/>
  <c r="AQ97" i="48"/>
  <c r="AQ100" i="48"/>
  <c r="AQ96" i="48"/>
  <c r="AM16" i="50"/>
  <c r="AP13" i="48"/>
  <c r="AQ10" i="48"/>
  <c r="AQ68" i="48"/>
  <c r="AQ8" i="48"/>
  <c r="AQ63" i="48"/>
  <c r="AT134" i="48"/>
  <c r="AJ12" i="48"/>
  <c r="AJ70" i="48"/>
  <c r="AJ71" i="48" s="1"/>
  <c r="AR8" i="48"/>
  <c r="AT74" i="48"/>
  <c r="AT76" i="48" s="1"/>
  <c r="AT78" i="48" s="1"/>
  <c r="AS90" i="48"/>
  <c r="AP12" i="50"/>
  <c r="AP25" i="50"/>
  <c r="AP8" i="49"/>
  <c r="AP140" i="48"/>
  <c r="AS76" i="48"/>
  <c r="AS78" i="48" s="1"/>
  <c r="AR64" i="48"/>
  <c r="AR60" i="48"/>
  <c r="AR67" i="48"/>
  <c r="AU6" i="48"/>
  <c r="AJ14" i="49"/>
  <c r="AR93" i="48"/>
  <c r="AR97" i="48"/>
  <c r="AR100" i="48"/>
  <c r="AT41" i="48"/>
  <c r="AS57" i="48"/>
  <c r="AR133" i="48"/>
  <c r="AP9" i="48"/>
  <c r="AQ60" i="48"/>
  <c r="AN16" i="50"/>
  <c r="AH141" i="48"/>
  <c r="AH19" i="48"/>
  <c r="AF142" i="48"/>
  <c r="AN18" i="50"/>
  <c r="AN30" i="49"/>
  <c r="AP11" i="48"/>
  <c r="AM53" i="49"/>
  <c r="AN53" i="49"/>
  <c r="AQ93" i="48"/>
  <c r="AO22" i="49"/>
  <c r="AO9" i="49"/>
  <c r="X27" i="50"/>
  <c r="X39" i="50" s="1"/>
  <c r="X41" i="50" s="1"/>
  <c r="AN35" i="50"/>
  <c r="AM37" i="50"/>
  <c r="AM18" i="50"/>
  <c r="AM30" i="49"/>
  <c r="AR10" i="48"/>
  <c r="AV54" i="48"/>
  <c r="AI137" i="48"/>
  <c r="AI72" i="48"/>
  <c r="AJ130" i="48"/>
  <c r="AJ131" i="48" s="1"/>
  <c r="AQ64" i="48"/>
  <c r="AI141" i="48"/>
  <c r="AI19" i="48"/>
  <c r="AJ103" i="48"/>
  <c r="AJ105" i="48" s="1"/>
  <c r="AJ106" i="48" s="1"/>
  <c r="AS43" i="48"/>
  <c r="AS45" i="48" s="1"/>
  <c r="AG65" i="49"/>
  <c r="AG64" i="49" s="1"/>
  <c r="AG142" i="48"/>
  <c r="AM37" i="49"/>
  <c r="AL37" i="49"/>
  <c r="AS63" i="45"/>
  <c r="AS47" i="46"/>
  <c r="AL155" i="44"/>
  <c r="AS173" i="44"/>
  <c r="AR28" i="44"/>
  <c r="AR172" i="44"/>
  <c r="AS170" i="44"/>
  <c r="AS168" i="44"/>
  <c r="AQ28" i="44"/>
  <c r="AP28" i="44"/>
  <c r="AQ121" i="44"/>
  <c r="AQ120" i="44"/>
  <c r="AS102" i="44"/>
  <c r="AP121" i="44"/>
  <c r="AP120" i="44"/>
  <c r="AS117" i="44"/>
  <c r="AR118" i="44"/>
  <c r="AS145" i="44"/>
  <c r="AS22" i="44"/>
  <c r="AA144" i="44"/>
  <c r="AR129" i="44"/>
  <c r="AQ10" i="46"/>
  <c r="AS16" i="44"/>
  <c r="AO87" i="44"/>
  <c r="AO85" i="44"/>
  <c r="AQ90" i="44"/>
  <c r="AK90" i="44"/>
  <c r="AM78" i="44"/>
  <c r="AM76" i="44"/>
  <c r="AK76" i="44"/>
  <c r="AM54" i="44"/>
  <c r="AM52" i="44"/>
  <c r="AL6" i="44"/>
  <c r="AK6" i="44"/>
  <c r="AK54" i="44"/>
  <c r="AL54" i="44"/>
  <c r="AG63" i="44"/>
  <c r="AG62" i="44"/>
  <c r="AI8" i="44"/>
  <c r="AI5" i="44"/>
  <c r="AI133" i="44" s="1"/>
  <c r="AE10" i="44"/>
  <c r="AG46" i="44"/>
  <c r="AG45" i="44"/>
  <c r="AH45" i="44"/>
  <c r="AH46" i="44"/>
  <c r="AE8" i="44"/>
  <c r="AE140" i="44"/>
  <c r="AF62" i="44"/>
  <c r="AE67" i="44"/>
  <c r="AE60" i="44"/>
  <c r="AI10" i="44"/>
  <c r="AI62" i="44"/>
  <c r="AD16" i="46"/>
  <c r="AD9" i="45"/>
  <c r="AE64" i="44"/>
  <c r="AI59" i="44"/>
  <c r="AF59" i="44"/>
  <c r="AG59" i="44"/>
  <c r="AO56" i="45"/>
  <c r="X142" i="44"/>
  <c r="AR40" i="45"/>
  <c r="AS39" i="45"/>
  <c r="AT34" i="45"/>
  <c r="AT33" i="45"/>
  <c r="AS32" i="45"/>
  <c r="AT63" i="45"/>
  <c r="AS31" i="45"/>
  <c r="AR8" i="46"/>
  <c r="AR16" i="45"/>
  <c r="AQ8" i="46"/>
  <c r="AP8" i="46"/>
  <c r="AR26" i="45"/>
  <c r="AT24" i="45"/>
  <c r="AS19" i="45"/>
  <c r="AS18" i="45"/>
  <c r="AR15" i="45"/>
  <c r="AQ17" i="46"/>
  <c r="AP17" i="46"/>
  <c r="AR53" i="46"/>
  <c r="AK31" i="44"/>
  <c r="AS26" i="44"/>
  <c r="Z99" i="44"/>
  <c r="Y12" i="44"/>
  <c r="Y103" i="44"/>
  <c r="Y70" i="44"/>
  <c r="Z66" i="44"/>
  <c r="Z14" i="45"/>
  <c r="Y131" i="44"/>
  <c r="Y130" i="44"/>
  <c r="V29" i="44"/>
  <c r="Z127" i="44"/>
  <c r="AL58" i="46"/>
  <c r="AK58" i="46"/>
  <c r="AP136" i="44"/>
  <c r="AU119" i="44"/>
  <c r="AT16" i="44"/>
  <c r="AM79" i="44"/>
  <c r="AM95" i="44"/>
  <c r="AM92" i="44"/>
  <c r="V38" i="45"/>
  <c r="AN74" i="44"/>
  <c r="AM90" i="44"/>
  <c r="W143" i="44"/>
  <c r="W29" i="44"/>
  <c r="AR10" i="46"/>
  <c r="AD18" i="46"/>
  <c r="AR17" i="46"/>
  <c r="AS10" i="45"/>
  <c r="V32" i="44"/>
  <c r="AK41" i="44"/>
  <c r="AJ57" i="44"/>
  <c r="AM6" i="44"/>
  <c r="AK30" i="44"/>
  <c r="AO33" i="46"/>
  <c r="AD53" i="45"/>
  <c r="AO50" i="44"/>
  <c r="AN57" i="46"/>
  <c r="AS19" i="46"/>
  <c r="AT27" i="45"/>
  <c r="AC53" i="45"/>
  <c r="AS13" i="45"/>
  <c r="AS21" i="46"/>
  <c r="AT23" i="45"/>
  <c r="AU28" i="45"/>
  <c r="AM155" i="44"/>
  <c r="AN153" i="44"/>
  <c r="AS14" i="44"/>
  <c r="AT69" i="44"/>
  <c r="AQ83" i="44"/>
  <c r="AR83" i="44"/>
  <c r="AK22" i="36"/>
  <c r="AM56" i="38"/>
  <c r="S144" i="36"/>
  <c r="AJ29" i="39"/>
  <c r="AJ47" i="39"/>
  <c r="AJ63" i="38"/>
  <c r="AK28" i="38"/>
  <c r="AK19" i="39"/>
  <c r="AL19" i="39" s="1"/>
  <c r="AL27" i="38"/>
  <c r="AM27" i="38"/>
  <c r="AK16" i="38"/>
  <c r="AI20" i="39"/>
  <c r="AJ25" i="38"/>
  <c r="AJ21" i="39"/>
  <c r="AK23" i="38"/>
  <c r="O53" i="38"/>
  <c r="O43" i="38"/>
  <c r="S46" i="39"/>
  <c r="S48" i="39" s="1"/>
  <c r="S11" i="38"/>
  <c r="S20" i="38" s="1"/>
  <c r="AN56" i="38"/>
  <c r="AK17" i="39"/>
  <c r="AL17" i="39" s="1"/>
  <c r="AM10" i="38"/>
  <c r="AL10" i="38"/>
  <c r="AU55" i="38"/>
  <c r="U40" i="39"/>
  <c r="U41" i="39" s="1"/>
  <c r="T6" i="38"/>
  <c r="T144" i="36" s="1"/>
  <c r="Q46" i="39"/>
  <c r="Q48" i="39" s="1"/>
  <c r="Q11" i="38"/>
  <c r="Q20" i="38" s="1"/>
  <c r="R6" i="38"/>
  <c r="AT55" i="38"/>
  <c r="P46" i="39"/>
  <c r="P48" i="39" s="1"/>
  <c r="P11" i="38"/>
  <c r="P20" i="38" s="1"/>
  <c r="AR54" i="38"/>
  <c r="AK13" i="38"/>
  <c r="AJ17" i="73" l="1"/>
  <c r="AJ19" i="73" s="1"/>
  <c r="AB21" i="73"/>
  <c r="AA23" i="73"/>
  <c r="Z20" i="74"/>
  <c r="Z48" i="75"/>
  <c r="AT22" i="74"/>
  <c r="AT9" i="74"/>
  <c r="AV61" i="73"/>
  <c r="AR35" i="75"/>
  <c r="AP37" i="75"/>
  <c r="AU53" i="74"/>
  <c r="AV10" i="73"/>
  <c r="AV140" i="73"/>
  <c r="AU25" i="75"/>
  <c r="AU12" i="75"/>
  <c r="AU8" i="74"/>
  <c r="AU140" i="73"/>
  <c r="AT12" i="75"/>
  <c r="AV12" i="75" s="1"/>
  <c r="AT25" i="75"/>
  <c r="AV25" i="75" s="1"/>
  <c r="AV56" i="75" s="1"/>
  <c r="AT140" i="73"/>
  <c r="AT8" i="74"/>
  <c r="AT15" i="75" s="1"/>
  <c r="AV95" i="73"/>
  <c r="AV96" i="73" s="1"/>
  <c r="AU133" i="73"/>
  <c r="AM127" i="73"/>
  <c r="AK130" i="73"/>
  <c r="AL127" i="73"/>
  <c r="AL130" i="73" s="1"/>
  <c r="AK103" i="73"/>
  <c r="AL99" i="73"/>
  <c r="AL103" i="73" s="1"/>
  <c r="AT13" i="73"/>
  <c r="AS22" i="74"/>
  <c r="AS9" i="74"/>
  <c r="AS16" i="75" s="1"/>
  <c r="AL14" i="74"/>
  <c r="AM7" i="75" s="1"/>
  <c r="AM14" i="74"/>
  <c r="AM66" i="73"/>
  <c r="AK12" i="73"/>
  <c r="AK70" i="73"/>
  <c r="AL66" i="73"/>
  <c r="AL70" i="73" s="1"/>
  <c r="AP37" i="74"/>
  <c r="AU100" i="73"/>
  <c r="AV100" i="73" s="1"/>
  <c r="AV101" i="73" s="1"/>
  <c r="AU97" i="73"/>
  <c r="AV97" i="73" s="1"/>
  <c r="AV98" i="73" s="1"/>
  <c r="AU93" i="73"/>
  <c r="AT67" i="65"/>
  <c r="AT60" i="65"/>
  <c r="AO37" i="67"/>
  <c r="AS10" i="65"/>
  <c r="AR11" i="65"/>
  <c r="AS60" i="65"/>
  <c r="AS64" i="65"/>
  <c r="AS67" i="65"/>
  <c r="AS8" i="65"/>
  <c r="AU45" i="65"/>
  <c r="AU46" i="65" s="1"/>
  <c r="AS140" i="65"/>
  <c r="AO37" i="66"/>
  <c r="AU78" i="65"/>
  <c r="AT79" i="65"/>
  <c r="AT5" i="65"/>
  <c r="AT95" i="65"/>
  <c r="AT92" i="65"/>
  <c r="AR15" i="67"/>
  <c r="AR13" i="65"/>
  <c r="AR9" i="65"/>
  <c r="AS8" i="66"/>
  <c r="AS25" i="67"/>
  <c r="AV45" i="65"/>
  <c r="AP35" i="67"/>
  <c r="AS53" i="67"/>
  <c r="AQ12" i="67"/>
  <c r="AR12" i="67"/>
  <c r="AR144" i="65"/>
  <c r="AQ16" i="67"/>
  <c r="AO35" i="66"/>
  <c r="AP35" i="66"/>
  <c r="AQ30" i="66"/>
  <c r="AQ18" i="67"/>
  <c r="AS13" i="65"/>
  <c r="AS11" i="65"/>
  <c r="AU79" i="65"/>
  <c r="AO16" i="58"/>
  <c r="AO16" i="63" s="1"/>
  <c r="AP9" i="56"/>
  <c r="AP9" i="61" s="1"/>
  <c r="AQ93" i="56"/>
  <c r="AQ93" i="61" s="1"/>
  <c r="AR13" i="56"/>
  <c r="AR13" i="61" s="1"/>
  <c r="AR11" i="56"/>
  <c r="AR11" i="61" s="1"/>
  <c r="AU134" i="56"/>
  <c r="AP11" i="56"/>
  <c r="AQ97" i="56"/>
  <c r="AT5" i="56"/>
  <c r="AT133" i="56" s="1"/>
  <c r="AP10" i="61"/>
  <c r="AR9" i="56"/>
  <c r="AR9" i="61" s="1"/>
  <c r="AT79" i="56"/>
  <c r="AT79" i="61" s="1"/>
  <c r="AO18" i="58"/>
  <c r="AO18" i="63" s="1"/>
  <c r="AQ8" i="56"/>
  <c r="AQ8" i="61" s="1"/>
  <c r="AT92" i="56"/>
  <c r="AT92" i="61" s="1"/>
  <c r="AV6" i="56"/>
  <c r="AV6" i="61" s="1"/>
  <c r="AR140" i="56"/>
  <c r="AR140" i="61" s="1"/>
  <c r="AR8" i="57"/>
  <c r="AR8" i="62" s="1"/>
  <c r="AP12" i="58"/>
  <c r="AP12" i="63" s="1"/>
  <c r="AR12" i="58"/>
  <c r="AR12" i="63" s="1"/>
  <c r="AR25" i="58"/>
  <c r="AR25" i="63" s="1"/>
  <c r="AP140" i="56"/>
  <c r="AP140" i="61" s="1"/>
  <c r="AP8" i="57"/>
  <c r="AP8" i="62" s="1"/>
  <c r="AP25" i="58"/>
  <c r="AQ25" i="58" s="1"/>
  <c r="AS100" i="56"/>
  <c r="AS100" i="61" s="1"/>
  <c r="AN37" i="57"/>
  <c r="AN37" i="62" s="1"/>
  <c r="AS8" i="61"/>
  <c r="AS12" i="58"/>
  <c r="AS12" i="63" s="1"/>
  <c r="AS25" i="58"/>
  <c r="AS25" i="63" s="1"/>
  <c r="AS8" i="57"/>
  <c r="AS8" i="62" s="1"/>
  <c r="AS140" i="56"/>
  <c r="AS140" i="61" s="1"/>
  <c r="AS10" i="56"/>
  <c r="AS10" i="61" s="1"/>
  <c r="AS95" i="61"/>
  <c r="AT10" i="56"/>
  <c r="AT10" i="61" s="1"/>
  <c r="AT95" i="61"/>
  <c r="AN22" i="62"/>
  <c r="AN18" i="58"/>
  <c r="AN18" i="63" s="1"/>
  <c r="AN30" i="57"/>
  <c r="AN9" i="62"/>
  <c r="AN16" i="58"/>
  <c r="AN16" i="63" s="1"/>
  <c r="AS133" i="56"/>
  <c r="AS5" i="61"/>
  <c r="AN37" i="58"/>
  <c r="AN37" i="63" s="1"/>
  <c r="AS97" i="56"/>
  <c r="AS97" i="61" s="1"/>
  <c r="AO35" i="58"/>
  <c r="AO35" i="63" s="1"/>
  <c r="AS93" i="56"/>
  <c r="AS93" i="61" s="1"/>
  <c r="AT53" i="58"/>
  <c r="AS53" i="63"/>
  <c r="AQ98" i="56"/>
  <c r="AQ98" i="61" s="1"/>
  <c r="AQ97" i="61"/>
  <c r="AQ101" i="56"/>
  <c r="AQ101" i="61" s="1"/>
  <c r="AQ100" i="61"/>
  <c r="AU45" i="61"/>
  <c r="AU59" i="56"/>
  <c r="AU46" i="56"/>
  <c r="AU46" i="61" s="1"/>
  <c r="AU62" i="56"/>
  <c r="AV45" i="56"/>
  <c r="AQ13" i="56"/>
  <c r="AQ13" i="61" s="1"/>
  <c r="AP13" i="61"/>
  <c r="AO35" i="57"/>
  <c r="AO35" i="62" s="1"/>
  <c r="AO30" i="62"/>
  <c r="AS60" i="61"/>
  <c r="AT8" i="56"/>
  <c r="AT8" i="61" s="1"/>
  <c r="AT5" i="61"/>
  <c r="AS64" i="61"/>
  <c r="AQ11" i="56"/>
  <c r="AQ11" i="61" s="1"/>
  <c r="AP11" i="61"/>
  <c r="X27" i="63"/>
  <c r="AV74" i="56"/>
  <c r="AV74" i="61" s="1"/>
  <c r="AU90" i="56"/>
  <c r="AU90" i="61" s="1"/>
  <c r="AP22" i="57"/>
  <c r="AP22" i="62" s="1"/>
  <c r="AP9" i="57"/>
  <c r="AP9" i="62" s="1"/>
  <c r="AQ9" i="56"/>
  <c r="AQ9" i="61" s="1"/>
  <c r="AU76" i="56"/>
  <c r="AR22" i="57"/>
  <c r="AR22" i="62" s="1"/>
  <c r="AR9" i="57"/>
  <c r="AR9" i="62" s="1"/>
  <c r="AM134" i="44"/>
  <c r="AT100" i="56"/>
  <c r="AT100" i="61" s="1"/>
  <c r="AT97" i="56"/>
  <c r="AT97" i="61" s="1"/>
  <c r="AT93" i="56"/>
  <c r="AT93" i="61" s="1"/>
  <c r="AQ101" i="48"/>
  <c r="AQ98" i="48"/>
  <c r="AQ11" i="48"/>
  <c r="AN35" i="49"/>
  <c r="AM35" i="49"/>
  <c r="AQ25" i="50"/>
  <c r="AQ12" i="50"/>
  <c r="AQ65" i="48"/>
  <c r="AQ9" i="48"/>
  <c r="AQ13" i="48"/>
  <c r="AO16" i="50"/>
  <c r="AQ140" i="48"/>
  <c r="AV6" i="48"/>
  <c r="AT79" i="48"/>
  <c r="AT95" i="48"/>
  <c r="AT92" i="48"/>
  <c r="AQ61" i="48"/>
  <c r="AU134" i="48"/>
  <c r="AP22" i="49"/>
  <c r="AP9" i="49"/>
  <c r="AR13" i="48"/>
  <c r="AR9" i="48"/>
  <c r="AU74" i="48"/>
  <c r="AT90" i="48"/>
  <c r="AR11" i="48"/>
  <c r="AR12" i="50"/>
  <c r="AR25" i="50"/>
  <c r="AR8" i="49"/>
  <c r="AR140" i="48"/>
  <c r="AS46" i="48"/>
  <c r="AS5" i="48"/>
  <c r="AS62" i="48"/>
  <c r="AS59" i="48"/>
  <c r="AO35" i="50"/>
  <c r="AN37" i="50"/>
  <c r="AU41" i="48"/>
  <c r="AT57" i="48"/>
  <c r="AS79" i="48"/>
  <c r="AS95" i="48"/>
  <c r="AS92" i="48"/>
  <c r="AT43" i="48"/>
  <c r="AT45" i="48" s="1"/>
  <c r="AI142" i="48"/>
  <c r="Y40" i="50"/>
  <c r="X6" i="49"/>
  <c r="AJ137" i="48"/>
  <c r="AJ72" i="48"/>
  <c r="AP15" i="50"/>
  <c r="AQ8" i="49"/>
  <c r="AJ15" i="48"/>
  <c r="AJ17" i="48" s="1"/>
  <c r="AQ94" i="48"/>
  <c r="AN37" i="49"/>
  <c r="AK7" i="50"/>
  <c r="AK14" i="49"/>
  <c r="AO53" i="49"/>
  <c r="AO18" i="50"/>
  <c r="AO30" i="49"/>
  <c r="AH142" i="48"/>
  <c r="AT29" i="46"/>
  <c r="AT47" i="46"/>
  <c r="AM31" i="44"/>
  <c r="AS18" i="44"/>
  <c r="AU173" i="44"/>
  <c r="AT173" i="44"/>
  <c r="AS28" i="44"/>
  <c r="AS172" i="44"/>
  <c r="AT170" i="44"/>
  <c r="AT168" i="44"/>
  <c r="AU165" i="44"/>
  <c r="AR121" i="44"/>
  <c r="AR120" i="44"/>
  <c r="AT117" i="44"/>
  <c r="AS118" i="44"/>
  <c r="AT102" i="44"/>
  <c r="AC144" i="44"/>
  <c r="AT145" i="44"/>
  <c r="AT22" i="44"/>
  <c r="AS129" i="44"/>
  <c r="AS10" i="46"/>
  <c r="AS9" i="46"/>
  <c r="AP85" i="44"/>
  <c r="AK134" i="44"/>
  <c r="AN54" i="44"/>
  <c r="AN52" i="44"/>
  <c r="AI8" i="45"/>
  <c r="AI12" i="46"/>
  <c r="AI140" i="44"/>
  <c r="AG68" i="44"/>
  <c r="AG67" i="44"/>
  <c r="AF64" i="44"/>
  <c r="AE13" i="44"/>
  <c r="AG60" i="44"/>
  <c r="AG61" i="44"/>
  <c r="AE9" i="44"/>
  <c r="AF67" i="44"/>
  <c r="AE12" i="46"/>
  <c r="AE8" i="45"/>
  <c r="AE11" i="44"/>
  <c r="AE25" i="46"/>
  <c r="AJ45" i="44"/>
  <c r="AJ43" i="44"/>
  <c r="AH59" i="44"/>
  <c r="AH5" i="44"/>
  <c r="AH133" i="44" s="1"/>
  <c r="AF60" i="44"/>
  <c r="AI60" i="44"/>
  <c r="AI25" i="46"/>
  <c r="AH62" i="44"/>
  <c r="AH10" i="44"/>
  <c r="AP56" i="45"/>
  <c r="AR56" i="45"/>
  <c r="AS56" i="45"/>
  <c r="AS40" i="45"/>
  <c r="AT39" i="45"/>
  <c r="AV34" i="45"/>
  <c r="AU34" i="45"/>
  <c r="AV33" i="45"/>
  <c r="AU33" i="45"/>
  <c r="AT32" i="45"/>
  <c r="AT31" i="45"/>
  <c r="AS8" i="46"/>
  <c r="AS16" i="45"/>
  <c r="AS26" i="45"/>
  <c r="AV24" i="45"/>
  <c r="AU24" i="45"/>
  <c r="AD35" i="45"/>
  <c r="AD30" i="45"/>
  <c r="AT19" i="45"/>
  <c r="AT18" i="45"/>
  <c r="AS15" i="45"/>
  <c r="AS53" i="46"/>
  <c r="AT26" i="44"/>
  <c r="AA99" i="44"/>
  <c r="Z12" i="44"/>
  <c r="V146" i="44"/>
  <c r="V33" i="44"/>
  <c r="Z70" i="44"/>
  <c r="Y71" i="44"/>
  <c r="Y72" i="44"/>
  <c r="W6" i="46"/>
  <c r="W27" i="44"/>
  <c r="W25" i="44"/>
  <c r="Y106" i="44"/>
  <c r="Y105" i="44"/>
  <c r="V147" i="44"/>
  <c r="V34" i="44"/>
  <c r="Y15" i="44"/>
  <c r="V22" i="46"/>
  <c r="Z131" i="44"/>
  <c r="Z130" i="44"/>
  <c r="Z103" i="44"/>
  <c r="AA7" i="46"/>
  <c r="AB7" i="46"/>
  <c r="AS35" i="44"/>
  <c r="AS136" i="44"/>
  <c r="AR136" i="44"/>
  <c r="AS17" i="46"/>
  <c r="AT10" i="45"/>
  <c r="AM100" i="44"/>
  <c r="AM97" i="44"/>
  <c r="AM93" i="44"/>
  <c r="AT13" i="45"/>
  <c r="AO74" i="44"/>
  <c r="AN90" i="44"/>
  <c r="AT9" i="46"/>
  <c r="AN6" i="44"/>
  <c r="AN134" i="44" s="1"/>
  <c r="AO153" i="44"/>
  <c r="AM41" i="44"/>
  <c r="AK57" i="44"/>
  <c r="AT21" i="46"/>
  <c r="AU23" i="45"/>
  <c r="AO57" i="46"/>
  <c r="V41" i="45"/>
  <c r="AM30" i="44"/>
  <c r="AP33" i="46"/>
  <c r="AE53" i="45"/>
  <c r="AP50" i="44"/>
  <c r="AU47" i="46"/>
  <c r="AU29" i="46"/>
  <c r="AU63" i="45"/>
  <c r="AV28" i="45"/>
  <c r="AS83" i="44"/>
  <c r="AT19" i="46"/>
  <c r="AU27" i="45"/>
  <c r="AV119" i="44"/>
  <c r="AM22" i="36"/>
  <c r="AT54" i="38"/>
  <c r="V40" i="39"/>
  <c r="U6" i="38"/>
  <c r="AS54" i="38"/>
  <c r="R46" i="39"/>
  <c r="R11" i="38"/>
  <c r="R20" i="38" s="1"/>
  <c r="R43" i="38" s="1"/>
  <c r="AU54" i="38"/>
  <c r="AM17" i="39"/>
  <c r="AN10" i="38"/>
  <c r="P53" i="38"/>
  <c r="P43" i="38"/>
  <c r="Q53" i="38"/>
  <c r="Q43" i="38"/>
  <c r="S53" i="38"/>
  <c r="S43" i="38"/>
  <c r="AJ20" i="39"/>
  <c r="AK25" i="38"/>
  <c r="AK47" i="39"/>
  <c r="AK63" i="38"/>
  <c r="AK29" i="39"/>
  <c r="AL29" i="39" s="1"/>
  <c r="AM28" i="38"/>
  <c r="AL28" i="38"/>
  <c r="AK21" i="39"/>
  <c r="AL21" i="39" s="1"/>
  <c r="AM23" i="38"/>
  <c r="AL23" i="38"/>
  <c r="AM13" i="38"/>
  <c r="AL13" i="38"/>
  <c r="AK8" i="39"/>
  <c r="AL8" i="39" s="1"/>
  <c r="AL16" i="38"/>
  <c r="AO56" i="38"/>
  <c r="AP56" i="38" s="1"/>
  <c r="AM19" i="39"/>
  <c r="AN27" i="38"/>
  <c r="AM16" i="38"/>
  <c r="AM8" i="39" s="1"/>
  <c r="T46" i="39"/>
  <c r="T48" i="39" s="1"/>
  <c r="T11" i="38"/>
  <c r="T20" i="38" s="1"/>
  <c r="AJ137" i="73" l="1"/>
  <c r="AJ141" i="73"/>
  <c r="AK71" i="73"/>
  <c r="AK105" i="73"/>
  <c r="AL131" i="73"/>
  <c r="AK131" i="73"/>
  <c r="Z43" i="74"/>
  <c r="AA24" i="73"/>
  <c r="AB23" i="73"/>
  <c r="AK72" i="73"/>
  <c r="AL71" i="73"/>
  <c r="AN66" i="73"/>
  <c r="AM12" i="73"/>
  <c r="AM70" i="73"/>
  <c r="AN127" i="73"/>
  <c r="AM130" i="73"/>
  <c r="AU15" i="75"/>
  <c r="AV15" i="75" s="1"/>
  <c r="AV8" i="74"/>
  <c r="AN7" i="75"/>
  <c r="AN14" i="74"/>
  <c r="AU11" i="73"/>
  <c r="AV11" i="73" s="1"/>
  <c r="AS35" i="75"/>
  <c r="AR37" i="75"/>
  <c r="AU13" i="73"/>
  <c r="AQ37" i="74"/>
  <c r="AR37" i="74"/>
  <c r="AK15" i="73"/>
  <c r="AL12" i="73"/>
  <c r="AL15" i="73" s="1"/>
  <c r="AJ142" i="73"/>
  <c r="AS18" i="75"/>
  <c r="AS30" i="74"/>
  <c r="AS35" i="74" s="1"/>
  <c r="AV93" i="73"/>
  <c r="AT16" i="75"/>
  <c r="AV13" i="73"/>
  <c r="AT18" i="75"/>
  <c r="AT30" i="74"/>
  <c r="AT35" i="74" s="1"/>
  <c r="AU9" i="73"/>
  <c r="AK106" i="73"/>
  <c r="AL105" i="73"/>
  <c r="AM99" i="73"/>
  <c r="AS9" i="65"/>
  <c r="AU95" i="65"/>
  <c r="AV78" i="65"/>
  <c r="AU92" i="65"/>
  <c r="AU62" i="65"/>
  <c r="AU59" i="65"/>
  <c r="AV59" i="65" s="1"/>
  <c r="AU5" i="65"/>
  <c r="AP37" i="67"/>
  <c r="AT93" i="65"/>
  <c r="AT97" i="65"/>
  <c r="AT100" i="65"/>
  <c r="AT10" i="65"/>
  <c r="AT133" i="65"/>
  <c r="AT8" i="65"/>
  <c r="AV95" i="65"/>
  <c r="AP37" i="66"/>
  <c r="AQ35" i="67"/>
  <c r="AQ37" i="67" s="1"/>
  <c r="AV46" i="65"/>
  <c r="AR9" i="66"/>
  <c r="AR16" i="67" s="1"/>
  <c r="AR22" i="66"/>
  <c r="AS15" i="67"/>
  <c r="AR35" i="67"/>
  <c r="AT53" i="67"/>
  <c r="AS12" i="67"/>
  <c r="AS144" i="65"/>
  <c r="AQ35" i="66"/>
  <c r="AU93" i="65"/>
  <c r="AU97" i="65"/>
  <c r="AU100" i="65"/>
  <c r="AV92" i="65"/>
  <c r="AU8" i="65"/>
  <c r="AV5" i="65"/>
  <c r="AU133" i="65"/>
  <c r="AS22" i="66"/>
  <c r="AS9" i="66"/>
  <c r="AQ94" i="56"/>
  <c r="AQ94" i="61" s="1"/>
  <c r="AQ140" i="56"/>
  <c r="AQ140" i="61" s="1"/>
  <c r="AQ12" i="58"/>
  <c r="AQ12" i="63" s="1"/>
  <c r="AR15" i="58"/>
  <c r="AR15" i="63" s="1"/>
  <c r="AS11" i="56"/>
  <c r="AS11" i="61" s="1"/>
  <c r="AS13" i="56"/>
  <c r="AS13" i="61" s="1"/>
  <c r="AS9" i="56"/>
  <c r="AS9" i="61" s="1"/>
  <c r="AP25" i="63"/>
  <c r="AQ8" i="57"/>
  <c r="AQ8" i="62" s="1"/>
  <c r="AP15" i="58"/>
  <c r="AP35" i="58"/>
  <c r="AP35" i="63" s="1"/>
  <c r="AO37" i="57"/>
  <c r="AO37" i="62" s="1"/>
  <c r="AS15" i="58"/>
  <c r="AS15" i="63" s="1"/>
  <c r="AO37" i="58"/>
  <c r="AO37" i="63" s="1"/>
  <c r="AN30" i="62"/>
  <c r="AN35" i="57"/>
  <c r="AN35" i="62" s="1"/>
  <c r="AU78" i="56"/>
  <c r="AU78" i="61" s="1"/>
  <c r="AU76" i="61"/>
  <c r="AT8" i="57"/>
  <c r="AT15" i="58" s="1"/>
  <c r="AT15" i="63" s="1"/>
  <c r="AT140" i="56"/>
  <c r="AT140" i="61" s="1"/>
  <c r="AT25" i="58"/>
  <c r="AT25" i="63" s="1"/>
  <c r="AT12" i="58"/>
  <c r="AT12" i="63" s="1"/>
  <c r="AU53" i="58"/>
  <c r="AU53" i="63" s="1"/>
  <c r="AT53" i="63"/>
  <c r="AQ56" i="58"/>
  <c r="AQ56" i="63" s="1"/>
  <c r="AQ25" i="63"/>
  <c r="AQ15" i="58"/>
  <c r="AQ15" i="63" s="1"/>
  <c r="AP15" i="63"/>
  <c r="AV46" i="56"/>
  <c r="AV46" i="61" s="1"/>
  <c r="AV45" i="61"/>
  <c r="AU62" i="61"/>
  <c r="AV62" i="56"/>
  <c r="AU59" i="61"/>
  <c r="AU60" i="56"/>
  <c r="AU64" i="56"/>
  <c r="AV59" i="56"/>
  <c r="AV59" i="61" s="1"/>
  <c r="AU67" i="56"/>
  <c r="AP16" i="58"/>
  <c r="AQ9" i="57"/>
  <c r="AQ9" i="62" s="1"/>
  <c r="AR16" i="58"/>
  <c r="AR16" i="63" s="1"/>
  <c r="AP18" i="58"/>
  <c r="AP30" i="57"/>
  <c r="AQ22" i="57"/>
  <c r="AR18" i="58"/>
  <c r="AR18" i="63" s="1"/>
  <c r="AR30" i="57"/>
  <c r="AS22" i="57"/>
  <c r="AS22" i="62" s="1"/>
  <c r="AS9" i="57"/>
  <c r="AT9" i="56"/>
  <c r="AT9" i="61" s="1"/>
  <c r="AT11" i="56"/>
  <c r="AT11" i="61" s="1"/>
  <c r="AT13" i="56"/>
  <c r="AT13" i="61" s="1"/>
  <c r="AQ56" i="50"/>
  <c r="AQ15" i="50"/>
  <c r="AO35" i="49"/>
  <c r="AR15" i="50"/>
  <c r="AS8" i="48"/>
  <c r="AK66" i="48"/>
  <c r="AK127" i="48"/>
  <c r="AL7" i="50"/>
  <c r="AK99" i="48"/>
  <c r="AP16" i="50"/>
  <c r="AQ9" i="49"/>
  <c r="X46" i="50"/>
  <c r="X48" i="50" s="1"/>
  <c r="X11" i="49"/>
  <c r="X20" i="49" s="1"/>
  <c r="X43" i="49" s="1"/>
  <c r="Y21" i="48"/>
  <c r="AP18" i="50"/>
  <c r="AP30" i="49"/>
  <c r="AQ22" i="49"/>
  <c r="AV41" i="48"/>
  <c r="AU57" i="48"/>
  <c r="AO37" i="49"/>
  <c r="AU43" i="48"/>
  <c r="AU45" i="48" s="1"/>
  <c r="AP35" i="50"/>
  <c r="AO37" i="50"/>
  <c r="AP53" i="49"/>
  <c r="AT100" i="48"/>
  <c r="AT93" i="48"/>
  <c r="AT97" i="48"/>
  <c r="AS97" i="48"/>
  <c r="AS93" i="48"/>
  <c r="AS100" i="48"/>
  <c r="AJ141" i="48"/>
  <c r="AJ19" i="48"/>
  <c r="AT46" i="48"/>
  <c r="AT5" i="48"/>
  <c r="AT62" i="48"/>
  <c r="AT59" i="48"/>
  <c r="AV74" i="48"/>
  <c r="AU90" i="48"/>
  <c r="AS64" i="48"/>
  <c r="AS60" i="48"/>
  <c r="AS67" i="48"/>
  <c r="AU76" i="48"/>
  <c r="AU78" i="48" s="1"/>
  <c r="AS133" i="48"/>
  <c r="AM14" i="49"/>
  <c r="AL14" i="49"/>
  <c r="AM7" i="50" s="1"/>
  <c r="AS10" i="48"/>
  <c r="AR9" i="49"/>
  <c r="AR22" i="49"/>
  <c r="AU168" i="44"/>
  <c r="AT18" i="44"/>
  <c r="AT172" i="44"/>
  <c r="AV102" i="44"/>
  <c r="AU102" i="44"/>
  <c r="AS121" i="44"/>
  <c r="AS120" i="44"/>
  <c r="AU117" i="44"/>
  <c r="AT118" i="44"/>
  <c r="AU145" i="44"/>
  <c r="AU22" i="44"/>
  <c r="AD144" i="44"/>
  <c r="AT129" i="44"/>
  <c r="AU16" i="44"/>
  <c r="AU69" i="44"/>
  <c r="AT14" i="44"/>
  <c r="AR87" i="44"/>
  <c r="AR85" i="44"/>
  <c r="AP87" i="44"/>
  <c r="AQ87" i="44"/>
  <c r="AN78" i="44"/>
  <c r="AN76" i="44"/>
  <c r="AO54" i="44"/>
  <c r="AO52" i="44"/>
  <c r="AE22" i="45"/>
  <c r="AE9" i="45"/>
  <c r="AE16" i="46"/>
  <c r="AM45" i="44"/>
  <c r="AM43" i="44"/>
  <c r="AI11" i="44"/>
  <c r="AI64" i="44"/>
  <c r="AH8" i="44"/>
  <c r="AH25" i="46"/>
  <c r="AH12" i="46"/>
  <c r="AH140" i="44"/>
  <c r="AI13" i="44"/>
  <c r="AI67" i="44"/>
  <c r="AE15" i="46"/>
  <c r="AH60" i="44"/>
  <c r="AK45" i="44"/>
  <c r="AK43" i="44"/>
  <c r="AJ59" i="44"/>
  <c r="AH67" i="44"/>
  <c r="AH13" i="44"/>
  <c r="AG64" i="44"/>
  <c r="AG65" i="44"/>
  <c r="AJ62" i="44"/>
  <c r="AH64" i="44"/>
  <c r="AH11" i="44"/>
  <c r="AI9" i="44"/>
  <c r="AQ139" i="44"/>
  <c r="AL41" i="44"/>
  <c r="AJ46" i="44"/>
  <c r="AT40" i="45"/>
  <c r="AV39" i="45"/>
  <c r="AU39" i="45"/>
  <c r="AV32" i="45"/>
  <c r="AU32" i="45"/>
  <c r="AV31" i="45"/>
  <c r="AU31" i="45"/>
  <c r="AT8" i="46"/>
  <c r="AT16" i="45"/>
  <c r="AT26" i="45"/>
  <c r="AV19" i="45"/>
  <c r="AU19" i="45"/>
  <c r="AV18" i="45"/>
  <c r="AU18" i="45"/>
  <c r="AT15" i="45"/>
  <c r="AU53" i="46"/>
  <c r="AT53" i="46"/>
  <c r="AU26" i="44"/>
  <c r="AV26" i="44"/>
  <c r="W32" i="44"/>
  <c r="AA127" i="44"/>
  <c r="W22" i="46"/>
  <c r="Z105" i="44"/>
  <c r="Z106" i="44"/>
  <c r="Z71" i="44"/>
  <c r="Z72" i="44"/>
  <c r="Z15" i="44"/>
  <c r="V148" i="44"/>
  <c r="V55" i="46"/>
  <c r="AB99" i="44"/>
  <c r="Y17" i="44"/>
  <c r="Y137" i="44" s="1"/>
  <c r="Y141" i="44"/>
  <c r="AA66" i="44"/>
  <c r="AQ33" i="46"/>
  <c r="W41" i="45"/>
  <c r="W38" i="45"/>
  <c r="AN31" i="44"/>
  <c r="AN155" i="44"/>
  <c r="AT35" i="44"/>
  <c r="AU13" i="45"/>
  <c r="AJ10" i="44"/>
  <c r="AU19" i="46"/>
  <c r="AV27" i="45"/>
  <c r="AU16" i="45"/>
  <c r="AP74" i="44"/>
  <c r="AO90" i="44"/>
  <c r="AK46" i="44"/>
  <c r="AK59" i="44"/>
  <c r="AL64" i="46"/>
  <c r="AQ57" i="44"/>
  <c r="AJ67" i="44"/>
  <c r="AJ60" i="44"/>
  <c r="AP57" i="46"/>
  <c r="AN41" i="44"/>
  <c r="AM57" i="44"/>
  <c r="V42" i="45"/>
  <c r="V62" i="45"/>
  <c r="AT83" i="44"/>
  <c r="AM46" i="44"/>
  <c r="AM5" i="44"/>
  <c r="AM62" i="44"/>
  <c r="AM59" i="44"/>
  <c r="AV69" i="44"/>
  <c r="AN30" i="44"/>
  <c r="AR33" i="46"/>
  <c r="AO6" i="44"/>
  <c r="AV23" i="45"/>
  <c r="AV16" i="44"/>
  <c r="AV29" i="46"/>
  <c r="AQ50" i="44"/>
  <c r="AR50" i="44"/>
  <c r="AV9" i="46"/>
  <c r="AN79" i="44"/>
  <c r="AN95" i="44"/>
  <c r="AN92" i="44"/>
  <c r="AT17" i="46"/>
  <c r="AU10" i="45"/>
  <c r="AN22" i="36"/>
  <c r="U144" i="36"/>
  <c r="AK20" i="39"/>
  <c r="AL20" i="39" s="1"/>
  <c r="AM25" i="38"/>
  <c r="AL25" i="38"/>
  <c r="AN13" i="38"/>
  <c r="AN17" i="39"/>
  <c r="AO10" i="38"/>
  <c r="AR56" i="38"/>
  <c r="U46" i="39"/>
  <c r="U48" i="39" s="1"/>
  <c r="U11" i="38"/>
  <c r="U20" i="38" s="1"/>
  <c r="AM47" i="39"/>
  <c r="AM29" i="39"/>
  <c r="AN28" i="38"/>
  <c r="AM63" i="38"/>
  <c r="AM21" i="39"/>
  <c r="AN23" i="38"/>
  <c r="T53" i="38"/>
  <c r="T43" i="38"/>
  <c r="AL47" i="39"/>
  <c r="AN19" i="39"/>
  <c r="AO27" i="38"/>
  <c r="AN16" i="38"/>
  <c r="AN8" i="39" s="1"/>
  <c r="AL72" i="73" l="1"/>
  <c r="AM71" i="73"/>
  <c r="AM72" i="73" s="1"/>
  <c r="AL106" i="73"/>
  <c r="AK17" i="73"/>
  <c r="AK19" i="73" s="1"/>
  <c r="AB24" i="73"/>
  <c r="AA29" i="73"/>
  <c r="AA34" i="73" s="1"/>
  <c r="AA147" i="73" s="1"/>
  <c r="AA25" i="73"/>
  <c r="AM131" i="73"/>
  <c r="AL17" i="73"/>
  <c r="AU22" i="74"/>
  <c r="AU9" i="74"/>
  <c r="AV9" i="73"/>
  <c r="AS37" i="74"/>
  <c r="AO127" i="73"/>
  <c r="AN130" i="73"/>
  <c r="AK141" i="73"/>
  <c r="AM15" i="73"/>
  <c r="AV94" i="73"/>
  <c r="AO66" i="73"/>
  <c r="AN12" i="73"/>
  <c r="AN15" i="73" s="1"/>
  <c r="AN70" i="73"/>
  <c r="AT35" i="75"/>
  <c r="AS37" i="75"/>
  <c r="AN99" i="73"/>
  <c r="AM103" i="73"/>
  <c r="AO7" i="75"/>
  <c r="AO14" i="74" s="1"/>
  <c r="AU60" i="65"/>
  <c r="AU64" i="65"/>
  <c r="AU67" i="65"/>
  <c r="AU13" i="65" s="1"/>
  <c r="AU10" i="65"/>
  <c r="AV62" i="65"/>
  <c r="AR30" i="66"/>
  <c r="AR35" i="66" s="1"/>
  <c r="AR18" i="67"/>
  <c r="AR37" i="67"/>
  <c r="AS35" i="67"/>
  <c r="AR37" i="66"/>
  <c r="AV100" i="65"/>
  <c r="AV101" i="65" s="1"/>
  <c r="AQ37" i="66"/>
  <c r="AT140" i="65"/>
  <c r="AT8" i="66"/>
  <c r="AT25" i="67"/>
  <c r="AV97" i="65"/>
  <c r="AT13" i="65"/>
  <c r="AV96" i="65"/>
  <c r="AT11" i="65"/>
  <c r="AU11" i="65"/>
  <c r="AT9" i="65"/>
  <c r="AU53" i="67"/>
  <c r="AT12" i="67"/>
  <c r="AT144" i="65"/>
  <c r="AV8" i="65"/>
  <c r="AS16" i="67"/>
  <c r="AS18" i="67"/>
  <c r="AS30" i="66"/>
  <c r="AV93" i="65"/>
  <c r="AU25" i="67"/>
  <c r="AU8" i="66"/>
  <c r="AU140" i="65"/>
  <c r="AR35" i="58"/>
  <c r="AR35" i="63" s="1"/>
  <c r="AP37" i="58"/>
  <c r="AP37" i="63" s="1"/>
  <c r="AU79" i="56"/>
  <c r="AU79" i="61" s="1"/>
  <c r="AU95" i="56"/>
  <c r="AU95" i="61" s="1"/>
  <c r="AQ35" i="58"/>
  <c r="AQ37" i="58" s="1"/>
  <c r="AQ37" i="63" s="1"/>
  <c r="AV78" i="56"/>
  <c r="AV78" i="61" s="1"/>
  <c r="AU92" i="56"/>
  <c r="AU92" i="61" s="1"/>
  <c r="AU5" i="56"/>
  <c r="AU5" i="61" s="1"/>
  <c r="AT8" i="62"/>
  <c r="AP37" i="57"/>
  <c r="AP37" i="62" s="1"/>
  <c r="AU67" i="61"/>
  <c r="AV67" i="56"/>
  <c r="AR35" i="57"/>
  <c r="AR35" i="62" s="1"/>
  <c r="AR30" i="62"/>
  <c r="AU64" i="61"/>
  <c r="AV64" i="56"/>
  <c r="AU60" i="61"/>
  <c r="AV60" i="56"/>
  <c r="AQ30" i="57"/>
  <c r="AQ22" i="62"/>
  <c r="AP35" i="57"/>
  <c r="AP35" i="62" s="1"/>
  <c r="AP30" i="62"/>
  <c r="AV63" i="56"/>
  <c r="AV63" i="61" s="1"/>
  <c r="AV62" i="61"/>
  <c r="AQ18" i="58"/>
  <c r="AQ18" i="63" s="1"/>
  <c r="AP18" i="63"/>
  <c r="AS16" i="58"/>
  <c r="AS16" i="63" s="1"/>
  <c r="AS9" i="62"/>
  <c r="AQ16" i="58"/>
  <c r="AQ16" i="63" s="1"/>
  <c r="AP16" i="63"/>
  <c r="AU10" i="56"/>
  <c r="AV95" i="56"/>
  <c r="AS18" i="58"/>
  <c r="AS18" i="63" s="1"/>
  <c r="AS30" i="57"/>
  <c r="AT22" i="57"/>
  <c r="AT22" i="62" s="1"/>
  <c r="AT9" i="57"/>
  <c r="AM133" i="44"/>
  <c r="AQ16" i="50"/>
  <c r="AQ30" i="49"/>
  <c r="AP35" i="49"/>
  <c r="AQ18" i="50"/>
  <c r="AT8" i="48"/>
  <c r="AR16" i="50"/>
  <c r="AT10" i="48"/>
  <c r="AR35" i="50"/>
  <c r="AP37" i="50"/>
  <c r="AS13" i="48"/>
  <c r="AJ142" i="48"/>
  <c r="AS9" i="48"/>
  <c r="AR53" i="49"/>
  <c r="AN7" i="50"/>
  <c r="AN14" i="49"/>
  <c r="AU46" i="48"/>
  <c r="AU5" i="48"/>
  <c r="AU62" i="48"/>
  <c r="AV62" i="48" s="1"/>
  <c r="AU59" i="48"/>
  <c r="AM99" i="48"/>
  <c r="AK103" i="48"/>
  <c r="AK105" i="48" s="1"/>
  <c r="AL99" i="48"/>
  <c r="AL103" i="48" s="1"/>
  <c r="AT133" i="48"/>
  <c r="AQ35" i="50"/>
  <c r="AP37" i="49"/>
  <c r="AU79" i="48"/>
  <c r="AU95" i="48"/>
  <c r="AU92" i="48"/>
  <c r="AV78" i="48"/>
  <c r="AM127" i="48"/>
  <c r="AK130" i="48"/>
  <c r="AK131" i="48" s="1"/>
  <c r="AL127" i="48"/>
  <c r="AL130" i="48" s="1"/>
  <c r="AL131" i="48" s="1"/>
  <c r="AK12" i="48"/>
  <c r="AM66" i="48"/>
  <c r="AK70" i="48"/>
  <c r="AK71" i="48" s="1"/>
  <c r="AL66" i="48"/>
  <c r="AL70" i="48" s="1"/>
  <c r="AR18" i="50"/>
  <c r="AR30" i="49"/>
  <c r="Y23" i="48"/>
  <c r="AS25" i="50"/>
  <c r="AS12" i="50"/>
  <c r="AS8" i="49"/>
  <c r="AS140" i="48"/>
  <c r="AS11" i="48"/>
  <c r="AV45" i="48"/>
  <c r="AS53" i="49"/>
  <c r="AT64" i="48"/>
  <c r="AT67" i="48"/>
  <c r="AT60" i="48"/>
  <c r="W30" i="44"/>
  <c r="AV47" i="46"/>
  <c r="AV67" i="45"/>
  <c r="AV22" i="44"/>
  <c r="AT28" i="44"/>
  <c r="AU170" i="44"/>
  <c r="AU14" i="44"/>
  <c r="AV14" i="44"/>
  <c r="AT121" i="44"/>
  <c r="AT120" i="44"/>
  <c r="AV117" i="44"/>
  <c r="AU118" i="44"/>
  <c r="AQ57" i="46"/>
  <c r="AE144" i="44"/>
  <c r="AV129" i="44"/>
  <c r="AU129" i="44"/>
  <c r="AT10" i="46"/>
  <c r="AU10" i="46"/>
  <c r="AU9" i="46"/>
  <c r="AS87" i="44"/>
  <c r="AS85" i="44"/>
  <c r="AO76" i="44"/>
  <c r="AI22" i="45"/>
  <c r="AP54" i="44"/>
  <c r="AP52" i="44"/>
  <c r="AJ64" i="44"/>
  <c r="AO134" i="44"/>
  <c r="AL46" i="44"/>
  <c r="AL45" i="44"/>
  <c r="AJ5" i="44"/>
  <c r="AJ133" i="44" s="1"/>
  <c r="AE30" i="45"/>
  <c r="AE35" i="45"/>
  <c r="AH8" i="45"/>
  <c r="AI15" i="46"/>
  <c r="AE18" i="46"/>
  <c r="AK62" i="44"/>
  <c r="AJ8" i="44"/>
  <c r="AN45" i="44"/>
  <c r="AN43" i="44"/>
  <c r="AH9" i="44"/>
  <c r="AU56" i="45"/>
  <c r="AT56" i="45"/>
  <c r="AH53" i="45"/>
  <c r="AF53" i="45"/>
  <c r="AV40" i="45"/>
  <c r="AU40" i="45"/>
  <c r="AV19" i="46"/>
  <c r="AV26" i="45"/>
  <c r="AU26" i="45"/>
  <c r="AV21" i="46"/>
  <c r="AU21" i="46"/>
  <c r="AV15" i="45"/>
  <c r="AU15" i="45"/>
  <c r="W42" i="45"/>
  <c r="W62" i="45"/>
  <c r="W33" i="44"/>
  <c r="W31" i="44"/>
  <c r="Z17" i="44"/>
  <c r="Z137" i="44" s="1"/>
  <c r="Z141" i="44"/>
  <c r="W148" i="44"/>
  <c r="W55" i="46"/>
  <c r="Y19" i="44"/>
  <c r="Y142" i="44"/>
  <c r="AA70" i="44"/>
  <c r="W147" i="44"/>
  <c r="W34" i="44"/>
  <c r="AB127" i="44"/>
  <c r="AA12" i="44"/>
  <c r="AA131" i="44"/>
  <c r="AA130" i="44"/>
  <c r="AB70" i="44"/>
  <c r="AB66" i="44"/>
  <c r="AP155" i="44"/>
  <c r="AP153" i="44"/>
  <c r="AQ155" i="44"/>
  <c r="AO155" i="44"/>
  <c r="AU35" i="44"/>
  <c r="AT136" i="44"/>
  <c r="AU136" i="44"/>
  <c r="AV17" i="46"/>
  <c r="AK60" i="44"/>
  <c r="AV13" i="45"/>
  <c r="AU83" i="44"/>
  <c r="AJ9" i="44"/>
  <c r="V17" i="45"/>
  <c r="V7" i="45"/>
  <c r="AV16" i="45"/>
  <c r="AU17" i="46"/>
  <c r="AV10" i="45"/>
  <c r="AS50" i="44"/>
  <c r="AM64" i="44"/>
  <c r="AM67" i="44"/>
  <c r="AM60" i="44"/>
  <c r="AR74" i="44"/>
  <c r="AQ74" i="44"/>
  <c r="AN93" i="44"/>
  <c r="AN97" i="44"/>
  <c r="AN100" i="44"/>
  <c r="AM10" i="44"/>
  <c r="AO92" i="44"/>
  <c r="AR57" i="46"/>
  <c r="AM8" i="44"/>
  <c r="AN59" i="44"/>
  <c r="AL59" i="44"/>
  <c r="AJ13" i="44"/>
  <c r="AO30" i="44"/>
  <c r="AS33" i="46"/>
  <c r="AO41" i="44"/>
  <c r="AN57" i="44"/>
  <c r="AO22" i="36"/>
  <c r="V21" i="36"/>
  <c r="AM20" i="39"/>
  <c r="AN25" i="38"/>
  <c r="AO19" i="39"/>
  <c r="AP27" i="38"/>
  <c r="AO16" i="38"/>
  <c r="AO8" i="39" s="1"/>
  <c r="AO13" i="38"/>
  <c r="AS56" i="38"/>
  <c r="AT56" i="38" s="1"/>
  <c r="AN47" i="39"/>
  <c r="AN29" i="39"/>
  <c r="AO28" i="38"/>
  <c r="AN63" i="38"/>
  <c r="U53" i="38"/>
  <c r="U43" i="38"/>
  <c r="AO17" i="39"/>
  <c r="AP10" i="38"/>
  <c r="AN21" i="39"/>
  <c r="AO23" i="38"/>
  <c r="AN71" i="73" l="1"/>
  <c r="AN72" i="73" s="1"/>
  <c r="AK137" i="73"/>
  <c r="AM105" i="73"/>
  <c r="AN17" i="73"/>
  <c r="AN141" i="73" s="1"/>
  <c r="AM17" i="73"/>
  <c r="AA6" i="75"/>
  <c r="AA27" i="73"/>
  <c r="AB143" i="73"/>
  <c r="AB29" i="73"/>
  <c r="AN131" i="73"/>
  <c r="AB25" i="73"/>
  <c r="AL19" i="73"/>
  <c r="AL141" i="73"/>
  <c r="AP7" i="75"/>
  <c r="AP14" i="74"/>
  <c r="AK142" i="73"/>
  <c r="AP127" i="73"/>
  <c r="AO130" i="73"/>
  <c r="AP66" i="73"/>
  <c r="AO12" i="73"/>
  <c r="AO15" i="73" s="1"/>
  <c r="AO70" i="73"/>
  <c r="AQ66" i="73"/>
  <c r="AQ70" i="73" s="1"/>
  <c r="AQ7" i="75"/>
  <c r="AT37" i="74"/>
  <c r="AU35" i="75"/>
  <c r="AU37" i="75" s="1"/>
  <c r="AT37" i="75"/>
  <c r="AM106" i="73"/>
  <c r="AO99" i="73"/>
  <c r="AN103" i="73"/>
  <c r="AU16" i="75"/>
  <c r="AV16" i="75" s="1"/>
  <c r="AV9" i="74"/>
  <c r="AU18" i="75"/>
  <c r="AV18" i="75" s="1"/>
  <c r="AV22" i="74"/>
  <c r="AV30" i="74" s="1"/>
  <c r="AV35" i="74" s="1"/>
  <c r="AU30" i="74"/>
  <c r="AU35" i="74" s="1"/>
  <c r="AV35" i="75"/>
  <c r="AV37" i="75" s="1"/>
  <c r="AQ127" i="73"/>
  <c r="AQ130" i="73" s="1"/>
  <c r="AV60" i="65"/>
  <c r="AU9" i="65"/>
  <c r="AV63" i="65"/>
  <c r="AV11" i="65"/>
  <c r="AV10" i="65"/>
  <c r="AV67" i="65"/>
  <c r="AS37" i="67"/>
  <c r="AV64" i="65"/>
  <c r="AU12" i="67"/>
  <c r="AT35" i="67"/>
  <c r="AV140" i="65"/>
  <c r="AS37" i="66"/>
  <c r="AV13" i="65"/>
  <c r="AT15" i="67"/>
  <c r="AV98" i="65"/>
  <c r="AT22" i="66"/>
  <c r="AT9" i="66"/>
  <c r="AV25" i="67"/>
  <c r="AV56" i="67" s="1"/>
  <c r="AU144" i="65"/>
  <c r="AS35" i="66"/>
  <c r="AU15" i="67"/>
  <c r="AV8" i="66"/>
  <c r="AV94" i="65"/>
  <c r="AR37" i="58"/>
  <c r="AR37" i="63" s="1"/>
  <c r="AS35" i="58"/>
  <c r="AS35" i="63" s="1"/>
  <c r="AU93" i="56"/>
  <c r="AU93" i="61" s="1"/>
  <c r="AV92" i="56"/>
  <c r="AV92" i="61" s="1"/>
  <c r="AU97" i="56"/>
  <c r="AU97" i="61" s="1"/>
  <c r="AU100" i="56"/>
  <c r="AU100" i="61" s="1"/>
  <c r="AU133" i="56"/>
  <c r="AU8" i="56"/>
  <c r="AU8" i="61" s="1"/>
  <c r="AV5" i="56"/>
  <c r="AV8" i="56" s="1"/>
  <c r="AV8" i="61" s="1"/>
  <c r="AQ35" i="63"/>
  <c r="AQ37" i="57"/>
  <c r="AQ37" i="62" s="1"/>
  <c r="AR37" i="57"/>
  <c r="AR37" i="62" s="1"/>
  <c r="AV96" i="56"/>
  <c r="AV96" i="61" s="1"/>
  <c r="AV95" i="61"/>
  <c r="AQ35" i="57"/>
  <c r="AQ35" i="62" s="1"/>
  <c r="AQ30" i="62"/>
  <c r="AV60" i="61"/>
  <c r="AV61" i="56"/>
  <c r="AV61" i="61" s="1"/>
  <c r="AS35" i="57"/>
  <c r="AS35" i="62" s="1"/>
  <c r="AS30" i="62"/>
  <c r="AV65" i="56"/>
  <c r="AV65" i="61" s="1"/>
  <c r="AV64" i="61"/>
  <c r="AT16" i="58"/>
  <c r="AT16" i="63" s="1"/>
  <c r="AT9" i="62"/>
  <c r="AV10" i="56"/>
  <c r="AV10" i="61" s="1"/>
  <c r="AU10" i="61"/>
  <c r="AV68" i="56"/>
  <c r="AV68" i="61" s="1"/>
  <c r="AV67" i="61"/>
  <c r="AU13" i="56"/>
  <c r="AV100" i="56"/>
  <c r="AT18" i="58"/>
  <c r="AT18" i="63" s="1"/>
  <c r="AT30" i="57"/>
  <c r="AS37" i="58"/>
  <c r="AS37" i="63" s="1"/>
  <c r="AT140" i="48"/>
  <c r="AT8" i="49"/>
  <c r="AT12" i="50"/>
  <c r="AQ37" i="50"/>
  <c r="AT25" i="50"/>
  <c r="AQ35" i="49"/>
  <c r="AV95" i="48"/>
  <c r="AS15" i="50"/>
  <c r="AV63" i="48"/>
  <c r="AU10" i="48"/>
  <c r="AT13" i="48"/>
  <c r="AU8" i="48"/>
  <c r="AT11" i="48"/>
  <c r="AR35" i="49"/>
  <c r="AV46" i="48"/>
  <c r="AK72" i="48"/>
  <c r="AL71" i="48"/>
  <c r="AL72" i="48" s="1"/>
  <c r="AN66" i="48"/>
  <c r="AM12" i="48"/>
  <c r="AM70" i="48"/>
  <c r="AK106" i="48"/>
  <c r="AL105" i="48"/>
  <c r="AL106" i="48" s="1"/>
  <c r="AK15" i="48"/>
  <c r="AK17" i="48" s="1"/>
  <c r="AL12" i="48"/>
  <c r="AL15" i="48" s="1"/>
  <c r="AL17" i="48" s="1"/>
  <c r="AN99" i="48"/>
  <c r="AM103" i="48"/>
  <c r="AU64" i="48"/>
  <c r="AU60" i="48"/>
  <c r="AU67" i="48"/>
  <c r="AV59" i="48"/>
  <c r="AT15" i="50"/>
  <c r="AV5" i="48"/>
  <c r="AN127" i="48"/>
  <c r="AM130" i="48"/>
  <c r="AM131" i="48" s="1"/>
  <c r="AS9" i="49"/>
  <c r="AS22" i="49"/>
  <c r="AU133" i="48"/>
  <c r="AU97" i="48"/>
  <c r="AU100" i="48"/>
  <c r="AU93" i="48"/>
  <c r="AV92" i="48"/>
  <c r="AO7" i="50"/>
  <c r="Y24" i="48"/>
  <c r="Y25" i="48"/>
  <c r="AT9" i="48"/>
  <c r="AT53" i="49"/>
  <c r="AR37" i="49"/>
  <c r="AQ37" i="49"/>
  <c r="AS35" i="50"/>
  <c r="AR37" i="50"/>
  <c r="AI16" i="46"/>
  <c r="AU18" i="44"/>
  <c r="AV18" i="44"/>
  <c r="AU172" i="44"/>
  <c r="AU121" i="44"/>
  <c r="AU120" i="44"/>
  <c r="AV118" i="44"/>
  <c r="AF144" i="44"/>
  <c r="AV10" i="46"/>
  <c r="AQ54" i="44"/>
  <c r="AT87" i="44"/>
  <c r="AT85" i="44"/>
  <c r="AP76" i="44"/>
  <c r="AR78" i="44"/>
  <c r="AR76" i="44"/>
  <c r="AO78" i="44"/>
  <c r="AV90" i="44"/>
  <c r="AP90" i="44"/>
  <c r="AI35" i="45"/>
  <c r="AO95" i="44"/>
  <c r="AI18" i="46"/>
  <c r="AO79" i="44"/>
  <c r="AQ6" i="44"/>
  <c r="AP6" i="44"/>
  <c r="AP134" i="44" s="1"/>
  <c r="AI9" i="45"/>
  <c r="AR54" i="44"/>
  <c r="AR52" i="44"/>
  <c r="AK67" i="44"/>
  <c r="AL63" i="44"/>
  <c r="AL62" i="44"/>
  <c r="AJ140" i="44"/>
  <c r="AN46" i="44"/>
  <c r="AK64" i="44"/>
  <c r="AL60" i="44"/>
  <c r="AH9" i="45"/>
  <c r="AJ11" i="44"/>
  <c r="AH22" i="45"/>
  <c r="AJ53" i="45"/>
  <c r="AI53" i="45"/>
  <c r="AV8" i="46"/>
  <c r="AU8" i="46"/>
  <c r="AJ12" i="46"/>
  <c r="W146" i="44"/>
  <c r="W36" i="44"/>
  <c r="AB12" i="44"/>
  <c r="Z19" i="44"/>
  <c r="Z142" i="44"/>
  <c r="AB131" i="44"/>
  <c r="AB130" i="44"/>
  <c r="AA71" i="44"/>
  <c r="AA72" i="44"/>
  <c r="AV35" i="44"/>
  <c r="W12" i="45"/>
  <c r="V12" i="45"/>
  <c r="AP31" i="44"/>
  <c r="AO31" i="44"/>
  <c r="AJ22" i="45"/>
  <c r="AR79" i="44"/>
  <c r="AR95" i="44"/>
  <c r="AR92" i="44"/>
  <c r="AP41" i="44"/>
  <c r="AO57" i="44"/>
  <c r="AS74" i="44"/>
  <c r="AR90" i="44"/>
  <c r="AO97" i="44"/>
  <c r="AO93" i="44"/>
  <c r="AM13" i="44"/>
  <c r="AR6" i="44"/>
  <c r="AV83" i="44"/>
  <c r="AM53" i="45"/>
  <c r="AN60" i="44"/>
  <c r="AT50" i="44"/>
  <c r="AK53" i="45"/>
  <c r="W17" i="45"/>
  <c r="AM25" i="46"/>
  <c r="AM12" i="46"/>
  <c r="AM140" i="44"/>
  <c r="AM11" i="44"/>
  <c r="AS57" i="46"/>
  <c r="V24" i="46"/>
  <c r="W7" i="45"/>
  <c r="AM9" i="44"/>
  <c r="AP30" i="44"/>
  <c r="AT33" i="46"/>
  <c r="AP22" i="36"/>
  <c r="AO47" i="39"/>
  <c r="AO29" i="39"/>
  <c r="AO63" i="38"/>
  <c r="AP28" i="38"/>
  <c r="AN20" i="39"/>
  <c r="AO25" i="38"/>
  <c r="AQ17" i="39"/>
  <c r="AP13" i="38"/>
  <c r="AP19" i="39"/>
  <c r="AQ19" i="39" s="1"/>
  <c r="AR27" i="38"/>
  <c r="AQ27" i="38"/>
  <c r="AP16" i="38"/>
  <c r="AO21" i="39"/>
  <c r="AP23" i="38"/>
  <c r="AP17" i="39"/>
  <c r="AR10" i="38"/>
  <c r="AQ10" i="38"/>
  <c r="AU56" i="38"/>
  <c r="V53" i="38"/>
  <c r="X53" i="38" s="1"/>
  <c r="AM137" i="73" l="1"/>
  <c r="AN19" i="73"/>
  <c r="AO71" i="73"/>
  <c r="AO72" i="73" s="1"/>
  <c r="AN105" i="73"/>
  <c r="AM19" i="73"/>
  <c r="AM141" i="73"/>
  <c r="AB27" i="73"/>
  <c r="AO17" i="73"/>
  <c r="AO141" i="73" s="1"/>
  <c r="AA33" i="73"/>
  <c r="AA32" i="73"/>
  <c r="AN137" i="73"/>
  <c r="AO131" i="73"/>
  <c r="AA22" i="75"/>
  <c r="AB6" i="75"/>
  <c r="AA38" i="74"/>
  <c r="AQ131" i="73"/>
  <c r="AL142" i="73"/>
  <c r="AL65" i="74"/>
  <c r="AU37" i="74"/>
  <c r="AP12" i="73"/>
  <c r="AP70" i="73"/>
  <c r="AP130" i="73"/>
  <c r="AN142" i="73"/>
  <c r="AP99" i="73"/>
  <c r="AO103" i="73"/>
  <c r="AQ99" i="73"/>
  <c r="AQ103" i="73" s="1"/>
  <c r="AQ14" i="74"/>
  <c r="AR7" i="75" s="1"/>
  <c r="AR127" i="73" s="1"/>
  <c r="AV12" i="67"/>
  <c r="AV65" i="65"/>
  <c r="AV68" i="65"/>
  <c r="AU22" i="66"/>
  <c r="AU9" i="66"/>
  <c r="AV61" i="65"/>
  <c r="AV9" i="65"/>
  <c r="AT37" i="67"/>
  <c r="AT37" i="66"/>
  <c r="AU35" i="67"/>
  <c r="AT16" i="67"/>
  <c r="AT18" i="67"/>
  <c r="AT30" i="66"/>
  <c r="AV15" i="67"/>
  <c r="AV93" i="56"/>
  <c r="AV93" i="61" s="1"/>
  <c r="AU9" i="56"/>
  <c r="AU9" i="61" s="1"/>
  <c r="AV97" i="56"/>
  <c r="AT35" i="58"/>
  <c r="AT35" i="63" s="1"/>
  <c r="AU11" i="56"/>
  <c r="AV5" i="61"/>
  <c r="AU12" i="58"/>
  <c r="AU25" i="58"/>
  <c r="AV25" i="58" s="1"/>
  <c r="AU8" i="57"/>
  <c r="AU8" i="62" s="1"/>
  <c r="AU140" i="56"/>
  <c r="AU140" i="61" s="1"/>
  <c r="AS37" i="57"/>
  <c r="AS37" i="62" s="1"/>
  <c r="AV140" i="56"/>
  <c r="AV140" i="61" s="1"/>
  <c r="AV101" i="56"/>
  <c r="AV101" i="61" s="1"/>
  <c r="AV100" i="61"/>
  <c r="AV98" i="56"/>
  <c r="AV98" i="61" s="1"/>
  <c r="AV97" i="61"/>
  <c r="AV11" i="56"/>
  <c r="AV11" i="61" s="1"/>
  <c r="AU11" i="61"/>
  <c r="AV13" i="56"/>
  <c r="AV13" i="61" s="1"/>
  <c r="AU13" i="61"/>
  <c r="AT35" i="57"/>
  <c r="AT35" i="62" s="1"/>
  <c r="AT30" i="62"/>
  <c r="AV12" i="58"/>
  <c r="AV12" i="63" s="1"/>
  <c r="AU12" i="63"/>
  <c r="AV94" i="56"/>
  <c r="AV94" i="61" s="1"/>
  <c r="AU22" i="57"/>
  <c r="AU22" i="62" s="1"/>
  <c r="AU9" i="57"/>
  <c r="AU9" i="62" s="1"/>
  <c r="AV9" i="56"/>
  <c r="AV9" i="61" s="1"/>
  <c r="AU15" i="58"/>
  <c r="AV8" i="57"/>
  <c r="AV8" i="62" s="1"/>
  <c r="AU35" i="58"/>
  <c r="AU35" i="63" s="1"/>
  <c r="AT37" i="58"/>
  <c r="AT37" i="63" s="1"/>
  <c r="AR134" i="44"/>
  <c r="AV96" i="48"/>
  <c r="AM105" i="48"/>
  <c r="AM71" i="48"/>
  <c r="AO14" i="49"/>
  <c r="AV97" i="48"/>
  <c r="AV100" i="48"/>
  <c r="AV8" i="48"/>
  <c r="AV140" i="48" s="1"/>
  <c r="AV10" i="48"/>
  <c r="AU140" i="48"/>
  <c r="AU8" i="49"/>
  <c r="AU12" i="50"/>
  <c r="AS16" i="50"/>
  <c r="AU25" i="50"/>
  <c r="AM106" i="48"/>
  <c r="AU53" i="49"/>
  <c r="AK141" i="48"/>
  <c r="AK19" i="48"/>
  <c r="AM72" i="48"/>
  <c r="AM15" i="48"/>
  <c r="AT35" i="50"/>
  <c r="AS37" i="50"/>
  <c r="AS37" i="49"/>
  <c r="AO66" i="48"/>
  <c r="AN12" i="48"/>
  <c r="AN70" i="48"/>
  <c r="Y6" i="50"/>
  <c r="Y27" i="48"/>
  <c r="AL141" i="48"/>
  <c r="AL19" i="48"/>
  <c r="Y29" i="48"/>
  <c r="Y34" i="48" s="1"/>
  <c r="Y147" i="48" s="1"/>
  <c r="AO99" i="48"/>
  <c r="AN103" i="48"/>
  <c r="AV93" i="48"/>
  <c r="AS18" i="50"/>
  <c r="AS30" i="49"/>
  <c r="AU13" i="48"/>
  <c r="AU9" i="48"/>
  <c r="AV60" i="48"/>
  <c r="AT9" i="49"/>
  <c r="AT22" i="49"/>
  <c r="AU11" i="48"/>
  <c r="AV64" i="48"/>
  <c r="AK137" i="48"/>
  <c r="AV67" i="48"/>
  <c r="AN130" i="48"/>
  <c r="AO127" i="48"/>
  <c r="AU28" i="44"/>
  <c r="AV28" i="44"/>
  <c r="AV121" i="44"/>
  <c r="AV120" i="44"/>
  <c r="AH144" i="44"/>
  <c r="AI30" i="45"/>
  <c r="AU85" i="44"/>
  <c r="AO100" i="44"/>
  <c r="AL61" i="44"/>
  <c r="AS54" i="44"/>
  <c r="AS52" i="44"/>
  <c r="AJ16" i="46"/>
  <c r="AJ9" i="45"/>
  <c r="AJ25" i="46"/>
  <c r="AL65" i="44"/>
  <c r="AL64" i="44"/>
  <c r="AN5" i="44"/>
  <c r="AN133" i="44" s="1"/>
  <c r="AL68" i="44"/>
  <c r="AL67" i="44"/>
  <c r="AN10" i="44"/>
  <c r="AN62" i="44"/>
  <c r="AO45" i="44"/>
  <c r="AO43" i="44"/>
  <c r="AM8" i="45"/>
  <c r="AJ15" i="46"/>
  <c r="AJ8" i="45"/>
  <c r="AN13" i="44"/>
  <c r="AN67" i="44"/>
  <c r="AP45" i="44"/>
  <c r="AP43" i="44"/>
  <c r="AH30" i="45"/>
  <c r="AH35" i="45"/>
  <c r="AN11" i="44"/>
  <c r="AN64" i="44"/>
  <c r="AB72" i="44"/>
  <c r="AB71" i="44"/>
  <c r="W26" i="46"/>
  <c r="V26" i="46"/>
  <c r="AR153" i="44"/>
  <c r="AR155" i="44"/>
  <c r="AJ18" i="46"/>
  <c r="AM22" i="45"/>
  <c r="AR100" i="44"/>
  <c r="AR97" i="44"/>
  <c r="AR93" i="44"/>
  <c r="AU50" i="44"/>
  <c r="AR41" i="44"/>
  <c r="AT74" i="44"/>
  <c r="AS90" i="44"/>
  <c r="AU33" i="46"/>
  <c r="AN9" i="44"/>
  <c r="AT57" i="46"/>
  <c r="AO46" i="44"/>
  <c r="AO5" i="44"/>
  <c r="AR22" i="36"/>
  <c r="Y53" i="38"/>
  <c r="Z53" i="38" s="1"/>
  <c r="AR17" i="39"/>
  <c r="AS10" i="38"/>
  <c r="AR19" i="39"/>
  <c r="AS27" i="38"/>
  <c r="AR16" i="38"/>
  <c r="AR8" i="39" s="1"/>
  <c r="AP47" i="39"/>
  <c r="AP29" i="39"/>
  <c r="AR28" i="38"/>
  <c r="AQ28" i="38"/>
  <c r="AP63" i="38"/>
  <c r="AQ13" i="38"/>
  <c r="AR13" i="38"/>
  <c r="AO20" i="39"/>
  <c r="AP25" i="38"/>
  <c r="AP21" i="39"/>
  <c r="AQ21" i="39" s="1"/>
  <c r="AR23" i="38"/>
  <c r="AQ23" i="38"/>
  <c r="AP8" i="39"/>
  <c r="AQ8" i="39" s="1"/>
  <c r="AQ16" i="38"/>
  <c r="AO19" i="73" l="1"/>
  <c r="AO142" i="73" s="1"/>
  <c r="AP71" i="73"/>
  <c r="AM142" i="73"/>
  <c r="AO105" i="73"/>
  <c r="AN106" i="73"/>
  <c r="AB38" i="74"/>
  <c r="AA41" i="74"/>
  <c r="AA42" i="75"/>
  <c r="AA55" i="75"/>
  <c r="AP131" i="73"/>
  <c r="AA146" i="73"/>
  <c r="AL64" i="74"/>
  <c r="AB22" i="75"/>
  <c r="AB31" i="73"/>
  <c r="AB30" i="73"/>
  <c r="AR130" i="73"/>
  <c r="AR14" i="74"/>
  <c r="AP72" i="73"/>
  <c r="AR66" i="73"/>
  <c r="AP15" i="73"/>
  <c r="AQ12" i="73"/>
  <c r="AQ15" i="73" s="1"/>
  <c r="AQ71" i="73"/>
  <c r="AR99" i="73"/>
  <c r="AP103" i="73"/>
  <c r="AO137" i="73"/>
  <c r="AV37" i="74"/>
  <c r="AU37" i="67"/>
  <c r="AV9" i="66"/>
  <c r="AU30" i="66"/>
  <c r="AV22" i="66"/>
  <c r="AU18" i="67"/>
  <c r="AU16" i="67"/>
  <c r="AV35" i="67"/>
  <c r="AU37" i="66"/>
  <c r="AT35" i="66"/>
  <c r="AV37" i="67"/>
  <c r="AV37" i="66"/>
  <c r="AT37" i="57"/>
  <c r="AT37" i="62" s="1"/>
  <c r="AU25" i="63"/>
  <c r="AV56" i="58"/>
  <c r="AV56" i="63" s="1"/>
  <c r="AV25" i="63"/>
  <c r="AV15" i="58"/>
  <c r="AV15" i="63" s="1"/>
  <c r="AU15" i="63"/>
  <c r="AU37" i="57"/>
  <c r="AU37" i="62" s="1"/>
  <c r="AU37" i="58"/>
  <c r="AU37" i="63" s="1"/>
  <c r="AV35" i="58"/>
  <c r="AU16" i="58"/>
  <c r="AV9" i="57"/>
  <c r="AV9" i="62" s="1"/>
  <c r="AU18" i="58"/>
  <c r="AV22" i="57"/>
  <c r="AU30" i="57"/>
  <c r="AP7" i="50"/>
  <c r="AV101" i="48"/>
  <c r="AV98" i="48"/>
  <c r="AM17" i="48"/>
  <c r="AN105" i="48"/>
  <c r="AN71" i="48"/>
  <c r="AN131" i="48"/>
  <c r="AN15" i="48"/>
  <c r="AV11" i="48"/>
  <c r="AV12" i="50"/>
  <c r="AV25" i="50"/>
  <c r="AV13" i="48"/>
  <c r="AV65" i="48"/>
  <c r="AT16" i="50"/>
  <c r="AV8" i="49"/>
  <c r="AU15" i="50"/>
  <c r="AV9" i="48"/>
  <c r="AV68" i="48"/>
  <c r="AS35" i="49"/>
  <c r="AP66" i="48"/>
  <c r="AO12" i="48"/>
  <c r="AO70" i="48"/>
  <c r="Y22" i="50"/>
  <c r="Y38" i="49"/>
  <c r="AN72" i="48"/>
  <c r="AU35" i="50"/>
  <c r="AT37" i="50"/>
  <c r="AK142" i="48"/>
  <c r="AV94" i="48"/>
  <c r="AM141" i="48"/>
  <c r="AM19" i="48"/>
  <c r="AP127" i="48"/>
  <c r="AO130" i="48"/>
  <c r="AT18" i="50"/>
  <c r="AT30" i="49"/>
  <c r="AL65" i="49"/>
  <c r="AL64" i="49" s="1"/>
  <c r="AL142" i="48"/>
  <c r="AP99" i="48"/>
  <c r="AO103" i="48"/>
  <c r="AV61" i="48"/>
  <c r="AM137" i="48"/>
  <c r="Y32" i="48"/>
  <c r="Y33" i="48"/>
  <c r="Y146" i="48" s="1"/>
  <c r="AU9" i="49"/>
  <c r="AU22" i="49"/>
  <c r="AT37" i="49"/>
  <c r="AI144" i="44"/>
  <c r="AU87" i="44"/>
  <c r="AV87" i="44"/>
  <c r="AS78" i="44"/>
  <c r="AS76" i="44"/>
  <c r="AT54" i="44"/>
  <c r="AT52" i="44"/>
  <c r="AS6" i="44"/>
  <c r="AS134" i="44" s="1"/>
  <c r="AR45" i="44"/>
  <c r="AR43" i="44"/>
  <c r="AV139" i="44"/>
  <c r="AQ41" i="44"/>
  <c r="AN8" i="44"/>
  <c r="AN140" i="44"/>
  <c r="AN12" i="46"/>
  <c r="AN25" i="46"/>
  <c r="AO133" i="44"/>
  <c r="AM9" i="45"/>
  <c r="AP59" i="44"/>
  <c r="AO59" i="44"/>
  <c r="AO62" i="44"/>
  <c r="AV57" i="44"/>
  <c r="AP57" i="44"/>
  <c r="AP46" i="44"/>
  <c r="AO53" i="45"/>
  <c r="AN53" i="45"/>
  <c r="AJ35" i="45"/>
  <c r="AJ30" i="45"/>
  <c r="AS153" i="44"/>
  <c r="AS155" i="44"/>
  <c r="W24" i="46"/>
  <c r="V27" i="46"/>
  <c r="AP53" i="45"/>
  <c r="AS79" i="44"/>
  <c r="AS95" i="44"/>
  <c r="AS92" i="44"/>
  <c r="AV50" i="44"/>
  <c r="AR46" i="44"/>
  <c r="AR62" i="44"/>
  <c r="AR59" i="44"/>
  <c r="AS41" i="44"/>
  <c r="AR57" i="44"/>
  <c r="AU57" i="46"/>
  <c r="AV33" i="46"/>
  <c r="AU74" i="44"/>
  <c r="AT90" i="44"/>
  <c r="AR53" i="45"/>
  <c r="AO64" i="44"/>
  <c r="AP60" i="44"/>
  <c r="AO8" i="44"/>
  <c r="AN22" i="45"/>
  <c r="AS22" i="36"/>
  <c r="AQ29" i="39"/>
  <c r="AP20" i="39"/>
  <c r="AQ25" i="38"/>
  <c r="AR25" i="38"/>
  <c r="AS19" i="39"/>
  <c r="AT27" i="38"/>
  <c r="AS16" i="38"/>
  <c r="AS8" i="39" s="1"/>
  <c r="AA53" i="38"/>
  <c r="AS17" i="39"/>
  <c r="AT10" i="38"/>
  <c r="AQ20" i="39"/>
  <c r="AQ47" i="39"/>
  <c r="AS13" i="38"/>
  <c r="AR47" i="39"/>
  <c r="AR29" i="39"/>
  <c r="AS28" i="38"/>
  <c r="AR63" i="38"/>
  <c r="AR21" i="39"/>
  <c r="AS23" i="38"/>
  <c r="AQ72" i="73" l="1"/>
  <c r="AP105" i="73"/>
  <c r="AB32" i="73"/>
  <c r="AO106" i="73"/>
  <c r="AQ17" i="73"/>
  <c r="AQ141" i="73" s="1"/>
  <c r="AA148" i="73"/>
  <c r="AB42" i="75"/>
  <c r="AP17" i="73"/>
  <c r="AP141" i="73" s="1"/>
  <c r="AR131" i="73"/>
  <c r="AA42" i="74"/>
  <c r="AA62" i="74"/>
  <c r="AB55" i="75"/>
  <c r="AB41" i="74"/>
  <c r="AB33" i="73"/>
  <c r="AB34" i="73"/>
  <c r="AR103" i="73"/>
  <c r="AS7" i="75"/>
  <c r="AS14" i="74"/>
  <c r="AR12" i="73"/>
  <c r="AR70" i="73"/>
  <c r="AP106" i="73"/>
  <c r="AQ105" i="73"/>
  <c r="AV16" i="67"/>
  <c r="AV18" i="67"/>
  <c r="AV30" i="66"/>
  <c r="AU35" i="66"/>
  <c r="AV30" i="57"/>
  <c r="AV22" i="62"/>
  <c r="AU35" i="57"/>
  <c r="AU35" i="62" s="1"/>
  <c r="AU30" i="62"/>
  <c r="AV18" i="58"/>
  <c r="AV18" i="63" s="1"/>
  <c r="AU18" i="63"/>
  <c r="AV16" i="58"/>
  <c r="AV16" i="63" s="1"/>
  <c r="AU16" i="63"/>
  <c r="AV37" i="58"/>
  <c r="AV37" i="63" s="1"/>
  <c r="AV35" i="63"/>
  <c r="AV37" i="57"/>
  <c r="AV37" i="62" s="1"/>
  <c r="AQ7" i="50"/>
  <c r="AP14" i="49"/>
  <c r="AN17" i="48"/>
  <c r="AO105" i="48"/>
  <c r="AO15" i="48"/>
  <c r="AN106" i="48"/>
  <c r="AQ127" i="48"/>
  <c r="AO71" i="48"/>
  <c r="AO131" i="48"/>
  <c r="AV15" i="50"/>
  <c r="AV56" i="50"/>
  <c r="AT35" i="49"/>
  <c r="Y41" i="49"/>
  <c r="AU16" i="50"/>
  <c r="AV9" i="49"/>
  <c r="Y55" i="50"/>
  <c r="Y148" i="48" s="1"/>
  <c r="AU37" i="50"/>
  <c r="AV35" i="50"/>
  <c r="AM142" i="48"/>
  <c r="AP12" i="48"/>
  <c r="AP70" i="48"/>
  <c r="AP130" i="48"/>
  <c r="AP103" i="48"/>
  <c r="AQ66" i="48"/>
  <c r="AU18" i="50"/>
  <c r="AV22" i="49"/>
  <c r="AU30" i="49"/>
  <c r="AU37" i="49"/>
  <c r="AQ99" i="48"/>
  <c r="AJ144" i="44"/>
  <c r="AT78" i="44"/>
  <c r="AT76" i="44"/>
  <c r="AU52" i="44"/>
  <c r="AQ59" i="44"/>
  <c r="AT6" i="44"/>
  <c r="AT134" i="44" s="1"/>
  <c r="AO60" i="44"/>
  <c r="AO67" i="44"/>
  <c r="AS45" i="44"/>
  <c r="AS43" i="44"/>
  <c r="AQ63" i="44"/>
  <c r="AQ62" i="44"/>
  <c r="AO10" i="44"/>
  <c r="AN8" i="45"/>
  <c r="AN15" i="46"/>
  <c r="AP62" i="44"/>
  <c r="AN16" i="46"/>
  <c r="AN9" i="45"/>
  <c r="AP64" i="44"/>
  <c r="AR5" i="44"/>
  <c r="AR133" i="44" s="1"/>
  <c r="AP67" i="44"/>
  <c r="AQ46" i="44"/>
  <c r="AQ45" i="44"/>
  <c r="AM35" i="45"/>
  <c r="AM30" i="45"/>
  <c r="V39" i="46"/>
  <c r="AT153" i="44"/>
  <c r="AR31" i="44"/>
  <c r="W27" i="46"/>
  <c r="AR30" i="44"/>
  <c r="AS97" i="44"/>
  <c r="AS100" i="44"/>
  <c r="AS93" i="44"/>
  <c r="AR64" i="44"/>
  <c r="AR67" i="44"/>
  <c r="AR60" i="44"/>
  <c r="AT79" i="44"/>
  <c r="AT95" i="44"/>
  <c r="AR10" i="44"/>
  <c r="AS57" i="44"/>
  <c r="AS53" i="45"/>
  <c r="AV74" i="44"/>
  <c r="AU90" i="44"/>
  <c r="AV57" i="46"/>
  <c r="AS46" i="44"/>
  <c r="AS59" i="44"/>
  <c r="AO9" i="44"/>
  <c r="AQ60" i="44"/>
  <c r="AN18" i="46"/>
  <c r="AR8" i="44"/>
  <c r="AO140" i="44"/>
  <c r="AU22" i="36"/>
  <c r="AT22" i="36"/>
  <c r="AS47" i="39"/>
  <c r="AS29" i="39"/>
  <c r="AT28" i="38"/>
  <c r="AS63" i="38"/>
  <c r="AR20" i="39"/>
  <c r="AS25" i="38"/>
  <c r="AT19" i="39"/>
  <c r="AU27" i="38"/>
  <c r="AT16" i="38"/>
  <c r="AT8" i="39" s="1"/>
  <c r="AS21" i="39"/>
  <c r="AT23" i="38"/>
  <c r="AT13" i="38"/>
  <c r="AC53" i="38"/>
  <c r="AT17" i="39"/>
  <c r="AU10" i="38"/>
  <c r="AB147" i="73" l="1"/>
  <c r="AQ19" i="73"/>
  <c r="AQ65" i="74" s="1"/>
  <c r="AR71" i="73"/>
  <c r="AR105" i="73"/>
  <c r="AR106" i="73" s="1"/>
  <c r="AQ106" i="73"/>
  <c r="AB42" i="74"/>
  <c r="AB148" i="73"/>
  <c r="AB44" i="75"/>
  <c r="AA12" i="74"/>
  <c r="AA7" i="74"/>
  <c r="AA17" i="74"/>
  <c r="AP137" i="73"/>
  <c r="AB146" i="73"/>
  <c r="AB36" i="73"/>
  <c r="AP19" i="73"/>
  <c r="AR15" i="73"/>
  <c r="AT7" i="75"/>
  <c r="AT14" i="74"/>
  <c r="AR72" i="73"/>
  <c r="AS99" i="73"/>
  <c r="AS66" i="73"/>
  <c r="AS127" i="73"/>
  <c r="AV35" i="66"/>
  <c r="AV35" i="57"/>
  <c r="AV35" i="62" s="1"/>
  <c r="AV30" i="62"/>
  <c r="AQ14" i="49"/>
  <c r="AO72" i="48"/>
  <c r="AQ70" i="48"/>
  <c r="AQ130" i="48"/>
  <c r="AO17" i="48"/>
  <c r="AO137" i="48" s="1"/>
  <c r="AQ103" i="48"/>
  <c r="AP105" i="48"/>
  <c r="AP131" i="48"/>
  <c r="AO106" i="48"/>
  <c r="AP71" i="48"/>
  <c r="AN141" i="48"/>
  <c r="AN137" i="48"/>
  <c r="AN19" i="48"/>
  <c r="AV30" i="49"/>
  <c r="AV18" i="50"/>
  <c r="AV16" i="50"/>
  <c r="AV37" i="50"/>
  <c r="AU35" i="49"/>
  <c r="AP72" i="48"/>
  <c r="AQ71" i="48"/>
  <c r="AP15" i="48"/>
  <c r="AQ12" i="48"/>
  <c r="Y42" i="49"/>
  <c r="Y62" i="49"/>
  <c r="AV37" i="49"/>
  <c r="AK144" i="44"/>
  <c r="AU76" i="44"/>
  <c r="AT92" i="44"/>
  <c r="AV6" i="44"/>
  <c r="AU6" i="44"/>
  <c r="AV54" i="44"/>
  <c r="AU54" i="44"/>
  <c r="AU134" i="44" s="1"/>
  <c r="AO25" i="46"/>
  <c r="AQ68" i="44"/>
  <c r="AQ67" i="44"/>
  <c r="AT41" i="44"/>
  <c r="AQ65" i="44"/>
  <c r="AQ64" i="44"/>
  <c r="AO11" i="44"/>
  <c r="AS8" i="44"/>
  <c r="AS5" i="44"/>
  <c r="AS133" i="44" s="1"/>
  <c r="AO13" i="44"/>
  <c r="AO15" i="46"/>
  <c r="AO8" i="45"/>
  <c r="AS10" i="44"/>
  <c r="AS62" i="44"/>
  <c r="AN35" i="45"/>
  <c r="AN30" i="45"/>
  <c r="AO12" i="46"/>
  <c r="AS31" i="44"/>
  <c r="AT155" i="44"/>
  <c r="AS30" i="44"/>
  <c r="W39" i="46"/>
  <c r="AU155" i="44"/>
  <c r="AU153" i="44"/>
  <c r="V41" i="46"/>
  <c r="AT53" i="45"/>
  <c r="AR13" i="44"/>
  <c r="AQ61" i="44"/>
  <c r="AR11" i="44"/>
  <c r="AT57" i="44"/>
  <c r="AR25" i="46"/>
  <c r="AR12" i="46"/>
  <c r="AR140" i="44"/>
  <c r="AR9" i="44"/>
  <c r="AS60" i="44"/>
  <c r="AO22" i="45"/>
  <c r="AS20" i="39"/>
  <c r="AT25" i="38"/>
  <c r="AD53" i="38"/>
  <c r="AE53" i="38" s="1"/>
  <c r="AU19" i="39"/>
  <c r="AV19" i="39" s="1"/>
  <c r="AV27" i="38"/>
  <c r="AU16" i="38"/>
  <c r="AT47" i="39"/>
  <c r="AT29" i="39"/>
  <c r="AU28" i="38"/>
  <c r="AT63" i="38"/>
  <c r="AU13" i="38"/>
  <c r="AU17" i="39"/>
  <c r="AV17" i="39" s="1"/>
  <c r="AV10" i="38"/>
  <c r="AT21" i="39"/>
  <c r="AU23" i="38"/>
  <c r="AQ142" i="73" l="1"/>
  <c r="AR17" i="73"/>
  <c r="AR137" i="73" s="1"/>
  <c r="AP142" i="73"/>
  <c r="AB17" i="74"/>
  <c r="AA26" i="75"/>
  <c r="AB12" i="74"/>
  <c r="AQ64" i="74"/>
  <c r="AA24" i="75"/>
  <c r="AB7" i="74"/>
  <c r="AU7" i="75"/>
  <c r="AV7" i="75" s="1"/>
  <c r="AU14" i="74"/>
  <c r="AV14" i="74" s="1"/>
  <c r="AT127" i="73"/>
  <c r="AS130" i="73"/>
  <c r="AT66" i="73"/>
  <c r="AS12" i="73"/>
  <c r="AS70" i="73"/>
  <c r="AT99" i="73"/>
  <c r="AS103" i="73"/>
  <c r="AR7" i="50"/>
  <c r="AP106" i="48"/>
  <c r="AO141" i="48"/>
  <c r="AO19" i="48"/>
  <c r="AP17" i="48"/>
  <c r="AN142" i="48"/>
  <c r="AQ105" i="48"/>
  <c r="AQ131" i="48"/>
  <c r="AQ15" i="48"/>
  <c r="AQ72" i="48"/>
  <c r="AV35" i="49"/>
  <c r="Y7" i="49"/>
  <c r="Y12" i="49"/>
  <c r="Y17" i="49"/>
  <c r="AM144" i="44"/>
  <c r="AS12" i="46"/>
  <c r="AS25" i="46"/>
  <c r="AS140" i="44"/>
  <c r="AT93" i="44"/>
  <c r="AT100" i="44"/>
  <c r="AT97" i="44"/>
  <c r="AT43" i="44"/>
  <c r="AO16" i="46"/>
  <c r="AO9" i="45"/>
  <c r="AR8" i="45"/>
  <c r="AS15" i="46"/>
  <c r="AS8" i="45"/>
  <c r="AU41" i="44"/>
  <c r="AS13" i="44"/>
  <c r="AS67" i="44"/>
  <c r="AS11" i="44"/>
  <c r="AS64" i="44"/>
  <c r="W41" i="46"/>
  <c r="X40" i="46"/>
  <c r="AB40" i="46"/>
  <c r="V6" i="45"/>
  <c r="AV155" i="44"/>
  <c r="AU30" i="44"/>
  <c r="AT30" i="44"/>
  <c r="AU31" i="44"/>
  <c r="AT31" i="44"/>
  <c r="AR22" i="45"/>
  <c r="AV41" i="44"/>
  <c r="AU57" i="44"/>
  <c r="AO18" i="46"/>
  <c r="AS9" i="44"/>
  <c r="AU53" i="45"/>
  <c r="AF53" i="38"/>
  <c r="AH53" i="38" s="1"/>
  <c r="AT20" i="39"/>
  <c r="AU25" i="38"/>
  <c r="AU21" i="39"/>
  <c r="AV21" i="39" s="1"/>
  <c r="AV23" i="38"/>
  <c r="AU29" i="39"/>
  <c r="AV28" i="38"/>
  <c r="AU47" i="39"/>
  <c r="AU63" i="38"/>
  <c r="AU8" i="39"/>
  <c r="AV8" i="39" s="1"/>
  <c r="AV16" i="38"/>
  <c r="AV13" i="38"/>
  <c r="AR19" i="73" l="1"/>
  <c r="AR142" i="73" s="1"/>
  <c r="AR141" i="73"/>
  <c r="AS71" i="73"/>
  <c r="AS105" i="73"/>
  <c r="AB24" i="75"/>
  <c r="AA27" i="75"/>
  <c r="AB26" i="75"/>
  <c r="AS131" i="73"/>
  <c r="AS15" i="73"/>
  <c r="AU127" i="73"/>
  <c r="AT130" i="73"/>
  <c r="AT12" i="73"/>
  <c r="AT15" i="73" s="1"/>
  <c r="AU66" i="73"/>
  <c r="AT70" i="73"/>
  <c r="AS106" i="73"/>
  <c r="AS72" i="73"/>
  <c r="AU99" i="73"/>
  <c r="AT103" i="73"/>
  <c r="AR66" i="48"/>
  <c r="AR127" i="48"/>
  <c r="AR99" i="48"/>
  <c r="AR14" i="49"/>
  <c r="AO142" i="48"/>
  <c r="AP137" i="48"/>
  <c r="AP19" i="48"/>
  <c r="AQ106" i="48"/>
  <c r="AP141" i="48"/>
  <c r="AQ17" i="48"/>
  <c r="Y26" i="50"/>
  <c r="Y24" i="50"/>
  <c r="AN144" i="44"/>
  <c r="AU43" i="44"/>
  <c r="AT45" i="44"/>
  <c r="AT46" i="44"/>
  <c r="AR9" i="45"/>
  <c r="AO35" i="45"/>
  <c r="AO30" i="45"/>
  <c r="V11" i="45"/>
  <c r="X21" i="44"/>
  <c r="W6" i="45"/>
  <c r="V48" i="46"/>
  <c r="V46" i="46"/>
  <c r="AS22" i="45"/>
  <c r="AI53" i="38"/>
  <c r="AU20" i="39"/>
  <c r="AV25" i="38"/>
  <c r="AV20" i="39"/>
  <c r="AJ53" i="38"/>
  <c r="AK53" i="38" s="1"/>
  <c r="AV47" i="39"/>
  <c r="AV29" i="39"/>
  <c r="AT71" i="73" l="1"/>
  <c r="AT72" i="73" s="1"/>
  <c r="AT105" i="73"/>
  <c r="AS17" i="73"/>
  <c r="AA39" i="75"/>
  <c r="AT17" i="73"/>
  <c r="AB27" i="75"/>
  <c r="AT131" i="73"/>
  <c r="AS137" i="73"/>
  <c r="AT141" i="73"/>
  <c r="AU130" i="73"/>
  <c r="AV127" i="73"/>
  <c r="AV130" i="73" s="1"/>
  <c r="AS141" i="73"/>
  <c r="AS19" i="73"/>
  <c r="AU103" i="73"/>
  <c r="AV99" i="73"/>
  <c r="AV103" i="73" s="1"/>
  <c r="AU12" i="73"/>
  <c r="AU15" i="73" s="1"/>
  <c r="AU70" i="73"/>
  <c r="AV66" i="73"/>
  <c r="AV70" i="73" s="1"/>
  <c r="AS7" i="50"/>
  <c r="AR103" i="48"/>
  <c r="AR130" i="48"/>
  <c r="AR70" i="48"/>
  <c r="AR12" i="48"/>
  <c r="AQ141" i="48"/>
  <c r="AQ19" i="48"/>
  <c r="AP142" i="48"/>
  <c r="Y27" i="50"/>
  <c r="Y39" i="50" s="1"/>
  <c r="Y41" i="50" s="1"/>
  <c r="AO144" i="44"/>
  <c r="AT62" i="44"/>
  <c r="AT5" i="44"/>
  <c r="AT133" i="44" s="1"/>
  <c r="AT59" i="44"/>
  <c r="AU45" i="44"/>
  <c r="AU46" i="44"/>
  <c r="AS16" i="46"/>
  <c r="AS9" i="45"/>
  <c r="AR35" i="45"/>
  <c r="AR30" i="45"/>
  <c r="W48" i="46"/>
  <c r="W46" i="46"/>
  <c r="W11" i="45"/>
  <c r="X23" i="44"/>
  <c r="V43" i="45"/>
  <c r="V20" i="45"/>
  <c r="AS18" i="46"/>
  <c r="AM53" i="38"/>
  <c r="AU71" i="73" l="1"/>
  <c r="AT137" i="73"/>
  <c r="AT19" i="73"/>
  <c r="AU105" i="73"/>
  <c r="AT106" i="73"/>
  <c r="AB39" i="75"/>
  <c r="AA41" i="75"/>
  <c r="AU17" i="73"/>
  <c r="AV131" i="73"/>
  <c r="AU131" i="73"/>
  <c r="AV12" i="73"/>
  <c r="AV15" i="73" s="1"/>
  <c r="AU106" i="73"/>
  <c r="AV105" i="73"/>
  <c r="AS142" i="73"/>
  <c r="AT142" i="73"/>
  <c r="AU72" i="73"/>
  <c r="AV71" i="73"/>
  <c r="AR105" i="48"/>
  <c r="AR15" i="48"/>
  <c r="AR131" i="48"/>
  <c r="AR71" i="48"/>
  <c r="AS14" i="49"/>
  <c r="AS99" i="48"/>
  <c r="AS127" i="48"/>
  <c r="AS66" i="48"/>
  <c r="AQ142" i="48"/>
  <c r="AQ65" i="49"/>
  <c r="Z40" i="50"/>
  <c r="Y6" i="49"/>
  <c r="AP144" i="44"/>
  <c r="AU59" i="44"/>
  <c r="AT67" i="44"/>
  <c r="AT8" i="44"/>
  <c r="AT140" i="44"/>
  <c r="AT25" i="46"/>
  <c r="AT60" i="44"/>
  <c r="AV62" i="44"/>
  <c r="AV63" i="44"/>
  <c r="AV46" i="44"/>
  <c r="AV45" i="44"/>
  <c r="AT10" i="44"/>
  <c r="AV59" i="44"/>
  <c r="AT11" i="44"/>
  <c r="AT64" i="44"/>
  <c r="AU62" i="44"/>
  <c r="AS35" i="45"/>
  <c r="AS30" i="45"/>
  <c r="X24" i="44"/>
  <c r="W43" i="45"/>
  <c r="W20" i="45"/>
  <c r="AN53" i="38"/>
  <c r="AU19" i="73" l="1"/>
  <c r="AU142" i="73" s="1"/>
  <c r="AU141" i="73"/>
  <c r="AV72" i="73"/>
  <c r="AV106" i="73"/>
  <c r="AA6" i="74"/>
  <c r="AU137" i="73"/>
  <c r="AV17" i="73"/>
  <c r="AB41" i="75"/>
  <c r="AV141" i="73"/>
  <c r="AV19" i="73"/>
  <c r="AS70" i="48"/>
  <c r="AS12" i="48"/>
  <c r="AR17" i="48"/>
  <c r="AS130" i="48"/>
  <c r="AR72" i="48"/>
  <c r="AR137" i="48"/>
  <c r="AT7" i="50"/>
  <c r="AR106" i="48"/>
  <c r="AS103" i="48"/>
  <c r="AQ64" i="49"/>
  <c r="Y46" i="50"/>
  <c r="Y48" i="50" s="1"/>
  <c r="Y11" i="49"/>
  <c r="Y20" i="49" s="1"/>
  <c r="Y43" i="49" s="1"/>
  <c r="Z21" i="48"/>
  <c r="AR144" i="44"/>
  <c r="AT9" i="44"/>
  <c r="AU64" i="44"/>
  <c r="AT13" i="44"/>
  <c r="AU60" i="44"/>
  <c r="AT8" i="45"/>
  <c r="AU67" i="44"/>
  <c r="AT12" i="46"/>
  <c r="AV68" i="44"/>
  <c r="AV67" i="44"/>
  <c r="X25" i="44"/>
  <c r="X29" i="44"/>
  <c r="AO53" i="38"/>
  <c r="AG40" i="75" l="1"/>
  <c r="AC40" i="75"/>
  <c r="AA11" i="74"/>
  <c r="AA46" i="75"/>
  <c r="AB6" i="74"/>
  <c r="AC21" i="73"/>
  <c r="AV65" i="74"/>
  <c r="AV142" i="73"/>
  <c r="AT14" i="49"/>
  <c r="AR19" i="48"/>
  <c r="AR141" i="48"/>
  <c r="AU7" i="50"/>
  <c r="AU14" i="49"/>
  <c r="AT99" i="48"/>
  <c r="AS15" i="48"/>
  <c r="AS131" i="48"/>
  <c r="AS105" i="48"/>
  <c r="AT66" i="48"/>
  <c r="AT127" i="48"/>
  <c r="AS71" i="48"/>
  <c r="Z23" i="48"/>
  <c r="AS144" i="44"/>
  <c r="AT15" i="46"/>
  <c r="AT16" i="46"/>
  <c r="AT9" i="45"/>
  <c r="AV65" i="44"/>
  <c r="AV64" i="44"/>
  <c r="AV60" i="44"/>
  <c r="AV61" i="44"/>
  <c r="AT22" i="45"/>
  <c r="AT18" i="46"/>
  <c r="X147" i="44"/>
  <c r="X34" i="44"/>
  <c r="X6" i="46"/>
  <c r="X27" i="44"/>
  <c r="X32" i="44"/>
  <c r="AP53" i="38"/>
  <c r="AR53" i="38" s="1"/>
  <c r="AV64" i="74" l="1"/>
  <c r="AA48" i="75"/>
  <c r="AB46" i="75"/>
  <c r="AB11" i="74"/>
  <c r="AC23" i="73"/>
  <c r="AA20" i="74"/>
  <c r="AV7" i="50"/>
  <c r="AV14" i="49"/>
  <c r="AU127" i="48"/>
  <c r="AT130" i="48"/>
  <c r="AV127" i="48"/>
  <c r="AS106" i="48"/>
  <c r="AT12" i="48"/>
  <c r="AT70" i="48"/>
  <c r="AU66" i="48"/>
  <c r="AV66" i="48" s="1"/>
  <c r="AS17" i="48"/>
  <c r="AT103" i="48"/>
  <c r="AU99" i="48"/>
  <c r="AV99" i="48" s="1"/>
  <c r="AS72" i="48"/>
  <c r="AR142" i="48"/>
  <c r="Z24" i="48"/>
  <c r="AU144" i="44"/>
  <c r="AT144" i="44"/>
  <c r="AT30" i="45"/>
  <c r="AT35" i="45"/>
  <c r="X146" i="44"/>
  <c r="X33" i="44"/>
  <c r="X22" i="46"/>
  <c r="X38" i="45"/>
  <c r="AS53" i="38"/>
  <c r="AT53" i="38"/>
  <c r="AU53" i="38" s="1"/>
  <c r="AC24" i="73" l="1"/>
  <c r="AC25" i="73" s="1"/>
  <c r="AB20" i="74"/>
  <c r="AA43" i="74"/>
  <c r="AB48" i="75"/>
  <c r="AS19" i="48"/>
  <c r="AS141" i="48"/>
  <c r="AT71" i="48"/>
  <c r="AT105" i="48"/>
  <c r="AT131" i="48"/>
  <c r="AU130" i="48"/>
  <c r="AU12" i="48"/>
  <c r="AU70" i="48"/>
  <c r="AT15" i="48"/>
  <c r="AV130" i="48"/>
  <c r="AV103" i="48"/>
  <c r="AS137" i="48"/>
  <c r="AV70" i="48"/>
  <c r="AU103" i="48"/>
  <c r="Z29" i="48"/>
  <c r="Z34" i="48" s="1"/>
  <c r="Z147" i="48" s="1"/>
  <c r="Z25" i="48"/>
  <c r="X41" i="45"/>
  <c r="X62" i="45"/>
  <c r="X148" i="44"/>
  <c r="X55" i="46"/>
  <c r="AR167" i="36"/>
  <c r="AR166" i="36"/>
  <c r="AR164" i="36"/>
  <c r="AM167" i="36"/>
  <c r="AM166" i="36"/>
  <c r="AM164" i="36"/>
  <c r="AH167" i="36"/>
  <c r="AH166" i="36"/>
  <c r="AH164" i="36"/>
  <c r="AC167" i="36"/>
  <c r="AC166" i="36"/>
  <c r="AC164" i="36"/>
  <c r="X164" i="36"/>
  <c r="X165" i="36"/>
  <c r="Y165" i="36" s="1"/>
  <c r="Z165" i="36" s="1"/>
  <c r="AA165" i="36" s="1"/>
  <c r="AC165" i="36" s="1"/>
  <c r="AD165" i="36" s="1"/>
  <c r="AE165" i="36" s="1"/>
  <c r="AF165" i="36" s="1"/>
  <c r="AH165" i="36" s="1"/>
  <c r="AI165" i="36" s="1"/>
  <c r="AJ165" i="36" s="1"/>
  <c r="AK165" i="36" s="1"/>
  <c r="AM165" i="36" s="1"/>
  <c r="AN165" i="36" s="1"/>
  <c r="AO165" i="36" s="1"/>
  <c r="AP165" i="36" s="1"/>
  <c r="AR165" i="36" s="1"/>
  <c r="AS165" i="36" s="1"/>
  <c r="AT165" i="36" s="1"/>
  <c r="AU165" i="36" s="1"/>
  <c r="X166" i="36"/>
  <c r="X167" i="36"/>
  <c r="V119" i="36"/>
  <c r="X119" i="36" s="1"/>
  <c r="Y119" i="36" s="1"/>
  <c r="Z119" i="36" s="1"/>
  <c r="AA119" i="36" s="1"/>
  <c r="AC119" i="36" s="1"/>
  <c r="AD119" i="36" s="1"/>
  <c r="AE119" i="36" s="1"/>
  <c r="AF119" i="36" s="1"/>
  <c r="AH119" i="36" s="1"/>
  <c r="AI119" i="36" s="1"/>
  <c r="AJ119" i="36" s="1"/>
  <c r="AK119" i="36" s="1"/>
  <c r="AM119" i="36" s="1"/>
  <c r="AN119" i="36" s="1"/>
  <c r="AO119" i="36" s="1"/>
  <c r="AP119" i="36" s="1"/>
  <c r="AR119" i="36" s="1"/>
  <c r="AS119" i="36" s="1"/>
  <c r="AT119" i="36" s="1"/>
  <c r="AU119" i="36" s="1"/>
  <c r="AU91" i="36"/>
  <c r="AT91" i="36"/>
  <c r="AS91" i="36"/>
  <c r="AR91" i="36"/>
  <c r="AP91" i="36"/>
  <c r="AO91" i="36"/>
  <c r="AN91" i="36"/>
  <c r="AM91" i="36"/>
  <c r="AK91" i="36"/>
  <c r="AJ91" i="36"/>
  <c r="AI91" i="36"/>
  <c r="AH91" i="36"/>
  <c r="AF91" i="36"/>
  <c r="AE91" i="36"/>
  <c r="AD91" i="36"/>
  <c r="AC91" i="36"/>
  <c r="AU58" i="36"/>
  <c r="AT58" i="36"/>
  <c r="AS58" i="36"/>
  <c r="AR58" i="36"/>
  <c r="AP58" i="36"/>
  <c r="AO58" i="36"/>
  <c r="AN58" i="36"/>
  <c r="AM58" i="36"/>
  <c r="AK58" i="36"/>
  <c r="AJ58" i="36"/>
  <c r="AI58" i="36"/>
  <c r="AH58" i="36"/>
  <c r="AF58" i="36"/>
  <c r="AE58" i="36"/>
  <c r="AD58" i="36"/>
  <c r="AC58" i="36"/>
  <c r="AV22" i="36"/>
  <c r="AQ22" i="36"/>
  <c r="AL22" i="36"/>
  <c r="AG22" i="36"/>
  <c r="AB43" i="74" l="1"/>
  <c r="AC6" i="75"/>
  <c r="AC27" i="73"/>
  <c r="AC29" i="73"/>
  <c r="AC34" i="73" s="1"/>
  <c r="AC147" i="73" s="1"/>
  <c r="AU131" i="48"/>
  <c r="AU15" i="48"/>
  <c r="AT72" i="48"/>
  <c r="AU105" i="48"/>
  <c r="AV131" i="48"/>
  <c r="AU71" i="48"/>
  <c r="AT17" i="48"/>
  <c r="AT106" i="48"/>
  <c r="AV12" i="48"/>
  <c r="AS142" i="48"/>
  <c r="Z6" i="50"/>
  <c r="Z27" i="48"/>
  <c r="X42" i="45"/>
  <c r="X12" i="45"/>
  <c r="X129" i="36"/>
  <c r="X102" i="36"/>
  <c r="Y102" i="36" s="1"/>
  <c r="S152" i="36"/>
  <c r="S151" i="36"/>
  <c r="T151" i="36"/>
  <c r="T152" i="36"/>
  <c r="AC32" i="73" l="1"/>
  <c r="AC33" i="73"/>
  <c r="AC38" i="74"/>
  <c r="AC22" i="75"/>
  <c r="AU72" i="48"/>
  <c r="AV105" i="48"/>
  <c r="AU106" i="48"/>
  <c r="AU17" i="48"/>
  <c r="AT141" i="48"/>
  <c r="AT19" i="48"/>
  <c r="AT137" i="48"/>
  <c r="AV71" i="48"/>
  <c r="AV15" i="48"/>
  <c r="Z32" i="48"/>
  <c r="Z33" i="48"/>
  <c r="Z146" i="48" s="1"/>
  <c r="Z22" i="50"/>
  <c r="Z38" i="49"/>
  <c r="X17" i="45"/>
  <c r="X26" i="46"/>
  <c r="X7" i="45"/>
  <c r="Z163" i="36"/>
  <c r="Y129" i="36"/>
  <c r="Z129" i="36" s="1"/>
  <c r="T154" i="36"/>
  <c r="S154" i="36"/>
  <c r="U172" i="36"/>
  <c r="U124" i="36"/>
  <c r="U116" i="36"/>
  <c r="U113" i="36"/>
  <c r="U111" i="36"/>
  <c r="U109" i="36"/>
  <c r="U96" i="36"/>
  <c r="U89" i="36"/>
  <c r="U63" i="36"/>
  <c r="U58" i="36"/>
  <c r="U56" i="36"/>
  <c r="T79" i="36"/>
  <c r="S79" i="36"/>
  <c r="Q79" i="36"/>
  <c r="P79" i="36"/>
  <c r="O79" i="36"/>
  <c r="N79" i="36"/>
  <c r="L79" i="36"/>
  <c r="K79" i="36"/>
  <c r="J79" i="36"/>
  <c r="I79" i="36"/>
  <c r="N76" i="36"/>
  <c r="N77" i="36" s="1"/>
  <c r="I76" i="36"/>
  <c r="I77" i="36" s="1"/>
  <c r="L76" i="36"/>
  <c r="L77" i="36" s="1"/>
  <c r="K76" i="36"/>
  <c r="K77" i="36" s="1"/>
  <c r="J76" i="36"/>
  <c r="J77" i="36" s="1"/>
  <c r="F76" i="36"/>
  <c r="F77" i="36" s="1"/>
  <c r="G76" i="36"/>
  <c r="G77" i="36" s="1"/>
  <c r="E76" i="36"/>
  <c r="E77" i="36" s="1"/>
  <c r="G43" i="36"/>
  <c r="G44" i="36" s="1"/>
  <c r="F43" i="36"/>
  <c r="F44" i="36" s="1"/>
  <c r="E43" i="36"/>
  <c r="E44" i="36" s="1"/>
  <c r="L43" i="36"/>
  <c r="L44" i="36" s="1"/>
  <c r="K43" i="36"/>
  <c r="K44" i="36" s="1"/>
  <c r="J43" i="36"/>
  <c r="J44" i="36" s="1"/>
  <c r="I43" i="36"/>
  <c r="I44" i="36" s="1"/>
  <c r="N43" i="36"/>
  <c r="N44" i="36" s="1"/>
  <c r="T46" i="36"/>
  <c r="S46" i="36"/>
  <c r="Q46" i="36"/>
  <c r="P46" i="36"/>
  <c r="O46" i="36"/>
  <c r="N46" i="36"/>
  <c r="J46" i="36"/>
  <c r="K46" i="36"/>
  <c r="L46" i="36"/>
  <c r="I46" i="36"/>
  <c r="AV154" i="36"/>
  <c r="AV20" i="36"/>
  <c r="T172" i="36"/>
  <c r="T171" i="36"/>
  <c r="S165" i="36"/>
  <c r="T124" i="36"/>
  <c r="S124" i="36"/>
  <c r="T116" i="36"/>
  <c r="S116" i="36"/>
  <c r="T113" i="36"/>
  <c r="S113" i="36"/>
  <c r="T111" i="36"/>
  <c r="S111" i="36"/>
  <c r="T109" i="36"/>
  <c r="S109" i="36"/>
  <c r="T96" i="36"/>
  <c r="S96" i="36"/>
  <c r="T89" i="36"/>
  <c r="S89" i="36"/>
  <c r="T63" i="36"/>
  <c r="S63" i="36"/>
  <c r="T56" i="36"/>
  <c r="S56" i="36"/>
  <c r="S70" i="36"/>
  <c r="V154" i="36"/>
  <c r="AC41" i="74" l="1"/>
  <c r="AC146" i="73"/>
  <c r="AC42" i="75"/>
  <c r="AC55" i="75"/>
  <c r="AT142" i="48"/>
  <c r="AU141" i="48"/>
  <c r="AU19" i="48"/>
  <c r="AV106" i="48"/>
  <c r="AV72" i="48"/>
  <c r="AU137" i="48"/>
  <c r="AV17" i="48"/>
  <c r="Z41" i="49"/>
  <c r="Z55" i="50"/>
  <c r="Z148" i="48" s="1"/>
  <c r="X24" i="46"/>
  <c r="X113" i="36"/>
  <c r="Y113" i="36"/>
  <c r="Y111" i="36"/>
  <c r="Z111" i="36"/>
  <c r="Z113" i="36"/>
  <c r="Y116" i="36"/>
  <c r="Z116" i="36"/>
  <c r="U187" i="36"/>
  <c r="U181" i="36"/>
  <c r="Z96" i="36"/>
  <c r="X96" i="36"/>
  <c r="Y96" i="36"/>
  <c r="X116" i="36"/>
  <c r="X111" i="36"/>
  <c r="Z117" i="36"/>
  <c r="Z69" i="36"/>
  <c r="AA163" i="36"/>
  <c r="AC163" i="36" s="1"/>
  <c r="Z102" i="36"/>
  <c r="AA102" i="36" s="1"/>
  <c r="W154" i="36"/>
  <c r="V34" i="39"/>
  <c r="W34" i="39" s="1"/>
  <c r="Q172" i="36"/>
  <c r="Q171" i="36"/>
  <c r="Q8" i="36"/>
  <c r="Q15" i="36"/>
  <c r="Q168" i="36"/>
  <c r="Q170" i="36" s="1"/>
  <c r="Q18" i="36" s="1"/>
  <c r="R5" i="36"/>
  <c r="R6" i="36"/>
  <c r="R7" i="36"/>
  <c r="R10" i="36"/>
  <c r="R11" i="36"/>
  <c r="R12" i="36"/>
  <c r="R13" i="36"/>
  <c r="R14" i="36"/>
  <c r="R9" i="36"/>
  <c r="R16" i="36"/>
  <c r="R20" i="36"/>
  <c r="R21" i="36"/>
  <c r="R22" i="36"/>
  <c r="R24" i="36"/>
  <c r="T26" i="36"/>
  <c r="V26" i="36" s="1"/>
  <c r="W26" i="36" s="1"/>
  <c r="O124" i="36"/>
  <c r="P124" i="36"/>
  <c r="Q124" i="36"/>
  <c r="Q116" i="36"/>
  <c r="Q113" i="36"/>
  <c r="Q111" i="36"/>
  <c r="Q109" i="36"/>
  <c r="Q103" i="36"/>
  <c r="Q96" i="36"/>
  <c r="Q89" i="36"/>
  <c r="Q63" i="36"/>
  <c r="Q56" i="36"/>
  <c r="P15" i="36"/>
  <c r="V55" i="36"/>
  <c r="AA55" i="36" s="1"/>
  <c r="AF55" i="36" s="1"/>
  <c r="AK55" i="36" s="1"/>
  <c r="AP55" i="36" s="1"/>
  <c r="AU55" i="36" s="1"/>
  <c r="V88" i="36"/>
  <c r="AA88" i="36" s="1"/>
  <c r="AF88" i="36" s="1"/>
  <c r="V108" i="36"/>
  <c r="AA108" i="36" s="1"/>
  <c r="AF108" i="36" s="1"/>
  <c r="AK108" i="36" s="1"/>
  <c r="AP108" i="36" s="1"/>
  <c r="AU108" i="36" s="1"/>
  <c r="Q59" i="36"/>
  <c r="Q61" i="36" s="1"/>
  <c r="Q70" i="36"/>
  <c r="R78" i="36"/>
  <c r="R87" i="36"/>
  <c r="R88" i="36"/>
  <c r="Q92" i="36"/>
  <c r="Q94" i="36" s="1"/>
  <c r="R93" i="36"/>
  <c r="R95" i="36"/>
  <c r="R97" i="36"/>
  <c r="R99" i="36"/>
  <c r="R100" i="36"/>
  <c r="R104" i="36"/>
  <c r="R108" i="36"/>
  <c r="R110" i="36"/>
  <c r="R112" i="36"/>
  <c r="R114" i="36"/>
  <c r="R115" i="36"/>
  <c r="Q118" i="36"/>
  <c r="Q120" i="36" s="1"/>
  <c r="R119" i="36"/>
  <c r="R123" i="36"/>
  <c r="R125" i="36"/>
  <c r="R126" i="36"/>
  <c r="R127" i="36"/>
  <c r="R128" i="36"/>
  <c r="R129" i="36"/>
  <c r="Q130" i="36"/>
  <c r="Q133" i="36"/>
  <c r="Q134" i="36"/>
  <c r="Q135" i="36"/>
  <c r="Q136" i="36"/>
  <c r="R26" i="36"/>
  <c r="O50" i="36"/>
  <c r="P50" i="36" s="1"/>
  <c r="P52" i="36" s="1"/>
  <c r="P53" i="36" s="1"/>
  <c r="O83" i="36"/>
  <c r="P83" i="36" s="1"/>
  <c r="D63" i="36"/>
  <c r="E63" i="36"/>
  <c r="F63" i="36"/>
  <c r="G63" i="36"/>
  <c r="N96" i="36"/>
  <c r="S181" i="36" s="1"/>
  <c r="O96" i="36"/>
  <c r="T181" i="36" s="1"/>
  <c r="P96" i="36"/>
  <c r="P59" i="36"/>
  <c r="N92" i="36"/>
  <c r="O92" i="36"/>
  <c r="O94" i="36" s="1"/>
  <c r="P92" i="36"/>
  <c r="P101" i="36" s="1"/>
  <c r="D59" i="36"/>
  <c r="D61" i="36" s="1"/>
  <c r="E59" i="36"/>
  <c r="E65" i="36" s="1"/>
  <c r="F59" i="36"/>
  <c r="F68" i="36" s="1"/>
  <c r="G59" i="36"/>
  <c r="G65" i="36" s="1"/>
  <c r="I59" i="36"/>
  <c r="I65" i="36" s="1"/>
  <c r="J59" i="36"/>
  <c r="J61" i="36" s="1"/>
  <c r="K59" i="36"/>
  <c r="K68" i="36" s="1"/>
  <c r="L59" i="36"/>
  <c r="L65" i="36" s="1"/>
  <c r="N59" i="36"/>
  <c r="N61" i="36" s="1"/>
  <c r="O59" i="36"/>
  <c r="O65" i="36" s="1"/>
  <c r="P116" i="36"/>
  <c r="P111" i="36"/>
  <c r="U185" i="36" s="1"/>
  <c r="H8" i="36"/>
  <c r="H15" i="36"/>
  <c r="M5" i="36"/>
  <c r="M6" i="36"/>
  <c r="M7" i="36"/>
  <c r="M10" i="36"/>
  <c r="M11" i="36"/>
  <c r="M12" i="36"/>
  <c r="M13" i="36"/>
  <c r="M14" i="36"/>
  <c r="M9" i="36"/>
  <c r="M16" i="36"/>
  <c r="M21" i="36"/>
  <c r="M22" i="36"/>
  <c r="M20" i="36"/>
  <c r="M24" i="36"/>
  <c r="N8" i="36"/>
  <c r="N15" i="36"/>
  <c r="O8" i="36"/>
  <c r="O15" i="36"/>
  <c r="P8" i="36"/>
  <c r="I8" i="36"/>
  <c r="I15" i="36"/>
  <c r="J8" i="36"/>
  <c r="J15" i="36"/>
  <c r="K8" i="36"/>
  <c r="K15" i="36"/>
  <c r="P155" i="36"/>
  <c r="Q155" i="36"/>
  <c r="S50" i="36"/>
  <c r="S83" i="36"/>
  <c r="X88" i="36"/>
  <c r="AC88" i="36" s="1"/>
  <c r="I168" i="36"/>
  <c r="I170" i="36" s="1"/>
  <c r="I18" i="36" s="1"/>
  <c r="J168" i="36"/>
  <c r="J170" i="36" s="1"/>
  <c r="K163" i="36"/>
  <c r="L168" i="36"/>
  <c r="L170" i="36" s="1"/>
  <c r="L18" i="36" s="1"/>
  <c r="N168" i="36"/>
  <c r="N170" i="36" s="1"/>
  <c r="O168" i="36"/>
  <c r="O170" i="36" s="1"/>
  <c r="P168" i="36"/>
  <c r="P170" i="36" s="1"/>
  <c r="P18" i="36" s="1"/>
  <c r="L8" i="36"/>
  <c r="G9" i="36"/>
  <c r="L15" i="36"/>
  <c r="O41" i="36"/>
  <c r="O74" i="36"/>
  <c r="Z55" i="36"/>
  <c r="AE55" i="36" s="1"/>
  <c r="AJ55" i="36" s="1"/>
  <c r="AO55" i="36" s="1"/>
  <c r="AT55" i="36" s="1"/>
  <c r="Z88" i="36"/>
  <c r="AE88" i="36" s="1"/>
  <c r="Z108" i="36"/>
  <c r="AE108" i="36" s="1"/>
  <c r="AJ108" i="36" s="1"/>
  <c r="AO108" i="36" s="1"/>
  <c r="AT108" i="36" s="1"/>
  <c r="X55" i="36"/>
  <c r="AC55" i="36" s="1"/>
  <c r="AH55" i="36" s="1"/>
  <c r="AM55" i="36" s="1"/>
  <c r="AR55" i="36" s="1"/>
  <c r="X108" i="36"/>
  <c r="AC108" i="36" s="1"/>
  <c r="Y55" i="36"/>
  <c r="AD55" i="36" s="1"/>
  <c r="AI55" i="36" s="1"/>
  <c r="AN55" i="36" s="1"/>
  <c r="AS55" i="36" s="1"/>
  <c r="W20" i="36"/>
  <c r="AB20" i="36"/>
  <c r="AG20" i="36"/>
  <c r="AL20" i="36"/>
  <c r="AQ20" i="36"/>
  <c r="G5" i="36"/>
  <c r="G6" i="36"/>
  <c r="G134" i="36" s="1"/>
  <c r="G7" i="36"/>
  <c r="G135" i="36" s="1"/>
  <c r="F8" i="36"/>
  <c r="E8" i="36"/>
  <c r="D8" i="36"/>
  <c r="G10" i="36"/>
  <c r="G11" i="36"/>
  <c r="G12" i="36"/>
  <c r="G13" i="36"/>
  <c r="G14" i="36"/>
  <c r="G16" i="36"/>
  <c r="G136" i="36" s="1"/>
  <c r="G21" i="36"/>
  <c r="G144" i="36" s="1"/>
  <c r="G22" i="36"/>
  <c r="G145" i="36" s="1"/>
  <c r="G20" i="36"/>
  <c r="G24" i="36"/>
  <c r="F15" i="36"/>
  <c r="E15" i="36"/>
  <c r="D15" i="36"/>
  <c r="M26" i="36"/>
  <c r="P172" i="36"/>
  <c r="P28" i="36" s="1"/>
  <c r="O172" i="36"/>
  <c r="O28" i="36" s="1"/>
  <c r="N172" i="36"/>
  <c r="N28" i="36" s="1"/>
  <c r="K172" i="36"/>
  <c r="K28" i="36" s="1"/>
  <c r="G163" i="36"/>
  <c r="G165" i="36"/>
  <c r="F168" i="36"/>
  <c r="E168" i="36"/>
  <c r="E170" i="36" s="1"/>
  <c r="D163" i="36"/>
  <c r="D164" i="36"/>
  <c r="D165" i="36"/>
  <c r="F171" i="36"/>
  <c r="E171" i="36"/>
  <c r="H166" i="36"/>
  <c r="H167" i="36"/>
  <c r="F161" i="36"/>
  <c r="E161" i="36"/>
  <c r="E158" i="36"/>
  <c r="D157" i="36"/>
  <c r="N155" i="36"/>
  <c r="O155" i="36"/>
  <c r="I155" i="36"/>
  <c r="J155" i="36"/>
  <c r="K155" i="36"/>
  <c r="L155" i="36"/>
  <c r="E155" i="36"/>
  <c r="F154" i="36"/>
  <c r="G155" i="36"/>
  <c r="AQ154" i="36"/>
  <c r="AL154" i="36"/>
  <c r="AG154" i="36"/>
  <c r="AB154" i="36"/>
  <c r="R154" i="36"/>
  <c r="M154" i="36"/>
  <c r="I28" i="36"/>
  <c r="J28" i="36"/>
  <c r="L28" i="36"/>
  <c r="D28" i="36"/>
  <c r="G28" i="36"/>
  <c r="G26" i="36"/>
  <c r="P70" i="36"/>
  <c r="P103" i="36"/>
  <c r="P118" i="36"/>
  <c r="P120" i="36" s="1"/>
  <c r="P130" i="36"/>
  <c r="P131" i="36" s="1"/>
  <c r="O70" i="36"/>
  <c r="O103" i="36"/>
  <c r="O118" i="36"/>
  <c r="O120" i="36" s="1"/>
  <c r="O130" i="36"/>
  <c r="O131" i="36" s="1"/>
  <c r="N70" i="36"/>
  <c r="N103" i="36"/>
  <c r="N118" i="36"/>
  <c r="N130" i="36"/>
  <c r="N131" i="36" s="1"/>
  <c r="L70" i="36"/>
  <c r="L92" i="36"/>
  <c r="L101" i="36" s="1"/>
  <c r="L103" i="36"/>
  <c r="L118" i="36"/>
  <c r="L130" i="36"/>
  <c r="K70" i="36"/>
  <c r="K92" i="36"/>
  <c r="K101" i="36" s="1"/>
  <c r="K103" i="36"/>
  <c r="K118" i="36"/>
  <c r="K120" i="36" s="1"/>
  <c r="K121" i="36" s="1"/>
  <c r="K130" i="36"/>
  <c r="J70" i="36"/>
  <c r="J92" i="36"/>
  <c r="J103" i="36"/>
  <c r="J118" i="36"/>
  <c r="J120" i="36" s="1"/>
  <c r="J121" i="36" s="1"/>
  <c r="J130" i="36"/>
  <c r="I70" i="36"/>
  <c r="I92" i="36"/>
  <c r="I94" i="36" s="1"/>
  <c r="I103" i="36"/>
  <c r="I118" i="36"/>
  <c r="I130" i="36"/>
  <c r="I131" i="36" s="1"/>
  <c r="G70" i="36"/>
  <c r="G92" i="36"/>
  <c r="G98" i="36" s="1"/>
  <c r="G103" i="36"/>
  <c r="G118" i="36"/>
  <c r="G120" i="36" s="1"/>
  <c r="G126" i="36"/>
  <c r="G130" i="36" s="1"/>
  <c r="F70" i="36"/>
  <c r="F92" i="36"/>
  <c r="F101" i="36" s="1"/>
  <c r="F103" i="36"/>
  <c r="F118" i="36"/>
  <c r="F130" i="36"/>
  <c r="E70" i="36"/>
  <c r="E92" i="36"/>
  <c r="E98" i="36" s="1"/>
  <c r="E103" i="36"/>
  <c r="E118" i="36"/>
  <c r="E120" i="36" s="1"/>
  <c r="E121" i="36" s="1"/>
  <c r="E130" i="36"/>
  <c r="E131" i="36" s="1"/>
  <c r="D70" i="36"/>
  <c r="D92" i="36"/>
  <c r="D101" i="36" s="1"/>
  <c r="D103" i="36"/>
  <c r="D118" i="36"/>
  <c r="D120" i="36" s="1"/>
  <c r="D121" i="36" s="1"/>
  <c r="D130" i="36"/>
  <c r="P136" i="36"/>
  <c r="O136" i="36"/>
  <c r="N136" i="36"/>
  <c r="L136" i="36"/>
  <c r="K136" i="36"/>
  <c r="J136" i="36"/>
  <c r="I136" i="36"/>
  <c r="F136" i="36"/>
  <c r="E136" i="36"/>
  <c r="D136" i="36"/>
  <c r="P135" i="36"/>
  <c r="O135" i="36"/>
  <c r="N135" i="36"/>
  <c r="L135" i="36"/>
  <c r="K135" i="36"/>
  <c r="J135" i="36"/>
  <c r="I135" i="36"/>
  <c r="F135" i="36"/>
  <c r="E135" i="36"/>
  <c r="D135" i="36"/>
  <c r="P134" i="36"/>
  <c r="O134" i="36"/>
  <c r="N134" i="36"/>
  <c r="L134" i="36"/>
  <c r="K134" i="36"/>
  <c r="J134" i="36"/>
  <c r="I134" i="36"/>
  <c r="F134" i="36"/>
  <c r="E134" i="36"/>
  <c r="D134" i="36"/>
  <c r="P133" i="36"/>
  <c r="O133" i="36"/>
  <c r="N133" i="36"/>
  <c r="L133" i="36"/>
  <c r="K133" i="36"/>
  <c r="J133" i="36"/>
  <c r="I133" i="36"/>
  <c r="F133" i="36"/>
  <c r="E133" i="36"/>
  <c r="D133" i="36"/>
  <c r="M123" i="36"/>
  <c r="M125" i="36"/>
  <c r="M126" i="36"/>
  <c r="M127" i="36"/>
  <c r="M128" i="36"/>
  <c r="M129" i="36"/>
  <c r="N124" i="36"/>
  <c r="H123" i="36"/>
  <c r="L124" i="36"/>
  <c r="K124" i="36"/>
  <c r="J124" i="36"/>
  <c r="I124" i="36"/>
  <c r="W117" i="36"/>
  <c r="R117" i="36"/>
  <c r="M108" i="36"/>
  <c r="M110" i="36"/>
  <c r="M112" i="36"/>
  <c r="M114" i="36"/>
  <c r="M115" i="36"/>
  <c r="M117" i="36"/>
  <c r="M119" i="36"/>
  <c r="H108" i="36"/>
  <c r="H110" i="36"/>
  <c r="H112" i="36"/>
  <c r="H114" i="36"/>
  <c r="H115" i="36"/>
  <c r="H117" i="36"/>
  <c r="H119" i="36"/>
  <c r="O116" i="36"/>
  <c r="T187" i="36" s="1"/>
  <c r="N116" i="36"/>
  <c r="S187" i="36" s="1"/>
  <c r="L116" i="36"/>
  <c r="K116" i="36"/>
  <c r="J116" i="36"/>
  <c r="I116" i="36"/>
  <c r="G116" i="36"/>
  <c r="F116" i="36"/>
  <c r="E116" i="36"/>
  <c r="D116" i="36"/>
  <c r="P113" i="36"/>
  <c r="U186" i="36" s="1"/>
  <c r="O113" i="36"/>
  <c r="T186" i="36" s="1"/>
  <c r="N113" i="36"/>
  <c r="S186" i="36" s="1"/>
  <c r="L113" i="36"/>
  <c r="K113" i="36"/>
  <c r="J113" i="36"/>
  <c r="I113" i="36"/>
  <c r="G113" i="36"/>
  <c r="F113" i="36"/>
  <c r="E113" i="36"/>
  <c r="D113" i="36"/>
  <c r="O111" i="36"/>
  <c r="T185" i="36" s="1"/>
  <c r="N111" i="36"/>
  <c r="S185" i="36" s="1"/>
  <c r="L111" i="36"/>
  <c r="K111" i="36"/>
  <c r="J111" i="36"/>
  <c r="I111" i="36"/>
  <c r="G111" i="36"/>
  <c r="F111" i="36"/>
  <c r="E111" i="36"/>
  <c r="D111" i="36"/>
  <c r="P109" i="36"/>
  <c r="O109" i="36"/>
  <c r="N109" i="36"/>
  <c r="L109" i="36"/>
  <c r="K109" i="36"/>
  <c r="J109" i="36"/>
  <c r="I109" i="36"/>
  <c r="M104" i="36"/>
  <c r="H104" i="36"/>
  <c r="W102" i="36"/>
  <c r="R102" i="36"/>
  <c r="M93" i="36"/>
  <c r="M95" i="36"/>
  <c r="M97" i="36"/>
  <c r="M99" i="36"/>
  <c r="M100" i="36"/>
  <c r="M102" i="36"/>
  <c r="H93" i="36"/>
  <c r="H95" i="36"/>
  <c r="H97" i="36"/>
  <c r="H99" i="36"/>
  <c r="H100" i="36"/>
  <c r="H102" i="36"/>
  <c r="M78" i="36"/>
  <c r="L96" i="36"/>
  <c r="K96" i="36"/>
  <c r="J96" i="36"/>
  <c r="I96" i="36"/>
  <c r="H78" i="36"/>
  <c r="G96" i="36"/>
  <c r="F96" i="36"/>
  <c r="E96" i="36"/>
  <c r="D96" i="36"/>
  <c r="W84" i="36"/>
  <c r="W75" i="36"/>
  <c r="V91" i="36"/>
  <c r="U91" i="36"/>
  <c r="T91" i="36"/>
  <c r="S91" i="36"/>
  <c r="R84" i="36"/>
  <c r="R75" i="36"/>
  <c r="Q91" i="36"/>
  <c r="P91" i="36"/>
  <c r="O91" i="36"/>
  <c r="N91" i="36"/>
  <c r="I84" i="36"/>
  <c r="J84" i="36"/>
  <c r="K84" i="36"/>
  <c r="I75" i="36"/>
  <c r="J75" i="36"/>
  <c r="K75" i="36"/>
  <c r="L75" i="36"/>
  <c r="D84" i="36"/>
  <c r="E84" i="36"/>
  <c r="F84" i="36"/>
  <c r="G84" i="36"/>
  <c r="D75" i="36"/>
  <c r="E75" i="36"/>
  <c r="F75" i="36"/>
  <c r="G75" i="36"/>
  <c r="N90" i="36"/>
  <c r="L90" i="36"/>
  <c r="K90" i="36"/>
  <c r="J90" i="36"/>
  <c r="I90" i="36"/>
  <c r="G90" i="36"/>
  <c r="F90" i="36"/>
  <c r="E90" i="36"/>
  <c r="D90" i="36"/>
  <c r="P89" i="36"/>
  <c r="O89" i="36"/>
  <c r="N89" i="36"/>
  <c r="L89" i="36"/>
  <c r="K89" i="36"/>
  <c r="J89" i="36"/>
  <c r="I89" i="36"/>
  <c r="M88" i="36"/>
  <c r="H88" i="36"/>
  <c r="M87" i="36"/>
  <c r="H87" i="36"/>
  <c r="N85" i="36"/>
  <c r="L85" i="36"/>
  <c r="K85" i="36"/>
  <c r="K86" i="36" s="1"/>
  <c r="J85" i="36"/>
  <c r="I85" i="36"/>
  <c r="G85" i="36"/>
  <c r="F85" i="36"/>
  <c r="F86" i="36" s="1"/>
  <c r="E85" i="36"/>
  <c r="D85" i="36"/>
  <c r="R83" i="36"/>
  <c r="M83" i="36"/>
  <c r="H83" i="36"/>
  <c r="M74" i="36"/>
  <c r="H74" i="36"/>
  <c r="W69" i="36"/>
  <c r="H70" i="36"/>
  <c r="P63" i="36"/>
  <c r="O63" i="36"/>
  <c r="N63" i="36"/>
  <c r="L63" i="36"/>
  <c r="K63" i="36"/>
  <c r="J63" i="36"/>
  <c r="I63" i="36"/>
  <c r="S58" i="36"/>
  <c r="Q58" i="36"/>
  <c r="P58" i="36"/>
  <c r="O58" i="36"/>
  <c r="N58" i="36"/>
  <c r="I51" i="36"/>
  <c r="J51" i="36"/>
  <c r="K51" i="36"/>
  <c r="I42" i="36"/>
  <c r="J42" i="36"/>
  <c r="K42" i="36"/>
  <c r="L42" i="36"/>
  <c r="D51" i="36"/>
  <c r="E51" i="36"/>
  <c r="F51" i="36"/>
  <c r="G51" i="36"/>
  <c r="D42" i="36"/>
  <c r="E42" i="36"/>
  <c r="F42" i="36"/>
  <c r="G42" i="36"/>
  <c r="N57" i="36"/>
  <c r="L57" i="36"/>
  <c r="K57" i="36"/>
  <c r="J57" i="36"/>
  <c r="I57" i="36"/>
  <c r="G57" i="36"/>
  <c r="F57" i="36"/>
  <c r="E57" i="36"/>
  <c r="D57" i="36"/>
  <c r="P56" i="36"/>
  <c r="O56" i="36"/>
  <c r="N56" i="36"/>
  <c r="L56" i="36"/>
  <c r="K56" i="36"/>
  <c r="J56" i="36"/>
  <c r="I56" i="36"/>
  <c r="N52" i="36"/>
  <c r="N53" i="36" s="1"/>
  <c r="L52" i="36"/>
  <c r="K52" i="36"/>
  <c r="J52" i="36"/>
  <c r="J53" i="36" s="1"/>
  <c r="I52" i="36"/>
  <c r="I53" i="36" s="1"/>
  <c r="G52" i="36"/>
  <c r="F52" i="36"/>
  <c r="E52" i="36"/>
  <c r="E53" i="36" s="1"/>
  <c r="D52" i="36"/>
  <c r="D53" i="36" s="1"/>
  <c r="H45" i="36"/>
  <c r="L35" i="36"/>
  <c r="H35" i="36"/>
  <c r="AC148" i="73" l="1"/>
  <c r="AC42" i="74"/>
  <c r="AC62" i="74"/>
  <c r="AV19" i="48"/>
  <c r="AV141" i="48"/>
  <c r="AU142" i="48"/>
  <c r="Z42" i="49"/>
  <c r="Z62" i="49"/>
  <c r="X27" i="46"/>
  <c r="AE96" i="36"/>
  <c r="Z181" i="36"/>
  <c r="AE116" i="36"/>
  <c r="Z187" i="36"/>
  <c r="AD116" i="36"/>
  <c r="Y187" i="36"/>
  <c r="V96" i="36"/>
  <c r="Q181" i="36"/>
  <c r="AA69" i="36"/>
  <c r="AB69" i="36" s="1"/>
  <c r="AE113" i="36"/>
  <c r="Z186" i="36"/>
  <c r="AA117" i="36"/>
  <c r="Q180" i="36"/>
  <c r="V94" i="36"/>
  <c r="V111" i="36"/>
  <c r="Q185" i="36"/>
  <c r="Z185" i="36"/>
  <c r="AE111" i="36"/>
  <c r="Q186" i="36"/>
  <c r="V113" i="36"/>
  <c r="AC111" i="36"/>
  <c r="X185" i="36"/>
  <c r="Q187" i="36"/>
  <c r="V116" i="36"/>
  <c r="AD111" i="36"/>
  <c r="Y185" i="36"/>
  <c r="AC116" i="36"/>
  <c r="X187" i="36"/>
  <c r="AD113" i="36"/>
  <c r="Y186" i="36"/>
  <c r="Y181" i="36"/>
  <c r="AD96" i="36"/>
  <c r="AC96" i="36"/>
  <c r="X181" i="36"/>
  <c r="AC113" i="36"/>
  <c r="X186" i="36"/>
  <c r="AD163" i="36"/>
  <c r="AE163" i="36" s="1"/>
  <c r="AF163" i="36" s="1"/>
  <c r="AH163" i="36" s="1"/>
  <c r="AC102" i="36"/>
  <c r="AD102" i="36" s="1"/>
  <c r="AE102" i="36" s="1"/>
  <c r="AF102" i="36" s="1"/>
  <c r="AA129" i="36"/>
  <c r="AC129" i="36" s="1"/>
  <c r="AD129" i="36" s="1"/>
  <c r="AE129" i="36" s="1"/>
  <c r="AF129" i="36" s="1"/>
  <c r="AB102" i="36"/>
  <c r="G152" i="36"/>
  <c r="G151" i="36"/>
  <c r="E151" i="36"/>
  <c r="E152" i="36"/>
  <c r="K151" i="36"/>
  <c r="K152" i="36"/>
  <c r="J152" i="36"/>
  <c r="J151" i="36"/>
  <c r="I151" i="36"/>
  <c r="I152" i="36"/>
  <c r="O53" i="39"/>
  <c r="O56" i="39"/>
  <c r="N53" i="39"/>
  <c r="N56" i="39"/>
  <c r="H56" i="39"/>
  <c r="H53" i="39"/>
  <c r="D53" i="39"/>
  <c r="D56" i="39"/>
  <c r="N35" i="36"/>
  <c r="R35" i="36" s="1"/>
  <c r="E53" i="39"/>
  <c r="E56" i="39"/>
  <c r="F56" i="39"/>
  <c r="F53" i="39"/>
  <c r="K56" i="39"/>
  <c r="K53" i="39"/>
  <c r="L56" i="39"/>
  <c r="L53" i="39"/>
  <c r="J56" i="39"/>
  <c r="J53" i="39"/>
  <c r="Q53" i="39"/>
  <c r="Q56" i="39"/>
  <c r="I56" i="39"/>
  <c r="I53" i="39"/>
  <c r="P53" i="39"/>
  <c r="P56" i="39"/>
  <c r="AH108" i="36"/>
  <c r="AM108" i="36" s="1"/>
  <c r="AR108" i="36" s="1"/>
  <c r="AH88" i="36"/>
  <c r="AJ88" i="36"/>
  <c r="AK88" i="36"/>
  <c r="Q151" i="36"/>
  <c r="Q152" i="36"/>
  <c r="P151" i="36"/>
  <c r="P152" i="36"/>
  <c r="O151" i="36"/>
  <c r="O152" i="36"/>
  <c r="N152" i="36"/>
  <c r="N151" i="36"/>
  <c r="L152" i="36"/>
  <c r="L151" i="36"/>
  <c r="L94" i="36"/>
  <c r="P74" i="36"/>
  <c r="Q74" i="36" s="1"/>
  <c r="O76" i="36"/>
  <c r="O77" i="36" s="1"/>
  <c r="K65" i="36"/>
  <c r="O85" i="36"/>
  <c r="O86" i="36" s="1"/>
  <c r="O43" i="36"/>
  <c r="O44" i="36" s="1"/>
  <c r="L98" i="36"/>
  <c r="F65" i="36"/>
  <c r="K105" i="36"/>
  <c r="K106" i="36" s="1"/>
  <c r="E71" i="36"/>
  <c r="E72" i="36" s="1"/>
  <c r="D98" i="36"/>
  <c r="D94" i="36"/>
  <c r="M35" i="36"/>
  <c r="O52" i="36"/>
  <c r="O53" i="36" s="1"/>
  <c r="J65" i="36"/>
  <c r="O57" i="36"/>
  <c r="K91" i="36"/>
  <c r="J140" i="36"/>
  <c r="I91" i="36"/>
  <c r="E101" i="36"/>
  <c r="Q85" i="36"/>
  <c r="Q86" i="36" s="1"/>
  <c r="V86" i="36" s="1"/>
  <c r="AA86" i="36" s="1"/>
  <c r="AF86" i="36" s="1"/>
  <c r="AK86" i="36" s="1"/>
  <c r="AP86" i="36" s="1"/>
  <c r="AU86" i="36" s="1"/>
  <c r="P85" i="36"/>
  <c r="P86" i="36" s="1"/>
  <c r="E58" i="36"/>
  <c r="O90" i="36"/>
  <c r="M113" i="36"/>
  <c r="D71" i="36"/>
  <c r="D72" i="36" s="1"/>
  <c r="O140" i="36"/>
  <c r="N140" i="36"/>
  <c r="D65" i="36"/>
  <c r="F17" i="36"/>
  <c r="F141" i="36" s="1"/>
  <c r="V123" i="36"/>
  <c r="V7" i="36" s="1"/>
  <c r="V135" i="36" s="1"/>
  <c r="D68" i="36"/>
  <c r="Q71" i="36"/>
  <c r="Q72" i="36" s="1"/>
  <c r="Q17" i="36"/>
  <c r="Q141" i="36" s="1"/>
  <c r="N65" i="36"/>
  <c r="F94" i="36"/>
  <c r="F98" i="36"/>
  <c r="K98" i="36"/>
  <c r="I140" i="36"/>
  <c r="K140" i="36"/>
  <c r="L71" i="36"/>
  <c r="L72" i="36" s="1"/>
  <c r="G168" i="36"/>
  <c r="G170" i="36" s="1"/>
  <c r="R96" i="36"/>
  <c r="F58" i="36"/>
  <c r="P140" i="36"/>
  <c r="K94" i="36"/>
  <c r="J71" i="36"/>
  <c r="J72" i="36" s="1"/>
  <c r="R8" i="36"/>
  <c r="E173" i="36"/>
  <c r="E18" i="36"/>
  <c r="M155" i="36"/>
  <c r="P71" i="36"/>
  <c r="P72" i="36" s="1"/>
  <c r="R155" i="36"/>
  <c r="M84" i="36"/>
  <c r="K58" i="36"/>
  <c r="J58" i="36"/>
  <c r="D91" i="36"/>
  <c r="H165" i="36"/>
  <c r="N105" i="36"/>
  <c r="N106" i="36" s="1"/>
  <c r="P61" i="36"/>
  <c r="N17" i="36"/>
  <c r="N141" i="36" s="1"/>
  <c r="Q28" i="36"/>
  <c r="R28" i="36" s="1"/>
  <c r="O17" i="36"/>
  <c r="O141" i="36" s="1"/>
  <c r="F61" i="36"/>
  <c r="K17" i="36"/>
  <c r="K141" i="36" s="1"/>
  <c r="H111" i="36"/>
  <c r="H113" i="36"/>
  <c r="H59" i="36"/>
  <c r="P98" i="36"/>
  <c r="M109" i="36"/>
  <c r="M8" i="36"/>
  <c r="H116" i="36"/>
  <c r="G101" i="36"/>
  <c r="Q105" i="36"/>
  <c r="Q106" i="36" s="1"/>
  <c r="H92" i="36"/>
  <c r="H98" i="36" s="1"/>
  <c r="M15" i="36"/>
  <c r="G94" i="36"/>
  <c r="E17" i="36"/>
  <c r="E23" i="36" s="1"/>
  <c r="R15" i="36"/>
  <c r="H51" i="36"/>
  <c r="E86" i="36"/>
  <c r="M124" i="36"/>
  <c r="F105" i="36"/>
  <c r="L120" i="36"/>
  <c r="D17" i="36"/>
  <c r="P41" i="36"/>
  <c r="G15" i="36"/>
  <c r="E94" i="36"/>
  <c r="R109" i="36"/>
  <c r="F53" i="36"/>
  <c r="H84" i="36"/>
  <c r="I101" i="36"/>
  <c r="F71" i="36"/>
  <c r="I120" i="36"/>
  <c r="O105" i="36"/>
  <c r="L173" i="36"/>
  <c r="G86" i="36"/>
  <c r="J101" i="36"/>
  <c r="M116" i="36"/>
  <c r="O121" i="36"/>
  <c r="M130" i="36"/>
  <c r="H154" i="36"/>
  <c r="G53" i="36"/>
  <c r="I58" i="36"/>
  <c r="P121" i="36"/>
  <c r="I105" i="36"/>
  <c r="K131" i="36"/>
  <c r="O71" i="36"/>
  <c r="M28" i="36"/>
  <c r="F170" i="36"/>
  <c r="N173" i="36"/>
  <c r="W55" i="36"/>
  <c r="D58" i="36"/>
  <c r="I86" i="36"/>
  <c r="M92" i="36"/>
  <c r="M98" i="36" s="1"/>
  <c r="E105" i="36"/>
  <c r="G131" i="36"/>
  <c r="G8" i="36"/>
  <c r="Q140" i="36"/>
  <c r="S85" i="36"/>
  <c r="S86" i="36" s="1"/>
  <c r="T83" i="36"/>
  <c r="J94" i="36"/>
  <c r="H103" i="36"/>
  <c r="H164" i="36"/>
  <c r="AB55" i="36"/>
  <c r="Y108" i="36"/>
  <c r="AD108" i="36" s="1"/>
  <c r="AI108" i="36" s="1"/>
  <c r="AN108" i="36" s="1"/>
  <c r="AS108" i="36" s="1"/>
  <c r="L58" i="36"/>
  <c r="J86" i="36"/>
  <c r="D131" i="36"/>
  <c r="I71" i="36"/>
  <c r="N120" i="36"/>
  <c r="H163" i="36"/>
  <c r="O173" i="36"/>
  <c r="G58" i="36"/>
  <c r="J91" i="36"/>
  <c r="I61" i="36"/>
  <c r="I68" i="36"/>
  <c r="E91" i="36"/>
  <c r="I98" i="36"/>
  <c r="G121" i="36"/>
  <c r="R124" i="36"/>
  <c r="O18" i="36"/>
  <c r="G61" i="36"/>
  <c r="G68" i="36"/>
  <c r="K53" i="36"/>
  <c r="H42" i="36"/>
  <c r="F91" i="36"/>
  <c r="L91" i="36"/>
  <c r="J98" i="36"/>
  <c r="M111" i="36"/>
  <c r="G105" i="36"/>
  <c r="J131" i="36"/>
  <c r="P105" i="36"/>
  <c r="N18" i="36"/>
  <c r="P173" i="36"/>
  <c r="L17" i="36"/>
  <c r="G91" i="36"/>
  <c r="M75" i="36"/>
  <c r="M118" i="36"/>
  <c r="D105" i="36"/>
  <c r="F131" i="36"/>
  <c r="K71" i="36"/>
  <c r="N71" i="36"/>
  <c r="F28" i="36"/>
  <c r="I173" i="36"/>
  <c r="E28" i="36"/>
  <c r="D168" i="36"/>
  <c r="J17" i="36"/>
  <c r="D86" i="36"/>
  <c r="H75" i="36"/>
  <c r="H96" i="36"/>
  <c r="H118" i="36"/>
  <c r="G133" i="36"/>
  <c r="F120" i="36"/>
  <c r="G71" i="36"/>
  <c r="L131" i="36"/>
  <c r="J18" i="36"/>
  <c r="F155" i="36"/>
  <c r="D158" i="36"/>
  <c r="J173" i="36"/>
  <c r="K168" i="36"/>
  <c r="J105" i="36"/>
  <c r="E61" i="36"/>
  <c r="O101" i="36"/>
  <c r="I17" i="36"/>
  <c r="H17" i="36"/>
  <c r="P94" i="36"/>
  <c r="N101" i="36"/>
  <c r="O98" i="36"/>
  <c r="P68" i="36"/>
  <c r="E68" i="36"/>
  <c r="Q52" i="36"/>
  <c r="Q53" i="36" s="1"/>
  <c r="V53" i="36" s="1"/>
  <c r="W88" i="36"/>
  <c r="N94" i="36"/>
  <c r="O68" i="36"/>
  <c r="N98" i="36"/>
  <c r="O61" i="36"/>
  <c r="N68" i="36"/>
  <c r="P65" i="36"/>
  <c r="Y88" i="36"/>
  <c r="P17" i="36"/>
  <c r="K61" i="36"/>
  <c r="J68" i="36"/>
  <c r="X26" i="36"/>
  <c r="Q173" i="36"/>
  <c r="T136" i="36"/>
  <c r="W108" i="36"/>
  <c r="W91" i="36"/>
  <c r="R91" i="36"/>
  <c r="L86" i="36"/>
  <c r="N86" i="36"/>
  <c r="W51" i="36"/>
  <c r="S52" i="36"/>
  <c r="S53" i="36" s="1"/>
  <c r="T50" i="36"/>
  <c r="T52" i="36" s="1"/>
  <c r="T53" i="36" s="1"/>
  <c r="Y53" i="36" s="1"/>
  <c r="L53" i="36"/>
  <c r="S168" i="36"/>
  <c r="R130" i="36"/>
  <c r="Q131" i="36"/>
  <c r="R116" i="36"/>
  <c r="R113" i="36"/>
  <c r="R118" i="36"/>
  <c r="R120" i="36" s="1"/>
  <c r="R111" i="36"/>
  <c r="Q121" i="36"/>
  <c r="R103" i="36"/>
  <c r="R92" i="36"/>
  <c r="Q98" i="36"/>
  <c r="Q101" i="36"/>
  <c r="M96" i="36"/>
  <c r="M103" i="36"/>
  <c r="L105" i="36"/>
  <c r="Q65" i="36"/>
  <c r="Q68" i="36"/>
  <c r="L61" i="36"/>
  <c r="L68" i="36"/>
  <c r="AC7" i="74" l="1"/>
  <c r="AC12" i="74"/>
  <c r="AC17" i="74"/>
  <c r="AV142" i="48"/>
  <c r="AV65" i="49"/>
  <c r="Z12" i="49"/>
  <c r="Z7" i="49"/>
  <c r="Z24" i="50" s="1"/>
  <c r="Z17" i="49"/>
  <c r="X39" i="46"/>
  <c r="AC117" i="36"/>
  <c r="AB117" i="36"/>
  <c r="AE186" i="36"/>
  <c r="AJ113" i="36"/>
  <c r="AC187" i="36"/>
  <c r="AH116" i="36"/>
  <c r="AD185" i="36"/>
  <c r="AI111" i="36"/>
  <c r="V187" i="36"/>
  <c r="AA116" i="36"/>
  <c r="AC69" i="36"/>
  <c r="AD69" i="36" s="1"/>
  <c r="AE69" i="36" s="1"/>
  <c r="AF69" i="36" s="1"/>
  <c r="AA96" i="36"/>
  <c r="V181" i="36"/>
  <c r="AH69" i="36"/>
  <c r="AI69" i="36" s="1"/>
  <c r="AJ69" i="36" s="1"/>
  <c r="AK69" i="36" s="1"/>
  <c r="AC185" i="36"/>
  <c r="AH111" i="36"/>
  <c r="V180" i="36"/>
  <c r="AA94" i="36"/>
  <c r="V186" i="36"/>
  <c r="AA113" i="36"/>
  <c r="AD187" i="36"/>
  <c r="AI116" i="36"/>
  <c r="AH113" i="36"/>
  <c r="AC186" i="36"/>
  <c r="AJ111" i="36"/>
  <c r="AE185" i="36"/>
  <c r="AE187" i="36"/>
  <c r="AJ116" i="36"/>
  <c r="V185" i="36"/>
  <c r="AA111" i="36"/>
  <c r="AI113" i="36"/>
  <c r="AD186" i="36"/>
  <c r="Q182" i="36"/>
  <c r="V98" i="36"/>
  <c r="AH96" i="36"/>
  <c r="AC181" i="36"/>
  <c r="Q183" i="36"/>
  <c r="V101" i="36"/>
  <c r="AI96" i="36"/>
  <c r="AD181" i="36"/>
  <c r="AJ96" i="36"/>
  <c r="AE181" i="36"/>
  <c r="AI163" i="36"/>
  <c r="AJ163" i="36" s="1"/>
  <c r="AK163" i="36" s="1"/>
  <c r="AM163" i="36" s="1"/>
  <c r="AH129" i="36"/>
  <c r="AI129" i="36" s="1"/>
  <c r="AJ129" i="36" s="1"/>
  <c r="AK129" i="36" s="1"/>
  <c r="AH102" i="36"/>
  <c r="AI102" i="36" s="1"/>
  <c r="AJ102" i="36" s="1"/>
  <c r="AK102" i="36" s="1"/>
  <c r="X86" i="36"/>
  <c r="AC86" i="36" s="1"/>
  <c r="AH86" i="36" s="1"/>
  <c r="AM86" i="36" s="1"/>
  <c r="AR86" i="36" s="1"/>
  <c r="R82" i="36"/>
  <c r="AD53" i="36"/>
  <c r="AI53" i="36" s="1"/>
  <c r="AN53" i="36" s="1"/>
  <c r="AS53" i="36" s="1"/>
  <c r="X53" i="36"/>
  <c r="AC53" i="36" s="1"/>
  <c r="AH53" i="36" s="1"/>
  <c r="AM53" i="36" s="1"/>
  <c r="AR53" i="36" s="1"/>
  <c r="AA53" i="36"/>
  <c r="AF53" i="36" s="1"/>
  <c r="F151" i="36"/>
  <c r="F152" i="36"/>
  <c r="M140" i="36"/>
  <c r="M53" i="39"/>
  <c r="M56" i="39"/>
  <c r="R53" i="39"/>
  <c r="R56" i="39"/>
  <c r="G56" i="39"/>
  <c r="G53" i="39"/>
  <c r="AB88" i="36"/>
  <c r="AD88" i="36"/>
  <c r="AP88" i="36"/>
  <c r="AO88" i="36"/>
  <c r="AM88" i="36"/>
  <c r="H155" i="36"/>
  <c r="P76" i="36"/>
  <c r="P77" i="36" s="1"/>
  <c r="U83" i="36"/>
  <c r="U85" i="36" s="1"/>
  <c r="T85" i="36"/>
  <c r="T86" i="36" s="1"/>
  <c r="S74" i="36"/>
  <c r="S76" i="36" s="1"/>
  <c r="S77" i="36" s="1"/>
  <c r="X77" i="36" s="1"/>
  <c r="P90" i="36"/>
  <c r="Q76" i="36"/>
  <c r="Q77" i="36" s="1"/>
  <c r="V77" i="36" s="1"/>
  <c r="AA77" i="36" s="1"/>
  <c r="AF77" i="36" s="1"/>
  <c r="AK77" i="36" s="1"/>
  <c r="AP77" i="36" s="1"/>
  <c r="AU77" i="36" s="1"/>
  <c r="F23" i="36"/>
  <c r="F143" i="36" s="1"/>
  <c r="P43" i="36"/>
  <c r="P44" i="36" s="1"/>
  <c r="N23" i="36"/>
  <c r="N25" i="36" s="1"/>
  <c r="M101" i="36"/>
  <c r="M94" i="36"/>
  <c r="W123" i="36"/>
  <c r="R74" i="36"/>
  <c r="Q90" i="36"/>
  <c r="W90" i="36" s="1"/>
  <c r="R17" i="36"/>
  <c r="Q23" i="36"/>
  <c r="Q25" i="36" s="1"/>
  <c r="M91" i="36"/>
  <c r="Q19" i="36"/>
  <c r="Q29" i="36" s="1"/>
  <c r="H94" i="36"/>
  <c r="K23" i="36"/>
  <c r="K25" i="36" s="1"/>
  <c r="O23" i="36"/>
  <c r="O25" i="36" s="1"/>
  <c r="P137" i="36"/>
  <c r="AB108" i="36"/>
  <c r="AB109" i="36" s="1"/>
  <c r="R140" i="36"/>
  <c r="D137" i="36"/>
  <c r="R105" i="36"/>
  <c r="R106" i="36" s="1"/>
  <c r="M17" i="36"/>
  <c r="H101" i="36"/>
  <c r="E19" i="36"/>
  <c r="E142" i="36" s="1"/>
  <c r="E141" i="36"/>
  <c r="L137" i="36"/>
  <c r="H28" i="36"/>
  <c r="P23" i="36"/>
  <c r="P141" i="36"/>
  <c r="P19" i="36"/>
  <c r="H23" i="36"/>
  <c r="H141" i="36"/>
  <c r="K170" i="36"/>
  <c r="J141" i="36"/>
  <c r="J19" i="36"/>
  <c r="J23" i="36"/>
  <c r="G173" i="36"/>
  <c r="G18" i="36"/>
  <c r="G17" i="36"/>
  <c r="G137" i="36" s="1"/>
  <c r="L121" i="36"/>
  <c r="N72" i="36"/>
  <c r="N137" i="36"/>
  <c r="H168" i="36"/>
  <c r="F173" i="36"/>
  <c r="F18" i="36"/>
  <c r="F106" i="36"/>
  <c r="K72" i="36"/>
  <c r="K137" i="36"/>
  <c r="E137" i="36"/>
  <c r="E106" i="36"/>
  <c r="O137" i="36"/>
  <c r="O72" i="36"/>
  <c r="O106" i="36"/>
  <c r="D106" i="36"/>
  <c r="H105" i="36"/>
  <c r="R18" i="36"/>
  <c r="N121" i="36"/>
  <c r="I121" i="36"/>
  <c r="Q41" i="36"/>
  <c r="P57" i="36"/>
  <c r="M131" i="36"/>
  <c r="I23" i="36"/>
  <c r="I141" i="36"/>
  <c r="I19" i="36"/>
  <c r="G72" i="36"/>
  <c r="M120" i="36"/>
  <c r="P106" i="36"/>
  <c r="I72" i="36"/>
  <c r="I137" i="36"/>
  <c r="I106" i="36"/>
  <c r="F72" i="36"/>
  <c r="F137" i="36"/>
  <c r="H58" i="36"/>
  <c r="R131" i="36"/>
  <c r="Y26" i="36"/>
  <c r="J137" i="36"/>
  <c r="J106" i="36"/>
  <c r="F121" i="36"/>
  <c r="H120" i="36"/>
  <c r="N19" i="36"/>
  <c r="Q137" i="36"/>
  <c r="S136" i="36"/>
  <c r="G106" i="36"/>
  <c r="E25" i="36"/>
  <c r="E143" i="36"/>
  <c r="H91" i="36"/>
  <c r="D170" i="36"/>
  <c r="D23" i="36"/>
  <c r="D141" i="36"/>
  <c r="H71" i="36"/>
  <c r="L140" i="36"/>
  <c r="L141" i="36"/>
  <c r="L23" i="36"/>
  <c r="L19" i="36"/>
  <c r="X35" i="36"/>
  <c r="O19" i="36"/>
  <c r="W35" i="36"/>
  <c r="W109" i="36"/>
  <c r="T135" i="36"/>
  <c r="S135" i="36"/>
  <c r="S92" i="36"/>
  <c r="T58" i="36"/>
  <c r="U50" i="36"/>
  <c r="S170" i="36"/>
  <c r="S173" i="36" s="1"/>
  <c r="W128" i="36"/>
  <c r="R121" i="36"/>
  <c r="AG108" i="36"/>
  <c r="W104" i="36"/>
  <c r="R101" i="36"/>
  <c r="R98" i="36"/>
  <c r="R94" i="36"/>
  <c r="M105" i="36"/>
  <c r="M106" i="36" s="1"/>
  <c r="L106" i="36"/>
  <c r="AG55" i="36"/>
  <c r="AC26" i="75" l="1"/>
  <c r="AC24" i="75"/>
  <c r="AV64" i="49"/>
  <c r="Z26" i="50"/>
  <c r="Z27" i="50"/>
  <c r="Z39" i="50" s="1"/>
  <c r="Z41" i="50" s="1"/>
  <c r="X41" i="46"/>
  <c r="Y40" i="46"/>
  <c r="AG69" i="36"/>
  <c r="AM69" i="36"/>
  <c r="AO116" i="36"/>
  <c r="AJ187" i="36"/>
  <c r="AF96" i="36"/>
  <c r="AA181" i="36"/>
  <c r="AF111" i="36"/>
  <c r="AA185" i="36"/>
  <c r="AA187" i="36"/>
  <c r="AF116" i="36"/>
  <c r="AJ181" i="36"/>
  <c r="AO96" i="36"/>
  <c r="AJ185" i="36"/>
  <c r="AO111" i="36"/>
  <c r="AI185" i="36"/>
  <c r="AN111" i="36"/>
  <c r="AI181" i="36"/>
  <c r="AN96" i="36"/>
  <c r="AH186" i="36"/>
  <c r="AM113" i="36"/>
  <c r="V183" i="36"/>
  <c r="AA101" i="36"/>
  <c r="AN116" i="36"/>
  <c r="AI187" i="36"/>
  <c r="AH187" i="36"/>
  <c r="AM116" i="36"/>
  <c r="AM111" i="36"/>
  <c r="AH185" i="36"/>
  <c r="AM96" i="36"/>
  <c r="AH181" i="36"/>
  <c r="AA186" i="36"/>
  <c r="AF113" i="36"/>
  <c r="V182" i="36"/>
  <c r="AA98" i="36"/>
  <c r="AA180" i="36"/>
  <c r="AF94" i="36"/>
  <c r="AI186" i="36"/>
  <c r="AN113" i="36"/>
  <c r="AJ186" i="36"/>
  <c r="AO113" i="36"/>
  <c r="AD117" i="36"/>
  <c r="AE117" i="36" s="1"/>
  <c r="AF117" i="36" s="1"/>
  <c r="AH117" i="36" s="1"/>
  <c r="AL69" i="36"/>
  <c r="AN163" i="36"/>
  <c r="AO163" i="36" s="1"/>
  <c r="AP163" i="36" s="1"/>
  <c r="AR163" i="36" s="1"/>
  <c r="AM129" i="36"/>
  <c r="AN129" i="36" s="1"/>
  <c r="AO129" i="36" s="1"/>
  <c r="AP129" i="36" s="1"/>
  <c r="AM102" i="36"/>
  <c r="AN102" i="36" s="1"/>
  <c r="AO102" i="36" s="1"/>
  <c r="AP102" i="36" s="1"/>
  <c r="AG102" i="36"/>
  <c r="Y86" i="36"/>
  <c r="AD86" i="36" s="1"/>
  <c r="AI86" i="36" s="1"/>
  <c r="AN86" i="36" s="1"/>
  <c r="AS86" i="36" s="1"/>
  <c r="AC77" i="36"/>
  <c r="AH77" i="36" s="1"/>
  <c r="AM77" i="36" s="1"/>
  <c r="AR77" i="36" s="1"/>
  <c r="AK53" i="36"/>
  <c r="AP53" i="36" s="1"/>
  <c r="AU53" i="36" s="1"/>
  <c r="AU88" i="36"/>
  <c r="AR88" i="36"/>
  <c r="AT88" i="36"/>
  <c r="AI88" i="36"/>
  <c r="AG88" i="36"/>
  <c r="S90" i="36"/>
  <c r="V83" i="36"/>
  <c r="W83" i="36" s="1"/>
  <c r="F25" i="36"/>
  <c r="T74" i="36"/>
  <c r="T76" i="36" s="1"/>
  <c r="T77" i="36" s="1"/>
  <c r="Y77" i="36" s="1"/>
  <c r="K143" i="36"/>
  <c r="Q43" i="36"/>
  <c r="Q44" i="36" s="1"/>
  <c r="V44" i="36" s="1"/>
  <c r="AA44" i="36" s="1"/>
  <c r="AF44" i="36" s="1"/>
  <c r="U135" i="36"/>
  <c r="R23" i="36"/>
  <c r="R143" i="36" s="1"/>
  <c r="M141" i="36"/>
  <c r="N143" i="36"/>
  <c r="R141" i="36"/>
  <c r="Q142" i="36"/>
  <c r="Q143" i="36"/>
  <c r="M23" i="36"/>
  <c r="M143" i="36" s="1"/>
  <c r="O143" i="36"/>
  <c r="X123" i="36"/>
  <c r="X7" i="36" s="1"/>
  <c r="X135" i="36" s="1"/>
  <c r="S101" i="36"/>
  <c r="S98" i="36"/>
  <c r="S94" i="36"/>
  <c r="E29" i="36"/>
  <c r="E34" i="36" s="1"/>
  <c r="V115" i="36"/>
  <c r="W115" i="36" s="1"/>
  <c r="V16" i="36"/>
  <c r="V9" i="39" s="1"/>
  <c r="E27" i="36"/>
  <c r="O27" i="36"/>
  <c r="M121" i="36"/>
  <c r="N27" i="36"/>
  <c r="U155" i="36"/>
  <c r="V153" i="36"/>
  <c r="P143" i="36"/>
  <c r="P25" i="36"/>
  <c r="Q27" i="36"/>
  <c r="P29" i="36"/>
  <c r="P142" i="36"/>
  <c r="F19" i="36"/>
  <c r="L29" i="36"/>
  <c r="L142" i="36"/>
  <c r="I142" i="36"/>
  <c r="I29" i="36"/>
  <c r="Q57" i="36"/>
  <c r="S41" i="36"/>
  <c r="L25" i="36"/>
  <c r="D173" i="36"/>
  <c r="D18" i="36"/>
  <c r="H121" i="36"/>
  <c r="K27" i="36"/>
  <c r="J25" i="36"/>
  <c r="J143" i="36"/>
  <c r="H25" i="36"/>
  <c r="H143" i="36"/>
  <c r="I25" i="36"/>
  <c r="I143" i="36"/>
  <c r="J29" i="36"/>
  <c r="J142" i="36"/>
  <c r="H72" i="36"/>
  <c r="Z26" i="36"/>
  <c r="D143" i="36"/>
  <c r="D25" i="36"/>
  <c r="G141" i="36"/>
  <c r="G19" i="36"/>
  <c r="G23" i="36"/>
  <c r="O142" i="36"/>
  <c r="O29" i="36"/>
  <c r="H106" i="36"/>
  <c r="Q34" i="36"/>
  <c r="K18" i="36"/>
  <c r="K173" i="36"/>
  <c r="R19" i="36"/>
  <c r="R65" i="38" s="1"/>
  <c r="R64" i="38" s="1"/>
  <c r="Y35" i="36"/>
  <c r="N142" i="36"/>
  <c r="N29" i="36"/>
  <c r="T133" i="36"/>
  <c r="S133" i="36"/>
  <c r="W42" i="36"/>
  <c r="W58" i="36" s="1"/>
  <c r="V58" i="36"/>
  <c r="S59" i="36"/>
  <c r="S134" i="36"/>
  <c r="U52" i="36"/>
  <c r="V50" i="36"/>
  <c r="V14" i="36"/>
  <c r="W129" i="36"/>
  <c r="S18" i="36"/>
  <c r="W126" i="36"/>
  <c r="W125" i="36"/>
  <c r="W124" i="36"/>
  <c r="Y123" i="36"/>
  <c r="V110" i="36"/>
  <c r="X115" i="36"/>
  <c r="AG109" i="36"/>
  <c r="AL108" i="36"/>
  <c r="V112" i="36"/>
  <c r="U136" i="36"/>
  <c r="AL55" i="36"/>
  <c r="AC27" i="75" l="1"/>
  <c r="AA40" i="50"/>
  <c r="Z6" i="49"/>
  <c r="X6" i="45"/>
  <c r="AT111" i="36"/>
  <c r="AT185" i="36" s="1"/>
  <c r="AO185" i="36"/>
  <c r="AR96" i="36"/>
  <c r="AR181" i="36" s="1"/>
  <c r="AM181" i="36"/>
  <c r="AN185" i="36"/>
  <c r="AS111" i="36"/>
  <c r="AS185" i="36" s="1"/>
  <c r="AR69" i="36"/>
  <c r="AT96" i="36"/>
  <c r="AT181" i="36" s="1"/>
  <c r="AO181" i="36"/>
  <c r="AR111" i="36"/>
  <c r="AR185" i="36" s="1"/>
  <c r="AM185" i="36"/>
  <c r="X94" i="36"/>
  <c r="S180" i="36"/>
  <c r="AG117" i="36"/>
  <c r="AM187" i="36"/>
  <c r="AR116" i="36"/>
  <c r="AR187" i="36" s="1"/>
  <c r="AK116" i="36"/>
  <c r="AF187" i="36"/>
  <c r="AI117" i="36"/>
  <c r="AJ117" i="36" s="1"/>
  <c r="AK117" i="36" s="1"/>
  <c r="AM117" i="36" s="1"/>
  <c r="S183" i="36"/>
  <c r="X101" i="36"/>
  <c r="AT113" i="36"/>
  <c r="AT186" i="36" s="1"/>
  <c r="AO186" i="36"/>
  <c r="AK113" i="36"/>
  <c r="AF186" i="36"/>
  <c r="AS113" i="36"/>
  <c r="AS186" i="36" s="1"/>
  <c r="AN186" i="36"/>
  <c r="AA183" i="36"/>
  <c r="AF101" i="36"/>
  <c r="X98" i="36"/>
  <c r="S182" i="36"/>
  <c r="AK96" i="36"/>
  <c r="AF181" i="36"/>
  <c r="AF185" i="36"/>
  <c r="AK111" i="36"/>
  <c r="AK94" i="36"/>
  <c r="AF180" i="36"/>
  <c r="AT116" i="36"/>
  <c r="AT187" i="36" s="1"/>
  <c r="AO187" i="36"/>
  <c r="AN187" i="36"/>
  <c r="AS116" i="36"/>
  <c r="AS187" i="36" s="1"/>
  <c r="AR113" i="36"/>
  <c r="AR186" i="36" s="1"/>
  <c r="AM186" i="36"/>
  <c r="AA182" i="36"/>
  <c r="AF98" i="36"/>
  <c r="AN181" i="36"/>
  <c r="AS96" i="36"/>
  <c r="AS181" i="36" s="1"/>
  <c r="AN69" i="36"/>
  <c r="AO69" i="36" s="1"/>
  <c r="AP69" i="36" s="1"/>
  <c r="AS163" i="36"/>
  <c r="AT163" i="36" s="1"/>
  <c r="AU163" i="36" s="1"/>
  <c r="AR129" i="36"/>
  <c r="AR102" i="36"/>
  <c r="W57" i="36"/>
  <c r="AD77" i="36"/>
  <c r="AI77" i="36" s="1"/>
  <c r="AN77" i="36" s="1"/>
  <c r="AS77" i="36" s="1"/>
  <c r="V10" i="39"/>
  <c r="W10" i="39" s="1"/>
  <c r="W9" i="39"/>
  <c r="U151" i="36"/>
  <c r="U152" i="36"/>
  <c r="V85" i="36"/>
  <c r="V87" i="36" s="1"/>
  <c r="AN88" i="36"/>
  <c r="T90" i="36"/>
  <c r="U74" i="36"/>
  <c r="U76" i="36" s="1"/>
  <c r="R25" i="36"/>
  <c r="W7" i="36"/>
  <c r="F27" i="36"/>
  <c r="F32" i="36" s="1"/>
  <c r="S43" i="36"/>
  <c r="S44" i="36" s="1"/>
  <c r="X44" i="36" s="1"/>
  <c r="AC44" i="36" s="1"/>
  <c r="M25" i="36"/>
  <c r="V136" i="36"/>
  <c r="S61" i="36"/>
  <c r="S68" i="36"/>
  <c r="S65" i="36"/>
  <c r="AV55" i="36"/>
  <c r="AV108" i="36"/>
  <c r="W119" i="36"/>
  <c r="Z35" i="36"/>
  <c r="Q32" i="36"/>
  <c r="Q33" i="36"/>
  <c r="K33" i="36"/>
  <c r="K32" i="36"/>
  <c r="S57" i="36"/>
  <c r="T41" i="36"/>
  <c r="O33" i="36"/>
  <c r="O32" i="36"/>
  <c r="G25" i="36"/>
  <c r="G143" i="36"/>
  <c r="J34" i="36"/>
  <c r="I27" i="36"/>
  <c r="I34" i="36"/>
  <c r="N34" i="36"/>
  <c r="P27" i="36"/>
  <c r="O34" i="36"/>
  <c r="AA26" i="36"/>
  <c r="H18" i="36"/>
  <c r="D19" i="36"/>
  <c r="N32" i="36"/>
  <c r="N33" i="36"/>
  <c r="E32" i="36"/>
  <c r="E33" i="36"/>
  <c r="F142" i="36"/>
  <c r="F29" i="36"/>
  <c r="V155" i="36"/>
  <c r="H27" i="36"/>
  <c r="L34" i="36"/>
  <c r="G142" i="36"/>
  <c r="G29" i="36"/>
  <c r="AL88" i="36"/>
  <c r="T92" i="36"/>
  <c r="R29" i="36"/>
  <c r="R142" i="36"/>
  <c r="P34" i="36"/>
  <c r="K19" i="36"/>
  <c r="M18" i="36"/>
  <c r="D27" i="36"/>
  <c r="J27" i="36"/>
  <c r="L27" i="36"/>
  <c r="X83" i="36"/>
  <c r="AB84" i="36"/>
  <c r="X50" i="36"/>
  <c r="V52" i="36"/>
  <c r="W50" i="36"/>
  <c r="T134" i="36"/>
  <c r="T59" i="36"/>
  <c r="S8" i="36"/>
  <c r="S28" i="36"/>
  <c r="X14" i="36"/>
  <c r="W14" i="36"/>
  <c r="T168" i="36"/>
  <c r="Z123" i="36"/>
  <c r="Y7" i="36"/>
  <c r="W110" i="36"/>
  <c r="W111" i="36" s="1"/>
  <c r="X112" i="36"/>
  <c r="AQ108" i="36"/>
  <c r="AL109" i="36"/>
  <c r="W116" i="36"/>
  <c r="Y115" i="36"/>
  <c r="W112" i="36"/>
  <c r="X110" i="36"/>
  <c r="W16" i="36"/>
  <c r="AQ55" i="36"/>
  <c r="AC39" i="75" l="1"/>
  <c r="Z46" i="50"/>
  <c r="Z48" i="50" s="1"/>
  <c r="Z11" i="49"/>
  <c r="Z20" i="49" s="1"/>
  <c r="Z43" i="49" s="1"/>
  <c r="AA21" i="48"/>
  <c r="Y21" i="44"/>
  <c r="X48" i="46"/>
  <c r="X46" i="46"/>
  <c r="X11" i="45"/>
  <c r="AC94" i="36"/>
  <c r="X180" i="36"/>
  <c r="AK98" i="36"/>
  <c r="AF182" i="36"/>
  <c r="AP113" i="36"/>
  <c r="AK186" i="36"/>
  <c r="AK101" i="36"/>
  <c r="AF183" i="36"/>
  <c r="AS69" i="36"/>
  <c r="AT69" i="36" s="1"/>
  <c r="AU69" i="36" s="1"/>
  <c r="X182" i="36"/>
  <c r="AC98" i="36"/>
  <c r="AS102" i="36"/>
  <c r="AT102" i="36" s="1"/>
  <c r="AU102" i="36" s="1"/>
  <c r="AK180" i="36"/>
  <c r="AP94" i="36"/>
  <c r="AC101" i="36"/>
  <c r="X183" i="36"/>
  <c r="AS129" i="36"/>
  <c r="AT129" i="36" s="1"/>
  <c r="AU129" i="36" s="1"/>
  <c r="AK185" i="36"/>
  <c r="AP111" i="36"/>
  <c r="AL117" i="36"/>
  <c r="AN117" i="36"/>
  <c r="AO117" i="36" s="1"/>
  <c r="AP117" i="36" s="1"/>
  <c r="AR117" i="36" s="1"/>
  <c r="AQ69" i="36"/>
  <c r="AK181" i="36"/>
  <c r="AP96" i="36"/>
  <c r="AP116" i="36"/>
  <c r="AK187" i="36"/>
  <c r="AL102" i="36"/>
  <c r="S53" i="39"/>
  <c r="S56" i="39"/>
  <c r="AS88" i="36"/>
  <c r="AV88" i="36" s="1"/>
  <c r="U90" i="36"/>
  <c r="V74" i="36"/>
  <c r="V90" i="36" s="1"/>
  <c r="R27" i="36"/>
  <c r="R31" i="36" s="1"/>
  <c r="X91" i="36"/>
  <c r="F33" i="36"/>
  <c r="K146" i="36" s="1"/>
  <c r="V76" i="36"/>
  <c r="V78" i="36" s="1"/>
  <c r="Z91" i="36"/>
  <c r="AA91" i="36"/>
  <c r="Y91" i="36"/>
  <c r="T43" i="36"/>
  <c r="T44" i="36" s="1"/>
  <c r="Y44" i="36" s="1"/>
  <c r="AD44" i="36" s="1"/>
  <c r="M27" i="36"/>
  <c r="M31" i="36" s="1"/>
  <c r="M48" i="39" s="1"/>
  <c r="T98" i="36"/>
  <c r="T94" i="36"/>
  <c r="T101" i="36"/>
  <c r="AV109" i="36"/>
  <c r="T61" i="36"/>
  <c r="T68" i="36"/>
  <c r="T65" i="36"/>
  <c r="U168" i="36"/>
  <c r="X16" i="36"/>
  <c r="X9" i="39" s="1"/>
  <c r="J33" i="36"/>
  <c r="J146" i="36" s="1"/>
  <c r="J32" i="36"/>
  <c r="F34" i="36"/>
  <c r="H19" i="36"/>
  <c r="P32" i="36"/>
  <c r="P33" i="36"/>
  <c r="P146" i="36" s="1"/>
  <c r="T57" i="36"/>
  <c r="U41" i="36"/>
  <c r="D29" i="36"/>
  <c r="D142" i="36"/>
  <c r="G34" i="36"/>
  <c r="L147" i="36" s="1"/>
  <c r="AC26" i="36"/>
  <c r="AB26" i="36"/>
  <c r="J147" i="36"/>
  <c r="D32" i="36"/>
  <c r="D33" i="36"/>
  <c r="O147" i="36"/>
  <c r="I33" i="36"/>
  <c r="I146" i="36" s="1"/>
  <c r="I32" i="36"/>
  <c r="AQ88" i="36"/>
  <c r="G27" i="36"/>
  <c r="H32" i="36"/>
  <c r="H33" i="36"/>
  <c r="M19" i="36"/>
  <c r="M65" i="38" s="1"/>
  <c r="M64" i="38" s="1"/>
  <c r="Q147" i="36"/>
  <c r="K29" i="36"/>
  <c r="K142" i="36"/>
  <c r="X155" i="36"/>
  <c r="L33" i="36"/>
  <c r="L32" i="36"/>
  <c r="W155" i="36"/>
  <c r="N147" i="36"/>
  <c r="AB51" i="36"/>
  <c r="W22" i="36"/>
  <c r="X85" i="36"/>
  <c r="Y83" i="36"/>
  <c r="S140" i="36"/>
  <c r="T8" i="36"/>
  <c r="Y50" i="36"/>
  <c r="X52" i="36"/>
  <c r="V54" i="36"/>
  <c r="T170" i="36"/>
  <c r="T173" i="36" s="1"/>
  <c r="Y14" i="36"/>
  <c r="AA123" i="36"/>
  <c r="AB123" i="36" s="1"/>
  <c r="Y135" i="36"/>
  <c r="Z7" i="36"/>
  <c r="Z135" i="36" s="1"/>
  <c r="Z115" i="36"/>
  <c r="Y112" i="36"/>
  <c r="Y110" i="36"/>
  <c r="W113" i="36"/>
  <c r="AQ109" i="36"/>
  <c r="Y16" i="36"/>
  <c r="Y9" i="39" s="1"/>
  <c r="Y10" i="39" s="1"/>
  <c r="AC41" i="75" l="1"/>
  <c r="AA23" i="48"/>
  <c r="AB21" i="48"/>
  <c r="X43" i="45"/>
  <c r="X20" i="45"/>
  <c r="Y23" i="44"/>
  <c r="AQ117" i="36"/>
  <c r="AV69" i="36"/>
  <c r="T183" i="36"/>
  <c r="Y101" i="36"/>
  <c r="AH98" i="36"/>
  <c r="AC182" i="36"/>
  <c r="Y94" i="36"/>
  <c r="T180" i="36"/>
  <c r="AP187" i="36"/>
  <c r="AU116" i="36"/>
  <c r="AU187" i="36" s="1"/>
  <c r="AK183" i="36"/>
  <c r="AP101" i="36"/>
  <c r="AS117" i="36"/>
  <c r="AT117" i="36" s="1"/>
  <c r="AU117" i="36" s="1"/>
  <c r="AP186" i="36"/>
  <c r="AU113" i="36"/>
  <c r="AU186" i="36" s="1"/>
  <c r="AH101" i="36"/>
  <c r="AC183" i="36"/>
  <c r="AU94" i="36"/>
  <c r="AU180" i="36" s="1"/>
  <c r="AP180" i="36"/>
  <c r="T182" i="36"/>
  <c r="Y98" i="36"/>
  <c r="AP185" i="36"/>
  <c r="AU111" i="36"/>
  <c r="AU185" i="36" s="1"/>
  <c r="AU96" i="36"/>
  <c r="AU181" i="36" s="1"/>
  <c r="AP181" i="36"/>
  <c r="AK182" i="36"/>
  <c r="AP98" i="36"/>
  <c r="AH94" i="36"/>
  <c r="AC180" i="36"/>
  <c r="X10" i="39"/>
  <c r="R33" i="36"/>
  <c r="R36" i="36" s="1"/>
  <c r="R48" i="39"/>
  <c r="T56" i="39"/>
  <c r="T53" i="39"/>
  <c r="O146" i="36"/>
  <c r="AC115" i="36"/>
  <c r="W74" i="36"/>
  <c r="Q146" i="36"/>
  <c r="R30" i="36"/>
  <c r="R32" i="36" s="1"/>
  <c r="N146" i="36"/>
  <c r="X74" i="36"/>
  <c r="X76" i="36" s="1"/>
  <c r="X78" i="36" s="1"/>
  <c r="V79" i="36"/>
  <c r="V95" i="36"/>
  <c r="V92" i="36"/>
  <c r="AB75" i="36"/>
  <c r="AB91" i="36" s="1"/>
  <c r="U43" i="36"/>
  <c r="M30" i="36"/>
  <c r="M32" i="36" s="1"/>
  <c r="X136" i="36"/>
  <c r="AB35" i="36"/>
  <c r="Y136" i="36"/>
  <c r="R34" i="36"/>
  <c r="V168" i="36"/>
  <c r="S71" i="36"/>
  <c r="V30" i="36"/>
  <c r="V33" i="39" s="1"/>
  <c r="K34" i="36"/>
  <c r="AD26" i="36"/>
  <c r="V31" i="36"/>
  <c r="S130" i="36"/>
  <c r="S118" i="36"/>
  <c r="Y155" i="36"/>
  <c r="S103" i="36"/>
  <c r="H36" i="36"/>
  <c r="AC35" i="36"/>
  <c r="M33" i="36"/>
  <c r="M146" i="36" s="1"/>
  <c r="D34" i="36"/>
  <c r="G33" i="36"/>
  <c r="L146" i="36" s="1"/>
  <c r="G32" i="36"/>
  <c r="M142" i="36"/>
  <c r="M29" i="36"/>
  <c r="V41" i="36"/>
  <c r="V43" i="36" s="1"/>
  <c r="V45" i="36" s="1"/>
  <c r="U57" i="36"/>
  <c r="H29" i="36"/>
  <c r="H142" i="36"/>
  <c r="Y85" i="36"/>
  <c r="Z83" i="36"/>
  <c r="X87" i="36"/>
  <c r="V6" i="36"/>
  <c r="W6" i="36" s="1"/>
  <c r="T140" i="36"/>
  <c r="X54" i="36"/>
  <c r="Z50" i="36"/>
  <c r="Y52" i="36"/>
  <c r="Z14" i="36"/>
  <c r="U170" i="36"/>
  <c r="T18" i="36"/>
  <c r="AB125" i="36"/>
  <c r="AB124" i="36"/>
  <c r="AC123" i="36"/>
  <c r="AA7" i="36"/>
  <c r="AA115" i="36"/>
  <c r="Z110" i="36"/>
  <c r="Z112" i="36"/>
  <c r="Z16" i="36"/>
  <c r="Z9" i="39" s="1"/>
  <c r="Z10" i="39" s="1"/>
  <c r="AB104" i="36"/>
  <c r="AC6" i="74" l="1"/>
  <c r="AD40" i="75"/>
  <c r="AB23" i="48"/>
  <c r="AA24" i="48"/>
  <c r="AA25" i="48" s="1"/>
  <c r="Y25" i="44"/>
  <c r="Y24" i="44"/>
  <c r="AM101" i="36"/>
  <c r="AH183" i="36"/>
  <c r="AP183" i="36"/>
  <c r="AU101" i="36"/>
  <c r="AU183" i="36" s="1"/>
  <c r="AV117" i="36"/>
  <c r="AU98" i="36"/>
  <c r="AU182" i="36" s="1"/>
  <c r="AP182" i="36"/>
  <c r="Y180" i="36"/>
  <c r="AD94" i="36"/>
  <c r="Y182" i="36"/>
  <c r="AD98" i="36"/>
  <c r="AH182" i="36"/>
  <c r="AM98" i="36"/>
  <c r="Y183" i="36"/>
  <c r="AD101" i="36"/>
  <c r="AM94" i="36"/>
  <c r="AH180" i="36"/>
  <c r="AQ102" i="36"/>
  <c r="AK44" i="36"/>
  <c r="AH44" i="36"/>
  <c r="V57" i="39"/>
  <c r="W33" i="39"/>
  <c r="W57" i="39" s="1"/>
  <c r="AB90" i="36"/>
  <c r="AC112" i="36"/>
  <c r="AC110" i="36"/>
  <c r="AD115" i="36"/>
  <c r="Y74" i="36"/>
  <c r="Z74" i="36" s="1"/>
  <c r="AA74" i="36" s="1"/>
  <c r="X95" i="36"/>
  <c r="R146" i="36"/>
  <c r="X79" i="36"/>
  <c r="X90" i="36"/>
  <c r="U8" i="36"/>
  <c r="AA58" i="36"/>
  <c r="Z136" i="36"/>
  <c r="S72" i="36"/>
  <c r="M36" i="36"/>
  <c r="X31" i="36"/>
  <c r="H34" i="36"/>
  <c r="W41" i="36"/>
  <c r="V57" i="36"/>
  <c r="S15" i="36"/>
  <c r="S120" i="36"/>
  <c r="S131" i="36"/>
  <c r="S105" i="36"/>
  <c r="Z155" i="36"/>
  <c r="M34" i="36"/>
  <c r="X30" i="36"/>
  <c r="AE26" i="36"/>
  <c r="AD35" i="36"/>
  <c r="K147" i="36"/>
  <c r="P147" i="36"/>
  <c r="I147" i="36"/>
  <c r="X92" i="36"/>
  <c r="AA83" i="36"/>
  <c r="AC83" i="36" s="1"/>
  <c r="Z85" i="36"/>
  <c r="Y87" i="36"/>
  <c r="AA50" i="36"/>
  <c r="AC50" i="36" s="1"/>
  <c r="Z52" i="36"/>
  <c r="V134" i="36"/>
  <c r="X6" i="36"/>
  <c r="X134" i="36" s="1"/>
  <c r="Y54" i="36"/>
  <c r="V170" i="36"/>
  <c r="U18" i="36"/>
  <c r="T28" i="36"/>
  <c r="AA14" i="36"/>
  <c r="AB129" i="36"/>
  <c r="AB128" i="36"/>
  <c r="AB126" i="36"/>
  <c r="AB7" i="36"/>
  <c r="AC7" i="36"/>
  <c r="AC135" i="36" s="1"/>
  <c r="AA135" i="36"/>
  <c r="AD123" i="36"/>
  <c r="AB119" i="36"/>
  <c r="AB115" i="36"/>
  <c r="AA112" i="36"/>
  <c r="AA110" i="36"/>
  <c r="AB110" i="36" s="1"/>
  <c r="AA16" i="36"/>
  <c r="AA9" i="39" s="1"/>
  <c r="AA10" i="39" s="1"/>
  <c r="AB10" i="39" s="1"/>
  <c r="AC46" i="75" l="1"/>
  <c r="AC11" i="74"/>
  <c r="AD21" i="73"/>
  <c r="AA6" i="50"/>
  <c r="AA27" i="48"/>
  <c r="AB24" i="48"/>
  <c r="AA29" i="48"/>
  <c r="AA34" i="48" s="1"/>
  <c r="AA147" i="48" s="1"/>
  <c r="AB25" i="48"/>
  <c r="AB27" i="48" s="1"/>
  <c r="Y27" i="44"/>
  <c r="Y32" i="44"/>
  <c r="Y29" i="44"/>
  <c r="Y6" i="46"/>
  <c r="AM180" i="36"/>
  <c r="AR94" i="36"/>
  <c r="AR180" i="36" s="1"/>
  <c r="AM182" i="36"/>
  <c r="AR98" i="36"/>
  <c r="AR182" i="36" s="1"/>
  <c r="AI101" i="36"/>
  <c r="AD183" i="36"/>
  <c r="AI94" i="36"/>
  <c r="AD180" i="36"/>
  <c r="AI98" i="36"/>
  <c r="AD182" i="36"/>
  <c r="AM183" i="36"/>
  <c r="AR101" i="36"/>
  <c r="AR183" i="36" s="1"/>
  <c r="AC118" i="36"/>
  <c r="AC120" i="36" s="1"/>
  <c r="AC121" i="36" s="1"/>
  <c r="AB9" i="39"/>
  <c r="Y76" i="36"/>
  <c r="Y78" i="36" s="1"/>
  <c r="Y95" i="36" s="1"/>
  <c r="AM44" i="36"/>
  <c r="AP44" i="36"/>
  <c r="AI44" i="36"/>
  <c r="AC33" i="39"/>
  <c r="X33" i="39"/>
  <c r="U53" i="39"/>
  <c r="V53" i="39" s="1"/>
  <c r="X53" i="39" s="1"/>
  <c r="Y53" i="39" s="1"/>
  <c r="Z53" i="39" s="1"/>
  <c r="AA53" i="39" s="1"/>
  <c r="AC53" i="39" s="1"/>
  <c r="AD53" i="39" s="1"/>
  <c r="AE53" i="39" s="1"/>
  <c r="AF53" i="39" s="1"/>
  <c r="AH53" i="39" s="1"/>
  <c r="AI53" i="39" s="1"/>
  <c r="AJ53" i="39" s="1"/>
  <c r="AK53" i="39" s="1"/>
  <c r="AM53" i="39" s="1"/>
  <c r="AN53" i="39" s="1"/>
  <c r="AO53" i="39" s="1"/>
  <c r="AP53" i="39" s="1"/>
  <c r="AR53" i="39" s="1"/>
  <c r="AS53" i="39" s="1"/>
  <c r="AT53" i="39" s="1"/>
  <c r="AU53" i="39" s="1"/>
  <c r="U56" i="39"/>
  <c r="Z76" i="36"/>
  <c r="Y90" i="36"/>
  <c r="Z90" i="36"/>
  <c r="AE115" i="36"/>
  <c r="AD110" i="36"/>
  <c r="AD112" i="36"/>
  <c r="AC85" i="36"/>
  <c r="AC87" i="36" s="1"/>
  <c r="AD83" i="36"/>
  <c r="AC74" i="36"/>
  <c r="AC76" i="36" s="1"/>
  <c r="AC78" i="36" s="1"/>
  <c r="AD50" i="36"/>
  <c r="AC52" i="36"/>
  <c r="AC54" i="36" s="1"/>
  <c r="AA76" i="36"/>
  <c r="AA78" i="36" s="1"/>
  <c r="U140" i="36"/>
  <c r="V46" i="36"/>
  <c r="V5" i="36"/>
  <c r="V133" i="36" s="1"/>
  <c r="V62" i="36"/>
  <c r="V59" i="36"/>
  <c r="AA136" i="36"/>
  <c r="AE35" i="36"/>
  <c r="M147" i="36"/>
  <c r="R147" i="36"/>
  <c r="S121" i="36"/>
  <c r="Y31" i="36"/>
  <c r="S17" i="36"/>
  <c r="S137" i="36" s="1"/>
  <c r="AF26" i="36"/>
  <c r="AG26" i="36" s="1"/>
  <c r="S106" i="36"/>
  <c r="Y58" i="36"/>
  <c r="X58" i="36"/>
  <c r="AB42" i="36"/>
  <c r="X41" i="36"/>
  <c r="AA155" i="36"/>
  <c r="Z58" i="36"/>
  <c r="Y30" i="36"/>
  <c r="AB74" i="36"/>
  <c r="AA90" i="36"/>
  <c r="AB83" i="36"/>
  <c r="AA85" i="36"/>
  <c r="Y6" i="36"/>
  <c r="Y134" i="36" s="1"/>
  <c r="AB50" i="36"/>
  <c r="AA52" i="36"/>
  <c r="AB14" i="36"/>
  <c r="AC14" i="36"/>
  <c r="X168" i="36"/>
  <c r="V18" i="36"/>
  <c r="AD7" i="36"/>
  <c r="AE123" i="36"/>
  <c r="AB111" i="36"/>
  <c r="AB112" i="36"/>
  <c r="AB116" i="36"/>
  <c r="AC16" i="36"/>
  <c r="AC9" i="39" s="1"/>
  <c r="AB16" i="36"/>
  <c r="AC20" i="74" l="1"/>
  <c r="AD23" i="73"/>
  <c r="AC48" i="75"/>
  <c r="AB143" i="48"/>
  <c r="F18" i="52" s="1"/>
  <c r="AB29" i="48"/>
  <c r="AB30" i="48"/>
  <c r="AB32" i="48" s="1"/>
  <c r="AB31" i="48"/>
  <c r="AB33" i="48" s="1"/>
  <c r="AA32" i="48"/>
  <c r="AA33" i="48"/>
  <c r="AA146" i="48" s="1"/>
  <c r="AA22" i="50"/>
  <c r="AB6" i="50"/>
  <c r="AB22" i="50" s="1"/>
  <c r="AB55" i="50" s="1"/>
  <c r="AB148" i="48" s="1"/>
  <c r="AA38" i="49"/>
  <c r="Y38" i="45"/>
  <c r="Y22" i="46"/>
  <c r="Y146" i="44"/>
  <c r="Y33" i="44"/>
  <c r="Y147" i="44"/>
  <c r="Y34" i="44"/>
  <c r="AI182" i="36"/>
  <c r="AN98" i="36"/>
  <c r="AN101" i="36"/>
  <c r="AI183" i="36"/>
  <c r="AN94" i="36"/>
  <c r="AI180" i="36"/>
  <c r="Y79" i="36"/>
  <c r="AV102" i="36"/>
  <c r="Y92" i="36"/>
  <c r="AC10" i="39"/>
  <c r="AN44" i="36"/>
  <c r="AU44" i="36"/>
  <c r="AR44" i="36"/>
  <c r="AD33" i="39"/>
  <c r="AD57" i="39" s="1"/>
  <c r="Y33" i="39"/>
  <c r="Y57" i="39" s="1"/>
  <c r="X57" i="39"/>
  <c r="X58" i="39" s="1"/>
  <c r="AC57" i="39"/>
  <c r="AE110" i="36"/>
  <c r="AF115" i="36"/>
  <c r="AE112" i="36"/>
  <c r="AD118" i="36"/>
  <c r="AD120" i="36" s="1"/>
  <c r="AD121" i="36" s="1"/>
  <c r="AD85" i="36"/>
  <c r="AD87" i="36" s="1"/>
  <c r="AE83" i="36"/>
  <c r="AD74" i="36"/>
  <c r="AC90" i="36"/>
  <c r="AC95" i="36"/>
  <c r="AC92" i="36"/>
  <c r="AC79" i="36"/>
  <c r="AD52" i="36"/>
  <c r="AD54" i="36" s="1"/>
  <c r="AE50" i="36"/>
  <c r="AA79" i="36"/>
  <c r="AA95" i="36"/>
  <c r="X43" i="36"/>
  <c r="X45" i="36" s="1"/>
  <c r="V67" i="36"/>
  <c r="V60" i="36"/>
  <c r="V10" i="36"/>
  <c r="W10" i="36" s="1"/>
  <c r="W5" i="36"/>
  <c r="W8" i="36" s="1"/>
  <c r="V8" i="36"/>
  <c r="Z31" i="36"/>
  <c r="S141" i="36"/>
  <c r="S19" i="36"/>
  <c r="AB155" i="36"/>
  <c r="AH26" i="36"/>
  <c r="Z30" i="36"/>
  <c r="X57" i="36"/>
  <c r="Y41" i="36"/>
  <c r="AB58" i="36"/>
  <c r="AB139" i="36" s="1"/>
  <c r="W18" i="36"/>
  <c r="AG51" i="36"/>
  <c r="AB22" i="36"/>
  <c r="AG75" i="36"/>
  <c r="AA87" i="36"/>
  <c r="AG84" i="36"/>
  <c r="AA54" i="36"/>
  <c r="T130" i="36"/>
  <c r="T70" i="36"/>
  <c r="T103" i="36"/>
  <c r="T118" i="36"/>
  <c r="X170" i="36"/>
  <c r="AD14" i="36"/>
  <c r="AD135" i="36"/>
  <c r="AE7" i="36"/>
  <c r="AE135" i="36" s="1"/>
  <c r="AF123" i="36"/>
  <c r="AG123" i="36" s="1"/>
  <c r="AB113" i="36"/>
  <c r="AC136" i="36"/>
  <c r="AD16" i="36"/>
  <c r="AD9" i="39" s="1"/>
  <c r="AD10" i="39" s="1"/>
  <c r="AD24" i="73" l="1"/>
  <c r="AD25" i="73" s="1"/>
  <c r="AC43" i="74"/>
  <c r="AB146" i="48"/>
  <c r="AB36" i="48"/>
  <c r="AB38" i="49"/>
  <c r="AB41" i="49" s="1"/>
  <c r="AB42" i="49" s="1"/>
  <c r="AA41" i="49"/>
  <c r="AB34" i="48"/>
  <c r="AB147" i="48" s="1"/>
  <c r="AA55" i="50"/>
  <c r="AA148" i="48" s="1"/>
  <c r="AA42" i="50"/>
  <c r="D42" i="50"/>
  <c r="F19" i="52"/>
  <c r="S42" i="50"/>
  <c r="E42" i="50"/>
  <c r="N42" i="50"/>
  <c r="O42" i="50"/>
  <c r="T42" i="50"/>
  <c r="I42" i="50"/>
  <c r="M42" i="50" s="1"/>
  <c r="J42" i="50"/>
  <c r="U42" i="50"/>
  <c r="P42" i="50"/>
  <c r="F42" i="50"/>
  <c r="K42" i="50"/>
  <c r="L42" i="50"/>
  <c r="G42" i="50"/>
  <c r="Q42" i="50"/>
  <c r="V42" i="50"/>
  <c r="X42" i="50"/>
  <c r="Y42" i="50"/>
  <c r="Z42" i="50"/>
  <c r="Y148" i="44"/>
  <c r="Y55" i="46"/>
  <c r="Y41" i="45"/>
  <c r="Y62" i="45"/>
  <c r="AN180" i="36"/>
  <c r="AS94" i="36"/>
  <c r="AS180" i="36" s="1"/>
  <c r="AN183" i="36"/>
  <c r="AS101" i="36"/>
  <c r="AS183" i="36" s="1"/>
  <c r="AN182" i="36"/>
  <c r="AS98" i="36"/>
  <c r="AS182" i="36" s="1"/>
  <c r="V70" i="36"/>
  <c r="V71" i="36" s="1"/>
  <c r="W140" i="36"/>
  <c r="Y58" i="39"/>
  <c r="AS44" i="36"/>
  <c r="AE33" i="39"/>
  <c r="Z33" i="39"/>
  <c r="X46" i="36"/>
  <c r="V25" i="39"/>
  <c r="V8" i="38"/>
  <c r="V12" i="39"/>
  <c r="AH115" i="36"/>
  <c r="AE118" i="36"/>
  <c r="AE120" i="36" s="1"/>
  <c r="AE121" i="36" s="1"/>
  <c r="AF112" i="36"/>
  <c r="AF110" i="36"/>
  <c r="AF83" i="36"/>
  <c r="AE85" i="36"/>
  <c r="AC93" i="36"/>
  <c r="AC97" i="36"/>
  <c r="AC100" i="36"/>
  <c r="AE74" i="36"/>
  <c r="AE76" i="36" s="1"/>
  <c r="AD90" i="36"/>
  <c r="AD76" i="36"/>
  <c r="AD78" i="36" s="1"/>
  <c r="AE52" i="36"/>
  <c r="AF50" i="36"/>
  <c r="AB57" i="36"/>
  <c r="Y43" i="36"/>
  <c r="Y45" i="36" s="1"/>
  <c r="V140" i="36"/>
  <c r="U118" i="36"/>
  <c r="Y57" i="36"/>
  <c r="Z41" i="36"/>
  <c r="S142" i="36"/>
  <c r="AA31" i="36"/>
  <c r="AI26" i="36"/>
  <c r="AH35" i="36"/>
  <c r="AG35" i="36"/>
  <c r="AC153" i="36" s="1"/>
  <c r="AA30" i="36"/>
  <c r="AG91" i="36"/>
  <c r="AA92" i="36"/>
  <c r="U130" i="36"/>
  <c r="T71" i="36"/>
  <c r="T15" i="36"/>
  <c r="T105" i="36"/>
  <c r="AA6" i="36"/>
  <c r="AL51" i="36"/>
  <c r="T120" i="36"/>
  <c r="T131" i="36"/>
  <c r="AG129" i="36"/>
  <c r="AE14" i="36"/>
  <c r="Y168" i="36"/>
  <c r="X18" i="36"/>
  <c r="AG128" i="36"/>
  <c r="AG126" i="36"/>
  <c r="AG124" i="36"/>
  <c r="AF7" i="36"/>
  <c r="AH123" i="36"/>
  <c r="AG119" i="36"/>
  <c r="AG104" i="36"/>
  <c r="AE16" i="36"/>
  <c r="AE9" i="39" s="1"/>
  <c r="AE10" i="39" s="1"/>
  <c r="AD136" i="36"/>
  <c r="AD6" i="75" l="1"/>
  <c r="AD27" i="73"/>
  <c r="AD29" i="73"/>
  <c r="AD34" i="73" s="1"/>
  <c r="AA42" i="49"/>
  <c r="AA62" i="49"/>
  <c r="W42" i="50"/>
  <c r="H42" i="50"/>
  <c r="R42" i="50"/>
  <c r="AB42" i="50"/>
  <c r="Y42" i="45"/>
  <c r="Y12" i="45"/>
  <c r="AD153" i="36"/>
  <c r="AC155" i="36"/>
  <c r="AC30" i="36" s="1"/>
  <c r="AH33" i="39" s="1"/>
  <c r="AH57" i="39" s="1"/>
  <c r="AF118" i="36"/>
  <c r="AF120" i="36" s="1"/>
  <c r="AF121" i="36" s="1"/>
  <c r="Z57" i="39"/>
  <c r="Z58" i="39" s="1"/>
  <c r="AF33" i="39"/>
  <c r="AF57" i="39" s="1"/>
  <c r="AA33" i="39"/>
  <c r="AA57" i="39" s="1"/>
  <c r="AE57" i="39"/>
  <c r="AG33" i="39"/>
  <c r="AG57" i="39" s="1"/>
  <c r="Y46" i="36"/>
  <c r="V35" i="39"/>
  <c r="V37" i="38" s="1"/>
  <c r="W12" i="39"/>
  <c r="W8" i="38"/>
  <c r="V15" i="39"/>
  <c r="W15" i="39" s="1"/>
  <c r="W25" i="39"/>
  <c r="W56" i="39" s="1"/>
  <c r="V14" i="38"/>
  <c r="AG90" i="36"/>
  <c r="AH110" i="36"/>
  <c r="AH112" i="36"/>
  <c r="AI115" i="36"/>
  <c r="AH83" i="36"/>
  <c r="AF85" i="36"/>
  <c r="AF87" i="36" s="1"/>
  <c r="AF74" i="36"/>
  <c r="AE90" i="36"/>
  <c r="AD95" i="36"/>
  <c r="AD92" i="36"/>
  <c r="AD79" i="36"/>
  <c r="AH50" i="36"/>
  <c r="AF52" i="36"/>
  <c r="AF54" i="36" s="1"/>
  <c r="Z43" i="36"/>
  <c r="AI35" i="36"/>
  <c r="X59" i="36"/>
  <c r="X62" i="36"/>
  <c r="X5" i="36"/>
  <c r="AJ26" i="36"/>
  <c r="Z57" i="36"/>
  <c r="AA41" i="36"/>
  <c r="AC41" i="36" s="1"/>
  <c r="AA134" i="36"/>
  <c r="U131" i="36"/>
  <c r="AC6" i="36"/>
  <c r="T106" i="36"/>
  <c r="U120" i="36"/>
  <c r="T121" i="36"/>
  <c r="T17" i="36"/>
  <c r="T72" i="36"/>
  <c r="Y170" i="36"/>
  <c r="AF14" i="36"/>
  <c r="AG125" i="36"/>
  <c r="AI123" i="36"/>
  <c r="AF135" i="36"/>
  <c r="AG7" i="36"/>
  <c r="AH7" i="36"/>
  <c r="AH135" i="36" s="1"/>
  <c r="AG115" i="36"/>
  <c r="AE136" i="36"/>
  <c r="AF16" i="36"/>
  <c r="AF9" i="39" s="1"/>
  <c r="AF10" i="39" s="1"/>
  <c r="AG10" i="39" s="1"/>
  <c r="AD22" i="75" l="1"/>
  <c r="AD38" i="74"/>
  <c r="AD147" i="73"/>
  <c r="C11" i="77"/>
  <c r="C29" i="77" s="1"/>
  <c r="AD33" i="73"/>
  <c r="AD32" i="73"/>
  <c r="W44" i="50"/>
  <c r="AB44" i="50"/>
  <c r="AA12" i="49"/>
  <c r="AB12" i="49" s="1"/>
  <c r="AA7" i="49"/>
  <c r="AA17" i="49"/>
  <c r="Y24" i="46"/>
  <c r="Y7" i="45"/>
  <c r="Y17" i="45"/>
  <c r="AC31" i="36"/>
  <c r="AE153" i="36"/>
  <c r="AD155" i="36"/>
  <c r="AG9" i="39"/>
  <c r="AH118" i="36"/>
  <c r="AH120" i="36" s="1"/>
  <c r="AH121" i="36" s="1"/>
  <c r="AB33" i="39"/>
  <c r="AB57" i="39" s="1"/>
  <c r="AA58" i="39"/>
  <c r="AC58" i="39" s="1"/>
  <c r="W14" i="38"/>
  <c r="X7" i="39" s="1"/>
  <c r="W37" i="38"/>
  <c r="W35" i="39"/>
  <c r="W37" i="39" s="1"/>
  <c r="V37" i="39"/>
  <c r="AJ115" i="36"/>
  <c r="AI112" i="36"/>
  <c r="AI110" i="36"/>
  <c r="AH85" i="36"/>
  <c r="AH87" i="36" s="1"/>
  <c r="AI83" i="36"/>
  <c r="AD100" i="36"/>
  <c r="AD93" i="36"/>
  <c r="AD97" i="36"/>
  <c r="AH74" i="36"/>
  <c r="AF90" i="36"/>
  <c r="AF76" i="36"/>
  <c r="AF78" i="36" s="1"/>
  <c r="AH52" i="36"/>
  <c r="AH54" i="36" s="1"/>
  <c r="AI50" i="36"/>
  <c r="AC43" i="36"/>
  <c r="AC45" i="36" s="1"/>
  <c r="AC57" i="36"/>
  <c r="AD41" i="36"/>
  <c r="AD43" i="36" s="1"/>
  <c r="AD45" i="36" s="1"/>
  <c r="AA43" i="36"/>
  <c r="AA45" i="36" s="1"/>
  <c r="AF136" i="36"/>
  <c r="V12" i="36"/>
  <c r="Y59" i="36"/>
  <c r="Y5" i="36"/>
  <c r="Y133" i="36" s="1"/>
  <c r="Y62" i="36"/>
  <c r="AJ35" i="36"/>
  <c r="AK35" i="36" s="1"/>
  <c r="X133" i="36"/>
  <c r="X8" i="36"/>
  <c r="X10" i="36"/>
  <c r="X60" i="36"/>
  <c r="AD30" i="36"/>
  <c r="AI33" i="39" s="1"/>
  <c r="AI57" i="39" s="1"/>
  <c r="AA57" i="36"/>
  <c r="AB41" i="36"/>
  <c r="AK26" i="36"/>
  <c r="AL26" i="36" s="1"/>
  <c r="AG16" i="36"/>
  <c r="U15" i="36"/>
  <c r="AG74" i="36"/>
  <c r="AL75" i="36"/>
  <c r="AG83" i="36"/>
  <c r="AL84" i="36"/>
  <c r="T137" i="36"/>
  <c r="T19" i="36"/>
  <c r="T141" i="36"/>
  <c r="AG50" i="36"/>
  <c r="U121" i="36"/>
  <c r="AD6" i="36"/>
  <c r="AC134" i="36"/>
  <c r="W99" i="36"/>
  <c r="V118" i="36"/>
  <c r="W114" i="36"/>
  <c r="V130" i="36"/>
  <c r="W127" i="36"/>
  <c r="Z168" i="36"/>
  <c r="AH14" i="36"/>
  <c r="Y18" i="36"/>
  <c r="AG14" i="36"/>
  <c r="AI7" i="36"/>
  <c r="AI135" i="36" s="1"/>
  <c r="AJ123" i="36"/>
  <c r="AG116" i="36"/>
  <c r="AG112" i="36"/>
  <c r="AG110" i="36"/>
  <c r="AH16" i="36"/>
  <c r="AH9" i="39" s="1"/>
  <c r="AD146" i="73" l="1"/>
  <c r="AD41" i="74"/>
  <c r="AD42" i="75"/>
  <c r="AD55" i="75"/>
  <c r="AB17" i="49"/>
  <c r="AA26" i="50"/>
  <c r="AB26" i="50" s="1"/>
  <c r="AA24" i="50"/>
  <c r="AB7" i="49"/>
  <c r="Y26" i="46"/>
  <c r="AD31" i="36"/>
  <c r="AF153" i="36"/>
  <c r="AF155" i="36" s="1"/>
  <c r="AE155" i="36"/>
  <c r="AE30" i="36" s="1"/>
  <c r="AJ33" i="39" s="1"/>
  <c r="AJ57" i="39" s="1"/>
  <c r="X127" i="36"/>
  <c r="X99" i="36"/>
  <c r="X66" i="36"/>
  <c r="AH10" i="39"/>
  <c r="AI118" i="36"/>
  <c r="AI120" i="36" s="1"/>
  <c r="AI121" i="36" s="1"/>
  <c r="AD58" i="39"/>
  <c r="AE58" i="39" s="1"/>
  <c r="AF58" i="39" s="1"/>
  <c r="AG58" i="39" s="1"/>
  <c r="AB58" i="39"/>
  <c r="AA46" i="36"/>
  <c r="X8" i="38"/>
  <c r="X25" i="39"/>
  <c r="X12" i="39"/>
  <c r="AJ112" i="36"/>
  <c r="AJ110" i="36"/>
  <c r="AK115" i="36"/>
  <c r="AJ83" i="36"/>
  <c r="AI85" i="36"/>
  <c r="AI87" i="36" s="1"/>
  <c r="AI74" i="36"/>
  <c r="AH90" i="36"/>
  <c r="AF95" i="36"/>
  <c r="AF92" i="36"/>
  <c r="AF79" i="36"/>
  <c r="AH76" i="36"/>
  <c r="AH78" i="36" s="1"/>
  <c r="AI52" i="36"/>
  <c r="AI54" i="36" s="1"/>
  <c r="AJ50" i="36"/>
  <c r="AE41" i="36"/>
  <c r="AD57" i="36"/>
  <c r="AD59" i="36"/>
  <c r="AD46" i="36"/>
  <c r="AD62" i="36"/>
  <c r="AC46" i="36"/>
  <c r="AC62" i="36"/>
  <c r="AC59" i="36"/>
  <c r="AH136" i="36"/>
  <c r="W66" i="36"/>
  <c r="AM26" i="36"/>
  <c r="X140" i="36"/>
  <c r="Y10" i="36"/>
  <c r="Y8" i="36"/>
  <c r="Y60" i="36"/>
  <c r="AE31" i="36"/>
  <c r="AG42" i="36"/>
  <c r="U17" i="36"/>
  <c r="U141" i="36" s="1"/>
  <c r="AL91" i="36"/>
  <c r="V131" i="36"/>
  <c r="W118" i="36"/>
  <c r="V120" i="36"/>
  <c r="AD134" i="36"/>
  <c r="W12" i="36"/>
  <c r="T142" i="36"/>
  <c r="W130" i="36"/>
  <c r="AI14" i="36"/>
  <c r="Z170" i="36"/>
  <c r="AJ7" i="36"/>
  <c r="AJ135" i="36" s="1"/>
  <c r="AK123" i="36"/>
  <c r="AG113" i="36"/>
  <c r="AG111" i="36"/>
  <c r="AI16" i="36"/>
  <c r="AI9" i="39" s="1"/>
  <c r="AI10" i="39" s="1"/>
  <c r="AD148" i="73" l="1"/>
  <c r="AD62" i="74"/>
  <c r="AD42" i="74"/>
  <c r="AA27" i="50"/>
  <c r="AA39" i="50" s="1"/>
  <c r="AA41" i="50" s="1"/>
  <c r="AA6" i="49" s="1"/>
  <c r="AB24" i="50"/>
  <c r="AB27" i="50" s="1"/>
  <c r="AB39" i="50" s="1"/>
  <c r="AB41" i="50" s="1"/>
  <c r="Y27" i="46"/>
  <c r="AG155" i="36"/>
  <c r="AJ118" i="36"/>
  <c r="AJ120" i="36" s="1"/>
  <c r="AJ121" i="36" s="1"/>
  <c r="AH58" i="39"/>
  <c r="AI58" i="39" s="1"/>
  <c r="Y8" i="38"/>
  <c r="Y15" i="39" s="1"/>
  <c r="Y25" i="39"/>
  <c r="Y12" i="39"/>
  <c r="X35" i="39"/>
  <c r="X14" i="38"/>
  <c r="X15" i="39"/>
  <c r="AL90" i="36"/>
  <c r="AK112" i="36"/>
  <c r="AM115" i="36"/>
  <c r="AK110" i="36"/>
  <c r="AJ85" i="36"/>
  <c r="AK83" i="36"/>
  <c r="AH95" i="36"/>
  <c r="AH92" i="36"/>
  <c r="AH79" i="36"/>
  <c r="AF93" i="36"/>
  <c r="AF97" i="36"/>
  <c r="AF100" i="36"/>
  <c r="AJ74" i="36"/>
  <c r="AJ76" i="36" s="1"/>
  <c r="AI90" i="36"/>
  <c r="AI76" i="36"/>
  <c r="AI78" i="36" s="1"/>
  <c r="AJ52" i="36"/>
  <c r="AK50" i="36"/>
  <c r="AE57" i="36"/>
  <c r="AF41" i="36"/>
  <c r="AC60" i="36"/>
  <c r="AC64" i="36"/>
  <c r="AC67" i="36"/>
  <c r="AD67" i="36"/>
  <c r="AD60" i="36"/>
  <c r="AD64" i="36"/>
  <c r="AE43" i="36"/>
  <c r="AI136" i="36"/>
  <c r="AM35" i="36"/>
  <c r="AL35" i="36"/>
  <c r="AH153" i="36" s="1"/>
  <c r="Y140" i="36"/>
  <c r="AF31" i="36"/>
  <c r="AG58" i="36"/>
  <c r="AF30" i="36"/>
  <c r="AK33" i="39" s="1"/>
  <c r="AK57" i="39" s="1"/>
  <c r="AN26" i="36"/>
  <c r="AA62" i="36"/>
  <c r="AA59" i="36"/>
  <c r="AA5" i="36"/>
  <c r="U19" i="36"/>
  <c r="U142" i="36" s="1"/>
  <c r="AQ75" i="36"/>
  <c r="AF6" i="36"/>
  <c r="W120" i="36"/>
  <c r="AQ51" i="36"/>
  <c r="W131" i="36"/>
  <c r="V121" i="36"/>
  <c r="Z18" i="36"/>
  <c r="AL129" i="36"/>
  <c r="AJ14" i="36"/>
  <c r="AA168" i="36"/>
  <c r="AL126" i="36"/>
  <c r="AL125" i="36"/>
  <c r="AM123" i="36"/>
  <c r="AK7" i="36"/>
  <c r="AL7" i="36" s="1"/>
  <c r="AL123" i="36"/>
  <c r="AL119" i="36"/>
  <c r="AL104" i="36"/>
  <c r="AJ16" i="36"/>
  <c r="AJ9" i="39" s="1"/>
  <c r="AJ10" i="39" s="1"/>
  <c r="AD12" i="74" l="1"/>
  <c r="AD7" i="74"/>
  <c r="AD17" i="74"/>
  <c r="AG40" i="50"/>
  <c r="AC40" i="50"/>
  <c r="AA46" i="50"/>
  <c r="AA48" i="50" s="1"/>
  <c r="AA11" i="49"/>
  <c r="AA20" i="49" s="1"/>
  <c r="AA43" i="49" s="1"/>
  <c r="AB6" i="49"/>
  <c r="AC21" i="48"/>
  <c r="Y39" i="46"/>
  <c r="AI153" i="36"/>
  <c r="AH155" i="36"/>
  <c r="AH30" i="36" s="1"/>
  <c r="AM33" i="39" s="1"/>
  <c r="AK118" i="36"/>
  <c r="AK120" i="36" s="1"/>
  <c r="AK121" i="36" s="1"/>
  <c r="AJ58" i="39"/>
  <c r="Y35" i="39"/>
  <c r="X37" i="39"/>
  <c r="X37" i="38"/>
  <c r="Y7" i="39"/>
  <c r="AL33" i="39"/>
  <c r="AG57" i="36"/>
  <c r="AG139" i="36"/>
  <c r="AM110" i="36"/>
  <c r="AM112" i="36"/>
  <c r="AN115" i="36"/>
  <c r="AM83" i="36"/>
  <c r="AK85" i="36"/>
  <c r="AK87" i="36" s="1"/>
  <c r="AI95" i="36"/>
  <c r="AI79" i="36"/>
  <c r="AI92" i="36"/>
  <c r="AK74" i="36"/>
  <c r="AK76" i="36" s="1"/>
  <c r="AK78" i="36" s="1"/>
  <c r="AJ90" i="36"/>
  <c r="AH93" i="36"/>
  <c r="AH97" i="36"/>
  <c r="AH100" i="36"/>
  <c r="AM50" i="36"/>
  <c r="AK52" i="36"/>
  <c r="AK54" i="36" s="1"/>
  <c r="AF43" i="36"/>
  <c r="AF45" i="36" s="1"/>
  <c r="AH41" i="36"/>
  <c r="AH43" i="36" s="1"/>
  <c r="AH45" i="36" s="1"/>
  <c r="AF57" i="36"/>
  <c r="AV51" i="36"/>
  <c r="AA133" i="36"/>
  <c r="AO26" i="36"/>
  <c r="AN35" i="36"/>
  <c r="AA10" i="36"/>
  <c r="AA8" i="36"/>
  <c r="AA60" i="36"/>
  <c r="AC5" i="36"/>
  <c r="AQ84" i="36"/>
  <c r="AH6" i="36"/>
  <c r="AH134" i="36" s="1"/>
  <c r="W121" i="36"/>
  <c r="X118" i="36"/>
  <c r="X130" i="36"/>
  <c r="X12" i="36"/>
  <c r="AF134" i="36"/>
  <c r="AA170" i="36"/>
  <c r="AK14" i="36"/>
  <c r="AL14" i="36" s="1"/>
  <c r="AL128" i="36"/>
  <c r="AM7" i="36"/>
  <c r="AL124" i="36"/>
  <c r="AN123" i="36"/>
  <c r="AK135" i="36"/>
  <c r="AL115" i="36"/>
  <c r="AL116" i="36" s="1"/>
  <c r="AK16" i="36"/>
  <c r="AK9" i="39" s="1"/>
  <c r="AK10" i="39" s="1"/>
  <c r="AL10" i="39" s="1"/>
  <c r="AJ136" i="36"/>
  <c r="AD24" i="75" l="1"/>
  <c r="AD26" i="75"/>
  <c r="AB46" i="50"/>
  <c r="AB48" i="50" s="1"/>
  <c r="AB11" i="49"/>
  <c r="AB20" i="49" s="1"/>
  <c r="AB43" i="49" s="1"/>
  <c r="AC23" i="48"/>
  <c r="Y41" i="46"/>
  <c r="Z40" i="46"/>
  <c r="AH31" i="36"/>
  <c r="AJ153" i="36"/>
  <c r="AI155" i="36"/>
  <c r="AI30" i="36" s="1"/>
  <c r="AN33" i="39" s="1"/>
  <c r="Y14" i="38"/>
  <c r="Y99" i="36"/>
  <c r="Y127" i="36"/>
  <c r="Y66" i="36"/>
  <c r="AL9" i="39"/>
  <c r="AK58" i="39"/>
  <c r="AL58" i="39" s="1"/>
  <c r="Y37" i="38"/>
  <c r="AA8" i="38"/>
  <c r="AA25" i="39"/>
  <c r="AA12" i="39"/>
  <c r="Z7" i="39"/>
  <c r="Z99" i="36" s="1"/>
  <c r="Y37" i="39"/>
  <c r="AM57" i="39"/>
  <c r="AL57" i="39"/>
  <c r="AN112" i="36"/>
  <c r="AO115" i="36"/>
  <c r="AM118" i="36"/>
  <c r="AM120" i="36" s="1"/>
  <c r="AM121" i="36" s="1"/>
  <c r="AN110" i="36"/>
  <c r="AN83" i="36"/>
  <c r="AM85" i="36"/>
  <c r="AM87" i="36" s="1"/>
  <c r="AI93" i="36"/>
  <c r="AI97" i="36"/>
  <c r="AI100" i="36"/>
  <c r="AK79" i="36"/>
  <c r="AK95" i="36"/>
  <c r="AK92" i="36"/>
  <c r="AM74" i="36"/>
  <c r="AK90" i="36"/>
  <c r="AL64" i="39" s="1"/>
  <c r="AM52" i="36"/>
  <c r="AM54" i="36" s="1"/>
  <c r="AN50" i="36"/>
  <c r="AH57" i="36"/>
  <c r="AI41" i="36"/>
  <c r="AI43" i="36" s="1"/>
  <c r="AI45" i="36" s="1"/>
  <c r="AH59" i="36"/>
  <c r="AH46" i="36"/>
  <c r="AH62" i="36"/>
  <c r="AF46" i="36"/>
  <c r="AF62" i="36"/>
  <c r="AF59" i="36"/>
  <c r="AK136" i="36"/>
  <c r="AV75" i="36"/>
  <c r="AP26" i="36"/>
  <c r="AR26" i="36" s="1"/>
  <c r="AC133" i="36"/>
  <c r="AC8" i="36"/>
  <c r="AG41" i="36"/>
  <c r="AA140" i="36"/>
  <c r="AL42" i="36"/>
  <c r="AC10" i="36"/>
  <c r="AO35" i="36"/>
  <c r="AP35" i="36" s="1"/>
  <c r="AD5" i="36"/>
  <c r="AL16" i="36"/>
  <c r="AL74" i="36"/>
  <c r="AL83" i="36"/>
  <c r="AQ91" i="36"/>
  <c r="Y118" i="36"/>
  <c r="AL50" i="36"/>
  <c r="X120" i="36"/>
  <c r="X131" i="36"/>
  <c r="AI6" i="36"/>
  <c r="AI134" i="36" s="1"/>
  <c r="AM14" i="36"/>
  <c r="AC168" i="36"/>
  <c r="AA18" i="36"/>
  <c r="AM135" i="36"/>
  <c r="AN7" i="36"/>
  <c r="AO123" i="36"/>
  <c r="AL112" i="36"/>
  <c r="AL110" i="36"/>
  <c r="AM16" i="36"/>
  <c r="AM9" i="39" s="1"/>
  <c r="AD27" i="75" l="1"/>
  <c r="AC24" i="48"/>
  <c r="AC25" i="48"/>
  <c r="Y6" i="45"/>
  <c r="AI31" i="36"/>
  <c r="AK153" i="36"/>
  <c r="AK155" i="36" s="1"/>
  <c r="AJ155" i="36"/>
  <c r="Z127" i="36"/>
  <c r="Z66" i="36"/>
  <c r="AM10" i="39"/>
  <c r="AN118" i="36"/>
  <c r="AN120" i="36" s="1"/>
  <c r="AN121" i="36" s="1"/>
  <c r="AC25" i="39"/>
  <c r="AC8" i="38"/>
  <c r="AC15" i="39" s="1"/>
  <c r="AC12" i="39"/>
  <c r="AB8" i="38"/>
  <c r="AN57" i="39"/>
  <c r="AQ90" i="36"/>
  <c r="AP115" i="36"/>
  <c r="AO110" i="36"/>
  <c r="AO112" i="36"/>
  <c r="AO83" i="36"/>
  <c r="AN85" i="36"/>
  <c r="AN87" i="36" s="1"/>
  <c r="AN74" i="36"/>
  <c r="AN76" i="36" s="1"/>
  <c r="AN78" i="36" s="1"/>
  <c r="AM90" i="36"/>
  <c r="AK100" i="36"/>
  <c r="AK93" i="36"/>
  <c r="AK97" i="36"/>
  <c r="AM76" i="36"/>
  <c r="AM78" i="36" s="1"/>
  <c r="AN52" i="36"/>
  <c r="AN54" i="36" s="1"/>
  <c r="AO50" i="36"/>
  <c r="AF67" i="36"/>
  <c r="AF60" i="36"/>
  <c r="AF64" i="36"/>
  <c r="AI62" i="36"/>
  <c r="AI46" i="36"/>
  <c r="AI59" i="36"/>
  <c r="AH64" i="36"/>
  <c r="AH60" i="36"/>
  <c r="AH67" i="36"/>
  <c r="AJ41" i="36"/>
  <c r="AI57" i="36"/>
  <c r="AJ43" i="36"/>
  <c r="AV84" i="36"/>
  <c r="AV91" i="36" s="1"/>
  <c r="AS26" i="36"/>
  <c r="AT26" i="36" s="1"/>
  <c r="AU26" i="36" s="1"/>
  <c r="AV26" i="36" s="1"/>
  <c r="AR123" i="36"/>
  <c r="AD10" i="36"/>
  <c r="AQ26" i="36"/>
  <c r="AL58" i="36"/>
  <c r="AJ30" i="36"/>
  <c r="AO33" i="39" s="1"/>
  <c r="AD8" i="36"/>
  <c r="AC140" i="36"/>
  <c r="AD133" i="36"/>
  <c r="Y12" i="36"/>
  <c r="Y120" i="36"/>
  <c r="Y130" i="36"/>
  <c r="X121" i="36"/>
  <c r="AN14" i="36"/>
  <c r="AC170" i="36"/>
  <c r="AB18" i="36"/>
  <c r="AN135" i="36"/>
  <c r="AP123" i="36"/>
  <c r="AQ123" i="36" s="1"/>
  <c r="AO7" i="36"/>
  <c r="AO135" i="36" s="1"/>
  <c r="AL111" i="36"/>
  <c r="AL113" i="36"/>
  <c r="AN16" i="36"/>
  <c r="AN9" i="39" s="1"/>
  <c r="AN10" i="39" s="1"/>
  <c r="AM136" i="36"/>
  <c r="AD39" i="75" l="1"/>
  <c r="AC6" i="50"/>
  <c r="AC27" i="48"/>
  <c r="AC29" i="48"/>
  <c r="AC34" i="48" s="1"/>
  <c r="AC147" i="48" s="1"/>
  <c r="Z21" i="44"/>
  <c r="Y11" i="45"/>
  <c r="Y48" i="46"/>
  <c r="Y46" i="46"/>
  <c r="AJ31" i="36"/>
  <c r="AK31" i="36" s="1"/>
  <c r="AL155" i="36"/>
  <c r="AD25" i="39"/>
  <c r="AD8" i="38"/>
  <c r="AD15" i="39" s="1"/>
  <c r="AD12" i="39"/>
  <c r="AO57" i="39"/>
  <c r="AL57" i="36"/>
  <c r="AL139" i="36"/>
  <c r="AO118" i="36"/>
  <c r="AO120" i="36" s="1"/>
  <c r="AO121" i="36" s="1"/>
  <c r="AP112" i="36"/>
  <c r="AP110" i="36"/>
  <c r="AR115" i="36"/>
  <c r="AO85" i="36"/>
  <c r="AP83" i="36"/>
  <c r="AM79" i="36"/>
  <c r="AM95" i="36"/>
  <c r="AM92" i="36"/>
  <c r="AN95" i="36"/>
  <c r="AN79" i="36"/>
  <c r="AN92" i="36"/>
  <c r="AO74" i="36"/>
  <c r="AO76" i="36" s="1"/>
  <c r="AN90" i="36"/>
  <c r="AO52" i="36"/>
  <c r="AP50" i="36"/>
  <c r="AJ57" i="36"/>
  <c r="AK41" i="36"/>
  <c r="AI60" i="36"/>
  <c r="AI67" i="36"/>
  <c r="AI64" i="36"/>
  <c r="AN136" i="36"/>
  <c r="AQ35" i="36"/>
  <c r="AM153" i="36" s="1"/>
  <c r="AR35" i="36"/>
  <c r="AS123" i="36"/>
  <c r="AR7" i="36"/>
  <c r="AK30" i="36"/>
  <c r="AP33" i="39" s="1"/>
  <c r="AD140" i="36"/>
  <c r="AF5" i="36"/>
  <c r="AF133" i="36" s="1"/>
  <c r="Z118" i="36"/>
  <c r="Z120" i="36" s="1"/>
  <c r="AK6" i="36"/>
  <c r="AK134" i="36" s="1"/>
  <c r="Y121" i="36"/>
  <c r="Z12" i="36"/>
  <c r="Y131" i="36"/>
  <c r="Z130" i="36"/>
  <c r="AC18" i="36"/>
  <c r="AO14" i="36"/>
  <c r="AD168" i="36"/>
  <c r="AP7" i="36"/>
  <c r="AP135" i="36" s="1"/>
  <c r="AQ124" i="36"/>
  <c r="AO16" i="36"/>
  <c r="AO9" i="39" s="1"/>
  <c r="AO10" i="39" s="1"/>
  <c r="AD41" i="75" l="1"/>
  <c r="AC32" i="48"/>
  <c r="AC33" i="48"/>
  <c r="AC146" i="48" s="1"/>
  <c r="AC22" i="50"/>
  <c r="AC38" i="49"/>
  <c r="Z23" i="44"/>
  <c r="Y43" i="45"/>
  <c r="Y20" i="45"/>
  <c r="AN153" i="36"/>
  <c r="AM155" i="36"/>
  <c r="AP118" i="36"/>
  <c r="AP120" i="36" s="1"/>
  <c r="AP121" i="36" s="1"/>
  <c r="AP57" i="39"/>
  <c r="AQ33" i="39"/>
  <c r="AS115" i="36"/>
  <c r="AR112" i="36"/>
  <c r="AR110" i="36"/>
  <c r="AR83" i="36"/>
  <c r="AP85" i="36"/>
  <c r="AP87" i="36" s="1"/>
  <c r="AO90" i="36"/>
  <c r="AP74" i="36"/>
  <c r="AM100" i="36"/>
  <c r="AM97" i="36"/>
  <c r="AM93" i="36"/>
  <c r="AN97" i="36"/>
  <c r="AN100" i="36"/>
  <c r="AN93" i="36"/>
  <c r="AR50" i="36"/>
  <c r="AP52" i="36"/>
  <c r="AP54" i="36" s="1"/>
  <c r="AK43" i="36"/>
  <c r="AK45" i="36" s="1"/>
  <c r="AM41" i="36"/>
  <c r="AM43" i="36" s="1"/>
  <c r="AM45" i="36" s="1"/>
  <c r="AK57" i="36"/>
  <c r="AO136" i="36"/>
  <c r="AQ125" i="36"/>
  <c r="AR135" i="36"/>
  <c r="AS35" i="36"/>
  <c r="AR16" i="36"/>
  <c r="AR9" i="39" s="1"/>
  <c r="AR14" i="36"/>
  <c r="AV126" i="36"/>
  <c r="AQ128" i="36"/>
  <c r="AS7" i="36"/>
  <c r="AS135" i="36" s="1"/>
  <c r="AU123" i="36"/>
  <c r="AU7" i="36" s="1"/>
  <c r="AU135" i="36" s="1"/>
  <c r="AT123" i="36"/>
  <c r="AT7" i="36" s="1"/>
  <c r="AT135" i="36" s="1"/>
  <c r="AH5" i="36"/>
  <c r="AQ126" i="36"/>
  <c r="AM31" i="36"/>
  <c r="AM30" i="36"/>
  <c r="AR33" i="39" s="1"/>
  <c r="AF10" i="36"/>
  <c r="AF8" i="36"/>
  <c r="AQ115" i="36"/>
  <c r="AQ116" i="36" s="1"/>
  <c r="Z131" i="36"/>
  <c r="AM6" i="36"/>
  <c r="Z121" i="36"/>
  <c r="AD170" i="36"/>
  <c r="AP14" i="36"/>
  <c r="AQ129" i="36"/>
  <c r="AQ7" i="36"/>
  <c r="AQ119" i="36"/>
  <c r="AP16" i="36"/>
  <c r="AP9" i="39" s="1"/>
  <c r="AP10" i="39" s="1"/>
  <c r="AQ10" i="39" s="1"/>
  <c r="AQ104" i="36"/>
  <c r="AE40" i="75" l="1"/>
  <c r="AD6" i="74"/>
  <c r="AC41" i="49"/>
  <c r="AC55" i="50"/>
  <c r="AC148" i="48" s="1"/>
  <c r="AC42" i="50"/>
  <c r="Z25" i="44"/>
  <c r="Z24" i="44"/>
  <c r="AO153" i="36"/>
  <c r="AN155" i="36"/>
  <c r="AN30" i="36" s="1"/>
  <c r="AS33" i="39" s="1"/>
  <c r="AR118" i="36"/>
  <c r="AR120" i="36" s="1"/>
  <c r="AR121" i="36" s="1"/>
  <c r="AQ9" i="39"/>
  <c r="AR10" i="39"/>
  <c r="AF25" i="39"/>
  <c r="AF8" i="38"/>
  <c r="AF12" i="39"/>
  <c r="AR57" i="39"/>
  <c r="AQ57" i="39"/>
  <c r="AS110" i="36"/>
  <c r="AS112" i="36"/>
  <c r="AS118" i="36" s="1"/>
  <c r="AS120" i="36" s="1"/>
  <c r="AS121" i="36" s="1"/>
  <c r="AT115" i="36"/>
  <c r="AU115" i="36"/>
  <c r="AR85" i="36"/>
  <c r="AR87" i="36" s="1"/>
  <c r="AS83" i="36"/>
  <c r="AP76" i="36"/>
  <c r="AP78" i="36" s="1"/>
  <c r="AR74" i="36"/>
  <c r="AP90" i="36"/>
  <c r="AV90" i="36" s="1"/>
  <c r="AR52" i="36"/>
  <c r="AR54" i="36" s="1"/>
  <c r="AS50" i="36"/>
  <c r="AM46" i="36"/>
  <c r="AM62" i="36"/>
  <c r="AM59" i="36"/>
  <c r="AN41" i="36"/>
  <c r="AN43" i="36"/>
  <c r="AN45" i="36" s="1"/>
  <c r="AM57" i="36"/>
  <c r="AK62" i="36"/>
  <c r="AK46" i="36"/>
  <c r="AK59" i="36"/>
  <c r="AR136" i="36"/>
  <c r="AQ16" i="36"/>
  <c r="AV123" i="36"/>
  <c r="AV124" i="36" s="1"/>
  <c r="AV7" i="36"/>
  <c r="AS16" i="36"/>
  <c r="AS9" i="39" s="1"/>
  <c r="AS10" i="39" s="1"/>
  <c r="AS14" i="36"/>
  <c r="AT35" i="36"/>
  <c r="AU35" i="36" s="1"/>
  <c r="AH10" i="36"/>
  <c r="AQ42" i="36"/>
  <c r="AH133" i="36"/>
  <c r="AH8" i="36"/>
  <c r="AI5" i="36"/>
  <c r="AI133" i="36" s="1"/>
  <c r="AF140" i="36"/>
  <c r="AN31" i="36"/>
  <c r="AL41" i="36"/>
  <c r="AP136" i="36"/>
  <c r="AQ74" i="36"/>
  <c r="AQ83" i="36"/>
  <c r="AM134" i="36"/>
  <c r="AN6" i="36"/>
  <c r="AQ50" i="36"/>
  <c r="AE168" i="36"/>
  <c r="AQ14" i="36"/>
  <c r="AD18" i="36"/>
  <c r="AQ112" i="36"/>
  <c r="AQ110" i="36"/>
  <c r="AD11" i="74" l="1"/>
  <c r="AE21" i="73"/>
  <c r="AD46" i="75"/>
  <c r="AC42" i="49"/>
  <c r="AC62" i="49"/>
  <c r="Z27" i="44"/>
  <c r="Z32" i="44"/>
  <c r="Z29" i="44"/>
  <c r="Z6" i="46"/>
  <c r="AP153" i="36"/>
  <c r="AO155" i="36"/>
  <c r="AH25" i="39"/>
  <c r="AH8" i="38"/>
  <c r="AH15" i="39" s="1"/>
  <c r="AH12" i="39"/>
  <c r="AG8" i="38"/>
  <c r="AS57" i="39"/>
  <c r="AT110" i="36"/>
  <c r="AU110" i="36"/>
  <c r="AU112" i="36"/>
  <c r="AT112" i="36"/>
  <c r="AS85" i="36"/>
  <c r="AS87" i="36" s="1"/>
  <c r="AT83" i="36"/>
  <c r="AS74" i="36"/>
  <c r="AS76" i="36" s="1"/>
  <c r="AS78" i="36" s="1"/>
  <c r="AR90" i="36"/>
  <c r="AR76" i="36"/>
  <c r="AR78" i="36" s="1"/>
  <c r="AP95" i="36"/>
  <c r="AP79" i="36"/>
  <c r="AP92" i="36"/>
  <c r="AS52" i="36"/>
  <c r="AS54" i="36" s="1"/>
  <c r="AT50" i="36"/>
  <c r="AK60" i="36"/>
  <c r="AK64" i="36"/>
  <c r="AK67" i="36"/>
  <c r="AN46" i="36"/>
  <c r="AN62" i="36"/>
  <c r="AN59" i="36"/>
  <c r="AO41" i="36"/>
  <c r="AN57" i="36"/>
  <c r="AM67" i="36"/>
  <c r="AM60" i="36"/>
  <c r="AM64" i="36"/>
  <c r="AV115" i="36"/>
  <c r="AV116" i="36" s="1"/>
  <c r="AT16" i="36"/>
  <c r="AT9" i="39" s="1"/>
  <c r="AT10" i="39" s="1"/>
  <c r="AV104" i="36"/>
  <c r="AV128" i="36"/>
  <c r="AV119" i="36"/>
  <c r="AR6" i="36"/>
  <c r="AR134" i="36" s="1"/>
  <c r="AS136" i="36"/>
  <c r="AU14" i="36"/>
  <c r="AT14" i="36"/>
  <c r="AQ58" i="36"/>
  <c r="AO31" i="36"/>
  <c r="AH140" i="36"/>
  <c r="AO30" i="36"/>
  <c r="AT33" i="39" s="1"/>
  <c r="AI8" i="36"/>
  <c r="AI10" i="36"/>
  <c r="S23" i="36"/>
  <c r="S143" i="36" s="1"/>
  <c r="AN134" i="36"/>
  <c r="AE170" i="36"/>
  <c r="AQ111" i="36"/>
  <c r="AQ113" i="36"/>
  <c r="AD48" i="75" l="1"/>
  <c r="AE23" i="73"/>
  <c r="AD20" i="74"/>
  <c r="AC12" i="49"/>
  <c r="AC7" i="49"/>
  <c r="AC24" i="50" s="1"/>
  <c r="AC17" i="49"/>
  <c r="Z38" i="45"/>
  <c r="Z146" i="44"/>
  <c r="Z33" i="44"/>
  <c r="Z22" i="46"/>
  <c r="Z147" i="44"/>
  <c r="Z34" i="44"/>
  <c r="AP155" i="36"/>
  <c r="AQ155" i="36" s="1"/>
  <c r="AI25" i="39"/>
  <c r="AI8" i="38"/>
  <c r="AI15" i="39" s="1"/>
  <c r="AI12" i="39"/>
  <c r="AT57" i="39"/>
  <c r="AQ57" i="36"/>
  <c r="AQ139" i="36"/>
  <c r="AU118" i="36"/>
  <c r="AU120" i="36" s="1"/>
  <c r="AU121" i="36" s="1"/>
  <c r="AT118" i="36"/>
  <c r="AT120" i="36" s="1"/>
  <c r="AT121" i="36" s="1"/>
  <c r="AT85" i="36"/>
  <c r="AU83" i="36"/>
  <c r="AU85" i="36" s="1"/>
  <c r="AU87" i="36" s="1"/>
  <c r="AS79" i="36"/>
  <c r="AS95" i="36"/>
  <c r="AS92" i="36"/>
  <c r="AP100" i="36"/>
  <c r="AP93" i="36"/>
  <c r="AP97" i="36"/>
  <c r="AR95" i="36"/>
  <c r="AR79" i="36"/>
  <c r="AR92" i="36"/>
  <c r="AT74" i="36"/>
  <c r="AT76" i="36" s="1"/>
  <c r="AS90" i="36"/>
  <c r="AU50" i="36"/>
  <c r="AU52" i="36" s="1"/>
  <c r="AU54" i="36" s="1"/>
  <c r="AT52" i="36"/>
  <c r="AN64" i="36"/>
  <c r="AN60" i="36"/>
  <c r="AN67" i="36"/>
  <c r="AP41" i="36"/>
  <c r="AO57" i="36"/>
  <c r="AO43" i="36"/>
  <c r="AV129" i="36"/>
  <c r="AV35" i="36"/>
  <c r="AR153" i="36" s="1"/>
  <c r="AR155" i="36" s="1"/>
  <c r="AT136" i="36"/>
  <c r="AV112" i="36"/>
  <c r="AV113" i="36" s="1"/>
  <c r="AV110" i="36"/>
  <c r="AV111" i="36" s="1"/>
  <c r="AV14" i="36"/>
  <c r="AU16" i="36"/>
  <c r="AU9" i="39" s="1"/>
  <c r="AU10" i="39" s="1"/>
  <c r="AV10" i="39" s="1"/>
  <c r="AS6" i="36"/>
  <c r="AS134" i="36" s="1"/>
  <c r="AP31" i="36"/>
  <c r="AI140" i="36"/>
  <c r="AP30" i="36"/>
  <c r="AU33" i="39" s="1"/>
  <c r="AK5" i="36"/>
  <c r="AK133" i="36" s="1"/>
  <c r="AP6" i="36"/>
  <c r="AP134" i="36" s="1"/>
  <c r="AE18" i="36"/>
  <c r="AF168" i="36"/>
  <c r="AE24" i="73" l="1"/>
  <c r="AD43" i="74"/>
  <c r="AC26" i="50"/>
  <c r="Z148" i="44"/>
  <c r="Z55" i="46"/>
  <c r="Z41" i="45"/>
  <c r="Z62" i="45"/>
  <c r="AR31" i="36"/>
  <c r="AS153" i="36"/>
  <c r="AV9" i="39"/>
  <c r="AU57" i="39"/>
  <c r="AV33" i="39"/>
  <c r="AU74" i="36"/>
  <c r="AU90" i="36" s="1"/>
  <c r="AT90" i="36"/>
  <c r="AR100" i="36"/>
  <c r="AR97" i="36"/>
  <c r="AR93" i="36"/>
  <c r="AS100" i="36"/>
  <c r="AS97" i="36"/>
  <c r="AS93" i="36"/>
  <c r="AP43" i="36"/>
  <c r="AP45" i="36" s="1"/>
  <c r="AR41" i="36"/>
  <c r="AR43" i="36"/>
  <c r="AR45" i="36" s="1"/>
  <c r="AP57" i="36"/>
  <c r="AR30" i="36"/>
  <c r="AV16" i="36"/>
  <c r="AU136" i="36"/>
  <c r="AV50" i="36"/>
  <c r="AV83" i="36"/>
  <c r="AV125" i="36"/>
  <c r="AV42" i="36"/>
  <c r="AV58" i="36" s="1"/>
  <c r="S25" i="36"/>
  <c r="S29" i="36"/>
  <c r="AK10" i="36"/>
  <c r="AM5" i="36"/>
  <c r="AK8" i="36"/>
  <c r="AF170" i="36"/>
  <c r="AE29" i="73" l="1"/>
  <c r="AE34" i="73" s="1"/>
  <c r="AE147" i="73" s="1"/>
  <c r="AE25" i="73"/>
  <c r="AC27" i="50"/>
  <c r="AC39" i="50" s="1"/>
  <c r="AC41" i="50" s="1"/>
  <c r="Z42" i="45"/>
  <c r="Z12" i="45"/>
  <c r="AT153" i="36"/>
  <c r="AS155" i="36"/>
  <c r="AK8" i="38"/>
  <c r="AK25" i="39"/>
  <c r="AK12" i="39"/>
  <c r="AV57" i="39"/>
  <c r="AU76" i="36"/>
  <c r="AU78" i="36" s="1"/>
  <c r="AV57" i="36"/>
  <c r="AR59" i="36"/>
  <c r="AR62" i="36"/>
  <c r="AR46" i="36"/>
  <c r="AR57" i="36"/>
  <c r="AS41" i="36"/>
  <c r="AP46" i="36"/>
  <c r="AP62" i="36"/>
  <c r="AP59" i="36"/>
  <c r="AU6" i="36"/>
  <c r="AU134" i="36" s="1"/>
  <c r="AV74" i="36"/>
  <c r="AM8" i="36"/>
  <c r="AQ41" i="36"/>
  <c r="AV139" i="36" s="1"/>
  <c r="AK140" i="36"/>
  <c r="S34" i="36"/>
  <c r="AN5" i="36"/>
  <c r="AN133" i="36" s="1"/>
  <c r="S27" i="36"/>
  <c r="AM133" i="36"/>
  <c r="AM10" i="36"/>
  <c r="AH168" i="36"/>
  <c r="AF18" i="36"/>
  <c r="AE27" i="73" l="1"/>
  <c r="AE6" i="75"/>
  <c r="AD40" i="50"/>
  <c r="AC6" i="49"/>
  <c r="Z7" i="45"/>
  <c r="Z17" i="45"/>
  <c r="Z26" i="46"/>
  <c r="AS31" i="36"/>
  <c r="AS30" i="36"/>
  <c r="AU153" i="36"/>
  <c r="AU155" i="36" s="1"/>
  <c r="AT155" i="36"/>
  <c r="AU79" i="36"/>
  <c r="AM25" i="39"/>
  <c r="AM8" i="38"/>
  <c r="AM15" i="39" s="1"/>
  <c r="AM12" i="39"/>
  <c r="AL8" i="38"/>
  <c r="AU92" i="36"/>
  <c r="AU93" i="36" s="1"/>
  <c r="AU95" i="36"/>
  <c r="AT41" i="36"/>
  <c r="AT43" i="36"/>
  <c r="AS57" i="36"/>
  <c r="AS43" i="36"/>
  <c r="AS45" i="36" s="1"/>
  <c r="AP60" i="36"/>
  <c r="AP64" i="36"/>
  <c r="AP67" i="36"/>
  <c r="AR67" i="36"/>
  <c r="AR64" i="36"/>
  <c r="AR60" i="36"/>
  <c r="AN10" i="36"/>
  <c r="AM140" i="36"/>
  <c r="S147" i="36"/>
  <c r="S32" i="36"/>
  <c r="S33" i="36"/>
  <c r="S146" i="36" s="1"/>
  <c r="AN8" i="36"/>
  <c r="AG18" i="36"/>
  <c r="AH170" i="36"/>
  <c r="AE32" i="73" l="1"/>
  <c r="AE33" i="73"/>
  <c r="AE38" i="74"/>
  <c r="AE22" i="75"/>
  <c r="AC46" i="50"/>
  <c r="AC48" i="50" s="1"/>
  <c r="AC11" i="49"/>
  <c r="AC20" i="49" s="1"/>
  <c r="AC43" i="49" s="1"/>
  <c r="AD21" i="48"/>
  <c r="Z24" i="46"/>
  <c r="AT30" i="36"/>
  <c r="AU30" i="36" s="1"/>
  <c r="AV155" i="36"/>
  <c r="AT31" i="36"/>
  <c r="AU31" i="36" s="1"/>
  <c r="AU100" i="36"/>
  <c r="AU97" i="36"/>
  <c r="AN8" i="38"/>
  <c r="AN15" i="39" s="1"/>
  <c r="AN25" i="39"/>
  <c r="AN12" i="39"/>
  <c r="AS46" i="36"/>
  <c r="AS62" i="36"/>
  <c r="AS10" i="36" s="1"/>
  <c r="AS59" i="36"/>
  <c r="AT57" i="36"/>
  <c r="AU41" i="36"/>
  <c r="AU57" i="36" s="1"/>
  <c r="AR5" i="36"/>
  <c r="AR8" i="36" s="1"/>
  <c r="AR10" i="36"/>
  <c r="AS5" i="36"/>
  <c r="AP5" i="36"/>
  <c r="AN140" i="36"/>
  <c r="AI168" i="36"/>
  <c r="AH18" i="36"/>
  <c r="AE41" i="74" l="1"/>
  <c r="AE55" i="75"/>
  <c r="AE42" i="75"/>
  <c r="AE146" i="73"/>
  <c r="AD23" i="48"/>
  <c r="Z27" i="46"/>
  <c r="AR25" i="39"/>
  <c r="AR8" i="38"/>
  <c r="AR12" i="39"/>
  <c r="AU43" i="36"/>
  <c r="AU45" i="36" s="1"/>
  <c r="AS67" i="36"/>
  <c r="AS64" i="36"/>
  <c r="AS60" i="36"/>
  <c r="AR140" i="36"/>
  <c r="AR133" i="36"/>
  <c r="AS133" i="36"/>
  <c r="AS8" i="36"/>
  <c r="AV41" i="36"/>
  <c r="AP133" i="36"/>
  <c r="AP8" i="36"/>
  <c r="AP10" i="36"/>
  <c r="AI170" i="36"/>
  <c r="AE42" i="74" l="1"/>
  <c r="AE62" i="74"/>
  <c r="AE148" i="73"/>
  <c r="AD24" i="48"/>
  <c r="AD25" i="48"/>
  <c r="Z39" i="46"/>
  <c r="AS8" i="38"/>
  <c r="AS15" i="39" s="1"/>
  <c r="AS25" i="39"/>
  <c r="AS12" i="39"/>
  <c r="AP25" i="39"/>
  <c r="AP8" i="38"/>
  <c r="AP12" i="39"/>
  <c r="AU62" i="36"/>
  <c r="AU10" i="36" s="1"/>
  <c r="AU46" i="36"/>
  <c r="AU59" i="36"/>
  <c r="AS140" i="36"/>
  <c r="AU5" i="36"/>
  <c r="AU133" i="36" s="1"/>
  <c r="AP140" i="36"/>
  <c r="AJ168" i="36"/>
  <c r="AI18" i="36"/>
  <c r="AE7" i="74" l="1"/>
  <c r="AE17" i="74"/>
  <c r="AE12" i="74"/>
  <c r="AD6" i="50"/>
  <c r="AD27" i="48"/>
  <c r="AD29" i="48"/>
  <c r="AD34" i="48" s="1"/>
  <c r="AD147" i="48" s="1"/>
  <c r="Z41" i="46"/>
  <c r="AA40" i="46"/>
  <c r="AQ8" i="38"/>
  <c r="AR15" i="39"/>
  <c r="AU67" i="36"/>
  <c r="AU64" i="36"/>
  <c r="AU60" i="36"/>
  <c r="AU8" i="36"/>
  <c r="AJ170" i="36"/>
  <c r="AE26" i="75" l="1"/>
  <c r="AE24" i="75"/>
  <c r="AD32" i="48"/>
  <c r="AD33" i="48"/>
  <c r="AD146" i="48" s="1"/>
  <c r="AD22" i="50"/>
  <c r="AD38" i="49"/>
  <c r="Z6" i="45"/>
  <c r="AU8" i="38"/>
  <c r="AU25" i="39"/>
  <c r="AU12" i="39"/>
  <c r="AU140" i="36"/>
  <c r="AJ18" i="36"/>
  <c r="AK168" i="36"/>
  <c r="AE27" i="75" l="1"/>
  <c r="AD41" i="49"/>
  <c r="AD55" i="50"/>
  <c r="AD148" i="48" s="1"/>
  <c r="AD42" i="50"/>
  <c r="AA21" i="44"/>
  <c r="Z11" i="45"/>
  <c r="Z48" i="46"/>
  <c r="Z46" i="46"/>
  <c r="AV8" i="38"/>
  <c r="AK170" i="36"/>
  <c r="AE39" i="75" l="1"/>
  <c r="AD42" i="49"/>
  <c r="AD62" i="49"/>
  <c r="AB21" i="44"/>
  <c r="Z43" i="45"/>
  <c r="Z20" i="45"/>
  <c r="AM168" i="36"/>
  <c r="AK18" i="36"/>
  <c r="AE41" i="75" l="1"/>
  <c r="AD12" i="49"/>
  <c r="AD7" i="49"/>
  <c r="AD24" i="50" s="1"/>
  <c r="AD17" i="49"/>
  <c r="AL18" i="36"/>
  <c r="AM170" i="36"/>
  <c r="AF40" i="75" l="1"/>
  <c r="AE6" i="74"/>
  <c r="AD26" i="50"/>
  <c r="AD27" i="50" s="1"/>
  <c r="AD39" i="50" s="1"/>
  <c r="AD41" i="50" s="1"/>
  <c r="AN168" i="36"/>
  <c r="AM18" i="36"/>
  <c r="AE11" i="74" l="1"/>
  <c r="AF21" i="73"/>
  <c r="AE46" i="75"/>
  <c r="AE40" i="50"/>
  <c r="AD6" i="49"/>
  <c r="T23" i="36"/>
  <c r="T143" i="36" s="1"/>
  <c r="AN170" i="36"/>
  <c r="AE48" i="75" l="1"/>
  <c r="AE20" i="74"/>
  <c r="AF23" i="73"/>
  <c r="AG21" i="73"/>
  <c r="AD46" i="50"/>
  <c r="AD48" i="50" s="1"/>
  <c r="AD11" i="49"/>
  <c r="AD20" i="49" s="1"/>
  <c r="AD43" i="49" s="1"/>
  <c r="AE21" i="48"/>
  <c r="AN18" i="36"/>
  <c r="AO168" i="36"/>
  <c r="AG23" i="73" l="1"/>
  <c r="AF24" i="73"/>
  <c r="AE43" i="74"/>
  <c r="AE23" i="48"/>
  <c r="T25" i="36"/>
  <c r="T29" i="36"/>
  <c r="AO170" i="36"/>
  <c r="AF25" i="73" l="1"/>
  <c r="AG24" i="73"/>
  <c r="AG25" i="73" s="1"/>
  <c r="AF29" i="73"/>
  <c r="AF34" i="73" s="1"/>
  <c r="AF147" i="73" s="1"/>
  <c r="AE24" i="48"/>
  <c r="AE25" i="48"/>
  <c r="T34" i="36"/>
  <c r="T27" i="36"/>
  <c r="AP168" i="36"/>
  <c r="AO18" i="36"/>
  <c r="AG27" i="73" l="1"/>
  <c r="AG143" i="73"/>
  <c r="AG29" i="73"/>
  <c r="AF6" i="75"/>
  <c r="AF27" i="73"/>
  <c r="AE6" i="50"/>
  <c r="AE27" i="48"/>
  <c r="AE29" i="48"/>
  <c r="AE34" i="48" s="1"/>
  <c r="AE147" i="48" s="1"/>
  <c r="AR168" i="36"/>
  <c r="AR170" i="36" s="1"/>
  <c r="T147" i="36"/>
  <c r="T32" i="36"/>
  <c r="T33" i="36"/>
  <c r="T146" i="36" s="1"/>
  <c r="AP170" i="36"/>
  <c r="AF32" i="73" l="1"/>
  <c r="AF33" i="73"/>
  <c r="AF38" i="74"/>
  <c r="AF22" i="75"/>
  <c r="AG6" i="75"/>
  <c r="AG31" i="73"/>
  <c r="AG34" i="73" s="1"/>
  <c r="AG147" i="73" s="1"/>
  <c r="AG30" i="73"/>
  <c r="AE32" i="48"/>
  <c r="AE33" i="48"/>
  <c r="AE146" i="48" s="1"/>
  <c r="AE22" i="50"/>
  <c r="AE38" i="49"/>
  <c r="AS168" i="36"/>
  <c r="AS170" i="36" s="1"/>
  <c r="AS18" i="36" s="1"/>
  <c r="AT168" i="36"/>
  <c r="AT170" i="36" s="1"/>
  <c r="AR18" i="36"/>
  <c r="AP18" i="36"/>
  <c r="AG32" i="73" l="1"/>
  <c r="AG22" i="75"/>
  <c r="AG38" i="74"/>
  <c r="AF41" i="74"/>
  <c r="AG33" i="73"/>
  <c r="AF55" i="75"/>
  <c r="AF42" i="75"/>
  <c r="AF146" i="73"/>
  <c r="AE41" i="49"/>
  <c r="AE55" i="50"/>
  <c r="AE148" i="48" s="1"/>
  <c r="AE42" i="50"/>
  <c r="AU168" i="36"/>
  <c r="AU170" i="36" s="1"/>
  <c r="AT18" i="36"/>
  <c r="AQ18" i="36"/>
  <c r="AG42" i="75" l="1"/>
  <c r="AF148" i="73"/>
  <c r="AF42" i="74"/>
  <c r="AF62" i="74"/>
  <c r="AG146" i="73"/>
  <c r="AG36" i="73"/>
  <c r="AG41" i="74"/>
  <c r="AG55" i="75"/>
  <c r="AE42" i="49"/>
  <c r="AE62" i="49"/>
  <c r="AU18" i="36"/>
  <c r="AV18" i="36"/>
  <c r="AG42" i="74" l="1"/>
  <c r="AF12" i="74"/>
  <c r="AF7" i="74"/>
  <c r="AF17" i="74"/>
  <c r="AG148" i="73"/>
  <c r="AG44" i="75"/>
  <c r="AE12" i="49"/>
  <c r="AE7" i="49"/>
  <c r="AE24" i="50" s="1"/>
  <c r="AE17" i="49"/>
  <c r="U23" i="36"/>
  <c r="U143" i="36" s="1"/>
  <c r="AG7" i="74" l="1"/>
  <c r="AF24" i="75"/>
  <c r="AG17" i="74"/>
  <c r="AF26" i="75"/>
  <c r="AG12" i="74"/>
  <c r="AE26" i="50"/>
  <c r="AE27" i="50"/>
  <c r="AE39" i="50" s="1"/>
  <c r="AE41" i="50" s="1"/>
  <c r="AC143" i="36"/>
  <c r="AD143" i="36" s="1"/>
  <c r="U25" i="36"/>
  <c r="AG26" i="75" l="1"/>
  <c r="AF27" i="75"/>
  <c r="AG24" i="75"/>
  <c r="AF40" i="50"/>
  <c r="AE6" i="49"/>
  <c r="AE143" i="36"/>
  <c r="AF143" i="36" s="1"/>
  <c r="U27" i="36"/>
  <c r="AG27" i="75" l="1"/>
  <c r="AF39" i="75"/>
  <c r="AE46" i="50"/>
  <c r="AE48" i="50" s="1"/>
  <c r="AE11" i="49"/>
  <c r="AE20" i="49" s="1"/>
  <c r="AE43" i="49" s="1"/>
  <c r="AF21" i="48"/>
  <c r="AH143" i="36"/>
  <c r="U33" i="36"/>
  <c r="U146" i="36" s="1"/>
  <c r="U32" i="36"/>
  <c r="AF41" i="75" l="1"/>
  <c r="AG39" i="75"/>
  <c r="AF23" i="48"/>
  <c r="AG21" i="48"/>
  <c r="AI143" i="36"/>
  <c r="AG41" i="75" l="1"/>
  <c r="AF6" i="74"/>
  <c r="AG23" i="48"/>
  <c r="AF24" i="48"/>
  <c r="AJ143" i="36"/>
  <c r="AK143" i="36"/>
  <c r="AF46" i="75" l="1"/>
  <c r="AF11" i="74"/>
  <c r="AG6" i="74"/>
  <c r="AH21" i="73"/>
  <c r="AH40" i="75"/>
  <c r="AL40" i="75"/>
  <c r="AG24" i="48"/>
  <c r="AF29" i="48"/>
  <c r="AF34" i="48" s="1"/>
  <c r="AF147" i="48" s="1"/>
  <c r="AF25" i="48"/>
  <c r="AG25" i="48"/>
  <c r="AG27" i="48" s="1"/>
  <c r="AM143" i="36"/>
  <c r="AN143" i="36" s="1"/>
  <c r="AG46" i="75" l="1"/>
  <c r="AG11" i="74"/>
  <c r="AF48" i="75"/>
  <c r="AH23" i="73"/>
  <c r="AF20" i="74"/>
  <c r="AF6" i="50"/>
  <c r="AF27" i="48"/>
  <c r="AG30" i="48"/>
  <c r="AG32" i="48" s="1"/>
  <c r="AG31" i="48"/>
  <c r="AG33" i="48" s="1"/>
  <c r="AG143" i="48"/>
  <c r="AG29" i="48"/>
  <c r="AG34" i="48" s="1"/>
  <c r="AG147" i="48" s="1"/>
  <c r="AO143" i="36"/>
  <c r="AP143" i="36" s="1"/>
  <c r="AH24" i="73" l="1"/>
  <c r="AH25" i="73"/>
  <c r="AG48" i="75"/>
  <c r="AF43" i="74"/>
  <c r="AG20" i="74"/>
  <c r="AG146" i="48"/>
  <c r="AG36" i="48"/>
  <c r="AF32" i="48"/>
  <c r="AF33" i="48"/>
  <c r="AF146" i="48" s="1"/>
  <c r="AF22" i="50"/>
  <c r="AG6" i="50"/>
  <c r="AG22" i="50" s="1"/>
  <c r="AG55" i="50" s="1"/>
  <c r="AG148" i="48" s="1"/>
  <c r="AF38" i="49"/>
  <c r="AR143" i="36"/>
  <c r="AG43" i="74" l="1"/>
  <c r="AH29" i="73"/>
  <c r="AH34" i="73" s="1"/>
  <c r="AH147" i="73" s="1"/>
  <c r="AH27" i="73"/>
  <c r="AH6" i="75"/>
  <c r="AG38" i="49"/>
  <c r="AG41" i="49" s="1"/>
  <c r="AG42" i="49" s="1"/>
  <c r="AF41" i="49"/>
  <c r="AF55" i="50"/>
  <c r="AF148" i="48" s="1"/>
  <c r="AF42" i="50"/>
  <c r="AG42" i="50" s="1"/>
  <c r="AG44" i="50" s="1"/>
  <c r="AS143" i="36"/>
  <c r="AT143" i="36" s="1"/>
  <c r="AH22" i="75" l="1"/>
  <c r="AH38" i="74"/>
  <c r="AH32" i="73"/>
  <c r="AH33" i="73"/>
  <c r="AF42" i="49"/>
  <c r="AF62" i="49"/>
  <c r="AU143" i="36"/>
  <c r="AH146" i="73" l="1"/>
  <c r="AH42" i="75"/>
  <c r="AH55" i="75"/>
  <c r="AH41" i="74"/>
  <c r="AF12" i="49"/>
  <c r="AG12" i="49" s="1"/>
  <c r="AF7" i="49"/>
  <c r="AF17" i="49"/>
  <c r="W21" i="36"/>
  <c r="AH42" i="74" l="1"/>
  <c r="AH62" i="74"/>
  <c r="AH148" i="73"/>
  <c r="AG17" i="49"/>
  <c r="AF26" i="50"/>
  <c r="AG26" i="50" s="1"/>
  <c r="AF24" i="50"/>
  <c r="AG7" i="49"/>
  <c r="W62" i="36"/>
  <c r="W45" i="36"/>
  <c r="W46" i="36" s="1"/>
  <c r="U44" i="36"/>
  <c r="Z44" i="36" s="1"/>
  <c r="AE44" i="36" s="1"/>
  <c r="U46" i="36"/>
  <c r="AH7" i="74" l="1"/>
  <c r="AH12" i="74"/>
  <c r="AH17" i="74"/>
  <c r="AF27" i="50"/>
  <c r="AF39" i="50" s="1"/>
  <c r="AF41" i="50" s="1"/>
  <c r="AF6" i="49" s="1"/>
  <c r="AG24" i="50"/>
  <c r="AG27" i="50" s="1"/>
  <c r="AG39" i="50" s="1"/>
  <c r="AG41" i="50" s="1"/>
  <c r="W63" i="36"/>
  <c r="U59" i="36"/>
  <c r="U53" i="36"/>
  <c r="W54" i="36"/>
  <c r="AH26" i="75" l="1"/>
  <c r="AH24" i="75"/>
  <c r="AH40" i="50"/>
  <c r="AL40" i="50"/>
  <c r="AF46" i="50"/>
  <c r="AF48" i="50" s="1"/>
  <c r="AF11" i="49"/>
  <c r="AF20" i="49" s="1"/>
  <c r="AF43" i="49" s="1"/>
  <c r="AG6" i="49"/>
  <c r="AH21" i="48"/>
  <c r="Z53" i="36"/>
  <c r="AE53" i="36" s="1"/>
  <c r="Z45" i="36"/>
  <c r="U68" i="36"/>
  <c r="U65" i="36"/>
  <c r="U61" i="36"/>
  <c r="Z54" i="36"/>
  <c r="W60" i="36"/>
  <c r="W67" i="36"/>
  <c r="W59" i="36"/>
  <c r="AH27" i="75" l="1"/>
  <c r="AG46" i="50"/>
  <c r="AG48" i="50" s="1"/>
  <c r="AG11" i="49"/>
  <c r="AG20" i="49" s="1"/>
  <c r="AG43" i="49" s="1"/>
  <c r="AH23" i="48"/>
  <c r="AJ53" i="36"/>
  <c r="AO53" i="36" s="1"/>
  <c r="AT53" i="36" s="1"/>
  <c r="AE54" i="36"/>
  <c r="Z62" i="36"/>
  <c r="AB45" i="36"/>
  <c r="AB46" i="36" s="1"/>
  <c r="Z46" i="36"/>
  <c r="AJ44" i="36"/>
  <c r="AE45" i="36"/>
  <c r="V64" i="36"/>
  <c r="Y67" i="36"/>
  <c r="AA67" i="36"/>
  <c r="X67" i="36"/>
  <c r="U70" i="36"/>
  <c r="U71" i="36" s="1"/>
  <c r="W68" i="36"/>
  <c r="W61" i="36"/>
  <c r="Z59" i="36"/>
  <c r="AB54" i="36"/>
  <c r="AH39" i="75" l="1"/>
  <c r="AH24" i="48"/>
  <c r="AH25" i="48"/>
  <c r="AJ54" i="36"/>
  <c r="AT54" i="36"/>
  <c r="AO54" i="36"/>
  <c r="AE46" i="36"/>
  <c r="AE59" i="36"/>
  <c r="AE62" i="36"/>
  <c r="AG45" i="36"/>
  <c r="AG46" i="36" s="1"/>
  <c r="AO44" i="36"/>
  <c r="AJ45" i="36"/>
  <c r="AB62" i="36"/>
  <c r="AB63" i="36" s="1"/>
  <c r="W71" i="36"/>
  <c r="W72" i="36" s="1"/>
  <c r="W64" i="36"/>
  <c r="X64" i="36"/>
  <c r="Z67" i="36"/>
  <c r="AB59" i="36"/>
  <c r="AB47" i="36" s="1"/>
  <c r="Z60" i="36"/>
  <c r="AG54" i="36"/>
  <c r="U72" i="36"/>
  <c r="AH41" i="75" l="1"/>
  <c r="AH6" i="50"/>
  <c r="AH27" i="48"/>
  <c r="AH29" i="48"/>
  <c r="AH34" i="48" s="1"/>
  <c r="AH147" i="48" s="1"/>
  <c r="AT44" i="36"/>
  <c r="AO45" i="36"/>
  <c r="AG62" i="36"/>
  <c r="AG63" i="36" s="1"/>
  <c r="AJ62" i="36"/>
  <c r="AJ59" i="36"/>
  <c r="AJ46" i="36"/>
  <c r="AL45" i="36"/>
  <c r="AL46" i="36" s="1"/>
  <c r="AE64" i="36"/>
  <c r="AE67" i="36"/>
  <c r="AE60" i="36"/>
  <c r="Y64" i="36"/>
  <c r="W65" i="36"/>
  <c r="W70" i="36"/>
  <c r="V72" i="36"/>
  <c r="X70" i="36"/>
  <c r="X71" i="36" s="1"/>
  <c r="X72" i="36" s="1"/>
  <c r="AL54" i="36"/>
  <c r="AG59" i="36"/>
  <c r="AB60" i="36"/>
  <c r="AB67" i="36"/>
  <c r="AB68" i="36" s="1"/>
  <c r="AH6" i="74" l="1"/>
  <c r="AI40" i="75"/>
  <c r="AH32" i="48"/>
  <c r="AH33" i="48"/>
  <c r="AH146" i="48" s="1"/>
  <c r="AH22" i="50"/>
  <c r="AH38" i="49"/>
  <c r="AJ60" i="36"/>
  <c r="AJ64" i="36"/>
  <c r="AJ67" i="36"/>
  <c r="AO59" i="36"/>
  <c r="AO62" i="36"/>
  <c r="AO46" i="36"/>
  <c r="AQ45" i="36"/>
  <c r="AQ46" i="36" s="1"/>
  <c r="AT45" i="36"/>
  <c r="AL62" i="36"/>
  <c r="AL63" i="36" s="1"/>
  <c r="Y70" i="36"/>
  <c r="Y71" i="36" s="1"/>
  <c r="Z64" i="36"/>
  <c r="AQ54" i="36"/>
  <c r="AG67" i="36"/>
  <c r="AG68" i="36" s="1"/>
  <c r="AV54" i="36"/>
  <c r="AL59" i="36"/>
  <c r="AG60" i="36"/>
  <c r="AB61" i="36"/>
  <c r="AH11" i="74" l="1"/>
  <c r="AI21" i="73"/>
  <c r="AH46" i="75"/>
  <c r="AH41" i="49"/>
  <c r="AH55" i="50"/>
  <c r="AH148" i="48" s="1"/>
  <c r="AH42" i="50"/>
  <c r="AQ62" i="36"/>
  <c r="AQ63" i="36" s="1"/>
  <c r="AT59" i="36"/>
  <c r="AV59" i="36" s="1"/>
  <c r="AT46" i="36"/>
  <c r="AT62" i="36"/>
  <c r="AV45" i="36"/>
  <c r="AV46" i="36" s="1"/>
  <c r="AO60" i="36"/>
  <c r="AO67" i="36"/>
  <c r="AO64" i="36"/>
  <c r="Z70" i="36"/>
  <c r="Z71" i="36" s="1"/>
  <c r="Z72" i="36" s="1"/>
  <c r="AA64" i="36"/>
  <c r="Y72" i="36"/>
  <c r="AL67" i="36"/>
  <c r="AL68" i="36" s="1"/>
  <c r="AQ59" i="36"/>
  <c r="AG61" i="36"/>
  <c r="AH48" i="75" l="1"/>
  <c r="AH20" i="74"/>
  <c r="AI23" i="73"/>
  <c r="AH42" i="49"/>
  <c r="AH62" i="49"/>
  <c r="AV62" i="36"/>
  <c r="AV63" i="36" s="1"/>
  <c r="AT60" i="36"/>
  <c r="AT64" i="36"/>
  <c r="AT67" i="36"/>
  <c r="AB64" i="36"/>
  <c r="AB65" i="36" s="1"/>
  <c r="AL60" i="36"/>
  <c r="AQ67" i="36"/>
  <c r="AQ68" i="36" s="1"/>
  <c r="AI24" i="73" l="1"/>
  <c r="AI25" i="73" s="1"/>
  <c r="AH43" i="74"/>
  <c r="AH7" i="49"/>
  <c r="AH12" i="49"/>
  <c r="AH17" i="49"/>
  <c r="AV67" i="36"/>
  <c r="AV68" i="36" s="1"/>
  <c r="AQ60" i="36"/>
  <c r="AL61" i="36"/>
  <c r="AI29" i="73" l="1"/>
  <c r="AI34" i="73" s="1"/>
  <c r="AI147" i="73" s="1"/>
  <c r="AI6" i="75"/>
  <c r="AI27" i="73"/>
  <c r="AH26" i="50"/>
  <c r="AH24" i="50"/>
  <c r="AQ61" i="36"/>
  <c r="AI33" i="73" l="1"/>
  <c r="AI32" i="73"/>
  <c r="AI22" i="75"/>
  <c r="AI38" i="74"/>
  <c r="AH27" i="50"/>
  <c r="AH39" i="50" s="1"/>
  <c r="AH41" i="50" s="1"/>
  <c r="AV60" i="36"/>
  <c r="AI41" i="74" l="1"/>
  <c r="AI146" i="73"/>
  <c r="AI55" i="75"/>
  <c r="AI42" i="75"/>
  <c r="AI40" i="50"/>
  <c r="AH6" i="49"/>
  <c r="AG64" i="36"/>
  <c r="AG65" i="36" s="1"/>
  <c r="AV61" i="36"/>
  <c r="AI148" i="73" l="1"/>
  <c r="AI42" i="74"/>
  <c r="AI62" i="74"/>
  <c r="AH46" i="50"/>
  <c r="AH48" i="50" s="1"/>
  <c r="AH11" i="49"/>
  <c r="AH20" i="49" s="1"/>
  <c r="AH43" i="49" s="1"/>
  <c r="AI21" i="48"/>
  <c r="W95" i="36"/>
  <c r="U133" i="36"/>
  <c r="W78" i="36"/>
  <c r="W79" i="36" s="1"/>
  <c r="U77" i="36"/>
  <c r="Z77" i="36" s="1"/>
  <c r="U79" i="36"/>
  <c r="AI7" i="74" l="1"/>
  <c r="AI12" i="74"/>
  <c r="AI17" i="74"/>
  <c r="AI23" i="48"/>
  <c r="AE77" i="36"/>
  <c r="Z78" i="36"/>
  <c r="W96" i="36"/>
  <c r="U92" i="36"/>
  <c r="U134" i="36"/>
  <c r="U86" i="36"/>
  <c r="Z86" i="36" s="1"/>
  <c r="AE86" i="36" s="1"/>
  <c r="W87" i="36"/>
  <c r="AI26" i="75" l="1"/>
  <c r="AI24" i="75"/>
  <c r="AI24" i="48"/>
  <c r="AJ86" i="36"/>
  <c r="AO86" i="36" s="1"/>
  <c r="AT86" i="36" s="1"/>
  <c r="AE87" i="36"/>
  <c r="AB78" i="36"/>
  <c r="AB79" i="36" s="1"/>
  <c r="Z95" i="36"/>
  <c r="Z5" i="36"/>
  <c r="AB5" i="36" s="1"/>
  <c r="Z79" i="36"/>
  <c r="AJ77" i="36"/>
  <c r="AO77" i="36" s="1"/>
  <c r="AT77" i="36" s="1"/>
  <c r="AE78" i="36"/>
  <c r="Z87" i="36"/>
  <c r="AB87" i="36" s="1"/>
  <c r="U101" i="36"/>
  <c r="U98" i="36"/>
  <c r="U94" i="36"/>
  <c r="AL64" i="36"/>
  <c r="AL65" i="36" s="1"/>
  <c r="AG87" i="36"/>
  <c r="AE6" i="36"/>
  <c r="AE134" i="36" s="1"/>
  <c r="W92" i="36"/>
  <c r="W82" i="36" s="1"/>
  <c r="AI27" i="75" l="1"/>
  <c r="AI29" i="48"/>
  <c r="AI34" i="48" s="1"/>
  <c r="AI147" i="48" s="1"/>
  <c r="AI25" i="48"/>
  <c r="Z94" i="36"/>
  <c r="U180" i="36"/>
  <c r="U182" i="36"/>
  <c r="Z98" i="36"/>
  <c r="Z101" i="36"/>
  <c r="U183" i="36"/>
  <c r="Z133" i="36"/>
  <c r="AE79" i="36"/>
  <c r="AE95" i="36"/>
  <c r="AG78" i="36"/>
  <c r="AG79" i="36" s="1"/>
  <c r="AE5" i="36"/>
  <c r="AG5" i="36" s="1"/>
  <c r="AJ78" i="36"/>
  <c r="AB95" i="36"/>
  <c r="AB96" i="36" s="1"/>
  <c r="Z10" i="36"/>
  <c r="AB10" i="36" s="1"/>
  <c r="AE92" i="36"/>
  <c r="Z6" i="36"/>
  <c r="Z8" i="36" s="1"/>
  <c r="AJ87" i="36"/>
  <c r="Z92" i="36"/>
  <c r="AB92" i="36" s="1"/>
  <c r="AB82" i="36" s="1"/>
  <c r="V100" i="36"/>
  <c r="V93" i="36"/>
  <c r="V97" i="36"/>
  <c r="U103" i="36"/>
  <c r="U105" i="36" s="1"/>
  <c r="AG6" i="36"/>
  <c r="AI39" i="75" l="1"/>
  <c r="AI6" i="50"/>
  <c r="AI27" i="48"/>
  <c r="AE98" i="36"/>
  <c r="Z182" i="36"/>
  <c r="AE101" i="36"/>
  <c r="Z183" i="36"/>
  <c r="AJ92" i="36"/>
  <c r="Z180" i="36"/>
  <c r="AE94" i="36"/>
  <c r="AE133" i="36"/>
  <c r="AE8" i="36"/>
  <c r="AE140" i="36" s="1"/>
  <c r="AG8" i="36"/>
  <c r="AB6" i="36"/>
  <c r="AB8" i="36" s="1"/>
  <c r="AB140" i="36" s="1"/>
  <c r="AE97" i="36"/>
  <c r="AE100" i="36"/>
  <c r="AT78" i="36"/>
  <c r="AO78" i="36"/>
  <c r="AT87" i="36"/>
  <c r="AO87" i="36"/>
  <c r="AG92" i="36"/>
  <c r="AG82" i="36" s="1"/>
  <c r="Z134" i="36"/>
  <c r="AJ95" i="36"/>
  <c r="AJ79" i="36"/>
  <c r="AL78" i="36"/>
  <c r="AL79" i="36" s="1"/>
  <c r="AJ5" i="36"/>
  <c r="AL5" i="36" s="1"/>
  <c r="AG95" i="36"/>
  <c r="AG96" i="36" s="1"/>
  <c r="AE10" i="36"/>
  <c r="AG10" i="36" s="1"/>
  <c r="AE25" i="39"/>
  <c r="AG25" i="39" s="1"/>
  <c r="AG56" i="39" s="1"/>
  <c r="AE8" i="38"/>
  <c r="AE12" i="39"/>
  <c r="AG12" i="39" s="1"/>
  <c r="Z8" i="38"/>
  <c r="Z25" i="39"/>
  <c r="Z12" i="39"/>
  <c r="V11" i="36"/>
  <c r="W11" i="36" s="1"/>
  <c r="W97" i="36"/>
  <c r="W98" i="36" s="1"/>
  <c r="X100" i="36"/>
  <c r="X13" i="36" s="1"/>
  <c r="V13" i="36"/>
  <c r="W13" i="36" s="1"/>
  <c r="W100" i="36"/>
  <c r="W101" i="36" s="1"/>
  <c r="X97" i="36"/>
  <c r="X11" i="36" s="1"/>
  <c r="V9" i="36"/>
  <c r="V103" i="36"/>
  <c r="V105" i="36" s="1"/>
  <c r="W93" i="36"/>
  <c r="X93" i="36"/>
  <c r="U137" i="36"/>
  <c r="U106" i="36"/>
  <c r="AG140" i="36"/>
  <c r="Z140" i="36"/>
  <c r="AJ6" i="36"/>
  <c r="AJ134" i="36" s="1"/>
  <c r="AL87" i="36"/>
  <c r="AI41" i="75" l="1"/>
  <c r="AI33" i="48"/>
  <c r="AI146" i="48" s="1"/>
  <c r="AI32" i="48"/>
  <c r="AI22" i="50"/>
  <c r="AI38" i="49"/>
  <c r="AE180" i="36"/>
  <c r="AJ94" i="36"/>
  <c r="AJ101" i="36"/>
  <c r="AE183" i="36"/>
  <c r="AE93" i="36"/>
  <c r="AJ98" i="36"/>
  <c r="AE182" i="36"/>
  <c r="AT92" i="36"/>
  <c r="AJ133" i="36"/>
  <c r="AO92" i="36"/>
  <c r="AO95" i="36"/>
  <c r="AO79" i="36"/>
  <c r="AQ78" i="36"/>
  <c r="AO5" i="36"/>
  <c r="AQ5" i="36" s="1"/>
  <c r="AT95" i="36"/>
  <c r="AT79" i="36"/>
  <c r="AV78" i="36"/>
  <c r="AT5" i="36"/>
  <c r="AV5" i="36" s="1"/>
  <c r="AL95" i="36"/>
  <c r="AL96" i="36" s="1"/>
  <c r="AJ10" i="36"/>
  <c r="AL10" i="36" s="1"/>
  <c r="AE15" i="39"/>
  <c r="AF15" i="39"/>
  <c r="AB12" i="39"/>
  <c r="Z35" i="39"/>
  <c r="Z37" i="38" s="1"/>
  <c r="AB25" i="39"/>
  <c r="AB56" i="39" s="1"/>
  <c r="Z14" i="38"/>
  <c r="AA7" i="39" s="1"/>
  <c r="Z15" i="39"/>
  <c r="AA15" i="39"/>
  <c r="V9" i="38"/>
  <c r="V22" i="38"/>
  <c r="W9" i="36"/>
  <c r="W15" i="36" s="1"/>
  <c r="W17" i="36" s="1"/>
  <c r="V15" i="36"/>
  <c r="V106" i="36"/>
  <c r="Y97" i="36"/>
  <c r="W103" i="36"/>
  <c r="W94" i="36"/>
  <c r="W105" i="36"/>
  <c r="W106" i="36" s="1"/>
  <c r="X9" i="36"/>
  <c r="X103" i="36"/>
  <c r="X105" i="36" s="1"/>
  <c r="X106" i="36" s="1"/>
  <c r="Y100" i="36"/>
  <c r="Y93" i="36"/>
  <c r="AO6" i="36"/>
  <c r="AO134" i="36" s="1"/>
  <c r="AQ87" i="36"/>
  <c r="AL92" i="36"/>
  <c r="AL82" i="36" s="1"/>
  <c r="AJ8" i="36"/>
  <c r="AL6" i="36"/>
  <c r="AL8" i="36" s="1"/>
  <c r="AL65" i="39" s="1"/>
  <c r="AT6" i="36"/>
  <c r="AT134" i="36" s="1"/>
  <c r="AV87" i="36"/>
  <c r="AI6" i="74" l="1"/>
  <c r="AJ40" i="75"/>
  <c r="AI55" i="50"/>
  <c r="AI148" i="48" s="1"/>
  <c r="AI42" i="50"/>
  <c r="AI41" i="49"/>
  <c r="AO133" i="36"/>
  <c r="AJ182" i="36"/>
  <c r="AO98" i="36"/>
  <c r="AJ97" i="36"/>
  <c r="AO101" i="36"/>
  <c r="AJ183" i="36"/>
  <c r="AJ100" i="36"/>
  <c r="AO94" i="36"/>
  <c r="AJ180" i="36"/>
  <c r="AJ93" i="36"/>
  <c r="AA99" i="36"/>
  <c r="AA127" i="36"/>
  <c r="AA66" i="36"/>
  <c r="AO100" i="36"/>
  <c r="AT133" i="36"/>
  <c r="AV95" i="36"/>
  <c r="AV96" i="36" s="1"/>
  <c r="AT10" i="36"/>
  <c r="AV10" i="36" s="1"/>
  <c r="AQ95" i="36"/>
  <c r="AQ96" i="36" s="1"/>
  <c r="AO10" i="36"/>
  <c r="AQ10" i="36" s="1"/>
  <c r="AJ8" i="38"/>
  <c r="AJ25" i="39"/>
  <c r="AL25" i="39" s="1"/>
  <c r="AL56" i="39" s="1"/>
  <c r="AJ12" i="39"/>
  <c r="AL12" i="39" s="1"/>
  <c r="AG15" i="39"/>
  <c r="AA14" i="38"/>
  <c r="AB14" i="38" s="1"/>
  <c r="AC7" i="39" s="1"/>
  <c r="AC14" i="38" s="1"/>
  <c r="AB7" i="39"/>
  <c r="AB15" i="39"/>
  <c r="AA35" i="39"/>
  <c r="AB35" i="39" s="1"/>
  <c r="AB37" i="39" s="1"/>
  <c r="Z37" i="39"/>
  <c r="X22" i="38"/>
  <c r="X18" i="39" s="1"/>
  <c r="X9" i="38"/>
  <c r="X16" i="39" s="1"/>
  <c r="V18" i="39"/>
  <c r="W18" i="39" s="1"/>
  <c r="W22" i="38"/>
  <c r="W30" i="38" s="1"/>
  <c r="W35" i="38" s="1"/>
  <c r="V30" i="38"/>
  <c r="V35" i="38" s="1"/>
  <c r="V16" i="39"/>
  <c r="W16" i="39" s="1"/>
  <c r="W9" i="38"/>
  <c r="Z100" i="36"/>
  <c r="Z13" i="36" s="1"/>
  <c r="Y11" i="36"/>
  <c r="Z97" i="36"/>
  <c r="Z11" i="36" s="1"/>
  <c r="AQ64" i="36"/>
  <c r="AQ65" i="36" s="1"/>
  <c r="Y9" i="36"/>
  <c r="Y103" i="36"/>
  <c r="Y105" i="36" s="1"/>
  <c r="X15" i="36"/>
  <c r="Z93" i="36"/>
  <c r="W19" i="36"/>
  <c r="W141" i="36"/>
  <c r="W23" i="36"/>
  <c r="V17" i="36"/>
  <c r="Y13" i="36"/>
  <c r="AL140" i="36"/>
  <c r="AO8" i="36"/>
  <c r="AQ6" i="36"/>
  <c r="AQ8" i="36" s="1"/>
  <c r="AJ140" i="36"/>
  <c r="AQ92" i="36"/>
  <c r="AV92" i="36"/>
  <c r="AV6" i="36"/>
  <c r="AV8" i="36" s="1"/>
  <c r="AT8" i="36"/>
  <c r="AJ21" i="73" l="1"/>
  <c r="AI46" i="75"/>
  <c r="AI11" i="74"/>
  <c r="AI42" i="49"/>
  <c r="AI62" i="49"/>
  <c r="AO183" i="36"/>
  <c r="AT101" i="36"/>
  <c r="AO180" i="36"/>
  <c r="AT94" i="36"/>
  <c r="AO182" i="36"/>
  <c r="AT98" i="36"/>
  <c r="AO93" i="36"/>
  <c r="AO97" i="36"/>
  <c r="W142" i="36"/>
  <c r="W65" i="38"/>
  <c r="W64" i="38" s="1"/>
  <c r="AC99" i="36"/>
  <c r="AC127" i="36"/>
  <c r="AC66" i="36"/>
  <c r="AT25" i="39"/>
  <c r="AV25" i="39" s="1"/>
  <c r="AV56" i="39" s="1"/>
  <c r="AT8" i="38"/>
  <c r="AT12" i="39"/>
  <c r="AV12" i="39" s="1"/>
  <c r="AO25" i="39"/>
  <c r="AQ25" i="39" s="1"/>
  <c r="AQ56" i="39" s="1"/>
  <c r="AO8" i="38"/>
  <c r="AO12" i="39"/>
  <c r="AQ12" i="39" s="1"/>
  <c r="AJ15" i="39"/>
  <c r="AK15" i="39"/>
  <c r="AA37" i="38"/>
  <c r="AB37" i="38" s="1"/>
  <c r="Y22" i="38"/>
  <c r="Y30" i="38" s="1"/>
  <c r="Y35" i="38" s="1"/>
  <c r="Y9" i="38"/>
  <c r="Y16" i="39" s="1"/>
  <c r="AC35" i="39"/>
  <c r="AA37" i="39"/>
  <c r="AD7" i="39"/>
  <c r="AD14" i="38" s="1"/>
  <c r="AE7" i="39" s="1"/>
  <c r="AE14" i="38" s="1"/>
  <c r="X30" i="38"/>
  <c r="X35" i="38" s="1"/>
  <c r="Y106" i="36"/>
  <c r="Y15" i="36"/>
  <c r="AA97" i="36"/>
  <c r="AA11" i="36" s="1"/>
  <c r="AB11" i="36" s="1"/>
  <c r="Z103" i="36"/>
  <c r="Z105" i="36" s="1"/>
  <c r="Z106" i="36" s="1"/>
  <c r="Z9" i="36"/>
  <c r="AA93" i="36"/>
  <c r="V141" i="36"/>
  <c r="V19" i="36"/>
  <c r="V142" i="36" s="1"/>
  <c r="V23" i="36"/>
  <c r="V24" i="36" s="1"/>
  <c r="V137" i="36"/>
  <c r="X17" i="36"/>
  <c r="AA100" i="36"/>
  <c r="AQ140" i="36"/>
  <c r="AO140" i="36"/>
  <c r="AV140" i="36"/>
  <c r="AT140" i="36"/>
  <c r="AJ23" i="73" l="1"/>
  <c r="AI20" i="74"/>
  <c r="AI48" i="75"/>
  <c r="AI12" i="49"/>
  <c r="AI7" i="49"/>
  <c r="AI24" i="50" s="1"/>
  <c r="AI17" i="49"/>
  <c r="AT180" i="36"/>
  <c r="AT93" i="36"/>
  <c r="AT183" i="36"/>
  <c r="AT100" i="36"/>
  <c r="AT182" i="36"/>
  <c r="AT97" i="36"/>
  <c r="AD127" i="36"/>
  <c r="AD99" i="36"/>
  <c r="AD66" i="36"/>
  <c r="AE127" i="36" s="1"/>
  <c r="AL15" i="39"/>
  <c r="Y18" i="39"/>
  <c r="AT15" i="39"/>
  <c r="AU15" i="39"/>
  <c r="AO15" i="39"/>
  <c r="AP15" i="39"/>
  <c r="AF7" i="39"/>
  <c r="AG7" i="39" s="1"/>
  <c r="AC37" i="39"/>
  <c r="AD35" i="39"/>
  <c r="AC103" i="36"/>
  <c r="AC105" i="36" s="1"/>
  <c r="AC106" i="36" s="1"/>
  <c r="AC37" i="38"/>
  <c r="Z22" i="38"/>
  <c r="Z9" i="38"/>
  <c r="Z16" i="39" s="1"/>
  <c r="AA13" i="36"/>
  <c r="AB13" i="36" s="1"/>
  <c r="AB100" i="36"/>
  <c r="AB101" i="36" s="1"/>
  <c r="X137" i="36"/>
  <c r="X19" i="36"/>
  <c r="X142" i="36" s="1"/>
  <c r="X141" i="36"/>
  <c r="Y17" i="36"/>
  <c r="V25" i="36"/>
  <c r="V6" i="39" s="1"/>
  <c r="W24" i="36"/>
  <c r="AB97" i="36"/>
  <c r="AB98" i="36" s="1"/>
  <c r="Z15" i="36"/>
  <c r="AA9" i="36"/>
  <c r="AB93" i="36"/>
  <c r="AB94" i="36" s="1"/>
  <c r="AB114" i="36"/>
  <c r="AB118" i="36" s="1"/>
  <c r="AB120" i="36" s="1"/>
  <c r="AB121" i="36" s="1"/>
  <c r="AA118" i="36"/>
  <c r="AA120" i="36" s="1"/>
  <c r="AA121" i="36" s="1"/>
  <c r="AB99" i="36"/>
  <c r="AA103" i="36"/>
  <c r="AA105" i="36" s="1"/>
  <c r="AB66" i="36"/>
  <c r="AB70" i="36" s="1"/>
  <c r="AA70" i="36"/>
  <c r="AA71" i="36" s="1"/>
  <c r="AA12" i="36"/>
  <c r="AB127" i="36"/>
  <c r="AB130" i="36" s="1"/>
  <c r="AB131" i="36" s="1"/>
  <c r="AA130" i="36"/>
  <c r="AA131" i="36" s="1"/>
  <c r="AJ24" i="73" l="1"/>
  <c r="AJ25" i="73"/>
  <c r="AI43" i="74"/>
  <c r="AI26" i="50"/>
  <c r="AE99" i="36"/>
  <c r="AE66" i="36"/>
  <c r="AF127" i="36" s="1"/>
  <c r="AD37" i="38"/>
  <c r="AF14" i="38"/>
  <c r="AV15" i="39"/>
  <c r="AQ15" i="39"/>
  <c r="Z18" i="39"/>
  <c r="Z30" i="38"/>
  <c r="Z35" i="38" s="1"/>
  <c r="AD37" i="39"/>
  <c r="AE35" i="39"/>
  <c r="AE37" i="38" s="1"/>
  <c r="AD103" i="36"/>
  <c r="AD105" i="36" s="1"/>
  <c r="AD106" i="36" s="1"/>
  <c r="AG14" i="38"/>
  <c r="AH7" i="39" s="1"/>
  <c r="AH14" i="38" s="1"/>
  <c r="AA22" i="38"/>
  <c r="AA9" i="38"/>
  <c r="W6" i="39"/>
  <c r="W22" i="39" s="1"/>
  <c r="V38" i="38"/>
  <c r="V22" i="39"/>
  <c r="V55" i="39" s="1"/>
  <c r="V148" i="36" s="1"/>
  <c r="AB103" i="36"/>
  <c r="AD13" i="36"/>
  <c r="AC9" i="36"/>
  <c r="AB9" i="36"/>
  <c r="AC13" i="36"/>
  <c r="AV64" i="36"/>
  <c r="AV65" i="36" s="1"/>
  <c r="Y19" i="36"/>
  <c r="Y142" i="36" s="1"/>
  <c r="Y141" i="36"/>
  <c r="Y137" i="36"/>
  <c r="Z17" i="36"/>
  <c r="W143" i="36"/>
  <c r="W25" i="36"/>
  <c r="AC11" i="36"/>
  <c r="AD9" i="36"/>
  <c r="V27" i="36"/>
  <c r="AD11" i="36"/>
  <c r="AB12" i="36"/>
  <c r="AA15" i="36"/>
  <c r="AA106" i="36"/>
  <c r="AB105" i="36"/>
  <c r="AB106" i="36" s="1"/>
  <c r="AB71" i="36"/>
  <c r="AB72" i="36" s="1"/>
  <c r="AA72" i="36"/>
  <c r="AJ29" i="73" l="1"/>
  <c r="AJ34" i="73" s="1"/>
  <c r="AJ147" i="73" s="1"/>
  <c r="AJ27" i="73"/>
  <c r="AJ6" i="75"/>
  <c r="AI27" i="50"/>
  <c r="AI39" i="50" s="1"/>
  <c r="AI41" i="50" s="1"/>
  <c r="AF99" i="36"/>
  <c r="AF66" i="36"/>
  <c r="AH127" i="36" s="1"/>
  <c r="AD9" i="38"/>
  <c r="AD22" i="38"/>
  <c r="AC9" i="38"/>
  <c r="AC16" i="39" s="1"/>
  <c r="AC22" i="38"/>
  <c r="AC30" i="38" s="1"/>
  <c r="AC35" i="38" s="1"/>
  <c r="AA18" i="39"/>
  <c r="AB22" i="38"/>
  <c r="AB30" i="38" s="1"/>
  <c r="AB35" i="38" s="1"/>
  <c r="AA30" i="38"/>
  <c r="AA35" i="38" s="1"/>
  <c r="AE103" i="36"/>
  <c r="AE105" i="36" s="1"/>
  <c r="AE106" i="36" s="1"/>
  <c r="AI7" i="39"/>
  <c r="AI14" i="38" s="1"/>
  <c r="AE37" i="39"/>
  <c r="AF35" i="39"/>
  <c r="AB18" i="39"/>
  <c r="AB9" i="38"/>
  <c r="AA16" i="39"/>
  <c r="AB16" i="39" s="1"/>
  <c r="W38" i="38"/>
  <c r="W41" i="38" s="1"/>
  <c r="V41" i="38"/>
  <c r="W55" i="39"/>
  <c r="W148" i="36" s="1"/>
  <c r="AE9" i="36"/>
  <c r="V33" i="36"/>
  <c r="V146" i="36" s="1"/>
  <c r="V32" i="36"/>
  <c r="AE11" i="36"/>
  <c r="Z19" i="36"/>
  <c r="Z142" i="36" s="1"/>
  <c r="Z141" i="36"/>
  <c r="Z137" i="36"/>
  <c r="AB15" i="36"/>
  <c r="AB17" i="36" s="1"/>
  <c r="AB19" i="36" s="1"/>
  <c r="AB65" i="38" s="1"/>
  <c r="AB64" i="38" s="1"/>
  <c r="W27" i="36"/>
  <c r="AC12" i="36"/>
  <c r="AC70" i="36"/>
  <c r="AC71" i="36" s="1"/>
  <c r="AA17" i="36"/>
  <c r="AC130" i="36"/>
  <c r="AC131" i="36" s="1"/>
  <c r="AJ32" i="73" l="1"/>
  <c r="AJ33" i="73"/>
  <c r="AJ22" i="75"/>
  <c r="AJ38" i="74"/>
  <c r="AJ40" i="50"/>
  <c r="AI6" i="49"/>
  <c r="AC18" i="39"/>
  <c r="AH99" i="36"/>
  <c r="AH66" i="36"/>
  <c r="AI127" i="36" s="1"/>
  <c r="AE9" i="38"/>
  <c r="AE16" i="39" s="1"/>
  <c r="AE22" i="38"/>
  <c r="AD18" i="39"/>
  <c r="AD30" i="38"/>
  <c r="AD35" i="38" s="1"/>
  <c r="AD16" i="39"/>
  <c r="AF37" i="39"/>
  <c r="AH35" i="39"/>
  <c r="AG35" i="39"/>
  <c r="AG37" i="39" s="1"/>
  <c r="AF103" i="36"/>
  <c r="AF105" i="36" s="1"/>
  <c r="AF106" i="36" s="1"/>
  <c r="AF37" i="38"/>
  <c r="AJ7" i="39"/>
  <c r="AJ14" i="38" s="1"/>
  <c r="V42" i="38"/>
  <c r="V62" i="38"/>
  <c r="W62" i="38"/>
  <c r="W42" i="38"/>
  <c r="AB141" i="36"/>
  <c r="AF11" i="36"/>
  <c r="AG11" i="36" s="1"/>
  <c r="W31" i="36"/>
  <c r="W33" i="36" s="1"/>
  <c r="W146" i="36" s="1"/>
  <c r="W30" i="36"/>
  <c r="W32" i="36" s="1"/>
  <c r="AD70" i="36"/>
  <c r="AD71" i="36" s="1"/>
  <c r="AE13" i="36"/>
  <c r="AF13" i="36"/>
  <c r="AC72" i="36"/>
  <c r="AC15" i="36"/>
  <c r="AD130" i="36"/>
  <c r="AD131" i="36" s="1"/>
  <c r="AA19" i="36"/>
  <c r="AA141" i="36"/>
  <c r="AA137" i="36"/>
  <c r="AB142" i="36"/>
  <c r="AJ41" i="74" l="1"/>
  <c r="AJ42" i="75"/>
  <c r="AJ55" i="75"/>
  <c r="AJ146" i="73"/>
  <c r="AI46" i="50"/>
  <c r="AI48" i="50" s="1"/>
  <c r="AI11" i="49"/>
  <c r="AI20" i="49" s="1"/>
  <c r="AI43" i="49" s="1"/>
  <c r="AJ21" i="48"/>
  <c r="AI99" i="36"/>
  <c r="AI66" i="36"/>
  <c r="AJ127" i="36" s="1"/>
  <c r="AE18" i="39"/>
  <c r="AE30" i="38"/>
  <c r="AE35" i="38" s="1"/>
  <c r="AK7" i="39"/>
  <c r="AL7" i="39" s="1"/>
  <c r="AG37" i="38"/>
  <c r="AH37" i="38"/>
  <c r="AH103" i="36"/>
  <c r="AH105" i="36" s="1"/>
  <c r="AH106" i="36" s="1"/>
  <c r="AH37" i="39"/>
  <c r="AI35" i="39"/>
  <c r="V17" i="38"/>
  <c r="V7" i="38"/>
  <c r="V12" i="38"/>
  <c r="W12" i="38" s="1"/>
  <c r="AG100" i="36"/>
  <c r="AG101" i="36" s="1"/>
  <c r="AG97" i="36"/>
  <c r="AG98" i="36" s="1"/>
  <c r="AD12" i="36"/>
  <c r="AD15" i="36" s="1"/>
  <c r="AD17" i="36" s="1"/>
  <c r="AG13" i="36"/>
  <c r="AF9" i="36"/>
  <c r="AG93" i="36"/>
  <c r="AG94" i="36" s="1"/>
  <c r="W36" i="36"/>
  <c r="AA142" i="36"/>
  <c r="AC17" i="36"/>
  <c r="AD72" i="36"/>
  <c r="AJ148" i="73" l="1"/>
  <c r="AJ42" i="74"/>
  <c r="AJ62" i="74"/>
  <c r="AJ23" i="48"/>
  <c r="AJ99" i="36"/>
  <c r="AJ66" i="36"/>
  <c r="AK127" i="36" s="1"/>
  <c r="AK14" i="38"/>
  <c r="AL14" i="38" s="1"/>
  <c r="AM7" i="39" s="1"/>
  <c r="AM14" i="38" s="1"/>
  <c r="AF9" i="38"/>
  <c r="AF22" i="38"/>
  <c r="AJ35" i="39"/>
  <c r="AI37" i="39"/>
  <c r="AI37" i="38"/>
  <c r="AI103" i="36"/>
  <c r="AI105" i="36" s="1"/>
  <c r="AI106" i="36" s="1"/>
  <c r="AK99" i="36"/>
  <c r="V24" i="39"/>
  <c r="W7" i="38"/>
  <c r="V26" i="39"/>
  <c r="W26" i="39" s="1"/>
  <c r="W17" i="38"/>
  <c r="AH11" i="36"/>
  <c r="AI13" i="36"/>
  <c r="AH9" i="36"/>
  <c r="AI9" i="36"/>
  <c r="AI11" i="36"/>
  <c r="AH13" i="36"/>
  <c r="AG9" i="36"/>
  <c r="AE130" i="36"/>
  <c r="AE131" i="36" s="1"/>
  <c r="AC19" i="36"/>
  <c r="AC141" i="36"/>
  <c r="AC137" i="36"/>
  <c r="AE70" i="36"/>
  <c r="AE71" i="36" s="1"/>
  <c r="AE12" i="36"/>
  <c r="AD19" i="36"/>
  <c r="AD141" i="36"/>
  <c r="AD137" i="36"/>
  <c r="AJ7" i="74" l="1"/>
  <c r="AJ12" i="74"/>
  <c r="AJ17" i="74"/>
  <c r="AJ24" i="48"/>
  <c r="AJ25" i="48"/>
  <c r="AK66" i="36"/>
  <c r="AM127" i="36" s="1"/>
  <c r="AJ37" i="38"/>
  <c r="AI9" i="38"/>
  <c r="AI22" i="38"/>
  <c r="AH22" i="38"/>
  <c r="AH30" i="38" s="1"/>
  <c r="AH35" i="38" s="1"/>
  <c r="AH9" i="38"/>
  <c r="AH16" i="39" s="1"/>
  <c r="AF18" i="39"/>
  <c r="AG18" i="39" s="1"/>
  <c r="AG22" i="38"/>
  <c r="AG30" i="38" s="1"/>
  <c r="AG35" i="38" s="1"/>
  <c r="AF30" i="38"/>
  <c r="AF35" i="38" s="1"/>
  <c r="AF16" i="39"/>
  <c r="AG16" i="39" s="1"/>
  <c r="AG9" i="38"/>
  <c r="AJ103" i="36"/>
  <c r="AJ105" i="36" s="1"/>
  <c r="AJ106" i="36" s="1"/>
  <c r="AK35" i="39"/>
  <c r="AK37" i="38" s="1"/>
  <c r="AJ37" i="39"/>
  <c r="AN7" i="39"/>
  <c r="W24" i="39"/>
  <c r="W27" i="39" s="1"/>
  <c r="W39" i="39" s="1"/>
  <c r="W41" i="39" s="1"/>
  <c r="V27" i="39"/>
  <c r="V39" i="39" s="1"/>
  <c r="V41" i="39" s="1"/>
  <c r="V6" i="38" s="1"/>
  <c r="AJ11" i="36"/>
  <c r="AJ9" i="36"/>
  <c r="AE72" i="36"/>
  <c r="AC142" i="36"/>
  <c r="AE15" i="36"/>
  <c r="AD142" i="36"/>
  <c r="AJ26" i="75" l="1"/>
  <c r="AJ24" i="75"/>
  <c r="AJ6" i="50"/>
  <c r="AJ27" i="48"/>
  <c r="AJ29" i="48"/>
  <c r="AJ34" i="48" s="1"/>
  <c r="AJ147" i="48" s="1"/>
  <c r="AM99" i="36"/>
  <c r="AM66" i="36"/>
  <c r="AN127" i="36" s="1"/>
  <c r="AH18" i="39"/>
  <c r="AJ9" i="38"/>
  <c r="AJ16" i="39" s="1"/>
  <c r="AJ22" i="38"/>
  <c r="AL35" i="39"/>
  <c r="AL37" i="39" s="1"/>
  <c r="AI18" i="39"/>
  <c r="AI30" i="38"/>
  <c r="AI35" i="38" s="1"/>
  <c r="AI16" i="39"/>
  <c r="AL37" i="38"/>
  <c r="AN14" i="38"/>
  <c r="AO7" i="39" s="1"/>
  <c r="AO14" i="38" s="1"/>
  <c r="AM35" i="39"/>
  <c r="AK37" i="39"/>
  <c r="AK103" i="36"/>
  <c r="AK105" i="36" s="1"/>
  <c r="AK106" i="36" s="1"/>
  <c r="X21" i="36"/>
  <c r="W6" i="38"/>
  <c r="V46" i="39"/>
  <c r="V48" i="39" s="1"/>
  <c r="V11" i="38"/>
  <c r="V20" i="38" s="1"/>
  <c r="V43" i="38" s="1"/>
  <c r="X40" i="39"/>
  <c r="AB40" i="39"/>
  <c r="AK9" i="36"/>
  <c r="AK13" i="36"/>
  <c r="AK11" i="36"/>
  <c r="AL11" i="36" s="1"/>
  <c r="AL97" i="36"/>
  <c r="AL98" i="36" s="1"/>
  <c r="AJ13" i="36"/>
  <c r="AL13" i="36" s="1"/>
  <c r="AL100" i="36"/>
  <c r="AL101" i="36" s="1"/>
  <c r="AF130" i="36"/>
  <c r="AF131" i="36" s="1"/>
  <c r="AG127" i="36"/>
  <c r="AG130" i="36" s="1"/>
  <c r="AG131" i="36" s="1"/>
  <c r="AE17" i="36"/>
  <c r="AF70" i="36"/>
  <c r="AF71" i="36" s="1"/>
  <c r="AF12" i="36"/>
  <c r="AG66" i="36"/>
  <c r="AG70" i="36" s="1"/>
  <c r="AG99" i="36"/>
  <c r="AG103" i="36" s="1"/>
  <c r="AG114" i="36"/>
  <c r="AG118" i="36" s="1"/>
  <c r="AG120" i="36" s="1"/>
  <c r="AG121" i="36" s="1"/>
  <c r="AJ27" i="75" l="1"/>
  <c r="AJ33" i="48"/>
  <c r="AJ146" i="48" s="1"/>
  <c r="AJ32" i="48"/>
  <c r="AJ22" i="50"/>
  <c r="AJ38" i="49"/>
  <c r="AN99" i="36"/>
  <c r="AN66" i="36"/>
  <c r="AO127" i="36" s="1"/>
  <c r="AJ18" i="39"/>
  <c r="AJ30" i="38"/>
  <c r="AJ35" i="38" s="1"/>
  <c r="AL9" i="36"/>
  <c r="AK9" i="38"/>
  <c r="AK22" i="38"/>
  <c r="AN35" i="39"/>
  <c r="AM37" i="39"/>
  <c r="AM37" i="38"/>
  <c r="AM103" i="36"/>
  <c r="AM105" i="36" s="1"/>
  <c r="AM106" i="36" s="1"/>
  <c r="AP7" i="39"/>
  <c r="AP14" i="38" s="1"/>
  <c r="W46" i="39"/>
  <c r="W48" i="39" s="1"/>
  <c r="W11" i="38"/>
  <c r="W20" i="38" s="1"/>
  <c r="W43" i="38" s="1"/>
  <c r="AL93" i="36"/>
  <c r="AL94" i="36" s="1"/>
  <c r="X23" i="36"/>
  <c r="AF15" i="36"/>
  <c r="AG12" i="36"/>
  <c r="AG15" i="36" s="1"/>
  <c r="AG17" i="36" s="1"/>
  <c r="AE141" i="36"/>
  <c r="AE19" i="36"/>
  <c r="AE137" i="36"/>
  <c r="AF72" i="36"/>
  <c r="AG71" i="36"/>
  <c r="AG72" i="36" s="1"/>
  <c r="AG105" i="36"/>
  <c r="AG106" i="36" s="1"/>
  <c r="AJ39" i="75" l="1"/>
  <c r="AJ41" i="49"/>
  <c r="AJ55" i="50"/>
  <c r="AJ148" i="48" s="1"/>
  <c r="AJ42" i="50"/>
  <c r="AO99" i="36"/>
  <c r="AO66" i="36"/>
  <c r="AP127" i="36" s="1"/>
  <c r="AN37" i="38"/>
  <c r="AQ7" i="39"/>
  <c r="AL9" i="38"/>
  <c r="AK16" i="39"/>
  <c r="AL16" i="39" s="1"/>
  <c r="AK18" i="39"/>
  <c r="AL18" i="39" s="1"/>
  <c r="AL22" i="38"/>
  <c r="AL30" i="38" s="1"/>
  <c r="AL35" i="38" s="1"/>
  <c r="AK30" i="38"/>
  <c r="AK35" i="38" s="1"/>
  <c r="AQ14" i="38"/>
  <c r="AR7" i="39" s="1"/>
  <c r="AR14" i="38" s="1"/>
  <c r="AN103" i="36"/>
  <c r="AN105" i="36" s="1"/>
  <c r="AN106" i="36" s="1"/>
  <c r="AP66" i="36"/>
  <c r="AN37" i="39"/>
  <c r="AO35" i="39"/>
  <c r="X24" i="36"/>
  <c r="X25" i="36" s="1"/>
  <c r="X6" i="39" s="1"/>
  <c r="AM9" i="36"/>
  <c r="AM13" i="36"/>
  <c r="AN13" i="36"/>
  <c r="AN9" i="36"/>
  <c r="AM11" i="36"/>
  <c r="AN11" i="36"/>
  <c r="AG19" i="36"/>
  <c r="AG65" i="38" s="1"/>
  <c r="AG64" i="38" s="1"/>
  <c r="AG141" i="36"/>
  <c r="AF17" i="36"/>
  <c r="AH70" i="36"/>
  <c r="AH71" i="36" s="1"/>
  <c r="AH12" i="36"/>
  <c r="AE142" i="36"/>
  <c r="AH130" i="36"/>
  <c r="AH131" i="36" s="1"/>
  <c r="AJ41" i="75" l="1"/>
  <c r="AJ42" i="49"/>
  <c r="AJ62" i="49"/>
  <c r="AP99" i="36"/>
  <c r="AR127" i="36" s="1"/>
  <c r="AM9" i="38"/>
  <c r="AM16" i="39" s="1"/>
  <c r="AM22" i="38"/>
  <c r="AN9" i="38"/>
  <c r="AN16" i="39" s="1"/>
  <c r="AN22" i="38"/>
  <c r="AO37" i="39"/>
  <c r="AP35" i="39"/>
  <c r="AQ35" i="39" s="1"/>
  <c r="AQ37" i="39" s="1"/>
  <c r="AO103" i="36"/>
  <c r="AO105" i="36" s="1"/>
  <c r="AO106" i="36" s="1"/>
  <c r="AR99" i="36"/>
  <c r="AO37" i="38"/>
  <c r="AP37" i="38" s="1"/>
  <c r="AS7" i="39"/>
  <c r="AS14" i="38" s="1"/>
  <c r="X38" i="38"/>
  <c r="X41" i="38" s="1"/>
  <c r="X22" i="39"/>
  <c r="X55" i="39" s="1"/>
  <c r="X148" i="36" s="1"/>
  <c r="AO13" i="36"/>
  <c r="X27" i="36"/>
  <c r="AF19" i="36"/>
  <c r="AF141" i="36"/>
  <c r="AF137" i="36"/>
  <c r="AG142" i="36"/>
  <c r="AH72" i="36"/>
  <c r="AH15" i="36"/>
  <c r="AJ6" i="74" l="1"/>
  <c r="AK40" i="75"/>
  <c r="AJ12" i="49"/>
  <c r="AJ7" i="49"/>
  <c r="AJ24" i="50" s="1"/>
  <c r="AJ17" i="49"/>
  <c r="AR66" i="36"/>
  <c r="AS127" i="36" s="1"/>
  <c r="AN18" i="39"/>
  <c r="AN30" i="38"/>
  <c r="AN35" i="38" s="1"/>
  <c r="AM30" i="38"/>
  <c r="AM35" i="38" s="1"/>
  <c r="AM18" i="39"/>
  <c r="AT7" i="39"/>
  <c r="AT14" i="38" s="1"/>
  <c r="AQ37" i="38"/>
  <c r="AP37" i="39"/>
  <c r="AR35" i="39"/>
  <c r="AS66" i="36"/>
  <c r="AP103" i="36"/>
  <c r="AP105" i="36" s="1"/>
  <c r="AP106" i="36" s="1"/>
  <c r="X42" i="38"/>
  <c r="X62" i="38"/>
  <c r="AO11" i="36"/>
  <c r="AO9" i="36"/>
  <c r="AP9" i="36"/>
  <c r="X32" i="36"/>
  <c r="X33" i="36"/>
  <c r="X146" i="36" s="1"/>
  <c r="AP11" i="36"/>
  <c r="AI130" i="36"/>
  <c r="AI131" i="36" s="1"/>
  <c r="AI70" i="36"/>
  <c r="AI71" i="36" s="1"/>
  <c r="AI12" i="36"/>
  <c r="AF142" i="36"/>
  <c r="AH17" i="36"/>
  <c r="AJ46" i="75" l="1"/>
  <c r="AJ11" i="74"/>
  <c r="AK21" i="73"/>
  <c r="AJ26" i="50"/>
  <c r="AJ27" i="50" s="1"/>
  <c r="AJ39" i="50" s="1"/>
  <c r="AJ41" i="50" s="1"/>
  <c r="AS99" i="36"/>
  <c r="AT127" i="36" s="1"/>
  <c r="AP9" i="38"/>
  <c r="AP22" i="38"/>
  <c r="AO9" i="38"/>
  <c r="AO16" i="39" s="1"/>
  <c r="AO22" i="38"/>
  <c r="AS35" i="39"/>
  <c r="AR37" i="39"/>
  <c r="AR103" i="36"/>
  <c r="AR105" i="36" s="1"/>
  <c r="AR106" i="36" s="1"/>
  <c r="AR37" i="38"/>
  <c r="AS37" i="38" s="1"/>
  <c r="AU7" i="39"/>
  <c r="AV7" i="39" s="1"/>
  <c r="X17" i="38"/>
  <c r="X26" i="39" s="1"/>
  <c r="X7" i="38"/>
  <c r="X12" i="38"/>
  <c r="AQ93" i="36"/>
  <c r="AQ94" i="36" s="1"/>
  <c r="AQ9" i="36"/>
  <c r="AQ97" i="36"/>
  <c r="AQ98" i="36" s="1"/>
  <c r="AP13" i="36"/>
  <c r="AQ13" i="36" s="1"/>
  <c r="AQ100" i="36"/>
  <c r="AQ101" i="36" s="1"/>
  <c r="AQ11" i="36"/>
  <c r="AI15" i="36"/>
  <c r="AI72" i="36"/>
  <c r="AJ70" i="36"/>
  <c r="AJ71" i="36" s="1"/>
  <c r="AJ12" i="36"/>
  <c r="AJ15" i="36" s="1"/>
  <c r="AH141" i="36"/>
  <c r="AH19" i="36"/>
  <c r="AH137" i="36"/>
  <c r="AJ130" i="36"/>
  <c r="AJ131" i="36" s="1"/>
  <c r="AK23" i="73" l="1"/>
  <c r="AL21" i="73"/>
  <c r="AJ48" i="75"/>
  <c r="AJ20" i="74"/>
  <c r="AK40" i="50"/>
  <c r="AJ6" i="49"/>
  <c r="AT99" i="36"/>
  <c r="AT66" i="36"/>
  <c r="AU127" i="36" s="1"/>
  <c r="AO18" i="39"/>
  <c r="AO30" i="38"/>
  <c r="AO35" i="38" s="1"/>
  <c r="AQ9" i="38"/>
  <c r="AP16" i="39"/>
  <c r="AQ16" i="39" s="1"/>
  <c r="AQ22" i="38"/>
  <c r="AQ30" i="38" s="1"/>
  <c r="AQ35" i="38" s="1"/>
  <c r="AP18" i="39"/>
  <c r="AP30" i="38"/>
  <c r="AP35" i="38" s="1"/>
  <c r="AU14" i="38"/>
  <c r="AV14" i="38" s="1"/>
  <c r="AS103" i="36"/>
  <c r="AS105" i="36" s="1"/>
  <c r="AS106" i="36" s="1"/>
  <c r="AT35" i="39"/>
  <c r="AT37" i="38" s="1"/>
  <c r="AS37" i="39"/>
  <c r="X24" i="39"/>
  <c r="X27" i="39" s="1"/>
  <c r="AR13" i="36"/>
  <c r="AR9" i="36"/>
  <c r="AS9" i="36"/>
  <c r="AR11" i="36"/>
  <c r="AS13" i="36"/>
  <c r="AS11" i="36"/>
  <c r="AH142" i="36"/>
  <c r="AJ17" i="36"/>
  <c r="AL114" i="36"/>
  <c r="AL118" i="36" s="1"/>
  <c r="AL120" i="36" s="1"/>
  <c r="AL121" i="36" s="1"/>
  <c r="AL99" i="36"/>
  <c r="AL103" i="36" s="1"/>
  <c r="AJ72" i="36"/>
  <c r="AK70" i="36"/>
  <c r="AK71" i="36" s="1"/>
  <c r="AL71" i="36" s="1"/>
  <c r="AL72" i="36" s="1"/>
  <c r="AK12" i="36"/>
  <c r="AK15" i="36" s="1"/>
  <c r="AL66" i="36"/>
  <c r="AL70" i="36" s="1"/>
  <c r="AK130" i="36"/>
  <c r="AK131" i="36" s="1"/>
  <c r="AL127" i="36"/>
  <c r="AL130" i="36" s="1"/>
  <c r="AL131" i="36" s="1"/>
  <c r="AI17" i="36"/>
  <c r="AJ43" i="74" l="1"/>
  <c r="AL23" i="73"/>
  <c r="AK24" i="73"/>
  <c r="AK25" i="73" s="1"/>
  <c r="AJ46" i="50"/>
  <c r="AJ48" i="50" s="1"/>
  <c r="AJ11" i="49"/>
  <c r="AJ20" i="49" s="1"/>
  <c r="AJ43" i="49" s="1"/>
  <c r="AK21" i="48"/>
  <c r="AU99" i="36"/>
  <c r="AU66" i="36"/>
  <c r="AS9" i="38"/>
  <c r="AS22" i="38"/>
  <c r="AR9" i="38"/>
  <c r="AR16" i="39" s="1"/>
  <c r="AR22" i="38"/>
  <c r="AQ18" i="39"/>
  <c r="AT37" i="39"/>
  <c r="AU35" i="39"/>
  <c r="AU37" i="39" s="1"/>
  <c r="AU103" i="36"/>
  <c r="AU105" i="36" s="1"/>
  <c r="AU106" i="36" s="1"/>
  <c r="AT103" i="36"/>
  <c r="AT105" i="36" s="1"/>
  <c r="AT106" i="36" s="1"/>
  <c r="X39" i="39"/>
  <c r="X41" i="39" s="1"/>
  <c r="AU9" i="36"/>
  <c r="AT9" i="36"/>
  <c r="AU11" i="36"/>
  <c r="AV93" i="36"/>
  <c r="AV94" i="36" s="1"/>
  <c r="AU13" i="36"/>
  <c r="AL12" i="36"/>
  <c r="AL15" i="36" s="1"/>
  <c r="AL17" i="36" s="1"/>
  <c r="AL105" i="36"/>
  <c r="AL106" i="36" s="1"/>
  <c r="AK17" i="36"/>
  <c r="AM130" i="36"/>
  <c r="AM131" i="36" s="1"/>
  <c r="AI141" i="36"/>
  <c r="AI19" i="36"/>
  <c r="AI137" i="36"/>
  <c r="AJ141" i="36"/>
  <c r="AJ19" i="36"/>
  <c r="AK72" i="36"/>
  <c r="AM12" i="36"/>
  <c r="AM70" i="36"/>
  <c r="AM71" i="36" s="1"/>
  <c r="AJ137" i="36"/>
  <c r="AK6" i="75" l="1"/>
  <c r="AK27" i="73"/>
  <c r="AL24" i="73"/>
  <c r="AK29" i="73"/>
  <c r="AK34" i="73" s="1"/>
  <c r="AK147" i="73" s="1"/>
  <c r="AL25" i="73"/>
  <c r="AK23" i="48"/>
  <c r="AL21" i="48"/>
  <c r="AK137" i="36"/>
  <c r="AL19" i="36"/>
  <c r="AL65" i="38" s="1"/>
  <c r="AL64" i="38" s="1"/>
  <c r="AV35" i="39"/>
  <c r="AV37" i="39" s="1"/>
  <c r="AR30" i="38"/>
  <c r="AR35" i="38" s="1"/>
  <c r="AR18" i="39"/>
  <c r="AU22" i="38"/>
  <c r="AU9" i="38"/>
  <c r="AS18" i="39"/>
  <c r="AS30" i="38"/>
  <c r="AS35" i="38" s="1"/>
  <c r="AT22" i="38"/>
  <c r="AT9" i="38"/>
  <c r="AT16" i="39" s="1"/>
  <c r="AS16" i="39"/>
  <c r="AU37" i="38"/>
  <c r="AV37" i="38" s="1"/>
  <c r="Y40" i="39"/>
  <c r="X6" i="38"/>
  <c r="Y21" i="36" s="1"/>
  <c r="AV9" i="36"/>
  <c r="AT13" i="36"/>
  <c r="AV13" i="36" s="1"/>
  <c r="AV100" i="36"/>
  <c r="AV101" i="36" s="1"/>
  <c r="AT11" i="36"/>
  <c r="AV11" i="36" s="1"/>
  <c r="AV97" i="36"/>
  <c r="AV98" i="36" s="1"/>
  <c r="AL141" i="36"/>
  <c r="AN130" i="36"/>
  <c r="AN131" i="36" s="1"/>
  <c r="AK141" i="36"/>
  <c r="AK19" i="36"/>
  <c r="AM72" i="36"/>
  <c r="AM15" i="36"/>
  <c r="AI142" i="36"/>
  <c r="AJ142" i="36"/>
  <c r="AL142" i="36"/>
  <c r="AK32" i="73" l="1"/>
  <c r="AK33" i="73"/>
  <c r="AK22" i="75"/>
  <c r="AL6" i="75"/>
  <c r="AK38" i="74"/>
  <c r="AL27" i="73"/>
  <c r="AL143" i="73"/>
  <c r="AL29" i="73"/>
  <c r="AL23" i="48"/>
  <c r="AK24" i="48"/>
  <c r="AK25" i="48"/>
  <c r="X46" i="39"/>
  <c r="X48" i="39" s="1"/>
  <c r="X11" i="38"/>
  <c r="X20" i="38" s="1"/>
  <c r="X43" i="38" s="1"/>
  <c r="AT18" i="39"/>
  <c r="AT30" i="38"/>
  <c r="AT35" i="38" s="1"/>
  <c r="AV9" i="38"/>
  <c r="AU16" i="39"/>
  <c r="AV16" i="39" s="1"/>
  <c r="AV22" i="38"/>
  <c r="AV30" i="38" s="1"/>
  <c r="AV35" i="38" s="1"/>
  <c r="AU18" i="39"/>
  <c r="AV18" i="39" s="1"/>
  <c r="AU30" i="38"/>
  <c r="AU35" i="38" s="1"/>
  <c r="AK142" i="36"/>
  <c r="AM17" i="36"/>
  <c r="AN70" i="36"/>
  <c r="AN71" i="36" s="1"/>
  <c r="AN12" i="36"/>
  <c r="AL22" i="75" l="1"/>
  <c r="AL38" i="74"/>
  <c r="AK41" i="74"/>
  <c r="AK146" i="73"/>
  <c r="AL30" i="73"/>
  <c r="AK55" i="75"/>
  <c r="AK42" i="75"/>
  <c r="AL31" i="73"/>
  <c r="AK6" i="50"/>
  <c r="AK27" i="48"/>
  <c r="AL24" i="48"/>
  <c r="AK29" i="48"/>
  <c r="AK34" i="48" s="1"/>
  <c r="AK147" i="48" s="1"/>
  <c r="AL25" i="48"/>
  <c r="AL27" i="48" s="1"/>
  <c r="AO70" i="36"/>
  <c r="AO71" i="36" s="1"/>
  <c r="AN15" i="36"/>
  <c r="AM141" i="36"/>
  <c r="AM19" i="36"/>
  <c r="AM137" i="36"/>
  <c r="AN72" i="36"/>
  <c r="AL32" i="73" l="1"/>
  <c r="AL42" i="75"/>
  <c r="AK148" i="73"/>
  <c r="AK42" i="74"/>
  <c r="AK62" i="74"/>
  <c r="AL55" i="75"/>
  <c r="AL33" i="73"/>
  <c r="AL41" i="74"/>
  <c r="AL34" i="73"/>
  <c r="AL30" i="48"/>
  <c r="AL32" i="48" s="1"/>
  <c r="AL31" i="48"/>
  <c r="AL33" i="48" s="1"/>
  <c r="AL143" i="48"/>
  <c r="AL29" i="48"/>
  <c r="AL34" i="48" s="1"/>
  <c r="AK33" i="48"/>
  <c r="AK146" i="48" s="1"/>
  <c r="AK32" i="48"/>
  <c r="AK22" i="50"/>
  <c r="AL6" i="50"/>
  <c r="AL22" i="50" s="1"/>
  <c r="AL55" i="50" s="1"/>
  <c r="AL148" i="48" s="1"/>
  <c r="AK38" i="49"/>
  <c r="Y23" i="36"/>
  <c r="AQ114" i="36"/>
  <c r="AQ118" i="36" s="1"/>
  <c r="AQ120" i="36" s="1"/>
  <c r="AQ121" i="36" s="1"/>
  <c r="AQ127" i="36"/>
  <c r="AQ130" i="36" s="1"/>
  <c r="AQ131" i="36" s="1"/>
  <c r="AO130" i="36"/>
  <c r="AO131" i="36" s="1"/>
  <c r="AO72" i="36"/>
  <c r="AO12" i="36"/>
  <c r="AN17" i="36"/>
  <c r="AM142" i="36"/>
  <c r="AK12" i="74" l="1"/>
  <c r="AK7" i="74"/>
  <c r="AK17" i="74"/>
  <c r="AL44" i="75"/>
  <c r="AL59" i="75"/>
  <c r="AL61" i="75" s="1"/>
  <c r="AL147" i="73"/>
  <c r="AL149" i="73"/>
  <c r="AL36" i="73"/>
  <c r="AL146" i="73"/>
  <c r="AL148" i="73"/>
  <c r="AL42" i="74"/>
  <c r="AL146" i="48"/>
  <c r="AL36" i="48"/>
  <c r="AL38" i="49"/>
  <c r="AL41" i="49" s="1"/>
  <c r="AL42" i="49" s="1"/>
  <c r="AK41" i="49"/>
  <c r="AK55" i="50"/>
  <c r="AK148" i="48" s="1"/>
  <c r="AK42" i="50"/>
  <c r="AL42" i="50" s="1"/>
  <c r="AL44" i="50" s="1"/>
  <c r="AL59" i="50"/>
  <c r="AL61" i="50" s="1"/>
  <c r="AL149" i="48"/>
  <c r="AL147" i="48"/>
  <c r="Y24" i="36"/>
  <c r="Y25" i="36" s="1"/>
  <c r="Y6" i="39" s="1"/>
  <c r="AN141" i="36"/>
  <c r="AN19" i="36"/>
  <c r="AN137" i="36"/>
  <c r="AP12" i="36"/>
  <c r="AP15" i="36" s="1"/>
  <c r="AP70" i="36"/>
  <c r="AP71" i="36" s="1"/>
  <c r="AQ66" i="36"/>
  <c r="AQ70" i="36" s="1"/>
  <c r="AO15" i="36"/>
  <c r="AQ12" i="36"/>
  <c r="AQ15" i="36" s="1"/>
  <c r="AQ17" i="36" s="1"/>
  <c r="AP130" i="36"/>
  <c r="AP131" i="36" s="1"/>
  <c r="AQ99" i="36"/>
  <c r="AQ103" i="36" s="1"/>
  <c r="AK26" i="75" l="1"/>
  <c r="AL17" i="74"/>
  <c r="AL12" i="74"/>
  <c r="AL7" i="74"/>
  <c r="AK24" i="75"/>
  <c r="AK42" i="49"/>
  <c r="AK62" i="49"/>
  <c r="Y38" i="38"/>
  <c r="Y22" i="39"/>
  <c r="Y27" i="36"/>
  <c r="AR130" i="36"/>
  <c r="AR131" i="36" s="1"/>
  <c r="AQ141" i="36"/>
  <c r="AQ19" i="36"/>
  <c r="AQ65" i="38" s="1"/>
  <c r="AQ64" i="38" s="1"/>
  <c r="AR12" i="36"/>
  <c r="AR70" i="36"/>
  <c r="AR71" i="36" s="1"/>
  <c r="AN142" i="36"/>
  <c r="AO17" i="36"/>
  <c r="AP72" i="36"/>
  <c r="AQ71" i="36"/>
  <c r="AQ72" i="36" s="1"/>
  <c r="AP17" i="36"/>
  <c r="AQ105" i="36"/>
  <c r="AQ106" i="36" s="1"/>
  <c r="AK27" i="75" l="1"/>
  <c r="AL24" i="75"/>
  <c r="AL26" i="75"/>
  <c r="AK12" i="49"/>
  <c r="AL12" i="49" s="1"/>
  <c r="AK7" i="49"/>
  <c r="AK17" i="49"/>
  <c r="AP137" i="36"/>
  <c r="Y55" i="39"/>
  <c r="Y148" i="36" s="1"/>
  <c r="Y41" i="38"/>
  <c r="Y32" i="36"/>
  <c r="Y33" i="36"/>
  <c r="Y146" i="36" s="1"/>
  <c r="AQ142" i="36"/>
  <c r="AO19" i="36"/>
  <c r="AO141" i="36"/>
  <c r="AO137" i="36"/>
  <c r="AP141" i="36"/>
  <c r="AP19" i="36"/>
  <c r="AR72" i="36"/>
  <c r="AS70" i="36"/>
  <c r="AS71" i="36" s="1"/>
  <c r="AR15" i="36"/>
  <c r="AR17" i="36" s="1"/>
  <c r="AK39" i="75" l="1"/>
  <c r="AL27" i="75"/>
  <c r="AL17" i="49"/>
  <c r="AK26" i="50"/>
  <c r="AL26" i="50" s="1"/>
  <c r="AK24" i="50"/>
  <c r="AL7" i="49"/>
  <c r="AR137" i="36"/>
  <c r="Y62" i="38"/>
  <c r="Y42" i="38"/>
  <c r="AS130" i="36"/>
  <c r="AS131" i="36" s="1"/>
  <c r="AO142" i="36"/>
  <c r="AR19" i="36"/>
  <c r="AR141" i="36"/>
  <c r="AS72" i="36"/>
  <c r="AS12" i="36"/>
  <c r="AP142" i="36"/>
  <c r="AL39" i="75" l="1"/>
  <c r="AK41" i="75"/>
  <c r="AK27" i="50"/>
  <c r="AK39" i="50" s="1"/>
  <c r="AK41" i="50" s="1"/>
  <c r="AK6" i="49" s="1"/>
  <c r="AL24" i="50"/>
  <c r="AL27" i="50" s="1"/>
  <c r="AL39" i="50" s="1"/>
  <c r="AL41" i="50" s="1"/>
  <c r="Y17" i="38"/>
  <c r="Y7" i="38"/>
  <c r="Y12" i="38"/>
  <c r="AR142" i="36"/>
  <c r="AS15" i="36"/>
  <c r="AS17" i="36" s="1"/>
  <c r="AK6" i="74" l="1"/>
  <c r="AL41" i="75"/>
  <c r="AQ40" i="50"/>
  <c r="AM40" i="50"/>
  <c r="AK46" i="50"/>
  <c r="AK48" i="50" s="1"/>
  <c r="AK11" i="49"/>
  <c r="AK20" i="49" s="1"/>
  <c r="AK43" i="49" s="1"/>
  <c r="AL6" i="49"/>
  <c r="AM21" i="48"/>
  <c r="AS137" i="36"/>
  <c r="Y24" i="39"/>
  <c r="Y26" i="39"/>
  <c r="AV114" i="36"/>
  <c r="AV118" i="36" s="1"/>
  <c r="AV120" i="36" s="1"/>
  <c r="AV121" i="36" s="1"/>
  <c r="AT130" i="36"/>
  <c r="AT131" i="36" s="1"/>
  <c r="AU130" i="36"/>
  <c r="AU131" i="36" s="1"/>
  <c r="AS19" i="36"/>
  <c r="AS141" i="36"/>
  <c r="AV66" i="36"/>
  <c r="AV70" i="36" s="1"/>
  <c r="AT70" i="36"/>
  <c r="AT71" i="36" s="1"/>
  <c r="AT12" i="36"/>
  <c r="AQ40" i="75" l="1"/>
  <c r="AM40" i="75"/>
  <c r="AK46" i="75"/>
  <c r="AM21" i="73"/>
  <c r="AK11" i="74"/>
  <c r="AL6" i="74"/>
  <c r="AM23" i="48"/>
  <c r="AL46" i="50"/>
  <c r="AL48" i="50" s="1"/>
  <c r="AL11" i="49"/>
  <c r="AL20" i="49" s="1"/>
  <c r="AL43" i="49" s="1"/>
  <c r="Y27" i="39"/>
  <c r="Y39" i="39" s="1"/>
  <c r="Y41" i="39" s="1"/>
  <c r="AS142" i="36"/>
  <c r="AV99" i="36"/>
  <c r="AV103" i="36" s="1"/>
  <c r="AV127" i="36"/>
  <c r="AV130" i="36" s="1"/>
  <c r="AV131" i="36" s="1"/>
  <c r="AT15" i="36"/>
  <c r="AT17" i="36" s="1"/>
  <c r="AT137" i="36" s="1"/>
  <c r="AT72" i="36"/>
  <c r="AU12" i="36"/>
  <c r="AU15" i="36" s="1"/>
  <c r="AU17" i="36" s="1"/>
  <c r="AU70" i="36"/>
  <c r="AU71" i="36" s="1"/>
  <c r="AV71" i="36" s="1"/>
  <c r="AV72" i="36" s="1"/>
  <c r="AL11" i="74" l="1"/>
  <c r="AL46" i="75"/>
  <c r="AK20" i="74"/>
  <c r="AM23" i="73"/>
  <c r="AK48" i="75"/>
  <c r="AM24" i="48"/>
  <c r="Y6" i="38"/>
  <c r="Z40" i="39"/>
  <c r="AV12" i="36"/>
  <c r="AV15" i="36" s="1"/>
  <c r="AV17" i="36" s="1"/>
  <c r="AU141" i="36"/>
  <c r="AU19" i="36"/>
  <c r="AT141" i="36"/>
  <c r="AT19" i="36"/>
  <c r="AV105" i="36"/>
  <c r="AV106" i="36" s="1"/>
  <c r="AU72" i="36"/>
  <c r="AU137" i="36"/>
  <c r="AM24" i="73" l="1"/>
  <c r="AM25" i="73" s="1"/>
  <c r="AK43" i="74"/>
  <c r="AL48" i="75"/>
  <c r="AL20" i="74"/>
  <c r="AM25" i="48"/>
  <c r="AM6" i="50"/>
  <c r="AM27" i="48"/>
  <c r="AM29" i="48"/>
  <c r="Z21" i="36"/>
  <c r="Y46" i="39"/>
  <c r="Y48" i="39" s="1"/>
  <c r="Y11" i="38"/>
  <c r="Y20" i="38" s="1"/>
  <c r="Y43" i="38" s="1"/>
  <c r="AT142" i="36"/>
  <c r="AU142" i="36"/>
  <c r="AV19" i="36"/>
  <c r="AV65" i="38" s="1"/>
  <c r="AV64" i="38" s="1"/>
  <c r="AV141" i="36"/>
  <c r="AL43" i="74" l="1"/>
  <c r="AM29" i="73"/>
  <c r="AM34" i="73" s="1"/>
  <c r="AM147" i="73" s="1"/>
  <c r="AM6" i="75"/>
  <c r="AM27" i="73"/>
  <c r="AM34" i="48"/>
  <c r="AM32" i="48"/>
  <c r="AM33" i="48"/>
  <c r="AM22" i="50"/>
  <c r="AM38" i="49"/>
  <c r="Z23" i="36"/>
  <c r="Z24" i="36" s="1"/>
  <c r="AV142" i="36"/>
  <c r="AM32" i="73" l="1"/>
  <c r="AM33" i="73"/>
  <c r="AM22" i="75"/>
  <c r="AM38" i="74"/>
  <c r="AM146" i="48"/>
  <c r="AM147" i="48"/>
  <c r="AM41" i="49"/>
  <c r="AM42" i="50"/>
  <c r="AM55" i="50"/>
  <c r="Z25" i="36"/>
  <c r="Z6" i="39" s="1"/>
  <c r="AM41" i="74" l="1"/>
  <c r="AM42" i="75"/>
  <c r="AM55" i="75"/>
  <c r="AM146" i="73"/>
  <c r="AM148" i="48"/>
  <c r="AM42" i="49"/>
  <c r="AM62" i="49"/>
  <c r="Z22" i="39"/>
  <c r="Z38" i="38"/>
  <c r="Z27" i="36"/>
  <c r="AM148" i="73" l="1"/>
  <c r="AM42" i="74"/>
  <c r="AM62" i="74"/>
  <c r="AM7" i="49"/>
  <c r="AM12" i="49"/>
  <c r="AM17" i="49"/>
  <c r="Z41" i="38"/>
  <c r="Z55" i="39"/>
  <c r="Z148" i="36" s="1"/>
  <c r="Z32" i="36"/>
  <c r="Z33" i="36"/>
  <c r="Z146" i="36" s="1"/>
  <c r="AM7" i="74" l="1"/>
  <c r="AM12" i="74"/>
  <c r="AM17" i="74"/>
  <c r="AM26" i="50"/>
  <c r="AM24" i="50"/>
  <c r="Z42" i="38"/>
  <c r="Z62" i="38"/>
  <c r="AM26" i="75" l="1"/>
  <c r="AM24" i="75"/>
  <c r="AM27" i="50"/>
  <c r="Z7" i="38"/>
  <c r="Z12" i="38"/>
  <c r="Z17" i="38"/>
  <c r="AM27" i="75" l="1"/>
  <c r="AM39" i="50"/>
  <c r="Z26" i="39"/>
  <c r="Z24" i="39"/>
  <c r="AM39" i="75" l="1"/>
  <c r="AM41" i="50"/>
  <c r="Z27" i="39"/>
  <c r="Z39" i="39" s="1"/>
  <c r="Z41" i="39" s="1"/>
  <c r="AM41" i="75" l="1"/>
  <c r="AM6" i="49"/>
  <c r="AN40" i="50"/>
  <c r="Z6" i="38"/>
  <c r="AA40" i="39"/>
  <c r="AN40" i="75" l="1"/>
  <c r="AM6" i="74"/>
  <c r="AM46" i="50"/>
  <c r="AM11" i="49"/>
  <c r="AN21" i="48"/>
  <c r="AA21" i="36"/>
  <c r="Z46" i="39"/>
  <c r="Z48" i="39" s="1"/>
  <c r="Z11" i="38"/>
  <c r="Z20" i="38" s="1"/>
  <c r="Z43" i="38" s="1"/>
  <c r="AM46" i="75" l="1"/>
  <c r="AN21" i="73"/>
  <c r="AM11" i="74"/>
  <c r="AN23" i="48"/>
  <c r="AM48" i="50"/>
  <c r="AM20" i="49"/>
  <c r="AA23" i="36"/>
  <c r="AB21" i="36"/>
  <c r="AB23" i="36" s="1"/>
  <c r="AM20" i="74" l="1"/>
  <c r="AM48" i="75"/>
  <c r="AN23" i="73"/>
  <c r="AM43" i="49"/>
  <c r="AN24" i="48"/>
  <c r="AN25" i="48" s="1"/>
  <c r="AA24" i="36"/>
  <c r="AB24" i="36" s="1"/>
  <c r="AB143" i="36" s="1"/>
  <c r="AN24" i="73" l="1"/>
  <c r="AN25" i="73" s="1"/>
  <c r="AM43" i="74"/>
  <c r="AN27" i="48"/>
  <c r="AN6" i="50"/>
  <c r="AN29" i="48"/>
  <c r="AA25" i="36"/>
  <c r="AA6" i="39" s="1"/>
  <c r="AB6" i="39" s="1"/>
  <c r="AB22" i="39" s="1"/>
  <c r="AB55" i="39" s="1"/>
  <c r="AB148" i="36" s="1"/>
  <c r="AB25" i="36"/>
  <c r="AB27" i="36" s="1"/>
  <c r="AN27" i="73" l="1"/>
  <c r="AN6" i="75"/>
  <c r="AN29" i="73"/>
  <c r="AN34" i="73" s="1"/>
  <c r="AN147" i="73" s="1"/>
  <c r="AN32" i="48"/>
  <c r="AN33" i="48"/>
  <c r="AN34" i="48"/>
  <c r="AN38" i="49"/>
  <c r="AN22" i="50"/>
  <c r="AA27" i="36"/>
  <c r="AB31" i="36" s="1"/>
  <c r="AB33" i="36" s="1"/>
  <c r="AB36" i="36" s="1"/>
  <c r="AA22" i="39"/>
  <c r="AA38" i="38"/>
  <c r="AN22" i="75" l="1"/>
  <c r="AN38" i="74"/>
  <c r="AN32" i="73"/>
  <c r="AN33" i="73"/>
  <c r="AN41" i="49"/>
  <c r="AN55" i="50"/>
  <c r="AN42" i="50"/>
  <c r="AN147" i="48"/>
  <c r="AN146" i="48"/>
  <c r="AA33" i="36"/>
  <c r="AA146" i="36" s="1"/>
  <c r="AA32" i="36"/>
  <c r="AB30" i="36"/>
  <c r="AB32" i="36" s="1"/>
  <c r="AB38" i="38"/>
  <c r="AB41" i="38" s="1"/>
  <c r="AB42" i="38" s="1"/>
  <c r="AA41" i="38"/>
  <c r="AA55" i="39"/>
  <c r="AA148" i="36" s="1"/>
  <c r="AB146" i="36"/>
  <c r="AN146" i="73" l="1"/>
  <c r="AN42" i="75"/>
  <c r="AN55" i="75"/>
  <c r="AN41" i="74"/>
  <c r="AN148" i="48"/>
  <c r="AN62" i="49"/>
  <c r="AN42" i="49"/>
  <c r="AA62" i="38"/>
  <c r="AA42" i="38"/>
  <c r="AN148" i="73" l="1"/>
  <c r="AN42" i="74"/>
  <c r="AN62" i="74"/>
  <c r="AN7" i="49"/>
  <c r="AN17" i="49"/>
  <c r="AN12" i="49"/>
  <c r="AA12" i="38"/>
  <c r="AB12" i="38" s="1"/>
  <c r="AA7" i="38"/>
  <c r="AA17" i="38"/>
  <c r="AN7" i="74" l="1"/>
  <c r="AN12" i="74"/>
  <c r="AN17" i="74"/>
  <c r="AN24" i="50"/>
  <c r="AN26" i="50"/>
  <c r="AA26" i="39"/>
  <c r="AB26" i="39" s="1"/>
  <c r="AB17" i="38"/>
  <c r="AA24" i="39"/>
  <c r="AB7" i="38"/>
  <c r="AN26" i="75" l="1"/>
  <c r="AN24" i="75"/>
  <c r="AN27" i="50"/>
  <c r="AA27" i="39"/>
  <c r="AA39" i="39" s="1"/>
  <c r="AA41" i="39" s="1"/>
  <c r="AA6" i="38" s="1"/>
  <c r="AB24" i="39"/>
  <c r="AB27" i="39" s="1"/>
  <c r="AB39" i="39" s="1"/>
  <c r="AB41" i="39" s="1"/>
  <c r="AN27" i="75" l="1"/>
  <c r="AN39" i="50"/>
  <c r="AC40" i="39"/>
  <c r="AG40" i="39"/>
  <c r="AC21" i="36"/>
  <c r="AA46" i="39"/>
  <c r="AA48" i="39" s="1"/>
  <c r="AA11" i="38"/>
  <c r="AA20" i="38" s="1"/>
  <c r="AA43" i="38" s="1"/>
  <c r="AB6" i="38"/>
  <c r="AN39" i="75" l="1"/>
  <c r="AN41" i="50"/>
  <c r="AB46" i="39"/>
  <c r="AB48" i="39" s="1"/>
  <c r="AB11" i="38"/>
  <c r="AB20" i="38" s="1"/>
  <c r="AB43" i="38" s="1"/>
  <c r="AC23" i="36"/>
  <c r="AC24" i="36" s="1"/>
  <c r="AC25" i="36" s="1"/>
  <c r="AN41" i="75" l="1"/>
  <c r="AO40" i="50"/>
  <c r="AN6" i="49"/>
  <c r="AC27" i="36"/>
  <c r="AC33" i="36" s="1"/>
  <c r="AC146" i="36" s="1"/>
  <c r="AC6" i="39"/>
  <c r="AN6" i="74" l="1"/>
  <c r="AO40" i="75"/>
  <c r="AN46" i="50"/>
  <c r="AO21" i="48"/>
  <c r="AN11" i="49"/>
  <c r="AC32" i="36"/>
  <c r="AC22" i="39"/>
  <c r="AC55" i="39" s="1"/>
  <c r="AC148" i="36" s="1"/>
  <c r="AC38" i="38"/>
  <c r="AC41" i="38" s="1"/>
  <c r="AO21" i="73" l="1"/>
  <c r="AN11" i="74"/>
  <c r="AN46" i="75"/>
  <c r="AN20" i="49"/>
  <c r="AN48" i="50"/>
  <c r="AO23" i="48"/>
  <c r="AC42" i="38"/>
  <c r="AC62" i="38"/>
  <c r="AO23" i="73" l="1"/>
  <c r="AN48" i="75"/>
  <c r="AN20" i="74"/>
  <c r="AO24" i="48"/>
  <c r="AO25" i="48" s="1"/>
  <c r="AN43" i="49"/>
  <c r="AC7" i="38"/>
  <c r="AC17" i="38"/>
  <c r="AC26" i="39" s="1"/>
  <c r="AC12" i="38"/>
  <c r="AN43" i="74" l="1"/>
  <c r="AO24" i="73"/>
  <c r="AO25" i="73" s="1"/>
  <c r="AO27" i="48"/>
  <c r="AO6" i="50"/>
  <c r="AO29" i="48"/>
  <c r="AC24" i="39"/>
  <c r="AC27" i="39" s="1"/>
  <c r="AC39" i="39" s="1"/>
  <c r="AC41" i="39" s="1"/>
  <c r="AO6" i="75" l="1"/>
  <c r="AO27" i="73"/>
  <c r="AO29" i="73"/>
  <c r="AO34" i="73" s="1"/>
  <c r="AO147" i="73" s="1"/>
  <c r="AO34" i="48"/>
  <c r="AO32" i="48"/>
  <c r="AO33" i="48"/>
  <c r="AO22" i="50"/>
  <c r="AO38" i="49"/>
  <c r="AD40" i="39"/>
  <c r="AC6" i="38"/>
  <c r="AO33" i="73" l="1"/>
  <c r="AO32" i="73"/>
  <c r="AO22" i="75"/>
  <c r="AO38" i="74"/>
  <c r="AO55" i="50"/>
  <c r="AO42" i="50"/>
  <c r="AO41" i="49"/>
  <c r="AO146" i="48"/>
  <c r="AO147" i="48"/>
  <c r="AC11" i="38"/>
  <c r="AC20" i="38" s="1"/>
  <c r="AC43" i="38" s="1"/>
  <c r="AC46" i="39"/>
  <c r="AC48" i="39" s="1"/>
  <c r="AD21" i="36"/>
  <c r="AD23" i="36" s="1"/>
  <c r="AO41" i="74" l="1"/>
  <c r="AO146" i="73"/>
  <c r="AO42" i="75"/>
  <c r="AO55" i="75"/>
  <c r="AO62" i="49"/>
  <c r="AO42" i="49"/>
  <c r="AO148" i="48"/>
  <c r="AD24" i="36"/>
  <c r="AD25" i="36" s="1"/>
  <c r="AO148" i="73" l="1"/>
  <c r="AO42" i="74"/>
  <c r="AO62" i="74"/>
  <c r="AO7" i="49"/>
  <c r="AO17" i="49"/>
  <c r="AO12" i="49"/>
  <c r="AD27" i="36"/>
  <c r="AD6" i="39"/>
  <c r="AO12" i="74" l="1"/>
  <c r="AO7" i="74"/>
  <c r="AO17" i="74"/>
  <c r="AO24" i="50"/>
  <c r="AO26" i="50"/>
  <c r="AD38" i="38"/>
  <c r="AD41" i="38" s="1"/>
  <c r="AD22" i="39"/>
  <c r="AD55" i="39" s="1"/>
  <c r="AD148" i="36" s="1"/>
  <c r="AD33" i="36"/>
  <c r="AD146" i="36" s="1"/>
  <c r="AD32" i="36"/>
  <c r="AO26" i="75" l="1"/>
  <c r="AO24" i="75"/>
  <c r="AO27" i="50"/>
  <c r="AD42" i="38"/>
  <c r="AD62" i="38"/>
  <c r="AO27" i="75" l="1"/>
  <c r="AO39" i="50"/>
  <c r="AD12" i="38"/>
  <c r="AD7" i="38"/>
  <c r="AD17" i="38"/>
  <c r="AD26" i="39" s="1"/>
  <c r="AO39" i="75" l="1"/>
  <c r="AO41" i="50"/>
  <c r="AD24" i="39"/>
  <c r="AD27" i="39" s="1"/>
  <c r="AD39" i="39" s="1"/>
  <c r="AD41" i="39" s="1"/>
  <c r="AO41" i="75" l="1"/>
  <c r="AO6" i="49"/>
  <c r="AP40" i="50"/>
  <c r="AE40" i="39"/>
  <c r="AD6" i="38"/>
  <c r="AD11" i="38" s="1"/>
  <c r="AD20" i="38" s="1"/>
  <c r="AD43" i="38" s="1"/>
  <c r="AP40" i="75" l="1"/>
  <c r="AO6" i="74"/>
  <c r="AO11" i="49"/>
  <c r="AP21" i="48"/>
  <c r="AO46" i="50"/>
  <c r="AD46" i="39"/>
  <c r="AD48" i="39" s="1"/>
  <c r="AE21" i="36"/>
  <c r="AE23" i="36" s="1"/>
  <c r="AE24" i="36" s="1"/>
  <c r="AE25" i="36" s="1"/>
  <c r="AE27" i="36" s="1"/>
  <c r="AO46" i="75" l="1"/>
  <c r="AP21" i="73"/>
  <c r="AO11" i="74"/>
  <c r="AP23" i="48"/>
  <c r="AQ21" i="48"/>
  <c r="AO20" i="49"/>
  <c r="AO48" i="50"/>
  <c r="AE6" i="39"/>
  <c r="AE38" i="38" s="1"/>
  <c r="AE41" i="38" s="1"/>
  <c r="AE42" i="38" s="1"/>
  <c r="AE33" i="36"/>
  <c r="AE146" i="36" s="1"/>
  <c r="AE32" i="36"/>
  <c r="AO20" i="74" l="1"/>
  <c r="AO48" i="75"/>
  <c r="AP23" i="73"/>
  <c r="AQ21" i="73"/>
  <c r="AQ23" i="48"/>
  <c r="AO43" i="49"/>
  <c r="AP24" i="48"/>
  <c r="AP25" i="48" s="1"/>
  <c r="AE22" i="39"/>
  <c r="AE55" i="39" s="1"/>
  <c r="AE148" i="36" s="1"/>
  <c r="AE62" i="38"/>
  <c r="AE12" i="38"/>
  <c r="AE7" i="38"/>
  <c r="AE17" i="38"/>
  <c r="AP24" i="73" l="1"/>
  <c r="AP25" i="73"/>
  <c r="AQ23" i="73"/>
  <c r="AO43" i="74"/>
  <c r="AP27" i="48"/>
  <c r="AP6" i="50"/>
  <c r="AQ24" i="48"/>
  <c r="AQ25" i="48" s="1"/>
  <c r="AP29" i="48"/>
  <c r="AE24" i="39"/>
  <c r="AE26" i="39"/>
  <c r="AQ24" i="73" l="1"/>
  <c r="AQ25" i="73" s="1"/>
  <c r="AP29" i="73"/>
  <c r="AP34" i="73" s="1"/>
  <c r="AP147" i="73" s="1"/>
  <c r="AP6" i="75"/>
  <c r="AP27" i="73"/>
  <c r="AQ27" i="48"/>
  <c r="AP34" i="48"/>
  <c r="AQ143" i="48"/>
  <c r="AQ29" i="48"/>
  <c r="AP22" i="50"/>
  <c r="AP38" i="49"/>
  <c r="AQ6" i="50"/>
  <c r="AP33" i="48"/>
  <c r="AP32" i="48"/>
  <c r="AE27" i="39"/>
  <c r="AE39" i="39" s="1"/>
  <c r="AE41" i="39" s="1"/>
  <c r="AF40" i="39" s="1"/>
  <c r="AQ27" i="73" l="1"/>
  <c r="AP22" i="75"/>
  <c r="AQ6" i="75"/>
  <c r="AP38" i="74"/>
  <c r="AP33" i="73"/>
  <c r="AP32" i="73"/>
  <c r="AQ143" i="73"/>
  <c r="AQ29" i="73"/>
  <c r="AQ38" i="49"/>
  <c r="AP41" i="49"/>
  <c r="AQ22" i="50"/>
  <c r="AP147" i="48"/>
  <c r="AP146" i="48"/>
  <c r="AP55" i="50"/>
  <c r="AP42" i="50"/>
  <c r="AQ34" i="48"/>
  <c r="AQ30" i="48"/>
  <c r="AQ31" i="48"/>
  <c r="AE6" i="38"/>
  <c r="AE46" i="39" s="1"/>
  <c r="AE48" i="39" s="1"/>
  <c r="AP146" i="73" l="1"/>
  <c r="AP41" i="74"/>
  <c r="AQ38" i="74"/>
  <c r="AP42" i="75"/>
  <c r="AP55" i="75"/>
  <c r="AQ22" i="75"/>
  <c r="AQ31" i="73"/>
  <c r="AQ30" i="73"/>
  <c r="AQ42" i="50"/>
  <c r="AQ147" i="48"/>
  <c r="AP62" i="49"/>
  <c r="AP42" i="49"/>
  <c r="AP148" i="48"/>
  <c r="AQ55" i="50"/>
  <c r="AQ41" i="49"/>
  <c r="AQ32" i="48"/>
  <c r="AQ33" i="48"/>
  <c r="AF21" i="36"/>
  <c r="AF23" i="36" s="1"/>
  <c r="AE11" i="38"/>
  <c r="AE20" i="38" s="1"/>
  <c r="AE43" i="38" s="1"/>
  <c r="AP148" i="73" l="1"/>
  <c r="AQ33" i="73"/>
  <c r="AQ55" i="75"/>
  <c r="AP42" i="74"/>
  <c r="AP62" i="74"/>
  <c r="AQ32" i="73"/>
  <c r="AQ42" i="75"/>
  <c r="AQ41" i="74"/>
  <c r="AQ34" i="73"/>
  <c r="AQ147" i="73" s="1"/>
  <c r="AQ42" i="49"/>
  <c r="AQ146" i="48"/>
  <c r="AQ36" i="48"/>
  <c r="AQ148" i="48"/>
  <c r="AP7" i="49"/>
  <c r="AP17" i="49"/>
  <c r="AP12" i="49"/>
  <c r="AQ44" i="50"/>
  <c r="AG21" i="36"/>
  <c r="AG23" i="36" s="1"/>
  <c r="AF24" i="36"/>
  <c r="AG24" i="36" s="1"/>
  <c r="AQ42" i="74" l="1"/>
  <c r="AQ146" i="73"/>
  <c r="AQ36" i="73"/>
  <c r="AQ148" i="73"/>
  <c r="AQ44" i="75"/>
  <c r="AP7" i="74"/>
  <c r="AP12" i="74"/>
  <c r="AP17" i="74"/>
  <c r="AP26" i="50"/>
  <c r="AQ17" i="49"/>
  <c r="AQ12" i="49"/>
  <c r="AQ7" i="49"/>
  <c r="AP24" i="50"/>
  <c r="AG143" i="36"/>
  <c r="AF25" i="36"/>
  <c r="AG25" i="36"/>
  <c r="AG27" i="36" s="1"/>
  <c r="AQ17" i="74" l="1"/>
  <c r="AP26" i="75"/>
  <c r="AQ12" i="74"/>
  <c r="AP24" i="75"/>
  <c r="AQ7" i="74"/>
  <c r="AQ24" i="50"/>
  <c r="AP27" i="50"/>
  <c r="AQ26" i="50"/>
  <c r="AF27" i="36"/>
  <c r="AG31" i="36" s="1"/>
  <c r="AG33" i="36" s="1"/>
  <c r="AF6" i="39"/>
  <c r="AG6" i="39" s="1"/>
  <c r="AG22" i="39" s="1"/>
  <c r="AG55" i="39" s="1"/>
  <c r="AG148" i="36" s="1"/>
  <c r="AP27" i="75" l="1"/>
  <c r="AQ24" i="75"/>
  <c r="AQ26" i="75"/>
  <c r="AQ27" i="50"/>
  <c r="AP39" i="50"/>
  <c r="AG146" i="36"/>
  <c r="AG36" i="36"/>
  <c r="AF22" i="39"/>
  <c r="AF38" i="38"/>
  <c r="AF32" i="36"/>
  <c r="AF33" i="36"/>
  <c r="AF146" i="36" s="1"/>
  <c r="AG30" i="36"/>
  <c r="AG32" i="36" s="1"/>
  <c r="AQ27" i="75" l="1"/>
  <c r="AP39" i="75"/>
  <c r="AP41" i="50"/>
  <c r="AQ39" i="50"/>
  <c r="AF55" i="39"/>
  <c r="AF148" i="36" s="1"/>
  <c r="AG38" i="38"/>
  <c r="AG41" i="38" s="1"/>
  <c r="AG42" i="38" s="1"/>
  <c r="AF41" i="38"/>
  <c r="AP41" i="75" l="1"/>
  <c r="AQ39" i="75"/>
  <c r="AQ41" i="50"/>
  <c r="AP6" i="49"/>
  <c r="AF42" i="38"/>
  <c r="AF62" i="38"/>
  <c r="AQ41" i="75" l="1"/>
  <c r="AP6" i="74"/>
  <c r="AP46" i="50"/>
  <c r="AP11" i="49"/>
  <c r="AQ6" i="49"/>
  <c r="AR21" i="48"/>
  <c r="AR40" i="50"/>
  <c r="AV40" i="50"/>
  <c r="AF12" i="38"/>
  <c r="AG12" i="38" s="1"/>
  <c r="AF7" i="38"/>
  <c r="AF17" i="38"/>
  <c r="AP46" i="75" l="1"/>
  <c r="AQ6" i="74"/>
  <c r="AR21" i="73"/>
  <c r="AP11" i="74"/>
  <c r="AV40" i="75"/>
  <c r="AR40" i="75"/>
  <c r="AQ46" i="50"/>
  <c r="AQ11" i="49"/>
  <c r="AP48" i="50"/>
  <c r="AR23" i="48"/>
  <c r="AP20" i="49"/>
  <c r="AG17" i="38"/>
  <c r="AF26" i="39"/>
  <c r="AG26" i="39" s="1"/>
  <c r="AG7" i="38"/>
  <c r="AF24" i="39"/>
  <c r="AR23" i="73" l="1"/>
  <c r="AP48" i="75"/>
  <c r="AP20" i="74"/>
  <c r="AQ11" i="74"/>
  <c r="AQ46" i="75"/>
  <c r="AP43" i="49"/>
  <c r="AQ48" i="50"/>
  <c r="AR24" i="48"/>
  <c r="AQ20" i="49"/>
  <c r="AF27" i="39"/>
  <c r="AF39" i="39" s="1"/>
  <c r="AF41" i="39" s="1"/>
  <c r="AF6" i="38" s="1"/>
  <c r="AG24" i="39"/>
  <c r="AG27" i="39" s="1"/>
  <c r="AG39" i="39" s="1"/>
  <c r="AG41" i="39" s="1"/>
  <c r="AQ48" i="75" l="1"/>
  <c r="AQ20" i="74"/>
  <c r="AR24" i="73"/>
  <c r="AR25" i="73" s="1"/>
  <c r="AP43" i="74"/>
  <c r="AQ43" i="49"/>
  <c r="AR29" i="48"/>
  <c r="AR25" i="48"/>
  <c r="AH21" i="36"/>
  <c r="AH23" i="36" s="1"/>
  <c r="AH24" i="36" s="1"/>
  <c r="AH25" i="36" s="1"/>
  <c r="AF46" i="39"/>
  <c r="AF48" i="39" s="1"/>
  <c r="AF11" i="38"/>
  <c r="AF20" i="38" s="1"/>
  <c r="AF43" i="38" s="1"/>
  <c r="AG6" i="38"/>
  <c r="AH40" i="39"/>
  <c r="AL40" i="39"/>
  <c r="AR6" i="75" l="1"/>
  <c r="AR27" i="73"/>
  <c r="AR29" i="73"/>
  <c r="AR34" i="73" s="1"/>
  <c r="AR147" i="73" s="1"/>
  <c r="AQ43" i="74"/>
  <c r="AR34" i="48"/>
  <c r="AR27" i="48"/>
  <c r="AR6" i="50"/>
  <c r="AH27" i="36"/>
  <c r="AH33" i="36" s="1"/>
  <c r="AH146" i="36" s="1"/>
  <c r="AH6" i="39"/>
  <c r="AG11" i="38"/>
  <c r="AG20" i="38" s="1"/>
  <c r="AG43" i="38" s="1"/>
  <c r="AG46" i="39"/>
  <c r="AG48" i="39" s="1"/>
  <c r="AR22" i="75" l="1"/>
  <c r="AR38" i="74"/>
  <c r="AR33" i="73"/>
  <c r="AR32" i="73"/>
  <c r="AR22" i="50"/>
  <c r="AR38" i="49"/>
  <c r="AR147" i="48"/>
  <c r="AR33" i="48"/>
  <c r="AR32" i="48"/>
  <c r="AH32" i="36"/>
  <c r="AH22" i="39"/>
  <c r="AH55" i="39" s="1"/>
  <c r="AH148" i="36" s="1"/>
  <c r="AH38" i="38"/>
  <c r="AH41" i="38" s="1"/>
  <c r="AR42" i="75" l="1"/>
  <c r="AR55" i="75"/>
  <c r="AR146" i="73"/>
  <c r="AR41" i="74"/>
  <c r="AR42" i="50"/>
  <c r="AR55" i="50"/>
  <c r="AR146" i="48"/>
  <c r="AR41" i="49"/>
  <c r="AH62" i="38"/>
  <c r="AH42" i="38"/>
  <c r="AR42" i="74" l="1"/>
  <c r="AR62" i="74"/>
  <c r="AR148" i="73"/>
  <c r="AR42" i="49"/>
  <c r="AR62" i="49"/>
  <c r="AR148" i="48"/>
  <c r="AH17" i="38"/>
  <c r="AH26" i="39" s="1"/>
  <c r="AH7" i="38"/>
  <c r="AH12" i="38"/>
  <c r="AR12" i="74" l="1"/>
  <c r="AR7" i="74"/>
  <c r="AR17" i="74"/>
  <c r="AR12" i="49"/>
  <c r="AR17" i="49"/>
  <c r="AR7" i="49"/>
  <c r="AH24" i="39"/>
  <c r="AH27" i="39" s="1"/>
  <c r="AH39" i="39" s="1"/>
  <c r="AH41" i="39" s="1"/>
  <c r="AR26" i="75" l="1"/>
  <c r="AR24" i="75"/>
  <c r="AR24" i="50"/>
  <c r="AR26" i="50"/>
  <c r="AI40" i="39"/>
  <c r="AH6" i="38"/>
  <c r="AR27" i="75" l="1"/>
  <c r="AR27" i="50"/>
  <c r="AI21" i="36"/>
  <c r="AI23" i="36" s="1"/>
  <c r="AI24" i="36" s="1"/>
  <c r="AI25" i="36" s="1"/>
  <c r="AH11" i="38"/>
  <c r="AH20" i="38" s="1"/>
  <c r="AH43" i="38" s="1"/>
  <c r="AH46" i="39"/>
  <c r="AH48" i="39" s="1"/>
  <c r="AR39" i="75" l="1"/>
  <c r="AR39" i="50"/>
  <c r="AI27" i="36"/>
  <c r="AI6" i="39"/>
  <c r="AR41" i="75" l="1"/>
  <c r="AR41" i="50"/>
  <c r="AI22" i="39"/>
  <c r="AI55" i="39" s="1"/>
  <c r="AI148" i="36" s="1"/>
  <c r="AI38" i="38"/>
  <c r="AI41" i="38" s="1"/>
  <c r="AI33" i="36"/>
  <c r="AI146" i="36" s="1"/>
  <c r="AI32" i="36"/>
  <c r="AR6" i="74" l="1"/>
  <c r="AS40" i="75"/>
  <c r="AR6" i="49"/>
  <c r="AS40" i="50"/>
  <c r="AI42" i="38"/>
  <c r="AI62" i="38"/>
  <c r="AR11" i="74" l="1"/>
  <c r="AS21" i="73"/>
  <c r="AR46" i="75"/>
  <c r="AR11" i="49"/>
  <c r="AR46" i="50"/>
  <c r="AS21" i="48"/>
  <c r="AI12" i="38"/>
  <c r="AI7" i="38"/>
  <c r="AI17" i="38"/>
  <c r="AI26" i="39" s="1"/>
  <c r="AS23" i="73" l="1"/>
  <c r="AR20" i="74"/>
  <c r="AR48" i="75"/>
  <c r="AR20" i="49"/>
  <c r="AS23" i="48"/>
  <c r="AR48" i="50"/>
  <c r="AI24" i="39"/>
  <c r="AI27" i="39" s="1"/>
  <c r="AI39" i="39" s="1"/>
  <c r="AI41" i="39" s="1"/>
  <c r="AS24" i="73" l="1"/>
  <c r="AS25" i="73" s="1"/>
  <c r="AR43" i="74"/>
  <c r="AS24" i="48"/>
  <c r="AS25" i="48" s="1"/>
  <c r="AR43" i="49"/>
  <c r="AI6" i="38"/>
  <c r="AJ21" i="36" s="1"/>
  <c r="AJ23" i="36" s="1"/>
  <c r="AJ24" i="36" s="1"/>
  <c r="AJ25" i="36" s="1"/>
  <c r="AJ40" i="39"/>
  <c r="AS29" i="73" l="1"/>
  <c r="AS34" i="73" s="1"/>
  <c r="AS147" i="73" s="1"/>
  <c r="AS27" i="73"/>
  <c r="AS6" i="75"/>
  <c r="AS27" i="48"/>
  <c r="AS6" i="50"/>
  <c r="AS29" i="48"/>
  <c r="AI46" i="39"/>
  <c r="AI48" i="39" s="1"/>
  <c r="AI11" i="38"/>
  <c r="AI20" i="38" s="1"/>
  <c r="AI43" i="38" s="1"/>
  <c r="AJ27" i="36"/>
  <c r="AJ6" i="39"/>
  <c r="AS33" i="73" l="1"/>
  <c r="AS32" i="73"/>
  <c r="AS22" i="75"/>
  <c r="AS38" i="74"/>
  <c r="AS34" i="48"/>
  <c r="AS22" i="50"/>
  <c r="AS38" i="49"/>
  <c r="AS33" i="48"/>
  <c r="AS32" i="48"/>
  <c r="AJ22" i="39"/>
  <c r="AJ55" i="39" s="1"/>
  <c r="AJ148" i="36" s="1"/>
  <c r="AJ38" i="38"/>
  <c r="AJ41" i="38" s="1"/>
  <c r="AJ42" i="38" s="1"/>
  <c r="AJ33" i="36"/>
  <c r="AJ146" i="36" s="1"/>
  <c r="AJ32" i="36"/>
  <c r="AS41" i="74" l="1"/>
  <c r="AS146" i="73"/>
  <c r="AS42" i="75"/>
  <c r="AS55" i="75"/>
  <c r="AS55" i="50"/>
  <c r="AS42" i="50"/>
  <c r="AS147" i="48"/>
  <c r="AS146" i="48"/>
  <c r="AS41" i="49"/>
  <c r="AJ62" i="38"/>
  <c r="AJ7" i="38"/>
  <c r="AJ12" i="38"/>
  <c r="AJ17" i="38"/>
  <c r="AS148" i="73" l="1"/>
  <c r="AS62" i="74"/>
  <c r="AS42" i="74"/>
  <c r="AS42" i="49"/>
  <c r="AS62" i="49"/>
  <c r="AS148" i="48"/>
  <c r="AJ26" i="39"/>
  <c r="AJ24" i="39"/>
  <c r="AS12" i="74" l="1"/>
  <c r="AS7" i="74"/>
  <c r="AS17" i="74"/>
  <c r="AS12" i="49"/>
  <c r="AS17" i="49"/>
  <c r="AS7" i="49"/>
  <c r="AJ27" i="39"/>
  <c r="AJ39" i="39" s="1"/>
  <c r="AJ41" i="39" s="1"/>
  <c r="AJ6" i="38" s="1"/>
  <c r="AS26" i="75" l="1"/>
  <c r="AS24" i="75"/>
  <c r="AS24" i="50"/>
  <c r="AS26" i="50"/>
  <c r="AK40" i="39"/>
  <c r="AJ46" i="39"/>
  <c r="AJ48" i="39" s="1"/>
  <c r="AK21" i="36"/>
  <c r="AJ11" i="38"/>
  <c r="AJ20" i="38" s="1"/>
  <c r="AJ43" i="38" s="1"/>
  <c r="AS27" i="75" l="1"/>
  <c r="AS27" i="50"/>
  <c r="AK23" i="36"/>
  <c r="AL21" i="36"/>
  <c r="AL23" i="36" s="1"/>
  <c r="AS39" i="75" l="1"/>
  <c r="AS39" i="50"/>
  <c r="AK24" i="36"/>
  <c r="AL24" i="36" s="1"/>
  <c r="AL143" i="36" s="1"/>
  <c r="AS41" i="75" l="1"/>
  <c r="AS41" i="50"/>
  <c r="AK25" i="36"/>
  <c r="AK27" i="36" s="1"/>
  <c r="AL25" i="36"/>
  <c r="AL27" i="36" s="1"/>
  <c r="AT40" i="75" l="1"/>
  <c r="AS6" i="74"/>
  <c r="AS6" i="49"/>
  <c r="AT40" i="50"/>
  <c r="AK6" i="39"/>
  <c r="AL6" i="39" s="1"/>
  <c r="AL22" i="39" s="1"/>
  <c r="AL55" i="39" s="1"/>
  <c r="AL148" i="36" s="1"/>
  <c r="AL30" i="36"/>
  <c r="AL32" i="36" s="1"/>
  <c r="AL31" i="36"/>
  <c r="AL33" i="36" s="1"/>
  <c r="AK33" i="36"/>
  <c r="AK146" i="36" s="1"/>
  <c r="AK32" i="36"/>
  <c r="AS11" i="74" l="1"/>
  <c r="AS46" i="75"/>
  <c r="AT21" i="73"/>
  <c r="AS11" i="49"/>
  <c r="AT21" i="48"/>
  <c r="AS46" i="50"/>
  <c r="AK38" i="38"/>
  <c r="AL38" i="38" s="1"/>
  <c r="AL41" i="38" s="1"/>
  <c r="AL42" i="38" s="1"/>
  <c r="AK22" i="39"/>
  <c r="AK55" i="39" s="1"/>
  <c r="AK148" i="36" s="1"/>
  <c r="AL36" i="36"/>
  <c r="AL146" i="36"/>
  <c r="U28" i="36"/>
  <c r="U29" i="36" s="1"/>
  <c r="U34" i="36" s="1"/>
  <c r="U173" i="36"/>
  <c r="V173" i="36" s="1"/>
  <c r="AT23" i="73" l="1"/>
  <c r="AS20" i="74"/>
  <c r="AS48" i="75"/>
  <c r="AS48" i="50"/>
  <c r="AT23" i="48"/>
  <c r="AS20" i="49"/>
  <c r="AK41" i="38"/>
  <c r="AK42" i="38" s="1"/>
  <c r="V172" i="36"/>
  <c r="V28" i="36" s="1"/>
  <c r="V29" i="36" s="1"/>
  <c r="V34" i="36" s="1"/>
  <c r="X173" i="36"/>
  <c r="U147" i="36"/>
  <c r="AT24" i="73" l="1"/>
  <c r="AT25" i="73" s="1"/>
  <c r="AS43" i="74"/>
  <c r="AT24" i="48"/>
  <c r="AS43" i="49"/>
  <c r="AK62" i="38"/>
  <c r="V147" i="36"/>
  <c r="AK12" i="38"/>
  <c r="AL12" i="38" s="1"/>
  <c r="AK7" i="38"/>
  <c r="AK17" i="38"/>
  <c r="W28" i="36"/>
  <c r="W29" i="36" s="1"/>
  <c r="W34" i="36" s="1"/>
  <c r="W147" i="36" s="1"/>
  <c r="X172" i="36"/>
  <c r="X28" i="36" s="1"/>
  <c r="X29" i="36" s="1"/>
  <c r="X34" i="36" s="1"/>
  <c r="Y173" i="36"/>
  <c r="AT29" i="73" l="1"/>
  <c r="AT34" i="73" s="1"/>
  <c r="AT147" i="73" s="1"/>
  <c r="AT6" i="75"/>
  <c r="AT27" i="73"/>
  <c r="AT29" i="48"/>
  <c r="AT25" i="48"/>
  <c r="AK24" i="39"/>
  <c r="AL7" i="38"/>
  <c r="AK26" i="39"/>
  <c r="AL26" i="39" s="1"/>
  <c r="AL17" i="38"/>
  <c r="Z173" i="36"/>
  <c r="Y172" i="36"/>
  <c r="Y28" i="36" s="1"/>
  <c r="Y29" i="36" s="1"/>
  <c r="Y34" i="36" s="1"/>
  <c r="Y147" i="36" s="1"/>
  <c r="X147" i="36"/>
  <c r="AT32" i="73" l="1"/>
  <c r="AT33" i="73"/>
  <c r="AT22" i="75"/>
  <c r="AT38" i="74"/>
  <c r="AT34" i="48"/>
  <c r="AT27" i="48"/>
  <c r="AT6" i="50"/>
  <c r="AK27" i="39"/>
  <c r="AK39" i="39" s="1"/>
  <c r="AK41" i="39" s="1"/>
  <c r="AK6" i="38" s="1"/>
  <c r="AL24" i="39"/>
  <c r="AL27" i="39" s="1"/>
  <c r="AL39" i="39" s="1"/>
  <c r="AL41" i="39" s="1"/>
  <c r="AA173" i="36"/>
  <c r="Z172" i="36"/>
  <c r="Z28" i="36" s="1"/>
  <c r="AT41" i="74" l="1"/>
  <c r="AT42" i="75"/>
  <c r="AT55" i="75"/>
  <c r="AT146" i="73"/>
  <c r="AT22" i="50"/>
  <c r="AT38" i="49"/>
  <c r="AT33" i="48"/>
  <c r="AT32" i="48"/>
  <c r="AT147" i="48"/>
  <c r="AM40" i="39"/>
  <c r="AQ40" i="39"/>
  <c r="AK11" i="38"/>
  <c r="AK20" i="38" s="1"/>
  <c r="AK43" i="38" s="1"/>
  <c r="AL6" i="38"/>
  <c r="AM21" i="36"/>
  <c r="AK46" i="39"/>
  <c r="AK48" i="39" s="1"/>
  <c r="Z29" i="36"/>
  <c r="Z34" i="36" s="1"/>
  <c r="AA172" i="36"/>
  <c r="AA28" i="36" s="1"/>
  <c r="AA29" i="36" s="1"/>
  <c r="AA34" i="36" s="1"/>
  <c r="AC173" i="36"/>
  <c r="AT148" i="73" l="1"/>
  <c r="AT42" i="74"/>
  <c r="AT62" i="74"/>
  <c r="AT55" i="50"/>
  <c r="AT42" i="50"/>
  <c r="AT146" i="48"/>
  <c r="AT41" i="49"/>
  <c r="AA147" i="36"/>
  <c r="Z147" i="36"/>
  <c r="AM23" i="36"/>
  <c r="AM24" i="36" s="1"/>
  <c r="AM25" i="36" s="1"/>
  <c r="AL46" i="39"/>
  <c r="AL48" i="39" s="1"/>
  <c r="AL11" i="38"/>
  <c r="AL20" i="38" s="1"/>
  <c r="AL43" i="38" s="1"/>
  <c r="AD173" i="36"/>
  <c r="AC172" i="36"/>
  <c r="AC28" i="36" s="1"/>
  <c r="AC29" i="36" s="1"/>
  <c r="AC34" i="36" s="1"/>
  <c r="AB28" i="36"/>
  <c r="AB29" i="36" s="1"/>
  <c r="AB34" i="36" s="1"/>
  <c r="AT12" i="74" l="1"/>
  <c r="AT7" i="74"/>
  <c r="AT17" i="74"/>
  <c r="AT62" i="49"/>
  <c r="AT42" i="49"/>
  <c r="AT148" i="48"/>
  <c r="AC147" i="36"/>
  <c r="AB147" i="36"/>
  <c r="AM27" i="36"/>
  <c r="AM32" i="36" s="1"/>
  <c r="AM6" i="39"/>
  <c r="AE173" i="36"/>
  <c r="AD172" i="36"/>
  <c r="AD28" i="36" s="1"/>
  <c r="AD29" i="36" s="1"/>
  <c r="AD34" i="36" s="1"/>
  <c r="AT26" i="75" l="1"/>
  <c r="AT24" i="75"/>
  <c r="AT12" i="49"/>
  <c r="AT17" i="49"/>
  <c r="AT7" i="49"/>
  <c r="AD147" i="36"/>
  <c r="AM33" i="36"/>
  <c r="AM146" i="36" s="1"/>
  <c r="AM22" i="39"/>
  <c r="AM55" i="39" s="1"/>
  <c r="AM148" i="36" s="1"/>
  <c r="AM38" i="38"/>
  <c r="AM41" i="38" s="1"/>
  <c r="AF173" i="36"/>
  <c r="AE172" i="36"/>
  <c r="AE28" i="36" s="1"/>
  <c r="AT27" i="75" l="1"/>
  <c r="AT26" i="50"/>
  <c r="AT24" i="50"/>
  <c r="AM62" i="38"/>
  <c r="AM42" i="38"/>
  <c r="AE29" i="36"/>
  <c r="AE34" i="36" s="1"/>
  <c r="AF172" i="36"/>
  <c r="AF28" i="36" s="1"/>
  <c r="AF29" i="36" s="1"/>
  <c r="AF34" i="36" s="1"/>
  <c r="AH173" i="36"/>
  <c r="AT39" i="75" l="1"/>
  <c r="AT27" i="50"/>
  <c r="AF147" i="36"/>
  <c r="AE147" i="36"/>
  <c r="AM7" i="38"/>
  <c r="AM12" i="38"/>
  <c r="AM17" i="38"/>
  <c r="AM26" i="39" s="1"/>
  <c r="AG28" i="36"/>
  <c r="AG29" i="36" s="1"/>
  <c r="AG34" i="36" s="1"/>
  <c r="AI173" i="36"/>
  <c r="AH172" i="36"/>
  <c r="AH28" i="36" s="1"/>
  <c r="AH29" i="36" s="1"/>
  <c r="AH34" i="36" s="1"/>
  <c r="AT41" i="75" l="1"/>
  <c r="AT39" i="50"/>
  <c r="AH147" i="36"/>
  <c r="AG147" i="36"/>
  <c r="AM24" i="39"/>
  <c r="AM27" i="39" s="1"/>
  <c r="AM39" i="39" s="1"/>
  <c r="AM41" i="39" s="1"/>
  <c r="AI172" i="36"/>
  <c r="AI28" i="36" s="1"/>
  <c r="AI29" i="36" s="1"/>
  <c r="AI34" i="36" s="1"/>
  <c r="AJ173" i="36"/>
  <c r="AU40" i="75" l="1"/>
  <c r="AT6" i="74"/>
  <c r="AT41" i="50"/>
  <c r="AI147" i="36"/>
  <c r="AN40" i="39"/>
  <c r="AM6" i="38"/>
  <c r="AJ172" i="36"/>
  <c r="AJ28" i="36" s="1"/>
  <c r="AK173" i="36"/>
  <c r="AT11" i="74" l="1"/>
  <c r="AT46" i="75"/>
  <c r="AU21" i="73"/>
  <c r="AT6" i="49"/>
  <c r="AU40" i="50"/>
  <c r="AM11" i="38"/>
  <c r="AM20" i="38" s="1"/>
  <c r="AM43" i="38" s="1"/>
  <c r="AN21" i="36"/>
  <c r="AN23" i="36" s="1"/>
  <c r="AN24" i="36" s="1"/>
  <c r="AN25" i="36" s="1"/>
  <c r="AM46" i="39"/>
  <c r="AM48" i="39" s="1"/>
  <c r="AM173" i="36"/>
  <c r="AK172" i="36"/>
  <c r="AK28" i="36" s="1"/>
  <c r="AK29" i="36" s="1"/>
  <c r="AK34" i="36" s="1"/>
  <c r="AJ29" i="36"/>
  <c r="AJ34" i="36" s="1"/>
  <c r="AU23" i="73" l="1"/>
  <c r="AV21" i="73"/>
  <c r="AT20" i="74"/>
  <c r="AT48" i="75"/>
  <c r="AU21" i="48"/>
  <c r="AT11" i="49"/>
  <c r="AT46" i="50"/>
  <c r="AK147" i="36"/>
  <c r="AJ147" i="36"/>
  <c r="AL28" i="36"/>
  <c r="AL29" i="36" s="1"/>
  <c r="AL34" i="36" s="1"/>
  <c r="AN27" i="36"/>
  <c r="AN6" i="39"/>
  <c r="AN173" i="36"/>
  <c r="AM172" i="36"/>
  <c r="AM28" i="36" s="1"/>
  <c r="AM29" i="36" s="1"/>
  <c r="AM34" i="36" s="1"/>
  <c r="AV23" i="73" l="1"/>
  <c r="AU24" i="73"/>
  <c r="AU25" i="73" s="1"/>
  <c r="AT43" i="74"/>
  <c r="AT20" i="49"/>
  <c r="AT48" i="50"/>
  <c r="AU23" i="48"/>
  <c r="AV21" i="48"/>
  <c r="AM147" i="36"/>
  <c r="AL149" i="36"/>
  <c r="AL59" i="39"/>
  <c r="AL61" i="39" s="1"/>
  <c r="AL147" i="36"/>
  <c r="AN22" i="39"/>
  <c r="AN55" i="39" s="1"/>
  <c r="AN148" i="36" s="1"/>
  <c r="AN38" i="38"/>
  <c r="AN41" i="38" s="1"/>
  <c r="AN33" i="36"/>
  <c r="AN146" i="36" s="1"/>
  <c r="AN32" i="36"/>
  <c r="AN172" i="36"/>
  <c r="AN28" i="36" s="1"/>
  <c r="AN29" i="36" s="1"/>
  <c r="AN34" i="36" s="1"/>
  <c r="AO173" i="36"/>
  <c r="AU27" i="73" l="1"/>
  <c r="AU6" i="75"/>
  <c r="AV24" i="73"/>
  <c r="AU29" i="73"/>
  <c r="AU34" i="73" s="1"/>
  <c r="AU147" i="73" s="1"/>
  <c r="AU24" i="48"/>
  <c r="AV23" i="48"/>
  <c r="AT43" i="49"/>
  <c r="AN147" i="36"/>
  <c r="AN42" i="38"/>
  <c r="AN62" i="38"/>
  <c r="AP173" i="36"/>
  <c r="AO172" i="36"/>
  <c r="AO28" i="36" s="1"/>
  <c r="AU32" i="73" l="1"/>
  <c r="AU33" i="73"/>
  <c r="AV143" i="73"/>
  <c r="AV29" i="73"/>
  <c r="AV25" i="73"/>
  <c r="AU22" i="75"/>
  <c r="AV6" i="75"/>
  <c r="AU38" i="74"/>
  <c r="AV24" i="48"/>
  <c r="AU29" i="48"/>
  <c r="AU25" i="48"/>
  <c r="AN7" i="38"/>
  <c r="AN12" i="38"/>
  <c r="AN17" i="38"/>
  <c r="AN26" i="39" s="1"/>
  <c r="AR173" i="36"/>
  <c r="AP172" i="36"/>
  <c r="AP28" i="36" s="1"/>
  <c r="AV38" i="74" l="1"/>
  <c r="AU41" i="74"/>
  <c r="AV27" i="73"/>
  <c r="AV22" i="75"/>
  <c r="AU146" i="73"/>
  <c r="AU42" i="75"/>
  <c r="AU55" i="75"/>
  <c r="AU27" i="48"/>
  <c r="AU6" i="50"/>
  <c r="AV25" i="48"/>
  <c r="AV143" i="48"/>
  <c r="AV29" i="48"/>
  <c r="AU34" i="48"/>
  <c r="AN24" i="39"/>
  <c r="AN27" i="39" s="1"/>
  <c r="AN39" i="39" s="1"/>
  <c r="AN41" i="39" s="1"/>
  <c r="AN6" i="38" s="1"/>
  <c r="AR172" i="36"/>
  <c r="AR28" i="36" s="1"/>
  <c r="AS173" i="36"/>
  <c r="AQ28" i="36"/>
  <c r="AU148" i="73" l="1"/>
  <c r="AU62" i="74"/>
  <c r="AU42" i="74"/>
  <c r="AV41" i="74"/>
  <c r="AV42" i="75"/>
  <c r="AV55" i="75"/>
  <c r="F35" i="77"/>
  <c r="AV31" i="73"/>
  <c r="AV30" i="73"/>
  <c r="AU33" i="48"/>
  <c r="AU32" i="48"/>
  <c r="AU147" i="48"/>
  <c r="AV27" i="48"/>
  <c r="AV6" i="50"/>
  <c r="AU22" i="50"/>
  <c r="AU38" i="49"/>
  <c r="AO40" i="39"/>
  <c r="AN11" i="38"/>
  <c r="AN20" i="38" s="1"/>
  <c r="AN43" i="38" s="1"/>
  <c r="AO21" i="36"/>
  <c r="AN46" i="39"/>
  <c r="AN48" i="39" s="1"/>
  <c r="AT173" i="36"/>
  <c r="AS172" i="36"/>
  <c r="AS28" i="36" s="1"/>
  <c r="AV32" i="73" l="1"/>
  <c r="AV148" i="73"/>
  <c r="AV42" i="74"/>
  <c r="AV33" i="73"/>
  <c r="AV34" i="73"/>
  <c r="AV147" i="73" s="1"/>
  <c r="AV44" i="75"/>
  <c r="AU7" i="74"/>
  <c r="AU12" i="74"/>
  <c r="AU17" i="74"/>
  <c r="AV22" i="50"/>
  <c r="AV38" i="49"/>
  <c r="AU41" i="49"/>
  <c r="AU146" i="48"/>
  <c r="AU42" i="50"/>
  <c r="AU55" i="50"/>
  <c r="AV31" i="48"/>
  <c r="AV30" i="48"/>
  <c r="AO23" i="36"/>
  <c r="AO24" i="36" s="1"/>
  <c r="AO25" i="36" s="1"/>
  <c r="AT172" i="36"/>
  <c r="AT28" i="36" s="1"/>
  <c r="AU173" i="36"/>
  <c r="AU172" i="36" s="1"/>
  <c r="AU28" i="36" s="1"/>
  <c r="AU26" i="75" l="1"/>
  <c r="AV17" i="74"/>
  <c r="AV12" i="74"/>
  <c r="F34" i="77"/>
  <c r="F37" i="77" s="1"/>
  <c r="AU24" i="75"/>
  <c r="AV7" i="74"/>
  <c r="AV146" i="73"/>
  <c r="AV36" i="73"/>
  <c r="AV32" i="48"/>
  <c r="AV34" i="48"/>
  <c r="AV41" i="49"/>
  <c r="AV33" i="48"/>
  <c r="AU148" i="48"/>
  <c r="AV42" i="50"/>
  <c r="AV55" i="50"/>
  <c r="F35" i="52"/>
  <c r="AU42" i="49"/>
  <c r="AU62" i="49"/>
  <c r="AO29" i="36"/>
  <c r="AO34" i="36" s="1"/>
  <c r="AO27" i="36"/>
  <c r="AO6" i="39"/>
  <c r="AV28" i="36"/>
  <c r="C30" i="77" l="1"/>
  <c r="C31" i="77" s="1"/>
  <c r="C36" i="77" s="1"/>
  <c r="F38" i="77"/>
  <c r="AV26" i="75"/>
  <c r="AU27" i="75"/>
  <c r="AV24" i="75"/>
  <c r="AV36" i="48"/>
  <c r="AV146" i="48"/>
  <c r="AU7" i="49"/>
  <c r="AU17" i="49"/>
  <c r="AU12" i="49"/>
  <c r="AV148" i="48"/>
  <c r="AV42" i="49"/>
  <c r="AV44" i="50"/>
  <c r="AV147" i="48"/>
  <c r="AO147" i="36"/>
  <c r="AO22" i="39"/>
  <c r="AO38" i="38"/>
  <c r="AO32" i="36"/>
  <c r="AO33" i="36"/>
  <c r="AO146" i="36" s="1"/>
  <c r="AU39" i="75" l="1"/>
  <c r="AV27" i="75"/>
  <c r="C38" i="77"/>
  <c r="C37" i="77"/>
  <c r="AU24" i="50"/>
  <c r="AV7" i="49"/>
  <c r="AU26" i="50"/>
  <c r="AV17" i="49"/>
  <c r="F34" i="52"/>
  <c r="F37" i="52" s="1"/>
  <c r="AV12" i="49"/>
  <c r="AO55" i="39"/>
  <c r="AO148" i="36" s="1"/>
  <c r="AO41" i="38"/>
  <c r="AV39" i="75" l="1"/>
  <c r="AU41" i="75"/>
  <c r="AV26" i="50"/>
  <c r="F38" i="52"/>
  <c r="C30" i="52"/>
  <c r="C31" i="52" s="1"/>
  <c r="C36" i="52" s="1"/>
  <c r="AV24" i="50"/>
  <c r="AU27" i="50"/>
  <c r="AO62" i="38"/>
  <c r="AO42" i="38"/>
  <c r="AU6" i="74" l="1"/>
  <c r="AV41" i="75"/>
  <c r="AV27" i="50"/>
  <c r="C38" i="52"/>
  <c r="C37" i="52"/>
  <c r="AU39" i="50"/>
  <c r="AO12" i="38"/>
  <c r="AO7" i="38"/>
  <c r="AO17" i="38"/>
  <c r="AU11" i="74" l="1"/>
  <c r="AV6" i="74"/>
  <c r="AU46" i="75"/>
  <c r="AU41" i="50"/>
  <c r="AV39" i="50"/>
  <c r="AO24" i="39"/>
  <c r="AO26" i="39"/>
  <c r="AU20" i="74" l="1"/>
  <c r="AU48" i="75"/>
  <c r="AV46" i="75"/>
  <c r="AV11" i="74"/>
  <c r="AV41" i="50"/>
  <c r="AU6" i="49"/>
  <c r="AO27" i="39"/>
  <c r="AO39" i="39" s="1"/>
  <c r="AO41" i="39" s="1"/>
  <c r="AP40" i="39" s="1"/>
  <c r="AV48" i="75" l="1"/>
  <c r="AV20" i="74"/>
  <c r="AU43" i="74"/>
  <c r="AU46" i="50"/>
  <c r="AU11" i="49"/>
  <c r="AV6" i="49"/>
  <c r="AO6" i="38"/>
  <c r="AP21" i="36" s="1"/>
  <c r="AV43" i="74" l="1"/>
  <c r="AV11" i="49"/>
  <c r="AV46" i="50"/>
  <c r="AU20" i="49"/>
  <c r="AU48" i="50"/>
  <c r="AO11" i="38"/>
  <c r="AO20" i="38" s="1"/>
  <c r="AO43" i="38" s="1"/>
  <c r="AO46" i="39"/>
  <c r="AO48" i="39" s="1"/>
  <c r="AP23" i="36"/>
  <c r="AQ21" i="36"/>
  <c r="AV48" i="50" l="1"/>
  <c r="AU43" i="49"/>
  <c r="AV20" i="49"/>
  <c r="AQ23" i="36"/>
  <c r="AP24" i="36"/>
  <c r="AP25" i="36" s="1"/>
  <c r="AV43" i="49" l="1"/>
  <c r="AP27" i="36"/>
  <c r="AP6" i="39"/>
  <c r="AQ6" i="39" s="1"/>
  <c r="AQ22" i="39" s="1"/>
  <c r="AQ55" i="39" s="1"/>
  <c r="AQ148" i="36" s="1"/>
  <c r="AQ24" i="36"/>
  <c r="AQ25" i="36" s="1"/>
  <c r="AQ27" i="36" s="1"/>
  <c r="AP29" i="36"/>
  <c r="AP34" i="36" s="1"/>
  <c r="AP147" i="36" l="1"/>
  <c r="AQ31" i="36"/>
  <c r="AQ33" i="36" s="1"/>
  <c r="AQ30" i="36"/>
  <c r="AQ32" i="36" s="1"/>
  <c r="AQ143" i="36"/>
  <c r="AQ29" i="36"/>
  <c r="AP22" i="39"/>
  <c r="AP38" i="38"/>
  <c r="AP33" i="36"/>
  <c r="AP146" i="36" s="1"/>
  <c r="AP32" i="36"/>
  <c r="AQ34" i="36" l="1"/>
  <c r="AQ38" i="38"/>
  <c r="AQ41" i="38" s="1"/>
  <c r="AQ42" i="38" s="1"/>
  <c r="AP41" i="38"/>
  <c r="AP55" i="39"/>
  <c r="AP148" i="36" s="1"/>
  <c r="AQ36" i="36"/>
  <c r="AQ146" i="36"/>
  <c r="AQ147" i="36" l="1"/>
  <c r="AP42" i="38"/>
  <c r="AP62" i="38"/>
  <c r="AP12" i="38" l="1"/>
  <c r="AQ12" i="38" s="1"/>
  <c r="AP7" i="38"/>
  <c r="AP17" i="38"/>
  <c r="AP24" i="39" l="1"/>
  <c r="AQ7" i="38"/>
  <c r="AQ17" i="38"/>
  <c r="AP26" i="39"/>
  <c r="AQ26" i="39" s="1"/>
  <c r="AP27" i="39" l="1"/>
  <c r="AP39" i="39" s="1"/>
  <c r="AP41" i="39" s="1"/>
  <c r="AP6" i="38" s="1"/>
  <c r="AQ24" i="39"/>
  <c r="AQ27" i="39" s="1"/>
  <c r="AQ39" i="39" s="1"/>
  <c r="AQ41" i="39" s="1"/>
  <c r="AV40" i="39" l="1"/>
  <c r="AR40" i="39"/>
  <c r="AP46" i="39"/>
  <c r="AP48" i="39" s="1"/>
  <c r="AQ6" i="38"/>
  <c r="AR21" i="36"/>
  <c r="AP11" i="38"/>
  <c r="AP20" i="38" s="1"/>
  <c r="AP43" i="38" s="1"/>
  <c r="AQ11" i="38" l="1"/>
  <c r="AQ20" i="38" s="1"/>
  <c r="AQ43" i="38" s="1"/>
  <c r="AQ46" i="39"/>
  <c r="AQ48" i="39" s="1"/>
  <c r="AR23" i="36"/>
  <c r="AR24" i="36" s="1"/>
  <c r="AR25" i="36" s="1"/>
  <c r="AR27" i="36" l="1"/>
  <c r="AR32" i="36" s="1"/>
  <c r="AR6" i="39"/>
  <c r="AR29" i="36"/>
  <c r="AR34" i="36" s="1"/>
  <c r="AR147" i="36" l="1"/>
  <c r="AR33" i="36"/>
  <c r="AR146" i="36" s="1"/>
  <c r="AR22" i="39"/>
  <c r="AR55" i="39" s="1"/>
  <c r="AR148" i="36" s="1"/>
  <c r="AR38" i="38"/>
  <c r="AR41" i="38" s="1"/>
  <c r="AR62" i="38" l="1"/>
  <c r="AR42" i="38"/>
  <c r="AR17" i="38" l="1"/>
  <c r="AR26" i="39" s="1"/>
  <c r="AR7" i="38"/>
  <c r="AR12" i="38"/>
  <c r="AR24" i="39" l="1"/>
  <c r="AR27" i="39" s="1"/>
  <c r="AR39" i="39" s="1"/>
  <c r="AR41" i="39" s="1"/>
  <c r="AR6" i="38" l="1"/>
  <c r="AS40" i="39"/>
  <c r="AR46" i="39" l="1"/>
  <c r="AR48" i="39" s="1"/>
  <c r="AR11" i="38"/>
  <c r="AR20" i="38" s="1"/>
  <c r="AR43" i="38" s="1"/>
  <c r="AS21" i="36"/>
  <c r="AS23" i="36" l="1"/>
  <c r="AS24" i="36" s="1"/>
  <c r="AS25" i="36" s="1"/>
  <c r="AS29" i="36" l="1"/>
  <c r="AS34" i="36" s="1"/>
  <c r="AS27" i="36"/>
  <c r="AS6" i="39"/>
  <c r="AS147" i="36" l="1"/>
  <c r="AS38" i="38"/>
  <c r="AS41" i="38" s="1"/>
  <c r="AS22" i="39"/>
  <c r="AS55" i="39" s="1"/>
  <c r="AS148" i="36" s="1"/>
  <c r="AS33" i="36"/>
  <c r="AS146" i="36" s="1"/>
  <c r="AS32" i="36"/>
  <c r="AS62" i="38" l="1"/>
  <c r="AS42" i="38"/>
  <c r="AS17" i="38" l="1"/>
  <c r="AS26" i="39" s="1"/>
  <c r="AS7" i="38"/>
  <c r="AS12" i="38"/>
  <c r="AS24" i="39" l="1"/>
  <c r="AS27" i="39" s="1"/>
  <c r="AS39" i="39" s="1"/>
  <c r="AS41" i="39" s="1"/>
  <c r="AT40" i="39" l="1"/>
  <c r="AS6" i="38"/>
  <c r="AT21" i="36" l="1"/>
  <c r="AS11" i="38"/>
  <c r="AS20" i="38" s="1"/>
  <c r="AS43" i="38" s="1"/>
  <c r="AS46" i="39"/>
  <c r="AS48" i="39" s="1"/>
  <c r="AT23" i="36" l="1"/>
  <c r="AT24" i="36" l="1"/>
  <c r="AT29" i="36" s="1"/>
  <c r="AT34" i="36" s="1"/>
  <c r="AT147" i="36" l="1"/>
  <c r="AT25" i="36"/>
  <c r="AT27" i="36" s="1"/>
  <c r="AT6" i="39" l="1"/>
  <c r="AT22" i="39" s="1"/>
  <c r="AT55" i="39" s="1"/>
  <c r="AT148" i="36" s="1"/>
  <c r="AT32" i="36"/>
  <c r="AT33" i="36"/>
  <c r="AT146" i="36" s="1"/>
  <c r="AT38" i="38" l="1"/>
  <c r="AT41" i="38" s="1"/>
  <c r="AT62" i="38" s="1"/>
  <c r="AT42" i="38" l="1"/>
  <c r="AT7" i="38" s="1"/>
  <c r="AT12" i="38" l="1"/>
  <c r="AT24" i="39" s="1"/>
  <c r="AT17" i="38"/>
  <c r="AT26" i="39" s="1"/>
  <c r="AT27" i="39" l="1"/>
  <c r="AT39" i="39" s="1"/>
  <c r="AT41" i="39" s="1"/>
  <c r="AT6" i="38" s="1"/>
  <c r="AU40" i="39" l="1"/>
  <c r="AT46" i="39"/>
  <c r="AT48" i="39" s="1"/>
  <c r="AU21" i="36"/>
  <c r="AT11" i="38"/>
  <c r="AT20" i="38" s="1"/>
  <c r="AT43" i="38" s="1"/>
  <c r="AV21" i="36" l="1"/>
  <c r="AV23" i="36" s="1"/>
  <c r="AU23" i="36"/>
  <c r="AU24" i="36" l="1"/>
  <c r="AU25" i="36" s="1"/>
  <c r="AU27" i="36" l="1"/>
  <c r="AU6" i="39"/>
  <c r="AV6" i="39" s="1"/>
  <c r="AV22" i="39" s="1"/>
  <c r="AV55" i="39" s="1"/>
  <c r="AV148" i="36" s="1"/>
  <c r="AV24" i="36"/>
  <c r="AU29" i="36"/>
  <c r="AU34" i="36" s="1"/>
  <c r="AU147" i="36" l="1"/>
  <c r="AV29" i="36"/>
  <c r="AV143" i="36"/>
  <c r="AV25" i="36"/>
  <c r="AV27" i="36" s="1"/>
  <c r="AU22" i="39"/>
  <c r="AU55" i="39" s="1"/>
  <c r="AU148" i="36" s="1"/>
  <c r="AU38" i="38"/>
  <c r="AU33" i="36"/>
  <c r="AU146" i="36" s="1"/>
  <c r="AU32" i="36"/>
  <c r="AV38" i="38" l="1"/>
  <c r="AV41" i="38" s="1"/>
  <c r="AV42" i="38" s="1"/>
  <c r="AU41" i="38"/>
  <c r="AV31" i="36"/>
  <c r="AV33" i="36" s="1"/>
  <c r="AV30" i="36"/>
  <c r="AV32" i="36" s="1"/>
  <c r="AV34" i="36" l="1"/>
  <c r="AV146" i="36"/>
  <c r="AV36" i="36"/>
  <c r="AU42" i="38"/>
  <c r="AU62" i="38"/>
  <c r="AV147" i="36" l="1"/>
  <c r="AU12" i="38"/>
  <c r="AV12" i="38" s="1"/>
  <c r="AU7" i="38"/>
  <c r="AU17" i="38"/>
  <c r="AU24" i="39" l="1"/>
  <c r="AV7" i="38"/>
  <c r="AU26" i="39"/>
  <c r="AV26" i="39" s="1"/>
  <c r="AV17" i="38"/>
  <c r="AU27" i="39" l="1"/>
  <c r="AU39" i="39" s="1"/>
  <c r="AU41" i="39" s="1"/>
  <c r="AU6" i="38" s="1"/>
  <c r="AV24" i="39"/>
  <c r="AV27" i="39" s="1"/>
  <c r="AV39" i="39" s="1"/>
  <c r="AV41" i="39" s="1"/>
  <c r="AU11" i="38" l="1"/>
  <c r="AU20" i="38" s="1"/>
  <c r="AU43" i="38" s="1"/>
  <c r="AU46" i="39"/>
  <c r="AU48" i="39" s="1"/>
  <c r="AV6" i="38"/>
  <c r="AV11" i="38" l="1"/>
  <c r="AV20" i="38" s="1"/>
  <c r="AV43" i="38" s="1"/>
  <c r="AV46" i="39"/>
  <c r="AV48" i="39" s="1"/>
  <c r="V78" i="44" l="1"/>
  <c r="V133" i="44" s="1"/>
  <c r="V95" i="44"/>
  <c r="W79" i="44"/>
  <c r="W78" i="44"/>
  <c r="V77" i="44"/>
  <c r="V79" i="44"/>
  <c r="V93" i="44" l="1"/>
  <c r="V97" i="44"/>
  <c r="W96" i="44"/>
  <c r="W95" i="44"/>
  <c r="V92" i="44"/>
  <c r="V103" i="44"/>
  <c r="V100" i="44" l="1"/>
  <c r="W93" i="44"/>
  <c r="W103" i="44"/>
  <c r="W94" i="44"/>
  <c r="W98" i="44"/>
  <c r="W97" i="44"/>
  <c r="AA77" i="44"/>
  <c r="W92" i="44"/>
  <c r="W82" i="44"/>
  <c r="AA78" i="44" l="1"/>
  <c r="AA79" i="44"/>
  <c r="AF77" i="44"/>
  <c r="W100" i="44"/>
  <c r="W101" i="44"/>
  <c r="V105" i="44"/>
  <c r="V137" i="44" s="1"/>
  <c r="V106" i="44"/>
  <c r="AA5" i="44" l="1"/>
  <c r="W105" i="44"/>
  <c r="W106" i="44"/>
  <c r="AF79" i="44"/>
  <c r="AF78" i="44"/>
  <c r="AA133" i="44"/>
  <c r="AK77" i="44"/>
  <c r="AA95" i="44"/>
  <c r="AB78" i="44"/>
  <c r="AB79" i="44"/>
  <c r="AA92" i="44"/>
  <c r="AP77" i="44" l="1"/>
  <c r="AA97" i="44"/>
  <c r="AF92" i="44"/>
  <c r="AA93" i="44"/>
  <c r="AB92" i="44"/>
  <c r="AB82" i="44"/>
  <c r="AF95" i="44"/>
  <c r="AA10" i="44"/>
  <c r="AK78" i="44"/>
  <c r="AK79" i="44"/>
  <c r="AG79" i="44"/>
  <c r="AG78" i="44"/>
  <c r="AA140" i="44"/>
  <c r="AA8" i="44"/>
  <c r="AF5" i="44"/>
  <c r="AF133" i="44" s="1"/>
  <c r="AA100" i="44"/>
  <c r="AB96" i="44"/>
  <c r="AB95" i="44"/>
  <c r="AB5" i="44"/>
  <c r="AA15" i="44" l="1"/>
  <c r="AA103" i="44"/>
  <c r="AA25" i="46"/>
  <c r="AA9" i="44"/>
  <c r="AB9" i="44"/>
  <c r="AK5" i="44"/>
  <c r="AK133" i="44" s="1"/>
  <c r="AB98" i="44"/>
  <c r="AB97" i="44"/>
  <c r="AB94" i="44"/>
  <c r="AB103" i="44"/>
  <c r="AB93" i="44"/>
  <c r="AK95" i="44"/>
  <c r="AF140" i="44"/>
  <c r="AF8" i="44"/>
  <c r="AG82" i="44"/>
  <c r="AG92" i="44"/>
  <c r="AA11" i="44"/>
  <c r="AB11" i="44"/>
  <c r="AG5" i="44"/>
  <c r="AK92" i="44"/>
  <c r="AA8" i="45"/>
  <c r="AB8" i="45"/>
  <c r="AP78" i="44"/>
  <c r="AP79" i="44"/>
  <c r="AQ78" i="44"/>
  <c r="AB100" i="44"/>
  <c r="AB101" i="44"/>
  <c r="AA13" i="44"/>
  <c r="AB13" i="44"/>
  <c r="AF97" i="44"/>
  <c r="AB12" i="46"/>
  <c r="AA12" i="46"/>
  <c r="AF10" i="44"/>
  <c r="AF93" i="44"/>
  <c r="AL78" i="44"/>
  <c r="AL79" i="44"/>
  <c r="AF100" i="44"/>
  <c r="AB10" i="44"/>
  <c r="AG95" i="44"/>
  <c r="AG96" i="44"/>
  <c r="AB140" i="44"/>
  <c r="AB8" i="44"/>
  <c r="AU77" i="44"/>
  <c r="AA37" i="45" l="1"/>
  <c r="AF15" i="46"/>
  <c r="AG8" i="45"/>
  <c r="AF8" i="45"/>
  <c r="AF25" i="46"/>
  <c r="AA14" i="45"/>
  <c r="AK140" i="44"/>
  <c r="AK8" i="44"/>
  <c r="AG94" i="44"/>
  <c r="AG93" i="44"/>
  <c r="AC15" i="46"/>
  <c r="AG100" i="44"/>
  <c r="AG101" i="44"/>
  <c r="AL82" i="44"/>
  <c r="AL92" i="44"/>
  <c r="AK10" i="44"/>
  <c r="AB25" i="46"/>
  <c r="AB56" i="46"/>
  <c r="AG10" i="44"/>
  <c r="AQ92" i="44"/>
  <c r="AP92" i="44"/>
  <c r="AA15" i="46"/>
  <c r="AB15" i="46"/>
  <c r="AG12" i="46"/>
  <c r="AF12" i="46"/>
  <c r="AK97" i="44"/>
  <c r="AB9" i="45"/>
  <c r="AA9" i="45"/>
  <c r="AL96" i="44"/>
  <c r="AL95" i="44"/>
  <c r="AA105" i="44"/>
  <c r="AA106" i="44"/>
  <c r="AA35" i="46"/>
  <c r="AG97" i="44"/>
  <c r="AG98" i="44"/>
  <c r="AK100" i="44"/>
  <c r="AF9" i="44"/>
  <c r="AG9" i="44"/>
  <c r="AG8" i="44"/>
  <c r="AG140" i="44"/>
  <c r="AP5" i="44"/>
  <c r="AP133" i="44" s="1"/>
  <c r="AL5" i="44"/>
  <c r="AG13" i="44"/>
  <c r="AF13" i="44"/>
  <c r="AA22" i="45"/>
  <c r="AA17" i="44"/>
  <c r="AA141" i="44"/>
  <c r="AG11" i="44"/>
  <c r="AF11" i="44"/>
  <c r="AK93" i="44"/>
  <c r="AU78" i="44"/>
  <c r="AU79" i="44"/>
  <c r="AV78" i="44"/>
  <c r="AP95" i="44"/>
  <c r="AG15" i="46" l="1"/>
  <c r="AC37" i="45"/>
  <c r="AA19" i="44"/>
  <c r="AA142" i="44"/>
  <c r="AK8" i="45"/>
  <c r="AL8" i="45"/>
  <c r="AK15" i="46"/>
  <c r="AQ5" i="44"/>
  <c r="AG25" i="46"/>
  <c r="AG56" i="46"/>
  <c r="AB35" i="46"/>
  <c r="AA23" i="44"/>
  <c r="AA37" i="46"/>
  <c r="AB14" i="45"/>
  <c r="AP97" i="44"/>
  <c r="AV92" i="44"/>
  <c r="AU92" i="44"/>
  <c r="AK12" i="46"/>
  <c r="AL12" i="46"/>
  <c r="AL10" i="44"/>
  <c r="AB22" i="45"/>
  <c r="AH15" i="46"/>
  <c r="AP140" i="44"/>
  <c r="AP8" i="44"/>
  <c r="AA137" i="44"/>
  <c r="AB16" i="46"/>
  <c r="AA16" i="46"/>
  <c r="AQ95" i="44"/>
  <c r="AQ96" i="44"/>
  <c r="AB105" i="44"/>
  <c r="AB106" i="44"/>
  <c r="AP93" i="44"/>
  <c r="AB18" i="46"/>
  <c r="AA18" i="46"/>
  <c r="AU5" i="44"/>
  <c r="AU133" i="44" s="1"/>
  <c r="AL101" i="44"/>
  <c r="AL100" i="44"/>
  <c r="AL94" i="44"/>
  <c r="AL93" i="44"/>
  <c r="AL13" i="44"/>
  <c r="AK13" i="44"/>
  <c r="AC16" i="46"/>
  <c r="AC35" i="46"/>
  <c r="AU95" i="44"/>
  <c r="AP100" i="44"/>
  <c r="AF18" i="46"/>
  <c r="AF22" i="45"/>
  <c r="AF16" i="46"/>
  <c r="AF9" i="45"/>
  <c r="AG9" i="45"/>
  <c r="AL9" i="44"/>
  <c r="AK9" i="44"/>
  <c r="AL11" i="44"/>
  <c r="AK11" i="44"/>
  <c r="AK25" i="46"/>
  <c r="AB15" i="44"/>
  <c r="AP10" i="44"/>
  <c r="AG18" i="46"/>
  <c r="AC18" i="46"/>
  <c r="AA35" i="45"/>
  <c r="AA30" i="45"/>
  <c r="AL8" i="44"/>
  <c r="AL140" i="44"/>
  <c r="AL65" i="46"/>
  <c r="AL98" i="44"/>
  <c r="AL97" i="44"/>
  <c r="AB37" i="45"/>
  <c r="AV96" i="44" l="1"/>
  <c r="AV95" i="44"/>
  <c r="AU97" i="44"/>
  <c r="AP8" i="45"/>
  <c r="AP15" i="46"/>
  <c r="AQ8" i="45"/>
  <c r="AB37" i="46"/>
  <c r="AK22" i="45"/>
  <c r="AK18" i="46"/>
  <c r="AQ10" i="44"/>
  <c r="AM15" i="46"/>
  <c r="AU10" i="44"/>
  <c r="AU100" i="44"/>
  <c r="AD35" i="46"/>
  <c r="AQ97" i="44"/>
  <c r="AQ98" i="44"/>
  <c r="AU140" i="44"/>
  <c r="AU8" i="44"/>
  <c r="AQ12" i="46"/>
  <c r="AP12" i="46"/>
  <c r="AF30" i="45"/>
  <c r="AF35" i="45"/>
  <c r="AC7" i="46"/>
  <c r="AQ9" i="44"/>
  <c r="AP9" i="44"/>
  <c r="AK16" i="46"/>
  <c r="AL9" i="45"/>
  <c r="AK9" i="45"/>
  <c r="AV5" i="44"/>
  <c r="AQ11" i="44"/>
  <c r="AP11" i="44"/>
  <c r="AL15" i="46"/>
  <c r="AB30" i="45"/>
  <c r="AB35" i="45"/>
  <c r="AA29" i="44"/>
  <c r="AQ13" i="44"/>
  <c r="AP13" i="44"/>
  <c r="AU93" i="44"/>
  <c r="AP25" i="46"/>
  <c r="AQ93" i="44"/>
  <c r="AQ94" i="44"/>
  <c r="AG22" i="45"/>
  <c r="AQ140" i="44"/>
  <c r="AQ8" i="44"/>
  <c r="AG16" i="46"/>
  <c r="AB17" i="44"/>
  <c r="AB141" i="44"/>
  <c r="AL56" i="46"/>
  <c r="AL25" i="46"/>
  <c r="AH18" i="46"/>
  <c r="AC37" i="46"/>
  <c r="AA25" i="44"/>
  <c r="AH16" i="46"/>
  <c r="AQ100" i="44"/>
  <c r="AQ101" i="44"/>
  <c r="AA24" i="44"/>
  <c r="AP16" i="46" l="1"/>
  <c r="AP9" i="45"/>
  <c r="AQ9" i="45"/>
  <c r="AK30" i="45"/>
  <c r="AK35" i="45"/>
  <c r="AC66" i="44"/>
  <c r="AM18" i="46"/>
  <c r="AL18" i="46"/>
  <c r="AC99" i="44"/>
  <c r="AD37" i="45"/>
  <c r="AE35" i="46"/>
  <c r="AV10" i="44"/>
  <c r="AR15" i="46"/>
  <c r="AA34" i="44"/>
  <c r="AA147" i="44"/>
  <c r="AG30" i="45"/>
  <c r="AG35" i="45"/>
  <c r="AV13" i="44"/>
  <c r="AU13" i="44"/>
  <c r="AV140" i="44"/>
  <c r="AV8" i="44"/>
  <c r="AV12" i="46"/>
  <c r="AU12" i="46"/>
  <c r="AV11" i="44"/>
  <c r="AU11" i="44"/>
  <c r="AA32" i="44"/>
  <c r="AA27" i="44"/>
  <c r="AC127" i="44"/>
  <c r="AV100" i="44"/>
  <c r="AV101" i="44"/>
  <c r="AV94" i="44"/>
  <c r="AV93" i="44"/>
  <c r="AQ16" i="46"/>
  <c r="AM16" i="46"/>
  <c r="AV8" i="45"/>
  <c r="AU15" i="46"/>
  <c r="AU8" i="45"/>
  <c r="AV97" i="44"/>
  <c r="AV98" i="44"/>
  <c r="AL22" i="45"/>
  <c r="AB24" i="44"/>
  <c r="AB143" i="44"/>
  <c r="AB23" i="44"/>
  <c r="AV9" i="44"/>
  <c r="AU9" i="44"/>
  <c r="AP18" i="46"/>
  <c r="AP22" i="45"/>
  <c r="AU25" i="46"/>
  <c r="AQ15" i="46"/>
  <c r="AA6" i="46"/>
  <c r="AQ25" i="46"/>
  <c r="AQ56" i="46"/>
  <c r="AB19" i="44"/>
  <c r="AB142" i="44"/>
  <c r="AC14" i="45"/>
  <c r="AD37" i="46"/>
  <c r="AL16" i="46"/>
  <c r="AQ18" i="46" l="1"/>
  <c r="AD127" i="44"/>
  <c r="AC130" i="44"/>
  <c r="AC131" i="44"/>
  <c r="AA33" i="44"/>
  <c r="AA146" i="44"/>
  <c r="AD7" i="46"/>
  <c r="AP30" i="45"/>
  <c r="AP35" i="45"/>
  <c r="AC70" i="44"/>
  <c r="AC103" i="44"/>
  <c r="AV9" i="45"/>
  <c r="AU16" i="46"/>
  <c r="AU9" i="45"/>
  <c r="AD14" i="45"/>
  <c r="AE7" i="46"/>
  <c r="AV25" i="46"/>
  <c r="AV56" i="46"/>
  <c r="AG35" i="46"/>
  <c r="AE37" i="45"/>
  <c r="AA22" i="46"/>
  <c r="AV15" i="46"/>
  <c r="AC12" i="44"/>
  <c r="AB29" i="44"/>
  <c r="AR16" i="46"/>
  <c r="AR18" i="46"/>
  <c r="AB65" i="45"/>
  <c r="AB64" i="45"/>
  <c r="AE37" i="46"/>
  <c r="AU22" i="45"/>
  <c r="AU18" i="46"/>
  <c r="AB6" i="46"/>
  <c r="AB25" i="44"/>
  <c r="AL35" i="45"/>
  <c r="AL30" i="45"/>
  <c r="AQ22" i="45"/>
  <c r="AF35" i="46"/>
  <c r="AA38" i="45"/>
  <c r="AV18" i="46" l="1"/>
  <c r="AA55" i="46"/>
  <c r="AA148" i="44"/>
  <c r="AA41" i="45"/>
  <c r="AA62" i="45"/>
  <c r="AG37" i="46"/>
  <c r="AD66" i="44"/>
  <c r="AV22" i="45"/>
  <c r="AB30" i="44"/>
  <c r="AB27" i="44"/>
  <c r="AC106" i="44"/>
  <c r="AC105" i="44"/>
  <c r="AF37" i="45"/>
  <c r="AC71" i="44"/>
  <c r="AC72" i="44"/>
  <c r="AB38" i="45"/>
  <c r="AH35" i="46"/>
  <c r="AF37" i="46"/>
  <c r="AQ30" i="45"/>
  <c r="AQ35" i="45"/>
  <c r="AV16" i="46"/>
  <c r="AB22" i="46"/>
  <c r="AC15" i="44"/>
  <c r="AU35" i="45"/>
  <c r="AU30" i="45"/>
  <c r="AD99" i="44"/>
  <c r="AD130" i="44"/>
  <c r="AD131" i="44"/>
  <c r="AB32" i="44" l="1"/>
  <c r="AE127" i="44"/>
  <c r="AV30" i="45"/>
  <c r="AV35" i="45"/>
  <c r="AE66" i="44"/>
  <c r="AC17" i="44"/>
  <c r="AC137" i="44" s="1"/>
  <c r="AC141" i="44"/>
  <c r="AD12" i="44"/>
  <c r="AD70" i="44"/>
  <c r="AG37" i="45"/>
  <c r="AH37" i="45"/>
  <c r="AD103" i="44"/>
  <c r="AE99" i="44"/>
  <c r="AH37" i="46"/>
  <c r="AA42" i="45"/>
  <c r="AB31" i="44"/>
  <c r="AB55" i="46"/>
  <c r="AB148" i="44"/>
  <c r="AE14" i="45"/>
  <c r="AB41" i="45"/>
  <c r="AI35" i="46"/>
  <c r="AF99" i="44" l="1"/>
  <c r="AF7" i="46"/>
  <c r="AG7" i="46"/>
  <c r="AB42" i="45"/>
  <c r="AE12" i="44"/>
  <c r="AD15" i="44"/>
  <c r="AB34" i="44"/>
  <c r="AB147" i="44"/>
  <c r="AA7" i="45"/>
  <c r="AB7" i="45"/>
  <c r="AE103" i="44"/>
  <c r="AC142" i="44"/>
  <c r="AC19" i="44"/>
  <c r="AD105" i="44"/>
  <c r="AD106" i="44"/>
  <c r="AA12" i="45"/>
  <c r="AB12" i="45"/>
  <c r="AB17" i="45"/>
  <c r="AA17" i="45"/>
  <c r="AD71" i="44"/>
  <c r="AD72" i="44"/>
  <c r="AF14" i="45"/>
  <c r="AE70" i="44"/>
  <c r="AI37" i="45"/>
  <c r="AJ35" i="46"/>
  <c r="AI37" i="46"/>
  <c r="AB146" i="44"/>
  <c r="AB36" i="44"/>
  <c r="AB33" i="44"/>
  <c r="AE130" i="44"/>
  <c r="AE131" i="44"/>
  <c r="AF66" i="44" l="1"/>
  <c r="AK35" i="46"/>
  <c r="AA24" i="46"/>
  <c r="AB26" i="46"/>
  <c r="AA26" i="46"/>
  <c r="AD17" i="44"/>
  <c r="AD137" i="44" s="1"/>
  <c r="AD141" i="44"/>
  <c r="AE15" i="44"/>
  <c r="AG99" i="44"/>
  <c r="AG103" i="44"/>
  <c r="AE71" i="44"/>
  <c r="AE72" i="44"/>
  <c r="AE105" i="44"/>
  <c r="AE106" i="44"/>
  <c r="AF103" i="44"/>
  <c r="AJ37" i="46"/>
  <c r="AJ37" i="45"/>
  <c r="AF127" i="44"/>
  <c r="AG14" i="45"/>
  <c r="AH66" i="44" l="1"/>
  <c r="AB24" i="46"/>
  <c r="AH99" i="44"/>
  <c r="AG70" i="44"/>
  <c r="AG66" i="44"/>
  <c r="AE141" i="44"/>
  <c r="AE17" i="44"/>
  <c r="AE137" i="44" s="1"/>
  <c r="AF70" i="44"/>
  <c r="AH7" i="46"/>
  <c r="AM35" i="46"/>
  <c r="AK37" i="46"/>
  <c r="AF106" i="44"/>
  <c r="AF105" i="44"/>
  <c r="AA27" i="46"/>
  <c r="AL35" i="46"/>
  <c r="AG127" i="44"/>
  <c r="AF131" i="44"/>
  <c r="AF130" i="44"/>
  <c r="AK37" i="45"/>
  <c r="AD142" i="44"/>
  <c r="AD19" i="44"/>
  <c r="AF12" i="44"/>
  <c r="AM37" i="45" l="1"/>
  <c r="AL37" i="45"/>
  <c r="AH127" i="44"/>
  <c r="AN35" i="46"/>
  <c r="AM37" i="46"/>
  <c r="AG130" i="44"/>
  <c r="AG131" i="44"/>
  <c r="AL37" i="46"/>
  <c r="AH103" i="44"/>
  <c r="AA39" i="46"/>
  <c r="AF71" i="44"/>
  <c r="AF72" i="44"/>
  <c r="AH14" i="45"/>
  <c r="AB27" i="46"/>
  <c r="AG12" i="44"/>
  <c r="AF15" i="44"/>
  <c r="AG105" i="44"/>
  <c r="AG106" i="44"/>
  <c r="AE19" i="44"/>
  <c r="AE142" i="44"/>
  <c r="AH70" i="44"/>
  <c r="AI66" i="44" l="1"/>
  <c r="AI14" i="45"/>
  <c r="AJ7" i="46"/>
  <c r="AO35" i="46"/>
  <c r="AH12" i="44"/>
  <c r="AF141" i="44"/>
  <c r="AF17" i="44"/>
  <c r="AF137" i="44" s="1"/>
  <c r="AA41" i="46"/>
  <c r="AI7" i="46"/>
  <c r="AN37" i="45"/>
  <c r="AH71" i="44"/>
  <c r="AH72" i="44"/>
  <c r="AH130" i="44"/>
  <c r="AH131" i="44"/>
  <c r="AH106" i="44"/>
  <c r="AH105" i="44"/>
  <c r="AG72" i="44"/>
  <c r="AG71" i="44"/>
  <c r="AN37" i="46"/>
  <c r="AG15" i="44"/>
  <c r="AB39" i="46"/>
  <c r="AI99" i="44" l="1"/>
  <c r="AG40" i="46"/>
  <c r="AB41" i="46"/>
  <c r="AQ35" i="46"/>
  <c r="AH15" i="44"/>
  <c r="AP35" i="46"/>
  <c r="AA6" i="45"/>
  <c r="AG141" i="44"/>
  <c r="AG17" i="44"/>
  <c r="AO37" i="46"/>
  <c r="AI70" i="44"/>
  <c r="AO37" i="45"/>
  <c r="AI127" i="44"/>
  <c r="AF19" i="44"/>
  <c r="AF142" i="44"/>
  <c r="AJ66" i="44" l="1"/>
  <c r="AH17" i="44"/>
  <c r="AH137" i="44" s="1"/>
  <c r="AH141" i="44"/>
  <c r="AI12" i="44"/>
  <c r="AP37" i="46"/>
  <c r="AG142" i="44"/>
  <c r="AG19" i="44"/>
  <c r="AI71" i="44"/>
  <c r="AI72" i="44"/>
  <c r="AQ37" i="46"/>
  <c r="AJ99" i="44"/>
  <c r="AC21" i="44"/>
  <c r="AC40" i="46"/>
  <c r="AJ127" i="44"/>
  <c r="AB6" i="45"/>
  <c r="AI103" i="44"/>
  <c r="AJ14" i="45"/>
  <c r="AA11" i="45"/>
  <c r="AI130" i="44"/>
  <c r="AI131" i="44"/>
  <c r="AA46" i="46"/>
  <c r="AA48" i="46"/>
  <c r="AP37" i="45"/>
  <c r="AR35" i="46"/>
  <c r="AK99" i="44" l="1"/>
  <c r="AC23" i="44"/>
  <c r="AJ103" i="44"/>
  <c r="AB46" i="46"/>
  <c r="AB48" i="46"/>
  <c r="AK14" i="45"/>
  <c r="AI15" i="44"/>
  <c r="AQ37" i="45"/>
  <c r="AK7" i="46"/>
  <c r="AL7" i="46"/>
  <c r="AR37" i="46"/>
  <c r="AA20" i="45"/>
  <c r="AA43" i="45"/>
  <c r="AJ70" i="44"/>
  <c r="AI105" i="44"/>
  <c r="AI106" i="44"/>
  <c r="AB11" i="45"/>
  <c r="AR37" i="45"/>
  <c r="AJ130" i="44"/>
  <c r="AJ131" i="44"/>
  <c r="AG65" i="45"/>
  <c r="AG64" i="45"/>
  <c r="AS35" i="46"/>
  <c r="AH19" i="44"/>
  <c r="AH142" i="44"/>
  <c r="AJ12" i="44"/>
  <c r="AL14" i="45" l="1"/>
  <c r="AS37" i="46"/>
  <c r="AJ105" i="44"/>
  <c r="AJ106" i="44"/>
  <c r="AK127" i="44"/>
  <c r="AL99" i="44"/>
  <c r="AL103" i="44"/>
  <c r="AT35" i="46"/>
  <c r="AJ71" i="44"/>
  <c r="AJ72" i="44"/>
  <c r="AK103" i="44"/>
  <c r="AC24" i="44"/>
  <c r="AS37" i="45"/>
  <c r="AJ15" i="44"/>
  <c r="AI141" i="44"/>
  <c r="AI17" i="44"/>
  <c r="AI137" i="44" s="1"/>
  <c r="AK66" i="44"/>
  <c r="AB20" i="45"/>
  <c r="AB43" i="45"/>
  <c r="AJ141" i="44" l="1"/>
  <c r="AJ17" i="44"/>
  <c r="AJ137" i="44" s="1"/>
  <c r="AM99" i="44"/>
  <c r="AL70" i="44"/>
  <c r="AL66" i="44"/>
  <c r="AU35" i="46"/>
  <c r="AT37" i="45"/>
  <c r="AL127" i="44"/>
  <c r="AM127" i="44"/>
  <c r="AK106" i="44"/>
  <c r="AK105" i="44"/>
  <c r="AT37" i="46"/>
  <c r="AK130" i="44"/>
  <c r="AK131" i="44"/>
  <c r="AM7" i="46"/>
  <c r="AM66" i="44"/>
  <c r="AC29" i="44"/>
  <c r="AC25" i="44"/>
  <c r="AK12" i="44"/>
  <c r="AK70" i="44"/>
  <c r="AI142" i="44"/>
  <c r="AI19" i="44"/>
  <c r="AL130" i="44" l="1"/>
  <c r="AL131" i="44"/>
  <c r="AU37" i="46"/>
  <c r="AK15" i="44"/>
  <c r="AU37" i="45"/>
  <c r="AM103" i="44"/>
  <c r="AC6" i="46"/>
  <c r="AC27" i="44"/>
  <c r="AC32" i="44"/>
  <c r="AJ142" i="44"/>
  <c r="AJ19" i="44"/>
  <c r="AM14" i="45"/>
  <c r="AL12" i="44"/>
  <c r="AL105" i="44"/>
  <c r="AL106" i="44"/>
  <c r="AV35" i="46"/>
  <c r="AM70" i="44"/>
  <c r="AM131" i="44"/>
  <c r="AM130" i="44"/>
  <c r="AK71" i="44"/>
  <c r="AK72" i="44"/>
  <c r="AC34" i="44"/>
  <c r="AC147" i="44"/>
  <c r="AM12" i="44"/>
  <c r="AN14" i="45" l="1"/>
  <c r="AO7" i="46"/>
  <c r="AM105" i="44"/>
  <c r="AM106" i="44"/>
  <c r="AV37" i="46"/>
  <c r="AV37" i="45"/>
  <c r="AC38" i="45"/>
  <c r="AL15" i="44"/>
  <c r="AL72" i="44"/>
  <c r="AL71" i="44"/>
  <c r="AK141" i="44"/>
  <c r="AK17" i="44"/>
  <c r="AK137" i="44" s="1"/>
  <c r="AM15" i="44"/>
  <c r="AC33" i="44"/>
  <c r="AC146" i="44"/>
  <c r="AC22" i="46"/>
  <c r="AN7" i="46"/>
  <c r="AM71" i="44"/>
  <c r="AM72" i="44"/>
  <c r="AC62" i="45" l="1"/>
  <c r="AC41" i="45"/>
  <c r="AN66" i="44"/>
  <c r="AK142" i="44"/>
  <c r="AK19" i="44"/>
  <c r="AL141" i="44"/>
  <c r="AL17" i="44"/>
  <c r="AC148" i="44"/>
  <c r="AC55" i="46"/>
  <c r="AN127" i="44"/>
  <c r="AN99" i="44"/>
  <c r="AM141" i="44"/>
  <c r="AM17" i="44"/>
  <c r="AM137" i="44" s="1"/>
  <c r="AO14" i="45" l="1"/>
  <c r="AM142" i="44"/>
  <c r="AM19" i="44"/>
  <c r="AN103" i="44"/>
  <c r="AN70" i="44"/>
  <c r="AL19" i="44"/>
  <c r="AL142" i="44"/>
  <c r="AO99" i="44"/>
  <c r="AO127" i="44"/>
  <c r="AC12" i="45"/>
  <c r="AC42" i="45"/>
  <c r="AN130" i="44"/>
  <c r="AN131" i="44"/>
  <c r="AO66" i="44"/>
  <c r="AN12" i="44"/>
  <c r="AP66" i="44" l="1"/>
  <c r="AO103" i="44"/>
  <c r="AO12" i="44"/>
  <c r="AO70" i="44"/>
  <c r="AN72" i="44"/>
  <c r="AN71" i="44"/>
  <c r="AL65" i="45"/>
  <c r="AL64" i="45"/>
  <c r="AN105" i="44"/>
  <c r="AN106" i="44"/>
  <c r="AC7" i="45"/>
  <c r="AP14" i="45"/>
  <c r="AC17" i="45"/>
  <c r="AP127" i="44"/>
  <c r="AO130" i="44"/>
  <c r="AO131" i="44"/>
  <c r="AN15" i="44"/>
  <c r="AP99" i="44"/>
  <c r="AP7" i="46"/>
  <c r="AQ7" i="46"/>
  <c r="AP130" i="44" l="1"/>
  <c r="AP131" i="44"/>
  <c r="AQ12" i="44"/>
  <c r="AQ99" i="44"/>
  <c r="AQ103" i="44"/>
  <c r="AC26" i="46"/>
  <c r="AC24" i="46"/>
  <c r="AO106" i="44"/>
  <c r="AO105" i="44"/>
  <c r="AP103" i="44"/>
  <c r="AO72" i="44"/>
  <c r="AO71" i="44"/>
  <c r="AO15" i="44"/>
  <c r="AQ66" i="44"/>
  <c r="AQ70" i="44"/>
  <c r="AP12" i="44"/>
  <c r="AQ14" i="45"/>
  <c r="AN141" i="44"/>
  <c r="AN17" i="44"/>
  <c r="AN137" i="44" s="1"/>
  <c r="AQ127" i="44"/>
  <c r="AP70" i="44"/>
  <c r="AQ105" i="44" l="1"/>
  <c r="AQ106" i="44"/>
  <c r="AN19" i="44"/>
  <c r="AN142" i="44"/>
  <c r="AP15" i="44"/>
  <c r="AQ15" i="44"/>
  <c r="AP105" i="44"/>
  <c r="AP106" i="44"/>
  <c r="AO141" i="44"/>
  <c r="AO17" i="44"/>
  <c r="AO137" i="44" s="1"/>
  <c r="AP72" i="44"/>
  <c r="AP71" i="44"/>
  <c r="AR7" i="46"/>
  <c r="AC27" i="46"/>
  <c r="AQ130" i="44"/>
  <c r="AQ131" i="44"/>
  <c r="AR14" i="45" l="1"/>
  <c r="AR127" i="44"/>
  <c r="AC39" i="46"/>
  <c r="AR66" i="44"/>
  <c r="AQ141" i="44"/>
  <c r="AQ17" i="44"/>
  <c r="AR99" i="44"/>
  <c r="AO19" i="44"/>
  <c r="AO142" i="44"/>
  <c r="AP17" i="44"/>
  <c r="AP137" i="44" s="1"/>
  <c r="AP141" i="44"/>
  <c r="AQ72" i="44"/>
  <c r="AQ71" i="44"/>
  <c r="AP142" i="44" l="1"/>
  <c r="AP19" i="44"/>
  <c r="AS66" i="44"/>
  <c r="AR70" i="44"/>
  <c r="AR12" i="44"/>
  <c r="AS127" i="44"/>
  <c r="AR103" i="44"/>
  <c r="AS99" i="44"/>
  <c r="AQ142" i="44"/>
  <c r="AQ19" i="44"/>
  <c r="AS14" i="45"/>
  <c r="AT7" i="46"/>
  <c r="AC41" i="46"/>
  <c r="AR130" i="44"/>
  <c r="AR131" i="44"/>
  <c r="AS7" i="46"/>
  <c r="AU7" i="46" l="1"/>
  <c r="AT14" i="45"/>
  <c r="AR15" i="44"/>
  <c r="AR72" i="44"/>
  <c r="AR71" i="44"/>
  <c r="AT127" i="44"/>
  <c r="AS12" i="44"/>
  <c r="AC6" i="45"/>
  <c r="AD40" i="46"/>
  <c r="AQ65" i="45"/>
  <c r="AQ64" i="45"/>
  <c r="AS70" i="44"/>
  <c r="AS130" i="44"/>
  <c r="AS131" i="44"/>
  <c r="AS103" i="44"/>
  <c r="AV7" i="46"/>
  <c r="AR106" i="44"/>
  <c r="AR105" i="44"/>
  <c r="AU127" i="44" l="1"/>
  <c r="AC48" i="46"/>
  <c r="AC46" i="46"/>
  <c r="AS15" i="44"/>
  <c r="AT66" i="44"/>
  <c r="AT99" i="44"/>
  <c r="AT130" i="44"/>
  <c r="AT131" i="44"/>
  <c r="AS71" i="44"/>
  <c r="AS72" i="44"/>
  <c r="AR17" i="44"/>
  <c r="AR141" i="44"/>
  <c r="AC11" i="45"/>
  <c r="AS105" i="44"/>
  <c r="AS106" i="44"/>
  <c r="AR137" i="44"/>
  <c r="AD21" i="44"/>
  <c r="AT103" i="44" l="1"/>
  <c r="AU66" i="44"/>
  <c r="AS141" i="44"/>
  <c r="AS17" i="44"/>
  <c r="AS137" i="44" s="1"/>
  <c r="AV70" i="44"/>
  <c r="AV66" i="44"/>
  <c r="AT12" i="44"/>
  <c r="AR142" i="44"/>
  <c r="AR19" i="44"/>
  <c r="AV127" i="44"/>
  <c r="AU99" i="44"/>
  <c r="AU14" i="45"/>
  <c r="AV14" i="45"/>
  <c r="AC20" i="45"/>
  <c r="AC43" i="45"/>
  <c r="AT70" i="44"/>
  <c r="AD23" i="44"/>
  <c r="AU130" i="44"/>
  <c r="AU131" i="44"/>
  <c r="AT15" i="44" l="1"/>
  <c r="AD25" i="44"/>
  <c r="AS19" i="44"/>
  <c r="AS142" i="44"/>
  <c r="AV131" i="44"/>
  <c r="AV130" i="44"/>
  <c r="AD24" i="44"/>
  <c r="AT72" i="44"/>
  <c r="AT71" i="44"/>
  <c r="AU103" i="44"/>
  <c r="AU12" i="44"/>
  <c r="AV12" i="44"/>
  <c r="AU70" i="44"/>
  <c r="AV99" i="44"/>
  <c r="AV103" i="44"/>
  <c r="AT106" i="44"/>
  <c r="AT105" i="44"/>
  <c r="AV105" i="44" l="1"/>
  <c r="AV106" i="44"/>
  <c r="AD29" i="44"/>
  <c r="AV15" i="44"/>
  <c r="AU105" i="44"/>
  <c r="AU106" i="44"/>
  <c r="AU15" i="44"/>
  <c r="AU71" i="44"/>
  <c r="AU72" i="44"/>
  <c r="AD6" i="46"/>
  <c r="AD27" i="44"/>
  <c r="AD32" i="44"/>
  <c r="AT141" i="44"/>
  <c r="AT17" i="44"/>
  <c r="AT137" i="44" s="1"/>
  <c r="AD22" i="46" l="1"/>
  <c r="AT142" i="44"/>
  <c r="AT19" i="44"/>
  <c r="AV71" i="44"/>
  <c r="AV72" i="44"/>
  <c r="AV141" i="44"/>
  <c r="AV17" i="44"/>
  <c r="AD147" i="44"/>
  <c r="AD34" i="44"/>
  <c r="AD33" i="44"/>
  <c r="AD146" i="44"/>
  <c r="AU141" i="44"/>
  <c r="AU17" i="44"/>
  <c r="AU137" i="44" s="1"/>
  <c r="AD38" i="45"/>
  <c r="AD62" i="45" l="1"/>
  <c r="AD41" i="45"/>
  <c r="AV142" i="44"/>
  <c r="AV19" i="44"/>
  <c r="AU142" i="44"/>
  <c r="AU19" i="44"/>
  <c r="AD148" i="44"/>
  <c r="AD55" i="46"/>
  <c r="AV65" i="45" l="1"/>
  <c r="AV64" i="45"/>
  <c r="AD12" i="45"/>
  <c r="AD42" i="45"/>
  <c r="AD7" i="45" l="1"/>
  <c r="AD17" i="45"/>
  <c r="AD26" i="46" l="1"/>
  <c r="AD24" i="46"/>
  <c r="AD27" i="46" l="1"/>
  <c r="AD39" i="46" l="1"/>
  <c r="AD41" i="46" l="1"/>
  <c r="AD6" i="45" l="1"/>
  <c r="AE40" i="46"/>
  <c r="AD11" i="45" l="1"/>
  <c r="AD46" i="46"/>
  <c r="AD48" i="46"/>
  <c r="AE21" i="44"/>
  <c r="AE23" i="44" l="1"/>
  <c r="AD20" i="45"/>
  <c r="AD43" i="45"/>
  <c r="AE24" i="44" l="1"/>
  <c r="AE29" i="44" l="1"/>
  <c r="AE25" i="44"/>
  <c r="AE32" i="44" l="1"/>
  <c r="AE27" i="44"/>
  <c r="AE6" i="46"/>
  <c r="AE34" i="44"/>
  <c r="AE147" i="44"/>
  <c r="AE22" i="46" l="1"/>
  <c r="AE38" i="45"/>
  <c r="AE33" i="44"/>
  <c r="AE146" i="44"/>
  <c r="AE62" i="45" l="1"/>
  <c r="AE41" i="45"/>
  <c r="AE55" i="46"/>
  <c r="AE148" i="44"/>
  <c r="AE12" i="45" l="1"/>
  <c r="AE42" i="45"/>
  <c r="AE17" i="45" l="1"/>
  <c r="AE7" i="45"/>
  <c r="AE24" i="46" l="1"/>
  <c r="AE26" i="46"/>
  <c r="AE27" i="46" l="1"/>
  <c r="AE39" i="46" l="1"/>
  <c r="AE41" i="46" l="1"/>
  <c r="AF40" i="46" l="1"/>
  <c r="AE6" i="45"/>
  <c r="AF21" i="44" l="1"/>
  <c r="AE46" i="46"/>
  <c r="AE48" i="46"/>
  <c r="AE11" i="45"/>
  <c r="AE20" i="45" l="1"/>
  <c r="AE43" i="45"/>
  <c r="AG21" i="44"/>
  <c r="AF23" i="44"/>
  <c r="AF24" i="44" l="1"/>
  <c r="AG23" i="44"/>
  <c r="AF29" i="44" l="1"/>
  <c r="AG25" i="44"/>
  <c r="AF25" i="44"/>
  <c r="AG143" i="44"/>
  <c r="AG24" i="44"/>
  <c r="AF27" i="44" l="1"/>
  <c r="AF32" i="44"/>
  <c r="AG29" i="44"/>
  <c r="AF6" i="46"/>
  <c r="AG27" i="44"/>
  <c r="AG31" i="44"/>
  <c r="AG30" i="44"/>
  <c r="AF147" i="44"/>
  <c r="AF34" i="44"/>
  <c r="AG6" i="46" l="1"/>
  <c r="AF38" i="45"/>
  <c r="AG32" i="44"/>
  <c r="AF22" i="46"/>
  <c r="AF33" i="44"/>
  <c r="AF146" i="44"/>
  <c r="AG38" i="45" l="1"/>
  <c r="AF55" i="46"/>
  <c r="AF148" i="44"/>
  <c r="AF62" i="45"/>
  <c r="AF41" i="45"/>
  <c r="AG22" i="46"/>
  <c r="AG34" i="44"/>
  <c r="AG147" i="44"/>
  <c r="AG36" i="44"/>
  <c r="AG146" i="44"/>
  <c r="AG33" i="44"/>
  <c r="AG55" i="46" l="1"/>
  <c r="AG148" i="44"/>
  <c r="AF42" i="45"/>
  <c r="AG41" i="45"/>
  <c r="AG17" i="45" l="1"/>
  <c r="AF17" i="45"/>
  <c r="AG7" i="45"/>
  <c r="AF7" i="45"/>
  <c r="AG42" i="45"/>
  <c r="AF12" i="45"/>
  <c r="AG12" i="45"/>
  <c r="AF24" i="46" l="1"/>
  <c r="AF26" i="46"/>
  <c r="AG26" i="46"/>
  <c r="AG24" i="46" l="1"/>
  <c r="AF27" i="46"/>
  <c r="AF39" i="46" l="1"/>
  <c r="AG27" i="46"/>
  <c r="AG39" i="46" l="1"/>
  <c r="AF41" i="46"/>
  <c r="AF6" i="45" l="1"/>
  <c r="AL40" i="46"/>
  <c r="AG41" i="46"/>
  <c r="AH40" i="46" l="1"/>
  <c r="AH21" i="44"/>
  <c r="AG6" i="45"/>
  <c r="AF48" i="46"/>
  <c r="AF46" i="46"/>
  <c r="AF11" i="45"/>
  <c r="AF20" i="45" l="1"/>
  <c r="AF43" i="45"/>
  <c r="AG11" i="45"/>
  <c r="AG46" i="46"/>
  <c r="AG48" i="46"/>
  <c r="AH23" i="44"/>
  <c r="AH25" i="44" l="1"/>
  <c r="AH24" i="44"/>
  <c r="AG20" i="45"/>
  <c r="AG43" i="45"/>
  <c r="AH29" i="44" l="1"/>
  <c r="AH32" i="44"/>
  <c r="AH27" i="44"/>
  <c r="AH6" i="46"/>
  <c r="AH38" i="45" l="1"/>
  <c r="AH22" i="46"/>
  <c r="AH33" i="44"/>
  <c r="AH146" i="44"/>
  <c r="AH147" i="44"/>
  <c r="AH34" i="44"/>
  <c r="AH55" i="46" l="1"/>
  <c r="AH148" i="44"/>
  <c r="AH41" i="45"/>
  <c r="AH62" i="45"/>
  <c r="AH12" i="45" l="1"/>
  <c r="AH42" i="45"/>
  <c r="AH17" i="45" l="1"/>
  <c r="AH7" i="45"/>
  <c r="AH26" i="46" l="1"/>
  <c r="AH24" i="46"/>
  <c r="AH27" i="46" l="1"/>
  <c r="AH39" i="46" l="1"/>
  <c r="AH41" i="46" l="1"/>
  <c r="AH6" i="45" l="1"/>
  <c r="AI40" i="46"/>
  <c r="AH46" i="46" l="1"/>
  <c r="AH48" i="46"/>
  <c r="AH11" i="45"/>
  <c r="AI21" i="44"/>
  <c r="AI23" i="44" l="1"/>
  <c r="AH20" i="45"/>
  <c r="AH43" i="45"/>
  <c r="AI24" i="44" l="1"/>
  <c r="AI29" i="44" l="1"/>
  <c r="AI25" i="44"/>
  <c r="AI32" i="44" l="1"/>
  <c r="AI27" i="44"/>
  <c r="AI6" i="46"/>
  <c r="AI34" i="44"/>
  <c r="AI147" i="44"/>
  <c r="AI38" i="45" l="1"/>
  <c r="AI22" i="46"/>
  <c r="AI146" i="44"/>
  <c r="AI33" i="44"/>
  <c r="AI55" i="46" l="1"/>
  <c r="AI148" i="44"/>
  <c r="AI62" i="45"/>
  <c r="AI41" i="45"/>
  <c r="AI12" i="45" l="1"/>
  <c r="AI42" i="45"/>
  <c r="AI17" i="45" l="1"/>
  <c r="AI7" i="45"/>
  <c r="AI24" i="46" l="1"/>
  <c r="AI26" i="46"/>
  <c r="AI27" i="46" l="1"/>
  <c r="AI39" i="46" l="1"/>
  <c r="AI41" i="46" l="1"/>
  <c r="AI6" i="45" l="1"/>
  <c r="AJ40" i="46"/>
  <c r="AI46" i="46" l="1"/>
  <c r="AI48" i="46"/>
  <c r="AI11" i="45"/>
  <c r="AJ21" i="44"/>
  <c r="AI20" i="45" l="1"/>
  <c r="AI43" i="45"/>
  <c r="AJ23" i="44"/>
  <c r="AJ25" i="44" l="1"/>
  <c r="AJ24" i="44"/>
  <c r="AJ29" i="44" l="1"/>
  <c r="AJ6" i="46"/>
  <c r="AJ32" i="44"/>
  <c r="AJ27" i="44"/>
  <c r="AJ146" i="44" l="1"/>
  <c r="AJ33" i="44"/>
  <c r="AJ38" i="45"/>
  <c r="AJ22" i="46"/>
  <c r="AJ34" i="44"/>
  <c r="AJ147" i="44"/>
  <c r="AJ55" i="46" l="1"/>
  <c r="AJ148" i="44"/>
  <c r="AJ41" i="45"/>
  <c r="AJ62" i="45"/>
  <c r="AJ12" i="45" l="1"/>
  <c r="AJ42" i="45"/>
  <c r="AJ17" i="45" l="1"/>
  <c r="AJ7" i="45"/>
  <c r="AJ24" i="46" l="1"/>
  <c r="AJ26" i="46"/>
  <c r="AJ27" i="46" l="1"/>
  <c r="AJ39" i="46" l="1"/>
  <c r="AJ41" i="46" l="1"/>
  <c r="AK40" i="46" l="1"/>
  <c r="AJ6" i="45"/>
  <c r="AJ11" i="45" l="1"/>
  <c r="AJ48" i="46"/>
  <c r="AJ46" i="46"/>
  <c r="AK21" i="44"/>
  <c r="AL21" i="44" l="1"/>
  <c r="AK23" i="44"/>
  <c r="AJ20" i="45"/>
  <c r="AJ43" i="45"/>
  <c r="AK24" i="44" l="1"/>
  <c r="AL23" i="44"/>
  <c r="AK29" i="44" l="1"/>
  <c r="AL25" i="44"/>
  <c r="AK25" i="44"/>
  <c r="AL143" i="44"/>
  <c r="AL24" i="44"/>
  <c r="AL29" i="44" l="1"/>
  <c r="AK6" i="46"/>
  <c r="AK32" i="44"/>
  <c r="AK27" i="44"/>
  <c r="AL27" i="44"/>
  <c r="AL31" i="44"/>
  <c r="AL30" i="44"/>
  <c r="AK147" i="44"/>
  <c r="AK34" i="44"/>
  <c r="AL32" i="44" l="1"/>
  <c r="AK38" i="45"/>
  <c r="AK33" i="44"/>
  <c r="AK146" i="44"/>
  <c r="AL6" i="46"/>
  <c r="AK22" i="46"/>
  <c r="AK55" i="46" l="1"/>
  <c r="AK148" i="44"/>
  <c r="AL34" i="44"/>
  <c r="AL149" i="44"/>
  <c r="AL147" i="44"/>
  <c r="AL36" i="44"/>
  <c r="AL33" i="44"/>
  <c r="AL146" i="44"/>
  <c r="AL22" i="46"/>
  <c r="AK62" i="45"/>
  <c r="AK41" i="45"/>
  <c r="AL38" i="45"/>
  <c r="AL41" i="45" l="1"/>
  <c r="AK42" i="45"/>
  <c r="AL148" i="44"/>
  <c r="AL55" i="46"/>
  <c r="AL59" i="46"/>
  <c r="AL61" i="46"/>
  <c r="AL17" i="45" l="1"/>
  <c r="AK17" i="45"/>
  <c r="AK12" i="45"/>
  <c r="AL12" i="45"/>
  <c r="AL7" i="45"/>
  <c r="AK7" i="45"/>
  <c r="AL42" i="45"/>
  <c r="AK24" i="46" l="1"/>
  <c r="AK26" i="46"/>
  <c r="AL26" i="46"/>
  <c r="AL24" i="46" l="1"/>
  <c r="AK27" i="46"/>
  <c r="AK39" i="46" l="1"/>
  <c r="AL27" i="46"/>
  <c r="AL39" i="46" l="1"/>
  <c r="AK41" i="46"/>
  <c r="AK6" i="45" l="1"/>
  <c r="AQ40" i="46"/>
  <c r="AL41" i="46"/>
  <c r="AM40" i="46" l="1"/>
  <c r="AM21" i="44"/>
  <c r="AK11" i="45"/>
  <c r="AL6" i="45"/>
  <c r="AK46" i="46"/>
  <c r="AK48" i="46"/>
  <c r="AL48" i="46" l="1"/>
  <c r="AL46" i="46"/>
  <c r="AL11" i="45"/>
  <c r="AK20" i="45"/>
  <c r="AK43" i="45"/>
  <c r="AM23" i="44"/>
  <c r="AM24" i="44" l="1"/>
  <c r="AL20" i="45"/>
  <c r="AL43" i="45"/>
  <c r="AM29" i="44" l="1"/>
  <c r="AM25" i="44"/>
  <c r="AM32" i="44" l="1"/>
  <c r="AM27" i="44"/>
  <c r="AM6" i="46"/>
  <c r="AM34" i="44"/>
  <c r="AM147" i="44"/>
  <c r="AM38" i="45" l="1"/>
  <c r="AM22" i="46"/>
  <c r="AM33" i="44"/>
  <c r="AM146" i="44"/>
  <c r="AM62" i="45" l="1"/>
  <c r="AM41" i="45"/>
  <c r="AM55" i="46"/>
  <c r="AM148" i="44"/>
  <c r="AM12" i="45" l="1"/>
  <c r="AM42" i="45"/>
  <c r="AM17" i="45" l="1"/>
  <c r="AM7" i="45"/>
  <c r="AM24" i="46" l="1"/>
  <c r="AM26" i="46"/>
  <c r="AM27" i="46" l="1"/>
  <c r="AM39" i="46" l="1"/>
  <c r="AM41" i="46" l="1"/>
  <c r="AM6" i="45" l="1"/>
  <c r="AN40" i="46"/>
  <c r="AN21" i="44" l="1"/>
  <c r="AM11" i="45"/>
  <c r="AM46" i="46"/>
  <c r="AM48" i="46"/>
  <c r="AN23" i="44" l="1"/>
  <c r="AM20" i="45"/>
  <c r="AM43" i="45"/>
  <c r="AN24" i="44" l="1"/>
  <c r="AN29" i="44" l="1"/>
  <c r="AN25" i="44"/>
  <c r="AN6" i="46" l="1"/>
  <c r="AN27" i="44"/>
  <c r="AN32" i="44"/>
  <c r="AN34" i="44"/>
  <c r="AN147" i="44"/>
  <c r="AN33" i="44" l="1"/>
  <c r="AN146" i="44"/>
  <c r="AN38" i="45"/>
  <c r="AN22" i="46"/>
  <c r="AN148" i="44" l="1"/>
  <c r="AN55" i="46"/>
  <c r="AN62" i="45"/>
  <c r="AN41" i="45"/>
  <c r="AN12" i="45" l="1"/>
  <c r="AN42" i="45"/>
  <c r="AN17" i="45" l="1"/>
  <c r="AN7" i="45"/>
  <c r="AN26" i="46" l="1"/>
  <c r="AN24" i="46"/>
  <c r="AN27" i="46" l="1"/>
  <c r="AN39" i="46" l="1"/>
  <c r="AN41" i="46" l="1"/>
  <c r="AN6" i="45" l="1"/>
  <c r="AO40" i="46"/>
  <c r="AN46" i="46" l="1"/>
  <c r="AN48" i="46"/>
  <c r="AO21" i="44"/>
  <c r="AN11" i="45"/>
  <c r="AN20" i="45" l="1"/>
  <c r="AN43" i="45"/>
  <c r="AO23" i="44"/>
  <c r="AO24" i="44" l="1"/>
  <c r="AO25" i="44"/>
  <c r="AO29" i="44" l="1"/>
  <c r="AO32" i="44"/>
  <c r="AO27" i="44"/>
  <c r="AO6" i="46"/>
  <c r="AO146" i="44" l="1"/>
  <c r="AO33" i="44"/>
  <c r="AO38" i="45"/>
  <c r="AO22" i="46"/>
  <c r="AO34" i="44"/>
  <c r="AO147" i="44"/>
  <c r="AO148" i="44" l="1"/>
  <c r="AO55" i="46"/>
  <c r="AO62" i="45"/>
  <c r="AO41" i="45"/>
  <c r="AO42" i="45" l="1"/>
  <c r="AO12" i="45"/>
  <c r="AO17" i="45" l="1"/>
  <c r="AO7" i="45"/>
  <c r="AO24" i="46" l="1"/>
  <c r="AO26" i="46"/>
  <c r="AO27" i="46" l="1"/>
  <c r="AO39" i="46" l="1"/>
  <c r="AO41" i="46" l="1"/>
  <c r="AP40" i="46" l="1"/>
  <c r="AO6" i="45"/>
  <c r="AO46" i="46" l="1"/>
  <c r="AO48" i="46"/>
  <c r="AO11" i="45"/>
  <c r="AP21" i="44"/>
  <c r="AP23" i="44" l="1"/>
  <c r="AQ21" i="44"/>
  <c r="AO20" i="45"/>
  <c r="AO43" i="45"/>
  <c r="AP25" i="44" l="1"/>
  <c r="AQ23" i="44"/>
  <c r="AP24" i="44"/>
  <c r="AQ25" i="44" l="1"/>
  <c r="AP29" i="44"/>
  <c r="AQ143" i="44"/>
  <c r="AQ24" i="44"/>
  <c r="AP32" i="44"/>
  <c r="AP27" i="44"/>
  <c r="AP6" i="46"/>
  <c r="AP38" i="45" l="1"/>
  <c r="AP22" i="46"/>
  <c r="AP33" i="44"/>
  <c r="AP146" i="44"/>
  <c r="AQ27" i="44"/>
  <c r="AQ30" i="44"/>
  <c r="AQ31" i="44"/>
  <c r="AQ6" i="46"/>
  <c r="AQ29" i="44"/>
  <c r="AP34" i="44"/>
  <c r="AP147" i="44"/>
  <c r="AQ34" i="44" l="1"/>
  <c r="AQ147" i="44"/>
  <c r="AQ32" i="44"/>
  <c r="AP62" i="45"/>
  <c r="AP41" i="45"/>
  <c r="AQ38" i="45"/>
  <c r="AQ22" i="46"/>
  <c r="AP148" i="44"/>
  <c r="AP55" i="46"/>
  <c r="AQ148" i="44" l="1"/>
  <c r="AQ55" i="46"/>
  <c r="AP42" i="45"/>
  <c r="AQ146" i="44"/>
  <c r="AQ36" i="44"/>
  <c r="AQ33" i="44"/>
  <c r="AQ41" i="45"/>
  <c r="AQ42" i="45" l="1"/>
  <c r="AQ7" i="45"/>
  <c r="AP7" i="45"/>
  <c r="AQ17" i="45"/>
  <c r="AP17" i="45"/>
  <c r="AQ12" i="45"/>
  <c r="AP12" i="45"/>
  <c r="AP24" i="46" l="1"/>
  <c r="AP26" i="46"/>
  <c r="AQ26" i="46"/>
  <c r="AQ24" i="46" l="1"/>
  <c r="AP27" i="46"/>
  <c r="AP39" i="46" l="1"/>
  <c r="AQ27" i="46"/>
  <c r="AQ39" i="46" l="1"/>
  <c r="AP41" i="46"/>
  <c r="AP6" i="45" l="1"/>
  <c r="AV40" i="46"/>
  <c r="AQ41" i="46"/>
  <c r="AQ6" i="45" l="1"/>
  <c r="AP48" i="46"/>
  <c r="AP46" i="46"/>
  <c r="AR40" i="46"/>
  <c r="AP11" i="45"/>
  <c r="AR21" i="44"/>
  <c r="AP20" i="45" l="1"/>
  <c r="AP43" i="45"/>
  <c r="AR23" i="44"/>
  <c r="AQ48" i="46"/>
  <c r="AQ46" i="46"/>
  <c r="AQ11" i="45"/>
  <c r="AR25" i="44" l="1"/>
  <c r="AQ20" i="45"/>
  <c r="AQ43" i="45"/>
  <c r="AR24" i="44"/>
  <c r="AR32" i="44" l="1"/>
  <c r="AR27" i="44"/>
  <c r="AR29" i="44"/>
  <c r="AR6" i="46"/>
  <c r="AR34" i="44" l="1"/>
  <c r="AR147" i="44"/>
  <c r="AR38" i="45"/>
  <c r="AR22" i="46"/>
  <c r="AR146" i="44"/>
  <c r="AR33" i="44"/>
  <c r="AR55" i="46" l="1"/>
  <c r="AR148" i="44"/>
  <c r="AR62" i="45"/>
  <c r="AR41" i="45"/>
  <c r="AR12" i="45" l="1"/>
  <c r="AR42" i="45"/>
  <c r="AR17" i="45" l="1"/>
  <c r="AR7" i="45"/>
  <c r="AR24" i="46" l="1"/>
  <c r="AR26" i="46"/>
  <c r="AR27" i="46" l="1"/>
  <c r="AR39" i="46" l="1"/>
  <c r="AR41" i="46" l="1"/>
  <c r="AR6" i="45" l="1"/>
  <c r="AS40" i="46"/>
  <c r="AR48" i="46" l="1"/>
  <c r="AR46" i="46"/>
  <c r="AR11" i="45"/>
  <c r="AS21" i="44"/>
  <c r="AS23" i="44" l="1"/>
  <c r="AR20" i="45"/>
  <c r="AR43" i="45"/>
  <c r="AS25" i="44" l="1"/>
  <c r="AS24" i="44"/>
  <c r="AS29" i="44" l="1"/>
  <c r="AS6" i="46"/>
  <c r="AS32" i="44"/>
  <c r="AS27" i="44"/>
  <c r="AS33" i="44" l="1"/>
  <c r="AS146" i="44"/>
  <c r="AS38" i="45"/>
  <c r="AS22" i="46"/>
  <c r="AS34" i="44"/>
  <c r="AS147" i="44"/>
  <c r="AS55" i="46" l="1"/>
  <c r="AS148" i="44"/>
  <c r="AS62" i="45"/>
  <c r="AS41" i="45"/>
  <c r="AS12" i="45" l="1"/>
  <c r="AS42" i="45"/>
  <c r="AS17" i="45" l="1"/>
  <c r="AS7" i="45"/>
  <c r="AS24" i="46" l="1"/>
  <c r="AS26" i="46"/>
  <c r="AS27" i="46" l="1"/>
  <c r="AS39" i="46" l="1"/>
  <c r="AS41" i="46" l="1"/>
  <c r="AS6" i="45" l="1"/>
  <c r="AT40" i="46"/>
  <c r="AT21" i="44" l="1"/>
  <c r="AS11" i="45"/>
  <c r="AS48" i="46"/>
  <c r="AS46" i="46"/>
  <c r="AS20" i="45" l="1"/>
  <c r="AS43" i="45"/>
  <c r="AT23" i="44"/>
  <c r="AT24" i="44" l="1"/>
  <c r="AT29" i="44" l="1"/>
  <c r="AT25" i="44"/>
  <c r="AT6" i="46" l="1"/>
  <c r="AT32" i="44"/>
  <c r="AT27" i="44"/>
  <c r="AT34" i="44"/>
  <c r="AT147" i="44"/>
  <c r="AT33" i="44" l="1"/>
  <c r="AT146" i="44"/>
  <c r="AT38" i="45"/>
  <c r="AT22" i="46"/>
  <c r="AT55" i="46" l="1"/>
  <c r="AT148" i="44"/>
  <c r="AT41" i="45"/>
  <c r="AT62" i="45"/>
  <c r="AT12" i="45" l="1"/>
  <c r="AT42" i="45"/>
  <c r="AT17" i="45" l="1"/>
  <c r="AT7" i="45"/>
  <c r="AT24" i="46" l="1"/>
  <c r="AT26" i="46"/>
  <c r="AT27" i="46" l="1"/>
  <c r="AT39" i="46" l="1"/>
  <c r="AT41" i="46" l="1"/>
  <c r="AU40" i="46" l="1"/>
  <c r="AT6" i="45"/>
  <c r="AT11" i="45" l="1"/>
  <c r="AT48" i="46"/>
  <c r="AT46" i="46"/>
  <c r="AU21" i="44"/>
  <c r="AV21" i="44" l="1"/>
  <c r="AU23" i="44"/>
  <c r="AT20" i="45"/>
  <c r="AT43" i="45"/>
  <c r="AU24" i="44" l="1"/>
  <c r="AV23" i="44"/>
  <c r="AU29" i="44" l="1"/>
  <c r="AV25" i="44"/>
  <c r="AU25" i="44"/>
  <c r="AV143" i="44"/>
  <c r="AV24" i="44"/>
  <c r="AV29" i="44" l="1"/>
  <c r="AU6" i="46"/>
  <c r="AU32" i="44"/>
  <c r="AU27" i="44"/>
  <c r="AV27" i="44"/>
  <c r="AV31" i="44"/>
  <c r="AV30" i="44"/>
  <c r="AU34" i="44"/>
  <c r="AU147" i="44"/>
  <c r="AV32" i="44" l="1"/>
  <c r="AU38" i="45"/>
  <c r="AV6" i="46"/>
  <c r="AU33" i="44"/>
  <c r="AU146" i="44"/>
  <c r="AU22" i="46"/>
  <c r="AV34" i="44" l="1"/>
  <c r="AV147" i="44"/>
  <c r="AU55" i="46"/>
  <c r="AU148" i="44"/>
  <c r="AV33" i="44"/>
  <c r="AV146" i="44"/>
  <c r="AV36" i="44"/>
  <c r="AV22" i="46"/>
  <c r="AU41" i="45"/>
  <c r="AU62" i="45"/>
  <c r="AV38" i="45"/>
  <c r="AV55" i="46" l="1"/>
  <c r="AV148" i="44"/>
  <c r="AV41" i="45"/>
  <c r="AU42" i="45"/>
  <c r="AU12" i="45" l="1"/>
  <c r="AV12" i="45"/>
  <c r="AV7" i="45"/>
  <c r="AU7" i="45"/>
  <c r="AV17" i="45"/>
  <c r="AU17" i="45"/>
  <c r="AV42" i="45"/>
  <c r="AU26" i="46" l="1"/>
  <c r="AV26" i="46"/>
  <c r="AU24" i="46"/>
  <c r="AV24" i="46" l="1"/>
  <c r="AU27" i="46"/>
  <c r="AU39" i="46" l="1"/>
  <c r="AV27" i="46"/>
  <c r="AV39" i="46" l="1"/>
  <c r="AV41" i="46"/>
  <c r="AU41" i="46"/>
  <c r="AU6" i="45" l="1"/>
  <c r="AU46" i="46" l="1"/>
  <c r="AU48" i="46"/>
  <c r="AV6" i="45"/>
  <c r="AU11" i="45"/>
  <c r="AV11" i="45" l="1"/>
  <c r="AV46" i="46"/>
  <c r="AV48" i="46"/>
  <c r="AU20" i="45"/>
  <c r="AU43" i="45"/>
  <c r="AV20" i="45" l="1"/>
  <c r="AV43" i="45"/>
  <c r="X56" i="62" l="1"/>
  <c r="Z56" i="57"/>
  <c r="X7" i="63"/>
  <c r="X22" i="58" l="1"/>
  <c r="X39" i="58" s="1"/>
  <c r="X39" i="63" s="1"/>
  <c r="Z56" i="62"/>
  <c r="Y7" i="58"/>
  <c r="Y66" i="56" s="1"/>
  <c r="Y56" i="62"/>
  <c r="AA56" i="57"/>
  <c r="X55" i="58" l="1"/>
  <c r="X22" i="63"/>
  <c r="X41" i="58"/>
  <c r="X41" i="63" s="1"/>
  <c r="AA56" i="62"/>
  <c r="AC56" i="57"/>
  <c r="AD56" i="57" s="1"/>
  <c r="X55" i="63"/>
  <c r="X148" i="56"/>
  <c r="X148" i="61" s="1"/>
  <c r="Y14" i="57"/>
  <c r="Y99" i="56"/>
  <c r="Y7" i="63"/>
  <c r="Y127" i="56"/>
  <c r="X6" i="57" l="1"/>
  <c r="Y40" i="58"/>
  <c r="Y40" i="63" s="1"/>
  <c r="Y66" i="61"/>
  <c r="Y70" i="56"/>
  <c r="Y12" i="56"/>
  <c r="AD56" i="62"/>
  <c r="Z7" i="58"/>
  <c r="Z66" i="56" s="1"/>
  <c r="Y14" i="62"/>
  <c r="Y103" i="56"/>
  <c r="Y99" i="61"/>
  <c r="X46" i="58"/>
  <c r="X144" i="56"/>
  <c r="X6" i="62"/>
  <c r="X11" i="57"/>
  <c r="Y130" i="56"/>
  <c r="Y127" i="61"/>
  <c r="AE56" i="57"/>
  <c r="AF56" i="57" s="1"/>
  <c r="AC56" i="62"/>
  <c r="Z99" i="56" l="1"/>
  <c r="Z70" i="56"/>
  <c r="Z66" i="61"/>
  <c r="X46" i="63"/>
  <c r="X48" i="58"/>
  <c r="X48" i="63" s="1"/>
  <c r="AF56" i="62"/>
  <c r="Z99" i="61"/>
  <c r="Z103" i="56"/>
  <c r="Y103" i="61"/>
  <c r="Y105" i="56"/>
  <c r="Z7" i="63"/>
  <c r="Z127" i="56"/>
  <c r="Y15" i="56"/>
  <c r="Y12" i="61"/>
  <c r="Y71" i="56"/>
  <c r="Y70" i="61"/>
  <c r="AH56" i="57"/>
  <c r="Y130" i="61"/>
  <c r="Y131" i="56"/>
  <c r="Y131" i="61" s="1"/>
  <c r="AE56" i="62"/>
  <c r="Z14" i="57"/>
  <c r="X11" i="62"/>
  <c r="X20" i="57"/>
  <c r="Y144" i="56"/>
  <c r="X144" i="61"/>
  <c r="Z14" i="62" l="1"/>
  <c r="AA7" i="58"/>
  <c r="AA14" i="57" s="1"/>
  <c r="X43" i="57"/>
  <c r="X43" i="62" s="1"/>
  <c r="X53" i="57"/>
  <c r="X20" i="62"/>
  <c r="Y106" i="56"/>
  <c r="Y106" i="61" s="1"/>
  <c r="Y105" i="61"/>
  <c r="Y17" i="56"/>
  <c r="Y15" i="61"/>
  <c r="AH56" i="62"/>
  <c r="AI56" i="57"/>
  <c r="AA127" i="56"/>
  <c r="Z130" i="56"/>
  <c r="Z127" i="61"/>
  <c r="Z71" i="56"/>
  <c r="Z70" i="61"/>
  <c r="Y72" i="56"/>
  <c r="Y72" i="61" s="1"/>
  <c r="Y71" i="61"/>
  <c r="AA66" i="56"/>
  <c r="Z103" i="61"/>
  <c r="Z105" i="56"/>
  <c r="Z144" i="56"/>
  <c r="Y144" i="61"/>
  <c r="Z12" i="56"/>
  <c r="Z130" i="61" l="1"/>
  <c r="Z131" i="56"/>
  <c r="Z131" i="61" s="1"/>
  <c r="AA144" i="56"/>
  <c r="Z144" i="61"/>
  <c r="AI56" i="62"/>
  <c r="AJ56" i="57"/>
  <c r="AK56" i="57" s="1"/>
  <c r="AA70" i="56"/>
  <c r="AA66" i="61"/>
  <c r="AB66" i="56"/>
  <c r="Z15" i="56"/>
  <c r="Z12" i="61"/>
  <c r="Z105" i="61"/>
  <c r="Z106" i="56"/>
  <c r="Z106" i="61" s="1"/>
  <c r="Y21" i="61"/>
  <c r="Y141" i="56"/>
  <c r="Y17" i="61"/>
  <c r="Y19" i="56"/>
  <c r="Y23" i="56"/>
  <c r="AA14" i="62"/>
  <c r="AB14" i="57"/>
  <c r="AA130" i="56"/>
  <c r="AA127" i="61"/>
  <c r="Y137" i="56"/>
  <c r="X53" i="62"/>
  <c r="Y53" i="57"/>
  <c r="Z53" i="57" s="1"/>
  <c r="AB127" i="56"/>
  <c r="AA7" i="63"/>
  <c r="AB7" i="58"/>
  <c r="AB7" i="63" s="1"/>
  <c r="AA99" i="56"/>
  <c r="AA12" i="56" s="1"/>
  <c r="AB12" i="56" s="1"/>
  <c r="Z72" i="56"/>
  <c r="Z72" i="61" s="1"/>
  <c r="Z71" i="61"/>
  <c r="Y141" i="61" l="1"/>
  <c r="AA53" i="57"/>
  <c r="AA53" i="62" s="1"/>
  <c r="Z15" i="61"/>
  <c r="Z17" i="56"/>
  <c r="AA103" i="56"/>
  <c r="AA99" i="61"/>
  <c r="AB99" i="56"/>
  <c r="AA71" i="56"/>
  <c r="AA70" i="61"/>
  <c r="AB127" i="61"/>
  <c r="AB130" i="56"/>
  <c r="AA12" i="61"/>
  <c r="AA15" i="56"/>
  <c r="Y23" i="61"/>
  <c r="Y24" i="56"/>
  <c r="Z53" i="62"/>
  <c r="AA144" i="61"/>
  <c r="AC144" i="56"/>
  <c r="AA131" i="56"/>
  <c r="AA131" i="61" s="1"/>
  <c r="AA130" i="61"/>
  <c r="AC7" i="58"/>
  <c r="AC66" i="56" s="1"/>
  <c r="AB14" i="62"/>
  <c r="Y142" i="56"/>
  <c r="Y142" i="61" s="1"/>
  <c r="Y19" i="61"/>
  <c r="AJ56" i="62"/>
  <c r="AC53" i="57"/>
  <c r="AD53" i="57" s="1"/>
  <c r="AB15" i="56"/>
  <c r="AB12" i="61"/>
  <c r="AB66" i="61"/>
  <c r="AB70" i="56"/>
  <c r="AB70" i="61" s="1"/>
  <c r="AK56" i="62"/>
  <c r="Y53" i="62"/>
  <c r="AM56" i="57"/>
  <c r="Y25" i="56" l="1"/>
  <c r="Y6" i="58"/>
  <c r="Y27" i="56"/>
  <c r="Y25" i="61"/>
  <c r="AC70" i="56"/>
  <c r="AC66" i="61"/>
  <c r="AM56" i="62"/>
  <c r="AA15" i="61"/>
  <c r="AA17" i="56"/>
  <c r="AD144" i="56"/>
  <c r="AC144" i="61"/>
  <c r="AD53" i="62"/>
  <c r="AC7" i="63"/>
  <c r="AC127" i="56"/>
  <c r="AC14" i="57"/>
  <c r="AA72" i="56"/>
  <c r="AA72" i="61" s="1"/>
  <c r="AA71" i="61"/>
  <c r="AB71" i="56"/>
  <c r="AB15" i="61"/>
  <c r="AB17" i="56"/>
  <c r="AA105" i="56"/>
  <c r="AA103" i="61"/>
  <c r="Y24" i="61"/>
  <c r="AC53" i="62"/>
  <c r="AC99" i="56"/>
  <c r="AB130" i="61"/>
  <c r="AB131" i="56"/>
  <c r="AB131" i="61" s="1"/>
  <c r="Z19" i="56"/>
  <c r="Z141" i="56"/>
  <c r="Z141" i="61" s="1"/>
  <c r="Z17" i="61"/>
  <c r="Z137" i="56"/>
  <c r="Y29" i="56"/>
  <c r="AN56" i="57"/>
  <c r="AB99" i="61"/>
  <c r="AB103" i="56"/>
  <c r="AB103" i="61" s="1"/>
  <c r="AE53" i="57"/>
  <c r="AC12" i="56" l="1"/>
  <c r="AC15" i="56" s="1"/>
  <c r="AC12" i="61"/>
  <c r="AB141" i="56"/>
  <c r="AB141" i="61" s="1"/>
  <c r="AB17" i="61"/>
  <c r="AB19" i="56"/>
  <c r="AO56" i="57"/>
  <c r="AE144" i="56"/>
  <c r="AD144" i="61"/>
  <c r="AC130" i="56"/>
  <c r="AC127" i="61"/>
  <c r="AN56" i="62"/>
  <c r="AA19" i="56"/>
  <c r="AA141" i="56"/>
  <c r="AA141" i="61" s="1"/>
  <c r="AA17" i="61"/>
  <c r="AB71" i="61"/>
  <c r="AB72" i="56"/>
  <c r="AB72" i="61" s="1"/>
  <c r="AC71" i="56"/>
  <c r="AC70" i="61"/>
  <c r="AA106" i="56"/>
  <c r="AA106" i="61" s="1"/>
  <c r="AA105" i="61"/>
  <c r="AB105" i="56"/>
  <c r="AA137" i="56"/>
  <c r="AE53" i="62"/>
  <c r="Y29" i="61"/>
  <c r="Y34" i="56"/>
  <c r="AD7" i="58"/>
  <c r="AD99" i="56" s="1"/>
  <c r="AC14" i="62"/>
  <c r="Y32" i="56"/>
  <c r="Y27" i="61"/>
  <c r="Y33" i="56"/>
  <c r="Z142" i="56"/>
  <c r="Z142" i="61" s="1"/>
  <c r="Z19" i="61"/>
  <c r="AC103" i="56"/>
  <c r="AC99" i="61"/>
  <c r="AF53" i="57"/>
  <c r="AH53" i="57" s="1"/>
  <c r="Y22" i="58"/>
  <c r="Y38" i="57"/>
  <c r="Y6" i="63"/>
  <c r="Y32" i="61" l="1"/>
  <c r="C14" i="64"/>
  <c r="AD14" i="57"/>
  <c r="AD127" i="56"/>
  <c r="AD103" i="56"/>
  <c r="AD99" i="61"/>
  <c r="AC103" i="61"/>
  <c r="AC105" i="56"/>
  <c r="Y33" i="61"/>
  <c r="Y146" i="56"/>
  <c r="AB106" i="56"/>
  <c r="AB106" i="61" s="1"/>
  <c r="AB105" i="61"/>
  <c r="AO56" i="62"/>
  <c r="AC131" i="56"/>
  <c r="AC131" i="61" s="1"/>
  <c r="AC130" i="61"/>
  <c r="AC72" i="56"/>
  <c r="AC72" i="61" s="1"/>
  <c r="AC71" i="61"/>
  <c r="AD7" i="63"/>
  <c r="AD66" i="56"/>
  <c r="AD130" i="56"/>
  <c r="AD127" i="61"/>
  <c r="AE144" i="61"/>
  <c r="AF144" i="56"/>
  <c r="AB19" i="61"/>
  <c r="AB65" i="57"/>
  <c r="AB142" i="56"/>
  <c r="AB142" i="61" s="1"/>
  <c r="AE7" i="58"/>
  <c r="AE7" i="63" s="1"/>
  <c r="AD14" i="62"/>
  <c r="AP56" i="57"/>
  <c r="AR56" i="57" s="1"/>
  <c r="AR56" i="62" s="1"/>
  <c r="AH53" i="62"/>
  <c r="Y22" i="63"/>
  <c r="Y55" i="58"/>
  <c r="AF53" i="62"/>
  <c r="AI53" i="57"/>
  <c r="AA142" i="56"/>
  <c r="AA142" i="61" s="1"/>
  <c r="AA19" i="61"/>
  <c r="AC17" i="56"/>
  <c r="AC15" i="61"/>
  <c r="Y38" i="62"/>
  <c r="Y41" i="57"/>
  <c r="Y147" i="56"/>
  <c r="Y34" i="61"/>
  <c r="Y147" i="61" l="1"/>
  <c r="Y146" i="61"/>
  <c r="C20" i="64"/>
  <c r="AI53" i="62"/>
  <c r="AJ53" i="57"/>
  <c r="AH144" i="56"/>
  <c r="AF144" i="61"/>
  <c r="AE127" i="56"/>
  <c r="AB64" i="57"/>
  <c r="AB64" i="62" s="1"/>
  <c r="AB65" i="62"/>
  <c r="AC106" i="56"/>
  <c r="AC106" i="61" s="1"/>
  <c r="AC105" i="61"/>
  <c r="AK53" i="57"/>
  <c r="Y42" i="57"/>
  <c r="Y62" i="57"/>
  <c r="Y41" i="62"/>
  <c r="Y55" i="63"/>
  <c r="Y148" i="56"/>
  <c r="AD130" i="61"/>
  <c r="AD131" i="56"/>
  <c r="AD131" i="61" s="1"/>
  <c r="AP56" i="62"/>
  <c r="AS56" i="57"/>
  <c r="AD105" i="56"/>
  <c r="AD103" i="61"/>
  <c r="AD12" i="56"/>
  <c r="AE66" i="56"/>
  <c r="AD70" i="56"/>
  <c r="AD66" i="61"/>
  <c r="AC137" i="56"/>
  <c r="AE99" i="56"/>
  <c r="AC141" i="56"/>
  <c r="AC141" i="61" s="1"/>
  <c r="AC17" i="61"/>
  <c r="AC19" i="56"/>
  <c r="AE14" i="57"/>
  <c r="Y148" i="61" l="1"/>
  <c r="Y62" i="62"/>
  <c r="C21" i="64"/>
  <c r="AD12" i="61"/>
  <c r="AD15" i="56"/>
  <c r="AS56" i="62"/>
  <c r="AT56" i="57"/>
  <c r="AT56" i="62" s="1"/>
  <c r="AJ53" i="62"/>
  <c r="AE12" i="56"/>
  <c r="AE66" i="61"/>
  <c r="AE70" i="56"/>
  <c r="AE127" i="61"/>
  <c r="AE130" i="56"/>
  <c r="AF127" i="56"/>
  <c r="AI144" i="56"/>
  <c r="AH144" i="61"/>
  <c r="Y17" i="57"/>
  <c r="Y42" i="62"/>
  <c r="Y7" i="57"/>
  <c r="Y12" i="57"/>
  <c r="AD105" i="61"/>
  <c r="AD106" i="56"/>
  <c r="AD106" i="61" s="1"/>
  <c r="AF7" i="58"/>
  <c r="AF14" i="57" s="1"/>
  <c r="AE14" i="62"/>
  <c r="AC142" i="56"/>
  <c r="AC142" i="61" s="1"/>
  <c r="AC19" i="61"/>
  <c r="AD71" i="56"/>
  <c r="AD70" i="61"/>
  <c r="AE99" i="61"/>
  <c r="AE103" i="56"/>
  <c r="AK53" i="62"/>
  <c r="AM53" i="57"/>
  <c r="Y12" i="62" l="1"/>
  <c r="AF7" i="63"/>
  <c r="AG7" i="58"/>
  <c r="AG7" i="63" s="1"/>
  <c r="AF127" i="61"/>
  <c r="AF130" i="56"/>
  <c r="AE130" i="61"/>
  <c r="AE131" i="56"/>
  <c r="AE131" i="61" s="1"/>
  <c r="AF66" i="56"/>
  <c r="AF99" i="56"/>
  <c r="AM53" i="62"/>
  <c r="AE105" i="56"/>
  <c r="AE103" i="61"/>
  <c r="AN53" i="57"/>
  <c r="AO53" i="57" s="1"/>
  <c r="AE71" i="56"/>
  <c r="AE70" i="61"/>
  <c r="Y7" i="62"/>
  <c r="Y24" i="58"/>
  <c r="Y17" i="62"/>
  <c r="Y26" i="58"/>
  <c r="AD72" i="56"/>
  <c r="AD72" i="61" s="1"/>
  <c r="AD71" i="61"/>
  <c r="AI144" i="61"/>
  <c r="AJ144" i="56"/>
  <c r="AD15" i="61"/>
  <c r="AD17" i="56"/>
  <c r="AD137" i="56" s="1"/>
  <c r="AG14" i="57"/>
  <c r="AF14" i="62"/>
  <c r="AE15" i="56"/>
  <c r="AE12" i="61"/>
  <c r="AU56" i="57"/>
  <c r="AU56" i="62" s="1"/>
  <c r="AG127" i="56"/>
  <c r="Y26" i="63" l="1"/>
  <c r="AO53" i="62"/>
  <c r="AF99" i="61"/>
  <c r="AF103" i="56"/>
  <c r="AG99" i="56"/>
  <c r="AE15" i="61"/>
  <c r="AE17" i="56"/>
  <c r="AK144" i="56"/>
  <c r="AJ144" i="61"/>
  <c r="AG130" i="56"/>
  <c r="AG127" i="61"/>
  <c r="AF131" i="56"/>
  <c r="AF131" i="61" s="1"/>
  <c r="AF130" i="61"/>
  <c r="AE106" i="56"/>
  <c r="AE106" i="61" s="1"/>
  <c r="AE105" i="61"/>
  <c r="Y27" i="58"/>
  <c r="Y24" i="63"/>
  <c r="AP53" i="57"/>
  <c r="AN53" i="62"/>
  <c r="AF70" i="56"/>
  <c r="AF12" i="56"/>
  <c r="AF66" i="61"/>
  <c r="AG66" i="56"/>
  <c r="AH7" i="58"/>
  <c r="AH99" i="56" s="1"/>
  <c r="AG14" i="62"/>
  <c r="AE71" i="61"/>
  <c r="AE72" i="56"/>
  <c r="AE72" i="61" s="1"/>
  <c r="AD19" i="56"/>
  <c r="AD141" i="56"/>
  <c r="AD141" i="61" s="1"/>
  <c r="AD17" i="61"/>
  <c r="AH66" i="56" l="1"/>
  <c r="AE17" i="61"/>
  <c r="AE19" i="56"/>
  <c r="AE141" i="56"/>
  <c r="AE141" i="61" s="1"/>
  <c r="AG131" i="56"/>
  <c r="AG131" i="61" s="1"/>
  <c r="AG130" i="61"/>
  <c r="AP53" i="62"/>
  <c r="AH99" i="61"/>
  <c r="AH103" i="56"/>
  <c r="AH70" i="56"/>
  <c r="AH66" i="61"/>
  <c r="AK144" i="61"/>
  <c r="AM144" i="56"/>
  <c r="AG99" i="61"/>
  <c r="AG103" i="56"/>
  <c r="AG103" i="61" s="1"/>
  <c r="AR53" i="57"/>
  <c r="AG66" i="61"/>
  <c r="AG70" i="56"/>
  <c r="AG70" i="61" s="1"/>
  <c r="AF103" i="61"/>
  <c r="AF105" i="56"/>
  <c r="Y27" i="63"/>
  <c r="Y39" i="58"/>
  <c r="AH7" i="63"/>
  <c r="AH14" i="57"/>
  <c r="AF71" i="56"/>
  <c r="AF70" i="61"/>
  <c r="AD142" i="56"/>
  <c r="AD142" i="61" s="1"/>
  <c r="AD19" i="61"/>
  <c r="AE137" i="56"/>
  <c r="AH127" i="56"/>
  <c r="AF15" i="56"/>
  <c r="AF12" i="61"/>
  <c r="AG12" i="56"/>
  <c r="Y39" i="63" l="1"/>
  <c r="Y41" i="58"/>
  <c r="AG12" i="61"/>
  <c r="AG15" i="56"/>
  <c r="AH130" i="56"/>
  <c r="AH127" i="61"/>
  <c r="AH103" i="61"/>
  <c r="AH105" i="56"/>
  <c r="AF105" i="61"/>
  <c r="AF106" i="56"/>
  <c r="AF106" i="61" s="1"/>
  <c r="AG105" i="56"/>
  <c r="AH12" i="56"/>
  <c r="AE142" i="56"/>
  <c r="AE142" i="61" s="1"/>
  <c r="AE19" i="61"/>
  <c r="AF15" i="61"/>
  <c r="AF17" i="56"/>
  <c r="AM144" i="61"/>
  <c r="AN144" i="56"/>
  <c r="AI7" i="58"/>
  <c r="AI14" i="57" s="1"/>
  <c r="AH14" i="62"/>
  <c r="AH70" i="61"/>
  <c r="AH71" i="56"/>
  <c r="AR53" i="62"/>
  <c r="AS53" i="57"/>
  <c r="AF72" i="56"/>
  <c r="AF72" i="61" s="1"/>
  <c r="AF71" i="61"/>
  <c r="AG71" i="56"/>
  <c r="AI127" i="56" l="1"/>
  <c r="AG105" i="61"/>
  <c r="AG106" i="56"/>
  <c r="AG106" i="61" s="1"/>
  <c r="AS53" i="62"/>
  <c r="AJ7" i="58"/>
  <c r="AJ7" i="63" s="1"/>
  <c r="AI14" i="62"/>
  <c r="AG15" i="61"/>
  <c r="AG17" i="56"/>
  <c r="AH15" i="56"/>
  <c r="AH12" i="61"/>
  <c r="AN144" i="61"/>
  <c r="AO144" i="56"/>
  <c r="AH71" i="61"/>
  <c r="AH72" i="56"/>
  <c r="AH72" i="61" s="1"/>
  <c r="AH130" i="61"/>
  <c r="AH131" i="56"/>
  <c r="AH131" i="61" s="1"/>
  <c r="AF17" i="61"/>
  <c r="AF141" i="56"/>
  <c r="AF141" i="61" s="1"/>
  <c r="AF19" i="56"/>
  <c r="Y41" i="63"/>
  <c r="Z40" i="58"/>
  <c r="Y6" i="57"/>
  <c r="AH106" i="56"/>
  <c r="AH106" i="61" s="1"/>
  <c r="AH105" i="61"/>
  <c r="AI130" i="56"/>
  <c r="AI127" i="61"/>
  <c r="AI7" i="63"/>
  <c r="AI66" i="56"/>
  <c r="AI99" i="56"/>
  <c r="AG71" i="61"/>
  <c r="AG72" i="56"/>
  <c r="AG72" i="61" s="1"/>
  <c r="AF137" i="56"/>
  <c r="AT53" i="57"/>
  <c r="AU53" i="57" s="1"/>
  <c r="AJ14" i="57" l="1"/>
  <c r="AJ14" i="62" s="1"/>
  <c r="AU53" i="62"/>
  <c r="Z40" i="63"/>
  <c r="AO144" i="61"/>
  <c r="AP144" i="56"/>
  <c r="AT53" i="62"/>
  <c r="AI99" i="61"/>
  <c r="AI103" i="56"/>
  <c r="AJ99" i="56"/>
  <c r="AI66" i="61"/>
  <c r="AJ66" i="56"/>
  <c r="AI70" i="56"/>
  <c r="AI12" i="56"/>
  <c r="AG19" i="56"/>
  <c r="AG17" i="61"/>
  <c r="AG141" i="56"/>
  <c r="AG141" i="61" s="1"/>
  <c r="AK7" i="58"/>
  <c r="AK7" i="63" s="1"/>
  <c r="Y6" i="62"/>
  <c r="Y11" i="57"/>
  <c r="Z21" i="56"/>
  <c r="Y46" i="58"/>
  <c r="AF142" i="56"/>
  <c r="AF142" i="61" s="1"/>
  <c r="AF19" i="61"/>
  <c r="AH17" i="56"/>
  <c r="AH137" i="56" s="1"/>
  <c r="AH15" i="61"/>
  <c r="AI130" i="61"/>
  <c r="AI131" i="56"/>
  <c r="AI131" i="61" s="1"/>
  <c r="AJ127" i="56"/>
  <c r="AL7" i="58" l="1"/>
  <c r="AL7" i="63" s="1"/>
  <c r="AK14" i="57"/>
  <c r="Y48" i="58"/>
  <c r="Y46" i="63"/>
  <c r="Y20" i="57"/>
  <c r="Y11" i="62"/>
  <c r="Z21" i="61"/>
  <c r="Z23" i="56"/>
  <c r="AJ99" i="61"/>
  <c r="AK99" i="56"/>
  <c r="AJ103" i="56"/>
  <c r="AL14" i="57"/>
  <c r="AK14" i="62"/>
  <c r="AJ12" i="56"/>
  <c r="AJ70" i="56"/>
  <c r="AK66" i="56"/>
  <c r="AJ66" i="61"/>
  <c r="AI103" i="61"/>
  <c r="AI105" i="56"/>
  <c r="AP144" i="61"/>
  <c r="AR144" i="56"/>
  <c r="AG19" i="61"/>
  <c r="AG142" i="56"/>
  <c r="AG142" i="61" s="1"/>
  <c r="AG65" i="57"/>
  <c r="AH19" i="56"/>
  <c r="AH141" i="56"/>
  <c r="AH141" i="61" s="1"/>
  <c r="AH17" i="61"/>
  <c r="AI15" i="56"/>
  <c r="AI12" i="61"/>
  <c r="AJ130" i="56"/>
  <c r="AK127" i="56"/>
  <c r="AL127" i="56" s="1"/>
  <c r="AJ127" i="61"/>
  <c r="AI70" i="61"/>
  <c r="AI71" i="56"/>
  <c r="Y48" i="63" l="1"/>
  <c r="AI15" i="61"/>
  <c r="AI17" i="56"/>
  <c r="AH142" i="56"/>
  <c r="AH142" i="61" s="1"/>
  <c r="AH19" i="61"/>
  <c r="AG65" i="62"/>
  <c r="AG64" i="57"/>
  <c r="AG64" i="62" s="1"/>
  <c r="AM7" i="58"/>
  <c r="AM66" i="56" s="1"/>
  <c r="AL14" i="62"/>
  <c r="Y20" i="62"/>
  <c r="Y43" i="57"/>
  <c r="Y43" i="62" s="1"/>
  <c r="AK103" i="56"/>
  <c r="AK99" i="61"/>
  <c r="AM99" i="56"/>
  <c r="AL99" i="56"/>
  <c r="Z23" i="61"/>
  <c r="Z24" i="56"/>
  <c r="AJ12" i="61"/>
  <c r="AJ15" i="56"/>
  <c r="AJ105" i="56"/>
  <c r="AJ103" i="61"/>
  <c r="AK12" i="56"/>
  <c r="AL12" i="56" s="1"/>
  <c r="AK70" i="56"/>
  <c r="AK66" i="61"/>
  <c r="AI72" i="56"/>
  <c r="AI72" i="61" s="1"/>
  <c r="AI71" i="61"/>
  <c r="AI137" i="56"/>
  <c r="AS144" i="56"/>
  <c r="AR144" i="61"/>
  <c r="AL127" i="61"/>
  <c r="AL130" i="56"/>
  <c r="AI105" i="61"/>
  <c r="AI106" i="56"/>
  <c r="AI106" i="61" s="1"/>
  <c r="AK127" i="61"/>
  <c r="AK130" i="56"/>
  <c r="AJ131" i="56"/>
  <c r="AJ131" i="61" s="1"/>
  <c r="AJ130" i="61"/>
  <c r="AJ70" i="61"/>
  <c r="AJ71" i="56"/>
  <c r="AL66" i="56"/>
  <c r="Z25" i="56" l="1"/>
  <c r="AL66" i="61"/>
  <c r="AL70" i="56"/>
  <c r="AL70" i="61" s="1"/>
  <c r="AK103" i="61"/>
  <c r="AK105" i="56"/>
  <c r="AK130" i="61"/>
  <c r="AK131" i="56"/>
  <c r="AK131" i="61" s="1"/>
  <c r="AT144" i="56"/>
  <c r="AS144" i="61"/>
  <c r="AL15" i="56"/>
  <c r="AL12" i="61"/>
  <c r="AK12" i="61"/>
  <c r="AK15" i="56"/>
  <c r="AK71" i="56"/>
  <c r="AK70" i="61"/>
  <c r="AM7" i="63"/>
  <c r="AM14" i="57"/>
  <c r="AL99" i="61"/>
  <c r="AL103" i="56"/>
  <c r="AL103" i="61" s="1"/>
  <c r="AJ71" i="61"/>
  <c r="AJ72" i="56"/>
  <c r="AJ72" i="61" s="1"/>
  <c r="AJ15" i="61"/>
  <c r="AJ17" i="56"/>
  <c r="AJ137" i="56" s="1"/>
  <c r="AL131" i="56"/>
  <c r="AL131" i="61" s="1"/>
  <c r="AL130" i="61"/>
  <c r="Z6" i="58"/>
  <c r="Z27" i="56"/>
  <c r="Z25" i="61"/>
  <c r="AI19" i="56"/>
  <c r="AI141" i="56"/>
  <c r="AI141" i="61" s="1"/>
  <c r="AI17" i="61"/>
  <c r="AM103" i="56"/>
  <c r="AM99" i="61"/>
  <c r="AM66" i="61"/>
  <c r="AM70" i="56"/>
  <c r="AM127" i="56"/>
  <c r="AJ106" i="56"/>
  <c r="AJ106" i="61" s="1"/>
  <c r="AJ105" i="61"/>
  <c r="Z24" i="61"/>
  <c r="Z29" i="56"/>
  <c r="AI19" i="61" l="1"/>
  <c r="AI142" i="56"/>
  <c r="AI142" i="61" s="1"/>
  <c r="AK71" i="61"/>
  <c r="AK72" i="56"/>
  <c r="AK72" i="61" s="1"/>
  <c r="AL71" i="56"/>
  <c r="AK15" i="61"/>
  <c r="AK17" i="56"/>
  <c r="AL15" i="61"/>
  <c r="AL17" i="56"/>
  <c r="AT144" i="61"/>
  <c r="AU144" i="56"/>
  <c r="AU144" i="61" s="1"/>
  <c r="AK105" i="61"/>
  <c r="AK106" i="56"/>
  <c r="AK106" i="61" s="1"/>
  <c r="AL105" i="56"/>
  <c r="Z33" i="56"/>
  <c r="Z32" i="56"/>
  <c r="Z27" i="61"/>
  <c r="AM71" i="56"/>
  <c r="AM70" i="61"/>
  <c r="Z29" i="61"/>
  <c r="Z34" i="56"/>
  <c r="AM130" i="56"/>
  <c r="AM127" i="61"/>
  <c r="AJ17" i="61"/>
  <c r="AJ141" i="56"/>
  <c r="AJ141" i="61" s="1"/>
  <c r="AJ19" i="56"/>
  <c r="AM12" i="56"/>
  <c r="AM103" i="61"/>
  <c r="AM105" i="56"/>
  <c r="Z22" i="58"/>
  <c r="Z6" i="63"/>
  <c r="Z38" i="57"/>
  <c r="AM14" i="62"/>
  <c r="AN7" i="58"/>
  <c r="Z32" i="61" l="1"/>
  <c r="D14" i="64"/>
  <c r="AL19" i="56"/>
  <c r="AL141" i="56"/>
  <c r="AL141" i="61" s="1"/>
  <c r="AL17" i="61"/>
  <c r="AK19" i="56"/>
  <c r="AK17" i="61"/>
  <c r="AK141" i="56"/>
  <c r="AK141" i="61" s="1"/>
  <c r="AL71" i="61"/>
  <c r="AL72" i="56"/>
  <c r="AL72" i="61" s="1"/>
  <c r="AM72" i="56"/>
  <c r="AM72" i="61" s="1"/>
  <c r="AM71" i="61"/>
  <c r="AN7" i="63"/>
  <c r="AN127" i="56"/>
  <c r="AN66" i="56"/>
  <c r="AM130" i="61"/>
  <c r="AM131" i="56"/>
  <c r="AM131" i="61" s="1"/>
  <c r="AK137" i="56"/>
  <c r="Z147" i="56"/>
  <c r="Z34" i="61"/>
  <c r="AM106" i="56"/>
  <c r="AM106" i="61" s="1"/>
  <c r="AM105" i="61"/>
  <c r="AM12" i="61"/>
  <c r="AM15" i="56"/>
  <c r="Z33" i="61"/>
  <c r="Z146" i="56"/>
  <c r="AN14" i="57"/>
  <c r="Z38" i="62"/>
  <c r="Z41" i="57"/>
  <c r="Z55" i="58"/>
  <c r="Z22" i="63"/>
  <c r="AJ19" i="61"/>
  <c r="AJ142" i="56"/>
  <c r="AJ142" i="61" s="1"/>
  <c r="AL105" i="61"/>
  <c r="AL106" i="56"/>
  <c r="AL106" i="61" s="1"/>
  <c r="AN99" i="56"/>
  <c r="Z146" i="61" l="1"/>
  <c r="Z147" i="61"/>
  <c r="D20" i="64"/>
  <c r="AN99" i="61"/>
  <c r="AN103" i="56"/>
  <c r="Z42" i="57"/>
  <c r="Z62" i="57"/>
  <c r="Z41" i="62"/>
  <c r="AK142" i="56"/>
  <c r="AK142" i="61" s="1"/>
  <c r="AK19" i="61"/>
  <c r="Z148" i="56"/>
  <c r="Z55" i="63"/>
  <c r="AN70" i="56"/>
  <c r="AN66" i="61"/>
  <c r="AO66" i="56"/>
  <c r="AN12" i="56"/>
  <c r="AL19" i="61"/>
  <c r="AL65" i="57"/>
  <c r="AL142" i="56"/>
  <c r="AL142" i="61" s="1"/>
  <c r="AM15" i="61"/>
  <c r="AM17" i="56"/>
  <c r="AO7" i="58"/>
  <c r="AO14" i="57" s="1"/>
  <c r="AN14" i="62"/>
  <c r="AN127" i="61"/>
  <c r="AN130" i="56"/>
  <c r="Z148" i="61" l="1"/>
  <c r="Z62" i="62"/>
  <c r="D21" i="64"/>
  <c r="AO127" i="56"/>
  <c r="AN70" i="61"/>
  <c r="AN71" i="56"/>
  <c r="AO70" i="56"/>
  <c r="AO66" i="61"/>
  <c r="AN131" i="56"/>
  <c r="AN131" i="61" s="1"/>
  <c r="AN130" i="61"/>
  <c r="AP7" i="58"/>
  <c r="AP7" i="63" s="1"/>
  <c r="AO14" i="62"/>
  <c r="AO7" i="63"/>
  <c r="AQ7" i="58"/>
  <c r="AQ7" i="63" s="1"/>
  <c r="AN103" i="61"/>
  <c r="AN105" i="56"/>
  <c r="AO127" i="61"/>
  <c r="AO130" i="56"/>
  <c r="AN15" i="56"/>
  <c r="AN12" i="61"/>
  <c r="AM19" i="56"/>
  <c r="AM141" i="56"/>
  <c r="AM141" i="61" s="1"/>
  <c r="AM17" i="61"/>
  <c r="AM137" i="56"/>
  <c r="Z42" i="62"/>
  <c r="Z12" i="57"/>
  <c r="Z7" i="57"/>
  <c r="Z17" i="57"/>
  <c r="AL65" i="62"/>
  <c r="AL64" i="57"/>
  <c r="AL64" i="62" s="1"/>
  <c r="AO99" i="56"/>
  <c r="AP127" i="56" s="1"/>
  <c r="Z12" i="62" l="1"/>
  <c r="AP130" i="56"/>
  <c r="AP127" i="61"/>
  <c r="AQ127" i="56"/>
  <c r="AN106" i="56"/>
  <c r="AN106" i="61" s="1"/>
  <c r="AN105" i="61"/>
  <c r="AO12" i="56"/>
  <c r="AP14" i="57"/>
  <c r="AP66" i="56"/>
  <c r="AN17" i="56"/>
  <c r="AN15" i="61"/>
  <c r="AO70" i="61"/>
  <c r="AO71" i="56"/>
  <c r="Z26" i="58"/>
  <c r="Z17" i="62"/>
  <c r="AM19" i="61"/>
  <c r="AM142" i="56"/>
  <c r="AM142" i="61" s="1"/>
  <c r="AN72" i="56"/>
  <c r="AN72" i="61" s="1"/>
  <c r="AN71" i="61"/>
  <c r="Z7" i="62"/>
  <c r="Z24" i="58"/>
  <c r="AP99" i="56"/>
  <c r="AQ99" i="56" s="1"/>
  <c r="AO103" i="56"/>
  <c r="AO99" i="61"/>
  <c r="AO131" i="56"/>
  <c r="AO131" i="61" s="1"/>
  <c r="AO130" i="61"/>
  <c r="AO72" i="56" l="1"/>
  <c r="AO72" i="61" s="1"/>
  <c r="AO71" i="61"/>
  <c r="AO103" i="61"/>
  <c r="AO105" i="56"/>
  <c r="Z26" i="63"/>
  <c r="AQ14" i="57"/>
  <c r="AP14" i="62"/>
  <c r="AN141" i="56"/>
  <c r="AN141" i="61" s="1"/>
  <c r="AN17" i="61"/>
  <c r="AN19" i="56"/>
  <c r="Z27" i="58"/>
  <c r="Z24" i="63"/>
  <c r="AP131" i="56"/>
  <c r="AP131" i="61" s="1"/>
  <c r="AP130" i="61"/>
  <c r="AQ99" i="61"/>
  <c r="AQ103" i="56"/>
  <c r="AQ103" i="61" s="1"/>
  <c r="AP99" i="61"/>
  <c r="AP103" i="56"/>
  <c r="AP70" i="56"/>
  <c r="AP12" i="56"/>
  <c r="AP66" i="61"/>
  <c r="AQ66" i="56"/>
  <c r="AO15" i="56"/>
  <c r="AO12" i="61"/>
  <c r="AN137" i="56"/>
  <c r="AQ130" i="56"/>
  <c r="AQ127" i="61"/>
  <c r="AQ66" i="61" l="1"/>
  <c r="AQ70" i="56"/>
  <c r="AQ70" i="61" s="1"/>
  <c r="AO15" i="61"/>
  <c r="AO17" i="56"/>
  <c r="AN142" i="56"/>
  <c r="AN142" i="61" s="1"/>
  <c r="AN19" i="61"/>
  <c r="AO105" i="61"/>
  <c r="AO106" i="56"/>
  <c r="AO106" i="61" s="1"/>
  <c r="AP70" i="61"/>
  <c r="AP71" i="56"/>
  <c r="Z39" i="58"/>
  <c r="Z27" i="63"/>
  <c r="AP105" i="56"/>
  <c r="AP103" i="61"/>
  <c r="AQ14" i="62"/>
  <c r="AR7" i="58"/>
  <c r="AQ130" i="61"/>
  <c r="AQ131" i="56"/>
  <c r="AQ131" i="61" s="1"/>
  <c r="AP15" i="56"/>
  <c r="AP12" i="61"/>
  <c r="AQ12" i="56"/>
  <c r="AO137" i="56"/>
  <c r="AP106" i="56" l="1"/>
  <c r="AP106" i="61" s="1"/>
  <c r="AP105" i="61"/>
  <c r="AQ15" i="56"/>
  <c r="AQ12" i="61"/>
  <c r="AP15" i="61"/>
  <c r="AP17" i="56"/>
  <c r="Z39" i="63"/>
  <c r="Z41" i="58"/>
  <c r="AQ105" i="56"/>
  <c r="AO141" i="56"/>
  <c r="AO141" i="61" s="1"/>
  <c r="AO17" i="61"/>
  <c r="AO19" i="56"/>
  <c r="AP71" i="61"/>
  <c r="AP137" i="56"/>
  <c r="AP72" i="56"/>
  <c r="AP72" i="61" s="1"/>
  <c r="AQ71" i="56"/>
  <c r="AR7" i="63"/>
  <c r="AR127" i="56"/>
  <c r="AR99" i="56"/>
  <c r="AR66" i="56"/>
  <c r="AR14" i="57"/>
  <c r="AQ105" i="61" l="1"/>
  <c r="AQ106" i="56"/>
  <c r="AQ106" i="61" s="1"/>
  <c r="AR130" i="56"/>
  <c r="AR127" i="61"/>
  <c r="AR99" i="61"/>
  <c r="AR103" i="56"/>
  <c r="AQ15" i="61"/>
  <c r="AQ17" i="56"/>
  <c r="AO142" i="56"/>
  <c r="AO142" i="61" s="1"/>
  <c r="AO19" i="61"/>
  <c r="Z6" i="57"/>
  <c r="Z41" i="63"/>
  <c r="AA40" i="58"/>
  <c r="AR12" i="56"/>
  <c r="AR66" i="61"/>
  <c r="AR70" i="56"/>
  <c r="AR14" i="62"/>
  <c r="AS7" i="58"/>
  <c r="AS14" i="57" s="1"/>
  <c r="AP19" i="56"/>
  <c r="AP141" i="56"/>
  <c r="AP141" i="61" s="1"/>
  <c r="AP17" i="61"/>
  <c r="AQ72" i="56"/>
  <c r="AQ72" i="61" s="1"/>
  <c r="AQ71" i="61"/>
  <c r="AA21" i="56" l="1"/>
  <c r="Z6" i="62"/>
  <c r="Z46" i="58"/>
  <c r="Z11" i="57"/>
  <c r="AQ19" i="56"/>
  <c r="AQ141" i="56"/>
  <c r="AQ141" i="61" s="1"/>
  <c r="AQ17" i="61"/>
  <c r="AS7" i="63"/>
  <c r="AR105" i="56"/>
  <c r="AR103" i="61"/>
  <c r="AS127" i="56"/>
  <c r="AT7" i="58"/>
  <c r="AT7" i="63" s="1"/>
  <c r="AS14" i="62"/>
  <c r="AR130" i="61"/>
  <c r="AR131" i="56"/>
  <c r="AR131" i="61" s="1"/>
  <c r="AS66" i="56"/>
  <c r="AP19" i="61"/>
  <c r="AP142" i="56"/>
  <c r="AP142" i="61" s="1"/>
  <c r="AS99" i="56"/>
  <c r="AR71" i="56"/>
  <c r="AR70" i="61"/>
  <c r="AR12" i="61"/>
  <c r="AR15" i="56"/>
  <c r="AA40" i="63"/>
  <c r="AT14" i="57" l="1"/>
  <c r="AT127" i="56"/>
  <c r="AS127" i="61"/>
  <c r="AS130" i="56"/>
  <c r="Z11" i="62"/>
  <c r="Z20" i="57"/>
  <c r="AR106" i="56"/>
  <c r="AR106" i="61" s="1"/>
  <c r="AR105" i="61"/>
  <c r="AS99" i="61"/>
  <c r="AS103" i="56"/>
  <c r="AT99" i="56"/>
  <c r="Z48" i="58"/>
  <c r="Z46" i="63"/>
  <c r="AU7" i="58"/>
  <c r="AU7" i="63" s="1"/>
  <c r="AT14" i="62"/>
  <c r="AR17" i="56"/>
  <c r="AR137" i="56" s="1"/>
  <c r="AR15" i="61"/>
  <c r="AR72" i="56"/>
  <c r="AR72" i="61" s="1"/>
  <c r="AR71" i="61"/>
  <c r="AQ142" i="56"/>
  <c r="AQ142" i="61" s="1"/>
  <c r="AQ19" i="61"/>
  <c r="AQ65" i="57"/>
  <c r="AS66" i="61"/>
  <c r="AT66" i="56"/>
  <c r="AS70" i="56"/>
  <c r="AS12" i="56"/>
  <c r="AA21" i="61"/>
  <c r="AA23" i="56"/>
  <c r="AB21" i="56"/>
  <c r="Z48" i="63" l="1"/>
  <c r="AV7" i="58"/>
  <c r="AV7" i="63" s="1"/>
  <c r="AS71" i="56"/>
  <c r="AS70" i="61"/>
  <c r="AQ64" i="57"/>
  <c r="AQ64" i="62" s="1"/>
  <c r="AQ65" i="62"/>
  <c r="AU66" i="56"/>
  <c r="AT70" i="56"/>
  <c r="AT66" i="61"/>
  <c r="AT12" i="56"/>
  <c r="AU99" i="56"/>
  <c r="AT103" i="56"/>
  <c r="AT99" i="61"/>
  <c r="AS130" i="61"/>
  <c r="AS131" i="56"/>
  <c r="AS131" i="61" s="1"/>
  <c r="AS105" i="56"/>
  <c r="AS103" i="61"/>
  <c r="AB21" i="61"/>
  <c r="AB23" i="56"/>
  <c r="AA24" i="56"/>
  <c r="AA23" i="61"/>
  <c r="Z20" i="62"/>
  <c r="Z43" i="57"/>
  <c r="Z43" i="62" s="1"/>
  <c r="AR19" i="56"/>
  <c r="AR17" i="61"/>
  <c r="AR141" i="56"/>
  <c r="AR141" i="61" s="1"/>
  <c r="AV66" i="56"/>
  <c r="AS12" i="61"/>
  <c r="AS15" i="56"/>
  <c r="AU14" i="57"/>
  <c r="AT127" i="61"/>
  <c r="AT130" i="56"/>
  <c r="AU127" i="56"/>
  <c r="AA25" i="56" l="1"/>
  <c r="AS15" i="61"/>
  <c r="AS17" i="56"/>
  <c r="AT15" i="56"/>
  <c r="AT12" i="61"/>
  <c r="AV70" i="56"/>
  <c r="AV70" i="61" s="1"/>
  <c r="AV66" i="61"/>
  <c r="AT105" i="56"/>
  <c r="AT103" i="61"/>
  <c r="AR142" i="56"/>
  <c r="AR142" i="61" s="1"/>
  <c r="AR19" i="61"/>
  <c r="AS106" i="56"/>
  <c r="AS106" i="61" s="1"/>
  <c r="AS105" i="61"/>
  <c r="AU103" i="56"/>
  <c r="AU99" i="61"/>
  <c r="AV99" i="56"/>
  <c r="AA25" i="61"/>
  <c r="AA6" i="58"/>
  <c r="AA27" i="56"/>
  <c r="AV14" i="57"/>
  <c r="AV14" i="62" s="1"/>
  <c r="AU14" i="62"/>
  <c r="AT70" i="61"/>
  <c r="AT71" i="56"/>
  <c r="AU70" i="56"/>
  <c r="AU66" i="61"/>
  <c r="AU12" i="56"/>
  <c r="AU127" i="61"/>
  <c r="AU130" i="56"/>
  <c r="AV127" i="56"/>
  <c r="AA24" i="61"/>
  <c r="AB24" i="56"/>
  <c r="AA29" i="56"/>
  <c r="AT130" i="61"/>
  <c r="AT131" i="56"/>
  <c r="AT131" i="61" s="1"/>
  <c r="AB23" i="61"/>
  <c r="AS137" i="56"/>
  <c r="AS72" i="56"/>
  <c r="AS72" i="61" s="1"/>
  <c r="AS71" i="61"/>
  <c r="AB25" i="56" l="1"/>
  <c r="AB27" i="56"/>
  <c r="AB25" i="61"/>
  <c r="AU130" i="61"/>
  <c r="AU131" i="56"/>
  <c r="AU131" i="61" s="1"/>
  <c r="AV127" i="61"/>
  <c r="AV130" i="56"/>
  <c r="AU12" i="61"/>
  <c r="AU15" i="56"/>
  <c r="AV12" i="56"/>
  <c r="AB143" i="56"/>
  <c r="AB24" i="61"/>
  <c r="AB29" i="56"/>
  <c r="AU105" i="56"/>
  <c r="AU103" i="61"/>
  <c r="AT15" i="61"/>
  <c r="AT17" i="56"/>
  <c r="AU70" i="61"/>
  <c r="AU71" i="56"/>
  <c r="AT72" i="56"/>
  <c r="AT72" i="61" s="1"/>
  <c r="AT71" i="61"/>
  <c r="AS19" i="56"/>
  <c r="AS141" i="56"/>
  <c r="AS141" i="61" s="1"/>
  <c r="AS17" i="61"/>
  <c r="AT106" i="56"/>
  <c r="AT106" i="61" s="1"/>
  <c r="AT105" i="61"/>
  <c r="AA33" i="56"/>
  <c r="AA32" i="56"/>
  <c r="AA27" i="61"/>
  <c r="AA22" i="58"/>
  <c r="AA6" i="63"/>
  <c r="AB6" i="58"/>
  <c r="AA38" i="57"/>
  <c r="AA29" i="61"/>
  <c r="AA34" i="56"/>
  <c r="AV103" i="56"/>
  <c r="AV103" i="61" s="1"/>
  <c r="AV99" i="61"/>
  <c r="AA32" i="61" l="1"/>
  <c r="E14" i="64"/>
  <c r="AB29" i="61"/>
  <c r="AV131" i="56"/>
  <c r="AV131" i="61" s="1"/>
  <c r="AV130" i="61"/>
  <c r="AA22" i="63"/>
  <c r="AA55" i="58"/>
  <c r="AU105" i="61"/>
  <c r="AU106" i="56"/>
  <c r="AU106" i="61" s="1"/>
  <c r="AV105" i="56"/>
  <c r="AT19" i="56"/>
  <c r="AT17" i="61"/>
  <c r="AT141" i="56"/>
  <c r="AT141" i="61" s="1"/>
  <c r="AU15" i="61"/>
  <c r="AU17" i="56"/>
  <c r="AU137" i="56" s="1"/>
  <c r="AT137" i="56"/>
  <c r="AV15" i="56"/>
  <c r="AV12" i="61"/>
  <c r="AS142" i="56"/>
  <c r="AS142" i="61" s="1"/>
  <c r="AS19" i="61"/>
  <c r="AB38" i="57"/>
  <c r="AA38" i="62"/>
  <c r="AA41" i="57"/>
  <c r="AU72" i="56"/>
  <c r="AU72" i="61" s="1"/>
  <c r="AU71" i="61"/>
  <c r="AV71" i="56"/>
  <c r="AA146" i="56"/>
  <c r="AA33" i="61"/>
  <c r="AB143" i="61"/>
  <c r="AA42" i="58"/>
  <c r="AA147" i="56"/>
  <c r="AA34" i="61"/>
  <c r="AB6" i="63"/>
  <c r="AB22" i="58"/>
  <c r="AB31" i="56"/>
  <c r="AB30" i="56"/>
  <c r="AB27" i="61"/>
  <c r="AA42" i="63" l="1"/>
  <c r="AB31" i="61"/>
  <c r="E20" i="64"/>
  <c r="AB30" i="61"/>
  <c r="AA146" i="61"/>
  <c r="AA147" i="61"/>
  <c r="AB32" i="56"/>
  <c r="AB33" i="56"/>
  <c r="AV105" i="61"/>
  <c r="AV106" i="56"/>
  <c r="AV106" i="61" s="1"/>
  <c r="AA42" i="57"/>
  <c r="AA62" i="57"/>
  <c r="AA41" i="62"/>
  <c r="AB22" i="63"/>
  <c r="AB55" i="58"/>
  <c r="AV72" i="56"/>
  <c r="AV72" i="61" s="1"/>
  <c r="AV71" i="61"/>
  <c r="AA55" i="63"/>
  <c r="AA148" i="56"/>
  <c r="AT19" i="61"/>
  <c r="AT142" i="56"/>
  <c r="AT142" i="61" s="1"/>
  <c r="AB38" i="62"/>
  <c r="AB41" i="57"/>
  <c r="U42" i="58"/>
  <c r="U42" i="63" s="1"/>
  <c r="Q42" i="58"/>
  <c r="Q42" i="63" s="1"/>
  <c r="I42" i="58"/>
  <c r="J42" i="58"/>
  <c r="J42" i="63" s="1"/>
  <c r="L42" i="58"/>
  <c r="L42" i="63" s="1"/>
  <c r="S42" i="58"/>
  <c r="D42" i="58"/>
  <c r="F42" i="58"/>
  <c r="F42" i="63" s="1"/>
  <c r="E42" i="58"/>
  <c r="E42" i="63" s="1"/>
  <c r="K42" i="58"/>
  <c r="K42" i="63" s="1"/>
  <c r="V42" i="58"/>
  <c r="V42" i="63" s="1"/>
  <c r="T42" i="58"/>
  <c r="T42" i="63" s="1"/>
  <c r="N42" i="58"/>
  <c r="G42" i="58"/>
  <c r="G42" i="63" s="1"/>
  <c r="O42" i="58"/>
  <c r="O42" i="63" s="1"/>
  <c r="F19" i="60"/>
  <c r="P42" i="58"/>
  <c r="P42" i="63" s="1"/>
  <c r="X42" i="58"/>
  <c r="Y42" i="58"/>
  <c r="Z42" i="58"/>
  <c r="AV17" i="56"/>
  <c r="AV15" i="61"/>
  <c r="AB34" i="56"/>
  <c r="AU141" i="56"/>
  <c r="AU141" i="61" s="1"/>
  <c r="AU17" i="61"/>
  <c r="AU19" i="56"/>
  <c r="Y42" i="63" l="1"/>
  <c r="E21" i="64"/>
  <c r="AA148" i="61"/>
  <c r="I14" i="64"/>
  <c r="AA62" i="62"/>
  <c r="AB32" i="61"/>
  <c r="Z42" i="63"/>
  <c r="AB36" i="56"/>
  <c r="AB33" i="61"/>
  <c r="AB146" i="56"/>
  <c r="AU142" i="56"/>
  <c r="AU142" i="61" s="1"/>
  <c r="AU19" i="61"/>
  <c r="AB34" i="61"/>
  <c r="AB147" i="56"/>
  <c r="AB42" i="58"/>
  <c r="X42" i="63"/>
  <c r="AB55" i="63"/>
  <c r="AB148" i="56"/>
  <c r="F20" i="60"/>
  <c r="F32" i="60"/>
  <c r="AB42" i="57"/>
  <c r="AB41" i="62"/>
  <c r="W42" i="58"/>
  <c r="S42" i="63"/>
  <c r="AA42" i="62"/>
  <c r="AA12" i="57"/>
  <c r="AA7" i="57"/>
  <c r="AA17" i="57"/>
  <c r="H42" i="58"/>
  <c r="H42" i="63" s="1"/>
  <c r="D42" i="63"/>
  <c r="AV141" i="56"/>
  <c r="AV141" i="61" s="1"/>
  <c r="AV17" i="61"/>
  <c r="AV19" i="56"/>
  <c r="M42" i="58"/>
  <c r="M42" i="63" s="1"/>
  <c r="I42" i="63"/>
  <c r="N42" i="63"/>
  <c r="R42" i="58"/>
  <c r="R42" i="63" s="1"/>
  <c r="AB36" i="61" l="1"/>
  <c r="AB147" i="61"/>
  <c r="L14" i="64"/>
  <c r="N14" i="64"/>
  <c r="I20" i="64"/>
  <c r="I21" i="64" s="1"/>
  <c r="AB148" i="61"/>
  <c r="AB146" i="61"/>
  <c r="W44" i="58"/>
  <c r="W44" i="63" s="1"/>
  <c r="W42" i="63"/>
  <c r="AB42" i="62"/>
  <c r="AV65" i="57"/>
  <c r="AV19" i="61"/>
  <c r="AV142" i="56"/>
  <c r="AV142" i="61" s="1"/>
  <c r="AB17" i="57"/>
  <c r="AA26" i="58"/>
  <c r="AA17" i="62"/>
  <c r="AB44" i="58"/>
  <c r="AB42" i="63"/>
  <c r="AA24" i="58"/>
  <c r="AB7" i="57"/>
  <c r="AA7" i="62"/>
  <c r="AB12" i="57"/>
  <c r="AA12" i="62"/>
  <c r="AB12" i="62" l="1"/>
  <c r="AB7" i="62"/>
  <c r="AB17" i="62"/>
  <c r="AA26" i="63"/>
  <c r="AB26" i="58"/>
  <c r="AV65" i="62"/>
  <c r="AV64" i="57"/>
  <c r="AV64" i="62" s="1"/>
  <c r="AB44" i="63"/>
  <c r="AA24" i="63"/>
  <c r="AA27" i="58"/>
  <c r="AB24" i="58"/>
  <c r="AB26" i="63" l="1"/>
  <c r="AA27" i="63"/>
  <c r="AA39" i="58"/>
  <c r="AB27" i="58"/>
  <c r="AB24" i="63"/>
  <c r="AB39" i="58" l="1"/>
  <c r="AB27" i="63"/>
  <c r="AA39" i="63"/>
  <c r="AA41" i="58"/>
  <c r="AA41" i="63" l="1"/>
  <c r="AA6" i="57"/>
  <c r="AB41" i="58"/>
  <c r="AB39" i="63"/>
  <c r="AG40" i="58" l="1"/>
  <c r="AB41" i="63"/>
  <c r="AC40" i="58"/>
  <c r="AA11" i="57"/>
  <c r="AB6" i="57"/>
  <c r="AA46" i="58"/>
  <c r="AC21" i="56"/>
  <c r="AA6" i="62"/>
  <c r="AG40" i="63" l="1"/>
  <c r="AA46" i="63"/>
  <c r="AA48" i="58"/>
  <c r="AC21" i="61"/>
  <c r="AC23" i="56"/>
  <c r="AB46" i="58"/>
  <c r="AB6" i="62"/>
  <c r="AB11" i="57"/>
  <c r="AA11" i="62"/>
  <c r="AA20" i="57"/>
  <c r="AC40" i="63"/>
  <c r="AA48" i="63" l="1"/>
  <c r="AC24" i="56"/>
  <c r="AC23" i="61"/>
  <c r="AB20" i="57"/>
  <c r="AB11" i="62"/>
  <c r="AB48" i="58"/>
  <c r="AB46" i="63"/>
  <c r="AA20" i="62"/>
  <c r="AA43" i="57"/>
  <c r="AA43" i="62" s="1"/>
  <c r="AB48" i="63" l="1"/>
  <c r="AC25" i="56"/>
  <c r="AB20" i="62"/>
  <c r="AB43" i="57"/>
  <c r="AB43" i="62" s="1"/>
  <c r="AC25" i="61"/>
  <c r="AC27" i="56"/>
  <c r="AC6" i="58"/>
  <c r="AC24" i="61"/>
  <c r="AC29" i="56"/>
  <c r="AC34" i="56" l="1"/>
  <c r="AC29" i="61"/>
  <c r="AC22" i="58"/>
  <c r="AC6" i="63"/>
  <c r="AC38" i="57"/>
  <c r="AC33" i="56"/>
  <c r="AC32" i="56"/>
  <c r="AC27" i="61"/>
  <c r="AC32" i="61" l="1"/>
  <c r="C11" i="60"/>
  <c r="C29" i="60" s="1"/>
  <c r="F14" i="64"/>
  <c r="AC146" i="56"/>
  <c r="AC33" i="61"/>
  <c r="AC41" i="57"/>
  <c r="AC38" i="62"/>
  <c r="AC42" i="58"/>
  <c r="AC55" i="58"/>
  <c r="AC22" i="63"/>
  <c r="AC34" i="61"/>
  <c r="AC147" i="56"/>
  <c r="AC147" i="61" l="1"/>
  <c r="AC146" i="61"/>
  <c r="F20" i="64"/>
  <c r="G14" i="64"/>
  <c r="AC42" i="63"/>
  <c r="AC55" i="63"/>
  <c r="AC148" i="56"/>
  <c r="AC42" i="57"/>
  <c r="AC62" i="57"/>
  <c r="AC41" i="62"/>
  <c r="AC62" i="62" l="1"/>
  <c r="AC148" i="61"/>
  <c r="F21" i="64"/>
  <c r="G20" i="64"/>
  <c r="G21" i="64" s="1"/>
  <c r="AC42" i="62"/>
  <c r="AC12" i="57"/>
  <c r="AC7" i="57"/>
  <c r="AC17" i="57"/>
  <c r="AC12" i="62" l="1"/>
  <c r="AC26" i="58"/>
  <c r="AC17" i="62"/>
  <c r="AC24" i="58"/>
  <c r="AC7" i="62"/>
  <c r="AC27" i="58" l="1"/>
  <c r="AC24" i="63"/>
  <c r="AC26" i="63"/>
  <c r="AC39" i="58" l="1"/>
  <c r="AC27" i="63"/>
  <c r="AC39" i="63" l="1"/>
  <c r="AC41" i="58"/>
  <c r="AD40" i="58" l="1"/>
  <c r="AC41" i="63"/>
  <c r="AC6" i="57"/>
  <c r="AC6" i="62" l="1"/>
  <c r="AD21" i="56"/>
  <c r="AC46" i="58"/>
  <c r="AC11" i="57"/>
  <c r="AD40" i="63"/>
  <c r="AC46" i="63" l="1"/>
  <c r="AC48" i="58"/>
  <c r="AC20" i="57"/>
  <c r="AC11" i="62"/>
  <c r="AD21" i="61"/>
  <c r="AD23" i="56"/>
  <c r="AC48" i="63" l="1"/>
  <c r="AD24" i="56"/>
  <c r="AD23" i="61"/>
  <c r="AC20" i="62"/>
  <c r="AC43" i="57"/>
  <c r="AC43" i="62" s="1"/>
  <c r="AD25" i="56" l="1"/>
  <c r="AD25" i="61"/>
  <c r="AD6" i="58"/>
  <c r="AD27" i="56"/>
  <c r="AD24" i="61"/>
  <c r="AD29" i="56"/>
  <c r="AD22" i="58" l="1"/>
  <c r="AD6" i="63"/>
  <c r="AD38" i="57"/>
  <c r="AD29" i="61"/>
  <c r="AD34" i="56"/>
  <c r="AD33" i="56"/>
  <c r="AD32" i="56"/>
  <c r="AD27" i="61"/>
  <c r="AD32" i="61" l="1"/>
  <c r="AD146" i="56"/>
  <c r="AD33" i="61"/>
  <c r="AD34" i="61"/>
  <c r="AD147" i="56"/>
  <c r="AD41" i="57"/>
  <c r="AD38" i="62"/>
  <c r="AD42" i="58"/>
  <c r="AD22" i="63"/>
  <c r="AD55" i="58"/>
  <c r="AD147" i="61" l="1"/>
  <c r="AD146" i="61"/>
  <c r="AD55" i="63"/>
  <c r="AD148" i="56"/>
  <c r="AD62" i="57"/>
  <c r="AD41" i="62"/>
  <c r="AD42" i="57"/>
  <c r="AD42" i="63"/>
  <c r="AD62" i="62" l="1"/>
  <c r="AD148" i="61"/>
  <c r="AD42" i="62"/>
  <c r="AD12" i="57"/>
  <c r="AD7" i="57"/>
  <c r="AD17" i="57"/>
  <c r="AD12" i="62" l="1"/>
  <c r="AD26" i="58"/>
  <c r="AD17" i="62"/>
  <c r="AD24" i="58"/>
  <c r="AD7" i="62"/>
  <c r="AD27" i="58" l="1"/>
  <c r="AD24" i="63"/>
  <c r="AD26" i="63"/>
  <c r="AD39" i="58" l="1"/>
  <c r="AD27" i="63"/>
  <c r="AD39" i="63" l="1"/>
  <c r="AD41" i="58"/>
  <c r="AD6" i="57" l="1"/>
  <c r="AE40" i="58"/>
  <c r="AD41" i="63"/>
  <c r="AE40" i="63" l="1"/>
  <c r="AD11" i="57"/>
  <c r="AD46" i="58"/>
  <c r="AE21" i="56"/>
  <c r="AD6" i="62"/>
  <c r="AD20" i="57" l="1"/>
  <c r="AD11" i="62"/>
  <c r="AE21" i="61"/>
  <c r="AE23" i="56"/>
  <c r="AD48" i="58"/>
  <c r="AD46" i="63"/>
  <c r="AD48" i="63" l="1"/>
  <c r="AE23" i="61"/>
  <c r="AE24" i="56"/>
  <c r="AD20" i="62"/>
  <c r="AD43" i="57"/>
  <c r="AD43" i="62" s="1"/>
  <c r="AE24" i="61" l="1"/>
  <c r="AE29" i="56"/>
  <c r="AE25" i="56"/>
  <c r="AE29" i="61" l="1"/>
  <c r="AE34" i="56"/>
  <c r="AE6" i="58"/>
  <c r="AE27" i="56"/>
  <c r="AE25" i="61"/>
  <c r="AE33" i="56" l="1"/>
  <c r="AE32" i="56"/>
  <c r="AE27" i="61"/>
  <c r="AE6" i="63"/>
  <c r="AE22" i="58"/>
  <c r="AE38" i="57"/>
  <c r="AE147" i="56"/>
  <c r="AE34" i="61"/>
  <c r="AE147" i="61" l="1"/>
  <c r="AE32" i="61"/>
  <c r="AE38" i="62"/>
  <c r="AE41" i="57"/>
  <c r="AE55" i="58"/>
  <c r="AE42" i="58"/>
  <c r="AE22" i="63"/>
  <c r="AE146" i="56"/>
  <c r="AE33" i="61"/>
  <c r="AE146" i="61" l="1"/>
  <c r="AE42" i="63"/>
  <c r="AE55" i="63"/>
  <c r="AE148" i="56"/>
  <c r="AE41" i="62"/>
  <c r="AE42" i="57"/>
  <c r="AE62" i="57"/>
  <c r="AE62" i="62" l="1"/>
  <c r="AE148" i="61"/>
  <c r="AE42" i="62"/>
  <c r="AE7" i="57"/>
  <c r="AE12" i="57"/>
  <c r="AE17" i="57"/>
  <c r="AE12" i="62" l="1"/>
  <c r="AE26" i="58"/>
  <c r="AE17" i="62"/>
  <c r="AE24" i="58"/>
  <c r="AE7" i="62"/>
  <c r="AE24" i="63" l="1"/>
  <c r="AE27" i="58"/>
  <c r="AE26" i="63"/>
  <c r="AE27" i="63" l="1"/>
  <c r="AE39" i="58"/>
  <c r="AE39" i="63" l="1"/>
  <c r="AE41" i="58"/>
  <c r="AE6" i="57" l="1"/>
  <c r="AE41" i="63"/>
  <c r="AF40" i="58"/>
  <c r="AF40" i="63" l="1"/>
  <c r="AE46" i="58"/>
  <c r="AF21" i="56"/>
  <c r="AE6" i="62"/>
  <c r="AE11" i="57"/>
  <c r="AE46" i="63" l="1"/>
  <c r="AE48" i="58"/>
  <c r="AE11" i="62"/>
  <c r="AE20" i="57"/>
  <c r="AF21" i="61"/>
  <c r="AF23" i="56"/>
  <c r="AG21" i="56"/>
  <c r="AE48" i="63" l="1"/>
  <c r="AF24" i="56"/>
  <c r="AF23" i="61"/>
  <c r="AG21" i="61"/>
  <c r="AG23" i="56"/>
  <c r="AE20" i="62"/>
  <c r="AE43" i="57"/>
  <c r="AE43" i="62" s="1"/>
  <c r="AF25" i="56" l="1"/>
  <c r="AG23" i="61"/>
  <c r="AF25" i="61"/>
  <c r="AF27" i="56"/>
  <c r="AF6" i="58"/>
  <c r="AF24" i="61"/>
  <c r="AG24" i="56"/>
  <c r="AF29" i="56"/>
  <c r="AF29" i="61" l="1"/>
  <c r="AF34" i="56"/>
  <c r="AG143" i="56"/>
  <c r="AG24" i="61"/>
  <c r="AG29" i="56"/>
  <c r="AF6" i="63"/>
  <c r="AF22" i="58"/>
  <c r="AG6" i="58"/>
  <c r="AF38" i="57"/>
  <c r="AF32" i="56"/>
  <c r="AF27" i="61"/>
  <c r="AF33" i="56"/>
  <c r="AG25" i="56"/>
  <c r="AF32" i="61" l="1"/>
  <c r="AG143" i="61"/>
  <c r="AF146" i="56"/>
  <c r="AF33" i="61"/>
  <c r="AG25" i="61"/>
  <c r="AG27" i="56"/>
  <c r="AF55" i="58"/>
  <c r="AF42" i="58"/>
  <c r="AF22" i="63"/>
  <c r="AG6" i="63"/>
  <c r="AG22" i="58"/>
  <c r="AF38" i="62"/>
  <c r="AF41" i="57"/>
  <c r="AG38" i="57"/>
  <c r="AG29" i="61"/>
  <c r="AF34" i="61"/>
  <c r="AF147" i="56"/>
  <c r="AF147" i="61" l="1"/>
  <c r="AF146" i="61"/>
  <c r="AF42" i="57"/>
  <c r="AF41" i="62"/>
  <c r="AF62" i="57"/>
  <c r="AF148" i="56"/>
  <c r="AF55" i="63"/>
  <c r="AG38" i="62"/>
  <c r="AG41" i="57"/>
  <c r="AF42" i="63"/>
  <c r="AG42" i="58"/>
  <c r="AG55" i="58"/>
  <c r="AG22" i="63"/>
  <c r="AG27" i="61"/>
  <c r="AG30" i="56"/>
  <c r="AG31" i="56"/>
  <c r="AF148" i="61" l="1"/>
  <c r="AG33" i="56"/>
  <c r="AF62" i="62"/>
  <c r="AG30" i="61"/>
  <c r="AG146" i="56"/>
  <c r="AG36" i="56"/>
  <c r="AG33" i="61"/>
  <c r="AG32" i="56"/>
  <c r="AG148" i="56"/>
  <c r="AG55" i="63"/>
  <c r="AG42" i="57"/>
  <c r="AG41" i="62"/>
  <c r="AG31" i="61"/>
  <c r="AG34" i="56"/>
  <c r="AG42" i="63"/>
  <c r="AG44" i="58"/>
  <c r="AF42" i="62"/>
  <c r="AF7" i="57"/>
  <c r="AF12" i="57"/>
  <c r="AF17" i="57"/>
  <c r="AG146" i="61" l="1"/>
  <c r="AG32" i="61"/>
  <c r="AG148" i="61"/>
  <c r="AG36" i="61"/>
  <c r="AG12" i="57"/>
  <c r="AF12" i="62"/>
  <c r="AG44" i="63"/>
  <c r="AG147" i="56"/>
  <c r="AG34" i="61"/>
  <c r="AG42" i="62"/>
  <c r="AF24" i="58"/>
  <c r="AG7" i="57"/>
  <c r="AF7" i="62"/>
  <c r="AF26" i="58"/>
  <c r="AG17" i="57"/>
  <c r="AF17" i="62"/>
  <c r="AG7" i="62" l="1"/>
  <c r="AG147" i="61"/>
  <c r="AG12" i="62"/>
  <c r="AG17" i="62"/>
  <c r="AF24" i="63"/>
  <c r="AF27" i="58"/>
  <c r="AG24" i="58"/>
  <c r="AF26" i="63"/>
  <c r="AG26" i="58"/>
  <c r="AG26" i="63" l="1"/>
  <c r="AF39" i="58"/>
  <c r="AF27" i="63"/>
  <c r="AG24" i="63"/>
  <c r="AG27" i="58"/>
  <c r="AG39" i="58" l="1"/>
  <c r="AG27" i="63"/>
  <c r="AF39" i="63"/>
  <c r="AF41" i="58"/>
  <c r="AF6" i="57" l="1"/>
  <c r="AF41" i="63"/>
  <c r="AG39" i="63"/>
  <c r="AG41" i="58"/>
  <c r="AG41" i="63" l="1"/>
  <c r="AH40" i="58"/>
  <c r="AL40" i="58"/>
  <c r="AF6" i="62"/>
  <c r="AH21" i="56"/>
  <c r="AG6" i="57"/>
  <c r="AF11" i="57"/>
  <c r="AF46" i="58"/>
  <c r="AL40" i="63" l="1"/>
  <c r="AF46" i="63"/>
  <c r="AF48" i="58"/>
  <c r="AH21" i="61"/>
  <c r="AH23" i="56"/>
  <c r="AG46" i="58"/>
  <c r="AG6" i="62"/>
  <c r="AG11" i="57"/>
  <c r="AH40" i="63"/>
  <c r="AF11" i="62"/>
  <c r="AF20" i="57"/>
  <c r="AF48" i="63" l="1"/>
  <c r="AF20" i="62"/>
  <c r="AF43" i="57"/>
  <c r="AF43" i="62" s="1"/>
  <c r="AG48" i="58"/>
  <c r="AG46" i="63"/>
  <c r="AH24" i="56"/>
  <c r="AH23" i="61"/>
  <c r="AG20" i="57"/>
  <c r="AG11" i="62"/>
  <c r="AG48" i="63" l="1"/>
  <c r="AG20" i="62"/>
  <c r="AG43" i="57"/>
  <c r="AG43" i="62" s="1"/>
  <c r="AH24" i="61"/>
  <c r="AH29" i="56"/>
  <c r="AH25" i="56"/>
  <c r="AH25" i="61" l="1"/>
  <c r="AH27" i="56"/>
  <c r="AH6" i="58"/>
  <c r="AH34" i="56"/>
  <c r="AH29" i="61"/>
  <c r="AH22" i="58" l="1"/>
  <c r="AH6" i="63"/>
  <c r="AH38" i="57"/>
  <c r="AH147" i="56"/>
  <c r="AH34" i="61"/>
  <c r="AH32" i="56"/>
  <c r="AH27" i="61"/>
  <c r="AH33" i="56"/>
  <c r="AH32" i="61" l="1"/>
  <c r="AH147" i="61"/>
  <c r="AH38" i="62"/>
  <c r="AH41" i="57"/>
  <c r="AH33" i="61"/>
  <c r="AH146" i="56"/>
  <c r="AH22" i="63"/>
  <c r="AH55" i="58"/>
  <c r="AH42" i="58"/>
  <c r="AH146" i="61" l="1"/>
  <c r="AH42" i="63"/>
  <c r="AH55" i="63"/>
  <c r="AH148" i="56"/>
  <c r="AH42" i="57"/>
  <c r="AH62" i="57"/>
  <c r="AH41" i="62"/>
  <c r="AH62" i="62" l="1"/>
  <c r="AH148" i="61"/>
  <c r="AH42" i="62"/>
  <c r="AH7" i="57"/>
  <c r="AH12" i="57"/>
  <c r="AH17" i="57"/>
  <c r="AH12" i="62" l="1"/>
  <c r="AH26" i="58"/>
  <c r="AH17" i="62"/>
  <c r="AH24" i="58"/>
  <c r="AH7" i="62"/>
  <c r="AH26" i="63" l="1"/>
  <c r="AH27" i="58"/>
  <c r="AH24" i="63"/>
  <c r="AH39" i="58" l="1"/>
  <c r="AH27" i="63"/>
  <c r="AH39" i="63" l="1"/>
  <c r="AH41" i="58"/>
  <c r="AH6" i="57" l="1"/>
  <c r="AI40" i="58"/>
  <c r="AH41" i="63"/>
  <c r="AI40" i="63" l="1"/>
  <c r="AH11" i="57"/>
  <c r="AI21" i="56"/>
  <c r="AH46" i="58"/>
  <c r="AH6" i="62"/>
  <c r="AH46" i="63" l="1"/>
  <c r="AH48" i="58"/>
  <c r="AH20" i="57"/>
  <c r="AH11" i="62"/>
  <c r="AI21" i="61"/>
  <c r="AI23" i="56"/>
  <c r="AH48" i="63" l="1"/>
  <c r="AI23" i="61"/>
  <c r="AI24" i="56"/>
  <c r="AH20" i="62"/>
  <c r="AH43" i="57"/>
  <c r="AH43" i="62" s="1"/>
  <c r="AI24" i="61" l="1"/>
  <c r="AI29" i="56"/>
  <c r="AI25" i="56"/>
  <c r="AI29" i="61" l="1"/>
  <c r="AI34" i="56"/>
  <c r="AI6" i="58"/>
  <c r="AI27" i="56"/>
  <c r="AI25" i="61"/>
  <c r="AI147" i="56" l="1"/>
  <c r="AI34" i="61"/>
  <c r="AI33" i="56"/>
  <c r="AI32" i="56"/>
  <c r="AI27" i="61"/>
  <c r="AI6" i="63"/>
  <c r="AI22" i="58"/>
  <c r="AI38" i="57"/>
  <c r="AI32" i="61" l="1"/>
  <c r="AI147" i="61"/>
  <c r="AI42" i="58"/>
  <c r="AI22" i="63"/>
  <c r="AI55" i="58"/>
  <c r="AI38" i="62"/>
  <c r="AI41" i="57"/>
  <c r="AI146" i="56"/>
  <c r="AI33" i="61"/>
  <c r="AI146" i="61" l="1"/>
  <c r="AI62" i="57"/>
  <c r="AI41" i="62"/>
  <c r="AI42" i="57"/>
  <c r="AI148" i="56"/>
  <c r="AI55" i="63"/>
  <c r="AI42" i="63"/>
  <c r="AI148" i="61" l="1"/>
  <c r="AI62" i="62"/>
  <c r="AI42" i="62"/>
  <c r="AI7" i="57"/>
  <c r="AI12" i="57"/>
  <c r="AI17" i="57"/>
  <c r="AI12" i="62" l="1"/>
  <c r="AI26" i="58"/>
  <c r="AI17" i="62"/>
  <c r="AI24" i="58"/>
  <c r="AI7" i="62"/>
  <c r="AI24" i="63" l="1"/>
  <c r="AI27" i="58"/>
  <c r="AI26" i="63"/>
  <c r="AI27" i="63" l="1"/>
  <c r="AI39" i="58"/>
  <c r="AI39" i="63" l="1"/>
  <c r="AI41" i="58"/>
  <c r="AI6" i="57" l="1"/>
  <c r="AJ40" i="58"/>
  <c r="AI41" i="63"/>
  <c r="AJ40" i="63" l="1"/>
  <c r="AI46" i="58"/>
  <c r="AI11" i="57"/>
  <c r="AJ21" i="56"/>
  <c r="AI6" i="62"/>
  <c r="AJ21" i="61" l="1"/>
  <c r="AJ23" i="56"/>
  <c r="AI11" i="62"/>
  <c r="AI20" i="57"/>
  <c r="AI48" i="58"/>
  <c r="AI46" i="63"/>
  <c r="AI48" i="63" l="1"/>
  <c r="AI20" i="62"/>
  <c r="AI43" i="57"/>
  <c r="AI43" i="62" s="1"/>
  <c r="AJ24" i="56"/>
  <c r="AJ23" i="61"/>
  <c r="AJ25" i="56" l="1"/>
  <c r="AJ27" i="56"/>
  <c r="AJ6" i="58"/>
  <c r="AJ25" i="61"/>
  <c r="AJ24" i="61"/>
  <c r="AJ29" i="56"/>
  <c r="AJ29" i="61" l="1"/>
  <c r="AJ34" i="56"/>
  <c r="AJ22" i="58"/>
  <c r="AJ6" i="63"/>
  <c r="AJ38" i="57"/>
  <c r="AJ32" i="56"/>
  <c r="AJ27" i="61"/>
  <c r="AJ33" i="56"/>
  <c r="AJ32" i="61" l="1"/>
  <c r="AJ38" i="62"/>
  <c r="AJ41" i="57"/>
  <c r="AJ147" i="56"/>
  <c r="AJ34" i="61"/>
  <c r="AJ33" i="61"/>
  <c r="AJ146" i="56"/>
  <c r="AJ42" i="58"/>
  <c r="AJ22" i="63"/>
  <c r="AJ55" i="58"/>
  <c r="AJ147" i="61" l="1"/>
  <c r="AJ146" i="61"/>
  <c r="AJ42" i="63"/>
  <c r="AJ55" i="63"/>
  <c r="AJ148" i="56"/>
  <c r="AJ41" i="62"/>
  <c r="AJ42" i="57"/>
  <c r="AJ62" i="57"/>
  <c r="AJ62" i="62" l="1"/>
  <c r="AJ148" i="61"/>
  <c r="AJ42" i="62"/>
  <c r="AJ7" i="57"/>
  <c r="AJ12" i="57"/>
  <c r="AJ17" i="57"/>
  <c r="AJ12" i="62" l="1"/>
  <c r="AJ26" i="58"/>
  <c r="AJ17" i="62"/>
  <c r="AJ7" i="62"/>
  <c r="AJ24" i="58"/>
  <c r="AJ27" i="58" l="1"/>
  <c r="AJ24" i="63"/>
  <c r="AJ26" i="63"/>
  <c r="AJ39" i="58" l="1"/>
  <c r="AJ27" i="63"/>
  <c r="AJ39" i="63" l="1"/>
  <c r="AJ41" i="58"/>
  <c r="AK40" i="58" l="1"/>
  <c r="AJ6" i="57"/>
  <c r="AJ41" i="63"/>
  <c r="AK21" i="56" l="1"/>
  <c r="AJ6" i="62"/>
  <c r="AJ11" i="57"/>
  <c r="AJ46" i="58"/>
  <c r="AK40" i="63"/>
  <c r="AJ48" i="58" l="1"/>
  <c r="AJ46" i="63"/>
  <c r="AJ20" i="57"/>
  <c r="AJ11" i="62"/>
  <c r="AK21" i="61"/>
  <c r="AK23" i="56"/>
  <c r="AL21" i="56"/>
  <c r="AJ48" i="63" l="1"/>
  <c r="AL21" i="61"/>
  <c r="AL23" i="56"/>
  <c r="AK24" i="56"/>
  <c r="AK23" i="61"/>
  <c r="AJ20" i="62"/>
  <c r="AJ43" i="57"/>
  <c r="AJ43" i="62" s="1"/>
  <c r="AK25" i="56" l="1"/>
  <c r="AK25" i="61"/>
  <c r="AK6" i="58"/>
  <c r="AK27" i="56"/>
  <c r="AL23" i="61"/>
  <c r="AK24" i="61"/>
  <c r="AL24" i="56"/>
  <c r="AK29" i="56"/>
  <c r="AL143" i="56" l="1"/>
  <c r="AL24" i="61"/>
  <c r="AL29" i="56"/>
  <c r="AK32" i="56"/>
  <c r="AK27" i="61"/>
  <c r="AK33" i="56"/>
  <c r="AK29" i="61"/>
  <c r="AK34" i="56"/>
  <c r="AL25" i="56"/>
  <c r="AK6" i="63"/>
  <c r="AK22" i="58"/>
  <c r="AL6" i="58"/>
  <c r="AK38" i="57"/>
  <c r="AK32" i="61" l="1"/>
  <c r="AL143" i="61"/>
  <c r="AL38" i="57"/>
  <c r="AK38" i="62"/>
  <c r="AK41" i="57"/>
  <c r="AL27" i="56"/>
  <c r="AL25" i="61"/>
  <c r="AK55" i="58"/>
  <c r="AK42" i="58"/>
  <c r="AK22" i="63"/>
  <c r="AK146" i="56"/>
  <c r="AK33" i="61"/>
  <c r="AL29" i="61"/>
  <c r="AL6" i="63"/>
  <c r="AL22" i="58"/>
  <c r="AK147" i="56"/>
  <c r="AK34" i="61"/>
  <c r="AK146" i="61" l="1"/>
  <c r="AK147" i="61"/>
  <c r="AK42" i="57"/>
  <c r="AK62" i="57"/>
  <c r="AK41" i="62"/>
  <c r="AL22" i="63"/>
  <c r="AL55" i="58"/>
  <c r="AK148" i="56"/>
  <c r="AK55" i="63"/>
  <c r="AK42" i="63"/>
  <c r="AL42" i="58"/>
  <c r="AL27" i="61"/>
  <c r="AL30" i="56"/>
  <c r="AL31" i="56"/>
  <c r="AL41" i="57"/>
  <c r="AL38" i="62"/>
  <c r="AL33" i="56" l="1"/>
  <c r="AK148" i="61"/>
  <c r="AK62" i="62"/>
  <c r="AL30" i="61"/>
  <c r="AL146" i="56"/>
  <c r="AL36" i="56"/>
  <c r="AL33" i="61"/>
  <c r="AL44" i="58"/>
  <c r="AL42" i="63"/>
  <c r="AL41" i="62"/>
  <c r="AL42" i="57"/>
  <c r="AL32" i="56"/>
  <c r="AL55" i="63"/>
  <c r="AL148" i="56"/>
  <c r="AL31" i="61"/>
  <c r="AL34" i="56"/>
  <c r="AK42" i="62"/>
  <c r="AK12" i="57"/>
  <c r="AK7" i="57"/>
  <c r="AK17" i="57"/>
  <c r="AL32" i="61" l="1"/>
  <c r="AL36" i="61"/>
  <c r="H14" i="64"/>
  <c r="AL148" i="61"/>
  <c r="AL146" i="61"/>
  <c r="AL59" i="58"/>
  <c r="AL149" i="56"/>
  <c r="AL147" i="56"/>
  <c r="AL34" i="61"/>
  <c r="AL7" i="57"/>
  <c r="AK7" i="62"/>
  <c r="AK24" i="58"/>
  <c r="AL42" i="62"/>
  <c r="AL12" i="57"/>
  <c r="AK12" i="62"/>
  <c r="AL44" i="63"/>
  <c r="AL17" i="57"/>
  <c r="AK17" i="62"/>
  <c r="AK26" i="58"/>
  <c r="AL7" i="62" l="1"/>
  <c r="AL149" i="61"/>
  <c r="AL17" i="62"/>
  <c r="AL12" i="62"/>
  <c r="AL147" i="61"/>
  <c r="H20" i="64"/>
  <c r="H21" i="64" s="1"/>
  <c r="J20" i="64"/>
  <c r="J21" i="64" s="1"/>
  <c r="AK27" i="58"/>
  <c r="AK24" i="63"/>
  <c r="AL24" i="58"/>
  <c r="AK26" i="63"/>
  <c r="AL26" i="58"/>
  <c r="AL61" i="58"/>
  <c r="AL59" i="63"/>
  <c r="AL61" i="63" l="1"/>
  <c r="AL26" i="63"/>
  <c r="AL27" i="58"/>
  <c r="AL24" i="63"/>
  <c r="AK39" i="58"/>
  <c r="AK27" i="63"/>
  <c r="AK39" i="63" l="1"/>
  <c r="AK41" i="58"/>
  <c r="AL27" i="63"/>
  <c r="AL39" i="58"/>
  <c r="AL39" i="63" l="1"/>
  <c r="AL41" i="58"/>
  <c r="AK41" i="63"/>
  <c r="AK6" i="57"/>
  <c r="AK46" i="58" l="1"/>
  <c r="AM21" i="56"/>
  <c r="AK6" i="62"/>
  <c r="AK11" i="57"/>
  <c r="AL6" i="57"/>
  <c r="AQ40" i="58"/>
  <c r="AL41" i="63"/>
  <c r="AM40" i="58"/>
  <c r="AQ40" i="63" l="1"/>
  <c r="AL6" i="62"/>
  <c r="AL46" i="58"/>
  <c r="AL11" i="57"/>
  <c r="AM21" i="61"/>
  <c r="AM23" i="56"/>
  <c r="AM40" i="63"/>
  <c r="AK20" i="57"/>
  <c r="AK11" i="62"/>
  <c r="AK46" i="63"/>
  <c r="AK48" i="58"/>
  <c r="AK48" i="63" l="1"/>
  <c r="AK20" i="62"/>
  <c r="AK43" i="57"/>
  <c r="AK43" i="62" s="1"/>
  <c r="AM24" i="56"/>
  <c r="AM23" i="61"/>
  <c r="AL46" i="63"/>
  <c r="AL48" i="58"/>
  <c r="AL20" i="57"/>
  <c r="AL11" i="62"/>
  <c r="AM25" i="56" l="1"/>
  <c r="AL48" i="63"/>
  <c r="AL20" i="62"/>
  <c r="AL43" i="57"/>
  <c r="AL43" i="62" s="1"/>
  <c r="AM27" i="56"/>
  <c r="AM6" i="58"/>
  <c r="AM25" i="61"/>
  <c r="AM24" i="61"/>
  <c r="AM29" i="56"/>
  <c r="AM6" i="63" l="1"/>
  <c r="AM22" i="58"/>
  <c r="AM38" i="57"/>
  <c r="AM32" i="56"/>
  <c r="AM27" i="61"/>
  <c r="AM33" i="56"/>
  <c r="AM29" i="61"/>
  <c r="AM34" i="56"/>
  <c r="AM32" i="61" l="1"/>
  <c r="AM34" i="61"/>
  <c r="AM147" i="56"/>
  <c r="AM33" i="61"/>
  <c r="AM146" i="56"/>
  <c r="AM41" i="57"/>
  <c r="AM38" i="62"/>
  <c r="AM22" i="63"/>
  <c r="AM42" i="58"/>
  <c r="AM55" i="58"/>
  <c r="AM146" i="61" l="1"/>
  <c r="AM147" i="61"/>
  <c r="AM42" i="63"/>
  <c r="AM62" i="57"/>
  <c r="AM41" i="62"/>
  <c r="AM42" i="57"/>
  <c r="AM148" i="56"/>
  <c r="AM55" i="63"/>
  <c r="AM62" i="62" l="1"/>
  <c r="AM148" i="61"/>
  <c r="AM42" i="62"/>
  <c r="AM12" i="57"/>
  <c r="AM7" i="57"/>
  <c r="AM17" i="57"/>
  <c r="AM12" i="62" l="1"/>
  <c r="AM17" i="62"/>
  <c r="AM26" i="58"/>
  <c r="AM24" i="58"/>
  <c r="AM7" i="62"/>
  <c r="AM26" i="63" l="1"/>
  <c r="AM27" i="58"/>
  <c r="AM24" i="63"/>
  <c r="AM27" i="63" l="1"/>
  <c r="AM39" i="58"/>
  <c r="AM39" i="63" l="1"/>
  <c r="AM41" i="58"/>
  <c r="AM6" i="57" l="1"/>
  <c r="AN40" i="58"/>
  <c r="AM41" i="63"/>
  <c r="AN40" i="63" l="1"/>
  <c r="AN21" i="56"/>
  <c r="AM11" i="57"/>
  <c r="AM46" i="58"/>
  <c r="AM6" i="62"/>
  <c r="AM46" i="63" l="1"/>
  <c r="AM48" i="58"/>
  <c r="AM11" i="62"/>
  <c r="AM20" i="57"/>
  <c r="AN21" i="61"/>
  <c r="AN23" i="56"/>
  <c r="AM48" i="63" l="1"/>
  <c r="AN23" i="61"/>
  <c r="AN24" i="56"/>
  <c r="AM20" i="62"/>
  <c r="AM43" i="57"/>
  <c r="AM43" i="62" s="1"/>
  <c r="AN25" i="56" l="1"/>
  <c r="AN27" i="56"/>
  <c r="AN25" i="61"/>
  <c r="AN6" i="58"/>
  <c r="AN24" i="61"/>
  <c r="AN29" i="56"/>
  <c r="AN34" i="56" l="1"/>
  <c r="AN29" i="61"/>
  <c r="AN22" i="58"/>
  <c r="AN6" i="63"/>
  <c r="AN38" i="57"/>
  <c r="AN32" i="56"/>
  <c r="AN33" i="56"/>
  <c r="AN27" i="61"/>
  <c r="AN32" i="61" l="1"/>
  <c r="AN33" i="61"/>
  <c r="AN146" i="56"/>
  <c r="AN42" i="58"/>
  <c r="AN22" i="63"/>
  <c r="AN55" i="58"/>
  <c r="AN41" i="57"/>
  <c r="AN38" i="62"/>
  <c r="AN147" i="56"/>
  <c r="AN34" i="61"/>
  <c r="AN147" i="61" l="1"/>
  <c r="AN146" i="61"/>
  <c r="AN62" i="57"/>
  <c r="AN41" i="62"/>
  <c r="AN42" i="57"/>
  <c r="AN55" i="63"/>
  <c r="AN148" i="56"/>
  <c r="AN42" i="63"/>
  <c r="AN148" i="61" l="1"/>
  <c r="AN62" i="62"/>
  <c r="AN42" i="62"/>
  <c r="AN7" i="57"/>
  <c r="AN12" i="57"/>
  <c r="AN17" i="57"/>
  <c r="AN12" i="62" l="1"/>
  <c r="AN26" i="58"/>
  <c r="AN17" i="62"/>
  <c r="AN7" i="62"/>
  <c r="AN24" i="58"/>
  <c r="AN24" i="63" l="1"/>
  <c r="AN27" i="58"/>
  <c r="AN26" i="63"/>
  <c r="AN39" i="58" l="1"/>
  <c r="AN27" i="63"/>
  <c r="AN39" i="63" l="1"/>
  <c r="AN41" i="58"/>
  <c r="AN6" i="57" l="1"/>
  <c r="AO40" i="58"/>
  <c r="AN41" i="63"/>
  <c r="AO40" i="63" l="1"/>
  <c r="AN46" i="58"/>
  <c r="AO21" i="56"/>
  <c r="AN6" i="62"/>
  <c r="AN11" i="57"/>
  <c r="AN20" i="57" l="1"/>
  <c r="AN11" i="62"/>
  <c r="AN48" i="58"/>
  <c r="AN46" i="63"/>
  <c r="AO21" i="61"/>
  <c r="AO23" i="56"/>
  <c r="AN48" i="63" l="1"/>
  <c r="AO24" i="56"/>
  <c r="AO23" i="61"/>
  <c r="AN20" i="62"/>
  <c r="AN43" i="57"/>
  <c r="AN43" i="62" s="1"/>
  <c r="AO25" i="56" l="1"/>
  <c r="AO6" i="58"/>
  <c r="AO25" i="61"/>
  <c r="AO27" i="56"/>
  <c r="AO24" i="61"/>
  <c r="AO29" i="56"/>
  <c r="AO27" i="61" l="1"/>
  <c r="AO33" i="56"/>
  <c r="AO32" i="56"/>
  <c r="AO34" i="56"/>
  <c r="AO29" i="61"/>
  <c r="AO6" i="63"/>
  <c r="AO22" i="58"/>
  <c r="AO38" i="57"/>
  <c r="AO32" i="61" l="1"/>
  <c r="AO38" i="62"/>
  <c r="AO41" i="57"/>
  <c r="AO147" i="56"/>
  <c r="AO34" i="61"/>
  <c r="AO33" i="61"/>
  <c r="AO146" i="56"/>
  <c r="AO22" i="63"/>
  <c r="AO42" i="58"/>
  <c r="AO55" i="58"/>
  <c r="AO146" i="61" l="1"/>
  <c r="AO147" i="61"/>
  <c r="AO55" i="63"/>
  <c r="AO148" i="56"/>
  <c r="AO42" i="63"/>
  <c r="AO42" i="57"/>
  <c r="AO62" i="57"/>
  <c r="AO41" i="62"/>
  <c r="AO62" i="62" l="1"/>
  <c r="AO148" i="61"/>
  <c r="AO42" i="62"/>
  <c r="AO7" i="57"/>
  <c r="AO12" i="57"/>
  <c r="AO17" i="57"/>
  <c r="AO12" i="62" l="1"/>
  <c r="AO26" i="58"/>
  <c r="AO17" i="62"/>
  <c r="AO24" i="58"/>
  <c r="AO7" i="62"/>
  <c r="AO27" i="58" l="1"/>
  <c r="AO24" i="63"/>
  <c r="AO26" i="63"/>
  <c r="AO39" i="58" l="1"/>
  <c r="AO27" i="63"/>
  <c r="AO39" i="63" l="1"/>
  <c r="AO41" i="58"/>
  <c r="AP40" i="58" l="1"/>
  <c r="AO6" i="57"/>
  <c r="AO41" i="63"/>
  <c r="AO6" i="62" l="1"/>
  <c r="AP21" i="56"/>
  <c r="AO46" i="58"/>
  <c r="AO11" i="57"/>
  <c r="AP40" i="63"/>
  <c r="AO46" i="63" l="1"/>
  <c r="AO48" i="58"/>
  <c r="AO11" i="62"/>
  <c r="AO20" i="57"/>
  <c r="AP21" i="61"/>
  <c r="AP23" i="56"/>
  <c r="AQ21" i="56"/>
  <c r="AO48" i="63" l="1"/>
  <c r="AQ21" i="61"/>
  <c r="AQ23" i="56"/>
  <c r="AP24" i="56"/>
  <c r="AP23" i="61"/>
  <c r="AO20" i="62"/>
  <c r="AO43" i="57"/>
  <c r="AO43" i="62" s="1"/>
  <c r="AP25" i="56" l="1"/>
  <c r="AP6" i="58"/>
  <c r="AP25" i="61"/>
  <c r="AP27" i="56"/>
  <c r="AP24" i="61"/>
  <c r="AQ24" i="56"/>
  <c r="AP29" i="56"/>
  <c r="AQ23" i="61"/>
  <c r="AQ25" i="56" l="1"/>
  <c r="AQ143" i="56"/>
  <c r="AQ24" i="61"/>
  <c r="AQ29" i="56"/>
  <c r="AP33" i="56"/>
  <c r="AP27" i="61"/>
  <c r="AP32" i="56"/>
  <c r="AQ27" i="56"/>
  <c r="AQ25" i="61"/>
  <c r="AP34" i="56"/>
  <c r="AP29" i="61"/>
  <c r="AP22" i="58"/>
  <c r="AP6" i="63"/>
  <c r="AQ6" i="58"/>
  <c r="AP38" i="57"/>
  <c r="AP32" i="61" l="1"/>
  <c r="AQ143" i="61"/>
  <c r="AQ22" i="58"/>
  <c r="AQ6" i="63"/>
  <c r="AP147" i="56"/>
  <c r="AP34" i="61"/>
  <c r="AP38" i="62"/>
  <c r="AP41" i="57"/>
  <c r="AQ38" i="57"/>
  <c r="AQ27" i="61"/>
  <c r="AQ31" i="56"/>
  <c r="AQ30" i="56"/>
  <c r="AP33" i="61"/>
  <c r="AP146" i="56"/>
  <c r="AP42" i="58"/>
  <c r="AP22" i="63"/>
  <c r="AP55" i="58"/>
  <c r="AQ29" i="61"/>
  <c r="AQ31" i="61" l="1"/>
  <c r="AP146" i="61"/>
  <c r="AQ30" i="61"/>
  <c r="AP147" i="61"/>
  <c r="AQ33" i="56"/>
  <c r="AQ38" i="62"/>
  <c r="AQ41" i="57"/>
  <c r="AP42" i="63"/>
  <c r="AQ42" i="58"/>
  <c r="AQ32" i="56"/>
  <c r="AP62" i="57"/>
  <c r="AP42" i="57"/>
  <c r="AP41" i="62"/>
  <c r="AP55" i="63"/>
  <c r="AP148" i="56"/>
  <c r="AQ34" i="56"/>
  <c r="AQ55" i="58"/>
  <c r="AQ22" i="63"/>
  <c r="AP148" i="61" l="1"/>
  <c r="AQ32" i="61"/>
  <c r="AP62" i="62"/>
  <c r="AQ148" i="56"/>
  <c r="AQ55" i="63"/>
  <c r="AQ34" i="61"/>
  <c r="AQ147" i="56"/>
  <c r="AP42" i="62"/>
  <c r="AP7" i="57"/>
  <c r="AP12" i="57"/>
  <c r="AP17" i="57"/>
  <c r="AQ42" i="63"/>
  <c r="AQ44" i="58"/>
  <c r="AQ41" i="62"/>
  <c r="AQ42" i="57"/>
  <c r="AQ146" i="56"/>
  <c r="AQ33" i="61"/>
  <c r="AQ36" i="56"/>
  <c r="AQ147" i="61" l="1"/>
  <c r="AQ148" i="61"/>
  <c r="AQ36" i="61"/>
  <c r="AQ146" i="61"/>
  <c r="AQ44" i="63"/>
  <c r="AP26" i="58"/>
  <c r="AQ17" i="57"/>
  <c r="AP17" i="62"/>
  <c r="AQ12" i="57"/>
  <c r="AP12" i="62"/>
  <c r="AQ42" i="62"/>
  <c r="AP24" i="58"/>
  <c r="AQ7" i="57"/>
  <c r="AP7" i="62"/>
  <c r="AQ12" i="62" l="1"/>
  <c r="AQ17" i="62"/>
  <c r="AQ7" i="62"/>
  <c r="AP24" i="63"/>
  <c r="AP27" i="58"/>
  <c r="AQ24" i="58"/>
  <c r="AP26" i="63"/>
  <c r="AQ26" i="58"/>
  <c r="AQ26" i="63" l="1"/>
  <c r="AQ27" i="58"/>
  <c r="AQ24" i="63"/>
  <c r="AP39" i="58"/>
  <c r="AP27" i="63"/>
  <c r="AP39" i="63" l="1"/>
  <c r="AP41" i="58"/>
  <c r="AQ27" i="63"/>
  <c r="AQ39" i="58"/>
  <c r="AQ39" i="63" l="1"/>
  <c r="AQ41" i="58"/>
  <c r="AP41" i="63"/>
  <c r="AP6" i="57"/>
  <c r="AV40" i="58" l="1"/>
  <c r="AQ41" i="63"/>
  <c r="AR40" i="58"/>
  <c r="AP46" i="58"/>
  <c r="AQ6" i="57"/>
  <c r="AP6" i="62"/>
  <c r="AR21" i="56"/>
  <c r="AP11" i="57"/>
  <c r="AV40" i="63" l="1"/>
  <c r="AP11" i="62"/>
  <c r="AP20" i="57"/>
  <c r="AQ6" i="62"/>
  <c r="AQ46" i="58"/>
  <c r="AQ11" i="57"/>
  <c r="AR21" i="61"/>
  <c r="AR23" i="56"/>
  <c r="AP46" i="63"/>
  <c r="AP48" i="58"/>
  <c r="AR40" i="63"/>
  <c r="AP48" i="63" l="1"/>
  <c r="AP20" i="62"/>
  <c r="AP43" i="57"/>
  <c r="AP43" i="62" s="1"/>
  <c r="AR23" i="61"/>
  <c r="AR24" i="56"/>
  <c r="AQ20" i="57"/>
  <c r="AQ11" i="62"/>
  <c r="AQ46" i="63"/>
  <c r="AQ48" i="58"/>
  <c r="AQ48" i="63" l="1"/>
  <c r="AQ20" i="62"/>
  <c r="AQ43" i="57"/>
  <c r="AQ43" i="62" s="1"/>
  <c r="AR24" i="61"/>
  <c r="AR29" i="56"/>
  <c r="AR25" i="56"/>
  <c r="AR29" i="61" l="1"/>
  <c r="AR34" i="56"/>
  <c r="AR6" i="58"/>
  <c r="AR25" i="61"/>
  <c r="AR27" i="56"/>
  <c r="AR6" i="63" l="1"/>
  <c r="AR22" i="58"/>
  <c r="AR38" i="57"/>
  <c r="AR32" i="56"/>
  <c r="AR27" i="61"/>
  <c r="AR33" i="56"/>
  <c r="AR34" i="61"/>
  <c r="AR147" i="56"/>
  <c r="AR147" i="61" l="1"/>
  <c r="AR32" i="61"/>
  <c r="AR33" i="61"/>
  <c r="AR146" i="56"/>
  <c r="AR41" i="57"/>
  <c r="AR38" i="62"/>
  <c r="AR22" i="63"/>
  <c r="AR42" i="58"/>
  <c r="AR55" i="58"/>
  <c r="AR146" i="61" l="1"/>
  <c r="AR42" i="63"/>
  <c r="AR55" i="63"/>
  <c r="AR148" i="56"/>
  <c r="AR62" i="57"/>
  <c r="AR41" i="62"/>
  <c r="AR42" i="57"/>
  <c r="AR62" i="62" l="1"/>
  <c r="AR148" i="61"/>
  <c r="AR42" i="62"/>
  <c r="AR12" i="57"/>
  <c r="AR7" i="57"/>
  <c r="AR17" i="57"/>
  <c r="AR12" i="62" l="1"/>
  <c r="AR26" i="58"/>
  <c r="AR17" i="62"/>
  <c r="AR24" i="58"/>
  <c r="AR7" i="62"/>
  <c r="AR26" i="63" l="1"/>
  <c r="AR27" i="58"/>
  <c r="AR24" i="63"/>
  <c r="AR27" i="63" l="1"/>
  <c r="AR39" i="58"/>
  <c r="AR39" i="63" l="1"/>
  <c r="AR41" i="58"/>
  <c r="AR6" i="57" l="1"/>
  <c r="AS40" i="58"/>
  <c r="AR41" i="63"/>
  <c r="AS40" i="63" l="1"/>
  <c r="AS21" i="56"/>
  <c r="AR11" i="57"/>
  <c r="AR46" i="58"/>
  <c r="AR6" i="62"/>
  <c r="AR46" i="63" l="1"/>
  <c r="AR48" i="58"/>
  <c r="AR11" i="62"/>
  <c r="AR20" i="57"/>
  <c r="AS21" i="61"/>
  <c r="AS23" i="56"/>
  <c r="AR48" i="63" l="1"/>
  <c r="AS24" i="56"/>
  <c r="AS23" i="61"/>
  <c r="AR20" i="62"/>
  <c r="AR43" i="57"/>
  <c r="AR43" i="62" s="1"/>
  <c r="AS24" i="61" l="1"/>
  <c r="AS29" i="56"/>
  <c r="AS25" i="56"/>
  <c r="AS34" i="56" l="1"/>
  <c r="AS29" i="61"/>
  <c r="AS6" i="58"/>
  <c r="AS25" i="61"/>
  <c r="AS27" i="56"/>
  <c r="AS33" i="56" l="1"/>
  <c r="AS32" i="56"/>
  <c r="AS27" i="61"/>
  <c r="AS6" i="63"/>
  <c r="AS22" i="58"/>
  <c r="AS38" i="57"/>
  <c r="AS147" i="56"/>
  <c r="AS34" i="61"/>
  <c r="AS147" i="61" l="1"/>
  <c r="AS32" i="61"/>
  <c r="AS42" i="58"/>
  <c r="AS22" i="63"/>
  <c r="AS55" i="58"/>
  <c r="AS38" i="62"/>
  <c r="AS41" i="57"/>
  <c r="AS33" i="61"/>
  <c r="AS146" i="56"/>
  <c r="AS146" i="61" l="1"/>
  <c r="AS41" i="62"/>
  <c r="AS42" i="57"/>
  <c r="AS62" i="57"/>
  <c r="AS148" i="56"/>
  <c r="AS55" i="63"/>
  <c r="AS42" i="63"/>
  <c r="AS62" i="62" l="1"/>
  <c r="AS148" i="61"/>
  <c r="AS42" i="62"/>
  <c r="AS12" i="57"/>
  <c r="AS7" i="57"/>
  <c r="AS17" i="57"/>
  <c r="AS12" i="62" l="1"/>
  <c r="AS26" i="58"/>
  <c r="AS17" i="62"/>
  <c r="AS7" i="62"/>
  <c r="AS24" i="58"/>
  <c r="AS27" i="58" l="1"/>
  <c r="AS24" i="63"/>
  <c r="AS26" i="63"/>
  <c r="AS39" i="58" l="1"/>
  <c r="AS27" i="63"/>
  <c r="AS39" i="63" l="1"/>
  <c r="AS41" i="58"/>
  <c r="AS6" i="57" l="1"/>
  <c r="AT40" i="58"/>
  <c r="AS41" i="63"/>
  <c r="AT40" i="63" l="1"/>
  <c r="AS46" i="58"/>
  <c r="AS6" i="62"/>
  <c r="AT21" i="56"/>
  <c r="AS11" i="57"/>
  <c r="AS20" i="57" l="1"/>
  <c r="AS11" i="62"/>
  <c r="AT21" i="61"/>
  <c r="AT23" i="56"/>
  <c r="AS48" i="58"/>
  <c r="AS46" i="63"/>
  <c r="AS48" i="63" l="1"/>
  <c r="AT24" i="56"/>
  <c r="AT23" i="61"/>
  <c r="AS20" i="62"/>
  <c r="AS43" i="57"/>
  <c r="AS43" i="62" s="1"/>
  <c r="AT25" i="56" l="1"/>
  <c r="AT6" i="58"/>
  <c r="AT25" i="61"/>
  <c r="AT27" i="56"/>
  <c r="AT24" i="61"/>
  <c r="AT29" i="56"/>
  <c r="AT27" i="61" l="1"/>
  <c r="AT32" i="56"/>
  <c r="AT33" i="56"/>
  <c r="AT34" i="56"/>
  <c r="AT29" i="61"/>
  <c r="AT6" i="63"/>
  <c r="AT22" i="58"/>
  <c r="AT38" i="57"/>
  <c r="AT32" i="61" l="1"/>
  <c r="AT42" i="58"/>
  <c r="AT22" i="63"/>
  <c r="AT55" i="58"/>
  <c r="AT38" i="62"/>
  <c r="AT41" i="57"/>
  <c r="AT34" i="61"/>
  <c r="AT147" i="56"/>
  <c r="AT146" i="56"/>
  <c r="AT33" i="61"/>
  <c r="AT146" i="61" l="1"/>
  <c r="AT147" i="61"/>
  <c r="AT42" i="57"/>
  <c r="AT62" i="57"/>
  <c r="AT41" i="62"/>
  <c r="AT55" i="63"/>
  <c r="AT148" i="56"/>
  <c r="AT42" i="63"/>
  <c r="AT62" i="62" l="1"/>
  <c r="AT148" i="61"/>
  <c r="AT42" i="62"/>
  <c r="AT7" i="57"/>
  <c r="AT12" i="57"/>
  <c r="AT17" i="57"/>
  <c r="AT12" i="62" l="1"/>
  <c r="AT17" i="62"/>
  <c r="AT26" i="58"/>
  <c r="AT24" i="58"/>
  <c r="AT7" i="62"/>
  <c r="AT27" i="58" l="1"/>
  <c r="AT24" i="63"/>
  <c r="AT26" i="63"/>
  <c r="AT39" i="58" l="1"/>
  <c r="AT27" i="63"/>
  <c r="AT39" i="63" l="1"/>
  <c r="AT41" i="58"/>
  <c r="AU40" i="58" l="1"/>
  <c r="AT41" i="63"/>
  <c r="AT6" i="57"/>
  <c r="AT6" i="62" l="1"/>
  <c r="AT11" i="57"/>
  <c r="AT46" i="58"/>
  <c r="AU21" i="56"/>
  <c r="AU40" i="63"/>
  <c r="AT48" i="58" l="1"/>
  <c r="AT46" i="63"/>
  <c r="AU21" i="61"/>
  <c r="AU23" i="56"/>
  <c r="AV21" i="56"/>
  <c r="AT20" i="57"/>
  <c r="AT11" i="62"/>
  <c r="AT48" i="63" l="1"/>
  <c r="AV21" i="61"/>
  <c r="AV23" i="56"/>
  <c r="AT20" i="62"/>
  <c r="AT43" i="57"/>
  <c r="AT43" i="62" s="1"/>
  <c r="AU23" i="61"/>
  <c r="AU24" i="56"/>
  <c r="AU25" i="56" l="1"/>
  <c r="AU25" i="61"/>
  <c r="AU27" i="56"/>
  <c r="AU6" i="58"/>
  <c r="AU24" i="61"/>
  <c r="AV24" i="56"/>
  <c r="AU29" i="56"/>
  <c r="AV23" i="61"/>
  <c r="AV25" i="56" l="1"/>
  <c r="AV27" i="56"/>
  <c r="AV25" i="61"/>
  <c r="AU34" i="56"/>
  <c r="AU29" i="61"/>
  <c r="AU22" i="58"/>
  <c r="AU6" i="63"/>
  <c r="AV6" i="58"/>
  <c r="AU38" i="57"/>
  <c r="AV24" i="61"/>
  <c r="AV143" i="56"/>
  <c r="AV29" i="56"/>
  <c r="AU32" i="56"/>
  <c r="AU27" i="61"/>
  <c r="AU33" i="56"/>
  <c r="AV143" i="61" l="1"/>
  <c r="AU32" i="61"/>
  <c r="AV29" i="61"/>
  <c r="AV22" i="58"/>
  <c r="AV6" i="63"/>
  <c r="AU41" i="57"/>
  <c r="AV38" i="57"/>
  <c r="AU38" i="62"/>
  <c r="AU33" i="61"/>
  <c r="AU146" i="56"/>
  <c r="AU22" i="63"/>
  <c r="AU42" i="58"/>
  <c r="AU55" i="58"/>
  <c r="AU147" i="56"/>
  <c r="AU34" i="61"/>
  <c r="AV27" i="61"/>
  <c r="AV30" i="56"/>
  <c r="AV31" i="56"/>
  <c r="AU146" i="61" l="1"/>
  <c r="AV31" i="61"/>
  <c r="AV33" i="56"/>
  <c r="AU147" i="61"/>
  <c r="AV30" i="61"/>
  <c r="AV32" i="56"/>
  <c r="AU55" i="63"/>
  <c r="AU148" i="56"/>
  <c r="AV38" i="62"/>
  <c r="AV41" i="57"/>
  <c r="AV36" i="56"/>
  <c r="AV146" i="56"/>
  <c r="AU42" i="63"/>
  <c r="AV42" i="58"/>
  <c r="AU41" i="62"/>
  <c r="AU62" i="57"/>
  <c r="AU42" i="57"/>
  <c r="AV22" i="63"/>
  <c r="F35" i="60"/>
  <c r="AV55" i="58"/>
  <c r="AV34" i="56"/>
  <c r="AV36" i="61" l="1"/>
  <c r="AV32" i="61"/>
  <c r="AU148" i="61"/>
  <c r="AV146" i="61"/>
  <c r="AU62" i="62"/>
  <c r="AV33" i="61"/>
  <c r="AV34" i="61"/>
  <c r="AV147" i="56"/>
  <c r="AU42" i="62"/>
  <c r="AU12" i="57"/>
  <c r="AU7" i="57"/>
  <c r="AU17" i="57"/>
  <c r="AV42" i="63"/>
  <c r="AV44" i="58"/>
  <c r="AV55" i="63"/>
  <c r="AV148" i="56"/>
  <c r="AV41" i="62"/>
  <c r="AV42" i="57"/>
  <c r="AV148" i="61" l="1"/>
  <c r="AV147" i="61"/>
  <c r="AV42" i="62"/>
  <c r="AV17" i="57"/>
  <c r="AU26" i="58"/>
  <c r="AU17" i="62"/>
  <c r="AV7" i="57"/>
  <c r="AU7" i="62"/>
  <c r="AU24" i="58"/>
  <c r="AV44" i="63"/>
  <c r="F34" i="60"/>
  <c r="F37" i="60" s="1"/>
  <c r="AV12" i="57"/>
  <c r="AU12" i="62"/>
  <c r="AV7" i="62" l="1"/>
  <c r="AV12" i="62"/>
  <c r="AV17" i="62"/>
  <c r="AU26" i="63"/>
  <c r="AV26" i="58"/>
  <c r="C30" i="60"/>
  <c r="C31" i="60" s="1"/>
  <c r="C36" i="60" s="1"/>
  <c r="F38" i="60"/>
  <c r="AU27" i="58"/>
  <c r="AU24" i="63"/>
  <c r="AV24" i="58"/>
  <c r="AV26" i="63" l="1"/>
  <c r="AU27" i="63"/>
  <c r="AU39" i="58"/>
  <c r="AV27" i="58"/>
  <c r="AV24" i="63"/>
  <c r="C37" i="60"/>
  <c r="C38" i="60"/>
  <c r="AV27" i="63" l="1"/>
  <c r="AV39" i="58"/>
  <c r="AU39" i="63"/>
  <c r="AU41" i="58"/>
  <c r="AU41" i="63" l="1"/>
  <c r="AU6" i="57"/>
  <c r="AV39" i="63"/>
  <c r="AV41" i="58"/>
  <c r="AV41" i="63" l="1"/>
  <c r="AV6" i="57"/>
  <c r="AU46" i="58"/>
  <c r="AU11" i="57"/>
  <c r="AU6" i="62"/>
  <c r="AU11" i="62" l="1"/>
  <c r="AU20" i="57"/>
  <c r="AU48" i="58"/>
  <c r="AU46" i="63"/>
  <c r="AV46" i="58"/>
  <c r="AV11" i="57"/>
  <c r="AV6" i="62"/>
  <c r="AU48" i="63" l="1"/>
  <c r="AV11" i="62"/>
  <c r="AV20" i="57"/>
  <c r="AV48" i="58"/>
  <c r="AV46" i="63"/>
  <c r="AU20" i="62"/>
  <c r="AU43" i="57"/>
  <c r="AU43" i="62" s="1"/>
  <c r="AV48" i="63" l="1"/>
  <c r="AV20" i="62"/>
  <c r="AV43" i="57"/>
  <c r="AV43" i="62" s="1"/>
  <c r="Y22" i="67" l="1"/>
  <c r="Y55" i="67" l="1"/>
  <c r="Y42" i="67"/>
  <c r="Y39" i="67"/>
  <c r="Z7" i="67"/>
  <c r="Z127" i="65" l="1"/>
  <c r="Z66" i="65"/>
  <c r="Z14" i="66"/>
  <c r="Z99" i="65"/>
  <c r="Y41" i="67"/>
  <c r="Y148" i="65"/>
  <c r="Y6" i="66" l="1"/>
  <c r="Z40" i="67"/>
  <c r="Z70" i="65"/>
  <c r="Z70" i="70" s="1"/>
  <c r="Z12" i="65"/>
  <c r="AA7" i="67"/>
  <c r="AA99" i="65" s="1"/>
  <c r="Z103" i="65"/>
  <c r="Z103" i="70" s="1"/>
  <c r="Z130" i="65"/>
  <c r="Z130" i="70" s="1"/>
  <c r="AA103" i="65" l="1"/>
  <c r="AA103" i="70" s="1"/>
  <c r="AB7" i="67"/>
  <c r="AE56" i="66"/>
  <c r="AF56" i="66" s="1"/>
  <c r="Z105" i="65"/>
  <c r="Z105" i="70" s="1"/>
  <c r="Z15" i="65"/>
  <c r="Z15" i="70" s="1"/>
  <c r="Z71" i="65"/>
  <c r="Z71" i="70" s="1"/>
  <c r="AA66" i="65"/>
  <c r="Z131" i="65"/>
  <c r="Z131" i="70" s="1"/>
  <c r="AB99" i="65"/>
  <c r="AA14" i="66"/>
  <c r="AA127" i="65"/>
  <c r="Y46" i="67"/>
  <c r="Y144" i="65"/>
  <c r="Z21" i="65"/>
  <c r="Y11" i="66"/>
  <c r="Z72" i="65" l="1"/>
  <c r="Z72" i="70" s="1"/>
  <c r="Y20" i="66"/>
  <c r="AB103" i="65"/>
  <c r="AB103" i="70" s="1"/>
  <c r="Z17" i="65"/>
  <c r="Z17" i="70" s="1"/>
  <c r="AA105" i="65"/>
  <c r="Z106" i="65"/>
  <c r="Z106" i="70" s="1"/>
  <c r="Y48" i="67"/>
  <c r="AA130" i="65"/>
  <c r="AA130" i="70" s="1"/>
  <c r="AB127" i="65"/>
  <c r="AB14" i="66"/>
  <c r="AA12" i="65"/>
  <c r="AA70" i="65"/>
  <c r="AA70" i="70" s="1"/>
  <c r="AB66" i="65"/>
  <c r="AH56" i="66"/>
  <c r="AI56" i="66" s="1"/>
  <c r="AB105" i="65" l="1"/>
  <c r="AB105" i="70" s="1"/>
  <c r="AA105" i="70"/>
  <c r="AJ56" i="66"/>
  <c r="Z19" i="65"/>
  <c r="Z19" i="70" s="1"/>
  <c r="Z23" i="65"/>
  <c r="Z23" i="70" s="1"/>
  <c r="Z141" i="65"/>
  <c r="Z141" i="70" s="1"/>
  <c r="AB130" i="65"/>
  <c r="AB130" i="70" s="1"/>
  <c r="Y53" i="66"/>
  <c r="Y43" i="66"/>
  <c r="Y43" i="71"/>
  <c r="AB70" i="65"/>
  <c r="AB70" i="70" s="1"/>
  <c r="Z137" i="65"/>
  <c r="Z137" i="70" s="1"/>
  <c r="AC7" i="67"/>
  <c r="AK56" i="66"/>
  <c r="AA106" i="65"/>
  <c r="AA106" i="70" s="1"/>
  <c r="AA131" i="65"/>
  <c r="AA131" i="70" s="1"/>
  <c r="AM56" i="66"/>
  <c r="AB106" i="65"/>
  <c r="AB106" i="70" s="1"/>
  <c r="AA71" i="65"/>
  <c r="AA71" i="70" s="1"/>
  <c r="AA15" i="65"/>
  <c r="AA15" i="70" s="1"/>
  <c r="AB12" i="65"/>
  <c r="AN56" i="66" l="1"/>
  <c r="AA17" i="65"/>
  <c r="AA17" i="70" s="1"/>
  <c r="Z53" i="66"/>
  <c r="AB15" i="65"/>
  <c r="AB15" i="70" s="1"/>
  <c r="AA137" i="65"/>
  <c r="AA137" i="70" s="1"/>
  <c r="AA72" i="65"/>
  <c r="AA72" i="70" s="1"/>
  <c r="AB71" i="65"/>
  <c r="AB71" i="70" s="1"/>
  <c r="AB131" i="65"/>
  <c r="AB131" i="70" s="1"/>
  <c r="Z142" i="65"/>
  <c r="Z142" i="70" s="1"/>
  <c r="Z24" i="65"/>
  <c r="Z24" i="70" s="1"/>
  <c r="AO56" i="66"/>
  <c r="AP56" i="66" s="1"/>
  <c r="AC99" i="65"/>
  <c r="AC66" i="65"/>
  <c r="AC127" i="65"/>
  <c r="AC14" i="66"/>
  <c r="AB17" i="65" l="1"/>
  <c r="AB17" i="70" s="1"/>
  <c r="AB72" i="65"/>
  <c r="AB72" i="70" s="1"/>
  <c r="AA53" i="66"/>
  <c r="AC53" i="66" s="1"/>
  <c r="AR56" i="66"/>
  <c r="AA141" i="65"/>
  <c r="AA141" i="70" s="1"/>
  <c r="AA19" i="65"/>
  <c r="AA19" i="70" s="1"/>
  <c r="AC103" i="65"/>
  <c r="AC103" i="70" s="1"/>
  <c r="Z25" i="65"/>
  <c r="Z25" i="70" s="1"/>
  <c r="AC130" i="65"/>
  <c r="AC130" i="70" s="1"/>
  <c r="Z29" i="65"/>
  <c r="Z29" i="70" s="1"/>
  <c r="AD7" i="67"/>
  <c r="AD127" i="65" s="1"/>
  <c r="AC12" i="65"/>
  <c r="AC70" i="65"/>
  <c r="AC70" i="70" s="1"/>
  <c r="AD66" i="65" l="1"/>
  <c r="AD99" i="65"/>
  <c r="AC131" i="65"/>
  <c r="AC131" i="70" s="1"/>
  <c r="AD53" i="66"/>
  <c r="AD130" i="65"/>
  <c r="AD130" i="70" s="1"/>
  <c r="Z6" i="67"/>
  <c r="Z6" i="72" s="1"/>
  <c r="Z27" i="65"/>
  <c r="Z27" i="70" s="1"/>
  <c r="AB19" i="65"/>
  <c r="AB19" i="70" s="1"/>
  <c r="AB141" i="65"/>
  <c r="AB141" i="70" s="1"/>
  <c r="AC71" i="65"/>
  <c r="AC71" i="70" s="1"/>
  <c r="AC105" i="65"/>
  <c r="AC105" i="70" s="1"/>
  <c r="AS56" i="66"/>
  <c r="AC15" i="65"/>
  <c r="AC15" i="70" s="1"/>
  <c r="AD70" i="65"/>
  <c r="AD70" i="70" s="1"/>
  <c r="AD12" i="65"/>
  <c r="AD103" i="65"/>
  <c r="AD103" i="70" s="1"/>
  <c r="AD14" i="66"/>
  <c r="Z34" i="65"/>
  <c r="AA142" i="65"/>
  <c r="AA142" i="70" s="1"/>
  <c r="Z34" i="70" l="1"/>
  <c r="AD131" i="65"/>
  <c r="AD131" i="70" s="1"/>
  <c r="AT56" i="66"/>
  <c r="AE7" i="67"/>
  <c r="AE14" i="66" s="1"/>
  <c r="Z33" i="65"/>
  <c r="Z33" i="70" s="1"/>
  <c r="Z32" i="65"/>
  <c r="Z32" i="70" s="1"/>
  <c r="AC106" i="65"/>
  <c r="AC106" i="70" s="1"/>
  <c r="AC72" i="65"/>
  <c r="AC72" i="70" s="1"/>
  <c r="AD15" i="65"/>
  <c r="AD15" i="70" s="1"/>
  <c r="Z147" i="65"/>
  <c r="Z147" i="70" s="1"/>
  <c r="AD105" i="65"/>
  <c r="AD105" i="70" s="1"/>
  <c r="AB65" i="66"/>
  <c r="AB65" i="71" s="1"/>
  <c r="AB142" i="65"/>
  <c r="AB142" i="70" s="1"/>
  <c r="AE53" i="66"/>
  <c r="AC17" i="65"/>
  <c r="Z38" i="66"/>
  <c r="Z38" i="71" s="1"/>
  <c r="Z22" i="67"/>
  <c r="Z22" i="72" s="1"/>
  <c r="AD71" i="65"/>
  <c r="AD71" i="70" s="1"/>
  <c r="AC137" i="65" l="1"/>
  <c r="AC137" i="70" s="1"/>
  <c r="AC17" i="70"/>
  <c r="AU56" i="66"/>
  <c r="AF7" i="67"/>
  <c r="AF14" i="66"/>
  <c r="AB64" i="66"/>
  <c r="AB64" i="71" s="1"/>
  <c r="Z55" i="67"/>
  <c r="Z55" i="72" s="1"/>
  <c r="Z42" i="67"/>
  <c r="Z42" i="72" s="1"/>
  <c r="AD72" i="65"/>
  <c r="AD72" i="70" s="1"/>
  <c r="AD106" i="65"/>
  <c r="AD106" i="70" s="1"/>
  <c r="AF53" i="66"/>
  <c r="AE66" i="65"/>
  <c r="AE99" i="65"/>
  <c r="AE127" i="65"/>
  <c r="AC19" i="65"/>
  <c r="AC19" i="70" s="1"/>
  <c r="AC141" i="65"/>
  <c r="AC141" i="70" s="1"/>
  <c r="Z146" i="65"/>
  <c r="Z146" i="70" s="1"/>
  <c r="Z41" i="66"/>
  <c r="Z41" i="71" s="1"/>
  <c r="AD17" i="65"/>
  <c r="AD137" i="65" l="1"/>
  <c r="AD137" i="70" s="1"/>
  <c r="AD17" i="70"/>
  <c r="AG7" i="67"/>
  <c r="Z148" i="65"/>
  <c r="Z148" i="70" s="1"/>
  <c r="AG14" i="66"/>
  <c r="AC142" i="65"/>
  <c r="AC142" i="70" s="1"/>
  <c r="AE103" i="65"/>
  <c r="AE103" i="70" s="1"/>
  <c r="AF99" i="65"/>
  <c r="AG99" i="65" s="1"/>
  <c r="AE12" i="65"/>
  <c r="AE70" i="65"/>
  <c r="AE70" i="70" s="1"/>
  <c r="AF66" i="65"/>
  <c r="AG66" i="65" s="1"/>
  <c r="AE130" i="65"/>
  <c r="AE130" i="70" s="1"/>
  <c r="AF127" i="65"/>
  <c r="AG127" i="65" s="1"/>
  <c r="AD141" i="65"/>
  <c r="AD141" i="70" s="1"/>
  <c r="AD19" i="65"/>
  <c r="AD19" i="70" s="1"/>
  <c r="Z62" i="66"/>
  <c r="Z62" i="71" s="1"/>
  <c r="Z42" i="66"/>
  <c r="Z42" i="71" s="1"/>
  <c r="AH53" i="66"/>
  <c r="AI53" i="66" s="1"/>
  <c r="AG130" i="65" l="1"/>
  <c r="AG130" i="70" s="1"/>
  <c r="Z17" i="66"/>
  <c r="Z17" i="71" s="1"/>
  <c r="Z12" i="66"/>
  <c r="Z12" i="71" s="1"/>
  <c r="Z7" i="66"/>
  <c r="Z7" i="71" s="1"/>
  <c r="AE131" i="65"/>
  <c r="AE131" i="70" s="1"/>
  <c r="AE71" i="65"/>
  <c r="AE71" i="70" s="1"/>
  <c r="AG103" i="65"/>
  <c r="AG103" i="70" s="1"/>
  <c r="AF130" i="65"/>
  <c r="AF130" i="70" s="1"/>
  <c r="AH7" i="67"/>
  <c r="AH99" i="65" s="1"/>
  <c r="AG70" i="65"/>
  <c r="AG70" i="70" s="1"/>
  <c r="AH66" i="65"/>
  <c r="AF70" i="65"/>
  <c r="AF70" i="70" s="1"/>
  <c r="AF12" i="65"/>
  <c r="AE15" i="65"/>
  <c r="AE15" i="70" s="1"/>
  <c r="AD142" i="65"/>
  <c r="AD142" i="70" s="1"/>
  <c r="AF103" i="65"/>
  <c r="AF103" i="70" s="1"/>
  <c r="AE105" i="65"/>
  <c r="AE105" i="70" s="1"/>
  <c r="AJ53" i="66"/>
  <c r="AH103" i="65" l="1"/>
  <c r="AH103" i="70" s="1"/>
  <c r="AF15" i="65"/>
  <c r="AF15" i="70" s="1"/>
  <c r="AH70" i="65"/>
  <c r="AH70" i="70" s="1"/>
  <c r="AE106" i="65"/>
  <c r="AE106" i="70" s="1"/>
  <c r="AF105" i="65"/>
  <c r="AF105" i="70" s="1"/>
  <c r="Z26" i="67"/>
  <c r="Z26" i="72" s="1"/>
  <c r="Z24" i="67"/>
  <c r="Z24" i="72" s="1"/>
  <c r="AF131" i="65"/>
  <c r="AF131" i="70" s="1"/>
  <c r="AE72" i="65"/>
  <c r="AE72" i="70" s="1"/>
  <c r="AH14" i="66"/>
  <c r="AF71" i="65"/>
  <c r="AF71" i="70" s="1"/>
  <c r="AH127" i="65"/>
  <c r="AH12" i="65" s="1"/>
  <c r="AG131" i="65"/>
  <c r="AG131" i="70" s="1"/>
  <c r="AG12" i="65"/>
  <c r="AE17" i="65"/>
  <c r="AK53" i="66"/>
  <c r="AE137" i="65" l="1"/>
  <c r="AE137" i="70" s="1"/>
  <c r="AE17" i="70"/>
  <c r="AM53" i="66"/>
  <c r="AN53" i="66" s="1"/>
  <c r="AF17" i="65"/>
  <c r="AH71" i="65"/>
  <c r="AH71" i="70" s="1"/>
  <c r="AH15" i="65"/>
  <c r="AH15" i="70" s="1"/>
  <c r="AG15" i="65"/>
  <c r="AG15" i="70" s="1"/>
  <c r="Z27" i="67"/>
  <c r="Z27" i="72" s="1"/>
  <c r="AF106" i="65"/>
  <c r="AF106" i="70" s="1"/>
  <c r="AH105" i="65"/>
  <c r="AH105" i="70" s="1"/>
  <c r="AE141" i="65"/>
  <c r="AE141" i="70" s="1"/>
  <c r="AE19" i="65"/>
  <c r="AE19" i="70" s="1"/>
  <c r="AH130" i="65"/>
  <c r="AH130" i="70" s="1"/>
  <c r="AF72" i="65"/>
  <c r="AF72" i="70" s="1"/>
  <c r="AI7" i="67"/>
  <c r="AI127" i="65" s="1"/>
  <c r="AG105" i="65"/>
  <c r="AG105" i="70" s="1"/>
  <c r="AG71" i="65"/>
  <c r="AG71" i="70" s="1"/>
  <c r="AF137" i="65" l="1"/>
  <c r="AF137" i="70" s="1"/>
  <c r="AF17" i="70"/>
  <c r="AI14" i="66"/>
  <c r="AO53" i="66"/>
  <c r="AP53" i="66" s="1"/>
  <c r="AI130" i="65"/>
  <c r="AI130" i="70" s="1"/>
  <c r="AJ7" i="67"/>
  <c r="AH131" i="65"/>
  <c r="AH131" i="70" s="1"/>
  <c r="AG17" i="65"/>
  <c r="AG17" i="70" s="1"/>
  <c r="AH106" i="65"/>
  <c r="AH106" i="70" s="1"/>
  <c r="AG106" i="65"/>
  <c r="AG106" i="70" s="1"/>
  <c r="AI66" i="65"/>
  <c r="AF141" i="65"/>
  <c r="AF141" i="70" s="1"/>
  <c r="AF19" i="65"/>
  <c r="AF19" i="70" s="1"/>
  <c r="AH17" i="65"/>
  <c r="AH17" i="70" s="1"/>
  <c r="AH72" i="65"/>
  <c r="AH72" i="70" s="1"/>
  <c r="AE142" i="65"/>
  <c r="AE142" i="70" s="1"/>
  <c r="Z39" i="67"/>
  <c r="Z39" i="72" s="1"/>
  <c r="AG72" i="65"/>
  <c r="AG72" i="70" s="1"/>
  <c r="AI99" i="65"/>
  <c r="AH137" i="65" l="1"/>
  <c r="AH137" i="70" s="1"/>
  <c r="AR53" i="66"/>
  <c r="AI12" i="65"/>
  <c r="AI70" i="65"/>
  <c r="AI70" i="70" s="1"/>
  <c r="AJ66" i="65"/>
  <c r="AF142" i="65"/>
  <c r="AF142" i="70" s="1"/>
  <c r="AH19" i="65"/>
  <c r="AH19" i="70" s="1"/>
  <c r="AH141" i="65"/>
  <c r="AH141" i="70" s="1"/>
  <c r="AJ127" i="65"/>
  <c r="AI103" i="65"/>
  <c r="AI103" i="70" s="1"/>
  <c r="AJ99" i="65"/>
  <c r="AG19" i="65"/>
  <c r="AG19" i="70" s="1"/>
  <c r="AG141" i="65"/>
  <c r="AG141" i="70" s="1"/>
  <c r="AI131" i="65"/>
  <c r="AI131" i="70" s="1"/>
  <c r="AJ14" i="66"/>
  <c r="Z41" i="67"/>
  <c r="Z41" i="72" s="1"/>
  <c r="AS53" i="66" l="1"/>
  <c r="AH142" i="65"/>
  <c r="AH142" i="70" s="1"/>
  <c r="AK7" i="67"/>
  <c r="AK14" i="66" s="1"/>
  <c r="AJ70" i="65"/>
  <c r="AJ70" i="70" s="1"/>
  <c r="AK66" i="65"/>
  <c r="AJ12" i="65"/>
  <c r="AI105" i="65"/>
  <c r="AI105" i="70" s="1"/>
  <c r="AG142" i="65"/>
  <c r="AG142" i="70" s="1"/>
  <c r="AG65" i="66"/>
  <c r="AG65" i="71" s="1"/>
  <c r="AI71" i="65"/>
  <c r="AI71" i="70" s="1"/>
  <c r="AI15" i="65"/>
  <c r="AI15" i="70" s="1"/>
  <c r="AJ103" i="65"/>
  <c r="AJ103" i="70" s="1"/>
  <c r="AA40" i="67"/>
  <c r="AA40" i="72" s="1"/>
  <c r="Z6" i="66"/>
  <c r="Z6" i="71" s="1"/>
  <c r="AK127" i="65"/>
  <c r="AJ130" i="65"/>
  <c r="AJ130" i="70" s="1"/>
  <c r="AL127" i="65"/>
  <c r="AK99" i="65" l="1"/>
  <c r="AT53" i="66"/>
  <c r="AL14" i="66"/>
  <c r="AJ131" i="65"/>
  <c r="AJ131" i="70" s="1"/>
  <c r="AJ105" i="65"/>
  <c r="AJ105" i="70" s="1"/>
  <c r="AL130" i="65"/>
  <c r="AL130" i="70" s="1"/>
  <c r="AI106" i="65"/>
  <c r="AI106" i="70" s="1"/>
  <c r="AJ15" i="65"/>
  <c r="AJ15" i="70" s="1"/>
  <c r="AJ71" i="65"/>
  <c r="AJ71" i="70" s="1"/>
  <c r="AG64" i="66"/>
  <c r="AG64" i="71" s="1"/>
  <c r="AK130" i="65"/>
  <c r="AK130" i="70" s="1"/>
  <c r="AK103" i="65"/>
  <c r="AK103" i="70" s="1"/>
  <c r="AL99" i="65"/>
  <c r="AI17" i="65"/>
  <c r="AI17" i="70" s="1"/>
  <c r="Z46" i="67"/>
  <c r="Z46" i="72" s="1"/>
  <c r="Z11" i="66"/>
  <c r="Z11" i="71" s="1"/>
  <c r="AA21" i="65"/>
  <c r="AA21" i="70" s="1"/>
  <c r="AK12" i="65"/>
  <c r="AK70" i="65"/>
  <c r="AK70" i="70" s="1"/>
  <c r="AL7" i="67"/>
  <c r="AI72" i="65"/>
  <c r="AI72" i="70" s="1"/>
  <c r="AL66" i="65"/>
  <c r="AU53" i="66" l="1"/>
  <c r="AB21" i="65"/>
  <c r="AB21" i="70" s="1"/>
  <c r="AA23" i="65"/>
  <c r="AA23" i="70" s="1"/>
  <c r="Z48" i="67"/>
  <c r="Z48" i="72" s="1"/>
  <c r="AK71" i="65"/>
  <c r="AK71" i="70" s="1"/>
  <c r="AL70" i="65"/>
  <c r="AL70" i="70" s="1"/>
  <c r="AL131" i="65"/>
  <c r="AL131" i="70" s="1"/>
  <c r="AK105" i="65"/>
  <c r="AK105" i="70" s="1"/>
  <c r="AJ17" i="65"/>
  <c r="AJ17" i="70" s="1"/>
  <c r="AI141" i="65"/>
  <c r="AI141" i="70" s="1"/>
  <c r="AI19" i="65"/>
  <c r="AI19" i="70" s="1"/>
  <c r="AI137" i="65"/>
  <c r="AI137" i="70" s="1"/>
  <c r="AM7" i="67"/>
  <c r="Z20" i="66"/>
  <c r="Z20" i="71" s="1"/>
  <c r="AK131" i="65"/>
  <c r="AK131" i="70" s="1"/>
  <c r="AL103" i="65"/>
  <c r="AL103" i="70" s="1"/>
  <c r="AJ106" i="65"/>
  <c r="AJ106" i="70" s="1"/>
  <c r="AK15" i="65"/>
  <c r="AK15" i="70" s="1"/>
  <c r="AJ72" i="65"/>
  <c r="AJ72" i="70" s="1"/>
  <c r="AL12" i="65"/>
  <c r="AK106" i="65" l="1"/>
  <c r="AK106" i="70" s="1"/>
  <c r="AL105" i="65"/>
  <c r="AL105" i="70" s="1"/>
  <c r="Z43" i="71"/>
  <c r="Z43" i="66"/>
  <c r="AL15" i="65"/>
  <c r="AL15" i="70" s="1"/>
  <c r="AJ19" i="65"/>
  <c r="AJ19" i="70" s="1"/>
  <c r="AJ141" i="65"/>
  <c r="AJ141" i="70" s="1"/>
  <c r="AK72" i="65"/>
  <c r="AK72" i="70" s="1"/>
  <c r="AL71" i="65"/>
  <c r="AL71" i="70" s="1"/>
  <c r="AJ137" i="65"/>
  <c r="AJ137" i="70" s="1"/>
  <c r="AA24" i="65"/>
  <c r="AB23" i="65"/>
  <c r="AB23" i="70" s="1"/>
  <c r="AM127" i="65"/>
  <c r="AM66" i="65"/>
  <c r="AM99" i="65"/>
  <c r="AM14" i="66"/>
  <c r="AI142" i="65"/>
  <c r="AI142" i="70" s="1"/>
  <c r="AK17" i="65"/>
  <c r="AA25" i="65" l="1"/>
  <c r="AA25" i="70" s="1"/>
  <c r="AA24" i="70"/>
  <c r="AK137" i="65"/>
  <c r="AK137" i="70" s="1"/>
  <c r="AK17" i="70"/>
  <c r="AM130" i="65"/>
  <c r="AM130" i="70" s="1"/>
  <c r="AM70" i="65"/>
  <c r="AM70" i="70" s="1"/>
  <c r="AM12" i="65"/>
  <c r="AL106" i="65"/>
  <c r="AL106" i="70" s="1"/>
  <c r="AN7" i="67"/>
  <c r="AL17" i="65"/>
  <c r="AL17" i="70" s="1"/>
  <c r="AB24" i="65"/>
  <c r="AA29" i="65"/>
  <c r="AA29" i="70" s="1"/>
  <c r="AL72" i="65"/>
  <c r="AL72" i="70" s="1"/>
  <c r="AM103" i="65"/>
  <c r="AM103" i="70" s="1"/>
  <c r="AJ142" i="65"/>
  <c r="AJ142" i="70" s="1"/>
  <c r="AA6" i="67"/>
  <c r="AA6" i="72" s="1"/>
  <c r="AA27" i="65"/>
  <c r="AA27" i="70" s="1"/>
  <c r="AK19" i="65"/>
  <c r="AK19" i="70" s="1"/>
  <c r="AK141" i="65"/>
  <c r="AK141" i="70" s="1"/>
  <c r="AB25" i="65" l="1"/>
  <c r="AB25" i="70" s="1"/>
  <c r="AB24" i="70"/>
  <c r="AB27" i="65"/>
  <c r="AB27" i="70" s="1"/>
  <c r="AA22" i="67"/>
  <c r="AA22" i="72" s="1"/>
  <c r="AB6" i="67"/>
  <c r="AB6" i="72" s="1"/>
  <c r="AA38" i="66"/>
  <c r="AA38" i="71" s="1"/>
  <c r="AN99" i="65"/>
  <c r="AN14" i="66"/>
  <c r="AN66" i="65"/>
  <c r="AA34" i="65"/>
  <c r="AB143" i="65"/>
  <c r="AB143" i="70" s="1"/>
  <c r="AB29" i="65"/>
  <c r="AB29" i="70" s="1"/>
  <c r="AM105" i="65"/>
  <c r="AM105" i="70" s="1"/>
  <c r="AM71" i="65"/>
  <c r="AM71" i="70" s="1"/>
  <c r="AN127" i="65"/>
  <c r="AL141" i="65"/>
  <c r="AL141" i="70" s="1"/>
  <c r="AL19" i="65"/>
  <c r="AL19" i="70" s="1"/>
  <c r="AM15" i="65"/>
  <c r="AM15" i="70" s="1"/>
  <c r="AM131" i="65"/>
  <c r="AM131" i="70" s="1"/>
  <c r="AK142" i="65"/>
  <c r="AK142" i="70" s="1"/>
  <c r="AA33" i="65"/>
  <c r="AA33" i="70" s="1"/>
  <c r="AA32" i="65"/>
  <c r="AA32" i="70" s="1"/>
  <c r="AA34" i="70" l="1"/>
  <c r="AA147" i="65"/>
  <c r="AA147" i="70" s="1"/>
  <c r="AN103" i="65"/>
  <c r="AN103" i="70" s="1"/>
  <c r="AM17" i="65"/>
  <c r="AO7" i="67"/>
  <c r="AO99" i="65" s="1"/>
  <c r="AL65" i="66"/>
  <c r="AL65" i="71" s="1"/>
  <c r="AL142" i="65"/>
  <c r="AL142" i="70" s="1"/>
  <c r="AB22" i="67"/>
  <c r="AB22" i="72" s="1"/>
  <c r="AN130" i="65"/>
  <c r="AN130" i="70" s="1"/>
  <c r="AN70" i="65"/>
  <c r="AN70" i="70" s="1"/>
  <c r="AN12" i="65"/>
  <c r="AA41" i="66"/>
  <c r="AA41" i="71" s="1"/>
  <c r="AB38" i="66"/>
  <c r="AB38" i="71" s="1"/>
  <c r="AA146" i="65"/>
  <c r="AA146" i="70" s="1"/>
  <c r="AA55" i="67"/>
  <c r="AA55" i="72" s="1"/>
  <c r="AA42" i="67"/>
  <c r="AA42" i="72" s="1"/>
  <c r="AM72" i="65"/>
  <c r="AM72" i="70" s="1"/>
  <c r="AM106" i="65"/>
  <c r="AM106" i="70" s="1"/>
  <c r="AB31" i="65"/>
  <c r="AB31" i="70" s="1"/>
  <c r="AB30" i="65"/>
  <c r="AB30" i="70" s="1"/>
  <c r="AM137" i="65" l="1"/>
  <c r="AM137" i="70" s="1"/>
  <c r="AM17" i="70"/>
  <c r="AO103" i="65"/>
  <c r="AO103" i="70" s="1"/>
  <c r="AB55" i="67"/>
  <c r="AB55" i="72" s="1"/>
  <c r="AB32" i="65"/>
  <c r="AB32" i="70" s="1"/>
  <c r="AO14" i="66"/>
  <c r="AB41" i="66"/>
  <c r="AB41" i="71" s="1"/>
  <c r="AA42" i="66"/>
  <c r="AA42" i="71" s="1"/>
  <c r="AA62" i="66"/>
  <c r="AA62" i="71" s="1"/>
  <c r="AO127" i="65"/>
  <c r="AN105" i="65"/>
  <c r="AN105" i="70" s="1"/>
  <c r="AN131" i="65"/>
  <c r="AN131" i="70" s="1"/>
  <c r="AL64" i="66"/>
  <c r="AL64" i="71" s="1"/>
  <c r="AM141" i="65"/>
  <c r="AM141" i="70" s="1"/>
  <c r="AM19" i="65"/>
  <c r="AM19" i="70" s="1"/>
  <c r="AB42" i="67"/>
  <c r="AB42" i="72" s="1"/>
  <c r="AN15" i="65"/>
  <c r="AN15" i="70" s="1"/>
  <c r="AO66" i="65"/>
  <c r="AN71" i="65"/>
  <c r="AN71" i="70" s="1"/>
  <c r="AA148" i="65"/>
  <c r="AA148" i="70" s="1"/>
  <c r="AB33" i="65"/>
  <c r="AB34" i="65"/>
  <c r="AB34" i="70" s="1"/>
  <c r="AB146" i="65" l="1"/>
  <c r="AB146" i="70" s="1"/>
  <c r="AB33" i="70"/>
  <c r="AO130" i="65"/>
  <c r="AO130" i="70" s="1"/>
  <c r="AB148" i="65"/>
  <c r="AB148" i="70" s="1"/>
  <c r="AA12" i="66"/>
  <c r="AA12" i="71" s="1"/>
  <c r="AA7" i="66"/>
  <c r="AA7" i="71" s="1"/>
  <c r="AA17" i="66"/>
  <c r="AA17" i="71" s="1"/>
  <c r="AB44" i="67"/>
  <c r="AB44" i="72" s="1"/>
  <c r="AB42" i="66"/>
  <c r="AB42" i="71" s="1"/>
  <c r="AB147" i="65"/>
  <c r="AB147" i="70" s="1"/>
  <c r="AN72" i="65"/>
  <c r="AN72" i="70" s="1"/>
  <c r="AO105" i="65"/>
  <c r="AO105" i="70" s="1"/>
  <c r="AN106" i="65"/>
  <c r="AN106" i="70" s="1"/>
  <c r="AM142" i="65"/>
  <c r="AM142" i="70" s="1"/>
  <c r="AN17" i="65"/>
  <c r="AP7" i="67"/>
  <c r="AP127" i="65" s="1"/>
  <c r="AB36" i="65"/>
  <c r="AB36" i="70" s="1"/>
  <c r="AP66" i="65"/>
  <c r="AQ66" i="65" s="1"/>
  <c r="AO12" i="65"/>
  <c r="AO70" i="65"/>
  <c r="AO70" i="70" s="1"/>
  <c r="AN137" i="65" l="1"/>
  <c r="AN137" i="70" s="1"/>
  <c r="AN17" i="70"/>
  <c r="AP14" i="66"/>
  <c r="AP130" i="65"/>
  <c r="AP130" i="70" s="1"/>
  <c r="AQ127" i="65"/>
  <c r="AO15" i="65"/>
  <c r="AO15" i="70" s="1"/>
  <c r="AB7" i="66"/>
  <c r="AB7" i="71" s="1"/>
  <c r="AA24" i="67"/>
  <c r="AA24" i="72" s="1"/>
  <c r="AA26" i="67"/>
  <c r="AA26" i="72" s="1"/>
  <c r="AB17" i="66"/>
  <c r="AB17" i="71" s="1"/>
  <c r="AO71" i="65"/>
  <c r="AO71" i="70" s="1"/>
  <c r="AP70" i="65"/>
  <c r="AP70" i="70" s="1"/>
  <c r="AQ70" i="65"/>
  <c r="AQ70" i="70" s="1"/>
  <c r="AO106" i="65"/>
  <c r="AO106" i="70" s="1"/>
  <c r="AO131" i="65"/>
  <c r="AO131" i="70" s="1"/>
  <c r="AQ14" i="66"/>
  <c r="AN19" i="65"/>
  <c r="AN19" i="70" s="1"/>
  <c r="AN141" i="65"/>
  <c r="AN141" i="70" s="1"/>
  <c r="AB12" i="66"/>
  <c r="AB12" i="71" s="1"/>
  <c r="AQ7" i="67"/>
  <c r="AP99" i="65"/>
  <c r="AA27" i="67" l="1"/>
  <c r="AA27" i="72" s="1"/>
  <c r="AB24" i="67"/>
  <c r="AB24" i="72" s="1"/>
  <c r="AP103" i="65"/>
  <c r="AP103" i="70" s="1"/>
  <c r="AQ99" i="65"/>
  <c r="AN142" i="65"/>
  <c r="AN142" i="70" s="1"/>
  <c r="AB26" i="67"/>
  <c r="AB26" i="72" s="1"/>
  <c r="AP71" i="65"/>
  <c r="AP12" i="65"/>
  <c r="AQ130" i="65"/>
  <c r="AQ130" i="70" s="1"/>
  <c r="AO17" i="65"/>
  <c r="AO17" i="70" s="1"/>
  <c r="AO137" i="65"/>
  <c r="AO137" i="70" s="1"/>
  <c r="AO72" i="65"/>
  <c r="AO72" i="70" s="1"/>
  <c r="AR7" i="67"/>
  <c r="AR127" i="65" s="1"/>
  <c r="AP131" i="65"/>
  <c r="AP131" i="70" s="1"/>
  <c r="AQ71" i="65" l="1"/>
  <c r="AQ71" i="70" s="1"/>
  <c r="AP71" i="70"/>
  <c r="AQ72" i="65"/>
  <c r="AQ72" i="70" s="1"/>
  <c r="AR130" i="65"/>
  <c r="AR130" i="70" s="1"/>
  <c r="AP15" i="65"/>
  <c r="AP15" i="70" s="1"/>
  <c r="AQ12" i="65"/>
  <c r="AP72" i="65"/>
  <c r="AP72" i="70" s="1"/>
  <c r="AQ103" i="65"/>
  <c r="AQ103" i="70" s="1"/>
  <c r="AR14" i="66"/>
  <c r="AR99" i="65"/>
  <c r="AO19" i="65"/>
  <c r="AO19" i="70" s="1"/>
  <c r="AO141" i="65"/>
  <c r="AO141" i="70" s="1"/>
  <c r="AP105" i="65"/>
  <c r="AP105" i="70" s="1"/>
  <c r="AR66" i="65"/>
  <c r="AB27" i="67"/>
  <c r="AB27" i="72" s="1"/>
  <c r="AQ131" i="65"/>
  <c r="AQ131" i="70" s="1"/>
  <c r="AA39" i="67"/>
  <c r="AA39" i="72" s="1"/>
  <c r="AB39" i="67" l="1"/>
  <c r="AB39" i="72" s="1"/>
  <c r="AR12" i="65"/>
  <c r="AR70" i="65"/>
  <c r="AR70" i="70" s="1"/>
  <c r="AA41" i="67"/>
  <c r="AA41" i="72" s="1"/>
  <c r="AQ15" i="65"/>
  <c r="AQ15" i="70" s="1"/>
  <c r="AR103" i="65"/>
  <c r="AR103" i="70" s="1"/>
  <c r="AR131" i="65"/>
  <c r="AR131" i="70" s="1"/>
  <c r="AS7" i="67"/>
  <c r="AS14" i="66" s="1"/>
  <c r="AP106" i="65"/>
  <c r="AP106" i="70" s="1"/>
  <c r="AQ105" i="65"/>
  <c r="AQ105" i="70" s="1"/>
  <c r="AP17" i="65"/>
  <c r="AP17" i="70" s="1"/>
  <c r="AO142" i="65"/>
  <c r="AO142" i="70" s="1"/>
  <c r="AS127" i="65" l="1"/>
  <c r="AS130" i="65" s="1"/>
  <c r="AS130" i="70" s="1"/>
  <c r="AS99" i="65"/>
  <c r="AS66" i="65"/>
  <c r="AS70" i="65" s="1"/>
  <c r="AS70" i="70" s="1"/>
  <c r="AS103" i="65"/>
  <c r="AS103" i="70" s="1"/>
  <c r="AR105" i="65"/>
  <c r="AR105" i="70" s="1"/>
  <c r="AP141" i="65"/>
  <c r="AP141" i="70" s="1"/>
  <c r="AP19" i="65"/>
  <c r="AP19" i="70" s="1"/>
  <c r="AP137" i="65"/>
  <c r="AP137" i="70" s="1"/>
  <c r="AQ106" i="65"/>
  <c r="AQ106" i="70" s="1"/>
  <c r="AQ17" i="65"/>
  <c r="AQ17" i="70" s="1"/>
  <c r="AA6" i="66"/>
  <c r="AA6" i="71" s="1"/>
  <c r="AT7" i="67"/>
  <c r="AR71" i="65"/>
  <c r="AR71" i="70" s="1"/>
  <c r="AR15" i="65"/>
  <c r="AR15" i="70" s="1"/>
  <c r="AB41" i="67"/>
  <c r="AB41" i="72" s="1"/>
  <c r="AS12" i="65" l="1"/>
  <c r="AT127" i="65"/>
  <c r="AT130" i="65" s="1"/>
  <c r="AT130" i="70" s="1"/>
  <c r="AR72" i="65"/>
  <c r="AR72" i="70" s="1"/>
  <c r="AS131" i="65"/>
  <c r="AS131" i="70" s="1"/>
  <c r="AS15" i="65"/>
  <c r="AS15" i="70" s="1"/>
  <c r="AP142" i="65"/>
  <c r="AP142" i="70" s="1"/>
  <c r="AR17" i="65"/>
  <c r="AR17" i="70" s="1"/>
  <c r="AS105" i="65"/>
  <c r="AS105" i="70" s="1"/>
  <c r="AR106" i="65"/>
  <c r="AR106" i="70" s="1"/>
  <c r="AC21" i="65"/>
  <c r="AC21" i="70" s="1"/>
  <c r="AA46" i="67"/>
  <c r="AA46" i="72" s="1"/>
  <c r="AA11" i="66"/>
  <c r="AA11" i="71" s="1"/>
  <c r="AB6" i="66"/>
  <c r="AB6" i="71" s="1"/>
  <c r="AT99" i="65"/>
  <c r="AT14" i="66"/>
  <c r="AC40" i="67"/>
  <c r="AC40" i="72" s="1"/>
  <c r="AG40" i="67"/>
  <c r="AG40" i="72" s="1"/>
  <c r="AT66" i="65"/>
  <c r="AS71" i="65"/>
  <c r="AS71" i="70" s="1"/>
  <c r="AQ19" i="65"/>
  <c r="AQ19" i="70" s="1"/>
  <c r="AQ141" i="65"/>
  <c r="AQ141" i="70" s="1"/>
  <c r="AS106" i="65" l="1"/>
  <c r="AS106" i="70" s="1"/>
  <c r="AR141" i="65"/>
  <c r="AR141" i="70" s="1"/>
  <c r="AR19" i="65"/>
  <c r="AR19" i="70" s="1"/>
  <c r="AQ142" i="65"/>
  <c r="AQ142" i="70" s="1"/>
  <c r="AQ65" i="66"/>
  <c r="AQ65" i="71" s="1"/>
  <c r="AU99" i="65"/>
  <c r="AT103" i="65"/>
  <c r="AT103" i="70" s="1"/>
  <c r="AB46" i="67"/>
  <c r="AB46" i="72" s="1"/>
  <c r="AB11" i="66"/>
  <c r="AB11" i="71" s="1"/>
  <c r="AA48" i="67"/>
  <c r="AA48" i="72" s="1"/>
  <c r="AU7" i="67"/>
  <c r="AU127" i="65" s="1"/>
  <c r="AA20" i="66"/>
  <c r="AA20" i="71" s="1"/>
  <c r="AS17" i="65"/>
  <c r="AS72" i="65"/>
  <c r="AS72" i="70" s="1"/>
  <c r="AC23" i="65"/>
  <c r="AC23" i="70" s="1"/>
  <c r="AT131" i="65"/>
  <c r="AT131" i="70" s="1"/>
  <c r="AU66" i="65"/>
  <c r="AV66" i="65" s="1"/>
  <c r="AT70" i="65"/>
  <c r="AT70" i="70" s="1"/>
  <c r="AT12" i="65"/>
  <c r="AR137" i="65"/>
  <c r="AR137" i="70" s="1"/>
  <c r="AS137" i="65" l="1"/>
  <c r="AS137" i="70" s="1"/>
  <c r="AS17" i="70"/>
  <c r="AU130" i="65"/>
  <c r="AU130" i="70" s="1"/>
  <c r="AV127" i="65"/>
  <c r="AU103" i="65"/>
  <c r="AU103" i="70" s="1"/>
  <c r="AQ64" i="66"/>
  <c r="AQ64" i="71" s="1"/>
  <c r="AT71" i="65"/>
  <c r="AT71" i="70" s="1"/>
  <c r="AV7" i="67"/>
  <c r="AV70" i="65"/>
  <c r="AV70" i="70" s="1"/>
  <c r="AU70" i="65"/>
  <c r="AU70" i="70" s="1"/>
  <c r="AU12" i="65"/>
  <c r="AC24" i="65"/>
  <c r="AC24" i="70" s="1"/>
  <c r="AT105" i="65"/>
  <c r="AT105" i="70" s="1"/>
  <c r="AT15" i="65"/>
  <c r="AT15" i="70" s="1"/>
  <c r="AB20" i="66"/>
  <c r="AB20" i="71" s="1"/>
  <c r="AS19" i="65"/>
  <c r="AS19" i="70" s="1"/>
  <c r="AS141" i="65"/>
  <c r="AS141" i="70" s="1"/>
  <c r="AR142" i="65"/>
  <c r="AR142" i="70" s="1"/>
  <c r="AB48" i="67"/>
  <c r="AB48" i="72" s="1"/>
  <c r="AA43" i="71"/>
  <c r="AA43" i="66"/>
  <c r="AU14" i="66"/>
  <c r="AV99" i="65"/>
  <c r="AU71" i="65" l="1"/>
  <c r="AU71" i="70" s="1"/>
  <c r="AB43" i="71"/>
  <c r="AB43" i="66"/>
  <c r="AS142" i="65"/>
  <c r="AS142" i="70" s="1"/>
  <c r="AT17" i="65"/>
  <c r="AT106" i="65"/>
  <c r="AT106" i="70" s="1"/>
  <c r="AU15" i="65"/>
  <c r="AU15" i="70" s="1"/>
  <c r="AV14" i="66"/>
  <c r="AV130" i="65"/>
  <c r="AV130" i="70" s="1"/>
  <c r="AV103" i="65"/>
  <c r="AV103" i="70" s="1"/>
  <c r="AT72" i="65"/>
  <c r="AT72" i="70" s="1"/>
  <c r="AV71" i="65"/>
  <c r="AV71" i="70" s="1"/>
  <c r="AU105" i="65"/>
  <c r="AU105" i="70" s="1"/>
  <c r="AC29" i="65"/>
  <c r="AC29" i="70" s="1"/>
  <c r="AU131" i="65"/>
  <c r="AU131" i="70" s="1"/>
  <c r="AV12" i="65"/>
  <c r="AC25" i="65"/>
  <c r="AC25" i="70" s="1"/>
  <c r="AV105" i="65" l="1"/>
  <c r="AV105" i="70" s="1"/>
  <c r="AT137" i="65"/>
  <c r="AT137" i="70" s="1"/>
  <c r="AT17" i="70"/>
  <c r="AU17" i="65"/>
  <c r="AU17" i="70" s="1"/>
  <c r="AC34" i="65"/>
  <c r="AT141" i="65"/>
  <c r="AT141" i="70" s="1"/>
  <c r="AT19" i="65"/>
  <c r="AT19" i="70" s="1"/>
  <c r="AV106" i="65"/>
  <c r="AV106" i="70" s="1"/>
  <c r="AU106" i="65"/>
  <c r="AU106" i="70" s="1"/>
  <c r="AV131" i="65"/>
  <c r="AV131" i="70" s="1"/>
  <c r="AU72" i="65"/>
  <c r="AU72" i="70" s="1"/>
  <c r="AV15" i="65"/>
  <c r="AV15" i="70" s="1"/>
  <c r="AV72" i="65"/>
  <c r="AV72" i="70" s="1"/>
  <c r="AC6" i="67"/>
  <c r="AC6" i="72" s="1"/>
  <c r="AC27" i="65"/>
  <c r="AC27" i="70" s="1"/>
  <c r="AC34" i="70" l="1"/>
  <c r="AT142" i="65"/>
  <c r="AT142" i="70" s="1"/>
  <c r="AC33" i="65"/>
  <c r="AC33" i="70" s="1"/>
  <c r="AC32" i="65"/>
  <c r="AC32" i="70" s="1"/>
  <c r="AU19" i="65"/>
  <c r="AU19" i="70" s="1"/>
  <c r="AU141" i="65"/>
  <c r="AU141" i="70" s="1"/>
  <c r="AC22" i="67"/>
  <c r="AC22" i="72" s="1"/>
  <c r="AC38" i="66"/>
  <c r="AC38" i="71" s="1"/>
  <c r="AV17" i="65"/>
  <c r="AV17" i="70" s="1"/>
  <c r="AC147" i="65"/>
  <c r="AC147" i="70" s="1"/>
  <c r="AU137" i="65"/>
  <c r="AU137" i="70" s="1"/>
  <c r="AC55" i="67" l="1"/>
  <c r="AC55" i="72" s="1"/>
  <c r="AC42" i="67"/>
  <c r="AC42" i="72" s="1"/>
  <c r="AC146" i="65"/>
  <c r="AC146" i="70" s="1"/>
  <c r="AU142" i="65"/>
  <c r="AU142" i="70" s="1"/>
  <c r="AV141" i="65"/>
  <c r="AV141" i="70" s="1"/>
  <c r="AV19" i="65"/>
  <c r="AV19" i="70" s="1"/>
  <c r="AC41" i="66"/>
  <c r="AC41" i="71" s="1"/>
  <c r="AC42" i="66" l="1"/>
  <c r="AC42" i="71" s="1"/>
  <c r="AC62" i="66"/>
  <c r="AC62" i="71" s="1"/>
  <c r="AV65" i="66"/>
  <c r="AV65" i="71" s="1"/>
  <c r="AV142" i="65"/>
  <c r="AV142" i="70" s="1"/>
  <c r="AC148" i="65"/>
  <c r="AC148" i="70" s="1"/>
  <c r="AV64" i="66" l="1"/>
  <c r="AV64" i="71" s="1"/>
  <c r="AC7" i="66"/>
  <c r="AC7" i="71" s="1"/>
  <c r="AC12" i="66"/>
  <c r="AC12" i="71" s="1"/>
  <c r="AC17" i="66"/>
  <c r="AC17" i="71" s="1"/>
  <c r="AC24" i="67" l="1"/>
  <c r="AC24" i="72" s="1"/>
  <c r="AC26" i="67"/>
  <c r="AC26" i="72" s="1"/>
  <c r="AC27" i="67" l="1"/>
  <c r="AC27" i="72" s="1"/>
  <c r="AC39" i="67" l="1"/>
  <c r="AC39" i="72" s="1"/>
  <c r="AC41" i="67" l="1"/>
  <c r="AC41" i="72" s="1"/>
  <c r="AD40" i="67" l="1"/>
  <c r="AD40" i="72" s="1"/>
  <c r="AC6" i="66"/>
  <c r="AC6" i="71" s="1"/>
  <c r="AC46" i="67" l="1"/>
  <c r="AC46" i="72" s="1"/>
  <c r="AC11" i="66"/>
  <c r="AC11" i="71" s="1"/>
  <c r="AD21" i="65"/>
  <c r="AD21" i="70" s="1"/>
  <c r="AD23" i="65" l="1"/>
  <c r="AD23" i="70" s="1"/>
  <c r="AC20" i="66"/>
  <c r="AC20" i="71" s="1"/>
  <c r="AC48" i="67"/>
  <c r="AC48" i="72" s="1"/>
  <c r="AC43" i="71" l="1"/>
  <c r="AC43" i="66"/>
  <c r="AD24" i="65"/>
  <c r="AD25" i="65" l="1"/>
  <c r="AD25" i="70" s="1"/>
  <c r="AD24" i="70"/>
  <c r="AD27" i="65"/>
  <c r="AD27" i="70" s="1"/>
  <c r="AD6" i="67"/>
  <c r="AD6" i="72" s="1"/>
  <c r="AD29" i="65"/>
  <c r="AD29" i="70" s="1"/>
  <c r="AD34" i="65" l="1"/>
  <c r="AD22" i="67"/>
  <c r="AD22" i="72" s="1"/>
  <c r="AD38" i="66"/>
  <c r="AD38" i="71" s="1"/>
  <c r="AD33" i="65"/>
  <c r="AD33" i="70" s="1"/>
  <c r="AD32" i="65"/>
  <c r="AD32" i="70" s="1"/>
  <c r="AD34" i="70" l="1"/>
  <c r="C11" i="69"/>
  <c r="C29" i="69" s="1"/>
  <c r="AD41" i="66"/>
  <c r="AD41" i="71" s="1"/>
  <c r="AD55" i="67"/>
  <c r="AD55" i="72" s="1"/>
  <c r="AD42" i="67"/>
  <c r="AD42" i="72" s="1"/>
  <c r="AD146" i="65"/>
  <c r="AD146" i="70" s="1"/>
  <c r="AD147" i="65"/>
  <c r="AD147" i="70" s="1"/>
  <c r="AD148" i="65" l="1"/>
  <c r="AD148" i="70" s="1"/>
  <c r="AD42" i="66"/>
  <c r="AD42" i="71" s="1"/>
  <c r="AD62" i="66"/>
  <c r="AD62" i="71" s="1"/>
  <c r="AD7" i="66" l="1"/>
  <c r="AD7" i="71" s="1"/>
  <c r="AD12" i="66"/>
  <c r="AD12" i="71" s="1"/>
  <c r="AD17" i="66"/>
  <c r="AD17" i="71" s="1"/>
  <c r="AD26" i="67" l="1"/>
  <c r="AD26" i="72" s="1"/>
  <c r="AD24" i="67"/>
  <c r="AD24" i="72" s="1"/>
  <c r="AD27" i="67" l="1"/>
  <c r="AD27" i="72" s="1"/>
  <c r="AD39" i="67" l="1"/>
  <c r="AD39" i="72" s="1"/>
  <c r="AD41" i="67" l="1"/>
  <c r="AD41" i="72" s="1"/>
  <c r="AE40" i="67" l="1"/>
  <c r="AE40" i="72" s="1"/>
  <c r="AD6" i="66"/>
  <c r="AD6" i="71" s="1"/>
  <c r="AE21" i="65" l="1"/>
  <c r="AE21" i="70" s="1"/>
  <c r="AD11" i="66"/>
  <c r="AD11" i="71" s="1"/>
  <c r="AD46" i="67"/>
  <c r="AD46" i="72" s="1"/>
  <c r="AE23" i="65" l="1"/>
  <c r="AE23" i="70" s="1"/>
  <c r="AD48" i="67"/>
  <c r="AD48" i="72" s="1"/>
  <c r="AD20" i="66"/>
  <c r="AD20" i="71" s="1"/>
  <c r="AD43" i="71" l="1"/>
  <c r="AD43" i="66"/>
  <c r="AE24" i="65"/>
  <c r="AE24" i="70" s="1"/>
  <c r="AE29" i="65" l="1"/>
  <c r="AE29" i="70" s="1"/>
  <c r="AE25" i="65"/>
  <c r="AE25" i="70" s="1"/>
  <c r="AE34" i="65" l="1"/>
  <c r="AE34" i="70" s="1"/>
  <c r="AE27" i="65"/>
  <c r="AE27" i="70" s="1"/>
  <c r="AE6" i="67"/>
  <c r="AE6" i="72" s="1"/>
  <c r="AE22" i="67" l="1"/>
  <c r="AE22" i="72" s="1"/>
  <c r="AE38" i="66"/>
  <c r="AE38" i="71" s="1"/>
  <c r="AE33" i="65"/>
  <c r="AE33" i="70" s="1"/>
  <c r="AE32" i="65"/>
  <c r="AE32" i="70" s="1"/>
  <c r="AE147" i="65"/>
  <c r="AE147" i="70" s="1"/>
  <c r="AE146" i="65" l="1"/>
  <c r="AE146" i="70" s="1"/>
  <c r="AE41" i="66"/>
  <c r="AE41" i="71" s="1"/>
  <c r="AE42" i="67"/>
  <c r="AE42" i="72" s="1"/>
  <c r="AE55" i="67"/>
  <c r="AE55" i="72" s="1"/>
  <c r="AE148" i="65" l="1"/>
  <c r="AE148" i="70" s="1"/>
  <c r="AE62" i="66"/>
  <c r="AE62" i="71" s="1"/>
  <c r="AE42" i="66"/>
  <c r="AE42" i="71" s="1"/>
  <c r="AE7" i="66" l="1"/>
  <c r="AE7" i="71" s="1"/>
  <c r="AE12" i="66"/>
  <c r="AE12" i="71" s="1"/>
  <c r="AE17" i="66"/>
  <c r="AE17" i="71" s="1"/>
  <c r="AE26" i="67" l="1"/>
  <c r="AE26" i="72" s="1"/>
  <c r="AE24" i="67"/>
  <c r="AE24" i="72" s="1"/>
  <c r="AE27" i="67" l="1"/>
  <c r="AE27" i="72" s="1"/>
  <c r="AE39" i="67" l="1"/>
  <c r="AE39" i="72" s="1"/>
  <c r="AE41" i="67" l="1"/>
  <c r="AE41" i="72" s="1"/>
  <c r="AF40" i="67" l="1"/>
  <c r="AF40" i="72" s="1"/>
  <c r="AE6" i="66"/>
  <c r="AE6" i="71" s="1"/>
  <c r="AF21" i="65" l="1"/>
  <c r="AF21" i="70" s="1"/>
  <c r="AE46" i="67"/>
  <c r="AE46" i="72" s="1"/>
  <c r="AE11" i="66"/>
  <c r="AE11" i="71" s="1"/>
  <c r="AE48" i="67" l="1"/>
  <c r="AE48" i="72" s="1"/>
  <c r="AE20" i="66"/>
  <c r="AE20" i="71" s="1"/>
  <c r="AF23" i="65"/>
  <c r="AF23" i="70" s="1"/>
  <c r="AG21" i="65"/>
  <c r="AG21" i="70" s="1"/>
  <c r="AF24" i="65" l="1"/>
  <c r="AG23" i="65"/>
  <c r="AG23" i="70" s="1"/>
  <c r="AE43" i="71"/>
  <c r="AE43" i="66"/>
  <c r="AF25" i="65" l="1"/>
  <c r="AF25" i="70" s="1"/>
  <c r="AF24" i="70"/>
  <c r="AF6" i="67"/>
  <c r="AF6" i="72" s="1"/>
  <c r="AF27" i="65"/>
  <c r="AF27" i="70" s="1"/>
  <c r="AG24" i="65"/>
  <c r="AG24" i="70" s="1"/>
  <c r="AF29" i="65"/>
  <c r="AF29" i="70" s="1"/>
  <c r="AF33" i="65" l="1"/>
  <c r="AF33" i="70" s="1"/>
  <c r="AF32" i="65"/>
  <c r="AF32" i="70" s="1"/>
  <c r="AF34" i="65"/>
  <c r="AF34" i="70" s="1"/>
  <c r="AG143" i="65"/>
  <c r="AG143" i="70" s="1"/>
  <c r="AG29" i="65"/>
  <c r="AG29" i="70" s="1"/>
  <c r="AG25" i="65"/>
  <c r="AG25" i="70" s="1"/>
  <c r="AF22" i="67"/>
  <c r="AF22" i="72" s="1"/>
  <c r="AG6" i="67"/>
  <c r="AG6" i="72" s="1"/>
  <c r="AF38" i="66"/>
  <c r="AF38" i="71" s="1"/>
  <c r="AG27" i="65" l="1"/>
  <c r="AG27" i="70" s="1"/>
  <c r="AG22" i="67"/>
  <c r="AG22" i="72" s="1"/>
  <c r="AG38" i="66"/>
  <c r="AG38" i="71" s="1"/>
  <c r="AF41" i="66"/>
  <c r="AF41" i="71" s="1"/>
  <c r="AF55" i="67"/>
  <c r="AF55" i="72" s="1"/>
  <c r="AF42" i="67"/>
  <c r="AF42" i="72" s="1"/>
  <c r="AF147" i="65"/>
  <c r="AF147" i="70" s="1"/>
  <c r="AF146" i="65"/>
  <c r="AF146" i="70" s="1"/>
  <c r="AG41" i="66" l="1"/>
  <c r="AG41" i="71" s="1"/>
  <c r="AG42" i="67"/>
  <c r="AG42" i="72" s="1"/>
  <c r="AG30" i="65"/>
  <c r="AG30" i="70" s="1"/>
  <c r="AG31" i="65"/>
  <c r="AG31" i="70" s="1"/>
  <c r="AF148" i="65"/>
  <c r="AF148" i="70" s="1"/>
  <c r="AF62" i="66"/>
  <c r="AF62" i="71" s="1"/>
  <c r="AF42" i="66"/>
  <c r="AF42" i="71" s="1"/>
  <c r="AG55" i="67"/>
  <c r="AG55" i="72" s="1"/>
  <c r="AF7" i="66" l="1"/>
  <c r="AF7" i="71" s="1"/>
  <c r="AF12" i="66"/>
  <c r="AF12" i="71" s="1"/>
  <c r="AF17" i="66"/>
  <c r="AF17" i="71" s="1"/>
  <c r="AG34" i="65"/>
  <c r="AG34" i="70" s="1"/>
  <c r="AG148" i="65"/>
  <c r="AG148" i="70" s="1"/>
  <c r="AG33" i="65"/>
  <c r="AG33" i="70" s="1"/>
  <c r="AG32" i="65"/>
  <c r="AG32" i="70" s="1"/>
  <c r="AG44" i="67"/>
  <c r="AG44" i="72" s="1"/>
  <c r="AG42" i="66"/>
  <c r="AG42" i="71" s="1"/>
  <c r="AG146" i="65" l="1"/>
  <c r="AG146" i="70" s="1"/>
  <c r="AG36" i="65"/>
  <c r="AG36" i="70" s="1"/>
  <c r="AG17" i="66"/>
  <c r="AG17" i="71" s="1"/>
  <c r="AF26" i="67"/>
  <c r="AF26" i="72" s="1"/>
  <c r="AG147" i="65"/>
  <c r="AG147" i="70" s="1"/>
  <c r="AG12" i="66"/>
  <c r="AG12" i="71" s="1"/>
  <c r="AG7" i="66"/>
  <c r="AG7" i="71" s="1"/>
  <c r="AF24" i="67"/>
  <c r="AF24" i="72" s="1"/>
  <c r="AG26" i="67" l="1"/>
  <c r="AG26" i="72" s="1"/>
  <c r="AF27" i="67"/>
  <c r="AF27" i="72" s="1"/>
  <c r="AG24" i="67"/>
  <c r="AG24" i="72" s="1"/>
  <c r="AG27" i="67" l="1"/>
  <c r="AG27" i="72" s="1"/>
  <c r="AF39" i="67"/>
  <c r="AF39" i="72" s="1"/>
  <c r="AF41" i="67" l="1"/>
  <c r="AF41" i="72" s="1"/>
  <c r="AG39" i="67"/>
  <c r="AG39" i="72" s="1"/>
  <c r="AG41" i="67" l="1"/>
  <c r="AG41" i="72" s="1"/>
  <c r="AF6" i="66"/>
  <c r="AF6" i="71" s="1"/>
  <c r="AG6" i="66" l="1"/>
  <c r="AG6" i="71" s="1"/>
  <c r="AF46" i="67"/>
  <c r="AF46" i="72" s="1"/>
  <c r="AF11" i="66"/>
  <c r="AF11" i="71" s="1"/>
  <c r="AH21" i="65"/>
  <c r="AH21" i="70" s="1"/>
  <c r="AH40" i="67"/>
  <c r="AH40" i="72" s="1"/>
  <c r="AL40" i="67"/>
  <c r="AL40" i="72" s="1"/>
  <c r="AF20" i="66" l="1"/>
  <c r="AF20" i="71" s="1"/>
  <c r="AH23" i="65"/>
  <c r="AH23" i="70" s="1"/>
  <c r="AF48" i="67"/>
  <c r="AF48" i="72" s="1"/>
  <c r="AG46" i="67"/>
  <c r="AG46" i="72" s="1"/>
  <c r="AG11" i="66"/>
  <c r="AG11" i="71" s="1"/>
  <c r="AG48" i="67" l="1"/>
  <c r="AG48" i="72" s="1"/>
  <c r="AG20" i="66"/>
  <c r="AG20" i="71" s="1"/>
  <c r="AH24" i="65"/>
  <c r="AH24" i="70" s="1"/>
  <c r="AF43" i="71"/>
  <c r="AF43" i="66"/>
  <c r="AH29" i="65" l="1"/>
  <c r="AH29" i="70" s="1"/>
  <c r="AG43" i="71"/>
  <c r="AG43" i="66"/>
  <c r="AH25" i="65"/>
  <c r="AH25" i="70" s="1"/>
  <c r="AH27" i="65" l="1"/>
  <c r="AH27" i="70" s="1"/>
  <c r="AH6" i="67"/>
  <c r="AH6" i="72" s="1"/>
  <c r="AH34" i="65"/>
  <c r="AH34" i="70" s="1"/>
  <c r="AH22" i="67" l="1"/>
  <c r="AH22" i="72" s="1"/>
  <c r="AH38" i="66"/>
  <c r="AH38" i="71" s="1"/>
  <c r="AH147" i="65"/>
  <c r="AH147" i="70" s="1"/>
  <c r="AH33" i="65"/>
  <c r="AH33" i="70" s="1"/>
  <c r="AH32" i="65"/>
  <c r="AH32" i="70" s="1"/>
  <c r="AH146" i="65" l="1"/>
  <c r="AH146" i="70" s="1"/>
  <c r="AH42" i="67"/>
  <c r="AH42" i="72" s="1"/>
  <c r="AH55" i="67"/>
  <c r="AH55" i="72" s="1"/>
  <c r="AH41" i="66"/>
  <c r="AH41" i="71" s="1"/>
  <c r="AH42" i="66" l="1"/>
  <c r="AH42" i="71" s="1"/>
  <c r="AH62" i="66"/>
  <c r="AH62" i="71" s="1"/>
  <c r="AH148" i="65"/>
  <c r="AH148" i="70" s="1"/>
  <c r="AH7" i="66" l="1"/>
  <c r="AH7" i="71" s="1"/>
  <c r="AH12" i="66"/>
  <c r="AH12" i="71" s="1"/>
  <c r="AH17" i="66"/>
  <c r="AH17" i="71" s="1"/>
  <c r="AH26" i="67" l="1"/>
  <c r="AH26" i="72" s="1"/>
  <c r="AH24" i="67"/>
  <c r="AH24" i="72" s="1"/>
  <c r="AH27" i="67" l="1"/>
  <c r="AH27" i="72" s="1"/>
  <c r="AH39" i="67" l="1"/>
  <c r="AH39" i="72" s="1"/>
  <c r="AH41" i="67" l="1"/>
  <c r="AH41" i="72" s="1"/>
  <c r="AI40" i="67" l="1"/>
  <c r="AI40" i="72" s="1"/>
  <c r="AH6" i="66"/>
  <c r="AH6" i="71" s="1"/>
  <c r="AH46" i="67" l="1"/>
  <c r="AH46" i="72" s="1"/>
  <c r="AI21" i="65"/>
  <c r="AI21" i="70" s="1"/>
  <c r="AH11" i="66"/>
  <c r="AH11" i="71" s="1"/>
  <c r="AH20" i="66" l="1"/>
  <c r="AH20" i="71" s="1"/>
  <c r="AI23" i="65"/>
  <c r="AI23" i="70" s="1"/>
  <c r="AH48" i="67"/>
  <c r="AH48" i="72" s="1"/>
  <c r="AI24" i="65" l="1"/>
  <c r="AI24" i="70" s="1"/>
  <c r="AH43" i="71"/>
  <c r="AH43" i="66"/>
  <c r="AI29" i="65" l="1"/>
  <c r="AI29" i="70" s="1"/>
  <c r="AI25" i="65"/>
  <c r="AI25" i="70" s="1"/>
  <c r="AI27" i="65" l="1"/>
  <c r="AI27" i="70" s="1"/>
  <c r="AI6" i="67"/>
  <c r="AI6" i="72" s="1"/>
  <c r="AI34" i="65"/>
  <c r="AI34" i="70" s="1"/>
  <c r="AI147" i="65" l="1"/>
  <c r="AI147" i="70" s="1"/>
  <c r="AI22" i="67"/>
  <c r="AI22" i="72" s="1"/>
  <c r="AI38" i="66"/>
  <c r="AI38" i="71" s="1"/>
  <c r="AI33" i="65"/>
  <c r="AI33" i="70" s="1"/>
  <c r="AI32" i="65"/>
  <c r="AI32" i="70" s="1"/>
  <c r="AI146" i="65" l="1"/>
  <c r="AI146" i="70" s="1"/>
  <c r="AI55" i="67"/>
  <c r="AI55" i="72" s="1"/>
  <c r="AI42" i="67"/>
  <c r="AI42" i="72" s="1"/>
  <c r="AI41" i="66"/>
  <c r="AI41" i="71" s="1"/>
  <c r="AI148" i="65" l="1"/>
  <c r="AI148" i="70" s="1"/>
  <c r="AI42" i="66"/>
  <c r="AI42" i="71" s="1"/>
  <c r="AI62" i="66"/>
  <c r="AI62" i="71" s="1"/>
  <c r="AI7" i="66" l="1"/>
  <c r="AI7" i="71" s="1"/>
  <c r="AI12" i="66"/>
  <c r="AI12" i="71" s="1"/>
  <c r="AI17" i="66"/>
  <c r="AI17" i="71" s="1"/>
  <c r="AI26" i="67" l="1"/>
  <c r="AI26" i="72" s="1"/>
  <c r="AI24" i="67"/>
  <c r="AI24" i="72" s="1"/>
  <c r="AI27" i="67" l="1"/>
  <c r="AI27" i="72" s="1"/>
  <c r="AI39" i="67" l="1"/>
  <c r="AI39" i="72" s="1"/>
  <c r="AI41" i="67" l="1"/>
  <c r="AI41" i="72" s="1"/>
  <c r="AJ40" i="67" l="1"/>
  <c r="AJ40" i="72" s="1"/>
  <c r="AI6" i="66"/>
  <c r="AI6" i="71" s="1"/>
  <c r="AJ21" i="65" l="1"/>
  <c r="AJ21" i="70" s="1"/>
  <c r="AI11" i="66"/>
  <c r="AI11" i="71" s="1"/>
  <c r="AI46" i="67"/>
  <c r="AI46" i="72" s="1"/>
  <c r="AI48" i="67" l="1"/>
  <c r="AI48" i="72" s="1"/>
  <c r="AI20" i="66"/>
  <c r="AI20" i="71" s="1"/>
  <c r="AJ23" i="65"/>
  <c r="AJ23" i="70" s="1"/>
  <c r="AJ24" i="65" l="1"/>
  <c r="AJ24" i="70" s="1"/>
  <c r="AI43" i="71"/>
  <c r="AI43" i="66"/>
  <c r="AJ29" i="65" l="1"/>
  <c r="AJ29" i="70" s="1"/>
  <c r="AJ25" i="65"/>
  <c r="AJ25" i="70" s="1"/>
  <c r="AJ34" i="65" l="1"/>
  <c r="AJ34" i="70" s="1"/>
  <c r="AJ27" i="65"/>
  <c r="AJ27" i="70" s="1"/>
  <c r="AJ6" i="67"/>
  <c r="AJ6" i="72" s="1"/>
  <c r="AJ32" i="65" l="1"/>
  <c r="AJ32" i="70" s="1"/>
  <c r="AJ33" i="65"/>
  <c r="AJ33" i="70" s="1"/>
  <c r="AJ22" i="67"/>
  <c r="AJ22" i="72" s="1"/>
  <c r="AJ38" i="66"/>
  <c r="AJ38" i="71" s="1"/>
  <c r="AJ147" i="65"/>
  <c r="AJ147" i="70" s="1"/>
  <c r="AJ41" i="66" l="1"/>
  <c r="AJ41" i="71" s="1"/>
  <c r="AJ55" i="67"/>
  <c r="AJ55" i="72" s="1"/>
  <c r="AJ42" i="67"/>
  <c r="AJ42" i="72" s="1"/>
  <c r="AJ146" i="65"/>
  <c r="AJ146" i="70" s="1"/>
  <c r="AJ148" i="65" l="1"/>
  <c r="AJ148" i="70" s="1"/>
  <c r="AJ62" i="66"/>
  <c r="AJ62" i="71" s="1"/>
  <c r="AJ42" i="66"/>
  <c r="AJ42" i="71" s="1"/>
  <c r="AJ7" i="66" l="1"/>
  <c r="AJ7" i="71" s="1"/>
  <c r="AJ12" i="66"/>
  <c r="AJ12" i="71" s="1"/>
  <c r="AJ17" i="66"/>
  <c r="AJ17" i="71" s="1"/>
  <c r="AJ26" i="67" l="1"/>
  <c r="AJ26" i="72" s="1"/>
  <c r="AJ24" i="67"/>
  <c r="AJ24" i="72" s="1"/>
  <c r="AJ27" i="67" l="1"/>
  <c r="AJ27" i="72" s="1"/>
  <c r="AJ39" i="67" l="1"/>
  <c r="AJ39" i="72" s="1"/>
  <c r="AJ41" i="67" l="1"/>
  <c r="AJ41" i="72" s="1"/>
  <c r="AJ6" i="66" l="1"/>
  <c r="AJ6" i="71" s="1"/>
  <c r="AK40" i="67"/>
  <c r="AK40" i="72" s="1"/>
  <c r="AJ11" i="66" l="1"/>
  <c r="AJ11" i="71" s="1"/>
  <c r="AJ46" i="67"/>
  <c r="AJ46" i="72" s="1"/>
  <c r="AK21" i="65"/>
  <c r="AK21" i="70" s="1"/>
  <c r="AJ20" i="66" l="1"/>
  <c r="AJ20" i="71" s="1"/>
  <c r="AK23" i="65"/>
  <c r="AK23" i="70" s="1"/>
  <c r="AL21" i="65"/>
  <c r="AL21" i="70" s="1"/>
  <c r="AJ48" i="67"/>
  <c r="AJ48" i="72" s="1"/>
  <c r="AL23" i="65" l="1"/>
  <c r="AL23" i="70" s="1"/>
  <c r="AK24" i="65"/>
  <c r="AJ43" i="71"/>
  <c r="AJ43" i="66"/>
  <c r="AK25" i="65" l="1"/>
  <c r="AK25" i="70" s="1"/>
  <c r="AK24" i="70"/>
  <c r="AK27" i="65"/>
  <c r="AK27" i="70" s="1"/>
  <c r="AK6" i="67"/>
  <c r="AK6" i="72" s="1"/>
  <c r="AL24" i="65"/>
  <c r="AL24" i="70" s="1"/>
  <c r="AK29" i="65"/>
  <c r="AK29" i="70" s="1"/>
  <c r="AK22" i="67" l="1"/>
  <c r="AK22" i="72" s="1"/>
  <c r="AL6" i="67"/>
  <c r="AL6" i="72" s="1"/>
  <c r="AK38" i="66"/>
  <c r="AK38" i="71" s="1"/>
  <c r="AK34" i="65"/>
  <c r="AK34" i="70" s="1"/>
  <c r="AL143" i="65"/>
  <c r="AL143" i="70" s="1"/>
  <c r="AL29" i="65"/>
  <c r="AL29" i="70" s="1"/>
  <c r="AL25" i="65"/>
  <c r="AL25" i="70" s="1"/>
  <c r="AK32" i="65"/>
  <c r="AK32" i="70" s="1"/>
  <c r="AK33" i="65"/>
  <c r="AK33" i="70" s="1"/>
  <c r="AK146" i="65" l="1"/>
  <c r="AK146" i="70" s="1"/>
  <c r="AK147" i="65"/>
  <c r="AK147" i="70" s="1"/>
  <c r="AL27" i="65"/>
  <c r="AL27" i="70" s="1"/>
  <c r="AL38" i="66"/>
  <c r="AL38" i="71" s="1"/>
  <c r="AK41" i="66"/>
  <c r="AK41" i="71" s="1"/>
  <c r="AL22" i="67"/>
  <c r="AL22" i="72" s="1"/>
  <c r="AK42" i="67"/>
  <c r="AK42" i="72" s="1"/>
  <c r="AK55" i="67"/>
  <c r="AK55" i="72" s="1"/>
  <c r="AL31" i="65" l="1"/>
  <c r="AL30" i="65"/>
  <c r="AL30" i="70" s="1"/>
  <c r="AL42" i="67"/>
  <c r="AL42" i="72" s="1"/>
  <c r="AK62" i="66"/>
  <c r="AK62" i="71" s="1"/>
  <c r="AK42" i="66"/>
  <c r="AK42" i="71" s="1"/>
  <c r="AL41" i="66"/>
  <c r="AL41" i="71" s="1"/>
  <c r="AL55" i="67"/>
  <c r="AL55" i="72" s="1"/>
  <c r="AK148" i="65"/>
  <c r="AK148" i="70" s="1"/>
  <c r="AL33" i="65" l="1"/>
  <c r="AL33" i="70" s="1"/>
  <c r="AL31" i="70"/>
  <c r="AL148" i="65"/>
  <c r="AL148" i="70" s="1"/>
  <c r="AL42" i="66"/>
  <c r="AL42" i="71" s="1"/>
  <c r="AK7" i="66"/>
  <c r="AK7" i="71" s="1"/>
  <c r="AK12" i="66"/>
  <c r="AK12" i="71" s="1"/>
  <c r="AK17" i="66"/>
  <c r="AK17" i="71" s="1"/>
  <c r="AL44" i="67"/>
  <c r="AL44" i="72" s="1"/>
  <c r="AL34" i="65"/>
  <c r="AL34" i="70" s="1"/>
  <c r="AL32" i="65"/>
  <c r="AL32" i="70" s="1"/>
  <c r="AL146" i="65" l="1"/>
  <c r="AL146" i="70" s="1"/>
  <c r="AL36" i="65"/>
  <c r="AL36" i="70" s="1"/>
  <c r="AL7" i="66"/>
  <c r="AL7" i="71" s="1"/>
  <c r="AK24" i="67"/>
  <c r="AK24" i="72" s="1"/>
  <c r="AL12" i="66"/>
  <c r="AL12" i="71" s="1"/>
  <c r="AK26" i="67"/>
  <c r="AK26" i="72" s="1"/>
  <c r="AL17" i="66"/>
  <c r="AL17" i="71" s="1"/>
  <c r="AL147" i="65"/>
  <c r="AL147" i="70" s="1"/>
  <c r="AL59" i="67"/>
  <c r="AL59" i="72" s="1"/>
  <c r="AL149" i="65"/>
  <c r="AL149" i="70" s="1"/>
  <c r="AL26" i="67" l="1"/>
  <c r="AL26" i="72" s="1"/>
  <c r="AL61" i="67"/>
  <c r="AL61" i="72" s="1"/>
  <c r="AK27" i="67"/>
  <c r="AK27" i="72" s="1"/>
  <c r="AL24" i="67"/>
  <c r="AL24" i="72" s="1"/>
  <c r="AK39" i="67" l="1"/>
  <c r="AK39" i="72" s="1"/>
  <c r="AL27" i="67"/>
  <c r="AL27" i="72" s="1"/>
  <c r="AL39" i="67" l="1"/>
  <c r="AL39" i="72" s="1"/>
  <c r="AK41" i="67"/>
  <c r="AK41" i="72" s="1"/>
  <c r="AK6" i="66" l="1"/>
  <c r="AK6" i="71" s="1"/>
  <c r="AL41" i="67"/>
  <c r="AL41" i="72" s="1"/>
  <c r="AQ40" i="67" l="1"/>
  <c r="AQ40" i="72" s="1"/>
  <c r="AM40" i="67"/>
  <c r="AM40" i="72" s="1"/>
  <c r="AM21" i="65"/>
  <c r="AM21" i="70" s="1"/>
  <c r="AK11" i="66"/>
  <c r="AK11" i="71" s="1"/>
  <c r="AK46" i="67"/>
  <c r="AK46" i="72" s="1"/>
  <c r="AL6" i="66"/>
  <c r="AL6" i="71" s="1"/>
  <c r="AM23" i="65" l="1"/>
  <c r="AM23" i="70" s="1"/>
  <c r="AL46" i="67"/>
  <c r="AL46" i="72" s="1"/>
  <c r="AL11" i="66"/>
  <c r="AL11" i="71" s="1"/>
  <c r="AK48" i="67"/>
  <c r="AK48" i="72" s="1"/>
  <c r="AK20" i="66"/>
  <c r="AK20" i="71" s="1"/>
  <c r="AK43" i="71" l="1"/>
  <c r="AK43" i="66"/>
  <c r="AL20" i="66"/>
  <c r="AL20" i="71" s="1"/>
  <c r="AM24" i="65"/>
  <c r="AM24" i="70" s="1"/>
  <c r="AL48" i="67"/>
  <c r="AL48" i="72" s="1"/>
  <c r="AM29" i="65" l="1"/>
  <c r="AM29" i="70" s="1"/>
  <c r="AM25" i="65"/>
  <c r="AM25" i="70" s="1"/>
  <c r="AL43" i="71"/>
  <c r="AL43" i="66"/>
  <c r="AM6" i="67" l="1"/>
  <c r="AM6" i="72" s="1"/>
  <c r="AM27" i="65"/>
  <c r="AM27" i="70" s="1"/>
  <c r="AM34" i="65"/>
  <c r="AM34" i="70" s="1"/>
  <c r="AM32" i="65" l="1"/>
  <c r="AM32" i="70" s="1"/>
  <c r="AM33" i="65"/>
  <c r="AM33" i="70" s="1"/>
  <c r="AM147" i="65"/>
  <c r="AM147" i="70" s="1"/>
  <c r="AM22" i="67"/>
  <c r="AM22" i="72" s="1"/>
  <c r="AM38" i="66"/>
  <c r="AM38" i="71" s="1"/>
  <c r="AM41" i="66" l="1"/>
  <c r="AM41" i="71" s="1"/>
  <c r="AM55" i="67"/>
  <c r="AM55" i="72" s="1"/>
  <c r="AM42" i="67"/>
  <c r="AM42" i="72" s="1"/>
  <c r="AM146" i="65"/>
  <c r="AM146" i="70" s="1"/>
  <c r="AM148" i="65" l="1"/>
  <c r="AM148" i="70" s="1"/>
  <c r="AM42" i="66"/>
  <c r="AM42" i="71" s="1"/>
  <c r="AM62" i="66"/>
  <c r="AM62" i="71" s="1"/>
  <c r="AM12" i="66" l="1"/>
  <c r="AM12" i="71" s="1"/>
  <c r="AM7" i="66"/>
  <c r="AM7" i="71" s="1"/>
  <c r="AM17" i="66"/>
  <c r="AM17" i="71" s="1"/>
  <c r="AM26" i="67" l="1"/>
  <c r="AM26" i="72" s="1"/>
  <c r="AM24" i="67"/>
  <c r="AM24" i="72" s="1"/>
  <c r="AM27" i="67" l="1"/>
  <c r="AM27" i="72" s="1"/>
  <c r="AM39" i="67" l="1"/>
  <c r="AM39" i="72" s="1"/>
  <c r="AM41" i="67" l="1"/>
  <c r="AM41" i="72" s="1"/>
  <c r="AN40" i="67" l="1"/>
  <c r="AN40" i="72" s="1"/>
  <c r="AM6" i="66"/>
  <c r="AM6" i="71" s="1"/>
  <c r="AN21" i="65" l="1"/>
  <c r="AN21" i="70" s="1"/>
  <c r="AM11" i="66"/>
  <c r="AM11" i="71" s="1"/>
  <c r="AM46" i="67"/>
  <c r="AM46" i="72" s="1"/>
  <c r="AM20" i="66" l="1"/>
  <c r="AM20" i="71" s="1"/>
  <c r="AM48" i="67"/>
  <c r="AM48" i="72" s="1"/>
  <c r="AN23" i="65"/>
  <c r="AN23" i="70" s="1"/>
  <c r="AN24" i="65" l="1"/>
  <c r="AN24" i="70" s="1"/>
  <c r="AM43" i="71"/>
  <c r="AM43" i="66"/>
  <c r="AN29" i="65" l="1"/>
  <c r="AN29" i="70" s="1"/>
  <c r="AN25" i="65"/>
  <c r="AN25" i="70" s="1"/>
  <c r="AN34" i="65" l="1"/>
  <c r="AN34" i="70" s="1"/>
  <c r="AN6" i="67"/>
  <c r="AN6" i="72" s="1"/>
  <c r="AN27" i="65"/>
  <c r="AN27" i="70" s="1"/>
  <c r="AN32" i="65" l="1"/>
  <c r="AN32" i="70" s="1"/>
  <c r="AN33" i="65"/>
  <c r="AN33" i="70" s="1"/>
  <c r="AN22" i="67"/>
  <c r="AN22" i="72" s="1"/>
  <c r="AN38" i="66"/>
  <c r="AN38" i="71" s="1"/>
  <c r="AN147" i="65"/>
  <c r="AN147" i="70" s="1"/>
  <c r="AN41" i="66" l="1"/>
  <c r="AN41" i="71" s="1"/>
  <c r="AN55" i="67"/>
  <c r="AN55" i="72" s="1"/>
  <c r="AN42" i="67"/>
  <c r="AN42" i="72" s="1"/>
  <c r="AN146" i="65"/>
  <c r="AN146" i="70" s="1"/>
  <c r="AN42" i="66" l="1"/>
  <c r="AN42" i="71" s="1"/>
  <c r="AN62" i="66"/>
  <c r="AN62" i="71" s="1"/>
  <c r="AN148" i="65"/>
  <c r="AN148" i="70" s="1"/>
  <c r="AN7" i="66" l="1"/>
  <c r="AN7" i="71" s="1"/>
  <c r="AN12" i="66"/>
  <c r="AN12" i="71" s="1"/>
  <c r="AN17" i="66"/>
  <c r="AN17" i="71" s="1"/>
  <c r="AN26" i="67" l="1"/>
  <c r="AN26" i="72" s="1"/>
  <c r="AN24" i="67"/>
  <c r="AN24" i="72" s="1"/>
  <c r="AN27" i="67" l="1"/>
  <c r="AN27" i="72" s="1"/>
  <c r="AN39" i="67" l="1"/>
  <c r="AN39" i="72" s="1"/>
  <c r="AN41" i="67" l="1"/>
  <c r="AN41" i="72" s="1"/>
  <c r="AN6" i="66" l="1"/>
  <c r="AN6" i="71" s="1"/>
  <c r="AO40" i="67"/>
  <c r="AO40" i="72" s="1"/>
  <c r="AN46" i="67" l="1"/>
  <c r="AN46" i="72" s="1"/>
  <c r="AO21" i="65"/>
  <c r="AO21" i="70" s="1"/>
  <c r="AN11" i="66"/>
  <c r="AN11" i="71" s="1"/>
  <c r="AO23" i="65" l="1"/>
  <c r="AO23" i="70" s="1"/>
  <c r="AN20" i="66"/>
  <c r="AN20" i="71" s="1"/>
  <c r="AN48" i="67"/>
  <c r="AN48" i="72" s="1"/>
  <c r="AO24" i="65" l="1"/>
  <c r="AO24" i="70" s="1"/>
  <c r="AN43" i="71"/>
  <c r="AN43" i="66"/>
  <c r="AO29" i="65" l="1"/>
  <c r="AO29" i="70" s="1"/>
  <c r="AO25" i="65"/>
  <c r="AO25" i="70" s="1"/>
  <c r="AO34" i="65" l="1"/>
  <c r="AO34" i="70" s="1"/>
  <c r="AO6" i="67"/>
  <c r="AO6" i="72" s="1"/>
  <c r="AO27" i="65"/>
  <c r="AO27" i="70" s="1"/>
  <c r="AO33" i="65" l="1"/>
  <c r="AO33" i="70" s="1"/>
  <c r="AO32" i="65"/>
  <c r="AO32" i="70" s="1"/>
  <c r="AO22" i="67"/>
  <c r="AO22" i="72" s="1"/>
  <c r="AO38" i="66"/>
  <c r="AO38" i="71" s="1"/>
  <c r="AO147" i="65"/>
  <c r="AO147" i="70" s="1"/>
  <c r="AO41" i="66" l="1"/>
  <c r="AO41" i="71" s="1"/>
  <c r="AO55" i="67"/>
  <c r="AO55" i="72" s="1"/>
  <c r="AO42" i="67"/>
  <c r="AO42" i="72" s="1"/>
  <c r="AO146" i="65"/>
  <c r="AO146" i="70" s="1"/>
  <c r="AO148" i="65" l="1"/>
  <c r="AO148" i="70" s="1"/>
  <c r="AO62" i="66"/>
  <c r="AO62" i="71" s="1"/>
  <c r="AO42" i="66"/>
  <c r="AO42" i="71" s="1"/>
  <c r="AO12" i="66" l="1"/>
  <c r="AO12" i="71" s="1"/>
  <c r="AO7" i="66"/>
  <c r="AO7" i="71" s="1"/>
  <c r="AO17" i="66"/>
  <c r="AO17" i="71" s="1"/>
  <c r="AO26" i="67" l="1"/>
  <c r="AO26" i="72" s="1"/>
  <c r="AO24" i="67"/>
  <c r="AO24" i="72" s="1"/>
  <c r="AO27" i="67" l="1"/>
  <c r="AO27" i="72" s="1"/>
  <c r="AO39" i="67" l="1"/>
  <c r="AO39" i="72" s="1"/>
  <c r="AO41" i="67" l="1"/>
  <c r="AO41" i="72" s="1"/>
  <c r="AP40" i="67" l="1"/>
  <c r="AP40" i="72" s="1"/>
  <c r="AO6" i="66"/>
  <c r="AO6" i="71" s="1"/>
  <c r="AO11" i="66" l="1"/>
  <c r="AO11" i="71" s="1"/>
  <c r="AP21" i="65"/>
  <c r="AP21" i="70" s="1"/>
  <c r="AO46" i="67"/>
  <c r="AO46" i="72" s="1"/>
  <c r="AO48" i="67" l="1"/>
  <c r="AO48" i="72" s="1"/>
  <c r="AP23" i="65"/>
  <c r="AP23" i="70" s="1"/>
  <c r="AQ21" i="65"/>
  <c r="AQ21" i="70" s="1"/>
  <c r="AO20" i="66"/>
  <c r="AO20" i="71" s="1"/>
  <c r="AO43" i="71" l="1"/>
  <c r="AO43" i="66"/>
  <c r="AQ23" i="65"/>
  <c r="AQ23" i="70" s="1"/>
  <c r="AP24" i="65"/>
  <c r="AP25" i="65" l="1"/>
  <c r="AP25" i="70" s="1"/>
  <c r="AP24" i="70"/>
  <c r="AP6" i="67"/>
  <c r="AP6" i="72" s="1"/>
  <c r="AP27" i="65"/>
  <c r="AP27" i="70" s="1"/>
  <c r="AQ24" i="65"/>
  <c r="AP29" i="65"/>
  <c r="AP29" i="70" s="1"/>
  <c r="AQ25" i="65" l="1"/>
  <c r="AQ25" i="70" s="1"/>
  <c r="AQ24" i="70"/>
  <c r="AQ27" i="65"/>
  <c r="AQ27" i="70" s="1"/>
  <c r="AQ143" i="65"/>
  <c r="AQ143" i="70" s="1"/>
  <c r="AQ29" i="65"/>
  <c r="AQ29" i="70" s="1"/>
  <c r="AP32" i="65"/>
  <c r="AP32" i="70" s="1"/>
  <c r="AP33" i="65"/>
  <c r="AP33" i="70" s="1"/>
  <c r="AP34" i="65"/>
  <c r="AP34" i="70" s="1"/>
  <c r="AP22" i="67"/>
  <c r="AP22" i="72" s="1"/>
  <c r="AQ6" i="67"/>
  <c r="AQ6" i="72" s="1"/>
  <c r="AP38" i="66"/>
  <c r="AP38" i="71" s="1"/>
  <c r="AQ22" i="67" l="1"/>
  <c r="AQ22" i="72" s="1"/>
  <c r="AQ38" i="66"/>
  <c r="AQ38" i="71" s="1"/>
  <c r="AP41" i="66"/>
  <c r="AP41" i="71" s="1"/>
  <c r="AQ30" i="65"/>
  <c r="AQ30" i="70" s="1"/>
  <c r="AQ31" i="65"/>
  <c r="AQ31" i="70" s="1"/>
  <c r="AP55" i="67"/>
  <c r="AP55" i="72" s="1"/>
  <c r="AP42" i="67"/>
  <c r="AP42" i="72" s="1"/>
  <c r="AP147" i="65"/>
  <c r="AP147" i="70" s="1"/>
  <c r="AP146" i="65"/>
  <c r="AP146" i="70" s="1"/>
  <c r="AP148" i="65" l="1"/>
  <c r="AP148" i="70" s="1"/>
  <c r="AQ42" i="67"/>
  <c r="AQ42" i="72" s="1"/>
  <c r="AQ34" i="65"/>
  <c r="AQ34" i="70" s="1"/>
  <c r="AQ33" i="65"/>
  <c r="AQ33" i="70" s="1"/>
  <c r="AQ32" i="65"/>
  <c r="AQ32" i="70" s="1"/>
  <c r="AP62" i="66"/>
  <c r="AP62" i="71" s="1"/>
  <c r="AP42" i="66"/>
  <c r="AP42" i="71" s="1"/>
  <c r="AQ41" i="66"/>
  <c r="AQ41" i="71" s="1"/>
  <c r="AQ55" i="67"/>
  <c r="AQ55" i="72" s="1"/>
  <c r="AQ42" i="66" l="1"/>
  <c r="AQ42" i="71" s="1"/>
  <c r="AQ148" i="65"/>
  <c r="AQ148" i="70" s="1"/>
  <c r="AQ146" i="65"/>
  <c r="AQ146" i="70" s="1"/>
  <c r="AQ36" i="65"/>
  <c r="AQ36" i="70" s="1"/>
  <c r="AP12" i="66"/>
  <c r="AP12" i="71" s="1"/>
  <c r="AP7" i="66"/>
  <c r="AP7" i="71" s="1"/>
  <c r="AP17" i="66"/>
  <c r="AP17" i="71" s="1"/>
  <c r="AQ147" i="65"/>
  <c r="AQ147" i="70" s="1"/>
  <c r="AQ44" i="67"/>
  <c r="AQ44" i="72" s="1"/>
  <c r="AP24" i="67" l="1"/>
  <c r="AP24" i="72" s="1"/>
  <c r="AQ7" i="66"/>
  <c r="AQ7" i="71" s="1"/>
  <c r="AQ17" i="66"/>
  <c r="AQ17" i="71" s="1"/>
  <c r="AP26" i="67"/>
  <c r="AP26" i="72" s="1"/>
  <c r="AQ12" i="66"/>
  <c r="AQ12" i="71" s="1"/>
  <c r="AQ26" i="67" l="1"/>
  <c r="AQ26" i="72" s="1"/>
  <c r="AP27" i="67"/>
  <c r="AP27" i="72" s="1"/>
  <c r="AQ24" i="67"/>
  <c r="AQ24" i="72" s="1"/>
  <c r="AQ27" i="67" l="1"/>
  <c r="AQ27" i="72" s="1"/>
  <c r="AP39" i="67"/>
  <c r="AP39" i="72" s="1"/>
  <c r="AP41" i="67" l="1"/>
  <c r="AP41" i="72" s="1"/>
  <c r="AQ39" i="67"/>
  <c r="AQ39" i="72" s="1"/>
  <c r="AQ41" i="67" l="1"/>
  <c r="AQ41" i="72" s="1"/>
  <c r="AP6" i="66"/>
  <c r="AP6" i="71" s="1"/>
  <c r="AR21" i="65" l="1"/>
  <c r="AR21" i="70" s="1"/>
  <c r="AP11" i="66"/>
  <c r="AP11" i="71" s="1"/>
  <c r="AQ6" i="66"/>
  <c r="AQ6" i="71" s="1"/>
  <c r="AP46" i="67"/>
  <c r="AP46" i="72" s="1"/>
  <c r="AR40" i="67"/>
  <c r="AR40" i="72" s="1"/>
  <c r="AV40" i="67"/>
  <c r="AV40" i="72" s="1"/>
  <c r="AP20" i="66" l="1"/>
  <c r="AP20" i="71" s="1"/>
  <c r="AP48" i="67"/>
  <c r="AP48" i="72" s="1"/>
  <c r="AQ11" i="66"/>
  <c r="AQ11" i="71" s="1"/>
  <c r="AQ46" i="67"/>
  <c r="AQ46" i="72" s="1"/>
  <c r="AR23" i="65"/>
  <c r="AR23" i="70" s="1"/>
  <c r="AR24" i="65" l="1"/>
  <c r="AR24" i="70" s="1"/>
  <c r="AQ48" i="67"/>
  <c r="AQ48" i="72" s="1"/>
  <c r="AQ20" i="66"/>
  <c r="AQ20" i="71" s="1"/>
  <c r="AP43" i="71"/>
  <c r="AP43" i="66"/>
  <c r="AR29" i="65" l="1"/>
  <c r="AR29" i="70" s="1"/>
  <c r="AQ43" i="71"/>
  <c r="AQ43" i="66"/>
  <c r="AR25" i="65"/>
  <c r="AR25" i="70" s="1"/>
  <c r="AR6" i="67" l="1"/>
  <c r="AR6" i="72" s="1"/>
  <c r="AR27" i="65"/>
  <c r="AR27" i="70" s="1"/>
  <c r="AR34" i="65"/>
  <c r="AR34" i="70" s="1"/>
  <c r="AR33" i="65" l="1"/>
  <c r="AR33" i="70" s="1"/>
  <c r="AR32" i="65"/>
  <c r="AR32" i="70" s="1"/>
  <c r="AR147" i="65"/>
  <c r="AR147" i="70" s="1"/>
  <c r="AR22" i="67"/>
  <c r="AR22" i="72" s="1"/>
  <c r="AR38" i="66"/>
  <c r="AR38" i="71" s="1"/>
  <c r="AR41" i="66" l="1"/>
  <c r="AR41" i="71" s="1"/>
  <c r="AR42" i="67"/>
  <c r="AR42" i="72" s="1"/>
  <c r="AR55" i="67"/>
  <c r="AR55" i="72" s="1"/>
  <c r="AR146" i="65"/>
  <c r="AR146" i="70" s="1"/>
  <c r="AR148" i="65" l="1"/>
  <c r="AR148" i="70" s="1"/>
  <c r="AR62" i="66"/>
  <c r="AR62" i="71" s="1"/>
  <c r="AR42" i="66"/>
  <c r="AR42" i="71" s="1"/>
  <c r="AR7" i="66" l="1"/>
  <c r="AR7" i="71" s="1"/>
  <c r="AR12" i="66"/>
  <c r="AR12" i="71" s="1"/>
  <c r="AR17" i="66"/>
  <c r="AR17" i="71" s="1"/>
  <c r="AR26" i="67" l="1"/>
  <c r="AR26" i="72" s="1"/>
  <c r="AR24" i="67"/>
  <c r="AR24" i="72" s="1"/>
  <c r="AR27" i="67" l="1"/>
  <c r="AR27" i="72" s="1"/>
  <c r="AR39" i="67" l="1"/>
  <c r="AR39" i="72" s="1"/>
  <c r="AR41" i="67" l="1"/>
  <c r="AR41" i="72" s="1"/>
  <c r="AS40" i="67" l="1"/>
  <c r="AS40" i="72" s="1"/>
  <c r="AR6" i="66"/>
  <c r="AR6" i="71" s="1"/>
  <c r="AR11" i="66" l="1"/>
  <c r="AR11" i="71" s="1"/>
  <c r="AS21" i="65"/>
  <c r="AS21" i="70" s="1"/>
  <c r="AR46" i="67"/>
  <c r="AR46" i="72" s="1"/>
  <c r="AS23" i="65" l="1"/>
  <c r="AS23" i="70" s="1"/>
  <c r="AR48" i="67"/>
  <c r="AR48" i="72" s="1"/>
  <c r="AR20" i="66"/>
  <c r="AR20" i="71" s="1"/>
  <c r="AR43" i="71" l="1"/>
  <c r="AR43" i="66"/>
  <c r="AS24" i="65"/>
  <c r="AS25" i="65" l="1"/>
  <c r="AS25" i="70" s="1"/>
  <c r="AS24" i="70"/>
  <c r="AS6" i="67"/>
  <c r="AS6" i="72" s="1"/>
  <c r="AS27" i="65"/>
  <c r="AS27" i="70" s="1"/>
  <c r="AS29" i="65"/>
  <c r="AS29" i="70" s="1"/>
  <c r="AS32" i="65" l="1"/>
  <c r="AS32" i="70" s="1"/>
  <c r="AS33" i="65"/>
  <c r="AS33" i="70" s="1"/>
  <c r="AS34" i="65"/>
  <c r="AS34" i="70" s="1"/>
  <c r="AS22" i="67"/>
  <c r="AS22" i="72" s="1"/>
  <c r="AS38" i="66"/>
  <c r="AS38" i="71" s="1"/>
  <c r="AS55" i="67" l="1"/>
  <c r="AS55" i="72" s="1"/>
  <c r="AS42" i="67"/>
  <c r="AS42" i="72" s="1"/>
  <c r="AS147" i="65"/>
  <c r="AS147" i="70" s="1"/>
  <c r="AS41" i="66"/>
  <c r="AS41" i="71" s="1"/>
  <c r="AS146" i="65"/>
  <c r="AS146" i="70" s="1"/>
  <c r="AS42" i="66" l="1"/>
  <c r="AS42" i="71" s="1"/>
  <c r="AS62" i="66"/>
  <c r="AS62" i="71" s="1"/>
  <c r="AS148" i="65"/>
  <c r="AS148" i="70" s="1"/>
  <c r="AS12" i="66" l="1"/>
  <c r="AS12" i="71" s="1"/>
  <c r="AS7" i="66"/>
  <c r="AS7" i="71" s="1"/>
  <c r="AS17" i="66"/>
  <c r="AS17" i="71" s="1"/>
  <c r="AS24" i="67" l="1"/>
  <c r="AS24" i="72" s="1"/>
  <c r="AS26" i="67"/>
  <c r="AS26" i="72" s="1"/>
  <c r="AS27" i="67" l="1"/>
  <c r="AS27" i="72" s="1"/>
  <c r="AS39" i="67" l="1"/>
  <c r="AS39" i="72" s="1"/>
  <c r="AS41" i="67" l="1"/>
  <c r="AS41" i="72" s="1"/>
  <c r="AT40" i="67" l="1"/>
  <c r="AT40" i="72" s="1"/>
  <c r="AS6" i="66"/>
  <c r="AS6" i="71" s="1"/>
  <c r="AS46" i="67" l="1"/>
  <c r="AS46" i="72" s="1"/>
  <c r="AS11" i="66"/>
  <c r="AS11" i="71" s="1"/>
  <c r="AT21" i="65"/>
  <c r="AT21" i="70" s="1"/>
  <c r="AS20" i="66" l="1"/>
  <c r="AS20" i="71" s="1"/>
  <c r="AT23" i="65"/>
  <c r="AT23" i="70" s="1"/>
  <c r="AS48" i="67"/>
  <c r="AS48" i="72" s="1"/>
  <c r="AT24" i="65" l="1"/>
  <c r="AT24" i="70" s="1"/>
  <c r="AS43" i="71"/>
  <c r="AS43" i="66"/>
  <c r="AT29" i="65" l="1"/>
  <c r="AT29" i="70" s="1"/>
  <c r="AT25" i="65"/>
  <c r="AT25" i="70" s="1"/>
  <c r="AT6" i="67" l="1"/>
  <c r="AT6" i="72" s="1"/>
  <c r="AT27" i="65"/>
  <c r="AT27" i="70" s="1"/>
  <c r="AT34" i="65"/>
  <c r="AT34" i="70" s="1"/>
  <c r="AT147" i="65" l="1"/>
  <c r="AT147" i="70" s="1"/>
  <c r="AT33" i="65"/>
  <c r="AT33" i="70" s="1"/>
  <c r="AT32" i="65"/>
  <c r="AT32" i="70" s="1"/>
  <c r="AT22" i="67"/>
  <c r="AT22" i="72" s="1"/>
  <c r="AT38" i="66"/>
  <c r="AT38" i="71" s="1"/>
  <c r="AT41" i="66" l="1"/>
  <c r="AT41" i="71" s="1"/>
  <c r="AT55" i="67"/>
  <c r="AT55" i="72" s="1"/>
  <c r="AT42" i="67"/>
  <c r="AT42" i="72" s="1"/>
  <c r="AT146" i="65"/>
  <c r="AT146" i="70" s="1"/>
  <c r="AT148" i="65" l="1"/>
  <c r="AT148" i="70" s="1"/>
  <c r="AT42" i="66"/>
  <c r="AT42" i="71" s="1"/>
  <c r="AT62" i="66"/>
  <c r="AT62" i="71" s="1"/>
  <c r="AT7" i="66" l="1"/>
  <c r="AT7" i="71" s="1"/>
  <c r="AT12" i="66"/>
  <c r="AT12" i="71" s="1"/>
  <c r="AT17" i="66"/>
  <c r="AT17" i="71" s="1"/>
  <c r="AT26" i="67" l="1"/>
  <c r="AT26" i="72" s="1"/>
  <c r="AT24" i="67"/>
  <c r="AT24" i="72" s="1"/>
  <c r="AT27" i="67" l="1"/>
  <c r="AT27" i="72" s="1"/>
  <c r="AT39" i="67" l="1"/>
  <c r="AT39" i="72" s="1"/>
  <c r="AT41" i="67" l="1"/>
  <c r="AT41" i="72" s="1"/>
  <c r="AT6" i="66" l="1"/>
  <c r="AT6" i="71" s="1"/>
  <c r="AU40" i="67"/>
  <c r="AU40" i="72" s="1"/>
  <c r="AT46" i="67" l="1"/>
  <c r="AT46" i="72" s="1"/>
  <c r="AT11" i="66"/>
  <c r="AT11" i="71" s="1"/>
  <c r="AU21" i="65"/>
  <c r="AU21" i="70" s="1"/>
  <c r="AU23" i="65" l="1"/>
  <c r="AU23" i="70" s="1"/>
  <c r="AV21" i="65"/>
  <c r="AV21" i="70" s="1"/>
  <c r="AT48" i="67"/>
  <c r="AT48" i="72" s="1"/>
  <c r="AT20" i="66"/>
  <c r="AT20" i="71" s="1"/>
  <c r="AT43" i="71" l="1"/>
  <c r="AT43" i="66"/>
  <c r="AV23" i="65"/>
  <c r="AV23" i="70" s="1"/>
  <c r="AU24" i="65"/>
  <c r="AU25" i="65" l="1"/>
  <c r="AU25" i="70" s="1"/>
  <c r="AU24" i="70"/>
  <c r="AU27" i="65"/>
  <c r="AU27" i="70" s="1"/>
  <c r="AU6" i="67"/>
  <c r="AU6" i="72" s="1"/>
  <c r="AV24" i="65"/>
  <c r="AU29" i="65"/>
  <c r="AU29" i="70" s="1"/>
  <c r="AV25" i="65" l="1"/>
  <c r="AV25" i="70" s="1"/>
  <c r="AV24" i="70"/>
  <c r="AU34" i="65"/>
  <c r="AU34" i="70" s="1"/>
  <c r="AV27" i="65"/>
  <c r="AV27" i="70" s="1"/>
  <c r="AV143" i="65"/>
  <c r="AV143" i="70" s="1"/>
  <c r="AV29" i="65"/>
  <c r="AV29" i="70" s="1"/>
  <c r="AU22" i="67"/>
  <c r="AU22" i="72" s="1"/>
  <c r="AV6" i="67"/>
  <c r="AV6" i="72" s="1"/>
  <c r="AU38" i="66"/>
  <c r="AU38" i="71" s="1"/>
  <c r="AU32" i="65"/>
  <c r="AU32" i="70" s="1"/>
  <c r="AU33" i="65"/>
  <c r="AU33" i="70" s="1"/>
  <c r="AU146" i="65" l="1"/>
  <c r="AU146" i="70" s="1"/>
  <c r="AV38" i="66"/>
  <c r="AV38" i="71" s="1"/>
  <c r="AU41" i="66"/>
  <c r="AU41" i="71" s="1"/>
  <c r="AV22" i="67"/>
  <c r="AV22" i="72" s="1"/>
  <c r="AU147" i="65"/>
  <c r="AU147" i="70" s="1"/>
  <c r="AU42" i="67"/>
  <c r="AU42" i="72" s="1"/>
  <c r="AU55" i="67"/>
  <c r="AU55" i="72" s="1"/>
  <c r="AV30" i="65"/>
  <c r="AV30" i="70" s="1"/>
  <c r="AV31" i="65"/>
  <c r="AV31" i="70" s="1"/>
  <c r="AV32" i="65" l="1"/>
  <c r="AV32" i="70" s="1"/>
  <c r="AV33" i="65"/>
  <c r="AV33" i="70" s="1"/>
  <c r="AV34" i="65"/>
  <c r="AV34" i="70" s="1"/>
  <c r="AV147" i="65"/>
  <c r="AV147" i="70" s="1"/>
  <c r="AV146" i="65"/>
  <c r="AV146" i="70" s="1"/>
  <c r="AV36" i="65"/>
  <c r="AV36" i="70" s="1"/>
  <c r="AU148" i="65"/>
  <c r="AU148" i="70" s="1"/>
  <c r="F35" i="69"/>
  <c r="AV55" i="67"/>
  <c r="AV55" i="72" s="1"/>
  <c r="AU42" i="66"/>
  <c r="AU42" i="71" s="1"/>
  <c r="AU62" i="66"/>
  <c r="AU62" i="71" s="1"/>
  <c r="AV42" i="67"/>
  <c r="AV42" i="72" s="1"/>
  <c r="AV41" i="66"/>
  <c r="AV41" i="71" s="1"/>
  <c r="AV148" i="65" l="1"/>
  <c r="AV148" i="70" s="1"/>
  <c r="AU12" i="66"/>
  <c r="AU12" i="71" s="1"/>
  <c r="AU7" i="66"/>
  <c r="AU7" i="71" s="1"/>
  <c r="AU17" i="66"/>
  <c r="AU17" i="71" s="1"/>
  <c r="AV44" i="67"/>
  <c r="AV44" i="72" s="1"/>
  <c r="AV42" i="66"/>
  <c r="AV42" i="71" s="1"/>
  <c r="AU26" i="67" l="1"/>
  <c r="AU26" i="72" s="1"/>
  <c r="AV17" i="66"/>
  <c r="AV17" i="71" s="1"/>
  <c r="AU24" i="67"/>
  <c r="AU24" i="72" s="1"/>
  <c r="AV7" i="66"/>
  <c r="AV7" i="71" s="1"/>
  <c r="F34" i="69"/>
  <c r="F37" i="69" s="1"/>
  <c r="AV12" i="66"/>
  <c r="AV12" i="71" s="1"/>
  <c r="AU27" i="67" l="1"/>
  <c r="AU27" i="72" s="1"/>
  <c r="AV24" i="67"/>
  <c r="AV24" i="72" s="1"/>
  <c r="C30" i="69"/>
  <c r="C31" i="69" s="1"/>
  <c r="C36" i="69" s="1"/>
  <c r="F38" i="69"/>
  <c r="AV26" i="67"/>
  <c r="AV26" i="72" s="1"/>
  <c r="C37" i="69" l="1"/>
  <c r="C38" i="69"/>
  <c r="AU39" i="67"/>
  <c r="AU39" i="72" s="1"/>
  <c r="AV27" i="67"/>
  <c r="AV27" i="72" s="1"/>
  <c r="AV39" i="67" l="1"/>
  <c r="AV39" i="72" s="1"/>
  <c r="AU41" i="67"/>
  <c r="AU41" i="72" s="1"/>
  <c r="AU6" i="66" l="1"/>
  <c r="AU6" i="71" s="1"/>
  <c r="AV41" i="67"/>
  <c r="AV41" i="72" s="1"/>
  <c r="AU11" i="66" l="1"/>
  <c r="AU11" i="71" s="1"/>
  <c r="AU46" i="67"/>
  <c r="AU46" i="72" s="1"/>
  <c r="AV6" i="66"/>
  <c r="AV6" i="71" s="1"/>
  <c r="AV46" i="67" l="1"/>
  <c r="AV46" i="72" s="1"/>
  <c r="AV11" i="66"/>
  <c r="AV11" i="71" s="1"/>
  <c r="AU48" i="67"/>
  <c r="AU48" i="72" s="1"/>
  <c r="AU20" i="66"/>
  <c r="AU20" i="71" s="1"/>
  <c r="AU43" i="71" l="1"/>
  <c r="AU43" i="66"/>
  <c r="AV20" i="66"/>
  <c r="AV20" i="71" s="1"/>
  <c r="AV48" i="67"/>
  <c r="AV48" i="72" s="1"/>
  <c r="AV43" i="71" l="1"/>
  <c r="AV43"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F35E142F-4FAD-4050-BAEF-E37453A90578}">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3A4A6A4F-C76D-47E1-8A44-99EA68F66E9E}">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F6F01F06-68FB-4F29-AC82-AAA66C2F5432}">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AB8" authorId="0" shapeId="0" xr:uid="{A5FCA0EA-7F96-400E-86E9-EB7F9D2CCD7C}">
      <text>
        <r>
          <rPr>
            <sz val="9"/>
            <color indexed="81"/>
            <rFont val="Tahoma"/>
            <family val="2"/>
          </rPr>
          <t xml:space="preserve">Midpoint of 10% to 12% guided growth range, or $35.5B to $36.1B. </t>
        </r>
      </text>
    </comment>
    <comment ref="B9" authorId="1" shapeId="0" xr:uid="{300F1625-F4B8-42F4-99E3-BA8FB77B5063}">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09688297-B611-44BF-BB35-D31C29F7A768}">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0427913F-BA87-4ADE-B130-E6B4405F43DE}">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B4D192BB-8EAE-4442-996A-CCA80C0AB9C3}">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0588F0EE-6977-4393-933B-64123BF01675}">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720AD554-F159-414F-88DD-848976A4E1B5}">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5E8201BA-5917-4D6A-BA23-AC710447C49E}">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93824B90-3BC0-488F-826D-BA8E5A82777A}">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005F961B-7A5B-4BA0-9478-A3B4827F3660}">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613F5684-30FF-4883-BD2A-5B80A323EAF9}">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5B82397E-AD03-4526-A1CA-AFE5B0715062}">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92E75F8D-49A5-4E21-8925-C71F374EFC67}">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030D704B-3B7F-4B4C-99DA-67CDA930E98A}">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F82A59CE-2C0B-42B7-972A-7967F6B1E5C1}">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5F9402B5-8BDF-4EE4-98B4-F54E17AA1C6D}">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CB4967EB-5AEE-4E79-AB4D-9880AC7902C9}">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648B864D-DA86-465C-A6CC-B4BA02CCE55C}">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30175ABC-52FF-43FD-A1C4-C632F88F0D60}">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C59E2E1F-DC2C-454F-AAFA-0173029F963A}">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63BE0C49-B347-4F3C-8542-728BB59BE8E2}">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9DA93EDF-1617-4CB9-9633-2C8C417CA8D1}">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C7040DF8-6C8A-4BFF-9D52-C4BDDEEF529C}">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E91EE23A-8BDA-4608-ADA3-A6B4D6CDC467}">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AB22" authorId="0" shapeId="0" xr:uid="{BB1BA8AC-A799-4104-B683-523A30EC555E}">
      <text>
        <r>
          <rPr>
            <sz val="9"/>
            <color indexed="81"/>
            <rFont val="Tahoma"/>
            <family val="2"/>
          </rPr>
          <t>Interest Expense $540M - $560M</t>
        </r>
      </text>
    </comment>
    <comment ref="N24" authorId="0" shapeId="0" xr:uid="{E117E711-E0E2-4924-B16C-C775987B5DEF}">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61A3E427-B15B-44B5-AB85-411481A4E8DC}">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E9DBB918-5899-4D86-B44E-F9914B4B5554}">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8D03B537-AF76-4659-8381-076EF913EA10}">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3552FDD1-41D5-43DC-A732-7CCAD31EA087}">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AB355C4F-534A-4B56-9F81-E72101DF7E9A}">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0CF9A03A-E21A-4033-9569-88543DF928C7}">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BE2F3DB2-1F57-4197-9D33-F19F38F16053}">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09E64DE1-7624-40D4-82ED-D966C05C81FE}">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5DAA2E84-8C37-46A1-931E-B2BDE7F66D89}">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AA23AF53-3B40-4689-8DCD-9617FE86440C}">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0A7807F8-B4DB-426E-BF79-FC4AEBEB8DA7}">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80A90270-2E79-4000-ABB7-96C0AEEF8651}">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B34" authorId="0" shapeId="0" xr:uid="{AC8DE786-42E3-4A84-8B6B-13E8D319AD21}">
      <text>
        <r>
          <rPr>
            <sz val="9"/>
            <color indexed="81"/>
            <rFont val="Tahoma"/>
            <family val="2"/>
          </rPr>
          <t>Guided to the low-end of 15% to 20% growth, or $3.40 to $3.55.</t>
        </r>
      </text>
    </comment>
    <comment ref="AL34" authorId="0" shapeId="0" xr:uid="{1EB3693A-97F9-43CC-8F0B-E37FCFD7B67E}">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t>
        </r>
        <r>
          <rPr>
            <sz val="9"/>
            <color indexed="81"/>
            <rFont val="Tahoma"/>
            <family val="2"/>
          </rPr>
          <t>Investor Day 9/16/2022. Affirmed F4Q2022. Reaffirmed F1Q2023.</t>
        </r>
        <r>
          <rPr>
            <b/>
            <sz val="9"/>
            <color indexed="81"/>
            <rFont val="Tahoma"/>
            <family val="2"/>
          </rPr>
          <t xml:space="preserve">
</t>
        </r>
        <r>
          <rPr>
            <sz val="9"/>
            <color indexed="81"/>
            <rFont val="Tahoma"/>
            <family val="2"/>
          </rPr>
          <t>Based on 2022 non-GAAP EPS of $2.95 CAGR of 15% to 20% equates to a 2025 EPS range of $4.49 to $5.10.</t>
        </r>
      </text>
    </comment>
    <comment ref="L35" authorId="1" shapeId="0" xr:uid="{4A00A698-D2EF-4B2F-A262-254F30306721}">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D67CF5CD-0772-4269-89E0-98B5B378B1C2}">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C5E93326-3610-4F24-9FFD-C5F43B46B076}">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7E097537-ABED-4492-B49E-85BFF50D7125}">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4C329F3B-03AF-44B8-B440-A9E0C8056928}">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F4A5BFD9-8BB6-47E0-9C6F-EAF279927C11}">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049F90BD-4C93-4642-A233-216B516088E5}">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635802F3-7A0F-465F-9825-F06E9AE2525A}">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BB3EE99B-8B58-4099-9549-A83D963303E2}">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BDA2E23B-19F5-4B9A-8ECD-17EDE6482344}">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B5974ED5-BA7E-4E62-822B-BCD475D427C3}">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76BED2AD-4B85-4696-BEC9-29803B78F691}">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D345144A-5799-460D-BA65-8E27279F70B7}">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2835DDB6-3F96-4CE3-940C-A20AA8239555}">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775B5D94-B731-40F8-9B2C-5847667F1F28}">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0177ACDE-CC62-454B-882B-6CF9736968DE}">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06CEADB8-0F4E-4B31-9AA5-F3661C8270D8}">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4C56E8C5-07F1-435D-8A16-7C8723CBCF13}">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D607A1C1-9E1A-4AE8-B9D8-1CA4F0DAD8FF}">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4534D7F5-A26F-4180-8A58-EA8E86CB5E58}">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748AA0B8-3FF5-4D81-BB6C-D1AB69EC31DE}">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5C60E83E-208F-4AB3-BE96-24CF9EEB24A0}">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DEC08DE9-174B-4472-9B59-5C0C842A36DE}">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BA16E2C0-C821-4A60-977E-10B10A433061}">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C3CA24FE-EA51-4A68-8DC3-83DA47CCD4DE}">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B69CBEA2-7080-44D1-A5FC-8692BE3B6647}">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4C0EEF85-008F-4373-8CCA-3163A9AA6374}">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C80B0ECD-33FA-4889-BE4E-713FDF770BE2}">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2094219B-BF83-47E9-8E75-5B907D9591E4}">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A2E014FA-59EA-40B9-BBF3-B3F3DCDD3BED}">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814403EC-D079-4609-9E19-439C0B97A3E2}">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79C2CC0E-B8BA-4B48-9F88-F0604FB9F26F}">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C425D18F-F22B-4A6D-AEA2-9E39362950D9}">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77AC5AEC-E0A6-43A7-8307-A13F06CB0919}">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7E2AB548-4860-4747-9883-1BD13025A2ED}">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00D5FE97-33D6-4C2F-A124-3A2FDF32F920}">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C9C0DE94-D4FF-4C97-AC04-5DC7BBF5CFA9}">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8750DB9D-801D-4465-B2D5-4755F10B1DA0}">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43DA39E2-54A6-4947-9BA0-E2042A82894A}">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6072DBF7-7260-4BA5-9335-016C228B7B93}">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AA34FD4F-F2A5-48CB-81E3-A2DE5DBC2C3B}">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BDAA7F7A-2DA9-4C84-8196-01DD3848039C}">
      <text>
        <r>
          <rPr>
            <sz val="9"/>
            <color indexed="81"/>
            <rFont val="Tahoma"/>
            <family val="2"/>
          </rPr>
          <t>Guidance: Global store growth of 7% annually approaching 45,000 stores by the end of 2025 (from fiscal 2023 to 2025). 
Source: Investor Day 9/16/2022</t>
        </r>
      </text>
    </comment>
    <comment ref="H140" authorId="1" shapeId="0" xr:uid="{E980E08C-34E1-4BCB-AA88-CB528151E8BE}">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8067B0C4-16F1-4D17-9166-C4DE9EE0133D}">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92E3E08B-1F37-4563-AB63-0A6092B9A5FA}">
      <text>
        <r>
          <rPr>
            <sz val="9"/>
            <color indexed="81"/>
            <rFont val="Tahoma"/>
            <family val="2"/>
          </rPr>
          <t>Guidance: Global revenue growth of 10% to 12% annually (from fiscal 2023 to 2025).
Source: Investor Day 9/16/2022</t>
        </r>
      </text>
    </comment>
    <comment ref="R141" authorId="0" shapeId="0" xr:uid="{62F1F3B2-3F6B-47E0-BB8E-521DB2D44959}">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8B3F724F-D4FB-4FD7-BC76-5513B3B4EC0A}">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L142" authorId="0" shapeId="0" xr:uid="{2659B32D-3710-45D7-82C8-B5DEE134E862}">
      <text>
        <r>
          <rPr>
            <sz val="9"/>
            <color indexed="81"/>
            <rFont val="Tahoma"/>
            <family val="2"/>
          </rPr>
          <t>Guidance: Expect “Solid” margin expansion in fiscal 2023 with “progressively more expansion” in fiscal 2024 and 2025.
Source: Investor Day 9/16/2022</t>
        </r>
      </text>
    </comment>
    <comment ref="H143" authorId="1" shapeId="0" xr:uid="{4AD54EE7-2B24-4CE7-AB61-29976E2A7F96}">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CA3E13DF-402A-4557-90BC-D6B31589D3B0}">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89AFE251-FC7A-42BC-8942-7D94E16820CB}">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463A5E9F-A4A5-4CD1-9DB1-88B51B1F83DC}">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B143" authorId="0" shapeId="0" xr:uid="{F8297C01-66D3-4AEF-A05A-9E2BD714CFCF}">
      <text>
        <r>
          <rPr>
            <sz val="9"/>
            <color indexed="81"/>
            <rFont val="Tahoma"/>
            <family val="2"/>
          </rPr>
          <t>GAAP and non-GAAP Tax Rates Mid-20s</t>
        </r>
      </text>
    </comment>
    <comment ref="AL149" authorId="0" shapeId="0" xr:uid="{B78D96B3-4578-4261-93CF-81B807B22729}">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003A9C94-40A0-4490-9D8C-6162B155F243}">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DFA192A7-4240-42B3-8765-3EBEF9AFFFD2}">
      <text>
        <r>
          <rPr>
            <sz val="9"/>
            <color indexed="81"/>
            <rFont val="Tahoma"/>
            <family val="2"/>
          </rPr>
          <t>Management is assuming a 2% dividend yield in their forecast.</t>
        </r>
      </text>
    </comment>
    <comment ref="AH153" authorId="0" shapeId="0" xr:uid="{102353AA-9192-46D5-8D4E-C4BFBFB6FE62}">
      <text>
        <r>
          <rPr>
            <sz val="9"/>
            <color indexed="81"/>
            <rFont val="Tahoma"/>
            <family val="2"/>
          </rPr>
          <t>Management is assuming a 2% dividend yield in their forecast.</t>
        </r>
      </text>
    </comment>
    <comment ref="B165" authorId="1" shapeId="0" xr:uid="{EA858694-0FE2-41B5-9D26-20EE8F92ADDB}">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B3A20FD6-259C-41D2-9FB0-014A869A82E5}">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05822079-70C9-4A70-B2D5-A49A3530A16A}">
      <text>
        <r>
          <rPr>
            <b/>
            <sz val="9"/>
            <color indexed="81"/>
            <rFont val="Tahoma"/>
            <family val="2"/>
          </rPr>
          <t>Enter negative EPS income tax effect as positive on this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8DD6EB57-8364-41FA-8A2D-DB98B0DFA521}">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04103AD8-499F-4267-BDFC-79427CF42757}">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94300898-03DD-4F00-96B1-662F58FC1F03}">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AB8" authorId="0" shapeId="0" xr:uid="{ACD5FBCA-A289-4F53-8FAA-13A6A9A15C93}">
      <text>
        <r>
          <rPr>
            <sz val="9"/>
            <color indexed="81"/>
            <rFont val="Tahoma"/>
            <family val="2"/>
          </rPr>
          <t xml:space="preserve">Midpoint of 10% to 12% guided growth range, or $35.5B to $36.1B. </t>
        </r>
      </text>
    </comment>
    <comment ref="B9" authorId="1" shapeId="0" xr:uid="{F88B3F6C-C2CD-4484-AF36-F401760571F9}">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0D0DCEDE-B946-4EFA-93BF-30891C32C59B}">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1525C9E8-C4A5-4FC6-8D0A-704D410905B0}">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76C4F0B2-5A3D-4FF9-808B-2D4C11230983}">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17042E89-F6AA-4629-959D-BC6772443B13}">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BE354C0D-F234-41D9-9AE3-C85E351CCC8F}">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007F24A9-9289-436B-9BCC-7628B43E0965}">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0E6004F9-1754-4220-A64A-EC356B4907C3}">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148B53EA-BDC8-4592-A8A1-7D28AC2F35F2}">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5CC96A20-33A1-417A-BA5E-BE62B9D98C3A}">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6E140545-9C06-4270-8F37-8FA831B564FF}">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DC6DF1B2-2D38-4F66-8759-3CC76E3BE17C}">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20633370-D06A-4566-88B5-EEB3AAEA3E9F}">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C434AA74-557E-4130-A687-7F13F3B09349}">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219A620B-26DC-49D8-B4AE-6E3C5B6E6407}">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7A597502-C455-4FC8-9F16-BED9973AF49E}">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FA07911B-BF31-41E6-A2A0-2FF02BCCA178}">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F31F3445-86DF-4D1B-A7F2-732C6FE1C636}">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048197BC-D255-41C2-A4B8-D0A3B7FDAA89}">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495A26AD-24FE-4AEC-AE5B-B0AC2A1E77EB}">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747D8264-E8AE-41EB-AFE9-A4DA0A281BCE}">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E1FC1723-BB08-4FEA-95DA-A534D333C04D}">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DAF02F83-B859-45C6-A411-FED5CBB6789C}">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AB22" authorId="0" shapeId="0" xr:uid="{B1CF830E-6DBF-4594-9AD5-BB1F3E46E092}">
      <text>
        <r>
          <rPr>
            <sz val="9"/>
            <color indexed="81"/>
            <rFont val="Tahoma"/>
            <family val="2"/>
          </rPr>
          <t>Interest Expense $540M - $560M</t>
        </r>
      </text>
    </comment>
    <comment ref="N24" authorId="0" shapeId="0" xr:uid="{53685673-8A4B-4283-9AF5-79AE38B7FF87}">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421DBCF9-E9A5-4E40-ADC0-C93FFEBCB888}">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F7F62F17-BDF1-4BE0-9FDE-4C3A12538E6C}">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EC011690-EB55-46DF-B932-B6A9DE182717}">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AC7546F4-329E-4A59-8E3E-E02CDA01807D}">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9A122208-C5AB-4B07-A378-CC2B6C5D0E41}">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29350919-F9B2-4C35-9EFA-76310E98CC74}">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374D1D79-EA86-480A-B6B7-5E2B18CA6762}">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942824D9-708C-43FA-AD7C-4ED307EAAD60}">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7AC31418-0E7F-49DE-B206-2F0FC71C911E}">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B8ACD959-C022-478F-A4BB-E6389D48D94A}">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B0E08869-BBB7-4EB0-8A68-750F8AE4F191}">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1AB4AC1F-8F43-43F6-8EB7-AEBE6331D2D0}">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B34" authorId="0" shapeId="0" xr:uid="{82A38192-6B17-4FE4-B57B-99E05FE88FC2}">
      <text>
        <r>
          <rPr>
            <sz val="9"/>
            <color indexed="81"/>
            <rFont val="Tahoma"/>
            <family val="2"/>
          </rPr>
          <t>Guided to the low-end of 15% to 20% growth, or $3.40 to $3.55.</t>
        </r>
      </text>
    </comment>
    <comment ref="AL34" authorId="0" shapeId="0" xr:uid="{DC3AC4B6-774F-4251-8AF2-DC1B0FA5FA65}">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t>
        </r>
        <r>
          <rPr>
            <sz val="9"/>
            <color indexed="81"/>
            <rFont val="Tahoma"/>
            <family val="2"/>
          </rPr>
          <t>Investor Day 9/16/2022. Affirmed F4Q2022. Reaffirmed F1Q2023.</t>
        </r>
        <r>
          <rPr>
            <b/>
            <sz val="9"/>
            <color indexed="81"/>
            <rFont val="Tahoma"/>
            <family val="2"/>
          </rPr>
          <t xml:space="preserve">
</t>
        </r>
        <r>
          <rPr>
            <sz val="9"/>
            <color indexed="81"/>
            <rFont val="Tahoma"/>
            <family val="2"/>
          </rPr>
          <t>Based on 2022 non-GAAP EPS of $2.95 CAGR of 15% to 20% equates to a 2025 EPS range of $4.49 to $5.10.</t>
        </r>
      </text>
    </comment>
    <comment ref="L35" authorId="1" shapeId="0" xr:uid="{9050951A-6795-418A-859E-0C45FA31D11F}">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CA6085A9-C151-4899-A907-78400AF38496}">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BFC310D2-55D5-4A61-AEA3-3B5B04F17C1F}">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D5CE3A9D-5D9C-4E78-BDF2-85E38CC9FBBD}">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F794B327-502E-48CC-993E-59D185FA041E}">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6EDE29C1-52E8-4B30-AE90-3464DC8AD668}">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85F9F1FD-DBF3-45F3-83EF-A7C0E39D3E6D}">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6C0C5ADE-4B5B-4DF5-A15F-E6F9684D4374}">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9F3E03B5-60E8-48DD-8E29-9C0409B1FEA7}">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AB57" authorId="0" shapeId="0" xr:uid="{39179435-36DB-4AA4-8F8A-1F88BDF27FF4}">
      <text>
        <r>
          <rPr>
            <sz val="9"/>
            <color indexed="81"/>
            <rFont val="Tahoma"/>
            <family val="2"/>
          </rPr>
          <t>Management guided U.S. Store Growth to ~3%. In this forecast we are assuming U.S. store growth approximates growth for the North America Segment.</t>
        </r>
      </text>
    </comment>
    <comment ref="H58" authorId="1" shapeId="0" xr:uid="{76ED2C5E-C5D7-49AC-8F1E-6FEDA6F3738E}">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746A172F-4F51-4416-84B0-673E40FF413D}">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AAD88038-3AD8-4D29-BDE0-1422D09C122F}">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A3F36E6E-017F-411B-B1AA-CD5687B3734D}">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D4AA587C-8A22-4793-9F2E-88229F515954}">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A5231903-F542-433F-93A7-11BFAE11BB7A}">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649CA038-4A87-4B3D-8E2A-7DEFF265892D}">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B4308064-398D-483D-B884-FCB35B2D0D4B}">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C8393478-923A-4A0A-95BA-18DE5A477C3E}">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AEC570CC-E790-4AE0-BD8A-AC85FD915C65}">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61E38233-D3DE-4195-B83C-4586329A3494}">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65EFB658-BD07-4B59-8A4B-01A52EC61856}">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2965119D-3F7F-4BD5-9012-C9E36CAC05D0}">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E840A25C-8848-4E80-AF81-B870DA071955}">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E2D2CB73-5C86-4CF0-9CAE-5FCC3C1E10CA}">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59F8F690-F75A-4ACB-9849-78EDEE9C23AD}">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43CFCEEA-449E-4BC2-BD0E-C063D4827BA4}">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CAFD4646-C8F1-411C-8E2F-A89D3E01C2CA}">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504EADB7-68C1-4604-A004-2B60C83C93C7}">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89D61917-4B4F-40B3-AB95-1B9C623F9357}">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D69AD5AF-3D49-4D9E-ACE8-2116BD44C8A2}">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7995C437-57E2-4A64-B048-DB161BF9D731}">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0C455B19-B8AE-4833-8EEF-FEC85011E303}">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5C1C07DA-E92D-49AC-B893-877B5D03CA54}">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2D34B609-A7E4-4006-B159-636D2E9FF37F}">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BEB57DF1-0184-4726-B22E-4A160FB064E7}">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AFDAF3BB-5395-44D3-90F1-FDD4C5A69AAE}">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55063206-A0BE-4CB3-965E-EC9A3556A280}">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E89C73D9-B8BF-4247-8CF4-46E921624224}">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0843AE12-6FEB-4A2B-9C82-181028DE4C9A}">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668C1B71-E4FD-4D00-A829-63742ABBD676}">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65FD998E-E70E-49B5-BA8D-C077C5A230E8}">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B139" authorId="0" shapeId="0" xr:uid="{0B54AC56-3D51-4404-8FAF-D70D56C5D56A}">
      <text>
        <r>
          <rPr>
            <sz val="9"/>
            <color indexed="81"/>
            <rFont val="Tahoma"/>
            <family val="2"/>
          </rPr>
          <t>Management guided to ~7%</t>
        </r>
      </text>
    </comment>
    <comment ref="AL139" authorId="0" shapeId="0" xr:uid="{716A6E38-7E6F-4671-B915-1254F52B203B}">
      <text>
        <r>
          <rPr>
            <sz val="9"/>
            <color indexed="81"/>
            <rFont val="Tahoma"/>
            <family val="2"/>
          </rPr>
          <t>Guidance: Global store growth of 7% annually approaching 45,000 stores by the end of 2025 (from fiscal 2023 to 2025). 
Source: Investor Day 9/16/2022</t>
        </r>
      </text>
    </comment>
    <comment ref="H140" authorId="1" shapeId="0" xr:uid="{189DE34D-20FC-4935-A50C-96733DB9D476}">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13C1259A-EAE7-491C-AAA1-6D113DDD71FB}">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B140" authorId="0" shapeId="0" xr:uid="{5EC24E30-5101-4C6D-A61A-9B40CD012B2C}">
      <text>
        <r>
          <rPr>
            <sz val="9"/>
            <color indexed="81"/>
            <rFont val="Tahoma"/>
            <family val="2"/>
          </rPr>
          <t>Management guided between 10% and 12%.</t>
        </r>
      </text>
    </comment>
    <comment ref="AL140" authorId="0" shapeId="0" xr:uid="{F93D18A7-1A3B-4855-B84A-3D3F0C47C878}">
      <text>
        <r>
          <rPr>
            <sz val="9"/>
            <color indexed="81"/>
            <rFont val="Tahoma"/>
            <family val="2"/>
          </rPr>
          <t>Guidance: Global revenue growth of 10% to 12% annually (from fiscal 2023 to 2025).
Source: Investor Day 9/16/2022</t>
        </r>
      </text>
    </comment>
    <comment ref="R141" authorId="0" shapeId="0" xr:uid="{39A574CD-511D-43ED-B3CB-011033B2C6E9}">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0F5DEB68-5BA4-4911-977A-257FC3FFD5DD}">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Z142" authorId="0" shapeId="0" xr:uid="{63818121-10AD-4118-B4B4-C5F50037217D}">
      <text>
        <r>
          <rPr>
            <sz val="9"/>
            <color indexed="81"/>
            <rFont val="Tahoma"/>
            <family val="2"/>
          </rPr>
          <t xml:space="preserve">“Regarding the shape of margin, we continue to expect sequential margin improvement in both Q3 and Q4. We expect Q3 margin near the prior-year level with Q4 expanding meaningfully over prior-year as we lap the significant investments in wages and benefits. Note the quarterly margin shape in Q3 and Q4 is not expected to mirror the prior year.” </t>
        </r>
        <r>
          <rPr>
            <b/>
            <sz val="9"/>
            <color indexed="81"/>
            <rFont val="Tahoma"/>
            <family val="2"/>
          </rPr>
          <t>Source: Starbucks F2Q2023 Earnings Call</t>
        </r>
        <r>
          <rPr>
            <sz val="9"/>
            <color indexed="81"/>
            <rFont val="Tahoma"/>
            <family val="2"/>
          </rPr>
          <t xml:space="preserve">
</t>
        </r>
      </text>
    </comment>
    <comment ref="AL142" authorId="0" shapeId="0" xr:uid="{519B882A-85B9-400D-A96A-F3918F7F2ABD}">
      <text>
        <r>
          <rPr>
            <sz val="9"/>
            <color indexed="81"/>
            <rFont val="Tahoma"/>
            <family val="2"/>
          </rPr>
          <t>Guidance: Expect “Solid” margin expansion in fiscal 2023 with “progressively more expansion” in fiscal 2024 and 2025.
Source: Investor Day 9/16/2022</t>
        </r>
      </text>
    </comment>
    <comment ref="H143" authorId="1" shapeId="0" xr:uid="{59F05275-D7FB-46AC-8A1B-556993FB8457}">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7CE438F2-D08F-4643-A149-1267AAB61EA8}">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6A8DA4BA-E7DE-4D23-99A0-183FBE362EA8}">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3AA45C0A-328D-4827-A990-F06B8F060649}">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B143" authorId="0" shapeId="0" xr:uid="{D26EE20C-5757-4613-AD75-B37E9D4FC8BF}">
      <text>
        <r>
          <rPr>
            <sz val="9"/>
            <color indexed="81"/>
            <rFont val="Tahoma"/>
            <family val="2"/>
          </rPr>
          <t>GAAP and non-GAAP Tax Rates Mid-20s</t>
        </r>
      </text>
    </comment>
    <comment ref="AL149" authorId="0" shapeId="0" xr:uid="{E53D9F72-91F9-4C04-AF96-1F6734E176A9}">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F6A3C14C-D378-403B-9AE7-C952580A7929}">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28315E42-A9BA-4DF8-8989-90C386CD4E6E}">
      <text>
        <r>
          <rPr>
            <sz val="9"/>
            <color indexed="81"/>
            <rFont val="Tahoma"/>
            <family val="2"/>
          </rPr>
          <t>Management is assuming a 2% dividend yield in their forecast.</t>
        </r>
      </text>
    </comment>
    <comment ref="AH153" authorId="0" shapeId="0" xr:uid="{577755B2-3182-495B-BDC4-575A4B5C8EC0}">
      <text>
        <r>
          <rPr>
            <sz val="9"/>
            <color indexed="81"/>
            <rFont val="Tahoma"/>
            <family val="2"/>
          </rPr>
          <t>Management is assuming a 2% dividend yield in their forecast.</t>
        </r>
      </text>
    </comment>
    <comment ref="B165" authorId="1" shapeId="0" xr:uid="{8F19D041-EC9D-4D85-8F05-C4363D163E1A}">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3C5B87B1-E2F4-40AA-8C6C-EE9174D867FB}">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28B1B5CC-76FF-4F46-AD25-0AA636750040}">
      <text>
        <r>
          <rPr>
            <b/>
            <sz val="9"/>
            <color indexed="81"/>
            <rFont val="Tahoma"/>
            <family val="2"/>
          </rPr>
          <t>Enter negative EPS income tax effect as positive on this line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F08FA583-96C1-4B1D-A42A-15131D9DE601}">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9679B7C0-42EA-403C-9BCA-751B7973F621}">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5B417A75-1BE8-427D-9DB2-CFD4E405ADD8}">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839E1F35-2E34-4076-8008-4DCBF2583E56}">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A8F24C0B-8298-4FF7-B2FC-63728CBC0C7F}">
      <text>
        <r>
          <rPr>
            <b/>
            <sz val="9"/>
            <color indexed="81"/>
            <rFont val="Tahoma"/>
            <family val="2"/>
          </rPr>
          <t>Note: Use the company's 10-K not SEC web data</t>
        </r>
      </text>
    </comment>
    <comment ref="B17" authorId="0" shapeId="0" xr:uid="{9488CAAB-DA86-4FD1-A138-41009A5C6574}">
      <text>
        <r>
          <rPr>
            <b/>
            <sz val="9"/>
            <color indexed="81"/>
            <rFont val="Tahoma"/>
            <family val="2"/>
          </rPr>
          <t>Change sign</t>
        </r>
      </text>
    </comment>
    <comment ref="B21" authorId="0" shapeId="0" xr:uid="{18ACAE24-A364-441B-9F78-286B7EB2C078}">
      <text>
        <r>
          <rPr>
            <b/>
            <sz val="9"/>
            <color indexed="81"/>
            <rFont val="Tahoma"/>
            <family val="2"/>
          </rPr>
          <t>Change sign</t>
        </r>
      </text>
    </comment>
    <comment ref="H25" authorId="0" shapeId="0" xr:uid="{BBEC3425-3D95-4C42-9270-2F4475C3C503}">
      <text>
        <r>
          <rPr>
            <b/>
            <sz val="9"/>
            <color indexed="81"/>
            <rFont val="Tahoma"/>
            <family val="2"/>
          </rPr>
          <t xml:space="preserve">3Q2019 Earnings call (7/25/2019) guidance for FY2019:
</t>
        </r>
        <r>
          <rPr>
            <sz val="9"/>
            <color indexed="81"/>
            <rFont val="Tahoma"/>
            <family val="2"/>
          </rPr>
          <t>Capex ~ $2B</t>
        </r>
      </text>
    </comment>
    <comment ref="M25" authorId="0" shapeId="0" xr:uid="{9FFD9AC1-F24D-430C-BD04-623C0B7FE230}">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8DD2C946-94CF-4B9F-898B-E00525B9D8C6}">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47E7A1F6-2DAE-4F5C-ACE6-464C69EAA1FC}">
      <text>
        <r>
          <rPr>
            <sz val="9"/>
            <color indexed="81"/>
            <rFont val="Tahoma"/>
            <family val="2"/>
          </rPr>
          <t>Guidance: Capital expenditures of ~$2.5B
Source: F4Q2022 and F1Q2023 release</t>
        </r>
      </text>
    </comment>
    <comment ref="AG25" authorId="1" shapeId="0" xr:uid="{601B26AF-FAE6-4065-B592-30DFF4B2C198}">
      <text>
        <r>
          <rPr>
            <sz val="9"/>
            <color indexed="81"/>
            <rFont val="Tahoma"/>
            <family val="2"/>
          </rPr>
          <t>Guidance: Capital expenditures of $2.5B to $3.0B annually (fiscal 2023, 2024, and 2025).
Source: Investor Day 9/16/2022</t>
        </r>
      </text>
    </comment>
    <comment ref="AL25" authorId="1" shapeId="0" xr:uid="{14C71749-C26B-4E2D-90B2-E48E8D3DEB97}">
      <text>
        <r>
          <rPr>
            <sz val="9"/>
            <color indexed="81"/>
            <rFont val="Tahoma"/>
            <family val="2"/>
          </rPr>
          <t>Guidance: Capital expenditures of $2.5B to $3.0B annually (fiscal 2023, 2024, and 2025).
Source: Investor Day 9/16/2022</t>
        </r>
      </text>
    </comment>
    <comment ref="B29" authorId="0" shapeId="0" xr:uid="{403268D5-5F41-4A40-97AF-758A182D2B42}">
      <text>
        <r>
          <rPr>
            <b/>
            <sz val="9"/>
            <color indexed="81"/>
            <rFont val="Tahoma"/>
            <family val="2"/>
          </rPr>
          <t>Change sign for payments of debt</t>
        </r>
      </text>
    </comment>
    <comment ref="B42" authorId="0" shapeId="0" xr:uid="{7F4E59D5-7E26-4540-9517-1C77D824A19B}">
      <text>
        <r>
          <rPr>
            <sz val="9"/>
            <color indexed="81"/>
            <rFont val="Tahoma"/>
            <family val="2"/>
          </rPr>
          <t>Cash Flow from Operations - Capital Expenditures + After tax Interest Expense</t>
        </r>
      </text>
    </comment>
    <comment ref="AL58" authorId="1" shapeId="0" xr:uid="{EC25F22E-BBDC-45E3-8C33-1BBD259AD68E}">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2ED68859-87F5-4024-9D6B-5E80088CA8F0}">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6487D3BD-112C-4540-B2F0-CF6AB53CA68D}">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t>
        </r>
        <r>
          <rPr>
            <sz val="9"/>
            <color indexed="81"/>
            <rFont val="Tahoma"/>
            <family val="2"/>
          </rPr>
          <t>Investor Day 9/16/2022. Affirmed F4Q2022. Reaffirmed F1Q2023.</t>
        </r>
        <r>
          <rPr>
            <b/>
            <sz val="9"/>
            <color indexed="81"/>
            <rFont val="Tahoma"/>
            <family val="2"/>
          </rPr>
          <t xml:space="preserve">
</t>
        </r>
        <r>
          <rPr>
            <sz val="9"/>
            <color indexed="81"/>
            <rFont val="Tahoma"/>
            <family val="2"/>
          </rPr>
          <t>Based on 2022 non-GAAP EPS of $2.95 CAGR of 15% to 20% equates to a 2025 EPS range of $4.49 to $5.10.</t>
        </r>
        <r>
          <rPr>
            <b/>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GE User</author>
    <author>Owner</author>
  </authors>
  <commentList>
    <comment ref="F6" authorId="0" shapeId="0" xr:uid="{3FAEDFCA-FECE-4BA5-B1C6-0E7145F217CC}">
      <text>
        <r>
          <rPr>
            <sz val="9"/>
            <color indexed="81"/>
            <rFont val="Tahoma"/>
            <family val="2"/>
          </rPr>
          <t>The DCF calculation relies on an estimate of the equity to total capital ratio. Since the share price goes into the calculation of the capital ratio, this will naturally cause a circular reference. To demonstrate assume the current share price is $100 and the DCF is projecting a price of $150. If the actual price moved toward the DCF target price of $150, then equity would make up a larger percentage of the total capital structure and the share price would actually be much lower.
Consider what would happen if we simply used the current share price in the DCF calculation, and market risk increased from one quarter to the next. As the share price declines, the equity to total capital ratio will also decline. As a result the discount rate will decline, and the share price projected by the DCF would actually increase, despite the heighten level of risk. The reverse effect would occur in a scenario where market risk decreases from one period to the next. From a reasonableness standpoint this simply does not make sense directionally.
To solve this issue the target share price must be used in the calculation of debt to equity. You can use trial and error to type in share prices until the price for the market capitalization calculation equals that of the DCF target. Or you can simply input the equation of "Target Share Price" = "Implied DCF 12-month target value" (i.e. "DCF check") and use the Goal Seek function to change "Target Share Price" to equal the final DCF target. This should be the final step in your model, as any changes in the inputs could impact the valuation.</t>
        </r>
      </text>
    </comment>
    <comment ref="C8" authorId="1" shapeId="0" xr:uid="{6E3180B3-DD47-48C2-895C-BAC3DF96C5A9}">
      <text>
        <r>
          <rPr>
            <sz val="9"/>
            <color indexed="81"/>
            <rFont val="Tahoma"/>
            <family val="2"/>
          </rPr>
          <t>5yr historic range 18.3x to 37.0x</t>
        </r>
      </text>
    </comment>
    <comment ref="F11" authorId="0" shapeId="0" xr:uid="{F4CA6EFF-2A6B-4586-8218-4EDCF3B0F116}">
      <text>
        <r>
          <rPr>
            <sz val="9"/>
            <color indexed="81"/>
            <rFont val="Tahoma"/>
            <family val="2"/>
          </rPr>
          <t>This model uses the Constant Sharpe approach to estimate the Equity Risk Premium (ERP). The S&amp;P500 Constant Sharpe is calculated by taking the excess return on the index over the risk-free rate, divided by the standard deviation of returns. The Constant Sharpe ratio is then multiplied by the estimate of implied volatility to calculate the ERP.
Instructor's preference: The nature of the constant Sharpe is that it theoretically should not change. I like to have my Stage 1 Constant Sharpe reflective my expectations for the market over the next year.</t>
        </r>
      </text>
    </comment>
    <comment ref="F12" authorId="0" shapeId="0" xr:uid="{4BE2F290-8863-451E-9115-282B100F79EA}">
      <text>
        <r>
          <rPr>
            <sz val="9"/>
            <color indexed="81"/>
            <rFont val="Tahoma"/>
            <family val="2"/>
          </rPr>
          <t>The VIX is quoted in percentage points and measures the implied annualized volatility for the S&amp;P500. The VIX is a forward looking measure of implied volatility, however, single day volatility would have too much of an impact on the overall discount rate. For this reason the twelve month average is used (based on a 12-month forecast, refer to the ERP model for details).</t>
        </r>
      </text>
    </comment>
    <comment ref="F22" authorId="1" shapeId="0" xr:uid="{E22CC6BD-6D0B-4A3C-83C9-670D41D050FD}">
      <text>
        <r>
          <rPr>
            <sz val="9"/>
            <color indexed="81"/>
            <rFont val="Tahoma"/>
            <family val="2"/>
          </rPr>
          <t>Starbucks went public in 1992. If you ignore the first 10 years of data (hyper growth stage). The CAGR in revenue has been approximately 12% over 20 years from  $3.3B in 2002 to $32.25B in 2022 [(32.25/3.3)^(1/20)-1]. Despite running at double digit growth as a mature company for 20 years, the constant growth stage should be a rate much lower than this. 
The constant growth rates (like all of the inputs) could be debated. Some may say there should be three stages: stage 1 being the forecast management has provided through 2025, stage 2 a 20 year period based on the long term growth of 12%, and stage 3 a lower constant growth of 3-4%. I view the 4% growth (above LT average GDP of about 3%) as a blended rate of what would be a three-stage approach, with approximately 20 years of double-digit growth and a much lower constant growth rate. 
We are also assuming: 
&gt; The CFO growth rate will equal the revenue growth rate on a long-term basis, and that the capital intensity of the business (capex to revenue) will decline in the slower growth stage, as investments will be isolated to maintaining equipment (no inovation or growth).
&gt; Constant networking capital in the constant growth stage.
&gt; Debt balance and interest expense remain constant in the constant growth stage, and that book value of debt approximates fair value.</t>
        </r>
      </text>
    </comment>
    <comment ref="F32" authorId="1" shapeId="0" xr:uid="{BECF05FA-F84C-4CE4-9627-EB8920B64A77}">
      <text>
        <r>
          <rPr>
            <sz val="9"/>
            <color indexed="81"/>
            <rFont val="Tahoma"/>
            <family val="2"/>
          </rPr>
          <t>Instructor's preference: I like to be able to change the forecast for the CAPM inputs on a short-term and long-term basis, without my short-term (1 to 3 years) having an undue influence on my forecast of the long-term enterprise value.</t>
        </r>
      </text>
    </comment>
    <comment ref="B33" authorId="0" shapeId="0" xr:uid="{AA09E91B-5F3C-4BA5-A431-89EF34311F91}">
      <text>
        <r>
          <rPr>
            <sz val="9"/>
            <color indexed="81"/>
            <rFont val="Tahoma"/>
            <family val="2"/>
          </rPr>
          <t xml:space="preserve">There are many approaches to estimating a stock's risk. In this demonstration we use the standard deviation and the monthly average return over the last 12 months to construct an estimated price target range. Standard deviation is a measure of dispersion around the mean monthly return. The larger the historic standard deviation the greater the volatility in prices. Using a normal distribution, approximately 95% of observations fall within 2 standard deviations of the mean. This approach has multiple limitations including: 1) it assumes that historic results can predict future return characteristics, and 2) it assumes the stock's returns are normally distributed. </t>
        </r>
      </text>
    </comment>
    <comment ref="C34" authorId="1" shapeId="0" xr:uid="{F9C99585-D65F-4E92-8309-BA7D18A9957D}">
      <text>
        <r>
          <rPr>
            <sz val="9"/>
            <color indexed="81"/>
            <rFont val="Tahoma"/>
            <family val="2"/>
          </rPr>
          <t>From "SBUX Beta Calculation" file, worksheet "SBUX Beta ST" cells C15 and H18.</t>
        </r>
      </text>
    </comment>
    <comment ref="F35" authorId="2" shapeId="0" xr:uid="{49A39F8F-79D5-4807-B691-EC65D5B26570}">
      <text>
        <r>
          <rPr>
            <b/>
            <sz val="9"/>
            <color indexed="81"/>
            <rFont val="Tahoma"/>
            <family val="2"/>
          </rPr>
          <t>Equation:
CFO:</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 </t>
        </r>
      </text>
    </comment>
    <comment ref="F36" authorId="3" shapeId="0" xr:uid="{759B4DDB-72F7-4963-8ABC-9086E4FB16D5}">
      <text>
        <r>
          <rPr>
            <sz val="9"/>
            <color indexed="81"/>
            <rFont val="Tahoma"/>
            <family val="2"/>
          </rPr>
          <t xml:space="preserve">This adds back cash and removes debt from the enterprise value to arrive at the equity only value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2646FD29-DA67-484B-9A78-4FFB298C9511}">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995DABBF-E0ED-4BB9-BB7E-25DA69F7998E}">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C3144780-2EB8-46DC-A6A3-2C6A7E08C7A4}">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AB8" authorId="0" shapeId="0" xr:uid="{17A2273D-0179-4F10-B2EE-803CB7563173}">
      <text>
        <r>
          <rPr>
            <sz val="9"/>
            <color indexed="81"/>
            <rFont val="Tahoma"/>
            <family val="2"/>
          </rPr>
          <t xml:space="preserve">Midpoint of 10% to 12% guided growth range, or $35.5B to $36.1B. </t>
        </r>
      </text>
    </comment>
    <comment ref="B9" authorId="1" shapeId="0" xr:uid="{1AC211D5-098C-4973-9087-8626DB588F24}">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14A1EE43-99A6-494F-B870-4A022938425F}">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83D0AC54-DC34-41C3-B64E-D62B33FD8681}">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E382BCF7-C39B-456B-87A2-A81FF9FEB0FB}">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18DA8828-75E9-4F30-89DF-E491D8EA7A5F}">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5C40A783-CD38-4B53-B1B4-A6E006FABC75}">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3C74879B-F053-48E0-BA23-A7B85C09E9BC}">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1D859E8F-7B8C-4284-B1BD-90A616E9D0B3}">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AC838ACC-2CAD-421A-9E3E-373777BBB3B5}">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AB5E086B-AEAE-4426-804E-5917B28E4909}">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35B9D9B7-F9AB-4324-8ACE-ED365E15AE61}">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233FCAE2-980D-4FF5-8CD5-7814489A0009}">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275FDBCF-6E0E-4498-AA56-67DD98212A6C}">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B515FF20-14E9-4E30-9549-0B9BF7654954}">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5B0740FE-62FC-4B81-B1FE-F7B00395AF20}">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9F5F3CCF-BEC4-403E-9D8E-29D5DBFB9D03}">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0F6FF7A0-426B-41A0-BAB0-1A13D4B44A01}">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DA720F8B-ED48-45C2-84EF-4925874FAAF9}">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49C22219-8B99-442C-8BE7-07232FA6C665}">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5EA3EBAD-198A-4AE8-AFDB-E24961089481}">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0586F605-14E9-4DD7-9824-93C66B5FEDD0}">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44848418-7102-45CB-872B-6D446234E812}">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5192C201-0B9E-4255-AB44-768523CEAA63}">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AB22" authorId="0" shapeId="0" xr:uid="{47978CAB-8477-4167-B9D5-5BBB246D0B93}">
      <text>
        <r>
          <rPr>
            <sz val="9"/>
            <color indexed="81"/>
            <rFont val="Tahoma"/>
            <family val="2"/>
          </rPr>
          <t>Interest Expense $540M - $560M</t>
        </r>
      </text>
    </comment>
    <comment ref="N24" authorId="0" shapeId="0" xr:uid="{CD9DDBD3-F37C-4E94-840A-D3BFF4864DAE}">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8D955CBB-4E78-4A86-A9A8-317AD59B466D}">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EF1665E7-887E-4A13-AB8A-BFCB8564BED2}">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866F860B-1DAC-4EDC-B5C7-DECD50C68C0F}">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9F688BFD-EC3C-4393-8BC4-89B9BD72C88D}">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2E52D022-DD1F-4E8B-A6A0-33126FD97AE4}">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29FFF886-7343-430E-8A93-33FF104BDE78}">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114647ED-9C21-42F0-9FD4-93DBC8C176AD}">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BB97CD20-7366-45E5-B623-FAA30FAD75C2}">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86939653-FA1E-493C-9B35-9F64F8130D22}">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0050BBB8-DA49-4561-8BD1-01A541A08560}">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33E65DB4-177A-423A-BE11-ECA3EB9E4DAA}">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230B9462-613A-4CF4-9ECF-FEEE52F42A7B}">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B34" authorId="0" shapeId="0" xr:uid="{90A2010A-BBEA-48B3-B87A-5B5E7E20AD60}">
      <text>
        <r>
          <rPr>
            <sz val="9"/>
            <color indexed="81"/>
            <rFont val="Tahoma"/>
            <family val="2"/>
          </rPr>
          <t>Guided to the low-end of 15% to 20% growth, or $3.40 to $3.55.</t>
        </r>
      </text>
    </comment>
    <comment ref="AL34" authorId="0" shapeId="0" xr:uid="{D05D0400-B07A-40E1-8774-D1967BD1EB65}">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t>
        </r>
        <r>
          <rPr>
            <sz val="9"/>
            <color indexed="81"/>
            <rFont val="Tahoma"/>
            <family val="2"/>
          </rPr>
          <t>Investor Day 9/16/2022. Affirmed F4Q2022. Reaffirmed F1Q2023.</t>
        </r>
        <r>
          <rPr>
            <b/>
            <sz val="9"/>
            <color indexed="81"/>
            <rFont val="Tahoma"/>
            <family val="2"/>
          </rPr>
          <t xml:space="preserve">
</t>
        </r>
        <r>
          <rPr>
            <sz val="9"/>
            <color indexed="81"/>
            <rFont val="Tahoma"/>
            <family val="2"/>
          </rPr>
          <t>Based on 2022 non-GAAP EPS of $2.95 CAGR of 15% to 20% equates to a 2025 EPS range of $4.49 to $5.10.</t>
        </r>
      </text>
    </comment>
    <comment ref="L35" authorId="1" shapeId="0" xr:uid="{D44F68A6-EC6A-46E4-973B-E9D66AAC5FCE}">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2DF67641-0859-4292-87B4-5B06E548F0E3}">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B7E98A4F-06F9-483E-9119-8164FEC8B652}">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74B31544-B011-4CEC-A9D1-A45F065B0F55}">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DD7D5E2E-F885-487C-A8CA-D134FE61529A}">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C5B7AD76-0920-499C-AF2C-50AA9E590594}">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6A4A857B-A446-4FD8-9F17-CF85425FB1F8}">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D63DFFC3-946E-46F8-84EE-166E9242E07E}">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B0D9175E-D9F1-4F22-B8B1-7D37718E96CB}">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3DBC32FF-01F8-4A17-BBA4-56CECE5EC85B}">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8C76CE8B-D52D-49BC-96B9-20C12F64E5AF}">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EC94E19E-8F9C-4BF0-BF4A-6F93D33F3E6E}">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2C301CFE-CFBF-453A-BEED-67771B2B7A94}">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00587A3C-E84D-47B2-A07A-453BA7E389AA}">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9C6DF8A0-C2EC-4F88-9E18-A37F4D349EAD}">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795AE633-AFC6-43C0-8172-CDB9338FC2F7}">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65786E1F-7D35-4D72-BBE6-98937918B871}">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6F8A0B5F-597E-4D4A-9910-0BD60347E4FC}">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3A5ECDEA-E183-4A3B-B354-07C9531F878E}">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DC640893-673E-45F2-B352-112B4FDDEC26}">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537924AE-B2DB-478E-B4E6-6DBD65DC7E5A}">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FA5C963D-D26E-4BCF-A6C4-D64F208E4225}">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0404E626-1464-410F-9727-794549F5188D}">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75CB3177-B1F2-487E-A630-586E6ED9AFAA}">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007EE44F-C58A-4A47-8689-5AB1367E2FC4}">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F076DB9C-8233-45B4-ABFF-1321833E82E1}">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D44E7E2D-F649-445B-9BC0-904DB380F0BE}">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A4D37BC1-7F07-4ECB-8C27-1DE7CE77D39E}">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CAD35720-7FA4-4AED-8CF0-18A292C9E7F5}">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02DB8D0A-174C-4408-9B5B-E2789450A586}">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DFBF16FA-DABE-45B3-B1C7-F5756195213E}">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650BCCC4-E8D8-42C5-9648-6F72FE0F03F4}">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4F753070-BF51-4780-B556-89BDF7990347}">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8697C6EC-6149-4A9F-956B-33107982AE89}">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78E56C57-96BF-4806-9C2E-A6223B7092ED}">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BE610FAC-70CA-4FC4-876E-0E4E72852C0B}">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052D5F0C-7CAC-4949-AFE5-4946B1BE0A78}">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C5D9F6B5-53AD-4595-A9DB-51971635EC8F}">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7AD87DBD-0893-4BFD-BCFF-B088D89DC06D}">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77202BCC-CFEE-4C09-93C0-76F93484B4B6}">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3A285BD4-E380-4BDC-AEEB-A3058ABB52BF}">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EFE8233A-F6AB-444D-9A73-E14D7AAE2C82}">
      <text>
        <r>
          <rPr>
            <sz val="9"/>
            <color indexed="81"/>
            <rFont val="Tahoma"/>
            <family val="2"/>
          </rPr>
          <t>Guidance: Global store growth of 7% annually approaching 45,000 stores by the end of 2025 (from fiscal 2023 to 2025). 
Source: Investor Day 9/16/2022</t>
        </r>
      </text>
    </comment>
    <comment ref="H140" authorId="1" shapeId="0" xr:uid="{E43BFD83-05DE-4E0D-A397-34DFAE15EE50}">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EAA14690-C8B4-4BF3-B52C-2D020B0944F1}">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DF03B90A-C373-4178-BD0E-1F98E6A41303}">
      <text>
        <r>
          <rPr>
            <sz val="9"/>
            <color indexed="81"/>
            <rFont val="Tahoma"/>
            <family val="2"/>
          </rPr>
          <t>Guidance: Global revenue growth of 10% to 12% annually (from fiscal 2023 to 2025).
Source: Investor Day 9/16/2022</t>
        </r>
      </text>
    </comment>
    <comment ref="R141" authorId="0" shapeId="0" xr:uid="{5FD09CD0-5783-4825-A201-C74F79E5C48F}">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E6F0E313-6916-4921-978F-82F8B48301B4}">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L142" authorId="0" shapeId="0" xr:uid="{8F3586C1-FC28-4E59-BF13-30971C97F75E}">
      <text>
        <r>
          <rPr>
            <sz val="9"/>
            <color indexed="81"/>
            <rFont val="Tahoma"/>
            <family val="2"/>
          </rPr>
          <t>Guidance: Expect “Solid” margin expansion in fiscal 2023 with “progressively more expansion” in fiscal 2024 and 2025.
Source: Investor Day 9/16/2022</t>
        </r>
      </text>
    </comment>
    <comment ref="H143" authorId="1" shapeId="0" xr:uid="{3B24632A-8731-407E-9696-4B1D5AB5FFAD}">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7758902F-1C9C-4A10-8633-650C34D72572}">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ACC57F1C-BDC8-4D22-9E2D-63DC78352774}">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968A4E9D-83A1-4250-B243-56F6C0969079}">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B143" authorId="0" shapeId="0" xr:uid="{788FE85E-D85B-4089-9A71-A652F6D0E29D}">
      <text>
        <r>
          <rPr>
            <sz val="9"/>
            <color indexed="81"/>
            <rFont val="Tahoma"/>
            <family val="2"/>
          </rPr>
          <t>GAAP and non-GAAP Tax Rates Mid-20s</t>
        </r>
      </text>
    </comment>
    <comment ref="AL149" authorId="0" shapeId="0" xr:uid="{84DB8806-126D-418E-A8E1-47A28635C992}">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DA472720-CB00-47E2-A472-4B832CCBF3A1}">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37AA95B8-EEB3-4138-B8B6-256E8A93C7D1}">
      <text>
        <r>
          <rPr>
            <sz val="9"/>
            <color indexed="81"/>
            <rFont val="Tahoma"/>
            <family val="2"/>
          </rPr>
          <t>Management is assuming a 2% dividend yield in their forecast.</t>
        </r>
      </text>
    </comment>
    <comment ref="AH153" authorId="0" shapeId="0" xr:uid="{70629047-484E-45C5-80B6-463708E09BB0}">
      <text>
        <r>
          <rPr>
            <sz val="9"/>
            <color indexed="81"/>
            <rFont val="Tahoma"/>
            <family val="2"/>
          </rPr>
          <t>Management is assuming a 2% dividend yield in their forecast.</t>
        </r>
      </text>
    </comment>
    <comment ref="B165" authorId="1" shapeId="0" xr:uid="{D711060F-E504-425A-93BA-EC3445FAEF8D}">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E77C8EF5-06C0-4D50-A9EE-97995301C3F0}">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F0FAAD95-E1D1-4720-9A38-EAA11D1411D5}">
      <text>
        <r>
          <rPr>
            <b/>
            <sz val="9"/>
            <color indexed="81"/>
            <rFont val="Tahoma"/>
            <family val="2"/>
          </rPr>
          <t>Enter negative EPS income tax effect as positive on this line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37E2DE5B-7979-4BF6-9F9F-D7E5B5A3E3E2}">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F4C0285D-2E38-44C2-BFED-D4CF9D72EEF1}">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9797DBB5-4C64-46DF-BE18-ACE95808ADFB}">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D49F9B0F-E26E-4817-B2B4-EF117B82C9A5}">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A7937E3D-0373-41D0-92A4-D0644191D48B}">
      <text>
        <r>
          <rPr>
            <b/>
            <sz val="9"/>
            <color indexed="81"/>
            <rFont val="Tahoma"/>
            <family val="2"/>
          </rPr>
          <t>Note: Use the company's 10-K not SEC web data</t>
        </r>
      </text>
    </comment>
    <comment ref="B17" authorId="0" shapeId="0" xr:uid="{48588703-B905-4078-8486-3F325C3E6B32}">
      <text>
        <r>
          <rPr>
            <b/>
            <sz val="9"/>
            <color indexed="81"/>
            <rFont val="Tahoma"/>
            <family val="2"/>
          </rPr>
          <t>Change sign</t>
        </r>
      </text>
    </comment>
    <comment ref="B21" authorId="0" shapeId="0" xr:uid="{D9E98052-0F34-4057-A9E3-1604D9A50BA0}">
      <text>
        <r>
          <rPr>
            <b/>
            <sz val="9"/>
            <color indexed="81"/>
            <rFont val="Tahoma"/>
            <family val="2"/>
          </rPr>
          <t>Change sign</t>
        </r>
      </text>
    </comment>
    <comment ref="H25" authorId="0" shapeId="0" xr:uid="{4269DC26-C37F-43ED-953E-D058593199B2}">
      <text>
        <r>
          <rPr>
            <b/>
            <sz val="9"/>
            <color indexed="81"/>
            <rFont val="Tahoma"/>
            <family val="2"/>
          </rPr>
          <t xml:space="preserve">3Q2019 Earnings call (7/25/2019) guidance for FY2019:
</t>
        </r>
        <r>
          <rPr>
            <sz val="9"/>
            <color indexed="81"/>
            <rFont val="Tahoma"/>
            <family val="2"/>
          </rPr>
          <t>Capex ~ $2B</t>
        </r>
      </text>
    </comment>
    <comment ref="M25" authorId="0" shapeId="0" xr:uid="{910224EE-B1F4-40D0-BC8A-3B00EAAD5E42}">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70648E2B-EA01-48DC-BDB0-725BC8B30858}">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79CDFD5E-7087-4A68-A7A1-E6DCEF408F6C}">
      <text>
        <r>
          <rPr>
            <sz val="9"/>
            <color indexed="81"/>
            <rFont val="Tahoma"/>
            <family val="2"/>
          </rPr>
          <t>Guidance: Capital expenditures of ~$2.5B
Source: F4Q2022 and F1Q2023 release</t>
        </r>
      </text>
    </comment>
    <comment ref="AG25" authorId="1" shapeId="0" xr:uid="{8F8BF473-7FA7-49A9-9841-A75A72029273}">
      <text>
        <r>
          <rPr>
            <sz val="9"/>
            <color indexed="81"/>
            <rFont val="Tahoma"/>
            <family val="2"/>
          </rPr>
          <t>Guidance: Capital expenditures of $2.5B to $3.0B annually (fiscal 2023, 2024, and 2025).
Source: Investor Day 9/16/2022</t>
        </r>
      </text>
    </comment>
    <comment ref="AL25" authorId="1" shapeId="0" xr:uid="{982166E1-C48D-46BD-848F-0465536E9E40}">
      <text>
        <r>
          <rPr>
            <sz val="9"/>
            <color indexed="81"/>
            <rFont val="Tahoma"/>
            <family val="2"/>
          </rPr>
          <t>Guidance: Capital expenditures of $2.5B to $3.0B annually (fiscal 2023, 2024, and 2025).
Source: Investor Day 9/16/2022</t>
        </r>
      </text>
    </comment>
    <comment ref="B29" authorId="0" shapeId="0" xr:uid="{E8AB82D2-C337-4030-AA3F-284CD1B79578}">
      <text>
        <r>
          <rPr>
            <b/>
            <sz val="9"/>
            <color indexed="81"/>
            <rFont val="Tahoma"/>
            <family val="2"/>
          </rPr>
          <t>Change sign for payments of debt</t>
        </r>
      </text>
    </comment>
    <comment ref="B42" authorId="0" shapeId="0" xr:uid="{A75995B0-A791-41C8-B49F-B53026F69BEA}">
      <text>
        <r>
          <rPr>
            <sz val="9"/>
            <color indexed="81"/>
            <rFont val="Tahoma"/>
            <family val="2"/>
          </rPr>
          <t>Cash Flow from Operations - Capital Expenditures + After tax Interest Expense</t>
        </r>
      </text>
    </comment>
    <comment ref="AL58" authorId="1" shapeId="0" xr:uid="{63B4B0B1-E93D-4745-B317-5041AD365569}">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116DC80B-EB2A-48B2-B1C9-08FD673D7209}">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395940FA-C8FF-4B33-9D18-D866B8E85F07}">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t>
        </r>
        <r>
          <rPr>
            <sz val="9"/>
            <color indexed="81"/>
            <rFont val="Tahoma"/>
            <family val="2"/>
          </rPr>
          <t>Investor Day 9/16/2022. Affirmed F4Q2022. Reaffirmed F1Q2023.</t>
        </r>
        <r>
          <rPr>
            <b/>
            <sz val="9"/>
            <color indexed="81"/>
            <rFont val="Tahoma"/>
            <family val="2"/>
          </rPr>
          <t xml:space="preserve">
</t>
        </r>
        <r>
          <rPr>
            <sz val="9"/>
            <color indexed="81"/>
            <rFont val="Tahoma"/>
            <family val="2"/>
          </rPr>
          <t>Based on 2022 non-GAAP EPS of $2.95 CAGR of 15% to 20% equates to a 2025 EPS range of $4.49 to $5.10.</t>
        </r>
        <r>
          <rPr>
            <b/>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C0432C64-982E-4DC6-B9D9-B6AF6DC0373A}">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09066CD6-2C33-45E2-92B1-E01198177CC8}">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B62C5A59-6D61-40F2-9129-FF5071F31E75}">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06036347-5934-438F-9951-CF64C0995E2B}">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12E98784-FCE5-454D-97FB-6C450D47F4A7}">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B7793521-DDFD-4F35-8F8A-660ADEFC1173}">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31EE350A-1AA9-48CB-9DB0-CD7D997F3552}">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0C8A76F9-C3C7-462E-8B01-5BEE46903409}">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61A60D87-0B0C-4DBB-9255-4443D0CB3203}">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58CE4EDA-9D2F-4611-AFD4-89812551E7B9}">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A0C6485F-F37C-4267-80AE-FEB00DFA3D51}">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A91A0953-A9FD-4C0A-8624-D96CBFD3470B}">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2124E2B6-B6B7-4A04-921F-D957142B8B6A}">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0B9C28F5-6356-4410-8D65-8BE37C5F60CF}">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256D27F8-171A-43C1-B17E-8DDBE2FDFD05}">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52C51139-0A33-4B7B-8260-E22886582935}">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F6016005-1FF6-4B3E-9BBF-A7D6FFFFC5D2}">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BFEBC261-AB64-4450-8C8D-B027D0974329}">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016D4143-B498-4489-B152-EB6EDAD6BFC0}">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7BB24EF4-CB68-49C2-A7BC-3DB271D8EF32}">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4E05DCB6-83A3-4E2B-9CC1-70080DDB827A}">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39DD6ECF-B825-4FAB-B468-4ABBD35669B4}">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B5DD87A9-830C-4F51-B2F4-3E353218601B}">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D258A54B-D652-46D2-8AC5-F1F187F2C4AF}">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757F8AEE-F277-4165-A90F-09611AD4F7FC}">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5AC36EB9-2D7B-49EC-8B8E-BA0F84B09056}">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40E3340A-200F-43F8-8849-9EB87720F222}">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0454092D-7D55-46A9-8CB2-B3CA72733A1A}">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EACC137E-E0BE-4981-907B-3CDE354F60DB}">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7664AED0-C1AD-45ED-9F12-4C2C9FD719B4}">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DBF41B3D-73FA-4646-A936-B1ED085718A8}">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C497C174-3A53-4D2A-B657-216E9FC4987D}">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A79C0551-F20D-47D2-810A-6144B14BF1F8}">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BBCE2572-8B59-4E4F-B52A-FBE190A60831}">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61929523-06D4-4B91-95E8-05D7A9DECACC}">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B55C209B-A6B7-414D-A9BE-E7548F9E78A3}">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A5168CBE-EFD2-4C75-8ACF-C4DA72C42942}">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EAF42A7F-2D83-4DB4-A919-983EF0195D8E}">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039E42F8-614B-4BF7-BBC0-8D6F62A995AF}">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8B3C8F4F-D187-466E-AD78-1FF65D0FE630}">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2405B668-1596-40B7-880D-E2EDBCECB007}">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A4E8FE8F-4B45-4E62-BEA0-BB3FAB03813D}">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0089DABB-9B7A-43A8-A476-4BF85CA2B490}">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405A4863-6194-475B-998D-506C4842E06A}">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671B4228-DED7-47DD-826E-476C7829FC9F}">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621C64AC-FF47-4E8E-A546-DF4F302E897F}">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308E6378-58B7-427E-A559-3B67042FC5DA}">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2514CABD-7956-47B4-8E80-518B5A6943B3}">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7BC54FE6-ADF8-423C-8638-F52FEB46BD20}">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9E362074-94F2-41F0-9944-D83E692AEB84}">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D33D0584-C4F5-4F7C-8A62-DB8F0BD7DFDA}">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10EC6AFC-850D-4288-86F3-332152F48CCA}">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58F47758-B9CF-4726-A79B-30B4A1EC9665}">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443D39E6-C18B-48BE-A286-9AD468E301DA}">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5CAD5210-19C5-4B79-9980-19B00194714C}">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6226BAF6-8D1D-4F84-A760-B96E90C76D3D}">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F22C26F2-8767-4E2A-AF0C-D48EDADA9BFD}">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9BA2AC9F-2212-4156-8463-50933AAFCEAC}">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9262FA23-AD9E-452D-A059-4CCED4F2228D}">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7121FF00-1541-4228-B72A-79B3B0B3ACD0}">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4F9FD2ED-91C0-490A-BE69-FD17530CB359}">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EB407C1F-16A4-4DEF-B0C0-B6A6EFBCEB32}">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86287F23-2AA7-4574-B8A5-44E8FD15AF53}">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B51A0FAC-C4A8-4A11-B9B3-D8ADA808C554}">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3DFB4775-D958-4A40-968B-49778B203915}">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9729A4B4-999A-417C-9E1F-488575A01301}">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9817CDA4-AC04-4B18-AA22-17B47175136C}">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EBFC927B-9137-4885-8494-8C25881EC8B0}">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6871E215-009D-45D5-A3C5-9D1EF51CFA9F}">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6C378902-5715-4264-A65E-8E5C9ECDEAC1}">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A635A49C-7A0C-475F-9983-3A3C3FAE30C3}">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F44BD9F4-6767-456C-94A9-30DB54469E2A}">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4A690178-EAAA-4E17-A963-48CC57A0070F}">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2B28B73D-391A-4FB9-A412-FBDC4B3B64B8}">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7BFB1968-A508-4088-AF10-36368730043B}">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36670F5A-0686-45C2-AC22-B3379A1666EA}">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283E9E20-C781-4FAF-BBC9-F26384F6BB16}">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306DE52B-4F6B-4EB4-9A32-79CD833244A8}">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37F50EEB-103C-46DB-8A3E-B9D723AEC980}">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886EF3D0-F09C-4ED8-9CB2-124DB2792F54}">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1575D947-BADF-4B89-BC3E-CB4BA804F958}">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9B7CA53E-3E54-4D88-9D94-B27291DD0C82}">
      <text>
        <r>
          <rPr>
            <sz val="9"/>
            <color indexed="81"/>
            <rFont val="Tahoma"/>
            <family val="2"/>
          </rPr>
          <t>Guidance: Global store growth of 7% annually approaching 45,000 stores by the end of 2025 (from fiscal 2023 to 2025). 
Source: Investor Day 9/16/2022</t>
        </r>
      </text>
    </comment>
    <comment ref="H140" authorId="1" shapeId="0" xr:uid="{4DBD2A27-5E91-48F6-9883-BDE16EB26DA9}">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ADD15B99-1610-4F72-855D-598BB42D58B8}">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4EA4F546-6DFD-4F25-83DB-A1B264ADCA16}">
      <text>
        <r>
          <rPr>
            <sz val="9"/>
            <color indexed="81"/>
            <rFont val="Tahoma"/>
            <family val="2"/>
          </rPr>
          <t>Guidance: Global revenue growth of 10% to 12% annually (from fiscal 2023 to 2025).
Source: Investor Day 9/16/2022</t>
        </r>
      </text>
    </comment>
    <comment ref="R141" authorId="0" shapeId="0" xr:uid="{7430596D-9067-4315-A256-FD87B6B5C90B}">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A2BAE096-AFEC-4ADD-B3BA-A282A7CBD598}">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L142" authorId="0" shapeId="0" xr:uid="{A5B3595B-8ABC-44AF-83E5-8E196CB48882}">
      <text>
        <r>
          <rPr>
            <sz val="9"/>
            <color indexed="81"/>
            <rFont val="Tahoma"/>
            <family val="2"/>
          </rPr>
          <t>Guidance: Expect “Solid” margin expansion in fiscal 2023 with “progressively more expansion” in fiscal 2024 and 2025.
Source: Investor Day 9/16/2022</t>
        </r>
      </text>
    </comment>
    <comment ref="H143" authorId="1" shapeId="0" xr:uid="{3D1FBA54-0261-4BA0-82B7-6205B6D349F4}">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9777FDBD-C5E7-4A52-9662-B09C5322848B}">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0D9E2572-2173-448A-A17A-03FA7330F0FC}">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C6D0D0F5-5931-49A9-81E4-339FA97E248D}">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A114C8FA-A47C-49F9-BF17-718FC76E0F91}">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88997C6A-DC38-42E1-A8DA-F95869A7FB53}">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30ED81F5-15E4-4F07-8B29-0B50F64CD261}">
      <text>
        <r>
          <rPr>
            <sz val="9"/>
            <color indexed="81"/>
            <rFont val="Tahoma"/>
            <family val="2"/>
          </rPr>
          <t>Management is assuming a 2% dividend yield in their forecast.</t>
        </r>
      </text>
    </comment>
    <comment ref="AH153" authorId="0" shapeId="0" xr:uid="{3515B539-4CDA-4C59-B939-167136351D5B}">
      <text>
        <r>
          <rPr>
            <sz val="9"/>
            <color indexed="81"/>
            <rFont val="Tahoma"/>
            <family val="2"/>
          </rPr>
          <t>Management is assuming a 2% dividend yield in their forecast.</t>
        </r>
      </text>
    </comment>
    <comment ref="B165" authorId="1" shapeId="0" xr:uid="{3640D1D7-6CEE-472F-9961-84DEC75524CD}">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02D12A14-9024-4B4A-9267-6BE6DC55E5F7}">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959BD03E-04B2-4B92-B38B-4D1A4A30F96D}">
      <text>
        <r>
          <rPr>
            <b/>
            <sz val="9"/>
            <color indexed="81"/>
            <rFont val="Tahoma"/>
            <family val="2"/>
          </rPr>
          <t>Enter negative EPS income tax effect as positive on this line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7F5C38FF-F4F0-4E9E-89E2-AAF1A2E223A8}">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23AB87C8-8BA8-4F87-926B-77516FEFAB2A}">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25017572-16EC-48DF-A17F-BCAD115EC67F}">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58B8FD41-492F-42A5-93A9-B1474CECB41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A1D52A7E-4997-4A3B-819F-18EAC759F1D0}">
      <text>
        <r>
          <rPr>
            <b/>
            <sz val="9"/>
            <color indexed="81"/>
            <rFont val="Tahoma"/>
            <family val="2"/>
          </rPr>
          <t>Note: Use the company's 10-K not SEC web data</t>
        </r>
      </text>
    </comment>
    <comment ref="B17" authorId="0" shapeId="0" xr:uid="{7BBA5B41-BA38-4483-9015-9165678368B5}">
      <text>
        <r>
          <rPr>
            <b/>
            <sz val="9"/>
            <color indexed="81"/>
            <rFont val="Tahoma"/>
            <family val="2"/>
          </rPr>
          <t>Change sign</t>
        </r>
      </text>
    </comment>
    <comment ref="B21" authorId="0" shapeId="0" xr:uid="{62FF9228-301B-4D61-81D1-F7D259C2A403}">
      <text>
        <r>
          <rPr>
            <b/>
            <sz val="9"/>
            <color indexed="81"/>
            <rFont val="Tahoma"/>
            <family val="2"/>
          </rPr>
          <t>Change sign</t>
        </r>
      </text>
    </comment>
    <comment ref="H25" authorId="0" shapeId="0" xr:uid="{37075FBF-B70F-4675-8274-840FE64F567D}">
      <text>
        <r>
          <rPr>
            <b/>
            <sz val="9"/>
            <color indexed="81"/>
            <rFont val="Tahoma"/>
            <family val="2"/>
          </rPr>
          <t xml:space="preserve">3Q2019 Earnings call (7/25/2019) guidance for FY2019:
</t>
        </r>
        <r>
          <rPr>
            <sz val="9"/>
            <color indexed="81"/>
            <rFont val="Tahoma"/>
            <family val="2"/>
          </rPr>
          <t>Capex ~ $2B</t>
        </r>
      </text>
    </comment>
    <comment ref="M25" authorId="0" shapeId="0" xr:uid="{E2F6D233-EC78-44A0-B61D-46325752D2CF}">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0CD7E700-5354-41DF-8E3C-CF1343FE7EF2}">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15B8FCFB-BB68-491C-8EBE-FA7E0133E792}">
      <text>
        <r>
          <rPr>
            <sz val="9"/>
            <color indexed="81"/>
            <rFont val="Tahoma"/>
            <family val="2"/>
          </rPr>
          <t>Guidance: Capital expenditures of $2.5B to $3.0B annually (fiscal 2023, 2024, and 2025).
Source: Investor Day 9/16/2022</t>
        </r>
      </text>
    </comment>
    <comment ref="AG25" authorId="1" shapeId="0" xr:uid="{78FB587E-73F5-4A22-941D-2ABB8B9C845E}">
      <text>
        <r>
          <rPr>
            <sz val="9"/>
            <color indexed="81"/>
            <rFont val="Tahoma"/>
            <family val="2"/>
          </rPr>
          <t>Guidance: Capital expenditures of $2.5B to $3.0B annually (fiscal 2023, 2024, and 2025).
Source: Investor Day 9/16/2022</t>
        </r>
      </text>
    </comment>
    <comment ref="AL25" authorId="1" shapeId="0" xr:uid="{56C66ACB-3947-4E8E-A2AA-0CC9B0A12D61}">
      <text>
        <r>
          <rPr>
            <sz val="9"/>
            <color indexed="81"/>
            <rFont val="Tahoma"/>
            <family val="2"/>
          </rPr>
          <t>Guidance: Capital expenditures of $2.5B to $3.0B annually (fiscal 2023, 2024, and 2025).
Source: Investor Day 9/16/2022</t>
        </r>
      </text>
    </comment>
    <comment ref="B29" authorId="0" shapeId="0" xr:uid="{9BDA0F6C-06E2-43FC-835A-876F2765141B}">
      <text>
        <r>
          <rPr>
            <b/>
            <sz val="9"/>
            <color indexed="81"/>
            <rFont val="Tahoma"/>
            <family val="2"/>
          </rPr>
          <t>Change sign for payments of debt</t>
        </r>
      </text>
    </comment>
    <comment ref="B42" authorId="0" shapeId="0" xr:uid="{95686B2F-0D17-431F-99EB-196AE1060836}">
      <text>
        <r>
          <rPr>
            <sz val="9"/>
            <color indexed="81"/>
            <rFont val="Tahoma"/>
            <family val="2"/>
          </rPr>
          <t>Cash Flow from Operations - Capital Expenditures + After tax Interest Expense</t>
        </r>
      </text>
    </comment>
    <comment ref="AL58" authorId="1" shapeId="0" xr:uid="{FCB3320A-D550-4650-B9F1-299819E1E60D}">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FC407849-9BA8-4656-A028-D27244225445}">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B8B4EEB9-4A94-41B7-AE22-BCAD2BEC74C3}">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4BC4ABB1-8DD0-4031-BD57-914C9F78B0F9}">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3EF978C5-0713-4BFA-86D8-02DD9EF34FF7}">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10058D9E-D6C7-4A4B-B0B8-87257E67609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3D602B4D-5708-4F72-8CC2-93CD6F46E7D7}">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GE User</author>
    <author>Owner</author>
  </authors>
  <commentList>
    <comment ref="F6" authorId="0" shapeId="0" xr:uid="{EC4AC846-A525-4156-9B7B-2DCCB61B235B}">
      <text>
        <r>
          <rPr>
            <sz val="9"/>
            <color indexed="81"/>
            <rFont val="Tahoma"/>
            <family val="2"/>
          </rPr>
          <t>The DCF calculation relies on an estimate of the equity to total capital ratio. Since the share price goes into the calculation of the capital ratio, this will naturally cause a circular reference. To demonstrate assume the current share price is $100 and the DCF is projecting a price of $150. If the actual price moved toward the DCF target price of $150, then equity would make up a larger percentage of the total capital structure and the share price would actually be much lower.
Consider what would happen if we simply used the current share price in the DCF calculation, and market risk increased from one quarter to the next. As the share price declines, the equity to total capital ratio will also decline. As a result the discount rate will decline, and the share price projected by the DCF would actually increase, despite the heighten level of risk. The reverse effect would occur in a scenario where market risk decreases from one period to the next. From a reasonableness standpoint this simply does not make sense directionally.
To solve this issue the target share price must be used in the calculation of debt to equity. You can use trial and error to type in share prices until the price for the market capitalization calculation equals that of the DCF target. Or you can simply input the equation of "Target Share Price" = "Implied DCF 12-month target value" (i.e. "DCF check") and use the Goal Seek function to change "Target Share Price" to equal the final DCF target. This should be the final step in your model, as any changes in the inputs could impact the valuation.</t>
        </r>
      </text>
    </comment>
    <comment ref="F11" authorId="0" shapeId="0" xr:uid="{5561E527-D3F2-479F-8E92-606E391FAF0D}">
      <text>
        <r>
          <rPr>
            <sz val="9"/>
            <color indexed="81"/>
            <rFont val="Tahoma"/>
            <family val="2"/>
          </rPr>
          <t>This model uses the Constant Sharpe approach to estimate the Equity Risk Premium (ERP). The S&amp;P500 Constant Sharpe is calculated by taking the excess return on the index over the risk-free rate, divided by the standard deviation of returns. The Constant Sharpe ratio is then multiplied by the estimate of implied volatility to calculate the ERP.
Instructor's preference: The nature of the constant Sharpe is that it theoretically should not change. I like to have my Stage 1 Constant Sharpe reflective my expectations for the market over the next year.</t>
        </r>
      </text>
    </comment>
    <comment ref="F12" authorId="0" shapeId="0" xr:uid="{7F7813DA-4DB6-448E-9649-5E9784E6F6B2}">
      <text>
        <r>
          <rPr>
            <sz val="9"/>
            <color indexed="81"/>
            <rFont val="Tahoma"/>
            <family val="2"/>
          </rPr>
          <t>The VIX is quoted in percentage points and measures the implied annualized volatility for the S&amp;P500. The VIX is a forward looking measure of implied volatility, however, single day volatility would have too much of an impact on the overall discount rate. For this reason the twelve month average is used (based on a 12-month forecast, refer to the ERP model for details).</t>
        </r>
      </text>
    </comment>
    <comment ref="F22" authorId="1" shapeId="0" xr:uid="{BA403EC7-F0B5-49FA-948C-3FC671631AC3}">
      <text>
        <r>
          <rPr>
            <sz val="9"/>
            <color indexed="81"/>
            <rFont val="Tahoma"/>
            <family val="2"/>
          </rPr>
          <t>Starbucks went public in 1992. If you ignore the first 10 years of data (hyper growth stage). The CAGR in revenue has been approximately 12% over 20 years from  $3.3B in 2002 to $32.25B in 2022 [(32.25/3.3)^(1/20)-1]. Despite running at double digit growth as a mature company for 20 years, the constant growth stage should be a rate much lower than this. 
The constant growth rates (like all of the inputs) could be debated. Some may say there should be three stages: stage 1 being the forecast management has provided through 2025, stage 2 a 20 year period based on the long term growth of 12%, and stage 3 a lower constant growth of 3-4%. I view the 4% growth (above LT average GDP of about 3%) as a blended rate of what would be a three-stage approach, with approximately 20 years of double-digit growth and a much lower constant growth rate. 
We are also assuming: 
&gt; The CFO growth rate will equal the revenue growth rate on a long-term basis, and that the capital intensity of the business (capex to revenue) will decline in the slower growth stage, as investments will be isolated to maintaining equipment (no inovation or growth).
&gt; Constant networking capital in the constant growth stage.
&gt; Debt balance and interest expense remain constant in the constant growth stage, and that book value of debt approximates fair value.</t>
        </r>
      </text>
    </comment>
    <comment ref="F32" authorId="1" shapeId="0" xr:uid="{0968016E-D93D-4D03-ADF3-E27D85EE7698}">
      <text>
        <r>
          <rPr>
            <sz val="9"/>
            <color indexed="81"/>
            <rFont val="Tahoma"/>
            <family val="2"/>
          </rPr>
          <t>Instructor's preference: I like to be able to change the forecast for the CAPM inputs on a short-term and long-term basis, without my short-term (1 to 3 years) having an undue influence on my forecast of the long-term enterprise value.</t>
        </r>
      </text>
    </comment>
    <comment ref="B33" authorId="0" shapeId="0" xr:uid="{973FAB04-9164-4C20-A8AC-E33D2D66AA67}">
      <text>
        <r>
          <rPr>
            <sz val="9"/>
            <color indexed="81"/>
            <rFont val="Tahoma"/>
            <family val="2"/>
          </rPr>
          <t xml:space="preserve">There are many approaches to estimating a stock's risk. In this demonstration we use the standard deviation and the monthly average return over the last 12 months to construct an estimated price target range. Standard deviation is a measure of dispersion around the mean monthly return. The larger the historic standard deviation the greater the volatility in prices. Using a normal distribution, approximately 95% of observations fall within 2 standard deviations of the mean. This approach has multiple limitations including: 1) it assumes that historic results can predict future return characteristics, and 2) it assumes the stock's returns are normally distributed. </t>
        </r>
      </text>
    </comment>
    <comment ref="C34" authorId="1" shapeId="0" xr:uid="{FDAF5C26-507C-4C7E-99C1-7EFF5486A0D0}">
      <text>
        <r>
          <rPr>
            <sz val="9"/>
            <color indexed="81"/>
            <rFont val="Tahoma"/>
            <family val="2"/>
          </rPr>
          <t>From "SBUX Beta Calculation" file, worksheet "SBUX Beta ST" cells C15 and H18.</t>
        </r>
      </text>
    </comment>
    <comment ref="F35" authorId="2" shapeId="0" xr:uid="{9C1C9BFD-632C-48BF-8340-22EFD8585CFC}">
      <text>
        <r>
          <rPr>
            <b/>
            <sz val="9"/>
            <color indexed="81"/>
            <rFont val="Tahoma"/>
            <family val="2"/>
          </rPr>
          <t>Equation:
CFO:</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 </t>
        </r>
      </text>
    </comment>
    <comment ref="F36" authorId="3" shapeId="0" xr:uid="{7E047DAC-98F1-471A-A821-882CA8D2BD6C}">
      <text>
        <r>
          <rPr>
            <sz val="9"/>
            <color indexed="81"/>
            <rFont val="Tahoma"/>
            <family val="2"/>
          </rPr>
          <t xml:space="preserve">This adds back cash and removes debt from the enterprise value to arrive at the equity only value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73354929-D42B-40FC-A615-4DA8EBD51339}">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930EF653-081E-426F-B742-2FB52394439F}">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A325F08D-009C-4FBA-911D-A0E9A89B6784}">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713B560B-B75B-4F8F-B14C-601DC230648D}">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B6550F4C-8FCC-4AD7-9C44-8E92D72629D3}">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B501E0BB-D39E-42BF-BDB0-70B54115AB35}">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15A547E7-C5D3-4C46-92A8-AA5B93DD7E5F}">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60B33179-7F4E-4FC4-8610-05DBD44320EE}">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3A9F6F27-A3C3-4493-B791-78B9FA1FD046}">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F7D3B000-FF48-4BBC-ACB2-8F766F3FD035}">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3C154177-810E-4713-B9AA-638654F41848}">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CDA2F0EA-4CB3-48BD-AFE0-7FE3B1B33E17}">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4134955C-6E9D-4E9C-AE43-6EC2CE11F50C}">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74F4812F-BF81-420E-8D00-60BDC7093C7F}">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4E92650B-506C-4405-8602-234485CC042A}">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210AC8A3-E376-4CDE-99DC-71D208DFCEF6}">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A3400C34-E518-4817-B7F5-B4FC39ECBF28}">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74D4864C-AEA1-4354-9E50-483BA883B2B2}">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34AE8E2A-836E-4662-A760-A822C3BC33FE}">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0BF108C2-074C-474C-B76D-F8F764250CC9}">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78A913A0-1331-4B9A-9438-6646E37090F8}">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56B2B3C7-38F1-4AC3-9A4B-209E00E4CBD3}">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FD72D40C-A740-4ACB-839C-11DC62C7403B}">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5B455490-39BF-4CA6-A665-6A6F1DCDCF4E}">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972CCBA7-2293-4DD1-AE29-FEDAABC9092E}">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B915DAD9-7B86-402E-A70C-FCAEAE2533A3}">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A50F1385-FD8F-4EB8-BBDB-37E88BDC09C9}">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C56D5DCE-7C48-4F2C-900E-C23D284E182C}">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96603605-400E-40DA-8B53-B67519D9A104}">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A50A1C13-BE8A-4B9D-94CA-F4E0370B7C7D}">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4300CD7B-A506-497C-821C-E71F81672A4D}">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DCF437CF-8DD6-43FE-9D6B-7460330AB5A6}">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D94E622C-497C-4111-9955-E4BB730A9DEA}">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FF60A88D-79EA-4721-9A7A-DA8EC2D7F57D}">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23D04AE7-F8C0-4707-B25F-23A9CA0AAFFB}">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ABD50EC6-7CCC-4A40-A4A3-D9C3943A44A2}">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A22D257F-7391-412B-98A3-FB46E26685C3}">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6ED1F18B-57F3-4C35-AD80-8D0C440910CF}">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7B0D4D86-DE87-4090-A5CC-C2125C7D5C5E}">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DE0E96B9-17DC-4314-A089-7542C70FB1EA}">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4FFE1777-A50D-4591-91B8-31A13BF848D0}">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09B2342E-FEEB-4C87-9DF9-308C77E57976}">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BB8E5121-BA98-4741-BD0D-825EBE52CF74}">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C45E8634-515A-47FB-9A6D-E68F7F7EE02E}">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4B78EABA-C713-4D6B-A7ED-57D3799A868B}">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A4A23443-FBEA-4E2A-95C5-5E53328F1284}">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3599E111-0E3A-4424-940A-9C66B0F143AF}">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EF296E7D-3694-4142-9CD3-245AF970F0DF}">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6ED48E07-54D3-46A5-9961-FABB6CF96EB6}">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83BE4CC4-F749-4E91-8DFE-E2590BB68BB6}">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AEC3735D-D93B-49C9-989A-45857FD67973}">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3CD63B24-392F-4208-AD24-524DFC9963CF}">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1671C140-E31A-416D-AB68-E82A0DA63BE1}">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47D85931-6318-4D5A-9303-D1B47C72A50F}">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E6B964BE-6683-4AAC-BCA5-B6D4081C6DFC}">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8A895720-980A-4D5B-A485-2DC2C5DDF703}">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A627092E-5151-483C-9E73-95D77CB406B2}">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87190147-4276-483C-ADC6-F3A1FE8199B5}">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9791638A-0920-4181-98E3-647CD6FE8DA2}">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DFF78338-3DB4-47A1-9917-AD72681860BC}">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D84E74C3-8631-4B3C-9D82-6DB1CA8F62EC}">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3451F875-D484-4B86-8397-8650FC684F95}">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7938B5B7-7D1B-4028-872F-3B0C15F1AA0B}">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D47EBDE1-A162-4B7F-A29A-BBB84A80DCFB}">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D13CFC7B-4874-4DC8-B6EB-D45A3E99CB08}">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4E4D0973-083E-4E4C-A3A4-47A377E1F023}">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11AEEEE2-5349-4CC9-BB96-C2ABD117E8E1}">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F885FDAB-3D45-4B87-BF55-FAA64FD66B64}">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7467E0EC-0302-42ED-A45C-539F27CA0D6A}">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F8AF0717-45BA-430F-ADF8-450FF72CF1F5}">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ABF00191-9985-4881-A92E-5E45A0AEC428}">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1050A8B5-F939-4D9C-A76C-9AD40BACB150}">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92CBB69E-6982-4DF0-BC51-4D15243D883E}">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EE814039-2C8D-4738-800B-6651EA15E6A7}">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690BADB3-2BD0-4F7A-95F7-5A427E83DB6A}">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BB1C786A-C414-4E4A-9746-D939FEF54EFA}">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01418799-8EB6-4B21-94A9-7FA3CA94B5B7}">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20E2ECD0-509D-4922-B000-57D3712B540F}">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3F30B897-3421-4D24-93BD-32A6D18889A9}">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AE933C5B-A1A5-4D04-AF48-1584094D334E}">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8ACF2BD9-7BBC-416A-BB61-D71C9D62DDDA}">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188C7AEF-144B-426B-AD4A-24440BC6B883}">
      <text>
        <r>
          <rPr>
            <sz val="9"/>
            <color indexed="81"/>
            <rFont val="Tahoma"/>
            <family val="2"/>
          </rPr>
          <t>Guidance: Global store growth of 7% annually approaching 45,000 stores by the end of 2025 (from fiscal 2023 to 2025). 
Source: Investor Day 9/16/2022</t>
        </r>
      </text>
    </comment>
    <comment ref="H140" authorId="1" shapeId="0" xr:uid="{D6EBB94C-841D-4215-93F5-2AF7F9A21213}">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5EFE9463-2596-4890-88D1-B458FF86AE8A}">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F07BE4CB-31A9-4578-A8C3-96519FCE973F}">
      <text>
        <r>
          <rPr>
            <sz val="9"/>
            <color indexed="81"/>
            <rFont val="Tahoma"/>
            <family val="2"/>
          </rPr>
          <t>Guidance: Global revenue growth of 10% to 12% annually (from fiscal 2023 to 2025).
Source: Investor Day 9/16/2022</t>
        </r>
      </text>
    </comment>
    <comment ref="R141" authorId="0" shapeId="0" xr:uid="{B6F7A0B8-583C-4644-A741-E65B1201B08C}">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5B95AEFF-8552-4ADE-A676-1DE62B30DC7D}">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L142" authorId="0" shapeId="0" xr:uid="{F7064687-1004-4E58-B908-1ACD0906439E}">
      <text>
        <r>
          <rPr>
            <sz val="9"/>
            <color indexed="81"/>
            <rFont val="Tahoma"/>
            <family val="2"/>
          </rPr>
          <t>Guidance: Expect “Solid” margin expansion in fiscal 2023 with “progressively more expansion” in fiscal 2024 and 2025.
Source: Investor Day 9/16/2022</t>
        </r>
      </text>
    </comment>
    <comment ref="H143" authorId="1" shapeId="0" xr:uid="{1D471409-AC01-44B6-87C0-E23B90344123}">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A9CA83E1-71C3-4A9C-A398-E945C60B7B46}">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B6CE0C33-2245-4ED3-8A93-7AF49248F416}">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18C3E03C-C27E-431E-9622-5ABED493969A}">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91A25C6E-7F75-4E8B-BF29-99F3F843D692}">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3250F484-7530-4D6D-9D22-20203A574C2C}">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66D4E6F4-681D-4343-AD56-73162A52910F}">
      <text>
        <r>
          <rPr>
            <sz val="9"/>
            <color indexed="81"/>
            <rFont val="Tahoma"/>
            <family val="2"/>
          </rPr>
          <t>Management is assuming a 2% dividend yield in their forecast.</t>
        </r>
      </text>
    </comment>
    <comment ref="AH153" authorId="0" shapeId="0" xr:uid="{8A8AB474-23AC-41A5-9064-012A795B34A1}">
      <text>
        <r>
          <rPr>
            <sz val="9"/>
            <color indexed="81"/>
            <rFont val="Tahoma"/>
            <family val="2"/>
          </rPr>
          <t>Management is assuming a 2% dividend yield in their forecast.</t>
        </r>
      </text>
    </comment>
    <comment ref="B165" authorId="1" shapeId="0" xr:uid="{9E0A3142-CA7C-4CE7-B82A-19940B24C95E}">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27628C37-19B3-41DB-950A-860EEAD7A1C2}">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DE571D67-D28A-4298-A4CF-CCD66E324AA4}">
      <text>
        <r>
          <rPr>
            <b/>
            <sz val="9"/>
            <color indexed="81"/>
            <rFont val="Tahoma"/>
            <family val="2"/>
          </rPr>
          <t>Enter negative EPS income tax effect as positive on this line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E01AFF49-BACC-4F8F-8A5B-5A6F18EA540F}">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AA251CA1-6D02-4685-A7E9-8A1525B45749}">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404063BA-8833-40F4-AA19-4BA11F3C73C8}">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08664F63-8A34-4EEA-B4D9-D74D918531F2}">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97E38545-B26D-458B-BC3E-91551675FDB1}">
      <text>
        <r>
          <rPr>
            <b/>
            <sz val="9"/>
            <color indexed="81"/>
            <rFont val="Tahoma"/>
            <family val="2"/>
          </rPr>
          <t>Note: Use the company's 10-K not SEC web data</t>
        </r>
      </text>
    </comment>
    <comment ref="B17" authorId="0" shapeId="0" xr:uid="{46CBDF92-3F1B-41F5-919A-B21941226FD4}">
      <text>
        <r>
          <rPr>
            <b/>
            <sz val="9"/>
            <color indexed="81"/>
            <rFont val="Tahoma"/>
            <family val="2"/>
          </rPr>
          <t>Change sign</t>
        </r>
      </text>
    </comment>
    <comment ref="B21" authorId="0" shapeId="0" xr:uid="{4AC2FD84-CBBE-48EA-AF9F-E538F6F05A8C}">
      <text>
        <r>
          <rPr>
            <b/>
            <sz val="9"/>
            <color indexed="81"/>
            <rFont val="Tahoma"/>
            <family val="2"/>
          </rPr>
          <t>Change sign</t>
        </r>
      </text>
    </comment>
    <comment ref="H25" authorId="0" shapeId="0" xr:uid="{0A955872-7AEA-4946-9774-F814B215A5D6}">
      <text>
        <r>
          <rPr>
            <b/>
            <sz val="9"/>
            <color indexed="81"/>
            <rFont val="Tahoma"/>
            <family val="2"/>
          </rPr>
          <t xml:space="preserve">3Q2019 Earnings call (7/25/2019) guidance for FY2019:
</t>
        </r>
        <r>
          <rPr>
            <sz val="9"/>
            <color indexed="81"/>
            <rFont val="Tahoma"/>
            <family val="2"/>
          </rPr>
          <t>Capex ~ $2B</t>
        </r>
      </text>
    </comment>
    <comment ref="M25" authorId="0" shapeId="0" xr:uid="{B78E3698-BF8B-436F-96EE-23A81DFBC933}">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6B9233A5-D02C-441F-8861-9CCC1ED42536}">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C948D8FE-97FA-4BB3-8DF1-0A2A6005F4E1}">
      <text>
        <r>
          <rPr>
            <sz val="9"/>
            <color indexed="81"/>
            <rFont val="Tahoma"/>
            <family val="2"/>
          </rPr>
          <t>Guidance: Capital expenditures of $2.5B to $3.0B annually (fiscal 2023, 2024, and 2025).
Source: Investor Day 9/16/2022</t>
        </r>
      </text>
    </comment>
    <comment ref="AG25" authorId="1" shapeId="0" xr:uid="{9B169E64-FE49-44E1-AD34-61EBA893B661}">
      <text>
        <r>
          <rPr>
            <sz val="9"/>
            <color indexed="81"/>
            <rFont val="Tahoma"/>
            <family val="2"/>
          </rPr>
          <t>Guidance: Capital expenditures of $2.5B to $3.0B annually (fiscal 2023, 2024, and 2025).
Source: Investor Day 9/16/2022</t>
        </r>
      </text>
    </comment>
    <comment ref="AL25" authorId="1" shapeId="0" xr:uid="{B94C0DDA-639F-4219-AD05-2A889147ED63}">
      <text>
        <r>
          <rPr>
            <sz val="9"/>
            <color indexed="81"/>
            <rFont val="Tahoma"/>
            <family val="2"/>
          </rPr>
          <t>Guidance: Capital expenditures of $2.5B to $3.0B annually (fiscal 2023, 2024, and 2025).
Source: Investor Day 9/16/2022</t>
        </r>
      </text>
    </comment>
    <comment ref="B29" authorId="0" shapeId="0" xr:uid="{A32F8166-9063-4934-A7A3-B8B6D712CA36}">
      <text>
        <r>
          <rPr>
            <b/>
            <sz val="9"/>
            <color indexed="81"/>
            <rFont val="Tahoma"/>
            <family val="2"/>
          </rPr>
          <t>Change sign for payments of debt</t>
        </r>
      </text>
    </comment>
    <comment ref="B42" authorId="0" shapeId="0" xr:uid="{02E784C2-38DE-4A64-8846-8AF7046A0236}">
      <text>
        <r>
          <rPr>
            <sz val="9"/>
            <color indexed="81"/>
            <rFont val="Tahoma"/>
            <family val="2"/>
          </rPr>
          <t>Cash Flow from Operations - Capital Expenditures + After tax Interest Expense</t>
        </r>
      </text>
    </comment>
    <comment ref="AL58" authorId="1" shapeId="0" xr:uid="{C717D563-FF9E-4055-9CA7-829D8BB3280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05EC754E-BFBA-4770-ACA1-01B698809B0E}">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8A32378E-EABB-43B9-918C-9F06726C248F}">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FC4173FE-3CB6-4A20-9DD5-53F8529DE92D}">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DA0F198E-4BE8-4B90-B0D2-097503E23726}">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5CE4FDFF-0836-4E2B-AF7C-2D8AA0FE8CE7}">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4DD90310-88BF-4CF7-922C-FE5BBB3A71B1}">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FD9E95BF-B6DE-4039-A1F4-0091DE5B9BF0}">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AB99DEB7-E9C8-4606-9AB7-0AD19AEA6332}">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9791231D-845A-449D-8BE8-93E54C344658}">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9C244ACF-BB1B-4BAF-BFC6-0D5355F220F2}">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5C883CCE-6819-4DFB-8DFE-2675FBFC4DE8}">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EBC2D1C8-EB76-4A09-A165-00575EE794BE}">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7959FD05-22DC-4B26-9949-9D693F49A31F}">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18046147-CACD-4B42-B42A-5E4E456F3072}">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2D466054-3497-4B9F-A654-7C408E9390A6}">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425CBD2F-7389-4EB1-9067-BF5E17987AF5}">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6238CEC7-BEF8-4673-9056-CB25FDE62DAB}">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3C474D17-A5C2-4808-87EF-7885E0783CF1}">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D7336DF9-F522-4546-B771-FBE7AD16F236}">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84152034-FA18-4F06-A203-A74731492ECE}">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B521454C-8602-4F5A-872C-3C7D5EE45817}">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5208089E-7D93-4545-A81B-9729E91254D9}">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DDD88715-BBCF-4D4F-AF4B-4878A9FC9C8D}">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3C9A7756-3B4B-4679-A466-9A78FF6CC450}">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155B7C85-03A1-4BB0-B0C7-B9865A702162}">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6DD9557C-53CB-49F6-9B0C-3A4F05ED8FDB}">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45B28F27-923E-43CE-8BD8-4C992C8D3AFA}">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57CB2C40-033B-4B95-BB90-AC1EE291FE7F}">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6C94CC9A-FA60-46D4-9AFB-1F0B116D0935}">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AFF09461-63F4-4A41-95CD-DB8925B1A458}">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C2C387A3-4923-47BC-899D-F580A405E86E}">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6DEEA8A7-C930-4027-8E79-9DC28E7C1B83}">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AC427072-5199-4EC0-A9D2-61D9953B8278}">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C6A28E9A-2BF6-4CC7-86FF-A80B318C2152}">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ADF09FB6-08B0-402A-BBDB-236793D54F89}">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154595BD-4431-4AB9-A14D-8C6D49818259}">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A566C189-957D-4C02-9263-C339BF84988E}">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D42E38DE-FBCA-4959-977A-C9F9B71A8973}">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4E840D5A-09F0-46EF-807F-8C571E18F7D3}">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45EFC18F-0508-423F-BE1F-4E8F984485EB}">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88D94265-4CEC-48F0-806D-78A00D85B6B8}">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95E7B580-42FA-414E-880C-C4CC1F0DE87D}">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BF7BC5B1-9019-4DAC-827A-892DE5EDCF6A}">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EA15FABF-76D6-4FDD-9735-95A64A96F41C}">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5BE65310-F8BE-4C56-87AB-4E863B6DAE26}">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0E2733A7-7C6D-4455-B03F-28D4D900AC98}">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D231A052-7CF8-4DE9-86A4-FCBD44C82C4C}">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BED616A1-E448-4D42-9B2A-7AE9504C6031}">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BA14AE02-3979-4508-9925-DCAA5ADA4390}">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511D3A20-BCAD-4D38-BCCB-C4D27247F742}">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04F1E402-EF0E-42C9-B684-EF0289A8FAC3}">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5CA4B7B0-EB99-4281-B99C-176567519924}">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DF28B33A-AD36-422F-ACAF-18B236AEBEDE}">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F839E160-003B-4D5B-B8E8-89BC34623438}">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73C91A52-9169-44FE-897B-2AEDBCB63342}">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2DE70375-7909-4A0F-8388-F300F05FA5C9}">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D205546F-D29C-465F-A05B-5A174E3E364B}">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DE3BDDF8-7560-4B19-9994-3E973CC32463}">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BD5DA2D8-5672-4693-B276-0C646153377D}">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2987A97C-7544-45CD-B21C-9BD9FB0F1891}">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620781FB-AEC9-4FBD-A68B-8F4D077D028C}">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A66FC5B3-09B0-4B24-B46F-795ECF80F7FC}">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E4DB7D9F-BD95-4ED9-B85B-9FC0C6574E9D}">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7BBCDE31-DD94-4426-81DB-EAA997C23525}">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01704175-429A-47F5-B9BA-A1C252EFCFFF}">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E8785240-1783-48B0-A92E-E0BF58DA2EFD}">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10804E00-FA9D-47CA-A879-C2CC4F179012}">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3D9B9803-EB71-4401-8DA2-06B1A1A74425}">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1AD2A546-8CBF-4261-B339-04437C6B3ADA}">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75D13763-67BC-405E-88D7-39D104C3D076}">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35EBC08A-45B1-47F1-B1A5-43E8784B65EB}">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68AF3152-DF11-41B8-937F-AE6A09DAE465}">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4D60D761-7357-41A7-B2A9-236327C20B93}">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949A6226-E323-48C3-A679-FF53F688AC93}">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2480D8FB-83DD-4FDE-B322-410E9B404F6C}">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66B089D0-BE52-4E27-8B26-C38A6003A96D}">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8A6C5BE3-47A2-4474-804D-8CD5CF704B2D}">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7A205AD4-56A7-40D5-8915-EFC9B4DEF5B0}">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EDD0E7A8-F13E-4A34-A4FF-73D72D954C92}">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92D456D5-110A-4474-ABE1-ADC7BD423C71}">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5312E305-9894-4F77-A73B-CA142549DE86}">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754A029F-AFF1-43CD-BEEF-9ACC30A9C38A}">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7EB92423-D38D-4B20-9CB4-DD33C65EDED5}">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38AF7ECF-73F5-4CEE-A51E-65DD1897EFA4}">
      <text>
        <r>
          <rPr>
            <sz val="9"/>
            <color indexed="81"/>
            <rFont val="Tahoma"/>
            <family val="2"/>
          </rPr>
          <t>Guidance: Global store growth of 7% annually approaching 45,000 stores by the end of 2025 (from fiscal 2023 to 2025). 
Source: Investor Day 9/16/2022</t>
        </r>
      </text>
    </comment>
    <comment ref="H140" authorId="1" shapeId="0" xr:uid="{0B8C9A3B-A74E-488F-88B1-B7E6A2C0D3A2}">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DB6D06B5-14FC-48CA-BC3C-5CDCBBE416DD}">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E3CFE25C-D719-4C44-BEEF-0222A636C74C}">
      <text>
        <r>
          <rPr>
            <sz val="9"/>
            <color indexed="81"/>
            <rFont val="Tahoma"/>
            <family val="2"/>
          </rPr>
          <t>Guidance: Global revenue growth of 10% to 12% annually (from fiscal 2023 to 2025).
Source: Investor Day 9/16/2022</t>
        </r>
      </text>
    </comment>
    <comment ref="R141" authorId="0" shapeId="0" xr:uid="{E5BB554B-B60C-438B-81D3-0D3F27F34080}">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FE027E3D-84B0-4F3D-BE91-D8C5EB06162A}">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V142" authorId="0" shapeId="0" xr:uid="{923FAB52-C0F0-47EB-9A7A-DCB4012DD777}">
      <text>
        <r>
          <rPr>
            <b/>
            <sz val="9"/>
            <color indexed="81"/>
            <rFont val="Tahoma"/>
            <family val="2"/>
          </rPr>
          <t xml:space="preserve">Guidance: </t>
        </r>
        <r>
          <rPr>
            <sz val="9"/>
            <color indexed="81"/>
            <rFont val="Tahoma"/>
            <family val="2"/>
          </rPr>
          <t>"We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t>
        </r>
        <r>
          <rPr>
            <b/>
            <sz val="9"/>
            <color indexed="81"/>
            <rFont val="Tahoma"/>
            <family val="2"/>
          </rPr>
          <t xml:space="preserve">
Source: Investor Day 9/16/2022
</t>
        </r>
      </text>
    </comment>
    <comment ref="AL142" authorId="0" shapeId="0" xr:uid="{89C2ED25-894B-4690-A295-B6A221AF2AA5}">
      <text>
        <r>
          <rPr>
            <sz val="9"/>
            <color indexed="81"/>
            <rFont val="Tahoma"/>
            <family val="2"/>
          </rPr>
          <t>Guidance: Expect “Solid” margin expansion in fiscal 2023 with “progressively more expansion” in fiscal 2024 and 2025.
Source: Investor Day 9/16/2022</t>
        </r>
      </text>
    </comment>
    <comment ref="H143" authorId="1" shapeId="0" xr:uid="{B1087744-88E4-46CF-A5A4-CA94C83BEDF8}">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9978783A-8063-4704-BDE0-68854B5A7921}">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E85CBCB5-5BE2-4EBC-91A1-7EDAFF3FF39C}">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9961977C-6449-455B-A15F-A2FF81D7133F}">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04EC1BD3-A98B-47BE-8451-C19089C5599D}">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DEC99592-60F8-4237-A3AF-C12FFFDD676D}">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C0034326-28DC-4FA1-A744-B3C89ACA7EB8}">
      <text>
        <r>
          <rPr>
            <sz val="9"/>
            <color indexed="81"/>
            <rFont val="Tahoma"/>
            <family val="2"/>
          </rPr>
          <t>Management is assuming a 2% dividend yield in their forecast.</t>
        </r>
      </text>
    </comment>
    <comment ref="AH153" authorId="0" shapeId="0" xr:uid="{04C1254B-799E-4165-9056-55915B235709}">
      <text>
        <r>
          <rPr>
            <sz val="9"/>
            <color indexed="81"/>
            <rFont val="Tahoma"/>
            <family val="2"/>
          </rPr>
          <t>Management is assuming a 2% dividend yield in their forecast.</t>
        </r>
      </text>
    </comment>
    <comment ref="B165" authorId="1" shapeId="0" xr:uid="{69FDD77B-4BBD-4E6D-BFDB-AA8A8FEF59B2}">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0A7519ED-36AE-486E-9ACE-D0FCBECA0496}">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8507D281-FAA7-4AF9-A8E8-6AF1772B2BCE}">
      <text>
        <r>
          <rPr>
            <b/>
            <sz val="9"/>
            <color indexed="81"/>
            <rFont val="Tahoma"/>
            <family val="2"/>
          </rPr>
          <t>Enter negative EPS income tax effect as positive on this line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C3D1887E-4FA1-4984-B7BC-3E240900F093}">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8A6C0302-CA1E-4A3E-B9F0-1DBFC037AFB4}">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073F3B4C-ADA1-45D4-9A54-A7B92DA06361}">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B40707D4-66E9-4B60-8B84-388AD85DCF2F}">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466FBD72-28A3-4C3B-B752-78AE8F849F7F}">
      <text>
        <r>
          <rPr>
            <b/>
            <sz val="9"/>
            <color indexed="81"/>
            <rFont val="Tahoma"/>
            <family val="2"/>
          </rPr>
          <t>Note: Use the company's 10-K not SEC web data</t>
        </r>
      </text>
    </comment>
    <comment ref="B17" authorId="0" shapeId="0" xr:uid="{A110C775-40D5-4FD1-850D-2C4864DE944C}">
      <text>
        <r>
          <rPr>
            <b/>
            <sz val="9"/>
            <color indexed="81"/>
            <rFont val="Tahoma"/>
            <family val="2"/>
          </rPr>
          <t>Change sign</t>
        </r>
      </text>
    </comment>
    <comment ref="B21" authorId="0" shapeId="0" xr:uid="{5CF40A0E-3F24-4569-9F79-D58B8225F93A}">
      <text>
        <r>
          <rPr>
            <b/>
            <sz val="9"/>
            <color indexed="81"/>
            <rFont val="Tahoma"/>
            <family val="2"/>
          </rPr>
          <t>Change sign</t>
        </r>
      </text>
    </comment>
    <comment ref="H25" authorId="0" shapeId="0" xr:uid="{8A347FC7-DFFE-495B-AFD4-CD2DC1F7678A}">
      <text>
        <r>
          <rPr>
            <b/>
            <sz val="9"/>
            <color indexed="81"/>
            <rFont val="Tahoma"/>
            <family val="2"/>
          </rPr>
          <t xml:space="preserve">3Q2019 Earnings call (7/25/2019) guidance for FY2019:
</t>
        </r>
        <r>
          <rPr>
            <sz val="9"/>
            <color indexed="81"/>
            <rFont val="Tahoma"/>
            <family val="2"/>
          </rPr>
          <t>Capex ~ $2B</t>
        </r>
      </text>
    </comment>
    <comment ref="M25" authorId="0" shapeId="0" xr:uid="{8EC71DFD-D913-4240-A092-D1F9E4F86775}">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865DAAC5-F29D-4B30-A74B-78572192BBA0}">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62805CDB-0BAA-4F78-8E0A-87FEBFA32A31}">
      <text>
        <r>
          <rPr>
            <sz val="9"/>
            <color indexed="81"/>
            <rFont val="Tahoma"/>
            <family val="2"/>
          </rPr>
          <t>Guidance: Capital expenditures of $2.5B to $3.0B annually (fiscal 2023, 2024, and 2025).
Source: Investor Day 9/16/2022</t>
        </r>
      </text>
    </comment>
    <comment ref="AG25" authorId="1" shapeId="0" xr:uid="{2F86057A-4F1F-4A7A-98D1-D3515F51286C}">
      <text>
        <r>
          <rPr>
            <sz val="9"/>
            <color indexed="81"/>
            <rFont val="Tahoma"/>
            <family val="2"/>
          </rPr>
          <t>Guidance: Capital expenditures of $2.5B to $3.0B annually (fiscal 2023, 2024, and 2025).
Source: Investor Day 9/16/2022</t>
        </r>
      </text>
    </comment>
    <comment ref="AL25" authorId="1" shapeId="0" xr:uid="{398BF0E4-FC08-4161-9CA2-51533648312E}">
      <text>
        <r>
          <rPr>
            <sz val="9"/>
            <color indexed="81"/>
            <rFont val="Tahoma"/>
            <family val="2"/>
          </rPr>
          <t>Guidance: Capital expenditures of $2.5B to $3.0B annually (fiscal 2023, 2024, and 2025).
Source: Investor Day 9/16/2022</t>
        </r>
      </text>
    </comment>
    <comment ref="B29" authorId="0" shapeId="0" xr:uid="{3733CC76-26CB-42F0-BF94-0A2E3347C02F}">
      <text>
        <r>
          <rPr>
            <b/>
            <sz val="9"/>
            <color indexed="81"/>
            <rFont val="Tahoma"/>
            <family val="2"/>
          </rPr>
          <t>Change sign for payments of debt</t>
        </r>
      </text>
    </comment>
    <comment ref="B42" authorId="0" shapeId="0" xr:uid="{5DD02FCE-6538-4E37-9BE7-C31C9663FAB4}">
      <text>
        <r>
          <rPr>
            <sz val="9"/>
            <color indexed="81"/>
            <rFont val="Tahoma"/>
            <family val="2"/>
          </rPr>
          <t>Cash Flow from Operations - Capital Expenditures + After tax Interest Expense</t>
        </r>
      </text>
    </comment>
    <comment ref="AL58" authorId="1" shapeId="0" xr:uid="{3D4CBC2B-8B28-4D77-842C-55DE3EDFD469}">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D0BBFDF1-0302-4C5E-99AA-96E01126727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B60FB9F3-AD9F-4F87-AD15-2CDB32A7720A}">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CB32E758-A8B5-45D2-8036-486E4C23BCB0}">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C5854D78-4C69-4C60-B24B-84B1BD778003}">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95FD4CA9-6FA2-4701-AF0A-723D476C2177}">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9ED491DD-AFA3-49B5-B262-AABC257A71E7}">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601E53E9-10B3-4AC8-A3A8-9F0AAB8EB547}">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F82DDB37-83AB-4A71-9BF9-4039A4949CD3}">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6A2C82C6-5BF3-420A-B510-C8729E9D8935}">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09211235-634C-4D5D-92FD-256A6BE852B8}">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FFEE621B-CA26-4947-AF8D-05CEC6BB4369}">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67D86747-CA50-407B-81F1-2BC94C953873}">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1A2A053F-3245-4317-9910-A9DD0B3286A5}">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5A525BDF-87A6-4247-80BB-877EE5313B48}">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A9C6C137-A51A-4219-A97A-BF613A8D9DC8}">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07FF765D-8616-4D44-A1C1-C63E7BE425A4}">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933AAA22-231E-420E-AB5F-9FA27D5AEF29}">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F5A4D94F-B5C4-46EB-A9E5-C9E00316D698}">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01FAD145-5A59-4282-9924-7AE5B5E501B2}">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2E76A1DD-D64D-476A-90D7-E3C37F6F9F95}">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EE0BF203-0E29-4770-918D-AD0D5D02D279}">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63AFB7CE-5782-4E49-B0B3-481319BEFC5F}">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FE042124-E535-441A-8BEC-30F2B708B3D4}">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AA0662B5-54C6-495B-8291-DE0D4BA9B879}">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E2E15822-9771-4A77-8134-13D2152428E9}">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840E7A86-2F45-4C2A-B9ED-30DCB12B6D28}">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8D11304E-E381-4414-A9FD-0328982DAF5C}">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A35BDA05-8331-4F3F-B8DF-DAC588019AF1}">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06CD57EB-C658-4103-BC62-D36116B39340}">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984B35CF-8957-42F7-A37D-2D8A69813AAE}">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0F7D3FEF-11A5-4B72-92DE-36E995857758}">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B16E5041-A0FE-40F1-A70A-F48463D5E356}">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9CBF7170-4A3E-4FE8-9E83-AEA07BD109F7}">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A58D22EE-6EBA-4625-8B6F-4A18844BE710}">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EF4F9543-723A-4943-B1CA-BA453EA3FA78}">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8358E187-A8C0-4465-9B52-CD684525555C}">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FEFFACD7-F71F-42A2-8DF7-11E72D749AC9}">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F1662118-FCAA-4B34-81AE-346F44F0F467}">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1A04B551-5768-4C55-BA1E-52693AE3C838}">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142D5218-4AF1-4F75-8A0B-3318E0F47DF0}">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8D50BB5A-80D1-464D-8562-8198D1536BB4}">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232D59BE-D5E3-433A-8E5D-888AA75AC697}">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DDADF28C-FA9C-480E-8FCC-157F471F266E}">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25EA5AFA-EC99-41D0-A0DF-AFDEF8E084C4}">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53BF116F-199C-4410-82A7-7B7E7E60E29B}">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B0E5ECB2-8909-45B4-A7C4-3951CB1686CC}">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026831BA-4CD2-4F48-9236-BB5126922458}">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0D7BDEDC-559D-4DDB-8508-ACAF41EAD928}">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1E16E601-423A-4CBD-A2EA-A091077CA50E}">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2CAC9F3F-B685-43F5-ABA4-7047DCF87CCA}">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A40E1F65-B4FA-4A75-B95E-865B5785C3FC}">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4B8126D6-0096-46CC-B597-279491EBFD9C}">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66DA34AC-0763-47AA-B57F-33E5065D8705}">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034063C5-9D63-4ADE-933C-7D42A07C8B4D}">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66D298B3-F0A9-4272-B6E3-ED79BC4A9122}">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C7BA7ABC-55EA-421F-9775-ACD85D44F4D2}">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93BC41E1-0162-4D9C-883C-18EB8AF469D4}">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F3F40562-EF71-46C9-B6F2-961392B74821}">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AA19DA87-4FD4-47E3-9E6D-A4A7B642D664}">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0DD86C32-736E-4881-B9E3-A882AEA7EBC5}">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FF6754DC-F1BB-4304-98B0-6902245FE5D3}">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F172643D-BD75-40C4-B371-B0A37FD2AF7E}">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5E571E95-5C2F-4134-AB75-7CB8ADB965EF}">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3184D85A-0ED7-47FB-AFDA-AAC5A9791840}">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69EB6E9E-46AC-4717-A888-6C7BD354559D}">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4AA6FB80-D458-4237-9BB1-67790F3D74AC}">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C5290697-1DBB-4F47-9B02-9BF6744E2A41}">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56683774-78F2-40BF-B47D-A8A5594ED244}">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A7D633F3-2A61-44DF-AA97-07C3727DA506}">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02CACAB0-700D-49A4-BC86-B783950EB176}">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47927768-C244-4F2B-9ACA-FE4C7D4F0DEA}">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09F314D7-9D04-4597-A9D9-402C077309D5}">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6F09F19D-C9EB-413D-BBAE-2603042BC1F9}">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4A59BAC2-2FFA-46E3-96B6-A064CE10CFBE}">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CE020EB5-824E-46C3-AF95-0879D36E1E4A}">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BD7DFE30-656D-4D7E-BA32-0071485F7D64}">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23BF5286-9ED1-49A2-B7FC-7085BC9B8138}">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A68CCFAE-D162-4C3E-8F8A-65A3A65B0AC2}">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F638E198-C20F-4D63-9D00-F91764A63A0C}">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03814A8F-3694-48EA-9ECB-093F38F79A5A}">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35CE2A4D-4CF2-4C19-BEEF-CD3C6A8ED610}">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AB2B358F-A9C3-4BAF-9283-C84089889BAD}">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928A834C-3F85-4B4D-88E5-8723A3323E68}">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1DB23517-F4D2-4CEF-BC7A-8074BC2F6476}">
      <text>
        <r>
          <rPr>
            <sz val="9"/>
            <color indexed="81"/>
            <rFont val="Tahoma"/>
            <family val="2"/>
          </rPr>
          <t>Guidance: Global store growth of 7% annually approaching 45,000 stores by the end of 2025 (from fiscal 2023 to 2025). 
Source: Investor Day 9/16/2022</t>
        </r>
      </text>
    </comment>
    <comment ref="H140" authorId="1" shapeId="0" xr:uid="{89AD55B5-C4F0-42C7-9C77-58235A3C036E}">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83E9A184-CFB2-4603-9B99-8D5D224B6517}">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C94F6D46-0172-4FAA-86C4-11F03C3DF147}">
      <text>
        <r>
          <rPr>
            <sz val="9"/>
            <color indexed="81"/>
            <rFont val="Tahoma"/>
            <family val="2"/>
          </rPr>
          <t>Guidance: Global revenue growth of 10% to 12% annually (from fiscal 2023 to 2025).
Source: Investor Day 9/16/2022</t>
        </r>
      </text>
    </comment>
    <comment ref="R141" authorId="0" shapeId="0" xr:uid="{4E1F9370-DC11-45C8-BE90-3248B8AD8EBB}">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10661252-AD75-476A-BF80-A046FB41F809}">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V142" authorId="0" shapeId="0" xr:uid="{29851B1B-1A1E-4A2A-80AD-F5C8A623861E}">
      <text>
        <r>
          <rPr>
            <b/>
            <sz val="9"/>
            <color indexed="81"/>
            <rFont val="Tahoma"/>
            <family val="2"/>
          </rPr>
          <t xml:space="preserve">Guidance: </t>
        </r>
        <r>
          <rPr>
            <sz val="9"/>
            <color indexed="81"/>
            <rFont val="Tahoma"/>
            <family val="2"/>
          </rPr>
          <t>"We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t>
        </r>
        <r>
          <rPr>
            <b/>
            <sz val="9"/>
            <color indexed="81"/>
            <rFont val="Tahoma"/>
            <family val="2"/>
          </rPr>
          <t xml:space="preserve">
Source: Investor Day 9/16/2022
</t>
        </r>
      </text>
    </comment>
    <comment ref="AL142" authorId="0" shapeId="0" xr:uid="{FBAA8316-AE3D-4338-B363-412B12FA76FE}">
      <text>
        <r>
          <rPr>
            <sz val="9"/>
            <color indexed="81"/>
            <rFont val="Tahoma"/>
            <family val="2"/>
          </rPr>
          <t>Guidance: Expect “Solid” margin expansion in fiscal 2023 with “progressively more expansion” in fiscal 2024 and 2025.
Source: Investor Day 9/16/2022</t>
        </r>
      </text>
    </comment>
    <comment ref="H143" authorId="1" shapeId="0" xr:uid="{4111F20E-74C9-42F0-A0AE-936F23CA5E34}">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672D8762-39C7-42DD-A081-CE626DCDAE66}">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B6906049-24C4-4BD1-8F06-D7896AB5A0B0}">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5B96B439-44B4-4AED-BD6A-734877E103A3}">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ECFF4D9A-5C30-4A4D-AC32-4416A947BFD7}">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BACF0397-ED53-45F4-A4DF-E7E4E46AD15D}">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04DDEF9C-CA9E-4CC8-B9B7-F60EEC10E0BE}">
      <text>
        <r>
          <rPr>
            <sz val="9"/>
            <color indexed="81"/>
            <rFont val="Tahoma"/>
            <family val="2"/>
          </rPr>
          <t>Management is assuming a 2% dividend yield in their forecast.</t>
        </r>
      </text>
    </comment>
    <comment ref="AH153" authorId="0" shapeId="0" xr:uid="{AAC89284-DA10-4785-9172-9AC9E446CC20}">
      <text>
        <r>
          <rPr>
            <sz val="9"/>
            <color indexed="81"/>
            <rFont val="Tahoma"/>
            <family val="2"/>
          </rPr>
          <t>Management is assuming a 2% dividend yield in their forecast.</t>
        </r>
      </text>
    </comment>
    <comment ref="B165" authorId="1" shapeId="0" xr:uid="{0E24C571-3E41-4691-9CDE-D2121977C899}">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6297BD16-E38D-4755-AE70-ADFB32AACF4E}">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C2AFFEA8-7988-4161-8CC5-78525E9A56E1}">
      <text>
        <r>
          <rPr>
            <b/>
            <sz val="9"/>
            <color indexed="81"/>
            <rFont val="Tahoma"/>
            <family val="2"/>
          </rPr>
          <t>Enter negative EPS income tax effect as positive on this line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F33F8D43-C10E-4381-89BE-687CFDB52F20}">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91E4E63C-B6AE-4241-96BB-3C8105AD88AB}">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C294FB4C-3757-4087-BCDA-5E71DD93D445}">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C874B6A4-A480-4DC5-92C9-092D7C4533EF}">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902A4485-1A7A-4DE3-B3F0-3258B2F6E760}">
      <text>
        <r>
          <rPr>
            <b/>
            <sz val="9"/>
            <color indexed="81"/>
            <rFont val="Tahoma"/>
            <family val="2"/>
          </rPr>
          <t>Note: Use the company's 10-K not SEC web data</t>
        </r>
      </text>
    </comment>
    <comment ref="B17" authorId="0" shapeId="0" xr:uid="{76B72954-4031-4C09-AC9C-C2DECC8EF2F8}">
      <text>
        <r>
          <rPr>
            <b/>
            <sz val="9"/>
            <color indexed="81"/>
            <rFont val="Tahoma"/>
            <family val="2"/>
          </rPr>
          <t>Change sign</t>
        </r>
      </text>
    </comment>
    <comment ref="B21" authorId="0" shapeId="0" xr:uid="{384066EA-2BCF-4F69-9006-33C6172E1C2C}">
      <text>
        <r>
          <rPr>
            <b/>
            <sz val="9"/>
            <color indexed="81"/>
            <rFont val="Tahoma"/>
            <family val="2"/>
          </rPr>
          <t>Change sign</t>
        </r>
      </text>
    </comment>
    <comment ref="H25" authorId="0" shapeId="0" xr:uid="{9480C222-23FA-4BD4-8414-BEB4BF0DF69A}">
      <text>
        <r>
          <rPr>
            <b/>
            <sz val="9"/>
            <color indexed="81"/>
            <rFont val="Tahoma"/>
            <family val="2"/>
          </rPr>
          <t xml:space="preserve">3Q2019 Earnings call (7/25/2019) guidance for FY2019:
</t>
        </r>
        <r>
          <rPr>
            <sz val="9"/>
            <color indexed="81"/>
            <rFont val="Tahoma"/>
            <family val="2"/>
          </rPr>
          <t>Capex ~ $2B</t>
        </r>
      </text>
    </comment>
    <comment ref="M25" authorId="0" shapeId="0" xr:uid="{F077D63C-6A85-4775-B11B-C1F69552233C}">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203F315A-00FA-4B04-A843-E5F5349602D2}">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B0FEC9A2-8FE2-4B45-B13C-E021C008F4C0}">
      <text>
        <r>
          <rPr>
            <sz val="9"/>
            <color indexed="81"/>
            <rFont val="Tahoma"/>
            <family val="2"/>
          </rPr>
          <t>Guidance: Capital expenditures of $2.5B to $3.0B annually (fiscal 2023, 2024, and 2025).
Source: Investor Day 9/16/2022</t>
        </r>
      </text>
    </comment>
    <comment ref="AG25" authorId="1" shapeId="0" xr:uid="{C28995B4-1F8B-40FC-B737-1108DAB9B54E}">
      <text>
        <r>
          <rPr>
            <sz val="9"/>
            <color indexed="81"/>
            <rFont val="Tahoma"/>
            <family val="2"/>
          </rPr>
          <t>Guidance: Capital expenditures of $2.5B to $3.0B annually (fiscal 2023, 2024, and 2025).
Source: Investor Day 9/16/2022</t>
        </r>
      </text>
    </comment>
    <comment ref="AL25" authorId="1" shapeId="0" xr:uid="{775489E2-E078-45B4-9013-7B07D36D3524}">
      <text>
        <r>
          <rPr>
            <sz val="9"/>
            <color indexed="81"/>
            <rFont val="Tahoma"/>
            <family val="2"/>
          </rPr>
          <t>Guidance: Capital expenditures of $2.5B to $3.0B annually (fiscal 2023, 2024, and 2025).
Source: Investor Day 9/16/2022</t>
        </r>
      </text>
    </comment>
    <comment ref="B29" authorId="0" shapeId="0" xr:uid="{1BCFF451-84C9-4314-9FB8-51C8888759F0}">
      <text>
        <r>
          <rPr>
            <b/>
            <sz val="9"/>
            <color indexed="81"/>
            <rFont val="Tahoma"/>
            <family val="2"/>
          </rPr>
          <t>Change sign for payments of debt</t>
        </r>
      </text>
    </comment>
    <comment ref="B42" authorId="0" shapeId="0" xr:uid="{4F5C1BDA-F9B7-4ED2-9042-6777E458C030}">
      <text>
        <r>
          <rPr>
            <sz val="9"/>
            <color indexed="81"/>
            <rFont val="Tahoma"/>
            <family val="2"/>
          </rPr>
          <t>Cash Flow from Operations - Capital Expenditures + After tax Interest Expense</t>
        </r>
      </text>
    </comment>
    <comment ref="AL58" authorId="1" shapeId="0" xr:uid="{39A3EE85-5290-43B8-8464-D22DF1AA5DC9}">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2053A79A-2FD3-4953-882E-2495E885275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9C50A212-EB4A-45A7-BE04-031ED3BDA12D}">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C53DB7BB-B25A-4A49-B1A1-698BBE998DA0}">
      <text>
        <r>
          <rPr>
            <b/>
            <sz val="9"/>
            <color indexed="81"/>
            <rFont val="Tahoma"/>
            <family val="2"/>
          </rPr>
          <t>Note: Use the company's 10-K not SEC web data</t>
        </r>
      </text>
    </comment>
    <comment ref="B17" authorId="0" shapeId="0" xr:uid="{D1A9D84F-7B81-4234-AC93-7DB5B7839444}">
      <text>
        <r>
          <rPr>
            <b/>
            <sz val="9"/>
            <color indexed="81"/>
            <rFont val="Tahoma"/>
            <family val="2"/>
          </rPr>
          <t>Change sign</t>
        </r>
      </text>
    </comment>
    <comment ref="B21" authorId="0" shapeId="0" xr:uid="{C660B6BD-59BF-48DB-8221-2FA6A78C4CE6}">
      <text>
        <r>
          <rPr>
            <b/>
            <sz val="9"/>
            <color indexed="81"/>
            <rFont val="Tahoma"/>
            <family val="2"/>
          </rPr>
          <t>Change sign</t>
        </r>
      </text>
    </comment>
    <comment ref="H25" authorId="0" shapeId="0" xr:uid="{5C4B6EF7-28D3-4F9C-B48C-7AC4650761F0}">
      <text>
        <r>
          <rPr>
            <b/>
            <sz val="9"/>
            <color indexed="81"/>
            <rFont val="Tahoma"/>
            <family val="2"/>
          </rPr>
          <t xml:space="preserve">3Q2019 Earnings call (7/25/2019) guidance for FY2019:
</t>
        </r>
        <r>
          <rPr>
            <sz val="9"/>
            <color indexed="81"/>
            <rFont val="Tahoma"/>
            <family val="2"/>
          </rPr>
          <t>Capex ~ $2B</t>
        </r>
      </text>
    </comment>
    <comment ref="M25" authorId="0" shapeId="0" xr:uid="{4CC782AF-97B2-42F6-94B1-C95FBBE3B608}">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B2C7A0D8-B3BC-406A-B1E0-2838A9582A04}">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DA05E891-2A1A-418A-9AD1-990488679F02}">
      <text>
        <r>
          <rPr>
            <sz val="9"/>
            <color indexed="81"/>
            <rFont val="Tahoma"/>
            <family val="2"/>
          </rPr>
          <t>Guidance: Capital expenditures of ~$2.5B
Source: F4Q2022 and F1Q2023 release</t>
        </r>
      </text>
    </comment>
    <comment ref="AG25" authorId="1" shapeId="0" xr:uid="{73360EBC-F1B0-435F-A37D-922B1AEE5286}">
      <text>
        <r>
          <rPr>
            <sz val="9"/>
            <color indexed="81"/>
            <rFont val="Tahoma"/>
            <family val="2"/>
          </rPr>
          <t>Guidance: Capital expenditures of $2.5B to $3.0B annually (fiscal 2023, 2024, and 2025).
Source: Investor Day 9/16/2022</t>
        </r>
      </text>
    </comment>
    <comment ref="AL25" authorId="1" shapeId="0" xr:uid="{BF190EAF-BC3D-4E5D-98C4-A60A1A3D0C46}">
      <text>
        <r>
          <rPr>
            <sz val="9"/>
            <color indexed="81"/>
            <rFont val="Tahoma"/>
            <family val="2"/>
          </rPr>
          <t>Guidance: Capital expenditures of $2.5B to $3.0B annually (fiscal 2023, 2024, and 2025).
Source: Investor Day 9/16/2022</t>
        </r>
      </text>
    </comment>
    <comment ref="B29" authorId="0" shapeId="0" xr:uid="{07AD5890-A7C6-4E79-BF79-7EBAA6BAD495}">
      <text>
        <r>
          <rPr>
            <b/>
            <sz val="9"/>
            <color indexed="81"/>
            <rFont val="Tahoma"/>
            <family val="2"/>
          </rPr>
          <t>Change sign for payments of debt</t>
        </r>
      </text>
    </comment>
    <comment ref="B42" authorId="0" shapeId="0" xr:uid="{AA1FF1B9-8AF3-4148-8A82-FD9E255BC6E1}">
      <text>
        <r>
          <rPr>
            <sz val="9"/>
            <color indexed="81"/>
            <rFont val="Tahoma"/>
            <family val="2"/>
          </rPr>
          <t>Cash Flow from Operations - Capital Expenditures + After tax Interest Expense</t>
        </r>
      </text>
    </comment>
    <comment ref="AL58" authorId="1" shapeId="0" xr:uid="{2DB8EBD8-CAB8-4F04-8622-E3FC9C0D2BF8}">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55473D5D-3E1E-48FE-8539-3A941830E62E}">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03541113-141D-4307-9EA1-43D3F5B88069}">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t>
        </r>
        <r>
          <rPr>
            <sz val="9"/>
            <color indexed="81"/>
            <rFont val="Tahoma"/>
            <family val="2"/>
          </rPr>
          <t>Investor Day 9/16/2022. Affirmed F4Q2022. Reaffirmed F1Q2023.</t>
        </r>
        <r>
          <rPr>
            <b/>
            <sz val="9"/>
            <color indexed="81"/>
            <rFont val="Tahoma"/>
            <family val="2"/>
          </rPr>
          <t xml:space="preserve">
</t>
        </r>
        <r>
          <rPr>
            <sz val="9"/>
            <color indexed="81"/>
            <rFont val="Tahoma"/>
            <family val="2"/>
          </rPr>
          <t>Based on 2022 non-GAAP EPS of $2.95 CAGR of 15% to 20% equates to a 2025 EPS range of $4.49 to $5.10.</t>
        </r>
        <r>
          <rPr>
            <b/>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GE User</author>
    <author>Owner</author>
  </authors>
  <commentList>
    <comment ref="F6" authorId="0" shapeId="0" xr:uid="{34604C32-FBF4-45B3-B78F-B72E11403E8F}">
      <text>
        <r>
          <rPr>
            <sz val="9"/>
            <color indexed="81"/>
            <rFont val="Tahoma"/>
            <family val="2"/>
          </rPr>
          <t>The DCF calculation relies on an estimate of the equity to total capital ratio. Since the share price goes into the calculation of the capital ratio, this will naturally cause a circular reference. To demonstrate assume the current share price is $100 and the DCF is projecting a price of $150. If the actual price moved toward the DCF target price of $150, then equity would make up a larger percentage of the total capital structure and the share price would actually be much lower.
Consider what would happen if we simply used the current share price in the DCF calculation, and market risk increased from one quarter to the next. As the share price declines, the equity to total capital ratio will also decline. As a result the discount rate will decline, and the share price projected by the DCF would actually increase, despite the heighten level of risk. The reverse effect would occur in a scenario where market risk decreases from one period to the next. From a reasonableness standpoint this simply does not make sense directionally.
To solve this issue the target share price must be used in the calculation of debt to equity. You can use trial and error to type in share prices until the price for the market capitalization calculation equals that of the DCF target. Or you can simply input the equation of "Target Share Price" = "Implied DCF 12-month target value" (i.e. "DCF check") and use the Goal Seek function to change "Target Share Price" to equal the final DCF target. This should be the final step in your model, as any changes in the inputs could impact the valuation.</t>
        </r>
      </text>
    </comment>
    <comment ref="C8" authorId="1" shapeId="0" xr:uid="{2A739C70-43DB-4B43-83DD-7F62B4A6DD5C}">
      <text>
        <r>
          <rPr>
            <sz val="9"/>
            <color indexed="81"/>
            <rFont val="Tahoma"/>
            <family val="2"/>
          </rPr>
          <t>5yr historic range 18.3x to 37.0x</t>
        </r>
      </text>
    </comment>
    <comment ref="F11" authorId="0" shapeId="0" xr:uid="{12CF1741-E2B7-4057-AA34-78FD5DD07069}">
      <text>
        <r>
          <rPr>
            <sz val="9"/>
            <color indexed="81"/>
            <rFont val="Tahoma"/>
            <family val="2"/>
          </rPr>
          <t>This model uses the Constant Sharpe approach to estimate the Equity Risk Premium (ERP). The S&amp;P500 Constant Sharpe is calculated by taking the excess return on the index over the risk-free rate, divided by the standard deviation of returns. The Constant Sharpe ratio is then multiplied by the estimate of implied volatility to calculate the ERP.
Instructor's preference: The nature of the constant Sharpe is that it theoretically should not change. I like to have my Stage 1 Constant Sharpe reflective my expectations for the market over the next year.</t>
        </r>
      </text>
    </comment>
    <comment ref="F12" authorId="0" shapeId="0" xr:uid="{68A804C7-D35C-4E0E-9658-10783FE5CD60}">
      <text>
        <r>
          <rPr>
            <sz val="9"/>
            <color indexed="81"/>
            <rFont val="Tahoma"/>
            <family val="2"/>
          </rPr>
          <t>The VIX is quoted in percentage points and measures the implied annualized volatility for the S&amp;P500. The VIX is a forward looking measure of implied volatility, however, single day volatility would have too much of an impact on the overall discount rate. For this reason the twelve month average is used (based on a 12-month forecast, refer to the ERP model for details).</t>
        </r>
      </text>
    </comment>
    <comment ref="F22" authorId="1" shapeId="0" xr:uid="{CF9F3181-C2DC-4CDF-B8E8-69AE2435C14F}">
      <text>
        <r>
          <rPr>
            <sz val="9"/>
            <color indexed="81"/>
            <rFont val="Tahoma"/>
            <family val="2"/>
          </rPr>
          <t>Starbucks went public in 1992. If you ignore the first 10 years of data (hyper growth stage). The CAGR in revenue has been approximately 12% over 20 years from  $3.3B in 2002 to $32.25B in 2022 [(32.25/3.3)^(1/20)-1]. Despite running at double digit growth as a mature company for 20 years, the constant growth stage should be a rate much lower than this. 
The constant growth rates (like all of the inputs) could be debated. Some may say there should be three stages: stage 1 being the forecast management has provided through 2025, stage 2 a 20 year period based on the long term growth of 12%, and stage 3 a lower constant growth of 3-4%. I view the 4% growth (above LT average GDP of about 3%) as a blended rate of what would be a three-stage approach, with approximately 20 years of double-digit growth and a much lower constant growth rate. 
We are also assuming: 
&gt; The CFO growth rate will equal the revenue growth rate on a long-term basis, and that the capital intensity of the business (capex to revenue) will decline in the slower growth stage, as investments will be isolated to maintaining equipment (no inovation or growth).
&gt; Constant networking capital in the constant growth stage.
&gt; Debt balance and interest expense remain constant in the constant growth stage, and that book value of debt approximates fair value.</t>
        </r>
      </text>
    </comment>
    <comment ref="F32" authorId="1" shapeId="0" xr:uid="{10B420F1-B24F-4441-A352-6DA8905C02AE}">
      <text>
        <r>
          <rPr>
            <sz val="9"/>
            <color indexed="81"/>
            <rFont val="Tahoma"/>
            <family val="2"/>
          </rPr>
          <t>Instructor's preference: I like to be able to change the forecast for the CAPM inputs on a short-term and long-term basis, without my short-term (1 to 3 years) having an undue influence on my forecast of the long-term enterprise value.</t>
        </r>
      </text>
    </comment>
    <comment ref="B33" authorId="0" shapeId="0" xr:uid="{9355CA91-EE92-4A7F-9814-1EE6ECAD8304}">
      <text>
        <r>
          <rPr>
            <sz val="9"/>
            <color indexed="81"/>
            <rFont val="Tahoma"/>
            <family val="2"/>
          </rPr>
          <t xml:space="preserve">There are many approaches to estimating a stock's risk. In this demonstration we use the standard deviation and the monthly average return over the last 12 months to construct an estimated price target range. Standard deviation is a measure of dispersion around the mean monthly return. The larger the historic standard deviation the greater the volatility in prices. Using a normal distribution, approximately 95% of observations fall within 2 standard deviations of the mean. This approach has multiple limitations including: 1) it assumes that historic results can predict future return characteristics, and 2) it assumes the stock's returns are normally distributed. </t>
        </r>
      </text>
    </comment>
    <comment ref="C34" authorId="1" shapeId="0" xr:uid="{C3C57BAB-C51A-4894-AD20-5F71C284EEC0}">
      <text>
        <r>
          <rPr>
            <sz val="9"/>
            <color indexed="81"/>
            <rFont val="Tahoma"/>
            <family val="2"/>
          </rPr>
          <t>From "SBUX Beta Calculation" file, worksheet "SBUX Beta ST" cells C15 and H18.</t>
        </r>
      </text>
    </comment>
    <comment ref="F35" authorId="2" shapeId="0" xr:uid="{B45674F9-EFFD-42DA-8548-1506F98377D3}">
      <text>
        <r>
          <rPr>
            <b/>
            <sz val="9"/>
            <color indexed="81"/>
            <rFont val="Tahoma"/>
            <family val="2"/>
          </rPr>
          <t>Equation:
CFO:</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 </t>
        </r>
      </text>
    </comment>
    <comment ref="F36" authorId="3" shapeId="0" xr:uid="{55E8AA74-2A5C-4871-9D87-872F68FE8675}">
      <text>
        <r>
          <rPr>
            <sz val="9"/>
            <color indexed="81"/>
            <rFont val="Tahoma"/>
            <family val="2"/>
          </rPr>
          <t xml:space="preserve">This adds back cash and removes debt from the enterprise value to arrive at the equity only value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John Moschella</author>
  </authors>
  <commentList>
    <comment ref="I5" authorId="0" shapeId="0" xr:uid="{1D76A464-C02E-4E28-AF9F-7FA4FAEBF8F5}">
      <text>
        <r>
          <rPr>
            <sz val="9"/>
            <color indexed="81"/>
            <rFont val="Tahoma"/>
            <family val="2"/>
          </rPr>
          <t xml:space="preserve">Midpoint of 10% to 12% guided growth range, or $35.5B to $36.1B. </t>
        </r>
      </text>
    </comment>
    <comment ref="J5" authorId="0" shapeId="0" xr:uid="{348C877C-DAF2-4346-A144-7A21A3EFEE7D}">
      <text>
        <r>
          <rPr>
            <sz val="9"/>
            <color indexed="81"/>
            <rFont val="Tahoma"/>
            <family val="2"/>
          </rPr>
          <t xml:space="preserve">Midpoint of 10% to 12% guided CAGR growth range, or $42.9B to $45.3B. </t>
        </r>
      </text>
    </comment>
    <comment ref="I6" authorId="0" shapeId="0" xr:uid="{6C758CF5-069B-410B-8F35-E969E22395E0}">
      <text>
        <r>
          <rPr>
            <sz val="9"/>
            <color indexed="81"/>
            <rFont val="Tahoma"/>
            <family val="2"/>
          </rPr>
          <t>Guided to the low-end of 15% to 20% growth, or $3.40 to $3.55.</t>
        </r>
      </text>
    </comment>
    <comment ref="J6" authorId="0" shapeId="0" xr:uid="{C70BE148-777D-42EC-8F61-648146FA570D}">
      <text>
        <r>
          <rPr>
            <sz val="9"/>
            <color indexed="81"/>
            <rFont val="Tahoma"/>
            <family val="2"/>
          </rPr>
          <t>Guidance: Management guided annual EPS growth between 15% to 20%. 
Source: Investor Day 9/16/2022. Affirmed F4Q2022. Reaffirmed F1Q2023.
Based on 2022 non-GAAP EPS of $2.95 CAGR of 15% to 20% equates to a 2025 EPS range of $4.49 to $5.10.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7ADDCFCA-7072-42AB-9978-2786BB19D538}">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C95D6A7B-DF3A-4679-80DB-09080D7A0E0A}">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7C8E8121-F5B7-4F5E-8057-7A1F91A66905}">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AB8" authorId="0" shapeId="0" xr:uid="{2023DAA0-2E48-4F19-BAF6-F8E6C9C69505}">
      <text>
        <r>
          <rPr>
            <sz val="9"/>
            <color indexed="81"/>
            <rFont val="Tahoma"/>
            <family val="2"/>
          </rPr>
          <t xml:space="preserve">Midpoint of 10% to 12% guided growth range, or $35.5B to $36.1B. </t>
        </r>
      </text>
    </comment>
    <comment ref="B9" authorId="1" shapeId="0" xr:uid="{CB24A274-F04B-4B96-9B64-8828B0AA15B4}">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A3426ACC-CDCF-4E2B-9004-D0E953114AD3}">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48B8390B-2CAB-491E-B1C9-DEB45C8E46EA}">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12BE40F4-6B1E-4371-A6F7-66B58CC439CB}">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FAD51E41-5A1D-41EA-BBAF-7CABC5B56620}">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F1CD4277-A855-4F88-85AA-09AFD1D9E0A7}">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989B04CB-B593-4A21-A22B-34DC8A2D610F}">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730CCEC4-7761-4FC8-AAFD-7FB636D8D64F}">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666A13D1-8723-4A1C-8EF8-CAF9D9496533}">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905BC729-004A-4A0C-BFD3-D128BF3FDC54}">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862EBC5B-6BB1-4C6E-936E-850A5BE8AB91}">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68BCEAF3-028C-473D-990E-BFCFB6EC8701}">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43EBA1C1-9BB6-4B72-AA1E-D2EAFF43076B}">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1D4BB2DE-E593-47D2-BAEB-3FCC9BFBE3E4}">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1B270425-15CF-4B7A-B428-803DDDA272D4}">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AF43282B-F19B-48B1-AA02-B8D90F302EC2}">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E29B5B0F-D422-4B6C-9939-0B431E6A60FC}">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2E12DDE6-C338-49E6-99F0-77BE044ADBFE}">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696B9398-7D00-4BB4-B0C9-0DF5C607FCB2}">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FA39635F-42A0-42BA-B68D-AA113D3EC7D6}">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5DA2488A-0701-4342-8A04-BCE8741D0421}">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D0D1FE3A-BF77-46F1-9B55-B620A14A8029}">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B2AD76CA-75F3-4C3C-9C3B-5D995E7C6B63}">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AB22" authorId="0" shapeId="0" xr:uid="{3D02A0E1-500F-4F01-A8D2-CBCD549939EA}">
      <text>
        <r>
          <rPr>
            <sz val="9"/>
            <color indexed="81"/>
            <rFont val="Tahoma"/>
            <family val="2"/>
          </rPr>
          <t>Interest Expense $540M - $560M</t>
        </r>
      </text>
    </comment>
    <comment ref="N24" authorId="0" shapeId="0" xr:uid="{93339B3D-F771-4F5B-A596-FA517207CB96}">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99C563F0-8025-4E05-B88A-589366681A99}">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46DE544E-4F14-4ECC-B3F1-56E4CC622A2A}">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E5DCFF3E-4CB5-411F-9684-F68347ED6A80}">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E0022A37-D5B9-4D70-862C-F81EBF4669C7}">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10EF2946-C64D-4B64-9860-45DE77796AB5}">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A558AAFA-5490-4BC4-8D6C-9ED79D6B082D}">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4F33E47D-EDAF-4DFA-9EE3-0178091A63ED}">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C7F37827-FFB1-453B-9BC0-BB3B4FC41C60}">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24584ACA-C9D5-43C3-B182-FD36E0B5B4F4}">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D26F7F19-7CEE-41EE-9E91-428A5EF2BF37}">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EC21FB23-A220-46A1-8852-8D10B0FFE039}">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74C34A12-4309-4F66-B413-E0AF893DE988}">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B34" authorId="0" shapeId="0" xr:uid="{B8B7CC2B-5616-4BC3-94D7-FAA1289AEA00}">
      <text>
        <r>
          <rPr>
            <sz val="9"/>
            <color indexed="81"/>
            <rFont val="Tahoma"/>
            <family val="2"/>
          </rPr>
          <t>Guided to the low-end of 15% to 20% growth, or $3.40 to $3.55.</t>
        </r>
      </text>
    </comment>
    <comment ref="AL34" authorId="0" shapeId="0" xr:uid="{DE7C7127-1C14-476D-969C-64C4CAE45CEF}">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t>
        </r>
        <r>
          <rPr>
            <sz val="9"/>
            <color indexed="81"/>
            <rFont val="Tahoma"/>
            <family val="2"/>
          </rPr>
          <t>Investor Day 9/16/2022. Affirmed F4Q2022. Reaffirmed F1Q2023.</t>
        </r>
        <r>
          <rPr>
            <b/>
            <sz val="9"/>
            <color indexed="81"/>
            <rFont val="Tahoma"/>
            <family val="2"/>
          </rPr>
          <t xml:space="preserve">
</t>
        </r>
        <r>
          <rPr>
            <sz val="9"/>
            <color indexed="81"/>
            <rFont val="Tahoma"/>
            <family val="2"/>
          </rPr>
          <t>Based on 2022 non-GAAP EPS of $2.95 CAGR of 15% to 20% equates to a 2025 EPS range of $4.49 to $5.10.</t>
        </r>
      </text>
    </comment>
    <comment ref="L35" authorId="1" shapeId="0" xr:uid="{22ADB1F7-6213-4165-BE46-E004D7B0DC2B}">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FF110401-7B58-4B64-A875-727BFF62CD5E}">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928F551D-2E68-4046-AA3F-B924B504AF60}">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DD6269AE-BADD-41EF-BFD7-DC60F86B1C9B}">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B62856EB-5AAA-47A7-9678-996F349B76B4}">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0E556C13-ED44-49AA-B400-938A0BBEC227}">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9595C2B0-AE69-4A98-87B3-996ADFEB62A6}">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BAB563A3-9272-43C6-8241-95F22E6EB3F8}">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2A32483E-6FB0-413A-B79E-E1F8AEE055EF}">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AB57" authorId="0" shapeId="0" xr:uid="{0131D7F8-747A-460F-960C-0E8BF87DC3E8}">
      <text>
        <r>
          <rPr>
            <sz val="9"/>
            <color indexed="81"/>
            <rFont val="Tahoma"/>
            <family val="2"/>
          </rPr>
          <t>Management guided U.S. Store Growth to ~3%. In this forecast we are assuming U.S. store growth approximates growth for the North America Segment.</t>
        </r>
      </text>
    </comment>
    <comment ref="H58" authorId="1" shapeId="0" xr:uid="{49F0F144-150C-44E1-B25B-7528ECEDE9DC}">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2CE20D48-5D7E-4CED-BCB1-9BC317ED4491}">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0000160F-EC09-4173-BE09-CCB03F5AEC64}">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179BDB96-78A7-45BA-8FED-BC30B20F2229}">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AAF4A9C4-B71F-4079-A4DA-BFB4E379DB1B}">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151852BA-1BE8-428E-A6BC-68237F040113}">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CF7CD1A9-95FC-490F-A6BC-F2AE1B8A21D2}">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E392F0D5-259A-4DE1-B6A2-C80FA28F146A}">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3EAB97B1-F677-4E7E-8354-1FF39234C452}">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9F701713-69D5-4140-BE3A-61421895C4F2}">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955B45EA-DE17-4812-BD67-59283655AEFD}">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0385F044-2D14-4785-B317-82366AE76326}">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E3BDE1BC-8DC5-4963-9824-FD17DA9D47A6}">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54D6804B-3C58-4E1A-A51E-4CBDE2407528}">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61B4EE72-55F2-40A4-899E-1BDDAD60B131}">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61365CDC-A43B-492C-992E-782E60829323}">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86F4B37C-CDC3-45EB-B4DC-029C22A5BE40}">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78A6C620-409B-40C4-889B-5B77D2A50133}">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68C5099F-7A4A-46B6-AF1E-12ED42E7074A}">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9D8B8E79-66BA-4367-8FF9-330B6E60D3E8}">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2C12401A-CC68-4D1A-9E3F-637293A1950F}">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841B6A6F-51C8-4AF8-8C3C-390857747993}">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1152AD57-0E98-4CF0-80E2-71ECCA1DAA87}">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04B3656F-EE0F-4230-B015-5864C359A22F}">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C490BD10-DE63-4467-BDC2-6C27421F7B53}">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86DC3A85-6F77-4FB2-A748-4A7A4EEA5C52}">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8FDB637D-3C76-4544-B015-F90DAD54040C}">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585D1805-1BF3-407C-8197-3DA0E1E8DB0C}">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A5BCB30E-A235-4D5B-922A-CBEA1B777696}">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950D8360-8A43-494C-A78E-740824BE192B}">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A95EC776-515F-4255-8BB0-4F00DF6034B9}">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3499E5E1-900A-4F02-88AF-1AA6AD504F34}">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B139" authorId="0" shapeId="0" xr:uid="{08717FDA-761D-4A2B-B466-43F03052FEDC}">
      <text>
        <r>
          <rPr>
            <sz val="9"/>
            <color indexed="81"/>
            <rFont val="Tahoma"/>
            <family val="2"/>
          </rPr>
          <t>Management guided to ~7%</t>
        </r>
      </text>
    </comment>
    <comment ref="AL139" authorId="0" shapeId="0" xr:uid="{DB30A9D2-0409-4CDF-8BE6-EC06CB43A397}">
      <text>
        <r>
          <rPr>
            <sz val="9"/>
            <color indexed="81"/>
            <rFont val="Tahoma"/>
            <family val="2"/>
          </rPr>
          <t>Guidance: Global store growth of 7% annually approaching 45,000 stores by the end of 2025 (from fiscal 2023 to 2025). 
Source: Investor Day 9/16/2022</t>
        </r>
      </text>
    </comment>
    <comment ref="H140" authorId="1" shapeId="0" xr:uid="{1A42ABEA-953F-43FF-AE6A-B14D347DF70F}">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811AD2FE-29B3-4AC8-A75A-3C5F3D472020}">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B140" authorId="0" shapeId="0" xr:uid="{FEB78B53-C35E-43C2-8813-AEA25DCD2934}">
      <text>
        <r>
          <rPr>
            <sz val="9"/>
            <color indexed="81"/>
            <rFont val="Tahoma"/>
            <family val="2"/>
          </rPr>
          <t>Management guided between 10% and 12%.</t>
        </r>
      </text>
    </comment>
    <comment ref="AL140" authorId="0" shapeId="0" xr:uid="{5681A9CA-3657-462C-84C1-78E2F26DB0B2}">
      <text>
        <r>
          <rPr>
            <sz val="9"/>
            <color indexed="81"/>
            <rFont val="Tahoma"/>
            <family val="2"/>
          </rPr>
          <t>Guidance: Global revenue growth of 10% to 12% annually (from fiscal 2023 to 2025).
Source: Investor Day 9/16/2022</t>
        </r>
      </text>
    </comment>
    <comment ref="R141" authorId="0" shapeId="0" xr:uid="{DC27D4F3-F2D8-43E8-86F2-D16703DD8887}">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CD73BB30-057F-433C-BB6F-50981D5A6C85}">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Z142" authorId="0" shapeId="0" xr:uid="{D421ACCC-E381-4340-BAB3-EC17FBA0BA3D}">
      <text>
        <r>
          <rPr>
            <sz val="9"/>
            <color indexed="81"/>
            <rFont val="Tahoma"/>
            <family val="2"/>
          </rPr>
          <t xml:space="preserve">“Regarding the shape of margin, we continue to expect sequential margin improvement in both Q3 and Q4. We expect Q3 margin near the prior-year level with Q4 expanding meaningfully over prior-year as we lap the significant investments in wages and benefits. Note the quarterly margin shape in Q3 and Q4 is not expected to mirror the prior year.” </t>
        </r>
        <r>
          <rPr>
            <b/>
            <sz val="9"/>
            <color indexed="81"/>
            <rFont val="Tahoma"/>
            <family val="2"/>
          </rPr>
          <t>Source: Starbucks F2Q2023 Earnings Call</t>
        </r>
        <r>
          <rPr>
            <sz val="9"/>
            <color indexed="81"/>
            <rFont val="Tahoma"/>
            <family val="2"/>
          </rPr>
          <t xml:space="preserve">
</t>
        </r>
      </text>
    </comment>
    <comment ref="AL142" authorId="0" shapeId="0" xr:uid="{5F599F53-4234-4AB9-8332-F59155A1CED5}">
      <text>
        <r>
          <rPr>
            <sz val="9"/>
            <color indexed="81"/>
            <rFont val="Tahoma"/>
            <family val="2"/>
          </rPr>
          <t>Guidance: Expect “Solid” margin expansion in fiscal 2023 with “progressively more expansion” in fiscal 2024 and 2025.
Source: Investor Day 9/16/2022</t>
        </r>
      </text>
    </comment>
    <comment ref="H143" authorId="1" shapeId="0" xr:uid="{B258227E-A358-4090-8313-99807BA5CE42}">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92BEE528-9748-4A28-854D-01EF92B1AA8D}">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360F1E06-2712-4D6F-8017-BECEE16BD22A}">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17A8E377-D1B3-429B-B256-A422350750B3}">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B143" authorId="0" shapeId="0" xr:uid="{4B3CB293-B238-4CF4-ADDE-C9C0C47E2A9D}">
      <text>
        <r>
          <rPr>
            <sz val="9"/>
            <color indexed="81"/>
            <rFont val="Tahoma"/>
            <family val="2"/>
          </rPr>
          <t>GAAP and non-GAAP Tax Rates Mid-20s</t>
        </r>
      </text>
    </comment>
    <comment ref="AL149" authorId="0" shapeId="0" xr:uid="{A35A3036-F529-4947-91BF-1315708F53CC}">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539EF004-8FE0-4B47-A7A5-0E41B6233850}">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6F4FB567-F8A0-4E13-887B-EB9377C980FB}">
      <text>
        <r>
          <rPr>
            <sz val="9"/>
            <color indexed="81"/>
            <rFont val="Tahoma"/>
            <family val="2"/>
          </rPr>
          <t>Management is assuming a 2% dividend yield in their forecast.</t>
        </r>
      </text>
    </comment>
    <comment ref="AH153" authorId="0" shapeId="0" xr:uid="{681C4760-8F24-4842-932B-2F7787AAFBD1}">
      <text>
        <r>
          <rPr>
            <sz val="9"/>
            <color indexed="81"/>
            <rFont val="Tahoma"/>
            <family val="2"/>
          </rPr>
          <t>Management is assuming a 2% dividend yield in their forecast.</t>
        </r>
      </text>
    </comment>
    <comment ref="B165" authorId="1" shapeId="0" xr:uid="{86D02BC0-8A92-4363-82DC-89F6215FADCA}">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67182027-5D54-484B-A8CE-D165E8129438}">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6BB6C33E-3B29-480A-B14C-9A7FE2C95718}">
      <text>
        <r>
          <rPr>
            <b/>
            <sz val="9"/>
            <color indexed="81"/>
            <rFont val="Tahoma"/>
            <family val="2"/>
          </rPr>
          <t>Enter negative EPS income tax effect as positive on this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593411A9-017D-4A34-A5C9-79245B99CFE2}">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577A109B-D491-4AF3-88E5-FDD54097F2F4}">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C5B49448-EACB-4F60-8F10-284A6ACC7349}">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947420EA-FC76-4F07-823A-3F830B006D71}">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9D57A0FE-A293-4BC4-AB60-01B02885601E}">
      <text>
        <r>
          <rPr>
            <b/>
            <sz val="9"/>
            <color indexed="81"/>
            <rFont val="Tahoma"/>
            <family val="2"/>
          </rPr>
          <t>Note: Use the company's 10-K not SEC web data</t>
        </r>
      </text>
    </comment>
    <comment ref="B17" authorId="0" shapeId="0" xr:uid="{A03C3EC7-CD4D-48D0-B1E3-FB1BDEF58B36}">
      <text>
        <r>
          <rPr>
            <b/>
            <sz val="9"/>
            <color indexed="81"/>
            <rFont val="Tahoma"/>
            <family val="2"/>
          </rPr>
          <t>Change sign</t>
        </r>
      </text>
    </comment>
    <comment ref="B21" authorId="0" shapeId="0" xr:uid="{38C4FF8C-48CE-4715-AF46-F42073D6912F}">
      <text>
        <r>
          <rPr>
            <b/>
            <sz val="9"/>
            <color indexed="81"/>
            <rFont val="Tahoma"/>
            <family val="2"/>
          </rPr>
          <t>Change sign</t>
        </r>
      </text>
    </comment>
    <comment ref="H25" authorId="0" shapeId="0" xr:uid="{F202E95B-9611-43B6-86E4-C450EF2B3587}">
      <text>
        <r>
          <rPr>
            <b/>
            <sz val="9"/>
            <color indexed="81"/>
            <rFont val="Tahoma"/>
            <family val="2"/>
          </rPr>
          <t xml:space="preserve">3Q2019 Earnings call (7/25/2019) guidance for FY2019:
</t>
        </r>
        <r>
          <rPr>
            <sz val="9"/>
            <color indexed="81"/>
            <rFont val="Tahoma"/>
            <family val="2"/>
          </rPr>
          <t>Capex ~ $2B</t>
        </r>
      </text>
    </comment>
    <comment ref="M25" authorId="0" shapeId="0" xr:uid="{4B5D62D7-0CB1-479B-B653-F286DF71D8F9}">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78367E06-F542-41A1-A557-56135E5F39E0}">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FEC68074-618F-49D7-8353-13CC963E8505}">
      <text>
        <r>
          <rPr>
            <sz val="9"/>
            <color indexed="81"/>
            <rFont val="Tahoma"/>
            <family val="2"/>
          </rPr>
          <t>Guidance: Capital expenditures of ~$2.5B
Source: F4Q2022 and F1Q2023 release</t>
        </r>
      </text>
    </comment>
    <comment ref="AG25" authorId="1" shapeId="0" xr:uid="{F8B67931-8137-413B-A6A0-902CCDAAD4A0}">
      <text>
        <r>
          <rPr>
            <sz val="9"/>
            <color indexed="81"/>
            <rFont val="Tahoma"/>
            <family val="2"/>
          </rPr>
          <t>Guidance: Capital expenditures of $2.5B to $3.0B annually (fiscal 2023, 2024, and 2025).
Source: Investor Day 9/16/2022</t>
        </r>
      </text>
    </comment>
    <comment ref="AL25" authorId="1" shapeId="0" xr:uid="{09CE5808-14A0-48E0-892E-A57174C33140}">
      <text>
        <r>
          <rPr>
            <sz val="9"/>
            <color indexed="81"/>
            <rFont val="Tahoma"/>
            <family val="2"/>
          </rPr>
          <t>Guidance: Capital expenditures of $2.5B to $3.0B annually (fiscal 2023, 2024, and 2025).
Source: Investor Day 9/16/2022</t>
        </r>
      </text>
    </comment>
    <comment ref="B29" authorId="0" shapeId="0" xr:uid="{A5FE181B-C350-485B-B737-6A2DF0325B54}">
      <text>
        <r>
          <rPr>
            <b/>
            <sz val="9"/>
            <color indexed="81"/>
            <rFont val="Tahoma"/>
            <family val="2"/>
          </rPr>
          <t>Change sign for payments of debt</t>
        </r>
      </text>
    </comment>
    <comment ref="B42" authorId="0" shapeId="0" xr:uid="{75C9DD66-38AF-4084-B41F-CB8763B5CC3D}">
      <text>
        <r>
          <rPr>
            <sz val="9"/>
            <color indexed="81"/>
            <rFont val="Tahoma"/>
            <family val="2"/>
          </rPr>
          <t>Cash Flow from Operations - Capital Expenditures + After tax Interest Expense</t>
        </r>
      </text>
    </comment>
    <comment ref="AL58" authorId="1" shapeId="0" xr:uid="{EB3ECBC8-13AB-459A-9549-04B046AFB254}">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88FE22F5-9D4C-408E-8A01-6CB80C610DC6}">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08642F1F-66A9-4785-8E8C-57944559C088}">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t>
        </r>
        <r>
          <rPr>
            <sz val="9"/>
            <color indexed="81"/>
            <rFont val="Tahoma"/>
            <family val="2"/>
          </rPr>
          <t>Investor Day 9/16/2022. Affirmed F4Q2022. Reaffirmed F1Q2023.</t>
        </r>
        <r>
          <rPr>
            <b/>
            <sz val="9"/>
            <color indexed="81"/>
            <rFont val="Tahoma"/>
            <family val="2"/>
          </rPr>
          <t xml:space="preserve">
</t>
        </r>
        <r>
          <rPr>
            <sz val="9"/>
            <color indexed="81"/>
            <rFont val="Tahoma"/>
            <family val="2"/>
          </rPr>
          <t>Based on 2022 non-GAAP EPS of $2.95 CAGR of 15% to 20% equates to a 2025 EPS range of $4.49 to $5.10.</t>
        </r>
        <r>
          <rPr>
            <b/>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GE User</author>
    <author>Owner</author>
  </authors>
  <commentList>
    <comment ref="F6" authorId="0" shapeId="0" xr:uid="{BAFA1742-B27F-4E19-9674-2CF25915AF73}">
      <text>
        <r>
          <rPr>
            <sz val="9"/>
            <color indexed="81"/>
            <rFont val="Tahoma"/>
            <family val="2"/>
          </rPr>
          <t>The DCF calculation relies on an estimate of the equity to total capital ratio. Since the share price goes into the calculation of the capital ratio, this will naturally cause a circular reference. To demonstrate assume the current share price is $100 and the DCF is projecting a price of $150. If the actual price moved toward the DCF target price of $150, then equity would make up a larger percentage of the total capital structure and the share price would actually be much lower.
Consider what would happen if we simply used the current share price in the DCF calculation, and market risk increased from one quarter to the next. As the share price declines, the equity to total capital ratio will also decline. As a result the discount rate will decline, and the share price projected by the DCF would actually increase, despite the heighten level of risk. The reverse effect would occur in a scenario where market risk decreases from one period to the next. From a reasonableness standpoint this simply does not make sense directionally.
To solve this issue the target share price must be used in the calculation of debt to equity. You can use trial and error to type in share prices until the price for the market capitalization calculation equals that of the DCF target. Or you can simply input the equation of "Target Share Price" = "Implied DCF 12-month target value" (i.e. "DCF check") and use the Goal Seek function to change "Target Share Price" to equal the final DCF target. This should be the final step in your model, as any changes in the inputs could impact the valuation.</t>
        </r>
      </text>
    </comment>
    <comment ref="C8" authorId="1" shapeId="0" xr:uid="{6E85BE1D-2347-4BF4-B8C4-585197A1B6C2}">
      <text>
        <r>
          <rPr>
            <sz val="9"/>
            <color indexed="81"/>
            <rFont val="Tahoma"/>
            <family val="2"/>
          </rPr>
          <t>5yr historic range 18.3x to 37.0x</t>
        </r>
      </text>
    </comment>
    <comment ref="F11" authorId="0" shapeId="0" xr:uid="{12D558A1-D561-4A37-A3C5-C8232CC29FA1}">
      <text>
        <r>
          <rPr>
            <sz val="9"/>
            <color indexed="81"/>
            <rFont val="Tahoma"/>
            <family val="2"/>
          </rPr>
          <t>This model uses the Constant Sharpe approach to estimate the Equity Risk Premium (ERP). The S&amp;P500 Constant Sharpe is calculated by taking the excess return on the index over the risk-free rate, divided by the standard deviation of returns. The Constant Sharpe ratio is then multiplied by the estimate of implied volatility to calculate the ERP.
Instructor's preference: The nature of the constant Sharpe is that it theoretically should not change. I like to have my Stage 1 Constant Sharpe reflective my expectations for the market over the next year.</t>
        </r>
      </text>
    </comment>
    <comment ref="F12" authorId="0" shapeId="0" xr:uid="{B7FB4DA5-9CF4-4002-9AAB-2022F2D4E2F4}">
      <text>
        <r>
          <rPr>
            <sz val="9"/>
            <color indexed="81"/>
            <rFont val="Tahoma"/>
            <family val="2"/>
          </rPr>
          <t>The VIX is quoted in percentage points and measures the implied annualized volatility for the S&amp;P500. The VIX is a forward looking measure of implied volatility, however, single day volatility would have too much of an impact on the overall discount rate. For this reason the twelve month average is used (based on a 12-month forecast, refer to the ERP model for details).</t>
        </r>
      </text>
    </comment>
    <comment ref="F22" authorId="1" shapeId="0" xr:uid="{6649093C-59BC-4BA7-95A6-FB56AB960E95}">
      <text>
        <r>
          <rPr>
            <sz val="9"/>
            <color indexed="81"/>
            <rFont val="Tahoma"/>
            <family val="2"/>
          </rPr>
          <t>Starbucks went public in 1992. If you ignore the first 10 years of data (hyper growth stage). The CAGR in revenue has been approximately 12% over 20 years from  $3.3B in 2002 to $32.25B in 2022 [(32.25/3.3)^(1/20)-1]. Despite running at double digit growth as a mature company for 20 years, the constant growth stage should be a rate much lower than this. 
The constant growth rates (like all of the inputs) could be debated. Some may say there should be three stages: stage 1 being the forecast management has provided through 2025, stage 2 a 20 year period based on the long term growth of 12%, and stage 3 a lower constant growth of 3-4%. I view the 4% growth (above LT average GDP of about 3%) as a blended rate of what would be a three-stage approach, with approximately 20 years of double-digit growth and a much lower constant growth rate. 
We are also assuming: 
&gt; The CFO growth rate will equal the revenue growth rate on a long-term basis, and that the capital intensity of the business (capex to revenue) will decline in the slower growth stage, as investments will be isolated to maintaining equipment (no inovation or growth).
&gt; Constant networking capital in the constant growth stage.
&gt; Debt balance and interest expense remain constant in the constant growth stage, and that book value of debt approximates fair value.</t>
        </r>
      </text>
    </comment>
    <comment ref="F32" authorId="1" shapeId="0" xr:uid="{90C773C0-09ED-47B3-8A45-BAC82E13A19C}">
      <text>
        <r>
          <rPr>
            <sz val="9"/>
            <color indexed="81"/>
            <rFont val="Tahoma"/>
            <family val="2"/>
          </rPr>
          <t>Instructor's preference: I like to be able to change the forecast for the CAPM inputs on a short-term and long-term basis, without my short-term (1 to 3 years) having an undue influence on my forecast of the long-term enterprise value.</t>
        </r>
      </text>
    </comment>
    <comment ref="B33" authorId="0" shapeId="0" xr:uid="{B12624D8-AD2A-4A0C-A95F-9B9AEA175B6E}">
      <text>
        <r>
          <rPr>
            <sz val="9"/>
            <color indexed="81"/>
            <rFont val="Tahoma"/>
            <family val="2"/>
          </rPr>
          <t xml:space="preserve">There are many approaches to estimating a stock's risk. In this demonstration we use the standard deviation and the monthly average return over the last 12 months to construct an estimated price target range. Standard deviation is a measure of dispersion around the mean monthly return. The larger the historic standard deviation the greater the volatility in prices. Using a normal distribution, approximately 95% of observations fall within 2 standard deviations of the mean. This approach has multiple limitations including: 1) it assumes that historic results can predict future return characteristics, and 2) it assumes the stock's returns are normally distributed. </t>
        </r>
      </text>
    </comment>
    <comment ref="C34" authorId="1" shapeId="0" xr:uid="{D1BD9597-6FA5-4256-BEF1-820F6B25D6F1}">
      <text>
        <r>
          <rPr>
            <sz val="9"/>
            <color indexed="81"/>
            <rFont val="Tahoma"/>
            <family val="2"/>
          </rPr>
          <t>From "SBUX Beta Calculation" file, worksheet "SBUX Beta ST" cells C15 and H18.</t>
        </r>
      </text>
    </comment>
    <comment ref="F35" authorId="2" shapeId="0" xr:uid="{2B6D7126-8F46-40DD-AF75-57891DDA6B16}">
      <text>
        <r>
          <rPr>
            <b/>
            <sz val="9"/>
            <color indexed="81"/>
            <rFont val="Tahoma"/>
            <family val="2"/>
          </rPr>
          <t>Equation:
CFO:</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 </t>
        </r>
      </text>
    </comment>
    <comment ref="F36" authorId="3" shapeId="0" xr:uid="{B5B42B1C-8F31-4094-964E-6888336B0121}">
      <text>
        <r>
          <rPr>
            <sz val="9"/>
            <color indexed="81"/>
            <rFont val="Tahoma"/>
            <family val="2"/>
          </rPr>
          <t xml:space="preserve">This adds back cash and removes debt from the enterprise value to arrive at the equity only value
</t>
        </r>
      </text>
    </comment>
  </commentList>
</comments>
</file>

<file path=xl/sharedStrings.xml><?xml version="1.0" encoding="utf-8"?>
<sst xmlns="http://schemas.openxmlformats.org/spreadsheetml/2006/main" count="10346" uniqueCount="458">
  <si>
    <t>Basic shares outstanding</t>
  </si>
  <si>
    <t xml:space="preserve">Diluted shares outstanding </t>
  </si>
  <si>
    <t>Effective tax rate</t>
  </si>
  <si>
    <t>(Dollars in millions, except per share data)</t>
  </si>
  <si>
    <t>Operating margin (GAAP)</t>
  </si>
  <si>
    <t>Provisions for income tax</t>
  </si>
  <si>
    <t xml:space="preserve">Basic EPS </t>
  </si>
  <si>
    <t xml:space="preserve">Diluted EPS </t>
  </si>
  <si>
    <t>Total operating expenses</t>
  </si>
  <si>
    <t>Ratio Analysis</t>
  </si>
  <si>
    <t>Total operating income/(loss)</t>
  </si>
  <si>
    <t>Income/(loss) before income tax</t>
  </si>
  <si>
    <t>Non-GAAP Adjustments</t>
  </si>
  <si>
    <t>Segment Data</t>
  </si>
  <si>
    <t>Reconciliation</t>
  </si>
  <si>
    <t>Dec-18</t>
  </si>
  <si>
    <t xml:space="preserve">   Net income attributable to common shareholders</t>
  </si>
  <si>
    <t>Revenue growth rate (GAAP, YoY)</t>
  </si>
  <si>
    <t>Starbucks Income Statement</t>
  </si>
  <si>
    <t>F1Q19</t>
  </si>
  <si>
    <t>Sept-22E</t>
  </si>
  <si>
    <t>Dec-22E</t>
  </si>
  <si>
    <t>Mar-23E</t>
  </si>
  <si>
    <t>June-23E</t>
  </si>
  <si>
    <t>Sept-23E</t>
  </si>
  <si>
    <t>F4Q22E</t>
  </si>
  <si>
    <t>FY 2022E</t>
  </si>
  <si>
    <t>F1Q23E</t>
  </si>
  <si>
    <t>F2Q23E</t>
  </si>
  <si>
    <t>F3Q23E</t>
  </si>
  <si>
    <t>F4Q23E</t>
  </si>
  <si>
    <t>FY 2023E</t>
  </si>
  <si>
    <t>Store operating expenses</t>
  </si>
  <si>
    <t>Other operating expenses</t>
  </si>
  <si>
    <t>Depreciation and amortization expenses</t>
  </si>
  <si>
    <t>General and administrative expenses</t>
  </si>
  <si>
    <t>Income from equity investees</t>
  </si>
  <si>
    <t>Interest income and other</t>
  </si>
  <si>
    <t>Interest expense</t>
  </si>
  <si>
    <t>Net income including noncontrolling interest</t>
  </si>
  <si>
    <t xml:space="preserve">Net earnings attributable to noncontrolling interest </t>
  </si>
  <si>
    <t>Cash dividend</t>
  </si>
  <si>
    <t>Restructuring and impairments</t>
  </si>
  <si>
    <t>Comp store sales - Ticket</t>
  </si>
  <si>
    <t>Comp store sales - Transaction</t>
  </si>
  <si>
    <t>Comp store sales - Total</t>
  </si>
  <si>
    <t xml:space="preserve">Net new company operated stores added </t>
  </si>
  <si>
    <t xml:space="preserve">Net new licensed  stores added </t>
  </si>
  <si>
    <t>Average revenue per licensed store</t>
  </si>
  <si>
    <t>Average licensed stores in the period</t>
  </si>
  <si>
    <t>Other revenue YoY growth rate</t>
  </si>
  <si>
    <t>Channel Development (GAAP)</t>
  </si>
  <si>
    <t>Channel Dev Total operating expenses</t>
  </si>
  <si>
    <t>Channel Dev Total operating income</t>
  </si>
  <si>
    <t>Channel Dev Total operating margin (%)</t>
  </si>
  <si>
    <t>Corporate &amp; Other  (GAAP)</t>
  </si>
  <si>
    <t>Corp &amp; Other Total operating expenses</t>
  </si>
  <si>
    <t>Corp &amp; Other Total operating income</t>
  </si>
  <si>
    <t>Revenue YoY growth rate</t>
  </si>
  <si>
    <t>Company-operated revenue</t>
  </si>
  <si>
    <t>Licensed store revenue</t>
  </si>
  <si>
    <t>Other revenue</t>
  </si>
  <si>
    <t>Operating Income</t>
  </si>
  <si>
    <t>Gain on acquisition of JV/disposition of business</t>
  </si>
  <si>
    <t>Nestle Transaction (Operating expenses)</t>
  </si>
  <si>
    <t>Restructuring and impairments (Operating expenses)</t>
  </si>
  <si>
    <t>Stock Awards (Operating expenses)</t>
  </si>
  <si>
    <t>Total impact on operating expenses</t>
  </si>
  <si>
    <t>Total impact on operating income</t>
  </si>
  <si>
    <t>Gain/(loss) on acquisitions and divestitures (Net income)</t>
  </si>
  <si>
    <t>Non-GAAP operating income adjustments</t>
  </si>
  <si>
    <t xml:space="preserve">Non-GAAP operating income </t>
  </si>
  <si>
    <t>Non-GAAP net income adjustments</t>
  </si>
  <si>
    <t xml:space="preserve">Non-GAAP net income </t>
  </si>
  <si>
    <t>Non-GAAP diluted EPS</t>
  </si>
  <si>
    <t>Income tax impact of adjustments and other (Net income)</t>
  </si>
  <si>
    <t>Income tax impact and other as % of operating income adj</t>
  </si>
  <si>
    <t>Operating margin (Non-GAAP)</t>
  </si>
  <si>
    <t>Interest &amp; other income as a % of average  investments and cash</t>
  </si>
  <si>
    <t>Interest expense as a % of average debt balances</t>
  </si>
  <si>
    <t>All Other  (Operating expense)</t>
  </si>
  <si>
    <t>F2Q19</t>
  </si>
  <si>
    <t>Mar-19</t>
  </si>
  <si>
    <t>General and administrative expenses (GAAP)</t>
  </si>
  <si>
    <t>June-19</t>
  </si>
  <si>
    <t>F3Q19</t>
  </si>
  <si>
    <t>Dec-23E</t>
  </si>
  <si>
    <t>Mar-24E</t>
  </si>
  <si>
    <t>June-24E</t>
  </si>
  <si>
    <t>Sept-24E</t>
  </si>
  <si>
    <t>F1Q24E</t>
  </si>
  <si>
    <t>F2Q24E</t>
  </si>
  <si>
    <t>F3Q24E</t>
  </si>
  <si>
    <t>F4Q24E</t>
  </si>
  <si>
    <t>FY 2024E</t>
  </si>
  <si>
    <t>F4Q19</t>
  </si>
  <si>
    <t>FY 2019</t>
  </si>
  <si>
    <t>F1Q20</t>
  </si>
  <si>
    <t>F2Q20</t>
  </si>
  <si>
    <t>F3Q20</t>
  </si>
  <si>
    <t>Product and distribution costs</t>
  </si>
  <si>
    <t>Revenue - Company-operated stores</t>
  </si>
  <si>
    <t>Revenue - Licensed stores revenue</t>
  </si>
  <si>
    <t>Revenue - Product, Services, and Other</t>
  </si>
  <si>
    <t>Total revenues</t>
  </si>
  <si>
    <t>Dec-24E</t>
  </si>
  <si>
    <t>Mar-25E</t>
  </si>
  <si>
    <t>June-25E</t>
  </si>
  <si>
    <t>Sept-25E</t>
  </si>
  <si>
    <t>F1Q25E</t>
  </si>
  <si>
    <t>F2Q25E</t>
  </si>
  <si>
    <t>F3Q25E</t>
  </si>
  <si>
    <t>F4Q25E</t>
  </si>
  <si>
    <t>FY 2025E</t>
  </si>
  <si>
    <t>International Segment (GAAP)</t>
  </si>
  <si>
    <t>International company-operated stores</t>
  </si>
  <si>
    <t>Int'l Revenue: Company-operated stores ($M)</t>
  </si>
  <si>
    <t>International licensed stores</t>
  </si>
  <si>
    <t>Int'l Revenue: licensed stores ($M)</t>
  </si>
  <si>
    <t>Int'l Revenue: Other</t>
  </si>
  <si>
    <t>Int'l total stores</t>
  </si>
  <si>
    <t>Int'l total net store additions</t>
  </si>
  <si>
    <t>Int'l total net revenues ($M)</t>
  </si>
  <si>
    <t>Int'l Total operating expenses</t>
  </si>
  <si>
    <t>Int'l Total operating income</t>
  </si>
  <si>
    <t>Int'l Total operating margin (%)</t>
  </si>
  <si>
    <t>Channel Development Revenue</t>
  </si>
  <si>
    <t>Net revenues ($M)</t>
  </si>
  <si>
    <t>Net revenue YoY growth rate</t>
  </si>
  <si>
    <t>International transaction and integration related costs</t>
  </si>
  <si>
    <t>Share Count Analysis</t>
  </si>
  <si>
    <t>Sept '18 ASR - Share repurchase assumptions: average price</t>
  </si>
  <si>
    <t>Sept '18 ASR - Share repurchase: amount in the period ($M)</t>
  </si>
  <si>
    <t>Sept '18 ASR -Shares repurchased (in millions)</t>
  </si>
  <si>
    <t>March '19 ASR - Share repurchase assumptions: average price</t>
  </si>
  <si>
    <t>March '19 ASR - Share repurchase: amount in the period ($M)</t>
  </si>
  <si>
    <t>March '19 ASR -Shares repurchased (in millions)</t>
  </si>
  <si>
    <t>Share repurchase assumptions: average price (exASRs)</t>
  </si>
  <si>
    <t>Share repurchase: amount in the period ($M, exASRs)</t>
  </si>
  <si>
    <t>Non-GAAP EPS Growth (YoY)</t>
  </si>
  <si>
    <t>Cash Flow From Operations Growth (YoY)</t>
  </si>
  <si>
    <t>Sept-20</t>
  </si>
  <si>
    <t>F4Q20</t>
  </si>
  <si>
    <t>FY 2020</t>
  </si>
  <si>
    <t>June-20</t>
  </si>
  <si>
    <t>Mar-20</t>
  </si>
  <si>
    <t>Dec-19</t>
  </si>
  <si>
    <t>Sept-19</t>
  </si>
  <si>
    <t>Dec-20</t>
  </si>
  <si>
    <t>F1Q21</t>
  </si>
  <si>
    <t xml:space="preserve"> Store opex (as % of comp-op store revenue)</t>
  </si>
  <si>
    <t>Product/dist costs (as % of total segment revenue)</t>
  </si>
  <si>
    <t xml:space="preserve"> Other opex (as % of total segment revenue)</t>
  </si>
  <si>
    <t>G&amp;A expense (as % of total segment revenue)</t>
  </si>
  <si>
    <t>Other opex (as % of comp-op store revenue)</t>
  </si>
  <si>
    <t>Impact of extra week  (Operating income)</t>
  </si>
  <si>
    <t>Mar-21</t>
  </si>
  <si>
    <t>F2Q21</t>
  </si>
  <si>
    <t>June-21</t>
  </si>
  <si>
    <t>F3Q21</t>
  </si>
  <si>
    <t>Dec-25E</t>
  </si>
  <si>
    <t>Mar-26E</t>
  </si>
  <si>
    <t>June-26E</t>
  </si>
  <si>
    <t>Sept-26E</t>
  </si>
  <si>
    <t>F1Q26E</t>
  </si>
  <si>
    <t>F2Q26E</t>
  </si>
  <si>
    <t>F3Q26E</t>
  </si>
  <si>
    <t>F4Q26E</t>
  </si>
  <si>
    <t>FY 2026E</t>
  </si>
  <si>
    <t>Global Store Growth</t>
  </si>
  <si>
    <t>Approximate Dividend Payout Ratio</t>
  </si>
  <si>
    <t>Sept-21</t>
  </si>
  <si>
    <t>F4Q21</t>
  </si>
  <si>
    <t>FY 2021</t>
  </si>
  <si>
    <t>North America (GAAP)</t>
  </si>
  <si>
    <t>NA company-operated stores</t>
  </si>
  <si>
    <t>NA Revenue: Company-operated stores ($M)</t>
  </si>
  <si>
    <t>NA licensed stores</t>
  </si>
  <si>
    <t>NA Revenue: licensed stores ($M)</t>
  </si>
  <si>
    <t>NA Revenue: Other</t>
  </si>
  <si>
    <t>NA total stores</t>
  </si>
  <si>
    <t>NA total net store additions</t>
  </si>
  <si>
    <t>NA total net revenues ($M)</t>
  </si>
  <si>
    <t>NA total operating expenses</t>
  </si>
  <si>
    <t>NA total operating income</t>
  </si>
  <si>
    <t>NA total operating margin (%)</t>
  </si>
  <si>
    <t>GAAP EPS Growth (YoY)</t>
  </si>
  <si>
    <t>Jan-22</t>
  </si>
  <si>
    <t>F1Q22</t>
  </si>
  <si>
    <t>F2Q22</t>
  </si>
  <si>
    <t>Mar-22</t>
  </si>
  <si>
    <t>Dec-26E</t>
  </si>
  <si>
    <t>Mar-27E</t>
  </si>
  <si>
    <t>June-27E</t>
  </si>
  <si>
    <t>Sept-27E</t>
  </si>
  <si>
    <t>F1Q27E</t>
  </si>
  <si>
    <t>F2Q27E</t>
  </si>
  <si>
    <t>F3Q27E</t>
  </si>
  <si>
    <t>F4Q27E</t>
  </si>
  <si>
    <t>FY 2027E</t>
  </si>
  <si>
    <t>Revenue growth rate (YoY)</t>
  </si>
  <si>
    <t>Average company operated stores in the period</t>
  </si>
  <si>
    <t>Average revenue per average licensed store</t>
  </si>
  <si>
    <t>June-22</t>
  </si>
  <si>
    <t>F3Q22</t>
  </si>
  <si>
    <t>Average revenue per average company operated store</t>
  </si>
  <si>
    <t xml:space="preserve">Average revenue per average company operated store </t>
  </si>
  <si>
    <t>Shares repurchased: Share count (in millions of shares, exASRs)</t>
  </si>
  <si>
    <t>Change in basic shares  (excluding repurchases)</t>
  </si>
  <si>
    <t>Change in diluted shares  (excluding repurchases)</t>
  </si>
  <si>
    <t>Note: Blue cells = primary inputs. Purple cells = guidance.</t>
  </si>
  <si>
    <t>Assets</t>
  </si>
  <si>
    <t>Cash and equivalents</t>
  </si>
  <si>
    <t>Short-term investments</t>
  </si>
  <si>
    <t>Accounts receivable, net</t>
  </si>
  <si>
    <t>Inventories</t>
  </si>
  <si>
    <t>Prepaid expenses and other current assets</t>
  </si>
  <si>
    <t>Total Current Assets</t>
  </si>
  <si>
    <t>Long-term investments</t>
  </si>
  <si>
    <t>Equity investments</t>
  </si>
  <si>
    <t xml:space="preserve">Property, plant and equipment, net </t>
  </si>
  <si>
    <t>Operating lease, right-of-use asset</t>
  </si>
  <si>
    <t>Deferred income taxes, net</t>
  </si>
  <si>
    <t>Other long-term assets</t>
  </si>
  <si>
    <t>Other intangible assets, net</t>
  </si>
  <si>
    <t>Goodwill</t>
  </si>
  <si>
    <t>Total Assets</t>
  </si>
  <si>
    <t>Liabilities</t>
  </si>
  <si>
    <t>Accounts payable</t>
  </si>
  <si>
    <t>Accrued liabilities</t>
  </si>
  <si>
    <t>Accrued payroll and benefits (current)</t>
  </si>
  <si>
    <t>Income taxes payable (current)</t>
  </si>
  <si>
    <t xml:space="preserve">Current portion of operating lease liability </t>
  </si>
  <si>
    <t>Stored value card liability and deferred revenue</t>
  </si>
  <si>
    <t>Current portion of debt</t>
  </si>
  <si>
    <t>Other current liabilities</t>
  </si>
  <si>
    <t>Total Current liabilities</t>
  </si>
  <si>
    <t>Long-term debt</t>
  </si>
  <si>
    <t>Operating lease liability</t>
  </si>
  <si>
    <t>Deferred revenue</t>
  </si>
  <si>
    <t>Other long-term liabilities</t>
  </si>
  <si>
    <t>Total liabilities</t>
  </si>
  <si>
    <t>Equity</t>
  </si>
  <si>
    <t>Common stock and additional paid in capital</t>
  </si>
  <si>
    <t xml:space="preserve">Retained earnings </t>
  </si>
  <si>
    <t>Accumulated other comprehensive loss</t>
  </si>
  <si>
    <t>Noncontrolling interest</t>
  </si>
  <si>
    <t>Total shareholders' equity</t>
  </si>
  <si>
    <t>Total liabilities and equity</t>
  </si>
  <si>
    <t>Balance Sheet Ratios &amp; Assumptions</t>
  </si>
  <si>
    <t>Day Count (number of days in the quarter)</t>
  </si>
  <si>
    <t>Receivables turnover</t>
  </si>
  <si>
    <t>Days sales outstanding</t>
  </si>
  <si>
    <t>Inventory turnover</t>
  </si>
  <si>
    <t>Payables turnover</t>
  </si>
  <si>
    <t>Number of days of payables</t>
  </si>
  <si>
    <t>Total investments as a % of assets</t>
  </si>
  <si>
    <t>Short-term investments as a % of total investments</t>
  </si>
  <si>
    <t>Deferred inc taxes as % of def revenue &amp; stored value liability</t>
  </si>
  <si>
    <t>Depreciation &amp; amortization-to-average P&amp;E</t>
  </si>
  <si>
    <t>Debt Assumptions</t>
  </si>
  <si>
    <t>Debt maturities</t>
  </si>
  <si>
    <t>Debt moved from Long to Current</t>
  </si>
  <si>
    <t>Debt issuance</t>
  </si>
  <si>
    <t>Debt-to-equity ratio</t>
  </si>
  <si>
    <t>Short-term debt to total debt</t>
  </si>
  <si>
    <t>Starbucks Cash Flow Statement</t>
  </si>
  <si>
    <t>Cash flows from operating activities</t>
  </si>
  <si>
    <t>Net income - including noncontrolling interests</t>
  </si>
  <si>
    <t xml:space="preserve">Depreciation and amortization </t>
  </si>
  <si>
    <t>Income earned from equity method investees</t>
  </si>
  <si>
    <t>Distributions received from equity method investees</t>
  </si>
  <si>
    <t>Gain resulting from acquisitions/sales</t>
  </si>
  <si>
    <t>Stock-based compensation expense</t>
  </si>
  <si>
    <t>Other Noncash Income/(Expense)</t>
  </si>
  <si>
    <t>Changes in operating assets and liabilities, net of the effects</t>
  </si>
  <si>
    <t>Accounts receivable</t>
  </si>
  <si>
    <t>Increase/(Decrease) in prepaid expenses, other current</t>
  </si>
  <si>
    <t>Increase/(Decrease) in Income Taxes Payable</t>
  </si>
  <si>
    <t>Other operating assets and liabilities</t>
  </si>
  <si>
    <t>Net cash provided by operating activities</t>
  </si>
  <si>
    <t>Cash flows from investing activities</t>
  </si>
  <si>
    <t>Sale/Maturities/(Purchases) of investments</t>
  </si>
  <si>
    <t>Additions to PP&amp;E</t>
  </si>
  <si>
    <t>Other investing activities</t>
  </si>
  <si>
    <t>Net cash provided by (used for) investing</t>
  </si>
  <si>
    <t>Cash flows from financing activities</t>
  </si>
  <si>
    <t xml:space="preserve">Debt/commercial paper (payments) </t>
  </si>
  <si>
    <t>Proceeds from issuance of commercial paper</t>
  </si>
  <si>
    <t>Proceeds from issuance of common stock</t>
  </si>
  <si>
    <t>Cash dividends paid</t>
  </si>
  <si>
    <t>Repurchase of common stock</t>
  </si>
  <si>
    <t>Minimum tax withholdings on share-based awards</t>
  </si>
  <si>
    <t>Other financing activities</t>
  </si>
  <si>
    <t>Net cash provided by (used for) financing</t>
  </si>
  <si>
    <t>Effect of exchange rate changes &amp; restricted cash</t>
  </si>
  <si>
    <t>Net increase (decrease) in cash and equivalents</t>
  </si>
  <si>
    <t>Cash and equivalents at beginning of period</t>
  </si>
  <si>
    <t>Cash and equivalents at end of period (BS)</t>
  </si>
  <si>
    <t>Free Cash Flow to Firm (FCFF)</t>
  </si>
  <si>
    <t>DCF Period (approximate number of years)</t>
  </si>
  <si>
    <t>Discounted FCFF</t>
  </si>
  <si>
    <t xml:space="preserve">Net Cash and investments per share </t>
  </si>
  <si>
    <t>Cash &amp; marketable securities (exEquity method investments)</t>
  </si>
  <si>
    <t>Total Debt</t>
  </si>
  <si>
    <t xml:space="preserve">Adjusted net cash  per share </t>
  </si>
  <si>
    <t>Cash Flow Ratios &amp; Assumptions</t>
  </si>
  <si>
    <t>Cash Flow Statement Ratios</t>
  </si>
  <si>
    <t>Share-based compensation to revenue</t>
  </si>
  <si>
    <t xml:space="preserve">Distributions from equity investments as a % of income </t>
  </si>
  <si>
    <t>Net Cash from Operations growth rate (YoY)</t>
  </si>
  <si>
    <t>Capex to revenue</t>
  </si>
  <si>
    <t>Return to Shareholders (Dividends and Repurchases)</t>
  </si>
  <si>
    <t>Return to Shareholders (cumulative 2023 to 2025)</t>
  </si>
  <si>
    <t>NA Change in Product/dist costs (as % of total segment revenue)</t>
  </si>
  <si>
    <t>NA Change in Store opex (as % of comp-op store revenue)</t>
  </si>
  <si>
    <t>NA Change in Other opex (as % of total segment revenue)</t>
  </si>
  <si>
    <t>NA Change in G&amp;A expense (as % of total segment revenue)</t>
  </si>
  <si>
    <t>Intl Change in Product/dist costs (as % of total segment revenue)</t>
  </si>
  <si>
    <t>Intl Change in Store opex (as % of comp-op store revenue)</t>
  </si>
  <si>
    <t>Intl Change in Other opex (as % of total segment revenue)</t>
  </si>
  <si>
    <t>Intl Change in G&amp;A expense (as % of total segment revenue)</t>
  </si>
  <si>
    <t>Channel Dev Change in Product/dist costs (as % of revenue)</t>
  </si>
  <si>
    <t>Channel Dev Change in Other opex (as % of revenue)</t>
  </si>
  <si>
    <t>Channel Dev Change in G&amp;A expense (as % of  revenue)</t>
  </si>
  <si>
    <t>EBITDA (Non-GAAP)</t>
  </si>
  <si>
    <t>Debt</t>
  </si>
  <si>
    <t>Total lease costs (10-K)</t>
  </si>
  <si>
    <t>Debt-to-EBITDA (Non-GAAP)</t>
  </si>
  <si>
    <t>CAGR in Non-GAAP EPS (2022 to 2025) including repurchases</t>
  </si>
  <si>
    <t>CAGR in Non-GAAP EPS (2022 to 2025) before repurchases</t>
  </si>
  <si>
    <t>Impact from repurchases (net of incremental interest expense)</t>
  </si>
  <si>
    <t>Low-end of Non-GAAP EPS guidance (assuming 15% CAGR off $2.88 in 2022)</t>
  </si>
  <si>
    <t>High-end of Non-GAAP EPS guidance (assuming 20% CAGR off $2.88 in 2022)</t>
  </si>
  <si>
    <t>Non-GAAP EPS CAGR (From 2022 to 2025)</t>
  </si>
  <si>
    <t>Multiple Valuation</t>
  </si>
  <si>
    <t>Adjustments</t>
  </si>
  <si>
    <t>Implied 12-month target value</t>
  </si>
  <si>
    <t>PE 3-month average (NTM)</t>
  </si>
  <si>
    <t>PE 3-month high (NTM)</t>
  </si>
  <si>
    <t>PE 3-month low (NTM)</t>
  </si>
  <si>
    <t>Long-Term Historic Range</t>
  </si>
  <si>
    <t>PE selected for valuation (NTM)</t>
  </si>
  <si>
    <t>Global Store Growth CAGR (2022 to 2025)</t>
  </si>
  <si>
    <t>Global Revenue Growth CAGR (2022 to 2025)</t>
  </si>
  <si>
    <t>18x to 37x</t>
  </si>
  <si>
    <t>Sept-22</t>
  </si>
  <si>
    <t>F4Q22</t>
  </si>
  <si>
    <t>FY 2022</t>
  </si>
  <si>
    <t>DCF Valuation</t>
  </si>
  <si>
    <t>Discounted Cash Flow Valuation</t>
  </si>
  <si>
    <t>Weighted Average Cost of Capital (WACC) Inputs</t>
  </si>
  <si>
    <t>Target share price</t>
  </si>
  <si>
    <t>Shares outstanding</t>
  </si>
  <si>
    <t>Market Capitalization ($M)</t>
  </si>
  <si>
    <t>Beta (relative to the S&amp;P500)</t>
  </si>
  <si>
    <t>Constant market Sharpe ratio</t>
  </si>
  <si>
    <t>S&amp;P500 implied volatility</t>
  </si>
  <si>
    <t>Equity to total capital</t>
  </si>
  <si>
    <t>Average cost of debt</t>
  </si>
  <si>
    <t xml:space="preserve">After tax cost of debt </t>
  </si>
  <si>
    <t>Stage 1 WACC</t>
  </si>
  <si>
    <t>Constant CFO growth rate</t>
  </si>
  <si>
    <t>Average CapEx (% of sales)</t>
  </si>
  <si>
    <t>Stage 2 Long-Term WACC</t>
  </si>
  <si>
    <t xml:space="preserve">Plus cash/(debt) per share </t>
  </si>
  <si>
    <t>Implied DCF 12-month target value</t>
  </si>
  <si>
    <t>Mean monthly return</t>
  </si>
  <si>
    <t xml:space="preserve">Standard deviation </t>
  </si>
  <si>
    <t>Implied target value</t>
  </si>
  <si>
    <t>Implied upper bound</t>
  </si>
  <si>
    <t>Implied Lower bound</t>
  </si>
  <si>
    <t>Constant Growth (Stage 2) Assumptions</t>
  </si>
  <si>
    <t>Stage 1 Required Return on Equity (CAPM)</t>
  </si>
  <si>
    <t>Stage 1: Required Return on Equity</t>
  </si>
  <si>
    <t>Stage 2 Required Return on Equity (CAPM)</t>
  </si>
  <si>
    <t>LT S&amp;P500 implied volatility forecast</t>
  </si>
  <si>
    <t>LT Beta forecast (relative to the S&amp;P500)</t>
  </si>
  <si>
    <t>Stage 2: Required Return on Equity</t>
  </si>
  <si>
    <t>LT Risk Free forecast (10yr UST)</t>
  </si>
  <si>
    <t>Estimate of Risk Free (forecast of 10yr UST)</t>
  </si>
  <si>
    <t>DCF/Multiple Target Price Check</t>
  </si>
  <si>
    <t>Stage 2 PV of constant growth CFs</t>
  </si>
  <si>
    <t xml:space="preserve">Stage 1 Present Value (PV) of cash flows </t>
  </si>
  <si>
    <t>Assumptions, notes, and source of input</t>
  </si>
  <si>
    <t>LT constant market Sharpe ratio</t>
  </si>
  <si>
    <t>You may choose to use a simplified estimate of the ERP</t>
  </si>
  <si>
    <t>Market Equity Risk Premium (ERP)</t>
  </si>
  <si>
    <t>LT Market Equity Risk Premium (ERP)</t>
  </si>
  <si>
    <t>Price Band Estimate</t>
  </si>
  <si>
    <t>50/50 Valuation</t>
  </si>
  <si>
    <t>Multiple-based target valuation</t>
  </si>
  <si>
    <t>DCF-based target valuation</t>
  </si>
  <si>
    <t>50/50 weighted target valuation</t>
  </si>
  <si>
    <t>ERP Model Cell O14</t>
  </si>
  <si>
    <t>ERP Model cell I18</t>
  </si>
  <si>
    <t>ERP Model cell E82</t>
  </si>
  <si>
    <t>Refer to embedded note</t>
  </si>
  <si>
    <t>This is the last reported diluted share count.</t>
  </si>
  <si>
    <t>This comes from the "SBUX Beta Calculation" file ("SBUX Beta ST" worksheet, cell H20).</t>
  </si>
  <si>
    <t>This comes from the "SBUX Beta Calculation" file ("SBUX Beta LT" worksheet, cell H19).</t>
  </si>
  <si>
    <t>ERP Model cell E80.  Refer to embedded note.</t>
  </si>
  <si>
    <t>ERP Model cell J14. Refer to embedded note.</t>
  </si>
  <si>
    <r>
      <rPr>
        <b/>
        <sz val="11"/>
        <color theme="1"/>
        <rFont val="Calibri"/>
        <family val="2"/>
        <scheme val="minor"/>
      </rPr>
      <t>Note:</t>
    </r>
    <r>
      <rPr>
        <sz val="11"/>
        <color theme="1"/>
        <rFont val="Calibri"/>
        <family val="2"/>
        <scheme val="minor"/>
      </rPr>
      <t xml:space="preserve"> This file is designed for education and demonstration only, and does not represent investment advice. Refer to Terms of Use for additional details.</t>
    </r>
    <r>
      <rPr>
        <b/>
        <sz val="11"/>
        <color theme="1"/>
        <rFont val="Calibri"/>
        <family val="2"/>
        <scheme val="minor"/>
      </rPr>
      <t xml:space="preserve">
Last Updated: </t>
    </r>
    <r>
      <rPr>
        <sz val="11"/>
        <color theme="1"/>
        <rFont val="Calibri"/>
        <family val="2"/>
        <scheme val="minor"/>
      </rPr>
      <t>12/22/2022</t>
    </r>
  </si>
  <si>
    <t xml:space="preserve">Revenue growth </t>
  </si>
  <si>
    <t>ERP Model cell E79</t>
  </si>
  <si>
    <r>
      <rPr>
        <b/>
        <sz val="11"/>
        <color theme="1"/>
        <rFont val="Calibri"/>
        <family val="2"/>
        <scheme val="minor"/>
      </rPr>
      <t>Multiple Valuation Description:</t>
    </r>
    <r>
      <rPr>
        <sz val="11"/>
        <color theme="1"/>
        <rFont val="Calibri"/>
        <family val="2"/>
        <scheme val="minor"/>
      </rPr>
      <t xml:space="preserve"> The Base Case PE multiple has been adjusted  from 28x (as of September-2022) to 30x (January-2023) to reflect the fact that we may have passed peak inflation in the summer of 2022, with inflation on a continued downward trajectory through December of 2022. The Fed committee members remain hawkish with expectations of a Fed Funds rate over 5% in 2023, however, the market continues to price in reductions in the probability of future rate increases.  As this is occurring Starbucks continues to expect double-digit earnings growth through 2025 and faces the tailwind of China's move away from a zero-COVID policy. These factors support an above average PE multiple. Note that 30x is below the historic peak of 37x.</t>
    </r>
  </si>
  <si>
    <t>Dec-22</t>
  </si>
  <si>
    <t>F1Q23</t>
  </si>
  <si>
    <t>Consensus</t>
  </si>
  <si>
    <t>Guidance</t>
  </si>
  <si>
    <t>EPS (Diluted Non-GAAP)</t>
  </si>
  <si>
    <t>F2Q2023</t>
  </si>
  <si>
    <t>F3Q2023</t>
  </si>
  <si>
    <t>F4Q2023</t>
  </si>
  <si>
    <t>F2023</t>
  </si>
  <si>
    <t>Change</t>
  </si>
  <si>
    <t>Revenue ($B)</t>
  </si>
  <si>
    <t>NTM</t>
  </si>
  <si>
    <t>Share Price:</t>
  </si>
  <si>
    <t>Implied NTM PE Multiple:</t>
  </si>
  <si>
    <t>LT Guidance</t>
  </si>
  <si>
    <t>F2025</t>
  </si>
  <si>
    <t>F1Q2024</t>
  </si>
  <si>
    <t>Before F2Q2023 Release</t>
  </si>
  <si>
    <t>After F2Q2023 Release</t>
  </si>
  <si>
    <t>Base Case Model Estimates</t>
  </si>
  <si>
    <t>Base Case Model Estimates vs Consensus</t>
  </si>
  <si>
    <t>Base Case Model Estimates vs Midpoint Guidance</t>
  </si>
  <si>
    <t>EPS (% Difference)</t>
  </si>
  <si>
    <t>Revenue (% Difference)</t>
  </si>
  <si>
    <t>Guidance History: Long-Term Targets (F2025)</t>
  </si>
  <si>
    <t>Released at the Investor Day Conference (9/13/2022)</t>
  </si>
  <si>
    <t>F4Q2022 Release</t>
  </si>
  <si>
    <t>Prior guidance affirmed on 11/3/2022.</t>
  </si>
  <si>
    <t>F1Q2023 Release</t>
  </si>
  <si>
    <t>Prior guidance reaffirmed on 2/2/2023.
Note: Share repurchases began again in F1Q2023.</t>
  </si>
  <si>
    <t>Guidance History: F2023</t>
  </si>
  <si>
    <t>F4Q2022 Release (11/3/2022)</t>
  </si>
  <si>
    <t>F1Q2023 Release (2/2/2023)</t>
  </si>
  <si>
    <t>Detailed F2023 guidance released:
• Global Comparable Store Sales Growth Near the high end of 7% - 9%
     o U.S. Comparable Store Sales Growth 7% - 9%
     o China Comparable Store Sales Growth Outsized
• Global Store Growth ~7%
• U.S. Store Growth ~3%
• China Store Growth ~13%
• Global Revenue 10% - 12%
• Global Operating Margin Solid margin expansion
• Capital Expenditures ~$2.5B
• Interest Expense $540M - $560M
• GAAP and non-GAAP Tax Rates Mid-20s
• GAAP and non-GAAP EPS GAAP: High-end of 15% -20% range</t>
  </si>
  <si>
    <r>
      <t xml:space="preserve">Prior guidance affirmed on 12/2/2023. Minor changes were made to the following:
 • GAAP EPS: </t>
    </r>
    <r>
      <rPr>
        <b/>
        <sz val="11"/>
        <color theme="1"/>
        <rFont val="Calibri"/>
        <family val="2"/>
        <scheme val="minor"/>
      </rPr>
      <t>High-end</t>
    </r>
    <r>
      <rPr>
        <sz val="11"/>
        <color theme="1"/>
        <rFont val="Calibri"/>
        <family val="2"/>
        <scheme val="minor"/>
      </rPr>
      <t xml:space="preserve"> of 15% to 20% range 
 • Non-GAAP EPS: </t>
    </r>
    <r>
      <rPr>
        <b/>
        <sz val="11"/>
        <color theme="1"/>
        <rFont val="Calibri"/>
        <family val="2"/>
        <scheme val="minor"/>
      </rPr>
      <t>Low-end</t>
    </r>
    <r>
      <rPr>
        <sz val="11"/>
        <color theme="1"/>
        <rFont val="Calibri"/>
        <family val="2"/>
        <scheme val="minor"/>
      </rPr>
      <t xml:space="preserve"> of 15% -20% range </t>
    </r>
  </si>
  <si>
    <t>Low-end of Non-GAAP EPS guidance (assuming 15% CAGR from $2.95 in 2022)</t>
  </si>
  <si>
    <t>High-end of Non-GAAP EPS guidance (assuming 20% CAGR from $2.95 in 2022)</t>
  </si>
  <si>
    <t>Low-end of Revenue guidance (assuming 10% CAGR from $32.250M in 2022)</t>
  </si>
  <si>
    <t>High-end of Revenue guidance (assuming 12% CAGR from $32.250M in 2022)</t>
  </si>
  <si>
    <r>
      <rPr>
        <b/>
        <sz val="11"/>
        <color theme="1"/>
        <rFont val="Calibri"/>
        <family val="2"/>
        <scheme val="minor"/>
      </rPr>
      <t>Note:</t>
    </r>
    <r>
      <rPr>
        <sz val="11"/>
        <color theme="1"/>
        <rFont val="Calibri"/>
        <family val="2"/>
        <scheme val="minor"/>
      </rPr>
      <t xml:space="preserve"> This file is designed for education and demonstration only, and does not represent investment advice. Refer to Terms of Use for additional details.</t>
    </r>
    <r>
      <rPr>
        <b/>
        <sz val="11"/>
        <color theme="1"/>
        <rFont val="Calibri"/>
        <family val="2"/>
        <scheme val="minor"/>
      </rPr>
      <t xml:space="preserve">
Last Updated: </t>
    </r>
    <r>
      <rPr>
        <sz val="11"/>
        <color theme="1"/>
        <rFont val="Calibri"/>
        <family val="2"/>
        <scheme val="minor"/>
      </rPr>
      <t>2/18/2023</t>
    </r>
  </si>
  <si>
    <t>5yr Historic Average</t>
  </si>
  <si>
    <t>27.9x</t>
  </si>
  <si>
    <r>
      <rPr>
        <b/>
        <sz val="11"/>
        <color theme="1"/>
        <rFont val="Calibri"/>
        <family val="2"/>
        <scheme val="minor"/>
      </rPr>
      <t>Multiple Valuation Description:</t>
    </r>
    <r>
      <rPr>
        <sz val="11"/>
        <color theme="1"/>
        <rFont val="Calibri"/>
        <family val="2"/>
        <scheme val="minor"/>
      </rPr>
      <t xml:space="preserve"> The Base Case PE multiple has been adjusted  from 28x (as of Sept-2022) to 30x (Feb-2023) to reflect the fact that we  have likely passed peak inflation in the summer of 2022. FOMC members remain hawkish with expectations of a Fed Funds rate over 5% in 2023, however, the market has priced in a similar rate scenario.  Starbucks continues to expect double-digit earnings growth through 2025 and faces the tailwind of China's move away from a zero-COVID policy. These factors support an above average PE multiple. Note a multiple of 30x is below the historic peak of 37x.</t>
    </r>
  </si>
  <si>
    <t>• Global store growth of 7% annually approaching 45,000 stores by the end of 2025 (from beginning of fiscal '23 to '25). 
Growth in fiscal year 2024 and 2025 is expected to be higher than 2023. 
     o U.S. store growth 3% to 4% annually (from beginning of fiscal 2023 to 2025). 
     o China store growth of 13% annually. 
• Global revenue growth of 10% to 12% annually (from beginning of fiscal 2023 to 2025).
• “Solid” margin expansion in fiscal 2023 with “progressively more expansion” in fiscal 2024 and 2025.
• Non-GAAP EPS growth of 15% to 20% annually through fiscal 2025.
• Share buyback program is expected to be reinstated in fiscal 2024 and provide 1% impact to EPS (net of interest).
• Dividends and buybacks expected to return $20B to shareholders from beginning of fiscal 2023 through 2025.
• Dividend payout ratio of approximately 50% (which equates to an estimated yield of about 2%).
• Capital expenditures of $2.5B to $3.0B annually (fiscal 2024 and 2025).
• Debt levels likely to increase but maintain long-term leverage target of three times lease adjusted EBITDA.</t>
  </si>
  <si>
    <t>Mar-23</t>
  </si>
  <si>
    <t>F2Q23</t>
  </si>
  <si>
    <t>As of 5/1/2023</t>
  </si>
  <si>
    <t>F2Q2023 Release</t>
  </si>
  <si>
    <t>F2Q2023 Release (5/2/2023)</t>
  </si>
  <si>
    <t xml:space="preserve">Restructuring and impairments and other </t>
  </si>
  <si>
    <r>
      <rPr>
        <b/>
        <sz val="11"/>
        <color theme="1"/>
        <rFont val="Calibri"/>
        <family val="2"/>
        <scheme val="minor"/>
      </rPr>
      <t>Note:</t>
    </r>
    <r>
      <rPr>
        <sz val="11"/>
        <color theme="1"/>
        <rFont val="Calibri"/>
        <family val="2"/>
        <scheme val="minor"/>
      </rPr>
      <t xml:space="preserve"> This file is designed for education and demonstration only, and does not represent investment advice. Refer to Terms of Use for additional details.</t>
    </r>
    <r>
      <rPr>
        <b/>
        <sz val="11"/>
        <color theme="1"/>
        <rFont val="Calibri"/>
        <family val="2"/>
        <scheme val="minor"/>
      </rPr>
      <t xml:space="preserve">
Last Updated: </t>
    </r>
    <r>
      <rPr>
        <sz val="11"/>
        <color theme="1"/>
        <rFont val="Calibri"/>
        <family val="2"/>
        <scheme val="minor"/>
      </rPr>
      <t>5/20/2023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</si>
</sst>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3">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_(* #,##0.000_);_(* \(#,##0.000\);_(* &quot;-&quot;??_);_(@_)"/>
    <numFmt numFmtId="168" formatCode="0.0_)\%;\(0.0\)\%;0.0_)\%;@_)_%"/>
    <numFmt numFmtId="169" formatCode="#,##0.0_)_%;\(#,##0.0\)_%;0.0_)_%;@_)_%"/>
    <numFmt numFmtId="170" formatCode="#,##0.0_);\(#,##0.0\);#,##0.0_);@_)"/>
    <numFmt numFmtId="171" formatCode="&quot;$&quot;_(#,##0.00_);&quot;$&quot;\(#,##0.00\);&quot;$&quot;_(0.00_);@_)"/>
    <numFmt numFmtId="172" formatCode="#,##0.00_);\(#,##0.00\);0.00_);@_)"/>
    <numFmt numFmtId="173" formatCode="\€_(#,##0.00_);\€\(#,##0.00\);\€_(0.00_);@_)"/>
    <numFmt numFmtId="174" formatCode="#,##0_)\x;\(#,##0\)\x;0_)\x;@_)_x"/>
    <numFmt numFmtId="175" formatCode="#,##0_)_x;\(#,##0\)_x;0_)_x;@_)_x"/>
    <numFmt numFmtId="176" formatCode="* #,##0.00_);\(#,##0.00\)"/>
    <numFmt numFmtId="177" formatCode="&quot;$&quot;#,##0;\-&quot;$&quot;#,##0"/>
    <numFmt numFmtId="178" formatCode="#,##0;\-#,##0;&quot;-&quot;"/>
    <numFmt numFmtId="179" formatCode="0.000000"/>
    <numFmt numFmtId="180" formatCode="_(* #,##0,,_);_(* \(#,##0,,\);_(* &quot;-&quot;_)"/>
    <numFmt numFmtId="181" formatCode="_(* #,##0_);[Red]_(* \(#,##0\);_(* &quot;&quot;&quot;&quot;&quot;&quot;&quot;&quot;\ \-\ &quot;&quot;&quot;&quot;&quot;&quot;&quot;&quot;_);_(@_)"/>
    <numFmt numFmtId="182" formatCode="&quot;£&quot;#,##0;[Red]\-&quot;£&quot;#,##0"/>
    <numFmt numFmtId="183" formatCode="_(* #,##0,_);[Red]_(* \(#,##0,\);_(* &quot;&quot;&quot;&quot;&quot;&quot;&quot;&quot;\ \-\ &quot;&quot;&quot;&quot;&quot;&quot;&quot;&quot;_);_(@_)"/>
    <numFmt numFmtId="184" formatCode="0.00_);[Red]\(0.00\)"/>
    <numFmt numFmtId="185" formatCode="0%;\(0%\);;"/>
    <numFmt numFmtId="186" formatCode="&quot;£&quot;#,##0.00;[Red]\-&quot;£&quot;#,##0.00"/>
    <numFmt numFmtId="187" formatCode="_(* #,##0.000_);_(* \(#,##0.000\);_(* &quot;-&quot;_);_(@_)"/>
    <numFmt numFmtId="188" formatCode="0%;\(0%\);&quot;-&quot;"/>
    <numFmt numFmtId="189" formatCode="_-&quot;£&quot;* #,##0_-;\-&quot;£&quot;* #,##0_-;_-&quot;£&quot;* &quot;-&quot;_-;_-@_-"/>
    <numFmt numFmtId="190" formatCode="_(&quot;$&quot;* #,##0,_);_(&quot;$&quot;* \(#,##0,\);_(&quot;$&quot;* &quot;-&quot;_);_(@_)"/>
    <numFmt numFmtId="191" formatCode="#,##0\ ;\(#,##0.0\)"/>
    <numFmt numFmtId="192" formatCode="0.0"/>
    <numFmt numFmtId="193" formatCode="#,##0.00;\-#,##0.00;&quot;-&quot;"/>
    <numFmt numFmtId="194" formatCode="_._.* \(#,##0\)_%;_._.* #,##0_)_%;_._.* 0_)_%;_._.@_)_%"/>
    <numFmt numFmtId="195" formatCode="_._.&quot;$&quot;* \(#,##0\)_%;_._.&quot;$&quot;* #,##0_)_%;_._.&quot;$&quot;* 0_)_%;_._.@_)_%"/>
    <numFmt numFmtId="196" formatCode="&quot;$&quot;0.00_)"/>
    <numFmt numFmtId="197" formatCode="&quot;SFr.&quot;\ #,##0.00;&quot;SFr.&quot;\ \-#,##0.00"/>
    <numFmt numFmtId="198" formatCode="#,##0;\(#,##0\)"/>
    <numFmt numFmtId="199" formatCode="_([$€-2]* #,##0.00_);_([$€-2]* \(#,##0.00\);_([$€-2]* &quot;-&quot;??_)"/>
    <numFmt numFmtId="200" formatCode="_-* #,##0\ _D_M_-;\-* #,##0\ _D_M_-;_-* &quot;-&quot;\ _D_M_-;_-@_-"/>
    <numFmt numFmtId="201" formatCode="_-* #,##0.00\ _D_M_-;\-* #,##0.00\ _D_M_-;_-* &quot;-&quot;??\ _D_M_-;_-@_-"/>
    <numFmt numFmtId="202" formatCode="_-* #,##0\ &quot;DM&quot;_-;\-* #,##0\ &quot;DM&quot;_-;_-* &quot;-&quot;\ &quot;DM&quot;_-;_-@_-"/>
    <numFmt numFmtId="203" formatCode="_-* #,##0.00\ &quot;DM&quot;_-;\-* #,##0.00\ &quot;DM&quot;_-;_-* &quot;-&quot;??\ &quot;DM&quot;_-;_-@_-"/>
    <numFmt numFmtId="204" formatCode="#,##0.0_);\(#,##0.0\)"/>
    <numFmt numFmtId="205" formatCode="#,##0.0\ ;\(#,##0.0\)"/>
    <numFmt numFmtId="206" formatCode="0%;\(0%\)"/>
    <numFmt numFmtId="207" formatCode="&quot;SFr.&quot;#,##0;[Red]&quot;SFr.&quot;\-#,##0"/>
    <numFmt numFmtId="208" formatCode="#,##0.0000000000;\-#,##0.0000000000"/>
    <numFmt numFmtId="209" formatCode="#,##0.0;\-#,##0.0"/>
    <numFmt numFmtId="210" formatCode="#,##0.000;\-#,##0.000"/>
    <numFmt numFmtId="211" formatCode="#,##0.0000;\-#,##0.0000"/>
    <numFmt numFmtId="212" formatCode="#,##0.00000;\-#,##0.00000"/>
    <numFmt numFmtId="213" formatCode="#,##0.000000;\-#,##0.000000"/>
    <numFmt numFmtId="214" formatCode="#,##0.0000000;\-#,##0.0000000"/>
    <numFmt numFmtId="215" formatCode="#,##0.00000000;\-#,##0.00000000"/>
    <numFmt numFmtId="216" formatCode="#,##0.000000000;\-#,##0.000000000"/>
    <numFmt numFmtId="217" formatCode="#,##0___);\(#,##0.00\)"/>
    <numFmt numFmtId="218" formatCode="#,##0&quot;%&quot;"/>
    <numFmt numFmtId="219" formatCode="#,##0_);[Red]\(#,##0\);&quot;-&quot;"/>
    <numFmt numFmtId="220" formatCode="_-&quot;£&quot;* #,##0.00_-;\-&quot;£&quot;* #,##0.00_-;_-&quot;£&quot;* &quot;-&quot;??_-;_-@_-"/>
    <numFmt numFmtId="221" formatCode="*-"/>
    <numFmt numFmtId="222" formatCode="#,##0;[Red]\(#,##0\)"/>
    <numFmt numFmtId="223" formatCode="_-&quot;$&quot;* #,##0_-;\-&quot;$&quot;* #,##0_-;_-&quot;$&quot;* &quot;-&quot;_-;_-@_-"/>
    <numFmt numFmtId="224" formatCode="_-&quot;$&quot;* #,##0.00_-;\-&quot;$&quot;* #,##0.00_-;_-&quot;$&quot;* &quot;-&quot;??_-;_-@_-"/>
    <numFmt numFmtId="225" formatCode="_(* #,##0.0000_);_(* \(#,##0.0000\);_(* &quot;-&quot;??_);_(@_)"/>
    <numFmt numFmtId="226" formatCode="0.000%"/>
    <numFmt numFmtId="227" formatCode="0.0\x"/>
    <numFmt numFmtId="228" formatCode="&quot;$&quot;#,##0"/>
    <numFmt numFmtId="229" formatCode="_(* #,##0.0_);_(* \(#,##0.0\);_(* &quot;-&quot;?_);_(@_)"/>
    <numFmt numFmtId="230" formatCode="0.000"/>
  </numFmts>
  <fonts count="8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rgb="FFFF0000"/>
      <name val="Calibri"/>
      <family val="2"/>
      <scheme val="minor"/>
    </font>
    <font>
      <sz val="11"/>
      <name val="Calibri"/>
      <family val="2"/>
    </font>
    <font>
      <sz val="9"/>
      <color indexed="81"/>
      <name val="Tahoma"/>
      <family val="2"/>
    </font>
    <font>
      <b/>
      <sz val="9"/>
      <color indexed="81"/>
      <name val="Tahoma"/>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0"/>
      <name val="Helv"/>
      <family val="2"/>
    </font>
    <font>
      <sz val="8"/>
      <name val="Helv"/>
    </font>
    <font>
      <b/>
      <sz val="12"/>
      <name val="Tms Rmn"/>
    </font>
    <font>
      <b/>
      <i/>
      <sz val="12"/>
      <name val="Tms Rmn"/>
    </font>
    <font>
      <b/>
      <sz val="10"/>
      <name val="MS Sans Serif"/>
      <family val="2"/>
    </font>
    <font>
      <sz val="10"/>
      <color indexed="8"/>
      <name val="Arial"/>
      <family val="2"/>
    </font>
    <font>
      <b/>
      <sz val="11"/>
      <name val="Arial"/>
      <family val="2"/>
    </font>
    <font>
      <sz val="10"/>
      <name val="Helv"/>
    </font>
    <font>
      <sz val="10"/>
      <color theme="1"/>
      <name val="Arial"/>
      <family val="2"/>
    </font>
    <font>
      <sz val="10"/>
      <color indexed="0"/>
      <name val="MS Sans Serif"/>
      <family val="2"/>
    </font>
    <font>
      <b/>
      <sz val="14"/>
      <name val="Arial"/>
      <family val="2"/>
    </font>
    <font>
      <sz val="11"/>
      <color indexed="12"/>
      <name val="Times New Roman"/>
      <family val="1"/>
    </font>
    <font>
      <sz val="11"/>
      <name val="Times New Roman"/>
      <family val="1"/>
    </font>
    <font>
      <sz val="10"/>
      <color indexed="12"/>
      <name val="Helv"/>
    </font>
    <font>
      <sz val="8"/>
      <color indexed="18"/>
      <name val="Helv"/>
    </font>
    <font>
      <b/>
      <u/>
      <sz val="10"/>
      <color indexed="8"/>
      <name val="Times New Roman"/>
      <family val="1"/>
    </font>
    <font>
      <sz val="10"/>
      <color indexed="12"/>
      <name val="Arial"/>
      <family val="2"/>
    </font>
    <font>
      <sz val="8"/>
      <name val="Arial"/>
      <family val="2"/>
    </font>
    <font>
      <b/>
      <sz val="12"/>
      <name val="Arial"/>
      <family val="2"/>
    </font>
    <font>
      <b/>
      <sz val="10"/>
      <name val="Arial"/>
      <family val="2"/>
    </font>
    <font>
      <u/>
      <sz val="11"/>
      <color theme="10"/>
      <name val="Calibri"/>
      <family val="2"/>
    </font>
    <font>
      <u/>
      <sz val="10"/>
      <color indexed="12"/>
      <name val="Arial"/>
      <family val="2"/>
    </font>
    <font>
      <u/>
      <sz val="10"/>
      <color theme="10"/>
      <name val="Trebuchet MS"/>
      <family val="2"/>
    </font>
    <font>
      <sz val="10"/>
      <color indexed="14"/>
      <name val="Arial"/>
      <family val="2"/>
    </font>
    <font>
      <sz val="10"/>
      <name val="MS Sans Serif"/>
      <family val="2"/>
    </font>
    <font>
      <sz val="7"/>
      <name val="Small Fonts"/>
      <family val="2"/>
    </font>
    <font>
      <sz val="12"/>
      <name val="Helv"/>
      <family val="2"/>
    </font>
    <font>
      <sz val="10"/>
      <name val="Trebuchet MS"/>
      <family val="2"/>
    </font>
    <font>
      <sz val="10"/>
      <name val="Tms Rmn"/>
    </font>
    <font>
      <sz val="10"/>
      <name val="Tms Rmn"/>
      <family val="1"/>
    </font>
    <font>
      <sz val="11"/>
      <color indexed="8"/>
      <name val="Calibri"/>
      <family val="2"/>
    </font>
    <font>
      <b/>
      <u/>
      <sz val="26"/>
      <color indexed="9"/>
      <name val="Arial"/>
      <family val="2"/>
    </font>
    <font>
      <sz val="10"/>
      <color indexed="10"/>
      <name val="Arial"/>
      <family val="2"/>
    </font>
    <font>
      <sz val="12"/>
      <name val="Helv"/>
    </font>
    <font>
      <sz val="10"/>
      <color rgb="FF404040"/>
      <name val="Segoe UI"/>
      <family val="2"/>
    </font>
    <font>
      <b/>
      <sz val="10"/>
      <color rgb="FF404040"/>
      <name val="Segoe UI"/>
      <family val="2"/>
    </font>
    <font>
      <b/>
      <sz val="10"/>
      <color indexed="10"/>
      <name val="Arial"/>
      <family val="2"/>
    </font>
    <font>
      <sz val="8"/>
      <name val="Tms Rmn"/>
    </font>
    <font>
      <b/>
      <u val="singleAccounting"/>
      <sz val="11"/>
      <name val="Calibri"/>
      <family val="2"/>
      <scheme val="minor"/>
    </font>
    <font>
      <b/>
      <sz val="11"/>
      <color rgb="FFFF0000"/>
      <name val="Calibri"/>
      <family val="2"/>
      <scheme val="minor"/>
    </font>
    <font>
      <b/>
      <sz val="11"/>
      <color theme="2"/>
      <name val="Calibri"/>
      <family val="2"/>
      <scheme val="minor"/>
    </font>
    <font>
      <b/>
      <u val="singleAccounting"/>
      <sz val="11"/>
      <color theme="2"/>
      <name val="Calibri"/>
      <family val="2"/>
      <scheme val="minor"/>
    </font>
    <font>
      <b/>
      <u/>
      <sz val="12"/>
      <color theme="2"/>
      <name val="Calibri"/>
      <family val="2"/>
      <scheme val="minor"/>
    </font>
    <font>
      <sz val="10"/>
      <color theme="2"/>
      <name val="Calibri"/>
      <family val="2"/>
      <scheme val="minor"/>
    </font>
    <font>
      <sz val="11"/>
      <name val="Calibri"/>
      <family val="2"/>
      <scheme val="minor"/>
    </font>
    <font>
      <b/>
      <sz val="11"/>
      <name val="Calibri"/>
      <family val="2"/>
      <scheme val="minor"/>
    </font>
    <font>
      <u val="singleAccounting"/>
      <sz val="11"/>
      <name val="Calibri"/>
      <family val="2"/>
      <scheme val="minor"/>
    </font>
    <font>
      <b/>
      <u/>
      <sz val="11"/>
      <name val="Calibri"/>
      <family val="2"/>
      <scheme val="minor"/>
    </font>
    <font>
      <u/>
      <sz val="11"/>
      <name val="Calibri"/>
      <family val="2"/>
      <scheme val="minor"/>
    </font>
    <font>
      <i/>
      <sz val="11"/>
      <color theme="3"/>
      <name val="Calibri"/>
      <family val="2"/>
      <scheme val="minor"/>
    </font>
    <font>
      <b/>
      <i/>
      <sz val="11"/>
      <color theme="3"/>
      <name val="Calibri"/>
      <family val="2"/>
      <scheme val="minor"/>
    </font>
    <font>
      <i/>
      <sz val="9"/>
      <color theme="3"/>
      <name val="Calibri"/>
      <family val="2"/>
      <scheme val="minor"/>
    </font>
    <font>
      <b/>
      <i/>
      <u/>
      <sz val="12"/>
      <color theme="3"/>
      <name val="Calibri"/>
      <family val="2"/>
      <scheme val="minor"/>
    </font>
    <font>
      <i/>
      <u val="singleAccounting"/>
      <sz val="11"/>
      <color theme="3"/>
      <name val="Calibri"/>
      <family val="2"/>
      <scheme val="minor"/>
    </font>
    <font>
      <b/>
      <i/>
      <u val="singleAccounting"/>
      <sz val="11"/>
      <color theme="3"/>
      <name val="Calibri"/>
      <family val="2"/>
      <scheme val="minor"/>
    </font>
    <font>
      <sz val="11"/>
      <color theme="0"/>
      <name val="Calibri"/>
      <family val="2"/>
      <scheme val="minor"/>
    </font>
    <font>
      <u/>
      <sz val="9"/>
      <color indexed="81"/>
      <name val="Tahoma"/>
      <family val="2"/>
    </font>
    <font>
      <i/>
      <sz val="11"/>
      <name val="Calibri"/>
      <family val="2"/>
      <scheme val="minor"/>
    </font>
    <font>
      <i/>
      <sz val="11"/>
      <color rgb="FFFF0000"/>
      <name val="Calibri"/>
      <family val="2"/>
      <scheme val="minor"/>
    </font>
    <font>
      <i/>
      <sz val="11"/>
      <color theme="4"/>
      <name val="Calibri"/>
      <family val="2"/>
      <scheme val="minor"/>
    </font>
    <font>
      <b/>
      <u/>
      <sz val="11"/>
      <color rgb="FFFF0000"/>
      <name val="Calibri"/>
      <family val="2"/>
      <scheme val="minor"/>
    </font>
    <font>
      <i/>
      <u/>
      <sz val="11"/>
      <name val="Calibri"/>
      <family val="2"/>
      <scheme val="minor"/>
    </font>
    <font>
      <b/>
      <u val="singleAccounting"/>
      <sz val="11"/>
      <color rgb="FFFF0000"/>
      <name val="Calibri"/>
      <family val="2"/>
      <scheme val="minor"/>
    </font>
    <font>
      <b/>
      <u/>
      <sz val="11"/>
      <color theme="1" tint="0.14999847407452621"/>
      <name val="Calibri"/>
      <family val="2"/>
      <scheme val="minor"/>
    </font>
    <font>
      <sz val="11"/>
      <color theme="1" tint="0.14999847407452621"/>
      <name val="Calibri"/>
      <family val="2"/>
      <scheme val="minor"/>
    </font>
    <font>
      <u val="singleAccounting"/>
      <sz val="11"/>
      <color theme="1" tint="0.14999847407452621"/>
      <name val="Calibri"/>
      <family val="2"/>
      <scheme val="minor"/>
    </font>
    <font>
      <b/>
      <sz val="11"/>
      <color theme="1" tint="0.14999847407452621"/>
      <name val="Calibri"/>
      <family val="2"/>
      <scheme val="minor"/>
    </font>
    <font>
      <sz val="11"/>
      <color theme="3"/>
      <name val="Calibri"/>
      <family val="2"/>
      <scheme val="minor"/>
    </font>
    <font>
      <u/>
      <sz val="11"/>
      <color theme="1" tint="0.14999847407452621"/>
      <name val="Calibri"/>
      <family val="2"/>
      <scheme val="minor"/>
    </font>
    <font>
      <b/>
      <sz val="12"/>
      <color theme="0"/>
      <name val="Calibri"/>
      <family val="2"/>
      <scheme val="minor"/>
    </font>
    <font>
      <b/>
      <sz val="11"/>
      <color theme="0"/>
      <name val="Calibri"/>
      <family val="2"/>
      <scheme val="minor"/>
    </font>
  </fonts>
  <fills count="21">
    <fill>
      <patternFill patternType="none"/>
    </fill>
    <fill>
      <patternFill patternType="gray125"/>
    </fill>
    <fill>
      <patternFill patternType="solid">
        <fgColor theme="1" tint="0.34998626667073579"/>
        <bgColor indexed="64"/>
      </patternFill>
    </fill>
    <fill>
      <patternFill patternType="solid">
        <fgColor theme="0" tint="-0.14999847407452621"/>
        <bgColor indexed="64"/>
      </patternFill>
    </fill>
    <fill>
      <patternFill patternType="solid">
        <fgColor indexed="43"/>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4"/>
        <bgColor indexed="64"/>
      </patternFill>
    </fill>
    <fill>
      <patternFill patternType="solid">
        <fgColor theme="4" tint="0.39997558519241921"/>
        <bgColor indexed="64"/>
      </patternFill>
    </fill>
    <fill>
      <patternFill patternType="solid">
        <fgColor theme="4" tint="0.39994506668294322"/>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1" tint="0.499984740745262"/>
        <bgColor indexed="64"/>
      </patternFill>
    </fill>
    <fill>
      <patternFill patternType="solid">
        <fgColor rgb="FFFFFF00"/>
        <bgColor indexed="64"/>
      </patternFill>
    </fill>
    <fill>
      <patternFill patternType="solid">
        <fgColor theme="2" tint="-0.249977111117893"/>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59999389629810485"/>
        <bgColor indexed="64"/>
      </patternFill>
    </fill>
  </fills>
  <borders count="49">
    <border>
      <left/>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top/>
      <bottom style="hair">
        <color auto="1"/>
      </bottom>
      <diagonal/>
    </border>
    <border>
      <left/>
      <right style="thin">
        <color auto="1"/>
      </right>
      <top/>
      <bottom style="hair">
        <color auto="1"/>
      </bottom>
      <diagonal/>
    </border>
    <border>
      <left style="thin">
        <color auto="1"/>
      </left>
      <right style="thin">
        <color auto="1"/>
      </right>
      <top style="thin">
        <color auto="1"/>
      </top>
      <bottom style="thin">
        <color auto="1"/>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thin">
        <color auto="1"/>
      </left>
      <right/>
      <top style="hair">
        <color auto="1"/>
      </top>
      <bottom/>
      <diagonal/>
    </border>
    <border>
      <left/>
      <right style="thin">
        <color auto="1"/>
      </right>
      <top style="hair">
        <color auto="1"/>
      </top>
      <bottom/>
      <diagonal/>
    </border>
    <border>
      <left style="thin">
        <color auto="1"/>
      </left>
      <right style="thin">
        <color auto="1"/>
      </right>
      <top/>
      <bottom style="hair">
        <color auto="1"/>
      </bottom>
      <diagonal/>
    </border>
    <border>
      <left/>
      <right/>
      <top/>
      <bottom style="hair">
        <color auto="1"/>
      </bottom>
      <diagonal/>
    </border>
    <border>
      <left/>
      <right/>
      <top style="hair">
        <color auto="1"/>
      </top>
      <bottom/>
      <diagonal/>
    </border>
    <border>
      <left style="thin">
        <color auto="1"/>
      </left>
      <right style="thin">
        <color auto="1"/>
      </right>
      <top style="hair">
        <color auto="1"/>
      </top>
      <bottom/>
      <diagonal/>
    </border>
    <border>
      <left style="thin">
        <color auto="1"/>
      </left>
      <right style="thin">
        <color auto="1"/>
      </right>
      <top style="thin">
        <color auto="1"/>
      </top>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diagonal/>
    </border>
    <border>
      <left style="hair">
        <color auto="1"/>
      </left>
      <right style="thin">
        <color auto="1"/>
      </right>
      <top/>
      <bottom/>
      <diagonal/>
    </border>
    <border>
      <left style="thin">
        <color auto="1"/>
      </left>
      <right style="hair">
        <color auto="1"/>
      </right>
      <top/>
      <bottom style="thin">
        <color auto="1"/>
      </bottom>
      <diagonal/>
    </border>
    <border>
      <left style="hair">
        <color auto="1"/>
      </left>
      <right style="thin">
        <color auto="1"/>
      </right>
      <top/>
      <bottom style="thin">
        <color auto="1"/>
      </bottom>
      <diagonal/>
    </border>
    <border>
      <left/>
      <right style="hair">
        <color auto="1"/>
      </right>
      <top style="thin">
        <color auto="1"/>
      </top>
      <bottom/>
      <diagonal/>
    </border>
    <border>
      <left/>
      <right style="hair">
        <color auto="1"/>
      </right>
      <top/>
      <bottom/>
      <diagonal/>
    </border>
    <border>
      <left/>
      <right style="hair">
        <color auto="1"/>
      </right>
      <top/>
      <bottom style="thin">
        <color auto="1"/>
      </bottom>
      <diagonal/>
    </border>
    <border>
      <left style="hair">
        <color auto="1"/>
      </left>
      <right/>
      <top/>
      <bottom/>
      <diagonal/>
    </border>
  </borders>
  <cellStyleXfs count="336">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lignment vertical="top"/>
    </xf>
    <xf numFmtId="0" fontId="5" fillId="0" borderId="0"/>
    <xf numFmtId="43" fontId="5" fillId="0" borderId="0" applyFont="0" applyFill="0" applyBorder="0" applyAlignment="0" applyProtection="0"/>
    <xf numFmtId="168"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 fillId="4" borderId="0" applyNumberFormat="0" applyFont="0" applyAlignment="0" applyProtection="0"/>
    <xf numFmtId="174" fontId="3" fillId="0" borderId="0" applyFont="0" applyFill="0" applyBorder="0" applyAlignment="0" applyProtection="0"/>
    <xf numFmtId="175" fontId="3" fillId="0" borderId="0" applyFont="0" applyFill="0" applyBorder="0" applyProtection="0">
      <alignment horizontal="right"/>
    </xf>
    <xf numFmtId="0" fontId="9"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10" fillId="0" borderId="15" applyNumberFormat="0" applyFill="0" applyAlignment="0" applyProtection="0"/>
    <xf numFmtId="0" fontId="11" fillId="0" borderId="16" applyNumberFormat="0" applyFill="0" applyProtection="0">
      <alignment horizontal="center"/>
    </xf>
    <xf numFmtId="0" fontId="11" fillId="0" borderId="0" applyNumberFormat="0" applyFill="0" applyBorder="0" applyProtection="0">
      <alignment horizontal="left"/>
    </xf>
    <xf numFmtId="0" fontId="12" fillId="0" borderId="0" applyNumberFormat="0" applyFill="0" applyBorder="0" applyProtection="0">
      <alignment horizontal="centerContinuous"/>
    </xf>
    <xf numFmtId="0" fontId="13" fillId="0" borderId="0" applyNumberFormat="0" applyFill="0" applyBorder="0" applyAlignment="0" applyProtection="0"/>
    <xf numFmtId="0" fontId="14" fillId="0" borderId="0"/>
    <xf numFmtId="176" fontId="15" fillId="0" borderId="0">
      <alignment horizontal="center"/>
    </xf>
    <xf numFmtId="37" fontId="16" fillId="0" borderId="0"/>
    <xf numFmtId="37" fontId="17" fillId="0" borderId="0"/>
    <xf numFmtId="177" fontId="18"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8"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8"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8"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8" fillId="0" borderId="2" applyAlignment="0" applyProtection="0"/>
    <xf numFmtId="177" fontId="18" fillId="0" borderId="2" applyAlignment="0" applyProtection="0"/>
    <xf numFmtId="177" fontId="18" fillId="0" borderId="2" applyAlignment="0" applyProtection="0"/>
    <xf numFmtId="177" fontId="18" fillId="0" borderId="2" applyAlignment="0" applyProtection="0"/>
    <xf numFmtId="177" fontId="1" fillId="0" borderId="0" applyAlignment="0" applyProtection="0"/>
    <xf numFmtId="178" fontId="19" fillId="0" borderId="0" applyFill="0" applyBorder="0" applyAlignment="0"/>
    <xf numFmtId="179" fontId="3" fillId="0" borderId="0" applyFill="0" applyBorder="0" applyAlignment="0"/>
    <xf numFmtId="180" fontId="3" fillId="0" borderId="0" applyFill="0" applyBorder="0" applyAlignment="0"/>
    <xf numFmtId="164" fontId="3" fillId="0" borderId="0" applyFill="0" applyBorder="0" applyAlignment="0"/>
    <xf numFmtId="181" fontId="3" fillId="0" borderId="0" applyFill="0" applyBorder="0" applyAlignment="0"/>
    <xf numFmtId="182" fontId="3" fillId="0" borderId="0" applyFill="0" applyBorder="0" applyAlignment="0"/>
    <xf numFmtId="183" fontId="3" fillId="0" borderId="0" applyFill="0" applyBorder="0" applyAlignment="0"/>
    <xf numFmtId="184" fontId="3" fillId="0" borderId="0" applyFill="0" applyBorder="0" applyAlignment="0"/>
    <xf numFmtId="185" fontId="3" fillId="0" borderId="0" applyFill="0" applyBorder="0" applyAlignment="0"/>
    <xf numFmtId="186" fontId="3" fillId="0" borderId="0" applyFill="0" applyBorder="0" applyAlignment="0"/>
    <xf numFmtId="178" fontId="19"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0" fontId="20" fillId="0" borderId="0" applyFill="0" applyBorder="0" applyProtection="0">
      <alignment horizontal="center"/>
      <protection locked="0"/>
    </xf>
    <xf numFmtId="0" fontId="21"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1" fontId="21" fillId="0" borderId="7"/>
    <xf numFmtId="192" fontId="1" fillId="0" borderId="0"/>
    <xf numFmtId="0" fontId="14" fillId="0" borderId="7"/>
    <xf numFmtId="192" fontId="1" fillId="0" borderId="0"/>
    <xf numFmtId="178" fontId="3" fillId="0" borderId="0" applyFont="0" applyFill="0" applyBorder="0" applyAlignment="0" applyProtection="0"/>
    <xf numFmtId="187" fontId="3" fillId="0" borderId="0" applyFont="0" applyFill="0" applyBorder="0" applyAlignment="0" applyProtection="0"/>
    <xf numFmtId="43" fontId="3" fillId="0" borderId="0" applyFont="0" applyFill="0" applyBorder="0" applyAlignment="0" applyProtection="0">
      <alignment wrapText="1"/>
    </xf>
    <xf numFmtId="43" fontId="1" fillId="0" borderId="0" applyFont="0" applyFill="0" applyBorder="0" applyAlignment="0" applyProtection="0"/>
    <xf numFmtId="43" fontId="3" fillId="0" borderId="0" applyFont="0" applyFill="0" applyBorder="0" applyAlignment="0" applyProtection="0">
      <alignment wrapText="1"/>
    </xf>
    <xf numFmtId="43" fontId="3" fillId="0" borderId="0" applyFont="0" applyFill="0" applyBorder="0" applyAlignment="0" applyProtection="0">
      <alignment wrapText="1"/>
    </xf>
    <xf numFmtId="43" fontId="3"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3" fontId="1" fillId="0" borderId="0" applyFont="0" applyFill="0" applyBorder="0" applyAlignment="0" applyProtection="0"/>
    <xf numFmtId="4" fontId="1" fillId="0" borderId="0" applyFont="0" applyFill="0" applyBorder="0" applyAlignment="0" applyProtection="0"/>
    <xf numFmtId="43" fontId="22" fillId="0" borderId="0" applyFont="0" applyFill="0" applyBorder="0" applyAlignment="0" applyProtection="0"/>
    <xf numFmtId="4" fontId="1" fillId="0" borderId="0" applyFont="0" applyFill="0" applyBorder="0" applyAlignment="0" applyProtection="0"/>
    <xf numFmtId="4" fontId="1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23" fillId="0" borderId="0" applyNumberFormat="0" applyFill="0" applyBorder="0" applyAlignment="0" applyProtection="0"/>
    <xf numFmtId="0" fontId="24" fillId="0" borderId="0" applyFill="0" applyBorder="0" applyAlignment="0" applyProtection="0">
      <protection locked="0"/>
    </xf>
    <xf numFmtId="193" fontId="3" fillId="0" borderId="0">
      <alignment horizontal="center"/>
    </xf>
    <xf numFmtId="194" fontId="25" fillId="0" borderId="0" applyFill="0" applyBorder="0" applyProtection="0"/>
    <xf numFmtId="195" fontId="26" fillId="0" borderId="0" applyFont="0" applyFill="0" applyBorder="0" applyAlignment="0" applyProtection="0"/>
    <xf numFmtId="196" fontId="27" fillId="0" borderId="17">
      <protection hidden="1"/>
    </xf>
    <xf numFmtId="180" fontId="3" fillId="0" borderId="0" applyFont="0" applyFill="0" applyBorder="0" applyAlignment="0" applyProtection="0"/>
    <xf numFmtId="164" fontId="3" fillId="0" borderId="0" applyFont="0" applyFill="0" applyBorder="0" applyAlignment="0" applyProtection="0"/>
    <xf numFmtId="8" fontId="1" fillId="0" borderId="0" applyFont="0" applyFill="0" applyBorder="0" applyAlignment="0" applyProtection="0"/>
    <xf numFmtId="44" fontId="3" fillId="0" borderId="0" applyFont="0" applyFill="0" applyBorder="0" applyAlignment="0" applyProtection="0"/>
    <xf numFmtId="0" fontId="23" fillId="0" borderId="0" applyNumberFormat="0" applyFill="0" applyBorder="0" applyAlignment="0" applyProtection="0"/>
    <xf numFmtId="1" fontId="15" fillId="0" borderId="0"/>
    <xf numFmtId="14" fontId="28" fillId="0" borderId="0">
      <alignment horizontal="center"/>
    </xf>
    <xf numFmtId="14" fontId="19" fillId="0" borderId="0" applyFill="0" applyBorder="0" applyAlignment="0"/>
    <xf numFmtId="15" fontId="29" fillId="5" borderId="0" applyNumberFormat="0" applyFont="0" applyFill="0" applyBorder="0" applyAlignment="0">
      <alignment horizontal="center" wrapText="1"/>
    </xf>
    <xf numFmtId="0" fontId="19" fillId="0" borderId="14" applyNumberFormat="0" applyFill="0" applyBorder="0" applyAlignment="0" applyProtection="0"/>
    <xf numFmtId="197" fontId="21" fillId="0" borderId="0" applyFont="0" applyFill="0" applyBorder="0" applyAlignment="0" applyProtection="0"/>
    <xf numFmtId="198" fontId="26" fillId="0" borderId="0" applyFont="0" applyFill="0" applyBorder="0" applyAlignment="0" applyProtection="0"/>
    <xf numFmtId="178" fontId="30" fillId="0" borderId="0" applyFill="0" applyBorder="0" applyAlignment="0"/>
    <xf numFmtId="187" fontId="3" fillId="0" borderId="0" applyFill="0" applyBorder="0" applyAlignment="0"/>
    <xf numFmtId="180" fontId="3" fillId="0" borderId="0" applyFill="0" applyBorder="0" applyAlignment="0"/>
    <xf numFmtId="164" fontId="3" fillId="0" borderId="0" applyFill="0" applyBorder="0" applyAlignment="0"/>
    <xf numFmtId="178" fontId="30"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196" fontId="27" fillId="0" borderId="17">
      <protection hidden="1"/>
    </xf>
    <xf numFmtId="199" fontId="3" fillId="0" borderId="0" applyFont="0" applyFill="0" applyBorder="0" applyAlignment="0" applyProtection="0"/>
    <xf numFmtId="38" fontId="31" fillId="5" borderId="0" applyNumberFormat="0" applyBorder="0" applyAlignment="0" applyProtection="0"/>
    <xf numFmtId="0" fontId="32" fillId="0" borderId="18" applyNumberFormat="0" applyAlignment="0" applyProtection="0">
      <alignment horizontal="left" vertical="center"/>
    </xf>
    <xf numFmtId="0" fontId="32"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2"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2"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2"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2" fillId="0" borderId="9">
      <alignment horizontal="left" vertical="center"/>
    </xf>
    <xf numFmtId="0" fontId="32" fillId="0" borderId="9">
      <alignment horizontal="left" vertical="center"/>
    </xf>
    <xf numFmtId="0" fontId="32" fillId="0" borderId="9">
      <alignment horizontal="left" vertical="center"/>
    </xf>
    <xf numFmtId="0" fontId="32" fillId="0" borderId="9">
      <alignment horizontal="left" vertical="center"/>
    </xf>
    <xf numFmtId="0" fontId="1" fillId="0" borderId="0">
      <alignment horizontal="left" vertical="center"/>
    </xf>
    <xf numFmtId="14" fontId="33" fillId="6" borderId="17">
      <alignment horizontal="center" vertical="center"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0" fillId="0" borderId="0" applyFill="0" applyAlignment="0" applyProtection="0">
      <protection locked="0"/>
    </xf>
    <xf numFmtId="0" fontId="20" fillId="0" borderId="7" applyFill="0" applyAlignment="0" applyProtection="0">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0" fontId="31" fillId="7" borderId="14" applyNumberFormat="0" applyBorder="0" applyAlignment="0" applyProtection="0"/>
    <xf numFmtId="178" fontId="37" fillId="0" borderId="0" applyFill="0" applyBorder="0" applyAlignment="0"/>
    <xf numFmtId="187" fontId="3" fillId="0" borderId="0" applyFill="0" applyBorder="0" applyAlignment="0"/>
    <xf numFmtId="180" fontId="3" fillId="0" borderId="0" applyFill="0" applyBorder="0" applyAlignment="0"/>
    <xf numFmtId="164" fontId="3" fillId="0" borderId="0" applyFill="0" applyBorder="0" applyAlignment="0"/>
    <xf numFmtId="178" fontId="37"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200" fontId="3" fillId="0" borderId="0" applyFont="0" applyFill="0" applyBorder="0" applyAlignment="0" applyProtection="0"/>
    <xf numFmtId="201" fontId="3" fillId="0" borderId="0" applyFont="0" applyFill="0" applyBorder="0" applyAlignment="0" applyProtection="0"/>
    <xf numFmtId="38" fontId="38" fillId="0" borderId="0" applyFont="0" applyFill="0" applyBorder="0" applyAlignment="0" applyProtection="0"/>
    <xf numFmtId="40" fontId="38" fillId="0" borderId="0" applyFont="0" applyFill="0" applyBorder="0" applyAlignment="0" applyProtection="0"/>
    <xf numFmtId="202" fontId="3" fillId="0" borderId="0" applyFont="0" applyFill="0" applyBorder="0" applyAlignment="0" applyProtection="0"/>
    <xf numFmtId="203" fontId="3" fillId="0" borderId="0" applyFont="0" applyFill="0" applyBorder="0" applyAlignment="0" applyProtection="0"/>
    <xf numFmtId="6" fontId="38" fillId="0" borderId="0" applyFont="0" applyFill="0" applyBorder="0" applyAlignment="0" applyProtection="0"/>
    <xf numFmtId="8" fontId="38" fillId="0" borderId="0" applyFont="0" applyFill="0" applyBorder="0" applyAlignment="0" applyProtection="0"/>
    <xf numFmtId="204" fontId="15" fillId="0" borderId="7"/>
    <xf numFmtId="37" fontId="39" fillId="0" borderId="0"/>
    <xf numFmtId="205" fontId="21" fillId="0" borderId="0"/>
    <xf numFmtId="205" fontId="1" fillId="0" borderId="0"/>
    <xf numFmtId="206" fontId="3" fillId="0" borderId="0"/>
    <xf numFmtId="207" fontId="3" fillId="0" borderId="0"/>
    <xf numFmtId="0" fontId="40" fillId="0" borderId="0"/>
    <xf numFmtId="0" fontId="40" fillId="0" borderId="0"/>
    <xf numFmtId="0" fontId="40" fillId="0" borderId="0"/>
    <xf numFmtId="0" fontId="40" fillId="0" borderId="0"/>
    <xf numFmtId="0" fontId="3" fillId="0" borderId="0"/>
    <xf numFmtId="0" fontId="3" fillId="0" borderId="0"/>
    <xf numFmtId="0" fontId="1" fillId="0" borderId="0"/>
    <xf numFmtId="0" fontId="3" fillId="0" borderId="0"/>
    <xf numFmtId="0" fontId="3" fillId="0" borderId="0">
      <alignment wrapText="1"/>
    </xf>
    <xf numFmtId="0" fontId="3" fillId="0" borderId="0"/>
    <xf numFmtId="0" fontId="41" fillId="0" borderId="0"/>
    <xf numFmtId="0" fontId="3" fillId="0" borderId="0"/>
    <xf numFmtId="0" fontId="3" fillId="0" borderId="0"/>
    <xf numFmtId="37" fontId="42" fillId="0" borderId="0"/>
    <xf numFmtId="0" fontId="1" fillId="0" borderId="0"/>
    <xf numFmtId="0" fontId="1" fillId="0" borderId="0"/>
    <xf numFmtId="0" fontId="3" fillId="0" borderId="0">
      <alignment wrapText="1"/>
    </xf>
    <xf numFmtId="0" fontId="3" fillId="0" borderId="0"/>
    <xf numFmtId="37" fontId="42" fillId="0" borderId="0"/>
    <xf numFmtId="0" fontId="3" fillId="0" borderId="0"/>
    <xf numFmtId="37" fontId="42" fillId="0" borderId="0"/>
    <xf numFmtId="0" fontId="1" fillId="0" borderId="0"/>
    <xf numFmtId="0" fontId="22" fillId="0" borderId="0"/>
    <xf numFmtId="37" fontId="1" fillId="0" borderId="0"/>
    <xf numFmtId="0" fontId="1" fillId="0" borderId="0"/>
    <xf numFmtId="37" fontId="1" fillId="0" borderId="0"/>
    <xf numFmtId="0" fontId="3" fillId="0" borderId="0">
      <alignment wrapText="1"/>
    </xf>
    <xf numFmtId="37" fontId="43" fillId="0" borderId="0"/>
    <xf numFmtId="0" fontId="3" fillId="0" borderId="0"/>
    <xf numFmtId="37" fontId="3" fillId="0" borderId="0"/>
    <xf numFmtId="37" fontId="3" fillId="0" borderId="0"/>
    <xf numFmtId="208" fontId="3" fillId="0" borderId="0"/>
    <xf numFmtId="209" fontId="3" fillId="0" borderId="0"/>
    <xf numFmtId="39" fontId="3" fillId="0" borderId="0"/>
    <xf numFmtId="39" fontId="3" fillId="0" borderId="0"/>
    <xf numFmtId="210" fontId="3" fillId="0" borderId="0"/>
    <xf numFmtId="211" fontId="3" fillId="0" borderId="0"/>
    <xf numFmtId="212" fontId="3" fillId="0" borderId="0"/>
    <xf numFmtId="213" fontId="3" fillId="0" borderId="0"/>
    <xf numFmtId="214" fontId="3" fillId="0" borderId="0"/>
    <xf numFmtId="215" fontId="3" fillId="0" borderId="0"/>
    <xf numFmtId="216" fontId="3" fillId="0" borderId="0"/>
    <xf numFmtId="217" fontId="38" fillId="0" borderId="0"/>
    <xf numFmtId="218" fontId="27" fillId="0" borderId="0">
      <protection hidden="1"/>
    </xf>
    <xf numFmtId="185" fontId="3" fillId="0" borderId="0" applyFont="0" applyFill="0" applyBorder="0" applyAlignment="0" applyProtection="0"/>
    <xf numFmtId="186"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10" fontId="3" fillId="0" borderId="0" applyFont="0" applyFill="0" applyBorder="0" applyAlignment="0" applyProtection="0"/>
    <xf numFmtId="9" fontId="44"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38" fillId="0" borderId="19" applyNumberFormat="0" applyBorder="0"/>
    <xf numFmtId="204" fontId="15" fillId="0" borderId="0"/>
    <xf numFmtId="0" fontId="45" fillId="8" borderId="20" applyNumberFormat="0" applyFont="0" applyFill="0" applyAlignment="0">
      <alignment horizontal="center" vertical="center"/>
    </xf>
    <xf numFmtId="178" fontId="46" fillId="0" borderId="0" applyFill="0" applyBorder="0" applyAlignment="0"/>
    <xf numFmtId="187" fontId="3" fillId="0" borderId="0" applyFill="0" applyBorder="0" applyAlignment="0"/>
    <xf numFmtId="180" fontId="3" fillId="0" borderId="0" applyFill="0" applyBorder="0" applyAlignment="0"/>
    <xf numFmtId="164" fontId="3" fillId="0" borderId="0" applyFill="0" applyBorder="0" applyAlignment="0"/>
    <xf numFmtId="178" fontId="46"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37" fontId="42" fillId="0" borderId="21"/>
    <xf numFmtId="0" fontId="47" fillId="0" borderId="0"/>
    <xf numFmtId="0" fontId="21" fillId="0" borderId="0"/>
    <xf numFmtId="0" fontId="38" fillId="0" borderId="0"/>
    <xf numFmtId="37" fontId="48" fillId="0" borderId="17">
      <alignment horizontal="right"/>
      <protection locked="0"/>
    </xf>
    <xf numFmtId="37" fontId="49" fillId="0" borderId="17">
      <alignment horizontal="right"/>
      <protection locked="0"/>
    </xf>
    <xf numFmtId="49" fontId="19" fillId="0" borderId="0" applyFill="0" applyBorder="0" applyAlignment="0"/>
    <xf numFmtId="219" fontId="3" fillId="0" borderId="0" applyFill="0" applyBorder="0" applyAlignment="0"/>
    <xf numFmtId="220" fontId="3" fillId="0" borderId="0" applyFill="0" applyBorder="0" applyAlignment="0"/>
    <xf numFmtId="221" fontId="3" fillId="0" borderId="0" applyFill="0" applyBorder="0" applyAlignment="0"/>
    <xf numFmtId="222" fontId="3" fillId="0" borderId="0" applyFill="0" applyBorder="0" applyAlignment="0"/>
    <xf numFmtId="49" fontId="3" fillId="0" borderId="0"/>
    <xf numFmtId="0" fontId="50" fillId="0" borderId="0" applyFill="0" applyBorder="0" applyProtection="0">
      <alignment horizontal="left" vertical="top"/>
    </xf>
    <xf numFmtId="40" fontId="51"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37" fontId="42" fillId="0" borderId="7"/>
    <xf numFmtId="37" fontId="42" fillId="0" borderId="22"/>
    <xf numFmtId="223" fontId="3" fillId="0" borderId="0" applyFont="0" applyFill="0" applyBorder="0" applyAlignment="0" applyProtection="0"/>
    <xf numFmtId="224" fontId="3" fillId="0" borderId="0" applyFont="0" applyFill="0" applyBorder="0" applyAlignment="0" applyProtection="0"/>
    <xf numFmtId="0" fontId="3" fillId="0" borderId="0"/>
    <xf numFmtId="0" fontId="3" fillId="0" borderId="0"/>
    <xf numFmtId="0" fontId="3" fillId="0" borderId="0"/>
    <xf numFmtId="0" fontId="3" fillId="0" borderId="0"/>
    <xf numFmtId="14" fontId="33" fillId="6" borderId="34">
      <alignment horizontal="center" vertical="center" wrapText="1"/>
    </xf>
    <xf numFmtId="196" fontId="27" fillId="0" borderId="34">
      <protection hidden="1"/>
    </xf>
    <xf numFmtId="196" fontId="27" fillId="0" borderId="34">
      <protection hidden="1"/>
    </xf>
    <xf numFmtId="37" fontId="48" fillId="0" borderId="34">
      <alignment horizontal="right"/>
      <protection locked="0"/>
    </xf>
    <xf numFmtId="37" fontId="49" fillId="0" borderId="34">
      <alignment horizontal="right"/>
      <protection locked="0"/>
    </xf>
  </cellStyleXfs>
  <cellXfs count="681">
    <xf numFmtId="0" fontId="0" fillId="0" borderId="0" xfId="0"/>
    <xf numFmtId="164" fontId="4" fillId="0" borderId="0" xfId="1" applyNumberFormat="1" applyFont="1" applyAlignment="1">
      <alignment horizontal="right"/>
    </xf>
    <xf numFmtId="0" fontId="4" fillId="0" borderId="0" xfId="0" applyFont="1"/>
    <xf numFmtId="0" fontId="4" fillId="0" borderId="0" xfId="0" applyFont="1" applyAlignment="1">
      <alignment horizontal="right"/>
    </xf>
    <xf numFmtId="165" fontId="4" fillId="0" borderId="0" xfId="1" applyNumberFormat="1" applyFont="1" applyAlignment="1">
      <alignment horizontal="right"/>
    </xf>
    <xf numFmtId="9" fontId="4" fillId="0" borderId="0" xfId="2" applyFont="1" applyAlignment="1">
      <alignment horizontal="right"/>
    </xf>
    <xf numFmtId="165" fontId="4" fillId="0" borderId="5" xfId="1" quotePrefix="1" applyNumberFormat="1" applyFont="1" applyBorder="1" applyAlignment="1">
      <alignment horizontal="right"/>
    </xf>
    <xf numFmtId="0" fontId="4" fillId="0" borderId="0" xfId="0" applyFont="1" applyAlignment="1">
      <alignment horizontal="left"/>
    </xf>
    <xf numFmtId="0" fontId="53" fillId="0" borderId="0" xfId="0" applyFont="1"/>
    <xf numFmtId="9" fontId="4" fillId="0" borderId="5" xfId="2" applyFont="1" applyBorder="1" applyAlignment="1">
      <alignment horizontal="right"/>
    </xf>
    <xf numFmtId="164" fontId="53" fillId="0" borderId="0" xfId="1" quotePrefix="1" applyNumberFormat="1" applyFont="1" applyAlignment="1">
      <alignment horizontal="right"/>
    </xf>
    <xf numFmtId="43" fontId="53" fillId="0" borderId="0" xfId="1" quotePrefix="1" applyFont="1" applyAlignment="1">
      <alignment horizontal="right"/>
    </xf>
    <xf numFmtId="164" fontId="52" fillId="3" borderId="0" xfId="1" quotePrefix="1" applyNumberFormat="1" applyFont="1" applyFill="1" applyAlignment="1">
      <alignment horizontal="right"/>
    </xf>
    <xf numFmtId="164" fontId="54" fillId="2" borderId="2" xfId="1" quotePrefix="1" applyNumberFormat="1" applyFont="1" applyFill="1" applyBorder="1" applyAlignment="1">
      <alignment horizontal="right"/>
    </xf>
    <xf numFmtId="164" fontId="55" fillId="2" borderId="0" xfId="1" quotePrefix="1" applyNumberFormat="1" applyFont="1" applyFill="1" applyAlignment="1">
      <alignment horizontal="right"/>
    </xf>
    <xf numFmtId="164" fontId="2" fillId="3" borderId="2" xfId="1" quotePrefix="1" applyNumberFormat="1" applyFont="1" applyFill="1" applyBorder="1" applyAlignment="1">
      <alignment horizontal="right"/>
    </xf>
    <xf numFmtId="165" fontId="58" fillId="0" borderId="0" xfId="1" applyNumberFormat="1" applyFont="1" applyAlignment="1">
      <alignment horizontal="right"/>
    </xf>
    <xf numFmtId="165" fontId="58" fillId="0" borderId="5" xfId="1" applyNumberFormat="1" applyFont="1" applyBorder="1" applyAlignment="1">
      <alignment horizontal="right"/>
    </xf>
    <xf numFmtId="0" fontId="4" fillId="0" borderId="4" xfId="0" applyFont="1" applyBorder="1"/>
    <xf numFmtId="0" fontId="59" fillId="0" borderId="4" xfId="0" applyFont="1" applyBorder="1"/>
    <xf numFmtId="0" fontId="59" fillId="0" borderId="0" xfId="0" applyFont="1"/>
    <xf numFmtId="165" fontId="59" fillId="0" borderId="0" xfId="1" applyNumberFormat="1" applyFont="1" applyAlignment="1">
      <alignment horizontal="right"/>
    </xf>
    <xf numFmtId="165" fontId="59" fillId="0" borderId="5" xfId="1" applyNumberFormat="1" applyFont="1" applyBorder="1" applyAlignment="1">
      <alignment horizontal="right"/>
    </xf>
    <xf numFmtId="0" fontId="58" fillId="0" borderId="0" xfId="0" applyFont="1"/>
    <xf numFmtId="43" fontId="59" fillId="0" borderId="0" xfId="1" applyFont="1" applyAlignment="1">
      <alignment horizontal="right"/>
    </xf>
    <xf numFmtId="43" fontId="59" fillId="0" borderId="5" xfId="1" applyFont="1" applyBorder="1" applyAlignment="1">
      <alignment horizontal="right"/>
    </xf>
    <xf numFmtId="165" fontId="58" fillId="0" borderId="5" xfId="1" quotePrefix="1" applyNumberFormat="1" applyFont="1" applyBorder="1" applyAlignment="1">
      <alignment horizontal="right"/>
    </xf>
    <xf numFmtId="166" fontId="58" fillId="0" borderId="0" xfId="2" applyNumberFormat="1" applyFont="1" applyAlignment="1">
      <alignment horizontal="right"/>
    </xf>
    <xf numFmtId="9" fontId="58" fillId="0" borderId="5" xfId="2" applyFont="1" applyBorder="1" applyAlignment="1">
      <alignment horizontal="right"/>
    </xf>
    <xf numFmtId="166" fontId="58" fillId="0" borderId="5" xfId="2" applyNumberFormat="1" applyFont="1" applyBorder="1" applyAlignment="1">
      <alignment horizontal="right"/>
    </xf>
    <xf numFmtId="9" fontId="58" fillId="0" borderId="0" xfId="2" applyFont="1" applyAlignment="1">
      <alignment horizontal="right"/>
    </xf>
    <xf numFmtId="164" fontId="58" fillId="0" borderId="5" xfId="1" quotePrefix="1" applyNumberFormat="1" applyFont="1" applyBorder="1" applyAlignment="1">
      <alignment horizontal="right"/>
    </xf>
    <xf numFmtId="165" fontId="60" fillId="9" borderId="0" xfId="1" applyNumberFormat="1" applyFont="1" applyFill="1" applyAlignment="1">
      <alignment horizontal="right"/>
    </xf>
    <xf numFmtId="165" fontId="58" fillId="9" borderId="0" xfId="1" applyNumberFormat="1" applyFont="1" applyFill="1" applyAlignment="1">
      <alignment horizontal="right"/>
    </xf>
    <xf numFmtId="9" fontId="58" fillId="9" borderId="0" xfId="2" applyFont="1" applyFill="1" applyAlignment="1">
      <alignment horizontal="right"/>
    </xf>
    <xf numFmtId="166" fontId="58" fillId="9" borderId="0" xfId="2" applyNumberFormat="1" applyFont="1" applyFill="1" applyAlignment="1">
      <alignment horizontal="right"/>
    </xf>
    <xf numFmtId="7" fontId="58" fillId="0" borderId="0" xfId="1" applyNumberFormat="1" applyFont="1" applyAlignment="1">
      <alignment horizontal="right"/>
    </xf>
    <xf numFmtId="165" fontId="58" fillId="0" borderId="8" xfId="1" applyNumberFormat="1" applyFont="1" applyBorder="1" applyAlignment="1">
      <alignment horizontal="right"/>
    </xf>
    <xf numFmtId="0" fontId="58" fillId="0" borderId="3" xfId="0" applyFont="1" applyBorder="1" applyAlignment="1">
      <alignment horizontal="left" indent="2"/>
    </xf>
    <xf numFmtId="164" fontId="54" fillId="2" borderId="29" xfId="1" quotePrefix="1" applyNumberFormat="1" applyFont="1" applyFill="1" applyBorder="1" applyAlignment="1">
      <alignment horizontal="right"/>
    </xf>
    <xf numFmtId="164" fontId="55" fillId="2" borderId="5" xfId="1" quotePrefix="1" applyNumberFormat="1" applyFont="1" applyFill="1" applyBorder="1" applyAlignment="1">
      <alignment horizontal="right"/>
    </xf>
    <xf numFmtId="164" fontId="2" fillId="3" borderId="29" xfId="1" quotePrefix="1" applyNumberFormat="1" applyFont="1" applyFill="1" applyBorder="1" applyAlignment="1">
      <alignment horizontal="right"/>
    </xf>
    <xf numFmtId="164" fontId="52" fillId="3" borderId="5" xfId="1" quotePrefix="1" applyNumberFormat="1" applyFont="1" applyFill="1" applyBorder="1" applyAlignment="1">
      <alignment horizontal="right"/>
    </xf>
    <xf numFmtId="167" fontId="58" fillId="0" borderId="0" xfId="1" applyNumberFormat="1" applyFont="1" applyAlignment="1">
      <alignment horizontal="right"/>
    </xf>
    <xf numFmtId="0" fontId="58" fillId="0" borderId="4" xfId="0" applyFont="1" applyBorder="1"/>
    <xf numFmtId="9" fontId="4" fillId="0" borderId="0" xfId="1" applyNumberFormat="1" applyFont="1"/>
    <xf numFmtId="0" fontId="59" fillId="0" borderId="3" xfId="0" applyFont="1" applyBorder="1" applyAlignment="1">
      <alignment horizontal="left" indent="4"/>
    </xf>
    <xf numFmtId="0" fontId="58" fillId="0" borderId="3" xfId="0" applyFont="1" applyBorder="1" applyAlignment="1">
      <alignment horizontal="left" indent="5"/>
    </xf>
    <xf numFmtId="164" fontId="58" fillId="0" borderId="0" xfId="1" applyNumberFormat="1" applyFont="1" applyAlignment="1">
      <alignment horizontal="right"/>
    </xf>
    <xf numFmtId="164" fontId="58" fillId="0" borderId="5" xfId="1" applyNumberFormat="1" applyFont="1" applyBorder="1" applyAlignment="1">
      <alignment horizontal="right"/>
    </xf>
    <xf numFmtId="164" fontId="59" fillId="0" borderId="0" xfId="1" applyNumberFormat="1" applyFont="1" applyAlignment="1">
      <alignment horizontal="right"/>
    </xf>
    <xf numFmtId="164" fontId="59" fillId="0" borderId="5" xfId="1" applyNumberFormat="1" applyFont="1" applyBorder="1" applyAlignment="1">
      <alignment horizontal="right"/>
    </xf>
    <xf numFmtId="164" fontId="60" fillId="0" borderId="0" xfId="1" applyNumberFormat="1" applyFont="1" applyAlignment="1">
      <alignment horizontal="right"/>
    </xf>
    <xf numFmtId="164" fontId="60" fillId="0" borderId="5" xfId="1" applyNumberFormat="1" applyFont="1" applyBorder="1" applyAlignment="1">
      <alignment horizontal="right"/>
    </xf>
    <xf numFmtId="164" fontId="52" fillId="0" borderId="0" xfId="1" applyNumberFormat="1" applyFont="1" applyAlignment="1">
      <alignment horizontal="right"/>
    </xf>
    <xf numFmtId="164" fontId="52" fillId="0" borderId="5" xfId="1" applyNumberFormat="1" applyFont="1" applyBorder="1" applyAlignment="1">
      <alignment horizontal="right"/>
    </xf>
    <xf numFmtId="164" fontId="60" fillId="9" borderId="0" xfId="1" applyNumberFormat="1" applyFont="1" applyFill="1" applyAlignment="1">
      <alignment horizontal="right"/>
    </xf>
    <xf numFmtId="165" fontId="53" fillId="0" borderId="5" xfId="1" quotePrefix="1" applyNumberFormat="1" applyFont="1" applyBorder="1" applyAlignment="1">
      <alignment horizontal="right"/>
    </xf>
    <xf numFmtId="165" fontId="4" fillId="0" borderId="25" xfId="1" quotePrefix="1" applyNumberFormat="1" applyFont="1" applyBorder="1" applyAlignment="1">
      <alignment horizontal="right"/>
    </xf>
    <xf numFmtId="9" fontId="62" fillId="0" borderId="0" xfId="2" applyFont="1" applyAlignment="1">
      <alignment horizontal="right"/>
    </xf>
    <xf numFmtId="9" fontId="62" fillId="0" borderId="5" xfId="2" applyFont="1" applyBorder="1" applyAlignment="1">
      <alignment horizontal="right"/>
    </xf>
    <xf numFmtId="9" fontId="59" fillId="0" borderId="5" xfId="2" applyFont="1" applyBorder="1" applyAlignment="1">
      <alignment horizontal="right"/>
    </xf>
    <xf numFmtId="167" fontId="58" fillId="9" borderId="0" xfId="1" applyNumberFormat="1" applyFont="1" applyFill="1" applyAlignment="1">
      <alignment horizontal="right"/>
    </xf>
    <xf numFmtId="0" fontId="63" fillId="0" borderId="0" xfId="0" applyFont="1"/>
    <xf numFmtId="0" fontId="63" fillId="0" borderId="3" xfId="0" applyFont="1" applyBorder="1" applyAlignment="1">
      <alignment horizontal="left"/>
    </xf>
    <xf numFmtId="165" fontId="63" fillId="0" borderId="0" xfId="1" applyNumberFormat="1" applyFont="1" applyAlignment="1">
      <alignment horizontal="right"/>
    </xf>
    <xf numFmtId="165" fontId="63" fillId="0" borderId="5" xfId="1" quotePrefix="1" applyNumberFormat="1" applyFont="1" applyBorder="1" applyAlignment="1">
      <alignment horizontal="right"/>
    </xf>
    <xf numFmtId="165" fontId="59" fillId="0" borderId="27" xfId="1" applyNumberFormat="1" applyFont="1" applyBorder="1" applyAlignment="1">
      <alignment horizontal="right"/>
    </xf>
    <xf numFmtId="165" fontId="53" fillId="0" borderId="28" xfId="1" quotePrefix="1" applyNumberFormat="1" applyFont="1" applyBorder="1" applyAlignment="1">
      <alignment horizontal="right"/>
    </xf>
    <xf numFmtId="0" fontId="58" fillId="0" borderId="12" xfId="0" applyFont="1" applyBorder="1" applyAlignment="1">
      <alignment horizontal="left" indent="2"/>
    </xf>
    <xf numFmtId="0" fontId="58" fillId="0" borderId="13" xfId="0" applyFont="1" applyBorder="1" applyAlignment="1">
      <alignment horizontal="left" indent="1"/>
    </xf>
    <xf numFmtId="9" fontId="58" fillId="9" borderId="26" xfId="2" applyFont="1" applyFill="1" applyBorder="1" applyAlignment="1">
      <alignment horizontal="right"/>
    </xf>
    <xf numFmtId="164" fontId="59" fillId="0" borderId="26" xfId="1" applyNumberFormat="1" applyFont="1" applyBorder="1" applyAlignment="1">
      <alignment horizontal="right"/>
    </xf>
    <xf numFmtId="164" fontId="59" fillId="0" borderId="25" xfId="1" quotePrefix="1" applyNumberFormat="1" applyFont="1" applyBorder="1" applyAlignment="1">
      <alignment horizontal="right"/>
    </xf>
    <xf numFmtId="164" fontId="59" fillId="0" borderId="0" xfId="2" applyNumberFormat="1" applyFont="1" applyAlignment="1">
      <alignment horizontal="right"/>
    </xf>
    <xf numFmtId="166" fontId="59" fillId="0" borderId="0" xfId="2" applyNumberFormat="1" applyFont="1" applyAlignment="1">
      <alignment horizontal="right"/>
    </xf>
    <xf numFmtId="164" fontId="58" fillId="0" borderId="28" xfId="1" applyNumberFormat="1" applyFont="1" applyBorder="1" applyAlignment="1">
      <alignment horizontal="right"/>
    </xf>
    <xf numFmtId="0" fontId="65" fillId="0" borderId="0" xfId="0" applyFont="1"/>
    <xf numFmtId="0" fontId="66" fillId="0" borderId="4" xfId="0" applyFont="1" applyBorder="1" applyAlignment="1">
      <alignment horizontal="left"/>
    </xf>
    <xf numFmtId="0" fontId="64" fillId="0" borderId="13" xfId="0" applyFont="1" applyBorder="1"/>
    <xf numFmtId="164" fontId="64" fillId="0" borderId="26" xfId="1" applyNumberFormat="1" applyFont="1" applyBorder="1" applyAlignment="1">
      <alignment horizontal="right"/>
    </xf>
    <xf numFmtId="164" fontId="64" fillId="0" borderId="25" xfId="1" applyNumberFormat="1" applyFont="1" applyBorder="1" applyAlignment="1">
      <alignment horizontal="right"/>
    </xf>
    <xf numFmtId="43" fontId="64" fillId="0" borderId="32" xfId="1" applyFont="1" applyBorder="1" applyAlignment="1">
      <alignment horizontal="right"/>
    </xf>
    <xf numFmtId="43" fontId="64" fillId="0" borderId="30" xfId="1" applyFont="1" applyBorder="1" applyAlignment="1">
      <alignment horizontal="right"/>
    </xf>
    <xf numFmtId="0" fontId="64" fillId="0" borderId="24" xfId="0" applyFont="1" applyBorder="1" applyAlignment="1">
      <alignment horizontal="left"/>
    </xf>
    <xf numFmtId="0" fontId="64" fillId="0" borderId="12" xfId="0" applyFont="1" applyBorder="1" applyAlignment="1">
      <alignment horizontal="left" indent="2"/>
    </xf>
    <xf numFmtId="0" fontId="64" fillId="0" borderId="13" xfId="0" applyFont="1" applyBorder="1" applyAlignment="1">
      <alignment horizontal="left"/>
    </xf>
    <xf numFmtId="0" fontId="63" fillId="0" borderId="23" xfId="0" applyFont="1" applyBorder="1" applyAlignment="1">
      <alignment horizontal="left" indent="1"/>
    </xf>
    <xf numFmtId="0" fontId="63" fillId="0" borderId="24" xfId="0" applyFont="1" applyBorder="1"/>
    <xf numFmtId="164" fontId="67" fillId="0" borderId="27" xfId="1" applyNumberFormat="1" applyFont="1" applyBorder="1" applyAlignment="1">
      <alignment horizontal="right"/>
    </xf>
    <xf numFmtId="164" fontId="67" fillId="0" borderId="28" xfId="1" applyNumberFormat="1" applyFont="1" applyBorder="1" applyAlignment="1">
      <alignment horizontal="right"/>
    </xf>
    <xf numFmtId="164" fontId="68" fillId="0" borderId="27" xfId="1" applyNumberFormat="1" applyFont="1" applyBorder="1" applyAlignment="1">
      <alignment horizontal="right"/>
    </xf>
    <xf numFmtId="164" fontId="68" fillId="0" borderId="28" xfId="1" applyNumberFormat="1" applyFont="1" applyBorder="1" applyAlignment="1">
      <alignment horizontal="right"/>
    </xf>
    <xf numFmtId="0" fontId="64" fillId="0" borderId="31" xfId="0" applyFont="1" applyBorder="1" applyAlignment="1">
      <alignment horizontal="left" indent="2"/>
    </xf>
    <xf numFmtId="9" fontId="58" fillId="9" borderId="7" xfId="2" applyFont="1" applyFill="1" applyBorder="1" applyAlignment="1">
      <alignment horizontal="right"/>
    </xf>
    <xf numFmtId="164" fontId="58" fillId="9" borderId="0" xfId="1" applyNumberFormat="1" applyFont="1" applyFill="1" applyAlignment="1">
      <alignment horizontal="right"/>
    </xf>
    <xf numFmtId="164" fontId="58" fillId="0" borderId="27" xfId="1" applyNumberFormat="1" applyFont="1" applyBorder="1" applyAlignment="1">
      <alignment horizontal="right"/>
    </xf>
    <xf numFmtId="164" fontId="59" fillId="0" borderId="5" xfId="1" quotePrefix="1" applyNumberFormat="1" applyFont="1" applyBorder="1" applyAlignment="1">
      <alignment horizontal="right"/>
    </xf>
    <xf numFmtId="166" fontId="59" fillId="0" borderId="5" xfId="2" quotePrefix="1" applyNumberFormat="1" applyFont="1" applyBorder="1" applyAlignment="1">
      <alignment horizontal="right"/>
    </xf>
    <xf numFmtId="0" fontId="69" fillId="0" borderId="0" xfId="0" applyFont="1"/>
    <xf numFmtId="0" fontId="64" fillId="0" borderId="33" xfId="0" applyFont="1" applyBorder="1" applyAlignment="1">
      <alignment horizontal="left" indent="1"/>
    </xf>
    <xf numFmtId="165" fontId="58" fillId="0" borderId="0" xfId="1" applyNumberFormat="1" applyFont="1" applyFill="1" applyAlignment="1">
      <alignment horizontal="right"/>
    </xf>
    <xf numFmtId="43" fontId="58" fillId="0" borderId="0" xfId="1" applyFont="1" applyFill="1" applyAlignment="1">
      <alignment horizontal="right"/>
    </xf>
    <xf numFmtId="164" fontId="59" fillId="0" borderId="0" xfId="1" applyNumberFormat="1" applyFont="1" applyFill="1" applyAlignment="1">
      <alignment horizontal="right"/>
    </xf>
    <xf numFmtId="164" fontId="60" fillId="0" borderId="0" xfId="1" applyNumberFormat="1" applyFont="1" applyFill="1" applyAlignment="1">
      <alignment horizontal="right"/>
    </xf>
    <xf numFmtId="164" fontId="58" fillId="0" borderId="0" xfId="1" applyNumberFormat="1" applyFont="1" applyFill="1" applyAlignment="1">
      <alignment horizontal="right"/>
    </xf>
    <xf numFmtId="164" fontId="52" fillId="0" borderId="0" xfId="1" applyNumberFormat="1" applyFont="1" applyFill="1" applyAlignment="1">
      <alignment horizontal="right"/>
    </xf>
    <xf numFmtId="164" fontId="67" fillId="0" borderId="27" xfId="1" applyNumberFormat="1" applyFont="1" applyFill="1" applyBorder="1" applyAlignment="1">
      <alignment horizontal="right"/>
    </xf>
    <xf numFmtId="164" fontId="64" fillId="0" borderId="26" xfId="1" applyNumberFormat="1" applyFont="1" applyFill="1" applyBorder="1" applyAlignment="1">
      <alignment horizontal="right"/>
    </xf>
    <xf numFmtId="164" fontId="68" fillId="0" borderId="27" xfId="1" applyNumberFormat="1" applyFont="1" applyFill="1" applyBorder="1" applyAlignment="1">
      <alignment horizontal="right"/>
    </xf>
    <xf numFmtId="43" fontId="59" fillId="0" borderId="0" xfId="1" applyFont="1" applyFill="1" applyAlignment="1">
      <alignment horizontal="right"/>
    </xf>
    <xf numFmtId="43" fontId="64" fillId="0" borderId="32" xfId="1" applyFont="1" applyFill="1" applyBorder="1" applyAlignment="1">
      <alignment horizontal="right"/>
    </xf>
    <xf numFmtId="165" fontId="60" fillId="0" borderId="0" xfId="1" applyNumberFormat="1" applyFont="1" applyFill="1" applyAlignment="1">
      <alignment horizontal="right"/>
    </xf>
    <xf numFmtId="166" fontId="58" fillId="0" borderId="0" xfId="2" applyNumberFormat="1" applyFont="1" applyFill="1" applyAlignment="1">
      <alignment horizontal="right"/>
    </xf>
    <xf numFmtId="167" fontId="58" fillId="0" borderId="0" xfId="1" applyNumberFormat="1" applyFont="1" applyFill="1" applyAlignment="1">
      <alignment horizontal="right"/>
    </xf>
    <xf numFmtId="164" fontId="59" fillId="0" borderId="26" xfId="1" applyNumberFormat="1" applyFont="1" applyFill="1" applyBorder="1" applyAlignment="1">
      <alignment horizontal="right"/>
    </xf>
    <xf numFmtId="165" fontId="59" fillId="0" borderId="0" xfId="1" applyNumberFormat="1" applyFont="1" applyFill="1" applyAlignment="1">
      <alignment horizontal="right"/>
    </xf>
    <xf numFmtId="165" fontId="59" fillId="0" borderId="27" xfId="1" applyNumberFormat="1" applyFont="1" applyFill="1" applyBorder="1" applyAlignment="1">
      <alignment horizontal="right"/>
    </xf>
    <xf numFmtId="9" fontId="58" fillId="0" borderId="0" xfId="2" applyFont="1" applyFill="1" applyAlignment="1">
      <alignment horizontal="right"/>
    </xf>
    <xf numFmtId="164" fontId="60" fillId="0" borderId="0" xfId="2" applyNumberFormat="1" applyFont="1" applyFill="1" applyAlignment="1">
      <alignment horizontal="right"/>
    </xf>
    <xf numFmtId="9" fontId="58" fillId="0" borderId="26" xfId="2" applyFont="1" applyFill="1" applyBorder="1" applyAlignment="1">
      <alignment horizontal="right"/>
    </xf>
    <xf numFmtId="165" fontId="63" fillId="0" borderId="0" xfId="1" applyNumberFormat="1" applyFont="1" applyFill="1" applyAlignment="1">
      <alignment horizontal="right"/>
    </xf>
    <xf numFmtId="165" fontId="58" fillId="0" borderId="5" xfId="1" quotePrefix="1" applyNumberFormat="1" applyFont="1" applyFill="1" applyBorder="1" applyAlignment="1">
      <alignment horizontal="right"/>
    </xf>
    <xf numFmtId="0" fontId="63" fillId="0" borderId="23" xfId="0" applyFont="1" applyBorder="1" applyAlignment="1">
      <alignment horizontal="left" indent="5"/>
    </xf>
    <xf numFmtId="0" fontId="64" fillId="0" borderId="12" xfId="0" applyFont="1" applyBorder="1" applyAlignment="1">
      <alignment horizontal="left" indent="6"/>
    </xf>
    <xf numFmtId="166" fontId="58" fillId="0" borderId="5" xfId="2" quotePrefix="1" applyNumberFormat="1" applyFont="1" applyFill="1" applyBorder="1" applyAlignment="1">
      <alignment horizontal="right"/>
    </xf>
    <xf numFmtId="164" fontId="58" fillId="0" borderId="5" xfId="1" quotePrefix="1" applyNumberFormat="1" applyFont="1" applyFill="1" applyBorder="1" applyAlignment="1">
      <alignment horizontal="right"/>
    </xf>
    <xf numFmtId="43" fontId="58" fillId="0" borderId="5" xfId="1" quotePrefix="1" applyFont="1" applyFill="1" applyBorder="1" applyAlignment="1">
      <alignment horizontal="right"/>
    </xf>
    <xf numFmtId="9" fontId="58" fillId="0" borderId="5" xfId="2" applyFont="1" applyFill="1" applyBorder="1" applyAlignment="1">
      <alignment horizontal="right"/>
    </xf>
    <xf numFmtId="164" fontId="58" fillId="0" borderId="28" xfId="1" applyNumberFormat="1" applyFont="1" applyFill="1" applyBorder="1" applyAlignment="1">
      <alignment horizontal="right"/>
    </xf>
    <xf numFmtId="165" fontId="4" fillId="0" borderId="5" xfId="1" quotePrefix="1" applyNumberFormat="1" applyFont="1" applyFill="1" applyBorder="1" applyAlignment="1">
      <alignment horizontal="right"/>
    </xf>
    <xf numFmtId="164" fontId="60" fillId="0" borderId="5" xfId="2" applyNumberFormat="1" applyFont="1" applyFill="1" applyBorder="1" applyAlignment="1">
      <alignment horizontal="right"/>
    </xf>
    <xf numFmtId="164" fontId="59" fillId="0" borderId="5" xfId="1" quotePrefix="1" applyNumberFormat="1" applyFont="1" applyFill="1" applyBorder="1" applyAlignment="1">
      <alignment horizontal="right"/>
    </xf>
    <xf numFmtId="166" fontId="59" fillId="0" borderId="5" xfId="2" quotePrefix="1" applyNumberFormat="1" applyFont="1" applyFill="1" applyBorder="1" applyAlignment="1">
      <alignment horizontal="right"/>
    </xf>
    <xf numFmtId="9" fontId="59" fillId="0" borderId="5" xfId="2" applyFont="1" applyFill="1" applyBorder="1" applyAlignment="1">
      <alignment horizontal="right"/>
    </xf>
    <xf numFmtId="0" fontId="59" fillId="0" borderId="3" xfId="0" applyFont="1" applyBorder="1" applyAlignment="1">
      <alignment horizontal="left" indent="5"/>
    </xf>
    <xf numFmtId="0" fontId="53" fillId="0" borderId="4" xfId="0" applyFont="1" applyBorder="1"/>
    <xf numFmtId="166" fontId="58" fillId="0" borderId="5" xfId="2" applyNumberFormat="1" applyFont="1" applyFill="1" applyBorder="1" applyAlignment="1">
      <alignment horizontal="right"/>
    </xf>
    <xf numFmtId="43" fontId="60" fillId="0" borderId="0" xfId="1" applyFont="1" applyFill="1" applyAlignment="1">
      <alignment horizontal="right"/>
    </xf>
    <xf numFmtId="164" fontId="58" fillId="0" borderId="0" xfId="1" applyNumberFormat="1" applyFont="1" applyBorder="1" applyAlignment="1">
      <alignment horizontal="right"/>
    </xf>
    <xf numFmtId="164" fontId="58" fillId="0" borderId="26" xfId="1" applyNumberFormat="1" applyFont="1" applyBorder="1" applyAlignment="1">
      <alignment horizontal="right"/>
    </xf>
    <xf numFmtId="164" fontId="58" fillId="0" borderId="25" xfId="1" applyNumberFormat="1" applyFont="1" applyBorder="1" applyAlignment="1">
      <alignment horizontal="right"/>
    </xf>
    <xf numFmtId="164" fontId="58" fillId="0" borderId="0" xfId="1" applyNumberFormat="1" applyFont="1" applyFill="1" applyBorder="1" applyAlignment="1">
      <alignment horizontal="right"/>
    </xf>
    <xf numFmtId="7" fontId="58" fillId="0" borderId="23" xfId="1" applyNumberFormat="1" applyFont="1" applyBorder="1" applyAlignment="1">
      <alignment horizontal="right"/>
    </xf>
    <xf numFmtId="7" fontId="58" fillId="0" borderId="27" xfId="1" applyNumberFormat="1" applyFont="1" applyFill="1" applyBorder="1" applyAlignment="1">
      <alignment horizontal="right"/>
    </xf>
    <xf numFmtId="165" fontId="58" fillId="0" borderId="3" xfId="1" applyNumberFormat="1" applyFont="1" applyBorder="1" applyAlignment="1">
      <alignment horizontal="right"/>
    </xf>
    <xf numFmtId="165" fontId="58" fillId="0" borderId="0" xfId="1" applyNumberFormat="1" applyFont="1" applyFill="1" applyBorder="1" applyAlignment="1">
      <alignment horizontal="right"/>
    </xf>
    <xf numFmtId="164" fontId="58" fillId="0" borderId="12" xfId="1" applyNumberFormat="1" applyFont="1" applyBorder="1" applyAlignment="1">
      <alignment horizontal="right"/>
    </xf>
    <xf numFmtId="9" fontId="62" fillId="0" borderId="5" xfId="2" applyFont="1" applyFill="1" applyBorder="1" applyAlignment="1">
      <alignment horizontal="right"/>
    </xf>
    <xf numFmtId="166" fontId="4" fillId="0" borderId="0" xfId="1" applyNumberFormat="1" applyFont="1"/>
    <xf numFmtId="165" fontId="59" fillId="0" borderId="5" xfId="1" applyNumberFormat="1" applyFont="1" applyFill="1" applyBorder="1" applyAlignment="1">
      <alignment horizontal="right"/>
    </xf>
    <xf numFmtId="9" fontId="62" fillId="0" borderId="0" xfId="2" applyFont="1" applyFill="1" applyAlignment="1">
      <alignment horizontal="right"/>
    </xf>
    <xf numFmtId="9" fontId="59" fillId="0" borderId="0" xfId="2" applyFont="1" applyFill="1" applyAlignment="1">
      <alignment horizontal="right"/>
    </xf>
    <xf numFmtId="164" fontId="53" fillId="0" borderId="25" xfId="1" quotePrefix="1" applyNumberFormat="1" applyFont="1" applyFill="1" applyBorder="1" applyAlignment="1">
      <alignment horizontal="right"/>
    </xf>
    <xf numFmtId="165" fontId="53" fillId="0" borderId="5" xfId="1" quotePrefix="1" applyNumberFormat="1" applyFont="1" applyFill="1" applyBorder="1" applyAlignment="1">
      <alignment horizontal="right"/>
    </xf>
    <xf numFmtId="165" fontId="4" fillId="0" borderId="25" xfId="1" quotePrefix="1" applyNumberFormat="1" applyFont="1" applyFill="1" applyBorder="1" applyAlignment="1">
      <alignment horizontal="right"/>
    </xf>
    <xf numFmtId="164" fontId="59" fillId="0" borderId="0" xfId="2" applyNumberFormat="1" applyFont="1" applyFill="1" applyAlignment="1">
      <alignment horizontal="right"/>
    </xf>
    <xf numFmtId="166" fontId="59" fillId="0" borderId="0" xfId="2" applyNumberFormat="1" applyFont="1" applyFill="1" applyAlignment="1">
      <alignment horizontal="right"/>
    </xf>
    <xf numFmtId="225" fontId="4" fillId="0" borderId="5" xfId="1" quotePrefix="1" applyNumberFormat="1" applyFont="1" applyFill="1" applyBorder="1" applyAlignment="1">
      <alignment horizontal="right"/>
    </xf>
    <xf numFmtId="43" fontId="58" fillId="0" borderId="5" xfId="1" applyFont="1" applyFill="1" applyBorder="1" applyAlignment="1">
      <alignment horizontal="right"/>
    </xf>
    <xf numFmtId="43" fontId="60" fillId="0" borderId="5" xfId="1" applyFont="1" applyFill="1" applyBorder="1" applyAlignment="1">
      <alignment horizontal="right"/>
    </xf>
    <xf numFmtId="165" fontId="4" fillId="0" borderId="0" xfId="1" applyNumberFormat="1" applyFont="1" applyFill="1"/>
    <xf numFmtId="43" fontId="4" fillId="0" borderId="0" xfId="1" applyFont="1"/>
    <xf numFmtId="9" fontId="58" fillId="0" borderId="0" xfId="2" applyFont="1" applyFill="1" applyAlignment="1">
      <alignment horizontal="left"/>
    </xf>
    <xf numFmtId="164" fontId="4" fillId="0" borderId="0" xfId="1" applyNumberFormat="1" applyFont="1" applyFill="1" applyAlignment="1">
      <alignment horizontal="right"/>
    </xf>
    <xf numFmtId="10" fontId="58" fillId="0" borderId="5" xfId="2" applyNumberFormat="1" applyFont="1" applyBorder="1" applyAlignment="1">
      <alignment horizontal="right"/>
    </xf>
    <xf numFmtId="165" fontId="59" fillId="0" borderId="5" xfId="1" quotePrefix="1" applyNumberFormat="1" applyFont="1" applyFill="1" applyBorder="1" applyAlignment="1">
      <alignment horizontal="right"/>
    </xf>
    <xf numFmtId="166" fontId="71" fillId="0" borderId="0" xfId="2" applyNumberFormat="1" applyFont="1" applyFill="1" applyAlignment="1">
      <alignment horizontal="right"/>
    </xf>
    <xf numFmtId="166" fontId="58" fillId="0" borderId="25" xfId="2" quotePrefix="1" applyNumberFormat="1" applyFont="1" applyFill="1" applyBorder="1" applyAlignment="1">
      <alignment horizontal="right"/>
    </xf>
    <xf numFmtId="165" fontId="58" fillId="0" borderId="5" xfId="1" applyNumberFormat="1" applyFont="1" applyFill="1" applyBorder="1" applyAlignment="1">
      <alignment horizontal="right"/>
    </xf>
    <xf numFmtId="164" fontId="58" fillId="0" borderId="5" xfId="1" applyNumberFormat="1" applyFont="1" applyFill="1" applyBorder="1" applyAlignment="1">
      <alignment horizontal="right"/>
    </xf>
    <xf numFmtId="164" fontId="59" fillId="0" borderId="5" xfId="1" applyNumberFormat="1" applyFont="1" applyFill="1" applyBorder="1" applyAlignment="1">
      <alignment horizontal="right"/>
    </xf>
    <xf numFmtId="43" fontId="64" fillId="0" borderId="30" xfId="1" applyFont="1" applyFill="1" applyBorder="1" applyAlignment="1">
      <alignment horizontal="right"/>
    </xf>
    <xf numFmtId="164" fontId="60" fillId="0" borderId="5" xfId="1" applyNumberFormat="1" applyFont="1" applyFill="1" applyBorder="1" applyAlignment="1">
      <alignment horizontal="right"/>
    </xf>
    <xf numFmtId="43" fontId="59" fillId="0" borderId="5" xfId="1" applyFont="1" applyFill="1" applyBorder="1" applyAlignment="1">
      <alignment horizontal="right"/>
    </xf>
    <xf numFmtId="164" fontId="52" fillId="0" borderId="5" xfId="1" applyNumberFormat="1" applyFont="1" applyFill="1" applyBorder="1" applyAlignment="1">
      <alignment horizontal="right"/>
    </xf>
    <xf numFmtId="164" fontId="67" fillId="0" borderId="28" xfId="1" applyNumberFormat="1" applyFont="1" applyFill="1" applyBorder="1" applyAlignment="1">
      <alignment horizontal="right"/>
    </xf>
    <xf numFmtId="164" fontId="64" fillId="0" borderId="25" xfId="1" applyNumberFormat="1" applyFont="1" applyFill="1" applyBorder="1" applyAlignment="1">
      <alignment horizontal="right"/>
    </xf>
    <xf numFmtId="164" fontId="68" fillId="0" borderId="28" xfId="1" applyNumberFormat="1" applyFont="1" applyFill="1" applyBorder="1" applyAlignment="1">
      <alignment horizontal="right"/>
    </xf>
    <xf numFmtId="9" fontId="58" fillId="0" borderId="0" xfId="2" applyFont="1" applyBorder="1" applyAlignment="1">
      <alignment horizontal="right"/>
    </xf>
    <xf numFmtId="0" fontId="58" fillId="0" borderId="3" xfId="0" applyFont="1" applyBorder="1" applyAlignment="1">
      <alignment horizontal="left" indent="1"/>
    </xf>
    <xf numFmtId="0" fontId="71" fillId="0" borderId="3" xfId="0" applyFont="1" applyBorder="1" applyAlignment="1">
      <alignment horizontal="left" indent="2"/>
    </xf>
    <xf numFmtId="0" fontId="71" fillId="0" borderId="4" xfId="0" applyFont="1" applyBorder="1" applyAlignment="1">
      <alignment horizontal="left" indent="2"/>
    </xf>
    <xf numFmtId="0" fontId="72" fillId="0" borderId="0" xfId="0" applyFont="1" applyAlignment="1">
      <alignment horizontal="left" indent="1"/>
    </xf>
    <xf numFmtId="0" fontId="72" fillId="0" borderId="0" xfId="0" applyFont="1"/>
    <xf numFmtId="0" fontId="71" fillId="0" borderId="4" xfId="0" applyFont="1" applyBorder="1" applyAlignment="1">
      <alignment horizontal="left" indent="1"/>
    </xf>
    <xf numFmtId="166" fontId="71" fillId="0" borderId="5" xfId="2" applyNumberFormat="1" applyFont="1" applyFill="1" applyBorder="1" applyAlignment="1">
      <alignment horizontal="right"/>
    </xf>
    <xf numFmtId="166" fontId="71" fillId="0" borderId="0" xfId="2" applyNumberFormat="1" applyFont="1" applyAlignment="1">
      <alignment horizontal="right"/>
    </xf>
    <xf numFmtId="166" fontId="71" fillId="0" borderId="5" xfId="2" applyNumberFormat="1" applyFont="1" applyBorder="1" applyAlignment="1">
      <alignment horizontal="right"/>
    </xf>
    <xf numFmtId="166" fontId="71" fillId="9" borderId="0" xfId="2" applyNumberFormat="1" applyFont="1" applyFill="1" applyAlignment="1">
      <alignment horizontal="right"/>
    </xf>
    <xf numFmtId="0" fontId="72" fillId="0" borderId="4" xfId="0" applyFont="1" applyBorder="1"/>
    <xf numFmtId="165" fontId="59" fillId="0" borderId="5" xfId="1" quotePrefix="1" applyNumberFormat="1" applyFont="1" applyBorder="1" applyAlignment="1">
      <alignment horizontal="right"/>
    </xf>
    <xf numFmtId="165" fontId="59" fillId="0" borderId="28" xfId="1" quotePrefix="1" applyNumberFormat="1" applyFont="1" applyBorder="1" applyAlignment="1">
      <alignment horizontal="right"/>
    </xf>
    <xf numFmtId="164" fontId="60" fillId="0" borderId="5" xfId="1" quotePrefix="1" applyNumberFormat="1" applyFont="1" applyBorder="1" applyAlignment="1">
      <alignment horizontal="right"/>
    </xf>
    <xf numFmtId="164" fontId="59" fillId="0" borderId="5" xfId="2" applyNumberFormat="1" applyFont="1" applyBorder="1" applyAlignment="1">
      <alignment horizontal="right"/>
    </xf>
    <xf numFmtId="43" fontId="4" fillId="0" borderId="0" xfId="1" applyFont="1" applyFill="1"/>
    <xf numFmtId="9" fontId="63" fillId="0" borderId="0" xfId="2" applyFont="1" applyFill="1" applyAlignment="1">
      <alignment horizontal="right"/>
    </xf>
    <xf numFmtId="166" fontId="58" fillId="9" borderId="26" xfId="2" applyNumberFormat="1" applyFont="1" applyFill="1" applyBorder="1" applyAlignment="1">
      <alignment horizontal="right"/>
    </xf>
    <xf numFmtId="0" fontId="63" fillId="0" borderId="0" xfId="0" quotePrefix="1" applyFont="1"/>
    <xf numFmtId="166" fontId="58" fillId="0" borderId="25" xfId="2" applyNumberFormat="1" applyFont="1" applyBorder="1" applyAlignment="1">
      <alignment horizontal="right"/>
    </xf>
    <xf numFmtId="0" fontId="58" fillId="0" borderId="3" xfId="0" applyFont="1" applyBorder="1" applyAlignment="1">
      <alignment horizontal="left"/>
    </xf>
    <xf numFmtId="0" fontId="58" fillId="0" borderId="4" xfId="0" applyFont="1" applyBorder="1" applyAlignment="1">
      <alignment horizontal="left"/>
    </xf>
    <xf numFmtId="0" fontId="59" fillId="0" borderId="4" xfId="0" applyFont="1" applyBorder="1" applyAlignment="1">
      <alignment horizontal="left"/>
    </xf>
    <xf numFmtId="0" fontId="58" fillId="0" borderId="6" xfId="0" applyFont="1" applyBorder="1" applyAlignment="1">
      <alignment horizontal="left"/>
    </xf>
    <xf numFmtId="0" fontId="58" fillId="0" borderId="10" xfId="0" applyFont="1" applyBorder="1" applyAlignment="1">
      <alignment horizontal="left"/>
    </xf>
    <xf numFmtId="0" fontId="59" fillId="0" borderId="3" xfId="0" applyFont="1" applyBorder="1" applyAlignment="1">
      <alignment horizontal="left" indent="1"/>
    </xf>
    <xf numFmtId="0" fontId="59" fillId="0" borderId="4" xfId="0" applyFont="1" applyBorder="1" applyAlignment="1">
      <alignment horizontal="left" indent="1"/>
    </xf>
    <xf numFmtId="0" fontId="58" fillId="0" borderId="4" xfId="0" applyFont="1" applyBorder="1" applyAlignment="1">
      <alignment horizontal="left" indent="1"/>
    </xf>
    <xf numFmtId="0" fontId="59" fillId="0" borderId="3" xfId="0" applyFont="1" applyBorder="1" applyAlignment="1">
      <alignment horizontal="left" indent="2"/>
    </xf>
    <xf numFmtId="0" fontId="59" fillId="0" borderId="3" xfId="0" applyFont="1" applyBorder="1" applyAlignment="1">
      <alignment horizontal="left" indent="3"/>
    </xf>
    <xf numFmtId="0" fontId="58" fillId="0" borderId="3" xfId="0" applyFont="1" applyBorder="1" applyAlignment="1">
      <alignment horizontal="left" indent="4"/>
    </xf>
    <xf numFmtId="9" fontId="58" fillId="0" borderId="7" xfId="2" applyFont="1" applyFill="1" applyBorder="1" applyAlignment="1">
      <alignment horizontal="right"/>
    </xf>
    <xf numFmtId="165" fontId="58" fillId="0" borderId="8" xfId="1" applyNumberFormat="1" applyFont="1" applyFill="1" applyBorder="1" applyAlignment="1">
      <alignment horizontal="right"/>
    </xf>
    <xf numFmtId="164" fontId="59" fillId="0" borderId="25" xfId="1" quotePrefix="1" applyNumberFormat="1" applyFont="1" applyFill="1" applyBorder="1" applyAlignment="1">
      <alignment horizontal="right"/>
    </xf>
    <xf numFmtId="164" fontId="60" fillId="0" borderId="5" xfId="1" quotePrefix="1" applyNumberFormat="1" applyFont="1" applyFill="1" applyBorder="1" applyAlignment="1">
      <alignment horizontal="right"/>
    </xf>
    <xf numFmtId="10" fontId="58" fillId="0" borderId="0" xfId="2" applyNumberFormat="1" applyFont="1" applyAlignment="1">
      <alignment horizontal="right"/>
    </xf>
    <xf numFmtId="9" fontId="4" fillId="0" borderId="0" xfId="2" applyFont="1" applyFill="1"/>
    <xf numFmtId="9" fontId="62" fillId="0" borderId="5" xfId="1" applyNumberFormat="1" applyFont="1" applyFill="1" applyBorder="1" applyAlignment="1">
      <alignment horizontal="right"/>
    </xf>
    <xf numFmtId="9" fontId="62" fillId="0" borderId="5" xfId="1" applyNumberFormat="1" applyFont="1" applyBorder="1" applyAlignment="1">
      <alignment horizontal="right"/>
    </xf>
    <xf numFmtId="167" fontId="71" fillId="10" borderId="0" xfId="1" applyNumberFormat="1" applyFont="1" applyFill="1" applyAlignment="1">
      <alignment horizontal="right"/>
    </xf>
    <xf numFmtId="0" fontId="58" fillId="0" borderId="23" xfId="0" applyFont="1" applyBorder="1" applyAlignment="1">
      <alignment horizontal="left" indent="2"/>
    </xf>
    <xf numFmtId="0" fontId="58" fillId="0" borderId="24" xfId="0" applyFont="1" applyBorder="1" applyAlignment="1">
      <alignment horizontal="left" indent="1"/>
    </xf>
    <xf numFmtId="9" fontId="58" fillId="0" borderId="27" xfId="2" applyFont="1" applyFill="1" applyBorder="1" applyAlignment="1">
      <alignment horizontal="right"/>
    </xf>
    <xf numFmtId="9" fontId="58" fillId="0" borderId="28" xfId="2" applyFont="1" applyFill="1" applyBorder="1" applyAlignment="1">
      <alignment horizontal="right"/>
    </xf>
    <xf numFmtId="9" fontId="58" fillId="0" borderId="27" xfId="2" applyFont="1" applyBorder="1" applyAlignment="1">
      <alignment horizontal="right"/>
    </xf>
    <xf numFmtId="9" fontId="58" fillId="0" borderId="28" xfId="2" applyFont="1" applyBorder="1" applyAlignment="1">
      <alignment horizontal="right"/>
    </xf>
    <xf numFmtId="9" fontId="62" fillId="0" borderId="0" xfId="1" applyNumberFormat="1" applyFont="1" applyFill="1" applyBorder="1" applyAlignment="1">
      <alignment horizontal="right"/>
    </xf>
    <xf numFmtId="9" fontId="62" fillId="0" borderId="0" xfId="1" applyNumberFormat="1" applyFont="1" applyBorder="1" applyAlignment="1">
      <alignment horizontal="right"/>
    </xf>
    <xf numFmtId="9" fontId="62" fillId="0" borderId="0" xfId="2" applyFont="1" applyBorder="1" applyAlignment="1">
      <alignment horizontal="right"/>
    </xf>
    <xf numFmtId="0" fontId="59" fillId="0" borderId="12" xfId="0" applyFont="1" applyBorder="1" applyAlignment="1">
      <alignment horizontal="left" indent="3"/>
    </xf>
    <xf numFmtId="0" fontId="59" fillId="0" borderId="13" xfId="0" applyFont="1" applyBorder="1" applyAlignment="1">
      <alignment horizontal="left" indent="1"/>
    </xf>
    <xf numFmtId="9" fontId="59" fillId="0" borderId="26" xfId="2" applyFont="1" applyFill="1" applyBorder="1" applyAlignment="1">
      <alignment horizontal="right"/>
    </xf>
    <xf numFmtId="9" fontId="59" fillId="0" borderId="25" xfId="2" applyFont="1" applyFill="1" applyBorder="1" applyAlignment="1">
      <alignment horizontal="right"/>
    </xf>
    <xf numFmtId="166" fontId="59" fillId="0" borderId="26" xfId="2" applyNumberFormat="1" applyFont="1" applyFill="1" applyBorder="1" applyAlignment="1">
      <alignment horizontal="right"/>
    </xf>
    <xf numFmtId="226" fontId="59" fillId="0" borderId="25" xfId="2" applyNumberFormat="1" applyFont="1" applyFill="1" applyBorder="1" applyAlignment="1">
      <alignment horizontal="right"/>
    </xf>
    <xf numFmtId="9" fontId="59" fillId="0" borderId="25" xfId="2" applyFont="1" applyBorder="1" applyAlignment="1">
      <alignment horizontal="right"/>
    </xf>
    <xf numFmtId="0" fontId="58" fillId="0" borderId="23" xfId="0" applyFont="1" applyBorder="1" applyAlignment="1">
      <alignment horizontal="left" indent="1"/>
    </xf>
    <xf numFmtId="0" fontId="71" fillId="0" borderId="0" xfId="0" applyFont="1"/>
    <xf numFmtId="0" fontId="72" fillId="0" borderId="0" xfId="0" applyFont="1" applyAlignment="1">
      <alignment horizontal="left"/>
    </xf>
    <xf numFmtId="43" fontId="58" fillId="0" borderId="0" xfId="1" applyFont="1" applyFill="1" applyBorder="1" applyAlignment="1">
      <alignment horizontal="right"/>
    </xf>
    <xf numFmtId="43" fontId="58" fillId="9" borderId="0" xfId="1" applyFont="1" applyFill="1" applyBorder="1" applyAlignment="1">
      <alignment horizontal="right"/>
    </xf>
    <xf numFmtId="9" fontId="4" fillId="0" borderId="0" xfId="2" applyFont="1"/>
    <xf numFmtId="9" fontId="58" fillId="0" borderId="6" xfId="2" applyFont="1" applyFill="1" applyBorder="1" applyAlignment="1">
      <alignment horizontal="left" indent="2"/>
    </xf>
    <xf numFmtId="9" fontId="58" fillId="0" borderId="10" xfId="2" applyFont="1" applyFill="1" applyBorder="1" applyAlignment="1">
      <alignment horizontal="left" indent="1"/>
    </xf>
    <xf numFmtId="9" fontId="59" fillId="0" borderId="8" xfId="2" applyFont="1" applyFill="1" applyBorder="1" applyAlignment="1">
      <alignment horizontal="right"/>
    </xf>
    <xf numFmtId="7" fontId="58" fillId="0" borderId="27" xfId="1" applyNumberFormat="1" applyFont="1" applyBorder="1" applyAlignment="1">
      <alignment horizontal="right"/>
    </xf>
    <xf numFmtId="7" fontId="4" fillId="0" borderId="28" xfId="1" applyNumberFormat="1" applyFont="1" applyBorder="1" applyAlignment="1">
      <alignment horizontal="right"/>
    </xf>
    <xf numFmtId="7" fontId="58" fillId="9" borderId="27" xfId="1" applyNumberFormat="1" applyFont="1" applyFill="1" applyBorder="1" applyAlignment="1">
      <alignment horizontal="right"/>
    </xf>
    <xf numFmtId="0" fontId="58" fillId="0" borderId="23" xfId="0" applyFont="1" applyBorder="1" applyAlignment="1">
      <alignment horizontal="left"/>
    </xf>
    <xf numFmtId="0" fontId="58" fillId="0" borderId="24" xfId="0" applyFont="1" applyBorder="1" applyAlignment="1">
      <alignment horizontal="left"/>
    </xf>
    <xf numFmtId="0" fontId="61" fillId="0" borderId="23" xfId="0" applyFont="1" applyBorder="1" applyAlignment="1">
      <alignment horizontal="left"/>
    </xf>
    <xf numFmtId="0" fontId="57" fillId="2" borderId="3" xfId="0" applyFont="1" applyFill="1" applyBorder="1" applyAlignment="1">
      <alignment horizontal="left"/>
    </xf>
    <xf numFmtId="0" fontId="57" fillId="2" borderId="4" xfId="0" applyFont="1" applyFill="1" applyBorder="1" applyAlignment="1">
      <alignment horizontal="left"/>
    </xf>
    <xf numFmtId="165" fontId="59" fillId="0" borderId="28" xfId="1" quotePrefix="1" applyNumberFormat="1" applyFont="1" applyFill="1" applyBorder="1" applyAlignment="1">
      <alignment horizontal="right"/>
    </xf>
    <xf numFmtId="166" fontId="73" fillId="0" borderId="5" xfId="2" quotePrefix="1" applyNumberFormat="1" applyFont="1" applyFill="1" applyBorder="1" applyAlignment="1">
      <alignment horizontal="right"/>
    </xf>
    <xf numFmtId="164" fontId="52" fillId="0" borderId="5" xfId="1" quotePrefix="1" applyNumberFormat="1" applyFont="1" applyFill="1" applyBorder="1" applyAlignment="1">
      <alignment horizontal="right"/>
    </xf>
    <xf numFmtId="9" fontId="4" fillId="0" borderId="5" xfId="2" applyFont="1" applyFill="1" applyBorder="1" applyAlignment="1">
      <alignment horizontal="right"/>
    </xf>
    <xf numFmtId="7" fontId="4" fillId="0" borderId="28" xfId="1" applyNumberFormat="1" applyFont="1" applyFill="1" applyBorder="1" applyAlignment="1">
      <alignment horizontal="right"/>
    </xf>
    <xf numFmtId="164" fontId="2" fillId="2" borderId="2" xfId="1" quotePrefix="1" applyNumberFormat="1" applyFont="1" applyFill="1" applyBorder="1" applyAlignment="1">
      <alignment horizontal="right"/>
    </xf>
    <xf numFmtId="164" fontId="2" fillId="2" borderId="29" xfId="1" quotePrefix="1" applyNumberFormat="1" applyFont="1" applyFill="1" applyBorder="1" applyAlignment="1">
      <alignment horizontal="right"/>
    </xf>
    <xf numFmtId="165" fontId="60" fillId="0" borderId="0" xfId="1" applyNumberFormat="1" applyFont="1" applyAlignment="1">
      <alignment horizontal="right"/>
    </xf>
    <xf numFmtId="165" fontId="60" fillId="0" borderId="5" xfId="1" applyNumberFormat="1" applyFont="1" applyBorder="1" applyAlignment="1">
      <alignment horizontal="right"/>
    </xf>
    <xf numFmtId="165" fontId="60" fillId="0" borderId="5" xfId="1" applyNumberFormat="1" applyFont="1" applyFill="1" applyBorder="1" applyAlignment="1">
      <alignment horizontal="right"/>
    </xf>
    <xf numFmtId="165" fontId="52" fillId="3" borderId="0" xfId="1" quotePrefix="1" applyNumberFormat="1" applyFont="1" applyFill="1" applyAlignment="1">
      <alignment horizontal="right"/>
    </xf>
    <xf numFmtId="165" fontId="52" fillId="3" borderId="5" xfId="1" quotePrefix="1" applyNumberFormat="1" applyFont="1" applyFill="1" applyBorder="1" applyAlignment="1">
      <alignment horizontal="right"/>
    </xf>
    <xf numFmtId="0" fontId="58" fillId="0" borderId="3" xfId="3" applyFont="1" applyBorder="1" applyAlignment="1">
      <alignment horizontal="left" vertical="top"/>
    </xf>
    <xf numFmtId="0" fontId="58" fillId="0" borderId="4" xfId="3" applyFont="1" applyBorder="1" applyAlignment="1">
      <alignment horizontal="left" vertical="top"/>
    </xf>
    <xf numFmtId="165" fontId="59" fillId="0" borderId="7" xfId="1" applyNumberFormat="1" applyFont="1" applyBorder="1" applyAlignment="1">
      <alignment horizontal="right"/>
    </xf>
    <xf numFmtId="165" fontId="59" fillId="0" borderId="8" xfId="1" applyNumberFormat="1" applyFont="1" applyBorder="1" applyAlignment="1">
      <alignment horizontal="right"/>
    </xf>
    <xf numFmtId="165" fontId="4" fillId="0" borderId="0" xfId="0" applyNumberFormat="1" applyFont="1" applyAlignment="1">
      <alignment horizontal="left"/>
    </xf>
    <xf numFmtId="43" fontId="53" fillId="0" borderId="0" xfId="0" applyNumberFormat="1" applyFont="1" applyAlignment="1">
      <alignment horizontal="left"/>
    </xf>
    <xf numFmtId="165" fontId="53" fillId="0" borderId="9" xfId="1" applyNumberFormat="1" applyFont="1" applyFill="1" applyBorder="1" applyAlignment="1">
      <alignment horizontal="right"/>
    </xf>
    <xf numFmtId="165" fontId="53" fillId="0" borderId="9" xfId="1" applyNumberFormat="1" applyFont="1" applyBorder="1" applyAlignment="1">
      <alignment horizontal="right"/>
    </xf>
    <xf numFmtId="0" fontId="74" fillId="0" borderId="4" xfId="0" applyFont="1" applyBorder="1" applyAlignment="1">
      <alignment horizontal="left"/>
    </xf>
    <xf numFmtId="165" fontId="58" fillId="0" borderId="0" xfId="1" quotePrefix="1" applyNumberFormat="1" applyFont="1" applyFill="1" applyAlignment="1">
      <alignment horizontal="right"/>
    </xf>
    <xf numFmtId="164" fontId="58" fillId="0" borderId="0" xfId="1" quotePrefix="1" applyNumberFormat="1" applyFont="1" applyAlignment="1">
      <alignment horizontal="right"/>
    </xf>
    <xf numFmtId="164" fontId="58" fillId="0" borderId="0" xfId="1" quotePrefix="1" applyNumberFormat="1" applyFont="1" applyFill="1" applyAlignment="1">
      <alignment horizontal="right"/>
    </xf>
    <xf numFmtId="164" fontId="58" fillId="9" borderId="0" xfId="1" quotePrefix="1" applyNumberFormat="1" applyFont="1" applyFill="1" applyAlignment="1">
      <alignment horizontal="right"/>
    </xf>
    <xf numFmtId="164" fontId="4" fillId="0" borderId="5" xfId="1" quotePrefix="1" applyNumberFormat="1" applyFont="1" applyBorder="1" applyAlignment="1">
      <alignment horizontal="right"/>
    </xf>
    <xf numFmtId="165" fontId="58" fillId="0" borderId="0" xfId="1" quotePrefix="1" applyNumberFormat="1" applyFont="1" applyAlignment="1">
      <alignment horizontal="right"/>
    </xf>
    <xf numFmtId="43" fontId="58" fillId="0" borderId="5" xfId="1" quotePrefix="1" applyFont="1" applyBorder="1" applyAlignment="1">
      <alignment horizontal="right"/>
    </xf>
    <xf numFmtId="166" fontId="58" fillId="0" borderId="0" xfId="2" quotePrefix="1" applyNumberFormat="1" applyFont="1" applyFill="1" applyAlignment="1">
      <alignment horizontal="right"/>
    </xf>
    <xf numFmtId="166" fontId="58" fillId="0" borderId="5" xfId="2" quotePrefix="1" applyNumberFormat="1" applyFont="1" applyBorder="1" applyAlignment="1">
      <alignment horizontal="right"/>
    </xf>
    <xf numFmtId="166" fontId="58" fillId="9" borderId="0" xfId="2" quotePrefix="1" applyNumberFormat="1" applyFont="1" applyFill="1" applyAlignment="1">
      <alignment horizontal="right"/>
    </xf>
    <xf numFmtId="166" fontId="58" fillId="9" borderId="4" xfId="2" applyNumberFormat="1" applyFont="1" applyFill="1" applyBorder="1" applyAlignment="1">
      <alignment horizontal="right"/>
    </xf>
    <xf numFmtId="166" fontId="58" fillId="0" borderId="0" xfId="2" quotePrefix="1" applyNumberFormat="1" applyFont="1" applyBorder="1" applyAlignment="1">
      <alignment horizontal="right"/>
    </xf>
    <xf numFmtId="166" fontId="58" fillId="0" borderId="0" xfId="2" applyNumberFormat="1" applyFont="1" applyFill="1" applyBorder="1" applyAlignment="1">
      <alignment horizontal="right"/>
    </xf>
    <xf numFmtId="166" fontId="58" fillId="0" borderId="0" xfId="2" quotePrefix="1" applyNumberFormat="1" applyFont="1" applyFill="1" applyBorder="1" applyAlignment="1">
      <alignment horizontal="right"/>
    </xf>
    <xf numFmtId="166" fontId="58" fillId="9" borderId="0" xfId="2" applyNumberFormat="1" applyFont="1" applyFill="1" applyBorder="1" applyAlignment="1">
      <alignment horizontal="right"/>
    </xf>
    <xf numFmtId="166" fontId="58" fillId="9" borderId="0" xfId="2" quotePrefix="1" applyNumberFormat="1" applyFont="1" applyFill="1" applyBorder="1" applyAlignment="1">
      <alignment horizontal="right"/>
    </xf>
    <xf numFmtId="166" fontId="4" fillId="0" borderId="5" xfId="2" quotePrefix="1" applyNumberFormat="1" applyFont="1" applyBorder="1" applyAlignment="1">
      <alignment horizontal="right"/>
    </xf>
    <xf numFmtId="0" fontId="75" fillId="0" borderId="23" xfId="0" applyFont="1" applyBorder="1" applyAlignment="1">
      <alignment horizontal="left"/>
    </xf>
    <xf numFmtId="166" fontId="58" fillId="0" borderId="27" xfId="2" quotePrefix="1" applyNumberFormat="1" applyFont="1" applyFill="1" applyBorder="1" applyAlignment="1">
      <alignment horizontal="right"/>
    </xf>
    <xf numFmtId="166" fontId="58" fillId="0" borderId="27" xfId="2" applyNumberFormat="1" applyFont="1" applyFill="1" applyBorder="1" applyAlignment="1">
      <alignment horizontal="right"/>
    </xf>
    <xf numFmtId="166" fontId="58" fillId="0" borderId="28" xfId="2" quotePrefix="1" applyNumberFormat="1" applyFont="1" applyFill="1" applyBorder="1" applyAlignment="1">
      <alignment horizontal="right"/>
    </xf>
    <xf numFmtId="166" fontId="4" fillId="0" borderId="28" xfId="2" quotePrefix="1" applyNumberFormat="1" applyFont="1" applyFill="1" applyBorder="1" applyAlignment="1">
      <alignment horizontal="right"/>
    </xf>
    <xf numFmtId="0" fontId="4" fillId="0" borderId="27" xfId="0" applyFont="1" applyBorder="1"/>
    <xf numFmtId="165" fontId="58" fillId="0" borderId="4" xfId="1" applyNumberFormat="1" applyFont="1" applyBorder="1" applyAlignment="1">
      <alignment horizontal="left"/>
    </xf>
    <xf numFmtId="165" fontId="58" fillId="0" borderId="0" xfId="1" quotePrefix="1" applyNumberFormat="1" applyFont="1" applyBorder="1" applyAlignment="1">
      <alignment horizontal="right"/>
    </xf>
    <xf numFmtId="165" fontId="58" fillId="0" borderId="0" xfId="1" quotePrefix="1" applyNumberFormat="1" applyFont="1" applyFill="1" applyBorder="1" applyAlignment="1">
      <alignment horizontal="right"/>
    </xf>
    <xf numFmtId="165" fontId="58" fillId="9" borderId="0" xfId="1" applyNumberFormat="1" applyFont="1" applyFill="1" applyBorder="1" applyAlignment="1">
      <alignment horizontal="right"/>
    </xf>
    <xf numFmtId="165" fontId="58" fillId="9" borderId="0" xfId="1" quotePrefix="1" applyNumberFormat="1" applyFont="1" applyFill="1" applyBorder="1" applyAlignment="1">
      <alignment horizontal="right"/>
    </xf>
    <xf numFmtId="165" fontId="4" fillId="0" borderId="0" xfId="1" applyNumberFormat="1" applyFont="1" applyBorder="1"/>
    <xf numFmtId="9" fontId="58" fillId="0" borderId="0" xfId="2" applyFont="1" applyFill="1" applyBorder="1" applyAlignment="1">
      <alignment horizontal="right"/>
    </xf>
    <xf numFmtId="165" fontId="59" fillId="0" borderId="0" xfId="1" quotePrefix="1" applyNumberFormat="1" applyFont="1" applyBorder="1" applyAlignment="1">
      <alignment horizontal="right"/>
    </xf>
    <xf numFmtId="164" fontId="59" fillId="0" borderId="0" xfId="1" quotePrefix="1" applyNumberFormat="1" applyFont="1" applyBorder="1" applyAlignment="1">
      <alignment horizontal="right"/>
    </xf>
    <xf numFmtId="227" fontId="59" fillId="0" borderId="5" xfId="1" quotePrefix="1" applyNumberFormat="1" applyFont="1" applyFill="1" applyBorder="1" applyAlignment="1">
      <alignment horizontal="right"/>
    </xf>
    <xf numFmtId="9" fontId="59" fillId="0" borderId="0" xfId="2" quotePrefix="1" applyFont="1" applyBorder="1" applyAlignment="1">
      <alignment horizontal="right"/>
    </xf>
    <xf numFmtId="0" fontId="58" fillId="0" borderId="3" xfId="0" applyFont="1" applyBorder="1"/>
    <xf numFmtId="0" fontId="58" fillId="0" borderId="0" xfId="0" applyFont="1" applyAlignment="1">
      <alignment horizontal="right"/>
    </xf>
    <xf numFmtId="43" fontId="58" fillId="0" borderId="0" xfId="1" quotePrefix="1" applyFont="1" applyBorder="1" applyAlignment="1">
      <alignment horizontal="right"/>
    </xf>
    <xf numFmtId="0" fontId="58" fillId="0" borderId="6" xfId="0" applyFont="1" applyBorder="1"/>
    <xf numFmtId="0" fontId="58" fillId="0" borderId="10" xfId="0" applyFont="1" applyBorder="1"/>
    <xf numFmtId="164" fontId="58" fillId="0" borderId="7" xfId="1" applyNumberFormat="1" applyFont="1" applyBorder="1" applyAlignment="1">
      <alignment horizontal="right"/>
    </xf>
    <xf numFmtId="0" fontId="58" fillId="0" borderId="7" xfId="0" applyFont="1" applyBorder="1" applyAlignment="1">
      <alignment horizontal="right"/>
    </xf>
    <xf numFmtId="43" fontId="58" fillId="0" borderId="7" xfId="1" quotePrefix="1" applyFont="1" applyBorder="1" applyAlignment="1">
      <alignment horizontal="right"/>
    </xf>
    <xf numFmtId="165" fontId="58" fillId="0" borderId="8" xfId="0" applyNumberFormat="1" applyFont="1" applyBorder="1" applyAlignment="1">
      <alignment horizontal="right"/>
    </xf>
    <xf numFmtId="165" fontId="4" fillId="0" borderId="5" xfId="1" applyNumberFormat="1" applyFont="1" applyBorder="1" applyAlignment="1">
      <alignment horizontal="right"/>
    </xf>
    <xf numFmtId="165" fontId="4" fillId="0" borderId="0" xfId="1" applyNumberFormat="1" applyFont="1" applyAlignment="1">
      <alignment horizontal="left"/>
    </xf>
    <xf numFmtId="0" fontId="58" fillId="0" borderId="12" xfId="0" applyFont="1" applyBorder="1"/>
    <xf numFmtId="0" fontId="58" fillId="0" borderId="13" xfId="0" applyFont="1" applyBorder="1"/>
    <xf numFmtId="165" fontId="58" fillId="11" borderId="27" xfId="1" applyNumberFormat="1" applyFont="1" applyFill="1" applyBorder="1" applyAlignment="1">
      <alignment horizontal="right"/>
    </xf>
    <xf numFmtId="165" fontId="4" fillId="11" borderId="27" xfId="1" applyNumberFormat="1" applyFont="1" applyFill="1" applyBorder="1" applyAlignment="1">
      <alignment horizontal="left"/>
    </xf>
    <xf numFmtId="165" fontId="4" fillId="11" borderId="27" xfId="1" applyNumberFormat="1" applyFont="1" applyFill="1" applyBorder="1" applyAlignment="1">
      <alignment horizontal="right"/>
    </xf>
    <xf numFmtId="165" fontId="58" fillId="11" borderId="28" xfId="1" applyNumberFormat="1" applyFont="1" applyFill="1" applyBorder="1" applyAlignment="1">
      <alignment horizontal="right"/>
    </xf>
    <xf numFmtId="0" fontId="58" fillId="11" borderId="3" xfId="0" applyFont="1" applyFill="1" applyBorder="1" applyAlignment="1">
      <alignment horizontal="left"/>
    </xf>
    <xf numFmtId="0" fontId="58" fillId="11" borderId="4" xfId="0" applyFont="1" applyFill="1" applyBorder="1" applyAlignment="1">
      <alignment horizontal="left"/>
    </xf>
    <xf numFmtId="165" fontId="58" fillId="11" borderId="0" xfId="1" applyNumberFormat="1" applyFont="1" applyFill="1" applyAlignment="1">
      <alignment horizontal="right"/>
    </xf>
    <xf numFmtId="165" fontId="58" fillId="11" borderId="5" xfId="1" applyNumberFormat="1" applyFont="1" applyFill="1" applyBorder="1" applyAlignment="1">
      <alignment horizontal="right"/>
    </xf>
    <xf numFmtId="165" fontId="60" fillId="11" borderId="0" xfId="1" applyNumberFormat="1" applyFont="1" applyFill="1" applyAlignment="1">
      <alignment horizontal="right"/>
    </xf>
    <xf numFmtId="165" fontId="60" fillId="11" borderId="5" xfId="1" applyNumberFormat="1" applyFont="1" applyFill="1" applyBorder="1" applyAlignment="1">
      <alignment horizontal="right"/>
    </xf>
    <xf numFmtId="165" fontId="59" fillId="11" borderId="0" xfId="1" applyNumberFormat="1" applyFont="1" applyFill="1" applyAlignment="1">
      <alignment horizontal="right"/>
    </xf>
    <xf numFmtId="165" fontId="59" fillId="11" borderId="5" xfId="1" applyNumberFormat="1" applyFont="1" applyFill="1" applyBorder="1" applyAlignment="1">
      <alignment horizontal="right"/>
    </xf>
    <xf numFmtId="165" fontId="58" fillId="0" borderId="27" xfId="1" applyNumberFormat="1" applyFont="1" applyBorder="1" applyAlignment="1">
      <alignment horizontal="right"/>
    </xf>
    <xf numFmtId="165" fontId="4" fillId="0" borderId="27" xfId="1" applyNumberFormat="1" applyFont="1" applyBorder="1" applyAlignment="1">
      <alignment horizontal="right"/>
    </xf>
    <xf numFmtId="165" fontId="4" fillId="0" borderId="28" xfId="1" applyNumberFormat="1" applyFont="1" applyBorder="1" applyAlignment="1">
      <alignment horizontal="right"/>
    </xf>
    <xf numFmtId="165" fontId="4" fillId="0" borderId="27" xfId="1" applyNumberFormat="1" applyFont="1" applyFill="1" applyBorder="1" applyAlignment="1">
      <alignment horizontal="right"/>
    </xf>
    <xf numFmtId="165" fontId="58" fillId="0" borderId="28" xfId="1" applyNumberFormat="1" applyFont="1" applyBorder="1" applyAlignment="1">
      <alignment horizontal="right"/>
    </xf>
    <xf numFmtId="0" fontId="58" fillId="11" borderId="0" xfId="0" applyFont="1" applyFill="1" applyAlignment="1">
      <alignment horizontal="left"/>
    </xf>
    <xf numFmtId="0" fontId="61" fillId="11" borderId="4" xfId="0" applyFont="1" applyFill="1" applyBorder="1" applyAlignment="1">
      <alignment horizontal="left"/>
    </xf>
    <xf numFmtId="165" fontId="58" fillId="0" borderId="27" xfId="1" applyNumberFormat="1" applyFont="1" applyFill="1" applyBorder="1" applyAlignment="1">
      <alignment horizontal="right"/>
    </xf>
    <xf numFmtId="165" fontId="58" fillId="9" borderId="27" xfId="1" applyNumberFormat="1" applyFont="1" applyFill="1" applyBorder="1" applyAlignment="1">
      <alignment horizontal="right"/>
    </xf>
    <xf numFmtId="165" fontId="59" fillId="11" borderId="28" xfId="1" applyNumberFormat="1" applyFont="1" applyFill="1" applyBorder="1" applyAlignment="1">
      <alignment horizontal="right"/>
    </xf>
    <xf numFmtId="165" fontId="4" fillId="11" borderId="0" xfId="1" applyNumberFormat="1" applyFont="1" applyFill="1" applyAlignment="1">
      <alignment horizontal="right"/>
    </xf>
    <xf numFmtId="165" fontId="58" fillId="11" borderId="26" xfId="1" applyNumberFormat="1" applyFont="1" applyFill="1" applyBorder="1" applyAlignment="1">
      <alignment horizontal="right"/>
    </xf>
    <xf numFmtId="165" fontId="58" fillId="11" borderId="25" xfId="1" applyNumberFormat="1" applyFont="1" applyFill="1" applyBorder="1" applyAlignment="1">
      <alignment horizontal="right"/>
    </xf>
    <xf numFmtId="43" fontId="58" fillId="0" borderId="7" xfId="1" applyFont="1" applyBorder="1" applyAlignment="1">
      <alignment horizontal="right"/>
    </xf>
    <xf numFmtId="43" fontId="58" fillId="0" borderId="8" xfId="1" applyFont="1" applyBorder="1" applyAlignment="1">
      <alignment horizontal="right"/>
    </xf>
    <xf numFmtId="165" fontId="4" fillId="0" borderId="2" xfId="1" applyNumberFormat="1" applyFont="1" applyBorder="1" applyAlignment="1">
      <alignment horizontal="right"/>
    </xf>
    <xf numFmtId="164" fontId="76" fillId="0" borderId="0" xfId="1" quotePrefix="1" applyNumberFormat="1" applyFont="1" applyAlignment="1">
      <alignment horizontal="right"/>
    </xf>
    <xf numFmtId="164" fontId="76" fillId="0" borderId="5" xfId="1" quotePrefix="1" applyNumberFormat="1" applyFont="1" applyBorder="1" applyAlignment="1">
      <alignment horizontal="right"/>
    </xf>
    <xf numFmtId="166" fontId="58" fillId="0" borderId="0" xfId="2" quotePrefix="1" applyNumberFormat="1" applyFont="1" applyAlignment="1">
      <alignment horizontal="right"/>
    </xf>
    <xf numFmtId="9" fontId="58" fillId="0" borderId="0" xfId="2" quotePrefix="1" applyFont="1" applyAlignment="1">
      <alignment horizontal="right"/>
    </xf>
    <xf numFmtId="9" fontId="58" fillId="0" borderId="5" xfId="2" quotePrefix="1" applyFont="1" applyBorder="1" applyAlignment="1">
      <alignment horizontal="right"/>
    </xf>
    <xf numFmtId="9" fontId="58" fillId="0" borderId="0" xfId="2" quotePrefix="1" applyFont="1" applyFill="1" applyAlignment="1">
      <alignment horizontal="right"/>
    </xf>
    <xf numFmtId="9" fontId="58" fillId="9" borderId="0" xfId="2" quotePrefix="1" applyFont="1" applyFill="1" applyAlignment="1">
      <alignment horizontal="right"/>
    </xf>
    <xf numFmtId="0" fontId="4" fillId="0" borderId="4" xfId="0" applyFont="1" applyBorder="1" applyAlignment="1">
      <alignment horizontal="left"/>
    </xf>
    <xf numFmtId="10" fontId="60" fillId="0" borderId="5" xfId="2" applyNumberFormat="1" applyFont="1" applyFill="1" applyBorder="1" applyAlignment="1">
      <alignment horizontal="right"/>
    </xf>
    <xf numFmtId="164" fontId="58" fillId="0" borderId="0" xfId="2" applyNumberFormat="1" applyFont="1" applyFill="1" applyAlignment="1">
      <alignment horizontal="right"/>
    </xf>
    <xf numFmtId="10" fontId="4" fillId="0" borderId="5" xfId="2" quotePrefix="1" applyNumberFormat="1" applyFont="1" applyFill="1" applyBorder="1" applyAlignment="1">
      <alignment horizontal="right"/>
    </xf>
    <xf numFmtId="164" fontId="58" fillId="9" borderId="0" xfId="2" applyNumberFormat="1" applyFont="1" applyFill="1" applyAlignment="1">
      <alignment horizontal="right"/>
    </xf>
    <xf numFmtId="164" fontId="59" fillId="0" borderId="25" xfId="1" applyNumberFormat="1" applyFont="1" applyFill="1" applyBorder="1" applyAlignment="1">
      <alignment horizontal="right"/>
    </xf>
    <xf numFmtId="165" fontId="62" fillId="0" borderId="5" xfId="1" applyNumberFormat="1" applyFont="1" applyBorder="1" applyAlignment="1">
      <alignment horizontal="right"/>
    </xf>
    <xf numFmtId="9" fontId="58" fillId="0" borderId="5" xfId="2" quotePrefix="1" applyFont="1" applyFill="1" applyBorder="1" applyAlignment="1">
      <alignment horizontal="right"/>
    </xf>
    <xf numFmtId="0" fontId="4" fillId="0" borderId="10" xfId="0" applyFont="1" applyBorder="1" applyAlignment="1">
      <alignment horizontal="left"/>
    </xf>
    <xf numFmtId="165" fontId="58" fillId="0" borderId="7" xfId="1" quotePrefix="1" applyNumberFormat="1" applyFont="1" applyFill="1" applyBorder="1" applyAlignment="1">
      <alignment horizontal="right"/>
    </xf>
    <xf numFmtId="165" fontId="58" fillId="0" borderId="7" xfId="1" applyNumberFormat="1" applyFont="1" applyFill="1" applyBorder="1" applyAlignment="1">
      <alignment horizontal="right"/>
    </xf>
    <xf numFmtId="165" fontId="58" fillId="0" borderId="8" xfId="1" quotePrefix="1" applyNumberFormat="1" applyFont="1" applyFill="1" applyBorder="1" applyAlignment="1">
      <alignment horizontal="right"/>
    </xf>
    <xf numFmtId="165" fontId="59" fillId="0" borderId="8" xfId="1" quotePrefix="1" applyNumberFormat="1" applyFont="1" applyFill="1" applyBorder="1" applyAlignment="1">
      <alignment horizontal="right"/>
    </xf>
    <xf numFmtId="9" fontId="73" fillId="0" borderId="0" xfId="2" applyFont="1" applyFill="1"/>
    <xf numFmtId="9" fontId="73" fillId="0" borderId="0" xfId="2" applyFont="1" applyFill="1" applyAlignment="1">
      <alignment horizontal="right"/>
    </xf>
    <xf numFmtId="165" fontId="63" fillId="0" borderId="0" xfId="2" applyNumberFormat="1" applyFont="1" applyAlignment="1">
      <alignment horizontal="right"/>
    </xf>
    <xf numFmtId="166" fontId="63" fillId="0" borderId="0" xfId="2" applyNumberFormat="1" applyFont="1" applyFill="1" applyAlignment="1">
      <alignment horizontal="right"/>
    </xf>
    <xf numFmtId="10" fontId="73" fillId="0" borderId="0" xfId="2" applyNumberFormat="1" applyFont="1" applyFill="1"/>
    <xf numFmtId="43" fontId="4" fillId="0" borderId="25" xfId="1" quotePrefix="1" applyFont="1" applyBorder="1" applyAlignment="1">
      <alignment horizontal="right"/>
    </xf>
    <xf numFmtId="9" fontId="59" fillId="0" borderId="5" xfId="2" quotePrefix="1" applyFont="1" applyBorder="1" applyAlignment="1">
      <alignment horizontal="right"/>
    </xf>
    <xf numFmtId="167" fontId="58" fillId="0" borderId="28" xfId="1" applyNumberFormat="1" applyFont="1" applyBorder="1" applyAlignment="1">
      <alignment horizontal="right"/>
    </xf>
    <xf numFmtId="166" fontId="59" fillId="0" borderId="5" xfId="2" applyNumberFormat="1" applyFont="1" applyFill="1" applyBorder="1" applyAlignment="1">
      <alignment horizontal="right"/>
    </xf>
    <xf numFmtId="43" fontId="4" fillId="0" borderId="5" xfId="1" quotePrefix="1" applyFont="1" applyBorder="1" applyAlignment="1">
      <alignment horizontal="right"/>
    </xf>
    <xf numFmtId="167" fontId="4" fillId="0" borderId="5" xfId="1" quotePrefix="1" applyNumberFormat="1" applyFont="1" applyBorder="1" applyAlignment="1">
      <alignment horizontal="right"/>
    </xf>
    <xf numFmtId="165" fontId="4" fillId="0" borderId="0" xfId="2" applyNumberFormat="1" applyFont="1" applyFill="1"/>
    <xf numFmtId="166" fontId="4" fillId="0" borderId="0" xfId="2" applyNumberFormat="1" applyFont="1" applyFill="1"/>
    <xf numFmtId="0" fontId="73" fillId="0" borderId="0" xfId="0" applyFont="1"/>
    <xf numFmtId="166" fontId="73" fillId="0" borderId="0" xfId="0" applyNumberFormat="1" applyFont="1" applyAlignment="1">
      <alignment horizontal="right"/>
    </xf>
    <xf numFmtId="166" fontId="73" fillId="0" borderId="0" xfId="2" applyNumberFormat="1" applyFont="1"/>
    <xf numFmtId="43" fontId="73" fillId="0" borderId="0" xfId="2" applyNumberFormat="1" applyFont="1" applyFill="1"/>
    <xf numFmtId="0" fontId="58" fillId="0" borderId="6" xfId="0" applyFont="1" applyBorder="1" applyAlignment="1">
      <alignment horizontal="left" indent="1"/>
    </xf>
    <xf numFmtId="165" fontId="58" fillId="0" borderId="5" xfId="0" applyNumberFormat="1" applyFont="1" applyBorder="1" applyAlignment="1">
      <alignment horizontal="right"/>
    </xf>
    <xf numFmtId="165" fontId="58" fillId="9" borderId="5" xfId="0" applyNumberFormat="1" applyFont="1" applyFill="1" applyBorder="1" applyAlignment="1">
      <alignment horizontal="right"/>
    </xf>
    <xf numFmtId="43" fontId="73" fillId="0" borderId="0" xfId="1" applyFont="1" applyFill="1"/>
    <xf numFmtId="166" fontId="4" fillId="0" borderId="28" xfId="2" applyNumberFormat="1" applyFont="1" applyBorder="1" applyAlignment="1">
      <alignment horizontal="right"/>
    </xf>
    <xf numFmtId="166" fontId="73" fillId="0" borderId="0" xfId="2" applyNumberFormat="1" applyFont="1" applyFill="1"/>
    <xf numFmtId="43" fontId="63" fillId="0" borderId="0" xfId="1" applyFont="1" applyFill="1" applyAlignment="1">
      <alignment horizontal="right"/>
    </xf>
    <xf numFmtId="7" fontId="58" fillId="12" borderId="27" xfId="1" applyNumberFormat="1" applyFont="1" applyFill="1" applyBorder="1" applyAlignment="1">
      <alignment horizontal="right"/>
    </xf>
    <xf numFmtId="165" fontId="59" fillId="12" borderId="8" xfId="1" quotePrefix="1" applyNumberFormat="1" applyFont="1" applyFill="1" applyBorder="1" applyAlignment="1">
      <alignment horizontal="right"/>
    </xf>
    <xf numFmtId="0" fontId="58" fillId="0" borderId="1" xfId="0" applyFont="1" applyBorder="1"/>
    <xf numFmtId="0" fontId="4" fillId="0" borderId="2" xfId="0" applyFont="1" applyBorder="1"/>
    <xf numFmtId="164" fontId="4" fillId="0" borderId="2" xfId="1" applyNumberFormat="1" applyFont="1" applyBorder="1" applyAlignment="1">
      <alignment horizontal="right"/>
    </xf>
    <xf numFmtId="0" fontId="4" fillId="0" borderId="2" xfId="0" applyFont="1" applyBorder="1" applyAlignment="1">
      <alignment horizontal="right"/>
    </xf>
    <xf numFmtId="164" fontId="4" fillId="0" borderId="0" xfId="1" applyNumberFormat="1" applyFont="1" applyBorder="1" applyAlignment="1">
      <alignment horizontal="right"/>
    </xf>
    <xf numFmtId="0" fontId="4" fillId="0" borderId="7" xfId="0" applyFont="1" applyBorder="1"/>
    <xf numFmtId="164" fontId="4" fillId="0" borderId="7" xfId="1" applyNumberFormat="1" applyFont="1" applyBorder="1" applyAlignment="1">
      <alignment horizontal="right"/>
    </xf>
    <xf numFmtId="0" fontId="4" fillId="0" borderId="7" xfId="0" applyFont="1" applyBorder="1" applyAlignment="1">
      <alignment horizontal="right"/>
    </xf>
    <xf numFmtId="166" fontId="58" fillId="0" borderId="29" xfId="2" applyNumberFormat="1" applyFont="1" applyBorder="1" applyAlignment="1">
      <alignment horizontal="right"/>
    </xf>
    <xf numFmtId="166" fontId="58" fillId="12" borderId="8" xfId="0" applyNumberFormat="1" applyFont="1" applyFill="1" applyBorder="1" applyAlignment="1">
      <alignment horizontal="right"/>
    </xf>
    <xf numFmtId="227" fontId="59" fillId="12" borderId="5" xfId="1" quotePrefix="1" applyNumberFormat="1" applyFont="1" applyFill="1" applyBorder="1" applyAlignment="1">
      <alignment horizontal="right"/>
    </xf>
    <xf numFmtId="166" fontId="58" fillId="12" borderId="5" xfId="2" applyNumberFormat="1" applyFont="1" applyFill="1" applyBorder="1" applyAlignment="1">
      <alignment horizontal="right"/>
    </xf>
    <xf numFmtId="43" fontId="58" fillId="0" borderId="0" xfId="1" applyFont="1" applyAlignment="1">
      <alignment horizontal="right"/>
    </xf>
    <xf numFmtId="225" fontId="58" fillId="0" borderId="0" xfId="1" applyNumberFormat="1" applyFont="1" applyAlignment="1">
      <alignment horizontal="right"/>
    </xf>
    <xf numFmtId="0" fontId="58" fillId="0" borderId="2" xfId="0" applyFont="1" applyBorder="1"/>
    <xf numFmtId="164" fontId="58" fillId="0" borderId="2" xfId="1" applyNumberFormat="1" applyFont="1" applyBorder="1" applyAlignment="1">
      <alignment horizontal="right"/>
    </xf>
    <xf numFmtId="0" fontId="58" fillId="0" borderId="2" xfId="0" applyFont="1" applyBorder="1" applyAlignment="1">
      <alignment horizontal="right"/>
    </xf>
    <xf numFmtId="0" fontId="58" fillId="0" borderId="11" xfId="0" applyFont="1" applyBorder="1" applyAlignment="1">
      <alignment horizontal="right"/>
    </xf>
    <xf numFmtId="0" fontId="58" fillId="0" borderId="7" xfId="0" applyFont="1" applyBorder="1"/>
    <xf numFmtId="0" fontId="58" fillId="0" borderId="10" xfId="0" applyFont="1" applyBorder="1" applyAlignment="1">
      <alignment horizontal="right"/>
    </xf>
    <xf numFmtId="43" fontId="64" fillId="12" borderId="30" xfId="1" applyFont="1" applyFill="1" applyBorder="1" applyAlignment="1">
      <alignment horizontal="right"/>
    </xf>
    <xf numFmtId="2" fontId="58" fillId="12" borderId="29" xfId="0" applyNumberFormat="1" applyFont="1" applyFill="1" applyBorder="1" applyAlignment="1">
      <alignment horizontal="right"/>
    </xf>
    <xf numFmtId="2" fontId="58" fillId="12" borderId="8" xfId="0" applyNumberFormat="1" applyFont="1" applyFill="1" applyBorder="1" applyAlignment="1">
      <alignment horizontal="right"/>
    </xf>
    <xf numFmtId="165" fontId="58" fillId="12" borderId="5" xfId="1" applyNumberFormat="1" applyFont="1" applyFill="1" applyBorder="1" applyAlignment="1">
      <alignment horizontal="right"/>
    </xf>
    <xf numFmtId="43" fontId="64" fillId="12" borderId="32" xfId="1" applyFont="1" applyFill="1" applyBorder="1" applyAlignment="1">
      <alignment horizontal="right"/>
    </xf>
    <xf numFmtId="166" fontId="58" fillId="12" borderId="0" xfId="2" applyNumberFormat="1" applyFont="1" applyFill="1" applyAlignment="1">
      <alignment horizontal="right"/>
    </xf>
    <xf numFmtId="227" fontId="58" fillId="0" borderId="4" xfId="1" applyNumberFormat="1" applyFont="1" applyFill="1" applyBorder="1" applyAlignment="1">
      <alignment horizontal="right"/>
    </xf>
    <xf numFmtId="43" fontId="60" fillId="0" borderId="4" xfId="1" quotePrefix="1" applyFont="1" applyBorder="1" applyAlignment="1">
      <alignment horizontal="right"/>
    </xf>
    <xf numFmtId="0" fontId="59" fillId="0" borderId="6" xfId="0" applyFont="1" applyBorder="1"/>
    <xf numFmtId="228" fontId="59" fillId="0" borderId="10" xfId="1" applyNumberFormat="1" applyFont="1" applyBorder="1" applyAlignment="1">
      <alignment horizontal="right"/>
    </xf>
    <xf numFmtId="166" fontId="58" fillId="0" borderId="8" xfId="2" applyNumberFormat="1" applyFont="1" applyBorder="1" applyAlignment="1">
      <alignment horizontal="right"/>
    </xf>
    <xf numFmtId="229" fontId="58" fillId="0" borderId="0" xfId="0" applyNumberFormat="1" applyFont="1"/>
    <xf numFmtId="43" fontId="4" fillId="0" borderId="0" xfId="1" applyFont="1" applyAlignment="1">
      <alignment horizontal="right"/>
    </xf>
    <xf numFmtId="166" fontId="59" fillId="12" borderId="8" xfId="2" applyNumberFormat="1" applyFont="1" applyFill="1" applyBorder="1" applyAlignment="1">
      <alignment horizontal="right"/>
    </xf>
    <xf numFmtId="165" fontId="73" fillId="0" borderId="0" xfId="2" applyNumberFormat="1" applyFont="1" applyFill="1"/>
    <xf numFmtId="164" fontId="60" fillId="12" borderId="5" xfId="1" applyNumberFormat="1" applyFont="1" applyFill="1" applyBorder="1" applyAlignment="1">
      <alignment horizontal="right"/>
    </xf>
    <xf numFmtId="9" fontId="59" fillId="12" borderId="8" xfId="2" applyFont="1" applyFill="1" applyBorder="1" applyAlignment="1">
      <alignment horizontal="right"/>
    </xf>
    <xf numFmtId="0" fontId="77" fillId="0" borderId="3" xfId="0" applyFont="1" applyBorder="1"/>
    <xf numFmtId="0" fontId="78" fillId="0" borderId="3" xfId="0" applyFont="1" applyBorder="1"/>
    <xf numFmtId="0" fontId="80" fillId="0" borderId="12" xfId="0" applyFont="1" applyBorder="1" applyAlignment="1">
      <alignment horizontal="left" indent="1"/>
    </xf>
    <xf numFmtId="0" fontId="80" fillId="0" borderId="3" xfId="0" applyFont="1" applyBorder="1" applyAlignment="1">
      <alignment horizontal="left" indent="1"/>
    </xf>
    <xf numFmtId="0" fontId="59" fillId="0" borderId="12" xfId="0" applyFont="1" applyBorder="1" applyAlignment="1">
      <alignment horizontal="left" indent="1"/>
    </xf>
    <xf numFmtId="0" fontId="61" fillId="0" borderId="3" xfId="0" applyFont="1" applyBorder="1"/>
    <xf numFmtId="10" fontId="58" fillId="9" borderId="11" xfId="1" applyNumberFormat="1" applyFont="1" applyFill="1" applyBorder="1" applyAlignment="1">
      <alignment horizontal="right"/>
    </xf>
    <xf numFmtId="10" fontId="58" fillId="9" borderId="4" xfId="2" applyNumberFormat="1" applyFont="1" applyFill="1" applyBorder="1" applyAlignment="1">
      <alignment horizontal="right"/>
    </xf>
    <xf numFmtId="5" fontId="58" fillId="0" borderId="4" xfId="1" applyNumberFormat="1" applyFont="1" applyBorder="1" applyAlignment="1">
      <alignment horizontal="right"/>
    </xf>
    <xf numFmtId="6" fontId="58" fillId="0" borderId="10" xfId="0" applyNumberFormat="1" applyFont="1" applyBorder="1"/>
    <xf numFmtId="0" fontId="54" fillId="13" borderId="3" xfId="0" applyFont="1" applyFill="1" applyBorder="1" applyAlignment="1">
      <alignment horizontal="left"/>
    </xf>
    <xf numFmtId="0" fontId="54" fillId="13" borderId="23" xfId="0" applyFont="1" applyFill="1" applyBorder="1" applyAlignment="1">
      <alignment horizontal="left"/>
    </xf>
    <xf numFmtId="165" fontId="79" fillId="0" borderId="0" xfId="1" applyNumberFormat="1" applyFont="1" applyBorder="1" applyAlignment="1">
      <alignment horizontal="right"/>
    </xf>
    <xf numFmtId="165" fontId="80" fillId="0" borderId="26" xfId="1" applyNumberFormat="1" applyFont="1" applyBorder="1" applyAlignment="1">
      <alignment horizontal="right"/>
    </xf>
    <xf numFmtId="165" fontId="54" fillId="13" borderId="0" xfId="1" applyNumberFormat="1" applyFont="1" applyFill="1" applyBorder="1" applyAlignment="1">
      <alignment horizontal="right"/>
    </xf>
    <xf numFmtId="43" fontId="78" fillId="9" borderId="0" xfId="1" applyFont="1" applyFill="1" applyBorder="1" applyAlignment="1">
      <alignment horizontal="right"/>
    </xf>
    <xf numFmtId="43" fontId="78" fillId="0" borderId="0" xfId="1" applyFont="1" applyBorder="1" applyAlignment="1">
      <alignment horizontal="right"/>
    </xf>
    <xf numFmtId="166" fontId="78" fillId="9" borderId="0" xfId="1" applyNumberFormat="1" applyFont="1" applyFill="1" applyBorder="1" applyAlignment="1">
      <alignment horizontal="right"/>
    </xf>
    <xf numFmtId="166" fontId="80" fillId="0" borderId="0" xfId="2" applyNumberFormat="1" applyFont="1" applyBorder="1" applyAlignment="1">
      <alignment horizontal="right"/>
    </xf>
    <xf numFmtId="166" fontId="80" fillId="0" borderId="26" xfId="2" applyNumberFormat="1" applyFont="1" applyBorder="1" applyAlignment="1">
      <alignment horizontal="right"/>
    </xf>
    <xf numFmtId="166" fontId="58" fillId="0" borderId="0" xfId="2" applyNumberFormat="1" applyFont="1" applyBorder="1" applyAlignment="1">
      <alignment horizontal="right"/>
    </xf>
    <xf numFmtId="9" fontId="58" fillId="9" borderId="0" xfId="2" applyFont="1" applyFill="1" applyBorder="1" applyAlignment="1">
      <alignment horizontal="right"/>
    </xf>
    <xf numFmtId="166" fontId="59" fillId="0" borderId="26" xfId="2" applyNumberFormat="1" applyFont="1" applyBorder="1" applyAlignment="1">
      <alignment horizontal="right"/>
    </xf>
    <xf numFmtId="165" fontId="54" fillId="13" borderId="27" xfId="1" applyNumberFormat="1" applyFont="1" applyFill="1" applyBorder="1" applyAlignment="1">
      <alignment horizontal="right"/>
    </xf>
    <xf numFmtId="165" fontId="58" fillId="0" borderId="0" xfId="1" applyNumberFormat="1" applyFont="1" applyBorder="1" applyAlignment="1">
      <alignment horizontal="right"/>
    </xf>
    <xf numFmtId="43" fontId="60" fillId="0" borderId="0" xfId="1" applyFont="1" applyBorder="1" applyAlignment="1">
      <alignment horizontal="right"/>
    </xf>
    <xf numFmtId="0" fontId="56" fillId="2" borderId="29" xfId="0" applyFont="1" applyFill="1" applyBorder="1" applyAlignment="1">
      <alignment horizontal="left"/>
    </xf>
    <xf numFmtId="0" fontId="0" fillId="0" borderId="5" xfId="0" applyBorder="1"/>
    <xf numFmtId="0" fontId="0" fillId="0" borderId="8" xfId="0" applyBorder="1"/>
    <xf numFmtId="0" fontId="59" fillId="0" borderId="3" xfId="0" applyFont="1" applyBorder="1"/>
    <xf numFmtId="5" fontId="59" fillId="0" borderId="0" xfId="1" applyNumberFormat="1" applyFont="1" applyBorder="1" applyAlignment="1">
      <alignment horizontal="right"/>
    </xf>
    <xf numFmtId="0" fontId="63" fillId="0" borderId="6" xfId="0" applyFont="1" applyBorder="1" applyAlignment="1">
      <alignment horizontal="right"/>
    </xf>
    <xf numFmtId="5" fontId="81" fillId="0" borderId="10" xfId="0" applyNumberFormat="1" applyFont="1" applyBorder="1" applyAlignment="1">
      <alignment vertical="top" wrapText="1"/>
    </xf>
    <xf numFmtId="166" fontId="58" fillId="0" borderId="13" xfId="2" applyNumberFormat="1" applyFont="1" applyFill="1" applyBorder="1" applyAlignment="1">
      <alignment horizontal="right"/>
    </xf>
    <xf numFmtId="0" fontId="0" fillId="0" borderId="0" xfId="0" applyAlignment="1">
      <alignment horizontal="left" vertical="top" wrapText="1"/>
    </xf>
    <xf numFmtId="228" fontId="58" fillId="0" borderId="4" xfId="1" applyNumberFormat="1" applyFont="1" applyBorder="1" applyAlignment="1">
      <alignment horizontal="right"/>
    </xf>
    <xf numFmtId="228" fontId="58" fillId="0" borderId="11" xfId="1" applyNumberFormat="1" applyFont="1" applyBorder="1" applyAlignment="1">
      <alignment horizontal="right"/>
    </xf>
    <xf numFmtId="0" fontId="59" fillId="0" borderId="37" xfId="0" applyFont="1" applyBorder="1"/>
    <xf numFmtId="228" fontId="59" fillId="0" borderId="38" xfId="1" applyNumberFormat="1" applyFont="1" applyBorder="1" applyAlignment="1">
      <alignment horizontal="right"/>
    </xf>
    <xf numFmtId="167" fontId="59" fillId="0" borderId="5" xfId="1" quotePrefix="1" applyNumberFormat="1" applyFont="1" applyBorder="1" applyAlignment="1">
      <alignment horizontal="right"/>
    </xf>
    <xf numFmtId="230" fontId="58" fillId="0" borderId="0" xfId="1" applyNumberFormat="1" applyFont="1" applyAlignment="1">
      <alignment horizontal="right"/>
    </xf>
    <xf numFmtId="10" fontId="82" fillId="9" borderId="0" xfId="2" applyNumberFormat="1" applyFont="1" applyFill="1" applyBorder="1" applyAlignment="1">
      <alignment horizontal="right"/>
    </xf>
    <xf numFmtId="227" fontId="58" fillId="0" borderId="4" xfId="2" applyNumberFormat="1" applyFont="1" applyFill="1" applyBorder="1" applyAlignment="1">
      <alignment horizontal="right"/>
    </xf>
    <xf numFmtId="227" fontId="58" fillId="9" borderId="4" xfId="1" applyNumberFormat="1" applyFont="1" applyFill="1" applyBorder="1" applyAlignment="1">
      <alignment horizontal="right"/>
    </xf>
    <xf numFmtId="5" fontId="78" fillId="0" borderId="0" xfId="1" applyNumberFormat="1" applyFont="1" applyFill="1" applyBorder="1" applyAlignment="1">
      <alignment horizontal="right"/>
    </xf>
    <xf numFmtId="167" fontId="71" fillId="9" borderId="0" xfId="1" applyNumberFormat="1" applyFont="1" applyFill="1" applyAlignment="1">
      <alignment horizontal="right"/>
    </xf>
    <xf numFmtId="10" fontId="58" fillId="14" borderId="0" xfId="2" applyNumberFormat="1" applyFont="1" applyFill="1" applyBorder="1" applyAlignment="1">
      <alignment horizontal="right"/>
    </xf>
    <xf numFmtId="0" fontId="59" fillId="0" borderId="4" xfId="0" applyFont="1" applyBorder="1" applyAlignment="1">
      <alignment horizontal="left" indent="3"/>
    </xf>
    <xf numFmtId="0" fontId="61" fillId="0" borderId="24" xfId="0" applyFont="1" applyBorder="1" applyAlignment="1">
      <alignment horizontal="left"/>
    </xf>
    <xf numFmtId="0" fontId="2" fillId="18" borderId="0" xfId="0" applyFont="1" applyFill="1" applyAlignment="1">
      <alignment horizontal="right"/>
    </xf>
    <xf numFmtId="0" fontId="2" fillId="18" borderId="5" xfId="0" applyFont="1" applyFill="1" applyBorder="1" applyAlignment="1">
      <alignment horizontal="right"/>
    </xf>
    <xf numFmtId="0" fontId="59" fillId="17" borderId="3" xfId="0" applyFont="1" applyFill="1" applyBorder="1" applyAlignment="1">
      <alignment horizontal="right"/>
    </xf>
    <xf numFmtId="0" fontId="59" fillId="17" borderId="4" xfId="0" applyFont="1" applyFill="1" applyBorder="1" applyAlignment="1">
      <alignment horizontal="right"/>
    </xf>
    <xf numFmtId="0" fontId="2" fillId="0" borderId="8" xfId="0" applyFont="1" applyBorder="1"/>
    <xf numFmtId="0" fontId="2" fillId="0" borderId="5" xfId="0" applyFont="1" applyBorder="1"/>
    <xf numFmtId="0" fontId="2" fillId="15" borderId="3" xfId="0" applyFont="1" applyFill="1" applyBorder="1" applyAlignment="1">
      <alignment horizontal="center" wrapText="1"/>
    </xf>
    <xf numFmtId="0" fontId="0" fillId="0" borderId="0" xfId="0" applyAlignment="1">
      <alignment wrapText="1"/>
    </xf>
    <xf numFmtId="164" fontId="59" fillId="12" borderId="5" xfId="1" applyNumberFormat="1" applyFont="1" applyFill="1" applyBorder="1" applyAlignment="1">
      <alignment horizontal="right"/>
    </xf>
    <xf numFmtId="10" fontId="58" fillId="9" borderId="0" xfId="2" applyNumberFormat="1" applyFont="1" applyFill="1" applyBorder="1" applyAlignment="1">
      <alignment horizontal="right"/>
    </xf>
    <xf numFmtId="165" fontId="69" fillId="0" borderId="0" xfId="0" applyNumberFormat="1" applyFont="1" applyAlignment="1">
      <alignment horizontal="left"/>
    </xf>
    <xf numFmtId="43" fontId="84" fillId="0" borderId="0" xfId="0" applyNumberFormat="1" applyFont="1" applyAlignment="1">
      <alignment horizontal="left"/>
    </xf>
    <xf numFmtId="165" fontId="84" fillId="0" borderId="9" xfId="1" applyNumberFormat="1" applyFont="1" applyFill="1" applyBorder="1" applyAlignment="1">
      <alignment horizontal="right"/>
    </xf>
    <xf numFmtId="165" fontId="84" fillId="0" borderId="9" xfId="1" applyNumberFormat="1" applyFont="1" applyBorder="1" applyAlignment="1">
      <alignment horizontal="right"/>
    </xf>
    <xf numFmtId="0" fontId="0" fillId="0" borderId="1" xfId="0" applyBorder="1"/>
    <xf numFmtId="0" fontId="0" fillId="0" borderId="2" xfId="0" applyBorder="1"/>
    <xf numFmtId="0" fontId="2" fillId="0" borderId="2" xfId="0" applyFont="1" applyBorder="1" applyAlignment="1">
      <alignment horizontal="right"/>
    </xf>
    <xf numFmtId="6" fontId="0" fillId="0" borderId="2" xfId="0" applyNumberFormat="1" applyBorder="1"/>
    <xf numFmtId="6" fontId="0" fillId="0" borderId="11" xfId="0" applyNumberFormat="1" applyBorder="1"/>
    <xf numFmtId="0" fontId="0" fillId="0" borderId="6" xfId="0" applyBorder="1"/>
    <xf numFmtId="0" fontId="0" fillId="0" borderId="7" xfId="0" applyBorder="1"/>
    <xf numFmtId="0" fontId="2" fillId="0" borderId="7" xfId="0" applyFont="1" applyBorder="1" applyAlignment="1">
      <alignment horizontal="right"/>
    </xf>
    <xf numFmtId="227" fontId="0" fillId="0" borderId="7" xfId="0" applyNumberFormat="1" applyBorder="1"/>
    <xf numFmtId="0" fontId="0" fillId="0" borderId="10" xfId="0" applyBorder="1"/>
    <xf numFmtId="0" fontId="83" fillId="2" borderId="35" xfId="0" applyFont="1" applyFill="1" applyBorder="1" applyAlignment="1">
      <alignment horizontal="left"/>
    </xf>
    <xf numFmtId="164" fontId="58" fillId="0" borderId="4" xfId="1" applyNumberFormat="1" applyFont="1" applyBorder="1"/>
    <xf numFmtId="0" fontId="2" fillId="15" borderId="39" xfId="0" applyFont="1" applyFill="1" applyBorder="1" applyAlignment="1">
      <alignment horizontal="right" wrapText="1"/>
    </xf>
    <xf numFmtId="0" fontId="2" fillId="15" borderId="40" xfId="0" applyFont="1" applyFill="1" applyBorder="1" applyAlignment="1">
      <alignment horizontal="right" wrapText="1"/>
    </xf>
    <xf numFmtId="0" fontId="2" fillId="18" borderId="41" xfId="0" applyFont="1" applyFill="1" applyBorder="1" applyAlignment="1">
      <alignment horizontal="right"/>
    </xf>
    <xf numFmtId="0" fontId="2" fillId="18" borderId="42" xfId="0" applyFont="1" applyFill="1" applyBorder="1" applyAlignment="1">
      <alignment horizontal="right"/>
    </xf>
    <xf numFmtId="192" fontId="0" fillId="0" borderId="41" xfId="0" applyNumberFormat="1" applyBorder="1"/>
    <xf numFmtId="8" fontId="0" fillId="0" borderId="43" xfId="0" applyNumberFormat="1" applyBorder="1"/>
    <xf numFmtId="0" fontId="59" fillId="17" borderId="0" xfId="0" applyFont="1" applyFill="1" applyAlignment="1">
      <alignment horizontal="right"/>
    </xf>
    <xf numFmtId="0" fontId="59" fillId="17" borderId="46" xfId="0" applyFont="1" applyFill="1" applyBorder="1" applyAlignment="1">
      <alignment horizontal="right"/>
    </xf>
    <xf numFmtId="0" fontId="2" fillId="15" borderId="2" xfId="0" applyFont="1" applyFill="1" applyBorder="1" applyAlignment="1">
      <alignment horizontal="center" wrapText="1"/>
    </xf>
    <xf numFmtId="192" fontId="2" fillId="0" borderId="0" xfId="0" applyNumberFormat="1" applyFont="1"/>
    <xf numFmtId="8" fontId="2" fillId="0" borderId="7" xfId="0" applyNumberFormat="1" applyFont="1" applyBorder="1"/>
    <xf numFmtId="0" fontId="2" fillId="15" borderId="40" xfId="0" applyFont="1" applyFill="1" applyBorder="1" applyAlignment="1">
      <alignment horizontal="center" wrapText="1"/>
    </xf>
    <xf numFmtId="192" fontId="0" fillId="0" borderId="42" xfId="0" applyNumberFormat="1" applyBorder="1"/>
    <xf numFmtId="8" fontId="0" fillId="0" borderId="44" xfId="0" applyNumberFormat="1" applyBorder="1"/>
    <xf numFmtId="192" fontId="0" fillId="0" borderId="0" xfId="0" applyNumberFormat="1"/>
    <xf numFmtId="164" fontId="58" fillId="0" borderId="3" xfId="1" applyNumberFormat="1" applyFont="1" applyFill="1" applyBorder="1"/>
    <xf numFmtId="164" fontId="58" fillId="0" borderId="46" xfId="1" applyNumberFormat="1" applyFont="1" applyFill="1" applyBorder="1"/>
    <xf numFmtId="164" fontId="58" fillId="0" borderId="0" xfId="1" applyNumberFormat="1" applyFont="1" applyFill="1" applyBorder="1"/>
    <xf numFmtId="8" fontId="0" fillId="0" borderId="7" xfId="0" applyNumberFormat="1" applyBorder="1"/>
    <xf numFmtId="0" fontId="0" fillId="0" borderId="5" xfId="0" applyBorder="1" applyAlignment="1">
      <alignment horizontal="left" indent="1"/>
    </xf>
    <xf numFmtId="0" fontId="0" fillId="0" borderId="8" xfId="0" applyBorder="1" applyAlignment="1">
      <alignment horizontal="left" indent="1"/>
    </xf>
    <xf numFmtId="7" fontId="0" fillId="0" borderId="0" xfId="0" applyNumberFormat="1"/>
    <xf numFmtId="7" fontId="2" fillId="0" borderId="0" xfId="0" applyNumberFormat="1" applyFont="1"/>
    <xf numFmtId="9" fontId="0" fillId="0" borderId="0" xfId="2" applyFont="1" applyFill="1" applyBorder="1"/>
    <xf numFmtId="9" fontId="2" fillId="0" borderId="0" xfId="2" applyFont="1" applyFill="1" applyBorder="1"/>
    <xf numFmtId="9" fontId="0" fillId="0" borderId="41" xfId="2" applyFont="1" applyFill="1" applyBorder="1"/>
    <xf numFmtId="9" fontId="0" fillId="0" borderId="42" xfId="2" applyFont="1" applyFill="1" applyBorder="1"/>
    <xf numFmtId="9" fontId="58" fillId="0" borderId="3" xfId="2" applyFont="1" applyFill="1" applyBorder="1"/>
    <xf numFmtId="9" fontId="58" fillId="0" borderId="46" xfId="2" applyFont="1" applyFill="1" applyBorder="1"/>
    <xf numFmtId="9" fontId="58" fillId="0" borderId="0" xfId="2" applyFont="1" applyFill="1" applyBorder="1"/>
    <xf numFmtId="9" fontId="58" fillId="0" borderId="4" xfId="2" applyFont="1" applyBorder="1"/>
    <xf numFmtId="9" fontId="0" fillId="0" borderId="7" xfId="2" applyFont="1" applyFill="1" applyBorder="1"/>
    <xf numFmtId="9" fontId="2" fillId="0" borderId="7" xfId="2" applyFont="1" applyFill="1" applyBorder="1"/>
    <xf numFmtId="9" fontId="0" fillId="0" borderId="43" xfId="2" applyFont="1" applyFill="1" applyBorder="1"/>
    <xf numFmtId="9" fontId="0" fillId="0" borderId="44" xfId="2" applyFont="1" applyFill="1" applyBorder="1"/>
    <xf numFmtId="9" fontId="58" fillId="0" borderId="6" xfId="2" applyFont="1" applyFill="1" applyBorder="1"/>
    <xf numFmtId="9" fontId="58" fillId="0" borderId="47" xfId="2" applyFont="1" applyFill="1" applyBorder="1"/>
    <xf numFmtId="9" fontId="58" fillId="0" borderId="7" xfId="2" applyFont="1" applyFill="1" applyBorder="1"/>
    <xf numFmtId="9" fontId="58" fillId="0" borderId="10" xfId="2" applyFont="1" applyBorder="1"/>
    <xf numFmtId="7" fontId="0" fillId="0" borderId="41" xfId="0" applyNumberFormat="1" applyBorder="1"/>
    <xf numFmtId="7" fontId="0" fillId="0" borderId="42" xfId="0" applyNumberFormat="1" applyBorder="1"/>
    <xf numFmtId="7" fontId="0" fillId="0" borderId="3" xfId="0" applyNumberFormat="1" applyBorder="1"/>
    <xf numFmtId="7" fontId="0" fillId="0" borderId="46" xfId="0" applyNumberFormat="1" applyBorder="1"/>
    <xf numFmtId="7" fontId="0" fillId="0" borderId="48" xfId="0" applyNumberFormat="1" applyBorder="1"/>
    <xf numFmtId="7" fontId="0" fillId="0" borderId="4" xfId="0" applyNumberFormat="1" applyBorder="1"/>
    <xf numFmtId="166" fontId="58" fillId="12" borderId="29" xfId="2" applyNumberFormat="1" applyFont="1" applyFill="1" applyBorder="1" applyAlignment="1">
      <alignment horizontal="right"/>
    </xf>
    <xf numFmtId="166" fontId="58" fillId="12" borderId="8" xfId="2" applyNumberFormat="1" applyFont="1" applyFill="1" applyBorder="1" applyAlignment="1">
      <alignment horizontal="right"/>
    </xf>
    <xf numFmtId="165" fontId="58" fillId="12" borderId="29" xfId="1" applyNumberFormat="1" applyFont="1" applyFill="1" applyBorder="1" applyAlignment="1">
      <alignment horizontal="right"/>
    </xf>
    <xf numFmtId="165" fontId="58" fillId="12" borderId="8" xfId="1" applyNumberFormat="1" applyFont="1" applyFill="1" applyBorder="1" applyAlignment="1">
      <alignment horizontal="right"/>
    </xf>
    <xf numFmtId="9" fontId="1" fillId="0" borderId="42" xfId="2" applyFont="1" applyFill="1" applyBorder="1"/>
    <xf numFmtId="9" fontId="1" fillId="0" borderId="44" xfId="2" applyFont="1" applyFill="1" applyBorder="1"/>
    <xf numFmtId="164" fontId="69" fillId="0" borderId="3" xfId="1" applyNumberFormat="1" applyFont="1" applyBorder="1"/>
    <xf numFmtId="164" fontId="69" fillId="0" borderId="46" xfId="1" applyNumberFormat="1" applyFont="1" applyBorder="1"/>
    <xf numFmtId="164" fontId="69" fillId="0" borderId="0" xfId="1" applyNumberFormat="1" applyFont="1" applyBorder="1"/>
    <xf numFmtId="164" fontId="69" fillId="0" borderId="4" xfId="1" applyNumberFormat="1" applyFont="1" applyBorder="1"/>
    <xf numFmtId="43" fontId="69" fillId="0" borderId="6" xfId="1" applyFont="1" applyBorder="1"/>
    <xf numFmtId="43" fontId="69" fillId="0" borderId="47" xfId="1" applyFont="1" applyBorder="1"/>
    <xf numFmtId="43" fontId="69" fillId="0" borderId="7" xfId="1" applyFont="1" applyBorder="1"/>
    <xf numFmtId="43" fontId="69" fillId="0" borderId="4" xfId="1" applyFont="1" applyBorder="1"/>
    <xf numFmtId="43" fontId="69" fillId="0" borderId="10" xfId="1" applyFont="1" applyBorder="1"/>
    <xf numFmtId="164" fontId="69" fillId="0" borderId="3" xfId="1" applyNumberFormat="1" applyFont="1" applyFill="1" applyBorder="1"/>
    <xf numFmtId="164" fontId="69" fillId="0" borderId="46" xfId="1" applyNumberFormat="1" applyFont="1" applyFill="1" applyBorder="1"/>
    <xf numFmtId="164" fontId="69" fillId="0" borderId="0" xfId="1" applyNumberFormat="1" applyFont="1" applyFill="1" applyBorder="1"/>
    <xf numFmtId="43" fontId="69" fillId="0" borderId="6" xfId="1" applyFont="1" applyFill="1" applyBorder="1"/>
    <xf numFmtId="43" fontId="69" fillId="0" borderId="47" xfId="1" applyFont="1" applyFill="1" applyBorder="1"/>
    <xf numFmtId="43" fontId="69" fillId="0" borderId="7" xfId="1" applyFont="1" applyFill="1" applyBorder="1"/>
    <xf numFmtId="165" fontId="73" fillId="0" borderId="0" xfId="1" applyNumberFormat="1" applyFont="1" applyFill="1"/>
    <xf numFmtId="166" fontId="73" fillId="12" borderId="5" xfId="2" quotePrefix="1" applyNumberFormat="1" applyFont="1" applyFill="1" applyBorder="1" applyAlignment="1">
      <alignment horizontal="right"/>
    </xf>
    <xf numFmtId="165" fontId="58" fillId="20" borderId="0" xfId="1" applyNumberFormat="1" applyFont="1" applyFill="1" applyBorder="1" applyAlignment="1">
      <alignment horizontal="right"/>
    </xf>
    <xf numFmtId="165" fontId="58" fillId="20" borderId="0" xfId="1" applyNumberFormat="1" applyFont="1" applyFill="1" applyAlignment="1">
      <alignment horizontal="right"/>
    </xf>
    <xf numFmtId="9" fontId="62" fillId="0" borderId="0" xfId="2" applyFont="1" applyFill="1" applyBorder="1" applyAlignment="1">
      <alignment horizontal="right"/>
    </xf>
    <xf numFmtId="167" fontId="58" fillId="0" borderId="0" xfId="1" applyNumberFormat="1" applyFont="1" applyFill="1" applyBorder="1" applyAlignment="1">
      <alignment horizontal="right"/>
    </xf>
    <xf numFmtId="166" fontId="4" fillId="0" borderId="0" xfId="1" applyNumberFormat="1" applyFont="1" applyFill="1"/>
    <xf numFmtId="0" fontId="58" fillId="0" borderId="3" xfId="0" applyFont="1" applyBorder="1" applyAlignment="1">
      <alignment horizontal="left"/>
    </xf>
    <xf numFmtId="0" fontId="58" fillId="0" borderId="4" xfId="0" applyFont="1" applyBorder="1" applyAlignment="1">
      <alignment horizontal="left"/>
    </xf>
    <xf numFmtId="0" fontId="57" fillId="0" borderId="4" xfId="0" applyFont="1" applyBorder="1" applyAlignment="1">
      <alignment horizontal="center" wrapText="1"/>
    </xf>
    <xf numFmtId="0" fontId="56" fillId="2" borderId="1" xfId="0" applyFont="1" applyFill="1" applyBorder="1" applyAlignment="1">
      <alignment horizontal="left"/>
    </xf>
    <xf numFmtId="0" fontId="56" fillId="2" borderId="11" xfId="0" applyFont="1" applyFill="1" applyBorder="1" applyAlignment="1">
      <alignment horizontal="left"/>
    </xf>
    <xf numFmtId="0" fontId="57" fillId="2" borderId="3" xfId="0" applyFont="1" applyFill="1" applyBorder="1" applyAlignment="1">
      <alignment horizontal="left"/>
    </xf>
    <xf numFmtId="0" fontId="57" fillId="2" borderId="4" xfId="0" applyFont="1" applyFill="1" applyBorder="1" applyAlignment="1">
      <alignment horizontal="left"/>
    </xf>
    <xf numFmtId="0" fontId="59" fillId="0" borderId="3" xfId="0" applyFont="1" applyBorder="1" applyAlignment="1">
      <alignment horizontal="left" indent="1"/>
    </xf>
    <xf numFmtId="0" fontId="59" fillId="0" borderId="4" xfId="0" applyFont="1" applyBorder="1" applyAlignment="1">
      <alignment horizontal="left" indent="1"/>
    </xf>
    <xf numFmtId="0" fontId="58" fillId="0" borderId="3" xfId="0" applyFont="1" applyBorder="1" applyAlignment="1">
      <alignment horizontal="left" indent="2"/>
    </xf>
    <xf numFmtId="0" fontId="58" fillId="0" borderId="4" xfId="0" applyFont="1" applyBorder="1" applyAlignment="1">
      <alignment horizontal="left" indent="2"/>
    </xf>
    <xf numFmtId="0" fontId="58" fillId="0" borderId="3" xfId="0" applyFont="1" applyBorder="1" applyAlignment="1">
      <alignment horizontal="left" indent="5"/>
    </xf>
    <xf numFmtId="0" fontId="58" fillId="0" borderId="4" xfId="0" applyFont="1" applyBorder="1" applyAlignment="1">
      <alignment horizontal="left" indent="5"/>
    </xf>
    <xf numFmtId="0" fontId="59" fillId="0" borderId="3" xfId="0" applyFont="1" applyBorder="1" applyAlignment="1">
      <alignment horizontal="left" indent="3"/>
    </xf>
    <xf numFmtId="0" fontId="59" fillId="0" borderId="4" xfId="0" applyFont="1" applyBorder="1" applyAlignment="1">
      <alignment horizontal="left" indent="3"/>
    </xf>
    <xf numFmtId="0" fontId="58" fillId="0" borderId="3" xfId="0" applyFont="1" applyBorder="1" applyAlignment="1">
      <alignment horizontal="left" indent="4"/>
    </xf>
    <xf numFmtId="0" fontId="58" fillId="0" borderId="4" xfId="0" applyFont="1" applyBorder="1" applyAlignment="1">
      <alignment horizontal="left" indent="4"/>
    </xf>
    <xf numFmtId="0" fontId="61" fillId="0" borderId="23" xfId="0" applyFont="1" applyBorder="1" applyAlignment="1">
      <alignment horizontal="left"/>
    </xf>
    <xf numFmtId="0" fontId="61" fillId="0" borderId="24" xfId="0" applyFont="1" applyBorder="1" applyAlignment="1">
      <alignment horizontal="left"/>
    </xf>
    <xf numFmtId="0" fontId="56" fillId="2" borderId="3" xfId="0" applyFont="1" applyFill="1" applyBorder="1" applyAlignment="1">
      <alignment horizontal="left"/>
    </xf>
    <xf numFmtId="0" fontId="56" fillId="2" borderId="4" xfId="0" applyFont="1" applyFill="1" applyBorder="1" applyAlignment="1">
      <alignment horizontal="left"/>
    </xf>
    <xf numFmtId="0" fontId="61" fillId="0" borderId="3" xfId="0" applyFont="1" applyBorder="1" applyAlignment="1">
      <alignment horizontal="left"/>
    </xf>
    <xf numFmtId="0" fontId="61" fillId="0" borderId="4" xfId="0" applyFont="1" applyBorder="1" applyAlignment="1">
      <alignment horizontal="left"/>
    </xf>
    <xf numFmtId="0" fontId="59" fillId="0" borderId="12" xfId="0" applyFont="1" applyBorder="1" applyAlignment="1">
      <alignment horizontal="left" indent="2"/>
    </xf>
    <xf numFmtId="0" fontId="59" fillId="0" borderId="13" xfId="0" applyFont="1" applyBorder="1" applyAlignment="1">
      <alignment horizontal="left" indent="2"/>
    </xf>
    <xf numFmtId="0" fontId="59" fillId="0" borderId="12" xfId="0" applyFont="1" applyBorder="1" applyAlignment="1">
      <alignment horizontal="left"/>
    </xf>
    <xf numFmtId="0" fontId="59" fillId="0" borderId="13" xfId="0" applyFont="1" applyBorder="1" applyAlignment="1">
      <alignment horizontal="left"/>
    </xf>
    <xf numFmtId="0" fontId="58" fillId="0" borderId="3" xfId="0" applyFont="1" applyBorder="1" applyAlignment="1">
      <alignment horizontal="left" indent="1"/>
    </xf>
    <xf numFmtId="0" fontId="58" fillId="0" borderId="4" xfId="0" applyFont="1" applyBorder="1" applyAlignment="1">
      <alignment horizontal="left" indent="1"/>
    </xf>
    <xf numFmtId="0" fontId="58" fillId="0" borderId="23" xfId="0" applyFont="1" applyBorder="1" applyAlignment="1">
      <alignment horizontal="left"/>
    </xf>
    <xf numFmtId="0" fontId="58" fillId="0" borderId="24" xfId="0" applyFont="1" applyBorder="1" applyAlignment="1">
      <alignment horizontal="left"/>
    </xf>
    <xf numFmtId="0" fontId="0" fillId="0" borderId="23" xfId="0" applyBorder="1" applyAlignment="1">
      <alignment horizontal="left"/>
    </xf>
    <xf numFmtId="0" fontId="1" fillId="0" borderId="24" xfId="0" applyFont="1" applyBorder="1" applyAlignment="1">
      <alignment horizontal="left"/>
    </xf>
    <xf numFmtId="0" fontId="0" fillId="0" borderId="3" xfId="0" applyBorder="1" applyAlignment="1">
      <alignment horizontal="left"/>
    </xf>
    <xf numFmtId="0" fontId="1" fillId="0" borderId="4" xfId="0" applyFont="1" applyBorder="1" applyAlignment="1">
      <alignment horizontal="left"/>
    </xf>
    <xf numFmtId="0" fontId="0" fillId="0" borderId="12" xfId="0" applyBorder="1" applyAlignment="1">
      <alignment horizontal="left"/>
    </xf>
    <xf numFmtId="0" fontId="1" fillId="0" borderId="13" xfId="0" applyFont="1" applyBorder="1" applyAlignment="1">
      <alignment horizontal="left"/>
    </xf>
    <xf numFmtId="0" fontId="59" fillId="0" borderId="6" xfId="0" applyFont="1" applyBorder="1" applyAlignment="1">
      <alignment horizontal="left" indent="2"/>
    </xf>
    <xf numFmtId="0" fontId="59" fillId="0" borderId="10" xfId="0" applyFont="1" applyBorder="1" applyAlignment="1">
      <alignment horizontal="left" indent="2"/>
    </xf>
    <xf numFmtId="0" fontId="59" fillId="0" borderId="3" xfId="0" applyFont="1" applyBorder="1" applyAlignment="1">
      <alignment horizontal="left" indent="2"/>
    </xf>
    <xf numFmtId="0" fontId="59" fillId="0" borderId="4" xfId="0" applyFont="1" applyBorder="1" applyAlignment="1">
      <alignment horizontal="left" indent="2"/>
    </xf>
    <xf numFmtId="0" fontId="58" fillId="0" borderId="3" xfId="3" applyFont="1" applyBorder="1" applyAlignment="1">
      <alignment horizontal="left" vertical="top"/>
    </xf>
    <xf numFmtId="0" fontId="58" fillId="0" borderId="4" xfId="3" applyFont="1" applyBorder="1" applyAlignment="1">
      <alignment horizontal="left" vertical="top"/>
    </xf>
    <xf numFmtId="0" fontId="58" fillId="11" borderId="3" xfId="0" applyFont="1" applyFill="1" applyBorder="1" applyAlignment="1">
      <alignment horizontal="left"/>
    </xf>
    <xf numFmtId="0" fontId="58" fillId="11" borderId="4" xfId="0" applyFont="1" applyFill="1" applyBorder="1" applyAlignment="1">
      <alignment horizontal="left"/>
    </xf>
    <xf numFmtId="0" fontId="61" fillId="11" borderId="23" xfId="0" applyFont="1" applyFill="1" applyBorder="1" applyAlignment="1">
      <alignment horizontal="left"/>
    </xf>
    <xf numFmtId="0" fontId="61" fillId="11" borderId="24" xfId="0" applyFont="1" applyFill="1" applyBorder="1" applyAlignment="1">
      <alignment horizontal="left"/>
    </xf>
    <xf numFmtId="0" fontId="59" fillId="11" borderId="3" xfId="0" applyFont="1" applyFill="1" applyBorder="1" applyAlignment="1">
      <alignment horizontal="left" indent="1"/>
    </xf>
    <xf numFmtId="0" fontId="59" fillId="11" borderId="4" xfId="0" applyFont="1" applyFill="1" applyBorder="1" applyAlignment="1">
      <alignment horizontal="left" indent="1"/>
    </xf>
    <xf numFmtId="0" fontId="59" fillId="0" borderId="3" xfId="0" applyFont="1" applyBorder="1" applyAlignment="1">
      <alignment horizontal="left"/>
    </xf>
    <xf numFmtId="0" fontId="59" fillId="0" borderId="4" xfId="0" applyFont="1" applyBorder="1" applyAlignment="1">
      <alignment horizontal="left"/>
    </xf>
    <xf numFmtId="0" fontId="58" fillId="11" borderId="23" xfId="0" applyFont="1" applyFill="1" applyBorder="1" applyAlignment="1">
      <alignment horizontal="left"/>
    </xf>
    <xf numFmtId="0" fontId="58" fillId="11" borderId="24" xfId="0" applyFont="1" applyFill="1" applyBorder="1" applyAlignment="1">
      <alignment horizontal="left"/>
    </xf>
    <xf numFmtId="0" fontId="58" fillId="11" borderId="12" xfId="0" applyFont="1" applyFill="1" applyBorder="1" applyAlignment="1">
      <alignment horizontal="left"/>
    </xf>
    <xf numFmtId="0" fontId="58" fillId="11" borderId="13" xfId="0" applyFont="1" applyFill="1" applyBorder="1" applyAlignment="1">
      <alignment horizontal="left"/>
    </xf>
    <xf numFmtId="0" fontId="58" fillId="0" borderId="6" xfId="0" applyFont="1" applyBorder="1" applyAlignment="1">
      <alignment horizontal="left"/>
    </xf>
    <xf numFmtId="0" fontId="58" fillId="0" borderId="10" xfId="0" applyFont="1" applyBorder="1" applyAlignment="1">
      <alignment horizontal="left"/>
    </xf>
    <xf numFmtId="0" fontId="4" fillId="0" borderId="2" xfId="0" applyFont="1" applyBorder="1" applyAlignment="1">
      <alignment horizontal="left"/>
    </xf>
    <xf numFmtId="0" fontId="56" fillId="2" borderId="2" xfId="0" applyFont="1" applyFill="1" applyBorder="1" applyAlignment="1">
      <alignment horizontal="left"/>
    </xf>
    <xf numFmtId="0" fontId="0" fillId="0" borderId="35" xfId="0" applyBorder="1" applyAlignment="1">
      <alignment horizontal="left" vertical="top" wrapText="1"/>
    </xf>
    <xf numFmtId="0" fontId="0" fillId="0" borderId="9" xfId="0" applyBorder="1" applyAlignment="1">
      <alignment horizontal="left" vertical="top" wrapText="1"/>
    </xf>
    <xf numFmtId="0" fontId="0" fillId="0" borderId="36" xfId="0" applyBorder="1" applyAlignment="1">
      <alignment horizontal="left" vertical="top" wrapText="1"/>
    </xf>
    <xf numFmtId="0" fontId="0" fillId="0" borderId="1" xfId="0" applyBorder="1" applyAlignment="1">
      <alignment horizontal="left" vertical="top" wrapText="1"/>
    </xf>
    <xf numFmtId="0" fontId="0" fillId="0" borderId="11"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6" xfId="0" applyBorder="1" applyAlignment="1">
      <alignment horizontal="left" vertical="top" wrapText="1"/>
    </xf>
    <xf numFmtId="0" fontId="0" fillId="0" borderId="10" xfId="0" applyBorder="1" applyAlignment="1">
      <alignment horizontal="left" vertical="top" wrapText="1"/>
    </xf>
    <xf numFmtId="0" fontId="54" fillId="13" borderId="23" xfId="0" applyFont="1" applyFill="1" applyBorder="1" applyAlignment="1">
      <alignment horizontal="left"/>
    </xf>
    <xf numFmtId="0" fontId="54" fillId="13" borderId="27" xfId="0" applyFont="1" applyFill="1" applyBorder="1" applyAlignment="1">
      <alignment horizontal="left"/>
    </xf>
    <xf numFmtId="0" fontId="0" fillId="0" borderId="5" xfId="0" applyBorder="1" applyAlignment="1">
      <alignment horizontal="left" vertical="center" wrapText="1"/>
    </xf>
    <xf numFmtId="0" fontId="83" fillId="2" borderId="3" xfId="0" applyFont="1" applyFill="1" applyBorder="1" applyAlignment="1">
      <alignment horizontal="left"/>
    </xf>
    <xf numFmtId="0" fontId="83" fillId="2" borderId="0" xfId="0" applyFont="1" applyFill="1" applyAlignment="1">
      <alignment horizontal="left"/>
    </xf>
    <xf numFmtId="0" fontId="2" fillId="15" borderId="3" xfId="0" applyFont="1" applyFill="1" applyBorder="1" applyAlignment="1">
      <alignment horizontal="left" vertical="top" wrapText="1"/>
    </xf>
    <xf numFmtId="0" fontId="2" fillId="15" borderId="4" xfId="0" applyFont="1" applyFill="1" applyBorder="1" applyAlignment="1">
      <alignment horizontal="left" vertical="top" wrapText="1"/>
    </xf>
    <xf numFmtId="0" fontId="83" fillId="2" borderId="1" xfId="0" applyFont="1" applyFill="1" applyBorder="1" applyAlignment="1">
      <alignment horizontal="left"/>
    </xf>
    <xf numFmtId="0" fontId="83" fillId="2" borderId="2" xfId="0" applyFont="1" applyFill="1" applyBorder="1" applyAlignment="1">
      <alignment horizontal="left"/>
    </xf>
    <xf numFmtId="0" fontId="83" fillId="2" borderId="11" xfId="0" applyFont="1" applyFill="1" applyBorder="1" applyAlignment="1">
      <alignment horizontal="left"/>
    </xf>
    <xf numFmtId="0" fontId="2" fillId="15" borderId="0" xfId="0" applyFont="1" applyFill="1" applyAlignment="1">
      <alignment horizontal="left" vertical="top" wrapText="1"/>
    </xf>
    <xf numFmtId="0" fontId="0" fillId="0" borderId="7" xfId="0" applyBorder="1" applyAlignment="1">
      <alignment horizontal="left" vertical="top" wrapText="1"/>
    </xf>
    <xf numFmtId="0" fontId="2" fillId="15" borderId="1" xfId="0" applyFont="1" applyFill="1" applyBorder="1" applyAlignment="1">
      <alignment horizontal="left" vertical="top" wrapText="1"/>
    </xf>
    <xf numFmtId="0" fontId="2" fillId="15" borderId="2" xfId="0" applyFont="1" applyFill="1" applyBorder="1" applyAlignment="1">
      <alignment horizontal="left" vertical="top" wrapText="1"/>
    </xf>
    <xf numFmtId="0" fontId="2" fillId="15" borderId="11" xfId="0" applyFont="1" applyFill="1" applyBorder="1" applyAlignment="1">
      <alignment horizontal="left" vertical="top" wrapText="1"/>
    </xf>
    <xf numFmtId="0" fontId="84" fillId="13" borderId="1" xfId="0" applyFont="1" applyFill="1" applyBorder="1" applyAlignment="1">
      <alignment horizontal="center" wrapText="1"/>
    </xf>
    <xf numFmtId="0" fontId="84" fillId="13" borderId="2" xfId="0" applyFont="1" applyFill="1" applyBorder="1" applyAlignment="1">
      <alignment horizontal="center" wrapText="1"/>
    </xf>
    <xf numFmtId="0" fontId="84" fillId="13" borderId="1" xfId="0" applyFont="1" applyFill="1" applyBorder="1" applyAlignment="1">
      <alignment horizontal="left" wrapText="1"/>
    </xf>
    <xf numFmtId="0" fontId="84" fillId="13" borderId="2" xfId="0" applyFont="1" applyFill="1" applyBorder="1" applyAlignment="1">
      <alignment horizontal="left" wrapText="1"/>
    </xf>
    <xf numFmtId="0" fontId="84" fillId="13" borderId="11" xfId="0" applyFont="1" applyFill="1" applyBorder="1" applyAlignment="1">
      <alignment horizontal="left" wrapText="1"/>
    </xf>
    <xf numFmtId="0" fontId="83" fillId="2" borderId="35" xfId="0" applyFont="1" applyFill="1" applyBorder="1" applyAlignment="1">
      <alignment horizontal="center"/>
    </xf>
    <xf numFmtId="0" fontId="83" fillId="2" borderId="9" xfId="0" applyFont="1" applyFill="1" applyBorder="1" applyAlignment="1">
      <alignment horizontal="center"/>
    </xf>
    <xf numFmtId="0" fontId="83" fillId="2" borderId="36" xfId="0" applyFont="1" applyFill="1" applyBorder="1" applyAlignment="1">
      <alignment horizontal="center"/>
    </xf>
    <xf numFmtId="0" fontId="83" fillId="16" borderId="35" xfId="0" applyFont="1" applyFill="1" applyBorder="1" applyAlignment="1">
      <alignment horizontal="center"/>
    </xf>
    <xf numFmtId="0" fontId="83" fillId="16" borderId="9" xfId="0" applyFont="1" applyFill="1" applyBorder="1" applyAlignment="1">
      <alignment horizontal="center"/>
    </xf>
    <xf numFmtId="0" fontId="83" fillId="16" borderId="36" xfId="0" applyFont="1" applyFill="1" applyBorder="1" applyAlignment="1">
      <alignment horizontal="center"/>
    </xf>
    <xf numFmtId="0" fontId="84" fillId="13" borderId="11" xfId="0" applyFont="1" applyFill="1" applyBorder="1" applyAlignment="1">
      <alignment horizontal="center" wrapText="1"/>
    </xf>
    <xf numFmtId="0" fontId="2" fillId="15" borderId="3" xfId="0" applyFont="1" applyFill="1" applyBorder="1" applyAlignment="1">
      <alignment horizontal="center" wrapText="1"/>
    </xf>
    <xf numFmtId="0" fontId="2" fillId="15" borderId="0" xfId="0" applyFont="1" applyFill="1" applyAlignment="1">
      <alignment horizontal="center" wrapText="1"/>
    </xf>
    <xf numFmtId="0" fontId="2" fillId="19" borderId="1" xfId="0" applyFont="1" applyFill="1" applyBorder="1" applyAlignment="1">
      <alignment horizontal="center" wrapText="1"/>
    </xf>
    <xf numFmtId="0" fontId="2" fillId="19" borderId="45" xfId="0" applyFont="1" applyFill="1" applyBorder="1" applyAlignment="1">
      <alignment horizontal="center" wrapText="1"/>
    </xf>
    <xf numFmtId="0" fontId="2" fillId="19" borderId="2" xfId="0" applyFont="1" applyFill="1" applyBorder="1" applyAlignment="1">
      <alignment horizontal="center" wrapText="1"/>
    </xf>
    <xf numFmtId="0" fontId="2" fillId="19" borderId="11" xfId="0" applyFont="1" applyFill="1" applyBorder="1" applyAlignment="1">
      <alignment horizontal="center" wrapText="1"/>
    </xf>
  </cellXfs>
  <cellStyles count="336">
    <cellStyle name="_%(SignOnly)" xfId="6" xr:uid="{00000000-0005-0000-0000-000000000000}"/>
    <cellStyle name="_%(SignSpaceOnly)" xfId="7" xr:uid="{00000000-0005-0000-0000-000001000000}"/>
    <cellStyle name="_Comma" xfId="8" xr:uid="{00000000-0005-0000-0000-000002000000}"/>
    <cellStyle name="_Currency" xfId="9" xr:uid="{00000000-0005-0000-0000-000003000000}"/>
    <cellStyle name="_CurrencySpace" xfId="10" xr:uid="{00000000-0005-0000-0000-000004000000}"/>
    <cellStyle name="_Euro" xfId="11" xr:uid="{00000000-0005-0000-0000-000005000000}"/>
    <cellStyle name="_Heading" xfId="12" xr:uid="{00000000-0005-0000-0000-000006000000}"/>
    <cellStyle name="_Heading_prestemp" xfId="13" xr:uid="{00000000-0005-0000-0000-000007000000}"/>
    <cellStyle name="_Heading_prestemp_1st Qtr PL FY07" xfId="14" xr:uid="{00000000-0005-0000-0000-000008000000}"/>
    <cellStyle name="_Heading_prestemp_Financial Statements" xfId="15" xr:uid="{00000000-0005-0000-0000-000009000000}"/>
    <cellStyle name="_Heading_prestemp_Financial Statementsvs1" xfId="16" xr:uid="{00000000-0005-0000-0000-00000A000000}"/>
    <cellStyle name="_Highlight" xfId="17" xr:uid="{00000000-0005-0000-0000-00000B000000}"/>
    <cellStyle name="_Multiple" xfId="18" xr:uid="{00000000-0005-0000-0000-00000C000000}"/>
    <cellStyle name="_MultipleSpace" xfId="19" xr:uid="{00000000-0005-0000-0000-00000D000000}"/>
    <cellStyle name="_SubHeading" xfId="20" xr:uid="{00000000-0005-0000-0000-00000E000000}"/>
    <cellStyle name="_SubHeading_prestemp" xfId="21" xr:uid="{00000000-0005-0000-0000-00000F000000}"/>
    <cellStyle name="_SubHeading_prestemp_1st Qtr PL FY07" xfId="22" xr:uid="{00000000-0005-0000-0000-000010000000}"/>
    <cellStyle name="_SubHeading_prestemp_Financial Statements" xfId="23" xr:uid="{00000000-0005-0000-0000-000011000000}"/>
    <cellStyle name="_SubHeading_prestemp_Financial Statementsvs1" xfId="24" xr:uid="{00000000-0005-0000-0000-000012000000}"/>
    <cellStyle name="_Table" xfId="25" xr:uid="{00000000-0005-0000-0000-000013000000}"/>
    <cellStyle name="_TableHead" xfId="26" xr:uid="{00000000-0005-0000-0000-000014000000}"/>
    <cellStyle name="_TableRowHead" xfId="27" xr:uid="{00000000-0005-0000-0000-000015000000}"/>
    <cellStyle name="_TableSuperHead" xfId="28" xr:uid="{00000000-0005-0000-0000-000016000000}"/>
    <cellStyle name="=C:\WINNT\SYSTEM32\COMMAND.COM" xfId="29" xr:uid="{00000000-0005-0000-0000-000017000000}"/>
    <cellStyle name="=C:\WINNT\SYSTEM32\COMMAND.COM 2" xfId="30" xr:uid="{00000000-0005-0000-0000-000018000000}"/>
    <cellStyle name="6-0" xfId="31" xr:uid="{00000000-0005-0000-0000-000019000000}"/>
    <cellStyle name="Bold12" xfId="32" xr:uid="{00000000-0005-0000-0000-00001A000000}"/>
    <cellStyle name="BoldItal12" xfId="33" xr:uid="{00000000-0005-0000-0000-00001B000000}"/>
    <cellStyle name="Border" xfId="34" xr:uid="{00000000-0005-0000-0000-00001C000000}"/>
    <cellStyle name="Border 10" xfId="35" xr:uid="{00000000-0005-0000-0000-00001D000000}"/>
    <cellStyle name="Border 11" xfId="36" xr:uid="{00000000-0005-0000-0000-00001E000000}"/>
    <cellStyle name="Border 12" xfId="37" xr:uid="{00000000-0005-0000-0000-00001F000000}"/>
    <cellStyle name="Border 13" xfId="38" xr:uid="{00000000-0005-0000-0000-000020000000}"/>
    <cellStyle name="Border 14" xfId="39" xr:uid="{00000000-0005-0000-0000-000021000000}"/>
    <cellStyle name="Border 15" xfId="40" xr:uid="{00000000-0005-0000-0000-000022000000}"/>
    <cellStyle name="Border 16" xfId="41" xr:uid="{00000000-0005-0000-0000-000023000000}"/>
    <cellStyle name="Border 17" xfId="42" xr:uid="{00000000-0005-0000-0000-000024000000}"/>
    <cellStyle name="Border 18" xfId="43" xr:uid="{00000000-0005-0000-0000-000025000000}"/>
    <cellStyle name="Border 19" xfId="44" xr:uid="{00000000-0005-0000-0000-000026000000}"/>
    <cellStyle name="Border 2" xfId="45" xr:uid="{00000000-0005-0000-0000-000027000000}"/>
    <cellStyle name="Border 20" xfId="46" xr:uid="{00000000-0005-0000-0000-000028000000}"/>
    <cellStyle name="Border 21" xfId="47" xr:uid="{00000000-0005-0000-0000-000029000000}"/>
    <cellStyle name="Border 22" xfId="48" xr:uid="{00000000-0005-0000-0000-00002A000000}"/>
    <cellStyle name="Border 23" xfId="49" xr:uid="{00000000-0005-0000-0000-00002B000000}"/>
    <cellStyle name="Border 24" xfId="50" xr:uid="{00000000-0005-0000-0000-00002C000000}"/>
    <cellStyle name="Border 25" xfId="51" xr:uid="{00000000-0005-0000-0000-00002D000000}"/>
    <cellStyle name="Border 26" xfId="52" xr:uid="{00000000-0005-0000-0000-00002E000000}"/>
    <cellStyle name="Border 27" xfId="53" xr:uid="{00000000-0005-0000-0000-00002F000000}"/>
    <cellStyle name="Border 28" xfId="54" xr:uid="{00000000-0005-0000-0000-000030000000}"/>
    <cellStyle name="Border 29" xfId="55" xr:uid="{00000000-0005-0000-0000-000031000000}"/>
    <cellStyle name="Border 3" xfId="56" xr:uid="{00000000-0005-0000-0000-000032000000}"/>
    <cellStyle name="Border 30" xfId="57" xr:uid="{00000000-0005-0000-0000-000033000000}"/>
    <cellStyle name="Border 31" xfId="58" xr:uid="{00000000-0005-0000-0000-000034000000}"/>
    <cellStyle name="Border 32" xfId="59" xr:uid="{00000000-0005-0000-0000-000035000000}"/>
    <cellStyle name="Border 33" xfId="60" xr:uid="{00000000-0005-0000-0000-000036000000}"/>
    <cellStyle name="Border 34" xfId="61" xr:uid="{00000000-0005-0000-0000-000037000000}"/>
    <cellStyle name="Border 35" xfId="62" xr:uid="{00000000-0005-0000-0000-000038000000}"/>
    <cellStyle name="Border 36" xfId="63" xr:uid="{00000000-0005-0000-0000-000039000000}"/>
    <cellStyle name="Border 37" xfId="64" xr:uid="{00000000-0005-0000-0000-00003A000000}"/>
    <cellStyle name="Border 38" xfId="65" xr:uid="{00000000-0005-0000-0000-00003B000000}"/>
    <cellStyle name="Border 39" xfId="66" xr:uid="{00000000-0005-0000-0000-00003C000000}"/>
    <cellStyle name="Border 4" xfId="67" xr:uid="{00000000-0005-0000-0000-00003D000000}"/>
    <cellStyle name="Border 40" xfId="68" xr:uid="{00000000-0005-0000-0000-00003E000000}"/>
    <cellStyle name="Border 41" xfId="69" xr:uid="{00000000-0005-0000-0000-00003F000000}"/>
    <cellStyle name="Border 42" xfId="70" xr:uid="{00000000-0005-0000-0000-000040000000}"/>
    <cellStyle name="Border 5" xfId="71" xr:uid="{00000000-0005-0000-0000-000041000000}"/>
    <cellStyle name="Border 6" xfId="72" xr:uid="{00000000-0005-0000-0000-000042000000}"/>
    <cellStyle name="Border 7" xfId="73" xr:uid="{00000000-0005-0000-0000-000043000000}"/>
    <cellStyle name="Border 8" xfId="74" xr:uid="{00000000-0005-0000-0000-000044000000}"/>
    <cellStyle name="Border 9" xfId="75" xr:uid="{00000000-0005-0000-0000-000045000000}"/>
    <cellStyle name="Calc Currency (0)" xfId="76" xr:uid="{00000000-0005-0000-0000-000046000000}"/>
    <cellStyle name="Calc Currency (0) 2" xfId="77" xr:uid="{00000000-0005-0000-0000-000047000000}"/>
    <cellStyle name="Calc Currency (2)" xfId="78" xr:uid="{00000000-0005-0000-0000-000048000000}"/>
    <cellStyle name="Calc Currency (2) 2" xfId="79" xr:uid="{00000000-0005-0000-0000-000049000000}"/>
    <cellStyle name="Calc Percent (0)" xfId="80" xr:uid="{00000000-0005-0000-0000-00004A000000}"/>
    <cellStyle name="Calc Percent (0) 2" xfId="81" xr:uid="{00000000-0005-0000-0000-00004B000000}"/>
    <cellStyle name="Calc Percent (1)" xfId="82" xr:uid="{00000000-0005-0000-0000-00004C000000}"/>
    <cellStyle name="Calc Percent (1) 2" xfId="83" xr:uid="{00000000-0005-0000-0000-00004D000000}"/>
    <cellStyle name="Calc Percent (2)" xfId="84" xr:uid="{00000000-0005-0000-0000-00004E000000}"/>
    <cellStyle name="Calc Percent (2) 2" xfId="85" xr:uid="{00000000-0005-0000-0000-00004F000000}"/>
    <cellStyle name="Calc Units (0)" xfId="86" xr:uid="{00000000-0005-0000-0000-000050000000}"/>
    <cellStyle name="Calc Units (0) 2" xfId="87" xr:uid="{00000000-0005-0000-0000-000051000000}"/>
    <cellStyle name="Calc Units (1)" xfId="88" xr:uid="{00000000-0005-0000-0000-000052000000}"/>
    <cellStyle name="Calc Units (1) 2" xfId="89" xr:uid="{00000000-0005-0000-0000-000053000000}"/>
    <cellStyle name="Calc Units (2)" xfId="90" xr:uid="{00000000-0005-0000-0000-000054000000}"/>
    <cellStyle name="Calc Units (2) 2" xfId="91" xr:uid="{00000000-0005-0000-0000-000055000000}"/>
    <cellStyle name="Centered Heading" xfId="92" xr:uid="{00000000-0005-0000-0000-000056000000}"/>
    <cellStyle name="columns" xfId="93" xr:uid="{00000000-0005-0000-0000-000057000000}"/>
    <cellStyle name="Comma" xfId="1" builtinId="3"/>
    <cellStyle name="Comma  - Style1" xfId="94" xr:uid="{00000000-0005-0000-0000-000059000000}"/>
    <cellStyle name="Comma  - Style2" xfId="95" xr:uid="{00000000-0005-0000-0000-00005A000000}"/>
    <cellStyle name="Comma  - Style3" xfId="96" xr:uid="{00000000-0005-0000-0000-00005B000000}"/>
    <cellStyle name="Comma  - Style4" xfId="97" xr:uid="{00000000-0005-0000-0000-00005C000000}"/>
    <cellStyle name="Comma  - Style5" xfId="98" xr:uid="{00000000-0005-0000-0000-00005D000000}"/>
    <cellStyle name="Comma  - Style6" xfId="99" xr:uid="{00000000-0005-0000-0000-00005E000000}"/>
    <cellStyle name="Comma  - Style7" xfId="100" xr:uid="{00000000-0005-0000-0000-00005F000000}"/>
    <cellStyle name="Comma  - Style8" xfId="101" xr:uid="{00000000-0005-0000-0000-000060000000}"/>
    <cellStyle name="comma (0)" xfId="102" xr:uid="{00000000-0005-0000-0000-000061000000}"/>
    <cellStyle name="comma (0) 2" xfId="103" xr:uid="{00000000-0005-0000-0000-000062000000}"/>
    <cellStyle name="comma (0) 2 2" xfId="104" xr:uid="{00000000-0005-0000-0000-000063000000}"/>
    <cellStyle name="comma (0) 3" xfId="105" xr:uid="{00000000-0005-0000-0000-000064000000}"/>
    <cellStyle name="Comma [00]" xfId="106" xr:uid="{00000000-0005-0000-0000-000065000000}"/>
    <cellStyle name="Comma [00] 2" xfId="107" xr:uid="{00000000-0005-0000-0000-000066000000}"/>
    <cellStyle name="Comma 2" xfId="5" xr:uid="{00000000-0005-0000-0000-000067000000}"/>
    <cellStyle name="Comma 2 2" xfId="108" xr:uid="{00000000-0005-0000-0000-000068000000}"/>
    <cellStyle name="Comma 2 2 2" xfId="109" xr:uid="{00000000-0005-0000-0000-000069000000}"/>
    <cellStyle name="Comma 2 3" xfId="110" xr:uid="{00000000-0005-0000-0000-00006A000000}"/>
    <cellStyle name="Comma 2 4" xfId="111" xr:uid="{00000000-0005-0000-0000-00006B000000}"/>
    <cellStyle name="Comma 2 5" xfId="112" xr:uid="{00000000-0005-0000-0000-00006C000000}"/>
    <cellStyle name="Comma 2 6" xfId="113" xr:uid="{00000000-0005-0000-0000-00006D000000}"/>
    <cellStyle name="Comma 3" xfId="114" xr:uid="{00000000-0005-0000-0000-00006E000000}"/>
    <cellStyle name="Comma 3 2" xfId="115" xr:uid="{00000000-0005-0000-0000-00006F000000}"/>
    <cellStyle name="Comma 4" xfId="116" xr:uid="{00000000-0005-0000-0000-000070000000}"/>
    <cellStyle name="Comma 4 2" xfId="117" xr:uid="{00000000-0005-0000-0000-000071000000}"/>
    <cellStyle name="Comma 5" xfId="118" xr:uid="{00000000-0005-0000-0000-000072000000}"/>
    <cellStyle name="Comma 5 2" xfId="119" xr:uid="{00000000-0005-0000-0000-000073000000}"/>
    <cellStyle name="Comma Acctg" xfId="120" xr:uid="{00000000-0005-0000-0000-000074000000}"/>
    <cellStyle name="Comma Acctg 2" xfId="121" xr:uid="{00000000-0005-0000-0000-000075000000}"/>
    <cellStyle name="Comma0" xfId="122" xr:uid="{00000000-0005-0000-0000-000076000000}"/>
    <cellStyle name="Company Name" xfId="123" xr:uid="{00000000-0005-0000-0000-000077000000}"/>
    <cellStyle name="Contracts" xfId="124" xr:uid="{00000000-0005-0000-0000-000078000000}"/>
    <cellStyle name="CR Comma" xfId="125" xr:uid="{00000000-0005-0000-0000-000079000000}"/>
    <cellStyle name="CR Currency" xfId="126" xr:uid="{00000000-0005-0000-0000-00007A000000}"/>
    <cellStyle name="curr" xfId="127" xr:uid="{00000000-0005-0000-0000-00007B000000}"/>
    <cellStyle name="curr 2" xfId="333" xr:uid="{E830FEE5-BF3D-4B9F-89C3-BE51D3EB55EA}"/>
    <cellStyle name="Currency [00]" xfId="128" xr:uid="{00000000-0005-0000-0000-00007C000000}"/>
    <cellStyle name="Currency [00] 2" xfId="129" xr:uid="{00000000-0005-0000-0000-00007D000000}"/>
    <cellStyle name="Currency 2" xfId="130" xr:uid="{00000000-0005-0000-0000-00007E000000}"/>
    <cellStyle name="Currency Acctg" xfId="131" xr:uid="{00000000-0005-0000-0000-00007F000000}"/>
    <cellStyle name="Currency0" xfId="132" xr:uid="{00000000-0005-0000-0000-000080000000}"/>
    <cellStyle name="Data" xfId="133" xr:uid="{00000000-0005-0000-0000-000081000000}"/>
    <cellStyle name="Date" xfId="134" xr:uid="{00000000-0005-0000-0000-000082000000}"/>
    <cellStyle name="Date Short" xfId="135" xr:uid="{00000000-0005-0000-0000-000083000000}"/>
    <cellStyle name="DateJoel" xfId="136" xr:uid="{00000000-0005-0000-0000-000084000000}"/>
    <cellStyle name="debbie" xfId="137" xr:uid="{00000000-0005-0000-0000-000085000000}"/>
    <cellStyle name="Dezimal [0]_laroux" xfId="138" xr:uid="{00000000-0005-0000-0000-000086000000}"/>
    <cellStyle name="Dezimal_laroux" xfId="139" xr:uid="{00000000-0005-0000-0000-000087000000}"/>
    <cellStyle name="Enter Currency (0)" xfId="140" xr:uid="{00000000-0005-0000-0000-000088000000}"/>
    <cellStyle name="Enter Currency (0) 2" xfId="141" xr:uid="{00000000-0005-0000-0000-000089000000}"/>
    <cellStyle name="Enter Currency (2)" xfId="142" xr:uid="{00000000-0005-0000-0000-00008A000000}"/>
    <cellStyle name="Enter Currency (2) 2" xfId="143" xr:uid="{00000000-0005-0000-0000-00008B000000}"/>
    <cellStyle name="Enter Units (0)" xfId="144" xr:uid="{00000000-0005-0000-0000-00008C000000}"/>
    <cellStyle name="Enter Units (0) 2" xfId="145" xr:uid="{00000000-0005-0000-0000-00008D000000}"/>
    <cellStyle name="Enter Units (1)" xfId="146" xr:uid="{00000000-0005-0000-0000-00008E000000}"/>
    <cellStyle name="Enter Units (1) 2" xfId="147" xr:uid="{00000000-0005-0000-0000-00008F000000}"/>
    <cellStyle name="Enter Units (2)" xfId="148" xr:uid="{00000000-0005-0000-0000-000090000000}"/>
    <cellStyle name="Enter Units (2) 2" xfId="149" xr:uid="{00000000-0005-0000-0000-000091000000}"/>
    <cellStyle name="eps" xfId="150" xr:uid="{00000000-0005-0000-0000-000092000000}"/>
    <cellStyle name="eps 2" xfId="332" xr:uid="{E6BF08FD-99B4-4E49-8935-B8E309BE0144}"/>
    <cellStyle name="Euro" xfId="151" xr:uid="{00000000-0005-0000-0000-000093000000}"/>
    <cellStyle name="Grey" xfId="152" xr:uid="{00000000-0005-0000-0000-000094000000}"/>
    <cellStyle name="Header1" xfId="153" xr:uid="{00000000-0005-0000-0000-000095000000}"/>
    <cellStyle name="Header2" xfId="154" xr:uid="{00000000-0005-0000-0000-000096000000}"/>
    <cellStyle name="Header2 10" xfId="155" xr:uid="{00000000-0005-0000-0000-000097000000}"/>
    <cellStyle name="Header2 11" xfId="156" xr:uid="{00000000-0005-0000-0000-000098000000}"/>
    <cellStyle name="Header2 12" xfId="157" xr:uid="{00000000-0005-0000-0000-000099000000}"/>
    <cellStyle name="Header2 13" xfId="158" xr:uid="{00000000-0005-0000-0000-00009A000000}"/>
    <cellStyle name="Header2 14" xfId="159" xr:uid="{00000000-0005-0000-0000-00009B000000}"/>
    <cellStyle name="Header2 15" xfId="160" xr:uid="{00000000-0005-0000-0000-00009C000000}"/>
    <cellStyle name="Header2 16" xfId="161" xr:uid="{00000000-0005-0000-0000-00009D000000}"/>
    <cellStyle name="Header2 17" xfId="162" xr:uid="{00000000-0005-0000-0000-00009E000000}"/>
    <cellStyle name="Header2 18" xfId="163" xr:uid="{00000000-0005-0000-0000-00009F000000}"/>
    <cellStyle name="Header2 19" xfId="164" xr:uid="{00000000-0005-0000-0000-0000A0000000}"/>
    <cellStyle name="Header2 2" xfId="165" xr:uid="{00000000-0005-0000-0000-0000A1000000}"/>
    <cellStyle name="Header2 20" xfId="166" xr:uid="{00000000-0005-0000-0000-0000A2000000}"/>
    <cellStyle name="Header2 21" xfId="167" xr:uid="{00000000-0005-0000-0000-0000A3000000}"/>
    <cellStyle name="Header2 22" xfId="168" xr:uid="{00000000-0005-0000-0000-0000A4000000}"/>
    <cellStyle name="Header2 23" xfId="169" xr:uid="{00000000-0005-0000-0000-0000A5000000}"/>
    <cellStyle name="Header2 24" xfId="170" xr:uid="{00000000-0005-0000-0000-0000A6000000}"/>
    <cellStyle name="Header2 25" xfId="171" xr:uid="{00000000-0005-0000-0000-0000A7000000}"/>
    <cellStyle name="Header2 26" xfId="172" xr:uid="{00000000-0005-0000-0000-0000A8000000}"/>
    <cellStyle name="Header2 27" xfId="173" xr:uid="{00000000-0005-0000-0000-0000A9000000}"/>
    <cellStyle name="Header2 28" xfId="174" xr:uid="{00000000-0005-0000-0000-0000AA000000}"/>
    <cellStyle name="Header2 29" xfId="175" xr:uid="{00000000-0005-0000-0000-0000AB000000}"/>
    <cellStyle name="Header2 3" xfId="176" xr:uid="{00000000-0005-0000-0000-0000AC000000}"/>
    <cellStyle name="Header2 30" xfId="177" xr:uid="{00000000-0005-0000-0000-0000AD000000}"/>
    <cellStyle name="Header2 31" xfId="178" xr:uid="{00000000-0005-0000-0000-0000AE000000}"/>
    <cellStyle name="Header2 32" xfId="179" xr:uid="{00000000-0005-0000-0000-0000AF000000}"/>
    <cellStyle name="Header2 33" xfId="180" xr:uid="{00000000-0005-0000-0000-0000B0000000}"/>
    <cellStyle name="Header2 34" xfId="181" xr:uid="{00000000-0005-0000-0000-0000B1000000}"/>
    <cellStyle name="Header2 35" xfId="182" xr:uid="{00000000-0005-0000-0000-0000B2000000}"/>
    <cellStyle name="Header2 36" xfId="183" xr:uid="{00000000-0005-0000-0000-0000B3000000}"/>
    <cellStyle name="Header2 37" xfId="184" xr:uid="{00000000-0005-0000-0000-0000B4000000}"/>
    <cellStyle name="Header2 38" xfId="185" xr:uid="{00000000-0005-0000-0000-0000B5000000}"/>
    <cellStyle name="Header2 39" xfId="186" xr:uid="{00000000-0005-0000-0000-0000B6000000}"/>
    <cellStyle name="Header2 4" xfId="187" xr:uid="{00000000-0005-0000-0000-0000B7000000}"/>
    <cellStyle name="Header2 40" xfId="188" xr:uid="{00000000-0005-0000-0000-0000B8000000}"/>
    <cellStyle name="Header2 41" xfId="189" xr:uid="{00000000-0005-0000-0000-0000B9000000}"/>
    <cellStyle name="Header2 42" xfId="190" xr:uid="{00000000-0005-0000-0000-0000BA000000}"/>
    <cellStyle name="Header2 5" xfId="191" xr:uid="{00000000-0005-0000-0000-0000BB000000}"/>
    <cellStyle name="Header2 6" xfId="192" xr:uid="{00000000-0005-0000-0000-0000BC000000}"/>
    <cellStyle name="Header2 7" xfId="193" xr:uid="{00000000-0005-0000-0000-0000BD000000}"/>
    <cellStyle name="Header2 8" xfId="194" xr:uid="{00000000-0005-0000-0000-0000BE000000}"/>
    <cellStyle name="Header2 9" xfId="195" xr:uid="{00000000-0005-0000-0000-0000BF000000}"/>
    <cellStyle name="Heading" xfId="196" xr:uid="{00000000-0005-0000-0000-0000C0000000}"/>
    <cellStyle name="Heading 1 2" xfId="197" xr:uid="{00000000-0005-0000-0000-0000C1000000}"/>
    <cellStyle name="Heading 1 3" xfId="198" xr:uid="{00000000-0005-0000-0000-0000C2000000}"/>
    <cellStyle name="Heading 1 4" xfId="199" xr:uid="{00000000-0005-0000-0000-0000C3000000}"/>
    <cellStyle name="Heading 2 2" xfId="200" xr:uid="{00000000-0005-0000-0000-0000C4000000}"/>
    <cellStyle name="Heading 2 3" xfId="201" xr:uid="{00000000-0005-0000-0000-0000C5000000}"/>
    <cellStyle name="Heading 2 4" xfId="202" xr:uid="{00000000-0005-0000-0000-0000C6000000}"/>
    <cellStyle name="Heading 5" xfId="331" xr:uid="{C5860A2B-F2DD-4D6C-8B91-584D6ED375E4}"/>
    <cellStyle name="Heading No Underline" xfId="203" xr:uid="{00000000-0005-0000-0000-0000C7000000}"/>
    <cellStyle name="Heading With Underline" xfId="204" xr:uid="{00000000-0005-0000-0000-0000C8000000}"/>
    <cellStyle name="Hyperlink 2" xfId="205" xr:uid="{00000000-0005-0000-0000-0000CA000000}"/>
    <cellStyle name="Hyperlink 2 2" xfId="206" xr:uid="{00000000-0005-0000-0000-0000CB000000}"/>
    <cellStyle name="Hyperlink 2 2 2" xfId="207" xr:uid="{00000000-0005-0000-0000-0000CC000000}"/>
    <cellStyle name="Hyperlink 3" xfId="208" xr:uid="{00000000-0005-0000-0000-0000CD000000}"/>
    <cellStyle name="Hyperlink 4" xfId="209" xr:uid="{00000000-0005-0000-0000-0000CE000000}"/>
    <cellStyle name="Input [yellow]" xfId="210" xr:uid="{00000000-0005-0000-0000-0000CF000000}"/>
    <cellStyle name="Link Currency (0)" xfId="211" xr:uid="{00000000-0005-0000-0000-0000D0000000}"/>
    <cellStyle name="Link Currency (0) 2" xfId="212" xr:uid="{00000000-0005-0000-0000-0000D1000000}"/>
    <cellStyle name="Link Currency (2)" xfId="213" xr:uid="{00000000-0005-0000-0000-0000D2000000}"/>
    <cellStyle name="Link Currency (2) 2" xfId="214" xr:uid="{00000000-0005-0000-0000-0000D3000000}"/>
    <cellStyle name="Link Units (0)" xfId="215" xr:uid="{00000000-0005-0000-0000-0000D4000000}"/>
    <cellStyle name="Link Units (0) 2" xfId="216" xr:uid="{00000000-0005-0000-0000-0000D5000000}"/>
    <cellStyle name="Link Units (1)" xfId="217" xr:uid="{00000000-0005-0000-0000-0000D6000000}"/>
    <cellStyle name="Link Units (1) 2" xfId="218" xr:uid="{00000000-0005-0000-0000-0000D7000000}"/>
    <cellStyle name="Link Units (2)" xfId="219" xr:uid="{00000000-0005-0000-0000-0000D8000000}"/>
    <cellStyle name="Link Units (2) 2" xfId="220" xr:uid="{00000000-0005-0000-0000-0000D9000000}"/>
    <cellStyle name="Millares [0]_pldt" xfId="221" xr:uid="{00000000-0005-0000-0000-0000DA000000}"/>
    <cellStyle name="Millares_pldt" xfId="222" xr:uid="{00000000-0005-0000-0000-0000DB000000}"/>
    <cellStyle name="Milliers [0]_AR1194" xfId="223" xr:uid="{00000000-0005-0000-0000-0000DC000000}"/>
    <cellStyle name="Milliers_AR1194" xfId="224" xr:uid="{00000000-0005-0000-0000-0000DD000000}"/>
    <cellStyle name="Moneda [0]_pldt" xfId="225" xr:uid="{00000000-0005-0000-0000-0000DE000000}"/>
    <cellStyle name="Moneda_pldt" xfId="226" xr:uid="{00000000-0005-0000-0000-0000DF000000}"/>
    <cellStyle name="Monétaire [0]_AR1194" xfId="227" xr:uid="{00000000-0005-0000-0000-0000E0000000}"/>
    <cellStyle name="Monétaire_AR1194" xfId="228" xr:uid="{00000000-0005-0000-0000-0000E1000000}"/>
    <cellStyle name="negativ" xfId="229" xr:uid="{00000000-0005-0000-0000-0000E2000000}"/>
    <cellStyle name="no dec" xfId="230" xr:uid="{00000000-0005-0000-0000-0000E3000000}"/>
    <cellStyle name="nodollars" xfId="231" xr:uid="{00000000-0005-0000-0000-0000E4000000}"/>
    <cellStyle name="nodollars 2" xfId="232" xr:uid="{00000000-0005-0000-0000-0000E5000000}"/>
    <cellStyle name="Normal" xfId="0" builtinId="0"/>
    <cellStyle name="Normal - Style1" xfId="233" xr:uid="{00000000-0005-0000-0000-0000E7000000}"/>
    <cellStyle name="Normal - Style1 2" xfId="234" xr:uid="{00000000-0005-0000-0000-0000E8000000}"/>
    <cellStyle name="Normal - Style2" xfId="235" xr:uid="{00000000-0005-0000-0000-0000E9000000}"/>
    <cellStyle name="Normal - Style3" xfId="236" xr:uid="{00000000-0005-0000-0000-0000EA000000}"/>
    <cellStyle name="Normal - Style4" xfId="237" xr:uid="{00000000-0005-0000-0000-0000EB000000}"/>
    <cellStyle name="Normal - Style5" xfId="238" xr:uid="{00000000-0005-0000-0000-0000EC000000}"/>
    <cellStyle name="Normal 10" xfId="239" xr:uid="{00000000-0005-0000-0000-0000ED000000}"/>
    <cellStyle name="Normal 11" xfId="330" xr:uid="{401671C4-C6A2-4732-BC1D-7DED4CDB8213}"/>
    <cellStyle name="Normal 141" xfId="329" xr:uid="{4CEE5AEF-DC02-4BEC-A9D6-79FD34328DBC}"/>
    <cellStyle name="Normal 2" xfId="3" xr:uid="{00000000-0005-0000-0000-0000EE000000}"/>
    <cellStyle name="Normal 2 2" xfId="240" xr:uid="{00000000-0005-0000-0000-0000EF000000}"/>
    <cellStyle name="Normal 2 2 2" xfId="241" xr:uid="{00000000-0005-0000-0000-0000F0000000}"/>
    <cellStyle name="Normal 2 3" xfId="242" xr:uid="{00000000-0005-0000-0000-0000F1000000}"/>
    <cellStyle name="Normal 2 3 2" xfId="243" xr:uid="{00000000-0005-0000-0000-0000F2000000}"/>
    <cellStyle name="Normal 2 4" xfId="244" xr:uid="{00000000-0005-0000-0000-0000F3000000}"/>
    <cellStyle name="Normal 2 5" xfId="245" xr:uid="{00000000-0005-0000-0000-0000F4000000}"/>
    <cellStyle name="Normal 2 6" xfId="246" xr:uid="{00000000-0005-0000-0000-0000F5000000}"/>
    <cellStyle name="Normal 2 7" xfId="247" xr:uid="{00000000-0005-0000-0000-0000F6000000}"/>
    <cellStyle name="Normal 2 8" xfId="248" xr:uid="{00000000-0005-0000-0000-0000F7000000}"/>
    <cellStyle name="Normal 3" xfId="4" xr:uid="{00000000-0005-0000-0000-0000F8000000}"/>
    <cellStyle name="Normal 3 2" xfId="249" xr:uid="{00000000-0005-0000-0000-0000F9000000}"/>
    <cellStyle name="Normal 3 3" xfId="250" xr:uid="{00000000-0005-0000-0000-0000FA000000}"/>
    <cellStyle name="Normal 3 4" xfId="251" xr:uid="{00000000-0005-0000-0000-0000FB000000}"/>
    <cellStyle name="Normal 4" xfId="252" xr:uid="{00000000-0005-0000-0000-0000FC000000}"/>
    <cellStyle name="Normal 5" xfId="253" xr:uid="{00000000-0005-0000-0000-0000FD000000}"/>
    <cellStyle name="Normal 5 2" xfId="254" xr:uid="{00000000-0005-0000-0000-0000FE000000}"/>
    <cellStyle name="Normal 6" xfId="255" xr:uid="{00000000-0005-0000-0000-0000FF000000}"/>
    <cellStyle name="Normal 6 2" xfId="256" xr:uid="{00000000-0005-0000-0000-000000010000}"/>
    <cellStyle name="Normal 6 3" xfId="257" xr:uid="{00000000-0005-0000-0000-000001010000}"/>
    <cellStyle name="Normal 7" xfId="258" xr:uid="{00000000-0005-0000-0000-000002010000}"/>
    <cellStyle name="Normal 7 2" xfId="259" xr:uid="{00000000-0005-0000-0000-000003010000}"/>
    <cellStyle name="Normal 8" xfId="260" xr:uid="{00000000-0005-0000-0000-000004010000}"/>
    <cellStyle name="Normal 8 2" xfId="261" xr:uid="{00000000-0005-0000-0000-000005010000}"/>
    <cellStyle name="Normal 8 3" xfId="262" xr:uid="{00000000-0005-0000-0000-000006010000}"/>
    <cellStyle name="Normal 9" xfId="263" xr:uid="{00000000-0005-0000-0000-000007010000}"/>
    <cellStyle name="Number0DecimalStyle" xfId="264" xr:uid="{00000000-0005-0000-0000-000008010000}"/>
    <cellStyle name="Number0DecimalStyle 2" xfId="265" xr:uid="{00000000-0005-0000-0000-000009010000}"/>
    <cellStyle name="Number10DecimalStyle" xfId="266" xr:uid="{00000000-0005-0000-0000-00000A010000}"/>
    <cellStyle name="Number1DecimalStyle" xfId="267" xr:uid="{00000000-0005-0000-0000-00000B010000}"/>
    <cellStyle name="Number2DecimalStyle" xfId="268" xr:uid="{00000000-0005-0000-0000-00000C010000}"/>
    <cellStyle name="Number2DecimalStyle 2" xfId="269" xr:uid="{00000000-0005-0000-0000-00000D010000}"/>
    <cellStyle name="Number3DecimalStyle" xfId="270" xr:uid="{00000000-0005-0000-0000-00000E010000}"/>
    <cellStyle name="Number4DecimalStyle" xfId="271" xr:uid="{00000000-0005-0000-0000-00000F010000}"/>
    <cellStyle name="Number5DecimalStyle" xfId="272" xr:uid="{00000000-0005-0000-0000-000010010000}"/>
    <cellStyle name="Number6DecimalStyle" xfId="273" xr:uid="{00000000-0005-0000-0000-000011010000}"/>
    <cellStyle name="Number7DecimalStyle" xfId="274" xr:uid="{00000000-0005-0000-0000-000012010000}"/>
    <cellStyle name="Number8DecimalStyle" xfId="275" xr:uid="{00000000-0005-0000-0000-000013010000}"/>
    <cellStyle name="Number9DecimalStyle" xfId="276" xr:uid="{00000000-0005-0000-0000-000014010000}"/>
    <cellStyle name="over" xfId="277" xr:uid="{00000000-0005-0000-0000-000015010000}"/>
    <cellStyle name="Percent" xfId="2" builtinId="5"/>
    <cellStyle name="percent (0)" xfId="278" xr:uid="{00000000-0005-0000-0000-000017010000}"/>
    <cellStyle name="Percent [0]" xfId="279" xr:uid="{00000000-0005-0000-0000-000018010000}"/>
    <cellStyle name="Percent [0] 2" xfId="280" xr:uid="{00000000-0005-0000-0000-000019010000}"/>
    <cellStyle name="Percent [00]" xfId="281" xr:uid="{00000000-0005-0000-0000-00001A010000}"/>
    <cellStyle name="Percent [00] 2" xfId="282" xr:uid="{00000000-0005-0000-0000-00001B010000}"/>
    <cellStyle name="Percent [2]" xfId="283" xr:uid="{00000000-0005-0000-0000-00001C010000}"/>
    <cellStyle name="Percent 10" xfId="284" xr:uid="{00000000-0005-0000-0000-00001D010000}"/>
    <cellStyle name="Percent 2" xfId="285" xr:uid="{00000000-0005-0000-0000-00001E010000}"/>
    <cellStyle name="Percent 2 2" xfId="286" xr:uid="{00000000-0005-0000-0000-00001F010000}"/>
    <cellStyle name="Percent 2 3" xfId="287" xr:uid="{00000000-0005-0000-0000-000020010000}"/>
    <cellStyle name="Percent 2 4" xfId="288" xr:uid="{00000000-0005-0000-0000-000021010000}"/>
    <cellStyle name="Percent 3" xfId="289" xr:uid="{00000000-0005-0000-0000-000022010000}"/>
    <cellStyle name="Percent 3 2" xfId="290" xr:uid="{00000000-0005-0000-0000-000023010000}"/>
    <cellStyle name="Percent 4" xfId="291" xr:uid="{00000000-0005-0000-0000-000024010000}"/>
    <cellStyle name="Percent 6" xfId="292" xr:uid="{00000000-0005-0000-0000-000025010000}"/>
    <cellStyle name="PERCENTAGE" xfId="293" xr:uid="{00000000-0005-0000-0000-000026010000}"/>
    <cellStyle name="posit" xfId="294" xr:uid="{00000000-0005-0000-0000-000027010000}"/>
    <cellStyle name="Powerpoint Style" xfId="295" xr:uid="{00000000-0005-0000-0000-000028010000}"/>
    <cellStyle name="PrePop Currency (0)" xfId="296" xr:uid="{00000000-0005-0000-0000-000029010000}"/>
    <cellStyle name="PrePop Currency (0) 2" xfId="297" xr:uid="{00000000-0005-0000-0000-00002A010000}"/>
    <cellStyle name="PrePop Currency (2)" xfId="298" xr:uid="{00000000-0005-0000-0000-00002B010000}"/>
    <cellStyle name="PrePop Currency (2) 2" xfId="299" xr:uid="{00000000-0005-0000-0000-00002C010000}"/>
    <cellStyle name="PrePop Units (0)" xfId="300" xr:uid="{00000000-0005-0000-0000-00002D010000}"/>
    <cellStyle name="PrePop Units (0) 2" xfId="301" xr:uid="{00000000-0005-0000-0000-00002E010000}"/>
    <cellStyle name="PrePop Units (1)" xfId="302" xr:uid="{00000000-0005-0000-0000-00002F010000}"/>
    <cellStyle name="PrePop Units (1) 2" xfId="303" xr:uid="{00000000-0005-0000-0000-000030010000}"/>
    <cellStyle name="PrePop Units (2)" xfId="304" xr:uid="{00000000-0005-0000-0000-000031010000}"/>
    <cellStyle name="PrePop Units (2) 2" xfId="305" xr:uid="{00000000-0005-0000-0000-000032010000}"/>
    <cellStyle name="SingleTopDoubleBott" xfId="306" xr:uid="{00000000-0005-0000-0000-000033010000}"/>
    <cellStyle name="Standard_A" xfId="307" xr:uid="{00000000-0005-0000-0000-000034010000}"/>
    <cellStyle name="Style 1" xfId="308" xr:uid="{00000000-0005-0000-0000-000035010000}"/>
    <cellStyle name="Style 2" xfId="309" xr:uid="{00000000-0005-0000-0000-000036010000}"/>
    <cellStyle name="Style 3" xfId="310" xr:uid="{00000000-0005-0000-0000-000037010000}"/>
    <cellStyle name="Style 3 2" xfId="334" xr:uid="{F1440C57-A6D8-4BD0-B522-EFC58E8B070F}"/>
    <cellStyle name="Style 4" xfId="311" xr:uid="{00000000-0005-0000-0000-000038010000}"/>
    <cellStyle name="Style 4 2" xfId="335" xr:uid="{F8DD9E7D-3CD1-4B00-B4A6-2016D636B95A}"/>
    <cellStyle name="Text Indent A" xfId="312" xr:uid="{00000000-0005-0000-0000-000039010000}"/>
    <cellStyle name="Text Indent B" xfId="313" xr:uid="{00000000-0005-0000-0000-00003A010000}"/>
    <cellStyle name="Text Indent B 2" xfId="314" xr:uid="{00000000-0005-0000-0000-00003B010000}"/>
    <cellStyle name="Text Indent C" xfId="315" xr:uid="{00000000-0005-0000-0000-00003C010000}"/>
    <cellStyle name="Text Indent C 2" xfId="316" xr:uid="{00000000-0005-0000-0000-00003D010000}"/>
    <cellStyle name="TextStyle" xfId="317" xr:uid="{00000000-0005-0000-0000-00003E010000}"/>
    <cellStyle name="Tickmark" xfId="318" xr:uid="{00000000-0005-0000-0000-00003F010000}"/>
    <cellStyle name="TimStyle" xfId="319" xr:uid="{00000000-0005-0000-0000-000040010000}"/>
    <cellStyle name="Total 2" xfId="320" xr:uid="{00000000-0005-0000-0000-000041010000}"/>
    <cellStyle name="Total 3" xfId="321" xr:uid="{00000000-0005-0000-0000-000042010000}"/>
    <cellStyle name="Total 4" xfId="322" xr:uid="{00000000-0005-0000-0000-000043010000}"/>
    <cellStyle name="Underline" xfId="323" xr:uid="{00000000-0005-0000-0000-000044010000}"/>
    <cellStyle name="UnderlineDouble" xfId="324" xr:uid="{00000000-0005-0000-0000-000045010000}"/>
    <cellStyle name="Währung [0]_RESULTS" xfId="325" xr:uid="{00000000-0005-0000-0000-000046010000}"/>
    <cellStyle name="Währung_RESULTS" xfId="326" xr:uid="{00000000-0005-0000-0000-000047010000}"/>
    <cellStyle name="표준_BINV" xfId="327" xr:uid="{00000000-0005-0000-0000-000048010000}"/>
    <cellStyle name="標準_99B-05PE_IC2" xfId="328" xr:uid="{00000000-0005-0000-0000-000049010000}"/>
  </cellStyles>
  <dxfs count="0"/>
  <tableStyles count="0" defaultTableStyle="TableStyleMedium2"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510-4B22-9C9B-92C60FD30DF6}"/>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Annual Revenue ($M) and Operating Margin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72388294746738757"/>
          <c:h val="0.61084635741027571"/>
        </c:manualLayout>
      </c:layout>
      <c:barChart>
        <c:barDir val="col"/>
        <c:grouping val="clustered"/>
        <c:varyColors val="0"/>
        <c:ser>
          <c:idx val="0"/>
          <c:order val="0"/>
          <c:tx>
            <c:strRef>
              <c:f>'IS (F1Q23)'!$B$8:$C$8</c:f>
              <c:strCache>
                <c:ptCount val="2"/>
                <c:pt idx="0">
                  <c:v>Total revenues</c:v>
                </c:pt>
              </c:strCache>
            </c:strRef>
          </c:tx>
          <c:spPr>
            <a:solidFill>
              <a:schemeClr val="accent1"/>
            </a:solidFill>
            <a:ln>
              <a:noFill/>
            </a:ln>
            <a:effectLst/>
          </c:spPr>
          <c:invertIfNegative val="0"/>
          <c:cat>
            <c:strRef>
              <c:f>('IS (F1Q23)'!$H$4,'IS (F1Q23)'!$M$4,'IS (F1Q23)'!$R$4,'IS (F1Q23)'!$W$4,'IS (F1Q23)'!$AB$4,'IS (F1Q23)'!$AG$4,'IS (F1Q23)'!$AL$4)</c:f>
              <c:strCache>
                <c:ptCount val="7"/>
                <c:pt idx="0">
                  <c:v> FY 2019 </c:v>
                </c:pt>
                <c:pt idx="1">
                  <c:v> FY 2020 </c:v>
                </c:pt>
                <c:pt idx="2">
                  <c:v> FY 2021 </c:v>
                </c:pt>
                <c:pt idx="3">
                  <c:v> FY 2022 </c:v>
                </c:pt>
                <c:pt idx="4">
                  <c:v> FY 2023E </c:v>
                </c:pt>
                <c:pt idx="5">
                  <c:v> FY 2024E </c:v>
                </c:pt>
                <c:pt idx="6">
                  <c:v> FY 2025E </c:v>
                </c:pt>
              </c:strCache>
            </c:strRef>
          </c:cat>
          <c:val>
            <c:numRef>
              <c:f>('IS (F1Q23)'!$H$8,'IS (F1Q23)'!$M$8,'IS (F1Q23)'!$R$8,'IS (F1Q23)'!$W$8,'IS (F1Q23)'!$AB$8,'IS (F1Q23)'!$AG$8,'IS (F1Q23)'!$AL$8)</c:f>
              <c:numCache>
                <c:formatCode>_(* #,##0.0_);_(* \(#,##0.0\);_(* "-"??_);_(@_)</c:formatCode>
                <c:ptCount val="7"/>
                <c:pt idx="0">
                  <c:v>26508.600000000002</c:v>
                </c:pt>
                <c:pt idx="1">
                  <c:v>23518.000000000004</c:v>
                </c:pt>
                <c:pt idx="2">
                  <c:v>29060.6</c:v>
                </c:pt>
                <c:pt idx="3">
                  <c:v>32250.3</c:v>
                </c:pt>
                <c:pt idx="4">
                  <c:v>35880.632253456439</c:v>
                </c:pt>
                <c:pt idx="5">
                  <c:v>39607.304460083447</c:v>
                </c:pt>
                <c:pt idx="6">
                  <c:v>44154.978241984471</c:v>
                </c:pt>
              </c:numCache>
            </c:numRef>
          </c:val>
          <c:extLst>
            <c:ext xmlns:c16="http://schemas.microsoft.com/office/drawing/2014/chart" uri="{C3380CC4-5D6E-409C-BE32-E72D297353CC}">
              <c16:uniqueId val="{00000000-7105-4674-894F-342167CB3F67}"/>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v>Operating Margin (Non-GAAP)</c:v>
          </c:tx>
          <c:spPr>
            <a:ln w="28575" cap="rnd">
              <a:solidFill>
                <a:schemeClr val="accent3"/>
              </a:solidFill>
              <a:round/>
            </a:ln>
            <a:effectLst/>
          </c:spPr>
          <c:marker>
            <c:symbol val="none"/>
          </c:marker>
          <c:val>
            <c:numRef>
              <c:f>('IS (F1Q23)'!$H$142,'IS (F1Q23)'!$M$142,'IS (F1Q23)'!$R$142,'IS (F1Q23)'!$W$142,'IS (F1Q23)'!$AB$142,'IS (F1Q23)'!$AG$142,'IS (F1Q23)'!$AL$142)</c:f>
              <c:numCache>
                <c:formatCode>0.0%</c:formatCode>
                <c:ptCount val="7"/>
                <c:pt idx="0">
                  <c:v>0.17201964645435841</c:v>
                </c:pt>
                <c:pt idx="1">
                  <c:v>9.0704141508631861E-2</c:v>
                </c:pt>
                <c:pt idx="2">
                  <c:v>0.18106990220435909</c:v>
                </c:pt>
                <c:pt idx="3">
                  <c:v>0.15054123527533064</c:v>
                </c:pt>
                <c:pt idx="4">
                  <c:v>0.15811499848880181</c:v>
                </c:pt>
                <c:pt idx="5">
                  <c:v>0.16364258720635505</c:v>
                </c:pt>
                <c:pt idx="6">
                  <c:v>0.17205143460809935</c:v>
                </c:pt>
              </c:numCache>
            </c:numRef>
          </c:val>
          <c:smooth val="0"/>
          <c:extLst>
            <c:ext xmlns:c16="http://schemas.microsoft.com/office/drawing/2014/chart" uri="{C3380CC4-5D6E-409C-BE32-E72D297353CC}">
              <c16:uniqueId val="{00000001-7105-4674-894F-342167CB3F67}"/>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0.2026626438644322"/>
          <c:y val="0.87216800788484661"/>
          <c:w val="0.57060171583029728"/>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
            </a:r>
            <a:r>
              <a:rPr lang="en-US" baseline="0"/>
              <a:t> America Segment Metrics (Quarterly, stores and $M)</a:t>
            </a:r>
            <a:endParaRPr lang="en-US"/>
          </a:p>
        </c:rich>
      </c:tx>
      <c:layout>
        <c:manualLayout>
          <c:xMode val="edge"/>
          <c:yMode val="edge"/>
          <c:x val="7.0733732910251895E-2"/>
          <c:y val="3.20953690967446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(F1Q23)'!$B$41:$C$41</c:f>
              <c:strCache>
                <c:ptCount val="2"/>
                <c:pt idx="0">
                  <c:v>NA company-operated stores</c:v>
                </c:pt>
              </c:strCache>
            </c:strRef>
          </c:tx>
          <c:spPr>
            <a:solidFill>
              <a:schemeClr val="accent1"/>
            </a:solidFill>
            <a:ln>
              <a:noFill/>
            </a:ln>
            <a:effectLst/>
          </c:spPr>
          <c:invertIfNegative val="0"/>
          <c:cat>
            <c:strRef>
              <c:f>('IS (F1Q23)'!$N$4,'IS (F1Q23)'!$O$4,'IS (F1Q23)'!$P$4,'IS (F1Q23)'!$Q$4,'IS (F1Q23)'!$S$4,'IS (F1Q23)'!$T$4,'IS (F1Q23)'!$U$4,'IS (F1Q23)'!$V$4,'IS (F1Q23)'!$X$4,'IS (F1Q23)'!$Y$4,'IS (F1Q23)'!$Z$4,'IS (F1Q23)'!$AA$4)</c:f>
              <c:strCache>
                <c:ptCount val="12"/>
                <c:pt idx="0">
                  <c:v> F1Q21 </c:v>
                </c:pt>
                <c:pt idx="1">
                  <c:v> F2Q21 </c:v>
                </c:pt>
                <c:pt idx="2">
                  <c:v> F3Q21 </c:v>
                </c:pt>
                <c:pt idx="3">
                  <c:v> F4Q21 </c:v>
                </c:pt>
                <c:pt idx="4">
                  <c:v> F1Q22 </c:v>
                </c:pt>
                <c:pt idx="5">
                  <c:v> F2Q22 </c:v>
                </c:pt>
                <c:pt idx="6">
                  <c:v> F3Q22 </c:v>
                </c:pt>
                <c:pt idx="7">
                  <c:v> F4Q22 </c:v>
                </c:pt>
                <c:pt idx="8">
                  <c:v> F1Q23 </c:v>
                </c:pt>
                <c:pt idx="9">
                  <c:v> F2Q23E </c:v>
                </c:pt>
                <c:pt idx="10">
                  <c:v> F3Q23E </c:v>
                </c:pt>
                <c:pt idx="11">
                  <c:v> F4Q23E </c:v>
                </c:pt>
              </c:strCache>
            </c:strRef>
          </c:cat>
          <c:val>
            <c:numRef>
              <c:f>('IS (F1Q23)'!$N$41,'IS (F1Q23)'!$O$41,'IS (F1Q23)'!$P$41,'IS (F1Q23)'!$Q$41,'IS (F1Q23)'!$S$41,'IS (F1Q23)'!$T$41,'IS (F1Q23)'!$U$41,'IS (F1Q23)'!$V$41,'IS (F1Q23)'!$X$41,'IS (F1Q23)'!$Y$41,'IS (F1Q23)'!$Z$41,'IS (F1Q23)'!$AA$41)</c:f>
              <c:numCache>
                <c:formatCode>_(* #,##0_);_(* \(#,##0\);_(* "-"??_);_(@_)</c:formatCode>
                <c:ptCount val="12"/>
                <c:pt idx="0">
                  <c:v>10029</c:v>
                </c:pt>
                <c:pt idx="1">
                  <c:v>9820</c:v>
                </c:pt>
                <c:pt idx="2">
                  <c:v>9860</c:v>
                </c:pt>
                <c:pt idx="3">
                  <c:v>9861</c:v>
                </c:pt>
                <c:pt idx="4">
                  <c:v>9900</c:v>
                </c:pt>
                <c:pt idx="5">
                  <c:v>9954</c:v>
                </c:pt>
                <c:pt idx="6">
                  <c:v>10050</c:v>
                </c:pt>
                <c:pt idx="7">
                  <c:v>10216</c:v>
                </c:pt>
                <c:pt idx="8">
                  <c:v>10256</c:v>
                </c:pt>
                <c:pt idx="9">
                  <c:v>10323</c:v>
                </c:pt>
                <c:pt idx="10">
                  <c:v>10390</c:v>
                </c:pt>
                <c:pt idx="11">
                  <c:v>10457</c:v>
                </c:pt>
              </c:numCache>
            </c:numRef>
          </c:val>
          <c:extLst>
            <c:ext xmlns:c16="http://schemas.microsoft.com/office/drawing/2014/chart" uri="{C3380CC4-5D6E-409C-BE32-E72D297353CC}">
              <c16:uniqueId val="{00000000-7F6D-40B9-85BB-74E2E41A75CA}"/>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(F1Q23)'!$B$44</c:f>
              <c:strCache>
                <c:ptCount val="1"/>
                <c:pt idx="0">
                  <c:v>Average revenue per average company operated store</c:v>
                </c:pt>
              </c:strCache>
            </c:strRef>
          </c:tx>
          <c:spPr>
            <a:ln w="28575" cap="rnd">
              <a:solidFill>
                <a:schemeClr val="accent3"/>
              </a:solidFill>
              <a:round/>
            </a:ln>
            <a:effectLst/>
          </c:spPr>
          <c:marker>
            <c:symbol val="none"/>
          </c:marker>
          <c:val>
            <c:numRef>
              <c:f>('IS (F1Q23)'!$N$44,'IS (F1Q23)'!$O$44,'IS (F1Q23)'!$P$44,'IS (F1Q23)'!$Q$44,'IS (F1Q23)'!$S$44,'IS (F1Q23)'!$T$44,'IS (F1Q23)'!$U$44,'IS (F1Q23)'!$V$44,'IS (F1Q23)'!$X$44,'IS (F1Q23)'!$Y$44,'IS (F1Q23)'!$Z$44,'IS (F1Q23)'!$AA$44)</c:f>
              <c:numCache>
                <c:formatCode>_(* #,##0.000_);_(* \(#,##0.000\);_(* "-"??_);_(@_)</c:formatCode>
                <c:ptCount val="12"/>
                <c:pt idx="0">
                  <c:v>0.42554374813784884</c:v>
                </c:pt>
                <c:pt idx="1">
                  <c:v>0.43008715804322634</c:v>
                </c:pt>
                <c:pt idx="2">
                  <c:v>0.50099593495934958</c:v>
                </c:pt>
                <c:pt idx="3">
                  <c:v>0.53286344505856698</c:v>
                </c:pt>
                <c:pt idx="4">
                  <c:v>0.52771620869389202</c:v>
                </c:pt>
                <c:pt idx="5">
                  <c:v>0.49725999798529263</c:v>
                </c:pt>
                <c:pt idx="6">
                  <c:v>0.55120975804839034</c:v>
                </c:pt>
                <c:pt idx="7">
                  <c:v>0.54776472910293106</c:v>
                </c:pt>
                <c:pt idx="8">
                  <c:v>0.57352481438061742</c:v>
                </c:pt>
                <c:pt idx="9">
                  <c:v>0.53206819784426318</c:v>
                </c:pt>
                <c:pt idx="10">
                  <c:v>0.57877024595080984</c:v>
                </c:pt>
                <c:pt idx="11">
                  <c:v>0.5751529655580776</c:v>
                </c:pt>
              </c:numCache>
            </c:numRef>
          </c:val>
          <c:smooth val="0"/>
          <c:extLst>
            <c:ext xmlns:c16="http://schemas.microsoft.com/office/drawing/2014/chart" uri="{C3380CC4-5D6E-409C-BE32-E72D297353CC}">
              <c16:uniqueId val="{00000001-7F6D-40B9-85BB-74E2E41A75CA}"/>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2.6045755474595516E-2"/>
          <c:y val="0.87216800788484661"/>
          <c:w val="0.95866141732283483"/>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International </a:t>
            </a:r>
            <a:r>
              <a:rPr lang="en-US" baseline="0"/>
              <a:t>Segment Metrics (Quarterly, $M)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(F1Q23)'!$B$74:$C$74</c:f>
              <c:strCache>
                <c:ptCount val="2"/>
                <c:pt idx="0">
                  <c:v>International company-operated stores</c:v>
                </c:pt>
              </c:strCache>
            </c:strRef>
          </c:tx>
          <c:spPr>
            <a:solidFill>
              <a:schemeClr val="accent1"/>
            </a:solidFill>
            <a:ln>
              <a:noFill/>
            </a:ln>
            <a:effectLst/>
          </c:spPr>
          <c:invertIfNegative val="0"/>
          <c:cat>
            <c:strRef>
              <c:f>('IS (F1Q23)'!$N$4,'IS (F1Q23)'!$O$4,'IS (F1Q23)'!$P$4,'IS (F1Q23)'!$Q$4,'IS (F1Q23)'!$S$4,'IS (F1Q23)'!$T$4,'IS (F1Q23)'!$U$4,'IS (F1Q23)'!$V$4,'IS (F1Q23)'!$X$4,'IS (F1Q23)'!$Y$4,'IS (F1Q23)'!$Z$4,'IS (F1Q23)'!$AA$4)</c:f>
              <c:strCache>
                <c:ptCount val="12"/>
                <c:pt idx="0">
                  <c:v> F1Q21 </c:v>
                </c:pt>
                <c:pt idx="1">
                  <c:v> F2Q21 </c:v>
                </c:pt>
                <c:pt idx="2">
                  <c:v> F3Q21 </c:v>
                </c:pt>
                <c:pt idx="3">
                  <c:v> F4Q21 </c:v>
                </c:pt>
                <c:pt idx="4">
                  <c:v> F1Q22 </c:v>
                </c:pt>
                <c:pt idx="5">
                  <c:v> F2Q22 </c:v>
                </c:pt>
                <c:pt idx="6">
                  <c:v> F3Q22 </c:v>
                </c:pt>
                <c:pt idx="7">
                  <c:v> F4Q22 </c:v>
                </c:pt>
                <c:pt idx="8">
                  <c:v> F1Q23 </c:v>
                </c:pt>
                <c:pt idx="9">
                  <c:v> F2Q23E </c:v>
                </c:pt>
                <c:pt idx="10">
                  <c:v> F3Q23E </c:v>
                </c:pt>
                <c:pt idx="11">
                  <c:v> F4Q23E </c:v>
                </c:pt>
              </c:strCache>
            </c:strRef>
          </c:cat>
          <c:val>
            <c:numRef>
              <c:f>('IS (F1Q23)'!$N$74,'IS (F1Q23)'!$O$74,'IS (F1Q23)'!$P$74,'IS (F1Q23)'!$Q$74,'IS (F1Q23)'!$S$74,'IS (F1Q23)'!$T$74,'IS (F1Q23)'!$U$74,'IS (F1Q23)'!$V$74,'IS (F1Q23)'!$X$74,'IS (F1Q23)'!$Y$74,'IS (F1Q23)'!$Z$74,'IS (F1Q23)'!$AA$74)</c:f>
              <c:numCache>
                <c:formatCode>_(* #,##0_);_(* \(#,##0\);_(* "-"??_);_(@_)</c:formatCode>
                <c:ptCount val="12"/>
                <c:pt idx="0">
                  <c:v>6713</c:v>
                </c:pt>
                <c:pt idx="1">
                  <c:v>6836</c:v>
                </c:pt>
                <c:pt idx="2">
                  <c:v>7013</c:v>
                </c:pt>
                <c:pt idx="3">
                  <c:v>7272</c:v>
                </c:pt>
                <c:pt idx="4">
                  <c:v>7485</c:v>
                </c:pt>
                <c:pt idx="5">
                  <c:v>7587</c:v>
                </c:pt>
                <c:pt idx="6">
                  <c:v>7717</c:v>
                </c:pt>
                <c:pt idx="7">
                  <c:v>8037</c:v>
                </c:pt>
                <c:pt idx="8">
                  <c:v>8134</c:v>
                </c:pt>
                <c:pt idx="9">
                  <c:v>8407</c:v>
                </c:pt>
                <c:pt idx="10">
                  <c:v>8680</c:v>
                </c:pt>
                <c:pt idx="11">
                  <c:v>8953</c:v>
                </c:pt>
              </c:numCache>
            </c:numRef>
          </c:val>
          <c:extLst>
            <c:ext xmlns:c16="http://schemas.microsoft.com/office/drawing/2014/chart" uri="{C3380CC4-5D6E-409C-BE32-E72D297353CC}">
              <c16:uniqueId val="{00000000-CA37-47FA-9AB5-5BFBD4EC0604}"/>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(F1Q23)'!$B$77</c:f>
              <c:strCache>
                <c:ptCount val="1"/>
                <c:pt idx="0">
                  <c:v>Average revenue per average company operated store </c:v>
                </c:pt>
              </c:strCache>
            </c:strRef>
          </c:tx>
          <c:spPr>
            <a:ln w="28575" cap="rnd">
              <a:solidFill>
                <a:schemeClr val="accent3"/>
              </a:solidFill>
              <a:round/>
            </a:ln>
            <a:effectLst/>
          </c:spPr>
          <c:marker>
            <c:symbol val="none"/>
          </c:marker>
          <c:val>
            <c:numRef>
              <c:f>('IS (F1Q23)'!$N$77,'IS (F1Q23)'!$O$77,'IS (F1Q23)'!$P$77,'IS (F1Q23)'!$Q$77,'IS (F1Q23)'!$S$77,'IS (F1Q23)'!$T$77,'IS (F1Q23)'!$U$77,'IS (F1Q23)'!$V$77,'IS (F1Q23)'!$X$77,'IS (F1Q23)'!$Y$77,'IS (F1Q23)'!$Z$77,'IS (F1Q23)'!$AA$77)</c:f>
              <c:numCache>
                <c:formatCode>_(* #,##0.000_);_(* \(#,##0.000\);_(* "-"??_);_(@_)</c:formatCode>
                <c:ptCount val="12"/>
                <c:pt idx="0">
                  <c:v>0.21776300883619062</c:v>
                </c:pt>
                <c:pt idx="1">
                  <c:v>0.20439884862351465</c:v>
                </c:pt>
                <c:pt idx="2">
                  <c:v>0.20698967434471802</c:v>
                </c:pt>
                <c:pt idx="3">
                  <c:v>0.22541127056352817</c:v>
                </c:pt>
                <c:pt idx="4">
                  <c:v>0.20441824219014704</c:v>
                </c:pt>
                <c:pt idx="5">
                  <c:v>0.17786624203821658</c:v>
                </c:pt>
                <c:pt idx="6">
                  <c:v>0.15189492943021432</c:v>
                </c:pt>
                <c:pt idx="7">
                  <c:v>0.17149930176463121</c:v>
                </c:pt>
                <c:pt idx="8">
                  <c:v>0.15000927586420135</c:v>
                </c:pt>
                <c:pt idx="9">
                  <c:v>0.16897292993630575</c:v>
                </c:pt>
                <c:pt idx="10">
                  <c:v>0.18227391531625717</c:v>
                </c:pt>
                <c:pt idx="11">
                  <c:v>0.20579916211755744</c:v>
                </c:pt>
              </c:numCache>
            </c:numRef>
          </c:val>
          <c:smooth val="0"/>
          <c:extLst>
            <c:ext xmlns:c16="http://schemas.microsoft.com/office/drawing/2014/chart" uri="{C3380CC4-5D6E-409C-BE32-E72D297353CC}">
              <c16:uniqueId val="{00000001-CA37-47FA-9AB5-5BFBD4EC0604}"/>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1.1701335840482614E-3"/>
          <c:y val="0.87216800788484661"/>
          <c:w val="0.98353703921338187"/>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7E9-4490-AE4C-59E5C0C55712}"/>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930-4503-8703-9BEFFBF5ACFF}"/>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93C0-4574-89C6-E9D57A5AFC48}"/>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1A35-4214-8E0A-D5D875B843FF}"/>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F11-4E5D-BC05-91AA71D2A409}"/>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E09-49A8-AE56-7D260AF1CBD5}"/>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F7A-4B81-81BE-059C44FC8788}"/>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E63D-4DEB-B0C0-00C5DA13BEDA}"/>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D801-4E93-95AB-619CEED45C98}"/>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A7B-4528-84F3-B2A57D2C95A6}"/>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Annual Revenue ($M) and Operating Margin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72388294746738757"/>
          <c:h val="0.61084635741027571"/>
        </c:manualLayout>
      </c:layout>
      <c:barChart>
        <c:barDir val="col"/>
        <c:grouping val="clustered"/>
        <c:varyColors val="0"/>
        <c:ser>
          <c:idx val="0"/>
          <c:order val="0"/>
          <c:tx>
            <c:strRef>
              <c:f>'IS (Adjusted)'!$B$8:$C$8</c:f>
              <c:strCache>
                <c:ptCount val="2"/>
                <c:pt idx="0">
                  <c:v>Total revenues</c:v>
                </c:pt>
              </c:strCache>
            </c:strRef>
          </c:tx>
          <c:spPr>
            <a:solidFill>
              <a:schemeClr val="accent1"/>
            </a:solidFill>
            <a:ln>
              <a:noFill/>
            </a:ln>
            <a:effectLst/>
          </c:spPr>
          <c:invertIfNegative val="0"/>
          <c:cat>
            <c:strRef>
              <c:f>('IS (Adjusted)'!$H$4,'IS (Adjusted)'!$M$4,'IS (Adjusted)'!$R$4,'IS (Adjusted)'!$W$4,'IS (Adjusted)'!$AB$4,'IS (Adjusted)'!$AG$4,'IS (Adjusted)'!$AL$4)</c:f>
              <c:strCache>
                <c:ptCount val="7"/>
                <c:pt idx="0">
                  <c:v> FY 2019 </c:v>
                </c:pt>
                <c:pt idx="1">
                  <c:v> FY 2020 </c:v>
                </c:pt>
                <c:pt idx="2">
                  <c:v> FY 2021 </c:v>
                </c:pt>
                <c:pt idx="3">
                  <c:v> FY 2022 </c:v>
                </c:pt>
                <c:pt idx="4">
                  <c:v> FY 2023E </c:v>
                </c:pt>
                <c:pt idx="5">
                  <c:v> FY 2024E </c:v>
                </c:pt>
                <c:pt idx="6">
                  <c:v> FY 2025E </c:v>
                </c:pt>
              </c:strCache>
            </c:strRef>
          </c:cat>
          <c:val>
            <c:numRef>
              <c:f>('IS (Adjusted)'!$H$8,'IS (Adjusted)'!$M$8,'IS (Adjusted)'!$R$8,'IS (Adjusted)'!$W$8,'IS (Adjusted)'!$AB$8,'IS (Adjusted)'!$AG$8,'IS (Adjusted)'!$AL$8)</c:f>
              <c:numCache>
                <c:formatCode>_(* #,##0.0_);_(* \(#,##0.0\);_(* "-"??_);_(@_)</c:formatCode>
                <c:ptCount val="7"/>
                <c:pt idx="0">
                  <c:v>26508.600000000002</c:v>
                </c:pt>
                <c:pt idx="1">
                  <c:v>23518.000000000004</c:v>
                </c:pt>
                <c:pt idx="2">
                  <c:v>29060.6</c:v>
                </c:pt>
                <c:pt idx="3">
                  <c:v>32250.3</c:v>
                </c:pt>
                <c:pt idx="4">
                  <c:v>36152.530831980177</c:v>
                </c:pt>
                <c:pt idx="5">
                  <c:v>39999.147429394638</c:v>
                </c:pt>
                <c:pt idx="6">
                  <c:v>44587.088118353699</c:v>
                </c:pt>
              </c:numCache>
            </c:numRef>
          </c:val>
          <c:extLst>
            <c:ext xmlns:c16="http://schemas.microsoft.com/office/drawing/2014/chart" uri="{C3380CC4-5D6E-409C-BE32-E72D297353CC}">
              <c16:uniqueId val="{00000000-B8CE-417A-A3EC-013F25F8F517}"/>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v>Operating Margin (Non-GAAP)</c:v>
          </c:tx>
          <c:spPr>
            <a:ln w="28575" cap="rnd">
              <a:solidFill>
                <a:schemeClr val="accent3"/>
              </a:solidFill>
              <a:round/>
            </a:ln>
            <a:effectLst/>
          </c:spPr>
          <c:marker>
            <c:symbol val="none"/>
          </c:marker>
          <c:val>
            <c:numRef>
              <c:f>('IS (Adjusted)'!$H$142,'IS (Adjusted)'!$M$142,'IS (Adjusted)'!$R$142,'IS (Adjusted)'!$W$142,'IS (Adjusted)'!$AB$142,'IS (Adjusted)'!$AG$142,'IS (Adjusted)'!$AL$142)</c:f>
              <c:numCache>
                <c:formatCode>0.0%</c:formatCode>
                <c:ptCount val="7"/>
                <c:pt idx="0">
                  <c:v>0.17201964645435841</c:v>
                </c:pt>
                <c:pt idx="1">
                  <c:v>9.0704141508631861E-2</c:v>
                </c:pt>
                <c:pt idx="2">
                  <c:v>0.18106990220435909</c:v>
                </c:pt>
                <c:pt idx="3">
                  <c:v>0.15054123527533064</c:v>
                </c:pt>
                <c:pt idx="4">
                  <c:v>0.15618552131468069</c:v>
                </c:pt>
                <c:pt idx="5">
                  <c:v>0.15991427667123595</c:v>
                </c:pt>
                <c:pt idx="6">
                  <c:v>0.16909666394525258</c:v>
                </c:pt>
              </c:numCache>
            </c:numRef>
          </c:val>
          <c:smooth val="0"/>
          <c:extLst>
            <c:ext xmlns:c16="http://schemas.microsoft.com/office/drawing/2014/chart" uri="{C3380CC4-5D6E-409C-BE32-E72D297353CC}">
              <c16:uniqueId val="{00000001-B8CE-417A-A3EC-013F25F8F517}"/>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0.2026626438644322"/>
          <c:y val="0.87216800788484661"/>
          <c:w val="0.57060171583029728"/>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
            </a:r>
            <a:r>
              <a:rPr lang="en-US" baseline="0"/>
              <a:t> America Segment Metrics (Quarterly, stores and $M)</a:t>
            </a:r>
            <a:endParaRPr lang="en-US"/>
          </a:p>
        </c:rich>
      </c:tx>
      <c:layout>
        <c:manualLayout>
          <c:xMode val="edge"/>
          <c:yMode val="edge"/>
          <c:x val="7.0733732910251895E-2"/>
          <c:y val="3.20953690967446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(Adjusted)'!$B$41:$C$41</c:f>
              <c:strCache>
                <c:ptCount val="2"/>
                <c:pt idx="0">
                  <c:v>NA company-operated stores</c:v>
                </c:pt>
              </c:strCache>
            </c:strRef>
          </c:tx>
          <c:spPr>
            <a:solidFill>
              <a:schemeClr val="accent1"/>
            </a:solidFill>
            <a:ln>
              <a:noFill/>
            </a:ln>
            <a:effectLst/>
          </c:spPr>
          <c:invertIfNegative val="0"/>
          <c:cat>
            <c:strRef>
              <c:f>('IS (Adjusted)'!$N$4,'IS (Adjusted)'!$O$4,'IS (Adjusted)'!$P$4,'IS (Adjusted)'!$Q$4,'IS (Adjusted)'!$S$4,'IS (Adjusted)'!$T$4,'IS (Adjusted)'!$U$4,'IS (Adjusted)'!$V$4,'IS (Adjusted)'!$X$4,'IS (Adjusted)'!$Y$4,'IS (Adjusted)'!$Z$4,'IS (Adjusted)'!$AA$4)</c:f>
              <c:strCache>
                <c:ptCount val="12"/>
                <c:pt idx="0">
                  <c:v> F1Q21 </c:v>
                </c:pt>
                <c:pt idx="1">
                  <c:v> F2Q21 </c:v>
                </c:pt>
                <c:pt idx="2">
                  <c:v> F3Q21 </c:v>
                </c:pt>
                <c:pt idx="3">
                  <c:v> F4Q21 </c:v>
                </c:pt>
                <c:pt idx="4">
                  <c:v> F1Q22 </c:v>
                </c:pt>
                <c:pt idx="5">
                  <c:v> F2Q22 </c:v>
                </c:pt>
                <c:pt idx="6">
                  <c:v> F3Q22 </c:v>
                </c:pt>
                <c:pt idx="7">
                  <c:v> F4Q22 </c:v>
                </c:pt>
                <c:pt idx="8">
                  <c:v> F1Q23 </c:v>
                </c:pt>
                <c:pt idx="9">
                  <c:v> F2Q23 </c:v>
                </c:pt>
                <c:pt idx="10">
                  <c:v> F3Q23E </c:v>
                </c:pt>
                <c:pt idx="11">
                  <c:v> F4Q23E </c:v>
                </c:pt>
              </c:strCache>
            </c:strRef>
          </c:cat>
          <c:val>
            <c:numRef>
              <c:f>('IS (Adjusted)'!$N$41,'IS (Adjusted)'!$O$41,'IS (Adjusted)'!$P$41,'IS (Adjusted)'!$Q$41,'IS (Adjusted)'!$S$41,'IS (Adjusted)'!$T$41,'IS (Adjusted)'!$U$41,'IS (Adjusted)'!$V$41,'IS (Adjusted)'!$X$41,'IS (Adjusted)'!$Y$41,'IS (Adjusted)'!$Z$41,'IS (Adjusted)'!$AA$41)</c:f>
              <c:numCache>
                <c:formatCode>_(* #,##0_);_(* \(#,##0\);_(* "-"??_);_(@_)</c:formatCode>
                <c:ptCount val="12"/>
                <c:pt idx="0">
                  <c:v>10029</c:v>
                </c:pt>
                <c:pt idx="1">
                  <c:v>9820</c:v>
                </c:pt>
                <c:pt idx="2">
                  <c:v>9860</c:v>
                </c:pt>
                <c:pt idx="3">
                  <c:v>9861</c:v>
                </c:pt>
                <c:pt idx="4">
                  <c:v>9900</c:v>
                </c:pt>
                <c:pt idx="5">
                  <c:v>9954</c:v>
                </c:pt>
                <c:pt idx="6">
                  <c:v>10050</c:v>
                </c:pt>
                <c:pt idx="7">
                  <c:v>10216</c:v>
                </c:pt>
                <c:pt idx="8">
                  <c:v>10256</c:v>
                </c:pt>
                <c:pt idx="9">
                  <c:v>10347</c:v>
                </c:pt>
                <c:pt idx="10">
                  <c:v>10432</c:v>
                </c:pt>
                <c:pt idx="11">
                  <c:v>10522</c:v>
                </c:pt>
              </c:numCache>
            </c:numRef>
          </c:val>
          <c:extLst>
            <c:ext xmlns:c16="http://schemas.microsoft.com/office/drawing/2014/chart" uri="{C3380CC4-5D6E-409C-BE32-E72D297353CC}">
              <c16:uniqueId val="{00000000-2979-4EAF-BEA5-3BACA1D2303A}"/>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(Adjusted)'!$B$44</c:f>
              <c:strCache>
                <c:ptCount val="1"/>
                <c:pt idx="0">
                  <c:v>Average revenue per average company operated store</c:v>
                </c:pt>
              </c:strCache>
            </c:strRef>
          </c:tx>
          <c:spPr>
            <a:ln w="28575" cap="rnd">
              <a:solidFill>
                <a:schemeClr val="accent3"/>
              </a:solidFill>
              <a:round/>
            </a:ln>
            <a:effectLst/>
          </c:spPr>
          <c:marker>
            <c:symbol val="none"/>
          </c:marker>
          <c:val>
            <c:numRef>
              <c:f>('IS (Adjusted)'!$N$44,'IS (Adjusted)'!$O$44,'IS (Adjusted)'!$P$44,'IS (Adjusted)'!$Q$44,'IS (Adjusted)'!$S$44,'IS (Adjusted)'!$T$44,'IS (Adjusted)'!$U$44,'IS (Adjusted)'!$V$44,'IS (Adjusted)'!$X$44,'IS (Adjusted)'!$Y$44,'IS (Adjusted)'!$Z$44,'IS (Adjusted)'!$AA$44)</c:f>
              <c:numCache>
                <c:formatCode>_(* #,##0.000_);_(* \(#,##0.000\);_(* "-"??_);_(@_)</c:formatCode>
                <c:ptCount val="12"/>
                <c:pt idx="0">
                  <c:v>0.42554374813784884</c:v>
                </c:pt>
                <c:pt idx="1">
                  <c:v>0.43008715804322634</c:v>
                </c:pt>
                <c:pt idx="2">
                  <c:v>0.50099593495934958</c:v>
                </c:pt>
                <c:pt idx="3">
                  <c:v>0.53286344505856698</c:v>
                </c:pt>
                <c:pt idx="4">
                  <c:v>0.52771620869389202</c:v>
                </c:pt>
                <c:pt idx="5">
                  <c:v>0.49725999798529263</c:v>
                </c:pt>
                <c:pt idx="6">
                  <c:v>0.55120975804839034</c:v>
                </c:pt>
                <c:pt idx="7">
                  <c:v>0.54776472910293106</c:v>
                </c:pt>
                <c:pt idx="8">
                  <c:v>0.57352481438061742</c:v>
                </c:pt>
                <c:pt idx="9">
                  <c:v>0.55746250546036979</c:v>
                </c:pt>
                <c:pt idx="10">
                  <c:v>0.5897944411117777</c:v>
                </c:pt>
                <c:pt idx="11">
                  <c:v>0.56419767097601903</c:v>
                </c:pt>
              </c:numCache>
            </c:numRef>
          </c:val>
          <c:smooth val="0"/>
          <c:extLst>
            <c:ext xmlns:c16="http://schemas.microsoft.com/office/drawing/2014/chart" uri="{C3380CC4-5D6E-409C-BE32-E72D297353CC}">
              <c16:uniqueId val="{00000001-2979-4EAF-BEA5-3BACA1D2303A}"/>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2.6045755474595516E-2"/>
          <c:y val="0.87216800788484661"/>
          <c:w val="0.95866141732283483"/>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International </a:t>
            </a:r>
            <a:r>
              <a:rPr lang="en-US" baseline="0"/>
              <a:t>Segment Metrics (Quarterly, $M)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(Adjusted)'!$B$74:$C$74</c:f>
              <c:strCache>
                <c:ptCount val="2"/>
                <c:pt idx="0">
                  <c:v>International company-operated stores</c:v>
                </c:pt>
              </c:strCache>
            </c:strRef>
          </c:tx>
          <c:spPr>
            <a:solidFill>
              <a:schemeClr val="accent1"/>
            </a:solidFill>
            <a:ln>
              <a:noFill/>
            </a:ln>
            <a:effectLst/>
          </c:spPr>
          <c:invertIfNegative val="0"/>
          <c:cat>
            <c:strRef>
              <c:f>('IS (Adjusted)'!$N$4,'IS (Adjusted)'!$O$4,'IS (Adjusted)'!$P$4,'IS (Adjusted)'!$Q$4,'IS (Adjusted)'!$S$4,'IS (Adjusted)'!$T$4,'IS (Adjusted)'!$U$4,'IS (Adjusted)'!$V$4,'IS (Adjusted)'!$X$4,'IS (Adjusted)'!$Y$4,'IS (Adjusted)'!$Z$4,'IS (Adjusted)'!$AA$4)</c:f>
              <c:strCache>
                <c:ptCount val="12"/>
                <c:pt idx="0">
                  <c:v> F1Q21 </c:v>
                </c:pt>
                <c:pt idx="1">
                  <c:v> F2Q21 </c:v>
                </c:pt>
                <c:pt idx="2">
                  <c:v> F3Q21 </c:v>
                </c:pt>
                <c:pt idx="3">
                  <c:v> F4Q21 </c:v>
                </c:pt>
                <c:pt idx="4">
                  <c:v> F1Q22 </c:v>
                </c:pt>
                <c:pt idx="5">
                  <c:v> F2Q22 </c:v>
                </c:pt>
                <c:pt idx="6">
                  <c:v> F3Q22 </c:v>
                </c:pt>
                <c:pt idx="7">
                  <c:v> F4Q22 </c:v>
                </c:pt>
                <c:pt idx="8">
                  <c:v> F1Q23 </c:v>
                </c:pt>
                <c:pt idx="9">
                  <c:v> F2Q23 </c:v>
                </c:pt>
                <c:pt idx="10">
                  <c:v> F3Q23E </c:v>
                </c:pt>
                <c:pt idx="11">
                  <c:v> F4Q23E </c:v>
                </c:pt>
              </c:strCache>
            </c:strRef>
          </c:cat>
          <c:val>
            <c:numRef>
              <c:f>('IS (Adjusted)'!$N$74,'IS (Adjusted)'!$O$74,'IS (Adjusted)'!$P$74,'IS (Adjusted)'!$Q$74,'IS (Adjusted)'!$S$74,'IS (Adjusted)'!$T$74,'IS (Adjusted)'!$U$74,'IS (Adjusted)'!$V$74,'IS (Adjusted)'!$X$74,'IS (Adjusted)'!$Y$74,'IS (Adjusted)'!$Z$74,'IS (Adjusted)'!$AA$74)</c:f>
              <c:numCache>
                <c:formatCode>_(* #,##0_);_(* \(#,##0\);_(* "-"??_);_(@_)</c:formatCode>
                <c:ptCount val="12"/>
                <c:pt idx="0">
                  <c:v>6713</c:v>
                </c:pt>
                <c:pt idx="1">
                  <c:v>6836</c:v>
                </c:pt>
                <c:pt idx="2">
                  <c:v>7013</c:v>
                </c:pt>
                <c:pt idx="3">
                  <c:v>7272</c:v>
                </c:pt>
                <c:pt idx="4">
                  <c:v>7485</c:v>
                </c:pt>
                <c:pt idx="5">
                  <c:v>7587</c:v>
                </c:pt>
                <c:pt idx="6">
                  <c:v>7717</c:v>
                </c:pt>
                <c:pt idx="7">
                  <c:v>8037</c:v>
                </c:pt>
                <c:pt idx="8">
                  <c:v>8134</c:v>
                </c:pt>
                <c:pt idx="9">
                  <c:v>8308</c:v>
                </c:pt>
                <c:pt idx="10">
                  <c:v>8608</c:v>
                </c:pt>
                <c:pt idx="11">
                  <c:v>8908</c:v>
                </c:pt>
              </c:numCache>
            </c:numRef>
          </c:val>
          <c:extLst>
            <c:ext xmlns:c16="http://schemas.microsoft.com/office/drawing/2014/chart" uri="{C3380CC4-5D6E-409C-BE32-E72D297353CC}">
              <c16:uniqueId val="{00000000-A1E2-41A5-AF93-7C04981311BF}"/>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(Adjusted)'!$B$77</c:f>
              <c:strCache>
                <c:ptCount val="1"/>
                <c:pt idx="0">
                  <c:v>Average revenue per average company operated store </c:v>
                </c:pt>
              </c:strCache>
            </c:strRef>
          </c:tx>
          <c:spPr>
            <a:ln w="28575" cap="rnd">
              <a:solidFill>
                <a:schemeClr val="accent3"/>
              </a:solidFill>
              <a:round/>
            </a:ln>
            <a:effectLst/>
          </c:spPr>
          <c:marker>
            <c:symbol val="none"/>
          </c:marker>
          <c:val>
            <c:numRef>
              <c:f>('IS (Adjusted)'!$N$77,'IS (Adjusted)'!$O$77,'IS (Adjusted)'!$P$77,'IS (Adjusted)'!$Q$77,'IS (Adjusted)'!$S$77,'IS (Adjusted)'!$T$77,'IS (Adjusted)'!$U$77,'IS (Adjusted)'!$V$77,'IS (Adjusted)'!$X$77,'IS (Adjusted)'!$Y$77,'IS (Adjusted)'!$Z$77,'IS (Adjusted)'!$AA$77)</c:f>
              <c:numCache>
                <c:formatCode>_(* #,##0.000_);_(* \(#,##0.000\);_(* "-"??_);_(@_)</c:formatCode>
                <c:ptCount val="12"/>
                <c:pt idx="0">
                  <c:v>0.21776300883619062</c:v>
                </c:pt>
                <c:pt idx="1">
                  <c:v>0.20439884862351465</c:v>
                </c:pt>
                <c:pt idx="2">
                  <c:v>0.20698967434471802</c:v>
                </c:pt>
                <c:pt idx="3">
                  <c:v>0.22541127056352817</c:v>
                </c:pt>
                <c:pt idx="4">
                  <c:v>0.20441824219014704</c:v>
                </c:pt>
                <c:pt idx="5">
                  <c:v>0.17786624203821658</c:v>
                </c:pt>
                <c:pt idx="6">
                  <c:v>0.15189492943021432</c:v>
                </c:pt>
                <c:pt idx="7">
                  <c:v>0.17149930176463121</c:v>
                </c:pt>
                <c:pt idx="8">
                  <c:v>0.15000927586420135</c:v>
                </c:pt>
                <c:pt idx="9">
                  <c:v>0.17024692859749421</c:v>
                </c:pt>
                <c:pt idx="10">
                  <c:v>0.18227391531625717</c:v>
                </c:pt>
                <c:pt idx="11">
                  <c:v>0.20579916211755744</c:v>
                </c:pt>
              </c:numCache>
            </c:numRef>
          </c:val>
          <c:smooth val="0"/>
          <c:extLst>
            <c:ext xmlns:c16="http://schemas.microsoft.com/office/drawing/2014/chart" uri="{C3380CC4-5D6E-409C-BE32-E72D297353CC}">
              <c16:uniqueId val="{00000001-A1E2-41A5-AF93-7C04981311BF}"/>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1.1701335840482614E-3"/>
          <c:y val="0.87216800788484661"/>
          <c:w val="0.98353703921338187"/>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1CC-4A35-B7E4-7A43014F5F17}"/>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598F-43B8-A41E-5FF2D74B696A}"/>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30C7-4B20-A42B-0CEE272E4D60}"/>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8FF-40B3-AC37-8CA383F6EE64}"/>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C3D-4237-A567-BCB7E6E97789}"/>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5D68-4839-B057-CBBEA891D119}"/>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A91-4079-BC87-87152558F300}"/>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59D-4934-8A7E-BFE270E38DDA}"/>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456-42A4-82BC-270207F37E59}"/>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1A1-442C-8B72-75DC9431E86C}"/>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Annual Revenue ($M) and Operating Margin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72388294746738757"/>
          <c:h val="0.61084635741027571"/>
        </c:manualLayout>
      </c:layout>
      <c:barChart>
        <c:barDir val="col"/>
        <c:grouping val="clustered"/>
        <c:varyColors val="0"/>
        <c:ser>
          <c:idx val="0"/>
          <c:order val="0"/>
          <c:tx>
            <c:strRef>
              <c:f>'IS (Base)'!$B$8:$C$8</c:f>
              <c:strCache>
                <c:ptCount val="2"/>
                <c:pt idx="0">
                  <c:v>Total revenues</c:v>
                </c:pt>
              </c:strCache>
            </c:strRef>
          </c:tx>
          <c:spPr>
            <a:solidFill>
              <a:schemeClr val="accent1"/>
            </a:solidFill>
            <a:ln>
              <a:noFill/>
            </a:ln>
            <a:effectLst/>
          </c:spPr>
          <c:invertIfNegative val="0"/>
          <c:cat>
            <c:strRef>
              <c:f>('IS (Base)'!$H$4,'IS (Base)'!$M$4,'IS (Base)'!$R$4,'IS (Base)'!$W$4,'IS (Base)'!$AB$4,'IS (Base)'!$AG$4,'IS (Base)'!$AL$4)</c:f>
              <c:strCache>
                <c:ptCount val="7"/>
                <c:pt idx="0">
                  <c:v> FY 2019 </c:v>
                </c:pt>
                <c:pt idx="1">
                  <c:v> FY 2020 </c:v>
                </c:pt>
                <c:pt idx="2">
                  <c:v> FY 2021 </c:v>
                </c:pt>
                <c:pt idx="3">
                  <c:v> FY 2022 </c:v>
                </c:pt>
                <c:pt idx="4">
                  <c:v> FY 2023E </c:v>
                </c:pt>
                <c:pt idx="5">
                  <c:v> FY 2024E </c:v>
                </c:pt>
                <c:pt idx="6">
                  <c:v> FY 2025E </c:v>
                </c:pt>
              </c:strCache>
            </c:strRef>
          </c:cat>
          <c:val>
            <c:numRef>
              <c:f>('IS (Base)'!$H$8,'IS (Base)'!$M$8,'IS (Base)'!$R$8,'IS (Base)'!$W$8,'IS (Base)'!$AB$8,'IS (Base)'!$AG$8,'IS (Base)'!$AL$8)</c:f>
              <c:numCache>
                <c:formatCode>_(* #,##0.0_);_(* \(#,##0.0\);_(* "-"??_);_(@_)</c:formatCode>
                <c:ptCount val="7"/>
                <c:pt idx="0">
                  <c:v>26508.600000000002</c:v>
                </c:pt>
                <c:pt idx="1">
                  <c:v>23518.000000000004</c:v>
                </c:pt>
                <c:pt idx="2">
                  <c:v>29060.6</c:v>
                </c:pt>
                <c:pt idx="3">
                  <c:v>32250.3</c:v>
                </c:pt>
                <c:pt idx="4">
                  <c:v>36152.530831980177</c:v>
                </c:pt>
                <c:pt idx="5">
                  <c:v>39999.147429394638</c:v>
                </c:pt>
                <c:pt idx="6">
                  <c:v>44587.088118353699</c:v>
                </c:pt>
              </c:numCache>
            </c:numRef>
          </c:val>
          <c:extLst>
            <c:ext xmlns:c16="http://schemas.microsoft.com/office/drawing/2014/chart" uri="{C3380CC4-5D6E-409C-BE32-E72D297353CC}">
              <c16:uniqueId val="{00000000-6262-457B-B66F-082B5D64CB0C}"/>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v>Operating Margin (Non-GAAP)</c:v>
          </c:tx>
          <c:spPr>
            <a:ln w="28575" cap="rnd">
              <a:solidFill>
                <a:schemeClr val="accent3"/>
              </a:solidFill>
              <a:round/>
            </a:ln>
            <a:effectLst/>
          </c:spPr>
          <c:marker>
            <c:symbol val="none"/>
          </c:marker>
          <c:val>
            <c:numRef>
              <c:f>('IS (Base)'!$H$142,'IS (Base)'!$M$142,'IS (Base)'!$R$142,'IS (Base)'!$W$142,'IS (Base)'!$AB$142,'IS (Base)'!$AG$142,'IS (Base)'!$AL$142)</c:f>
              <c:numCache>
                <c:formatCode>0.0%</c:formatCode>
                <c:ptCount val="7"/>
                <c:pt idx="0">
                  <c:v>0.17201964645435841</c:v>
                </c:pt>
                <c:pt idx="1">
                  <c:v>9.0704141508631861E-2</c:v>
                </c:pt>
                <c:pt idx="2">
                  <c:v>0.18106990220435909</c:v>
                </c:pt>
                <c:pt idx="3">
                  <c:v>0.15054123527533064</c:v>
                </c:pt>
                <c:pt idx="4">
                  <c:v>0.15618552131468069</c:v>
                </c:pt>
                <c:pt idx="5">
                  <c:v>0.15991427667123595</c:v>
                </c:pt>
                <c:pt idx="6">
                  <c:v>0.16909666394525258</c:v>
                </c:pt>
              </c:numCache>
            </c:numRef>
          </c:val>
          <c:smooth val="0"/>
          <c:extLst>
            <c:ext xmlns:c16="http://schemas.microsoft.com/office/drawing/2014/chart" uri="{C3380CC4-5D6E-409C-BE32-E72D297353CC}">
              <c16:uniqueId val="{00000001-6262-457B-B66F-082B5D64CB0C}"/>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0.2026626438644322"/>
          <c:y val="0.87216800788484661"/>
          <c:w val="0.57060171583029728"/>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
            </a:r>
            <a:r>
              <a:rPr lang="en-US" baseline="0"/>
              <a:t> America Segment Metrics (Quarterly, stores and $M)</a:t>
            </a:r>
            <a:endParaRPr lang="en-US"/>
          </a:p>
        </c:rich>
      </c:tx>
      <c:layout>
        <c:manualLayout>
          <c:xMode val="edge"/>
          <c:yMode val="edge"/>
          <c:x val="7.0733732910251895E-2"/>
          <c:y val="3.20953690967446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(Base)'!$B$41:$C$41</c:f>
              <c:strCache>
                <c:ptCount val="2"/>
                <c:pt idx="0">
                  <c:v>NA company-operated stores</c:v>
                </c:pt>
              </c:strCache>
            </c:strRef>
          </c:tx>
          <c:spPr>
            <a:solidFill>
              <a:schemeClr val="accent1"/>
            </a:solidFill>
            <a:ln>
              <a:noFill/>
            </a:ln>
            <a:effectLst/>
          </c:spPr>
          <c:invertIfNegative val="0"/>
          <c:cat>
            <c:strRef>
              <c:f>('IS (Base)'!$N$4,'IS (Base)'!$O$4,'IS (Base)'!$P$4,'IS (Base)'!$Q$4,'IS (Base)'!$S$4,'IS (Base)'!$T$4,'IS (Base)'!$U$4,'IS (Base)'!$V$4,'IS (Base)'!$X$4,'IS (Base)'!$Y$4,'IS (Base)'!$Z$4,'IS (Base)'!$AA$4)</c:f>
              <c:strCache>
                <c:ptCount val="12"/>
                <c:pt idx="0">
                  <c:v> F1Q21 </c:v>
                </c:pt>
                <c:pt idx="1">
                  <c:v> F2Q21 </c:v>
                </c:pt>
                <c:pt idx="2">
                  <c:v> F3Q21 </c:v>
                </c:pt>
                <c:pt idx="3">
                  <c:v> F4Q21 </c:v>
                </c:pt>
                <c:pt idx="4">
                  <c:v> F1Q22 </c:v>
                </c:pt>
                <c:pt idx="5">
                  <c:v> F2Q22 </c:v>
                </c:pt>
                <c:pt idx="6">
                  <c:v> F3Q22 </c:v>
                </c:pt>
                <c:pt idx="7">
                  <c:v> F4Q22 </c:v>
                </c:pt>
                <c:pt idx="8">
                  <c:v> F1Q23 </c:v>
                </c:pt>
                <c:pt idx="9">
                  <c:v> F2Q23 </c:v>
                </c:pt>
                <c:pt idx="10">
                  <c:v> F3Q23E </c:v>
                </c:pt>
                <c:pt idx="11">
                  <c:v> F4Q23E </c:v>
                </c:pt>
              </c:strCache>
            </c:strRef>
          </c:cat>
          <c:val>
            <c:numRef>
              <c:f>('IS (Base)'!$N$41,'IS (Base)'!$O$41,'IS (Base)'!$P$41,'IS (Base)'!$Q$41,'IS (Base)'!$S$41,'IS (Base)'!$T$41,'IS (Base)'!$U$41,'IS (Base)'!$V$41,'IS (Base)'!$X$41,'IS (Base)'!$Y$41,'IS (Base)'!$Z$41,'IS (Base)'!$AA$41)</c:f>
              <c:numCache>
                <c:formatCode>_(* #,##0_);_(* \(#,##0\);_(* "-"??_);_(@_)</c:formatCode>
                <c:ptCount val="12"/>
                <c:pt idx="0">
                  <c:v>10029</c:v>
                </c:pt>
                <c:pt idx="1">
                  <c:v>9820</c:v>
                </c:pt>
                <c:pt idx="2">
                  <c:v>9860</c:v>
                </c:pt>
                <c:pt idx="3">
                  <c:v>9861</c:v>
                </c:pt>
                <c:pt idx="4">
                  <c:v>9900</c:v>
                </c:pt>
                <c:pt idx="5">
                  <c:v>9954</c:v>
                </c:pt>
                <c:pt idx="6">
                  <c:v>10050</c:v>
                </c:pt>
                <c:pt idx="7">
                  <c:v>10216</c:v>
                </c:pt>
                <c:pt idx="8">
                  <c:v>10256</c:v>
                </c:pt>
                <c:pt idx="9">
                  <c:v>10347</c:v>
                </c:pt>
                <c:pt idx="10">
                  <c:v>10432</c:v>
                </c:pt>
                <c:pt idx="11">
                  <c:v>10522</c:v>
                </c:pt>
              </c:numCache>
            </c:numRef>
          </c:val>
          <c:extLst>
            <c:ext xmlns:c16="http://schemas.microsoft.com/office/drawing/2014/chart" uri="{C3380CC4-5D6E-409C-BE32-E72D297353CC}">
              <c16:uniqueId val="{00000000-DCF3-41AF-8C7B-8E505D910F68}"/>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(Base)'!$B$44</c:f>
              <c:strCache>
                <c:ptCount val="1"/>
                <c:pt idx="0">
                  <c:v>Average revenue per average company operated store</c:v>
                </c:pt>
              </c:strCache>
            </c:strRef>
          </c:tx>
          <c:spPr>
            <a:ln w="28575" cap="rnd">
              <a:solidFill>
                <a:schemeClr val="accent3"/>
              </a:solidFill>
              <a:round/>
            </a:ln>
            <a:effectLst/>
          </c:spPr>
          <c:marker>
            <c:symbol val="none"/>
          </c:marker>
          <c:val>
            <c:numRef>
              <c:f>('IS (Base)'!$N$44,'IS (Base)'!$O$44,'IS (Base)'!$P$44,'IS (Base)'!$Q$44,'IS (Base)'!$S$44,'IS (Base)'!$T$44,'IS (Base)'!$U$44,'IS (Base)'!$V$44,'IS (Base)'!$X$44,'IS (Base)'!$Y$44,'IS (Base)'!$Z$44,'IS (Base)'!$AA$44)</c:f>
              <c:numCache>
                <c:formatCode>_(* #,##0.000_);_(* \(#,##0.000\);_(* "-"??_);_(@_)</c:formatCode>
                <c:ptCount val="12"/>
                <c:pt idx="0">
                  <c:v>0.42554374813784884</c:v>
                </c:pt>
                <c:pt idx="1">
                  <c:v>0.43008715804322634</c:v>
                </c:pt>
                <c:pt idx="2">
                  <c:v>0.50099593495934958</c:v>
                </c:pt>
                <c:pt idx="3">
                  <c:v>0.53286344505856698</c:v>
                </c:pt>
                <c:pt idx="4">
                  <c:v>0.52771620869389202</c:v>
                </c:pt>
                <c:pt idx="5">
                  <c:v>0.49725999798529263</c:v>
                </c:pt>
                <c:pt idx="6">
                  <c:v>0.55120975804839034</c:v>
                </c:pt>
                <c:pt idx="7">
                  <c:v>0.54776472910293106</c:v>
                </c:pt>
                <c:pt idx="8">
                  <c:v>0.57352481438061742</c:v>
                </c:pt>
                <c:pt idx="9">
                  <c:v>0.55746250546036979</c:v>
                </c:pt>
                <c:pt idx="10">
                  <c:v>0.5897944411117777</c:v>
                </c:pt>
                <c:pt idx="11">
                  <c:v>0.56419767097601903</c:v>
                </c:pt>
              </c:numCache>
            </c:numRef>
          </c:val>
          <c:smooth val="0"/>
          <c:extLst>
            <c:ext xmlns:c16="http://schemas.microsoft.com/office/drawing/2014/chart" uri="{C3380CC4-5D6E-409C-BE32-E72D297353CC}">
              <c16:uniqueId val="{00000001-DCF3-41AF-8C7B-8E505D910F68}"/>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2.6045755474595516E-2"/>
          <c:y val="0.87216800788484661"/>
          <c:w val="0.95866141732283483"/>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International </a:t>
            </a:r>
            <a:r>
              <a:rPr lang="en-US" baseline="0"/>
              <a:t>Segment Metrics (Quarterly, $M)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(Base)'!$B$74:$C$74</c:f>
              <c:strCache>
                <c:ptCount val="2"/>
                <c:pt idx="0">
                  <c:v>International company-operated stores</c:v>
                </c:pt>
              </c:strCache>
            </c:strRef>
          </c:tx>
          <c:spPr>
            <a:solidFill>
              <a:schemeClr val="accent1"/>
            </a:solidFill>
            <a:ln>
              <a:noFill/>
            </a:ln>
            <a:effectLst/>
          </c:spPr>
          <c:invertIfNegative val="0"/>
          <c:cat>
            <c:strRef>
              <c:f>('IS (Base)'!$N$4,'IS (Base)'!$O$4,'IS (Base)'!$P$4,'IS (Base)'!$Q$4,'IS (Base)'!$S$4,'IS (Base)'!$T$4,'IS (Base)'!$U$4,'IS (Base)'!$V$4,'IS (Base)'!$X$4,'IS (Base)'!$Y$4,'IS (Base)'!$Z$4,'IS (Base)'!$AA$4)</c:f>
              <c:strCache>
                <c:ptCount val="12"/>
                <c:pt idx="0">
                  <c:v> F1Q21 </c:v>
                </c:pt>
                <c:pt idx="1">
                  <c:v> F2Q21 </c:v>
                </c:pt>
                <c:pt idx="2">
                  <c:v> F3Q21 </c:v>
                </c:pt>
                <c:pt idx="3">
                  <c:v> F4Q21 </c:v>
                </c:pt>
                <c:pt idx="4">
                  <c:v> F1Q22 </c:v>
                </c:pt>
                <c:pt idx="5">
                  <c:v> F2Q22 </c:v>
                </c:pt>
                <c:pt idx="6">
                  <c:v> F3Q22 </c:v>
                </c:pt>
                <c:pt idx="7">
                  <c:v> F4Q22 </c:v>
                </c:pt>
                <c:pt idx="8">
                  <c:v> F1Q23 </c:v>
                </c:pt>
                <c:pt idx="9">
                  <c:v> F2Q23 </c:v>
                </c:pt>
                <c:pt idx="10">
                  <c:v> F3Q23E </c:v>
                </c:pt>
                <c:pt idx="11">
                  <c:v> F4Q23E </c:v>
                </c:pt>
              </c:strCache>
            </c:strRef>
          </c:cat>
          <c:val>
            <c:numRef>
              <c:f>('IS (Base)'!$N$74,'IS (Base)'!$O$74,'IS (Base)'!$P$74,'IS (Base)'!$Q$74,'IS (Base)'!$S$74,'IS (Base)'!$T$74,'IS (Base)'!$U$74,'IS (Base)'!$V$74,'IS (Base)'!$X$74,'IS (Base)'!$Y$74,'IS (Base)'!$Z$74,'IS (Base)'!$AA$74)</c:f>
              <c:numCache>
                <c:formatCode>_(* #,##0_);_(* \(#,##0\);_(* "-"??_);_(@_)</c:formatCode>
                <c:ptCount val="12"/>
                <c:pt idx="0">
                  <c:v>6713</c:v>
                </c:pt>
                <c:pt idx="1">
                  <c:v>6836</c:v>
                </c:pt>
                <c:pt idx="2">
                  <c:v>7013</c:v>
                </c:pt>
                <c:pt idx="3">
                  <c:v>7272</c:v>
                </c:pt>
                <c:pt idx="4">
                  <c:v>7485</c:v>
                </c:pt>
                <c:pt idx="5">
                  <c:v>7587</c:v>
                </c:pt>
                <c:pt idx="6">
                  <c:v>7717</c:v>
                </c:pt>
                <c:pt idx="7">
                  <c:v>8037</c:v>
                </c:pt>
                <c:pt idx="8">
                  <c:v>8134</c:v>
                </c:pt>
                <c:pt idx="9">
                  <c:v>8308</c:v>
                </c:pt>
                <c:pt idx="10">
                  <c:v>8608</c:v>
                </c:pt>
                <c:pt idx="11">
                  <c:v>8908</c:v>
                </c:pt>
              </c:numCache>
            </c:numRef>
          </c:val>
          <c:extLst>
            <c:ext xmlns:c16="http://schemas.microsoft.com/office/drawing/2014/chart" uri="{C3380CC4-5D6E-409C-BE32-E72D297353CC}">
              <c16:uniqueId val="{00000000-BD59-43C0-B172-55832F96A941}"/>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(Base)'!$B$77</c:f>
              <c:strCache>
                <c:ptCount val="1"/>
                <c:pt idx="0">
                  <c:v>Average revenue per average company operated store </c:v>
                </c:pt>
              </c:strCache>
            </c:strRef>
          </c:tx>
          <c:spPr>
            <a:ln w="28575" cap="rnd">
              <a:solidFill>
                <a:schemeClr val="accent3"/>
              </a:solidFill>
              <a:round/>
            </a:ln>
            <a:effectLst/>
          </c:spPr>
          <c:marker>
            <c:symbol val="none"/>
          </c:marker>
          <c:val>
            <c:numRef>
              <c:f>('IS (Base)'!$N$77,'IS (Base)'!$O$77,'IS (Base)'!$P$77,'IS (Base)'!$Q$77,'IS (Base)'!$S$77,'IS (Base)'!$T$77,'IS (Base)'!$U$77,'IS (Base)'!$V$77,'IS (Base)'!$X$77,'IS (Base)'!$Y$77,'IS (Base)'!$Z$77,'IS (Base)'!$AA$77)</c:f>
              <c:numCache>
                <c:formatCode>_(* #,##0.000_);_(* \(#,##0.000\);_(* "-"??_);_(@_)</c:formatCode>
                <c:ptCount val="12"/>
                <c:pt idx="0">
                  <c:v>0.21776300883619062</c:v>
                </c:pt>
                <c:pt idx="1">
                  <c:v>0.20439884862351465</c:v>
                </c:pt>
                <c:pt idx="2">
                  <c:v>0.20698967434471802</c:v>
                </c:pt>
                <c:pt idx="3">
                  <c:v>0.22541127056352817</c:v>
                </c:pt>
                <c:pt idx="4">
                  <c:v>0.20441824219014704</c:v>
                </c:pt>
                <c:pt idx="5">
                  <c:v>0.17786624203821658</c:v>
                </c:pt>
                <c:pt idx="6">
                  <c:v>0.15189492943021432</c:v>
                </c:pt>
                <c:pt idx="7">
                  <c:v>0.17149930176463121</c:v>
                </c:pt>
                <c:pt idx="8">
                  <c:v>0.15000927586420135</c:v>
                </c:pt>
                <c:pt idx="9">
                  <c:v>0.17024692859749421</c:v>
                </c:pt>
                <c:pt idx="10">
                  <c:v>0.18227391531625717</c:v>
                </c:pt>
                <c:pt idx="11">
                  <c:v>0.20579916211755744</c:v>
                </c:pt>
              </c:numCache>
            </c:numRef>
          </c:val>
          <c:smooth val="0"/>
          <c:extLst>
            <c:ext xmlns:c16="http://schemas.microsoft.com/office/drawing/2014/chart" uri="{C3380CC4-5D6E-409C-BE32-E72D297353CC}">
              <c16:uniqueId val="{00000001-BD59-43C0-B172-55832F96A941}"/>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1.1701335840482614E-3"/>
          <c:y val="0.87216800788484661"/>
          <c:w val="0.98353703921338187"/>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5F31-4BF7-8917-172D26553C5E}"/>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F32-4380-8EEA-8F3A58D427EA}"/>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E903-497B-B2E3-C553B7AF1FD1}"/>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F055-4080-9770-6726426D3494}"/>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03D-4BA7-A48F-F77E88254576}"/>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361-4D73-8A33-BD123D76AF1C}"/>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443-4FA5-B19E-707617CD95C4}"/>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376-4231-9412-3081847C8C1F}"/>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E30E-46E4-9BFF-3A57B7B5F08C}"/>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9779-4657-BB2E-CA4FB2F41AD8}"/>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23D-44B4-BBF2-CA66B1FBD395}"/>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CBB-4429-9FD2-69B521A07A5E}"/>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00B-49AE-9153-5A4D33B2F42E}"/>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CF3-4B11-9046-9C460B60B4CD}"/>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FF1-4701-8171-2C1BFC47878E}"/>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E92-46C1-9E99-1432ED019981}"/>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938-4B16-A52F-7D3B41A171B5}"/>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0CA-4505-98B2-8A20B7726B33}"/>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6B4-45D4-89FF-66149375EBC6}"/>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2A5-49DE-824B-D3BC1DF7750B}"/>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Annual Revenue ($M) and Operating Margin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72388294746738757"/>
          <c:h val="0.61084635741027571"/>
        </c:manualLayout>
      </c:layout>
      <c:barChart>
        <c:barDir val="col"/>
        <c:grouping val="clustered"/>
        <c:varyColors val="0"/>
        <c:ser>
          <c:idx val="0"/>
          <c:order val="0"/>
          <c:tx>
            <c:strRef>
              <c:f>'IS (F4Q2022)'!$B$8:$C$8</c:f>
              <c:strCache>
                <c:ptCount val="2"/>
                <c:pt idx="0">
                  <c:v>Total revenues</c:v>
                </c:pt>
              </c:strCache>
            </c:strRef>
          </c:tx>
          <c:spPr>
            <a:solidFill>
              <a:schemeClr val="accent1"/>
            </a:solidFill>
            <a:ln>
              <a:noFill/>
            </a:ln>
            <a:effectLst/>
          </c:spPr>
          <c:invertIfNegative val="0"/>
          <c:cat>
            <c:strRef>
              <c:f>('IS (F4Q2022)'!$H$4,'IS (F4Q2022)'!$M$4,'IS (F4Q2022)'!$R$4,'IS (F4Q2022)'!$W$4,'IS (F4Q2022)'!$AB$4,'IS (F4Q2022)'!$AG$4,'IS (F4Q2022)'!$AL$4)</c:f>
              <c:strCache>
                <c:ptCount val="7"/>
                <c:pt idx="0">
                  <c:v> FY 2019 </c:v>
                </c:pt>
                <c:pt idx="1">
                  <c:v> FY 2020 </c:v>
                </c:pt>
                <c:pt idx="2">
                  <c:v> FY 2021 </c:v>
                </c:pt>
                <c:pt idx="3">
                  <c:v> FY 2022 </c:v>
                </c:pt>
                <c:pt idx="4">
                  <c:v> FY 2023E </c:v>
                </c:pt>
                <c:pt idx="5">
                  <c:v> FY 2024E </c:v>
                </c:pt>
                <c:pt idx="6">
                  <c:v> FY 2025E </c:v>
                </c:pt>
              </c:strCache>
            </c:strRef>
          </c:cat>
          <c:val>
            <c:numRef>
              <c:f>('IS (F4Q2022)'!$H$8,'IS (F4Q2022)'!$M$8,'IS (F4Q2022)'!$R$8,'IS (F4Q2022)'!$W$8,'IS (F4Q2022)'!$AB$8,'IS (F4Q2022)'!$AG$8,'IS (F4Q2022)'!$AL$8)</c:f>
              <c:numCache>
                <c:formatCode>_(* #,##0.0_);_(* \(#,##0.0\);_(* "-"??_);_(@_)</c:formatCode>
                <c:ptCount val="7"/>
                <c:pt idx="0">
                  <c:v>26508.600000000002</c:v>
                </c:pt>
                <c:pt idx="1">
                  <c:v>23518.000000000004</c:v>
                </c:pt>
                <c:pt idx="2">
                  <c:v>29060.6</c:v>
                </c:pt>
                <c:pt idx="3">
                  <c:v>32250.3</c:v>
                </c:pt>
                <c:pt idx="4">
                  <c:v>35976.05631107324</c:v>
                </c:pt>
                <c:pt idx="5">
                  <c:v>39718.424255367871</c:v>
                </c:pt>
                <c:pt idx="6">
                  <c:v>44291.04277926826</c:v>
                </c:pt>
              </c:numCache>
            </c:numRef>
          </c:val>
          <c:extLst>
            <c:ext xmlns:c16="http://schemas.microsoft.com/office/drawing/2014/chart" uri="{C3380CC4-5D6E-409C-BE32-E72D297353CC}">
              <c16:uniqueId val="{00000000-582C-4FEB-B691-B9A81DD14C5E}"/>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v>Operating Margin (Non-GAAP)</c:v>
          </c:tx>
          <c:spPr>
            <a:ln w="28575" cap="rnd">
              <a:solidFill>
                <a:schemeClr val="accent3"/>
              </a:solidFill>
              <a:round/>
            </a:ln>
            <a:effectLst/>
          </c:spPr>
          <c:marker>
            <c:symbol val="none"/>
          </c:marker>
          <c:val>
            <c:numRef>
              <c:f>('IS (F4Q2022)'!$H$142,'IS (F4Q2022)'!$M$142,'IS (F4Q2022)'!$R$142,'IS (F4Q2022)'!$W$142,'IS (F4Q2022)'!$AB$142,'IS (F4Q2022)'!$AG$142,'IS (F4Q2022)'!$AL$142)</c:f>
              <c:numCache>
                <c:formatCode>0.0%</c:formatCode>
                <c:ptCount val="7"/>
                <c:pt idx="0">
                  <c:v>0.17201964645435841</c:v>
                </c:pt>
                <c:pt idx="1">
                  <c:v>9.0704141508631861E-2</c:v>
                </c:pt>
                <c:pt idx="2">
                  <c:v>0.18106990220435909</c:v>
                </c:pt>
                <c:pt idx="3">
                  <c:v>0.15054123527533064</c:v>
                </c:pt>
                <c:pt idx="4">
                  <c:v>0.15666080683528935</c:v>
                </c:pt>
                <c:pt idx="5">
                  <c:v>0.16480362488413791</c:v>
                </c:pt>
                <c:pt idx="6">
                  <c:v>0.17350945509470186</c:v>
                </c:pt>
              </c:numCache>
            </c:numRef>
          </c:val>
          <c:smooth val="0"/>
          <c:extLst>
            <c:ext xmlns:c16="http://schemas.microsoft.com/office/drawing/2014/chart" uri="{C3380CC4-5D6E-409C-BE32-E72D297353CC}">
              <c16:uniqueId val="{00000001-582C-4FEB-B691-B9A81DD14C5E}"/>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0.2026626438644322"/>
          <c:y val="0.87216800788484661"/>
          <c:w val="0.57060171583029728"/>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
            </a:r>
            <a:r>
              <a:rPr lang="en-US" baseline="0"/>
              <a:t> America Segment Metrics (Quarterly, stores and $M)</a:t>
            </a:r>
            <a:endParaRPr lang="en-US"/>
          </a:p>
        </c:rich>
      </c:tx>
      <c:layout>
        <c:manualLayout>
          <c:xMode val="edge"/>
          <c:yMode val="edge"/>
          <c:x val="7.0733732910251895E-2"/>
          <c:y val="3.20953690967446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(F4Q2022)'!$B$41:$C$41</c:f>
              <c:strCache>
                <c:ptCount val="2"/>
                <c:pt idx="0">
                  <c:v>NA company-operated stores</c:v>
                </c:pt>
              </c:strCache>
            </c:strRef>
          </c:tx>
          <c:spPr>
            <a:solidFill>
              <a:schemeClr val="accent1"/>
            </a:solidFill>
            <a:ln>
              <a:noFill/>
            </a:ln>
            <a:effectLst/>
          </c:spPr>
          <c:invertIfNegative val="0"/>
          <c:cat>
            <c:strRef>
              <c:f>('IS (F4Q2022)'!$N$4,'IS (F4Q2022)'!$O$4,'IS (F4Q2022)'!$P$4,'IS (F4Q2022)'!$Q$4,'IS (F4Q2022)'!$S$4,'IS (F4Q2022)'!$T$4,'IS (F4Q2022)'!$U$4,'IS (F4Q2022)'!$V$4,'IS (F4Q2022)'!$X$4,'IS (F4Q2022)'!$Y$4,'IS (F4Q2022)'!$Z$4,'IS (F4Q2022)'!$AA$4)</c:f>
              <c:strCache>
                <c:ptCount val="12"/>
                <c:pt idx="0">
                  <c:v> F1Q21 </c:v>
                </c:pt>
                <c:pt idx="1">
                  <c:v> F2Q21 </c:v>
                </c:pt>
                <c:pt idx="2">
                  <c:v> F3Q21 </c:v>
                </c:pt>
                <c:pt idx="3">
                  <c:v> F4Q21 </c:v>
                </c:pt>
                <c:pt idx="4">
                  <c:v> F1Q22 </c:v>
                </c:pt>
                <c:pt idx="5">
                  <c:v> F2Q22 </c:v>
                </c:pt>
                <c:pt idx="6">
                  <c:v> F3Q22 </c:v>
                </c:pt>
                <c:pt idx="7">
                  <c:v> F4Q22 </c:v>
                </c:pt>
                <c:pt idx="8">
                  <c:v> F1Q23E </c:v>
                </c:pt>
                <c:pt idx="9">
                  <c:v> F2Q23E </c:v>
                </c:pt>
                <c:pt idx="10">
                  <c:v> F3Q23E </c:v>
                </c:pt>
                <c:pt idx="11">
                  <c:v> F4Q23E </c:v>
                </c:pt>
              </c:strCache>
            </c:strRef>
          </c:cat>
          <c:val>
            <c:numRef>
              <c:f>('IS (F4Q2022)'!$N$41,'IS (F4Q2022)'!$O$41,'IS (F4Q2022)'!$P$41,'IS (F4Q2022)'!$Q$41,'IS (F4Q2022)'!$S$41,'IS (F4Q2022)'!$T$41,'IS (F4Q2022)'!$U$41,'IS (F4Q2022)'!$V$41,'IS (F4Q2022)'!$X$41,'IS (F4Q2022)'!$Y$41,'IS (F4Q2022)'!$Z$41,'IS (F4Q2022)'!$AA$41)</c:f>
              <c:numCache>
                <c:formatCode>_(* #,##0_);_(* \(#,##0\);_(* "-"??_);_(@_)</c:formatCode>
                <c:ptCount val="12"/>
                <c:pt idx="0">
                  <c:v>10029</c:v>
                </c:pt>
                <c:pt idx="1">
                  <c:v>9820</c:v>
                </c:pt>
                <c:pt idx="2">
                  <c:v>9860</c:v>
                </c:pt>
                <c:pt idx="3">
                  <c:v>9861</c:v>
                </c:pt>
                <c:pt idx="4">
                  <c:v>9900</c:v>
                </c:pt>
                <c:pt idx="5">
                  <c:v>9954</c:v>
                </c:pt>
                <c:pt idx="6">
                  <c:v>10050</c:v>
                </c:pt>
                <c:pt idx="7">
                  <c:v>10216</c:v>
                </c:pt>
                <c:pt idx="8">
                  <c:v>10276.5</c:v>
                </c:pt>
                <c:pt idx="9">
                  <c:v>10337</c:v>
                </c:pt>
                <c:pt idx="10">
                  <c:v>10397.5</c:v>
                </c:pt>
                <c:pt idx="11">
                  <c:v>10458</c:v>
                </c:pt>
              </c:numCache>
            </c:numRef>
          </c:val>
          <c:extLst>
            <c:ext xmlns:c16="http://schemas.microsoft.com/office/drawing/2014/chart" uri="{C3380CC4-5D6E-409C-BE32-E72D297353CC}">
              <c16:uniqueId val="{00000000-EDC9-4B3B-B1E1-188EE1BAD110}"/>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(F4Q2022)'!$B$44</c:f>
              <c:strCache>
                <c:ptCount val="1"/>
                <c:pt idx="0">
                  <c:v>Average revenue per average company operated store</c:v>
                </c:pt>
              </c:strCache>
            </c:strRef>
          </c:tx>
          <c:spPr>
            <a:ln w="28575" cap="rnd">
              <a:solidFill>
                <a:schemeClr val="accent3"/>
              </a:solidFill>
              <a:round/>
            </a:ln>
            <a:effectLst/>
          </c:spPr>
          <c:marker>
            <c:symbol val="none"/>
          </c:marker>
          <c:val>
            <c:numRef>
              <c:f>('IS (F4Q2022)'!$N$44,'IS (F4Q2022)'!$O$44,'IS (F4Q2022)'!$P$44,'IS (F4Q2022)'!$Q$44,'IS (F4Q2022)'!$S$44,'IS (F4Q2022)'!$T$44,'IS (F4Q2022)'!$U$44,'IS (F4Q2022)'!$V$44,'IS (F4Q2022)'!$X$44,'IS (F4Q2022)'!$Y$44,'IS (F4Q2022)'!$Z$44,'IS (F4Q2022)'!$AA$44)</c:f>
              <c:numCache>
                <c:formatCode>_(* #,##0.000_);_(* \(#,##0.000\);_(* "-"??_);_(@_)</c:formatCode>
                <c:ptCount val="12"/>
                <c:pt idx="0">
                  <c:v>0.42554374813784884</c:v>
                </c:pt>
                <c:pt idx="1">
                  <c:v>0.43008715804322634</c:v>
                </c:pt>
                <c:pt idx="2">
                  <c:v>0.50099593495934958</c:v>
                </c:pt>
                <c:pt idx="3">
                  <c:v>0.53286344505856698</c:v>
                </c:pt>
                <c:pt idx="4">
                  <c:v>0.52771620869389202</c:v>
                </c:pt>
                <c:pt idx="5">
                  <c:v>0.49725999798529263</c:v>
                </c:pt>
                <c:pt idx="6">
                  <c:v>0.55120975804839034</c:v>
                </c:pt>
                <c:pt idx="7">
                  <c:v>0.54776472910293106</c:v>
                </c:pt>
                <c:pt idx="8">
                  <c:v>0.5646563433024645</c:v>
                </c:pt>
                <c:pt idx="9">
                  <c:v>0.53206819784426318</c:v>
                </c:pt>
                <c:pt idx="10">
                  <c:v>0.57877024595080984</c:v>
                </c:pt>
                <c:pt idx="11">
                  <c:v>0.5751529655580776</c:v>
                </c:pt>
              </c:numCache>
            </c:numRef>
          </c:val>
          <c:smooth val="0"/>
          <c:extLst>
            <c:ext xmlns:c16="http://schemas.microsoft.com/office/drawing/2014/chart" uri="{C3380CC4-5D6E-409C-BE32-E72D297353CC}">
              <c16:uniqueId val="{00000001-EDC9-4B3B-B1E1-188EE1BAD110}"/>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2.6045755474595516E-2"/>
          <c:y val="0.87216800788484661"/>
          <c:w val="0.95866141732283483"/>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International </a:t>
            </a:r>
            <a:r>
              <a:rPr lang="en-US" baseline="0"/>
              <a:t>Segment Metrics (Quarterly, $M)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(F4Q2022)'!$B$74:$C$74</c:f>
              <c:strCache>
                <c:ptCount val="2"/>
                <c:pt idx="0">
                  <c:v>International company-operated stores</c:v>
                </c:pt>
              </c:strCache>
            </c:strRef>
          </c:tx>
          <c:spPr>
            <a:solidFill>
              <a:schemeClr val="accent1"/>
            </a:solidFill>
            <a:ln>
              <a:noFill/>
            </a:ln>
            <a:effectLst/>
          </c:spPr>
          <c:invertIfNegative val="0"/>
          <c:cat>
            <c:strRef>
              <c:f>('IS (F4Q2022)'!$N$4,'IS (F4Q2022)'!$O$4,'IS (F4Q2022)'!$P$4,'IS (F4Q2022)'!$Q$4,'IS (F4Q2022)'!$S$4,'IS (F4Q2022)'!$T$4,'IS (F4Q2022)'!$U$4,'IS (F4Q2022)'!$V$4,'IS (F4Q2022)'!$X$4,'IS (F4Q2022)'!$Y$4,'IS (F4Q2022)'!$Z$4,'IS (F4Q2022)'!$AA$4)</c:f>
              <c:strCache>
                <c:ptCount val="12"/>
                <c:pt idx="0">
                  <c:v> F1Q21 </c:v>
                </c:pt>
                <c:pt idx="1">
                  <c:v> F2Q21 </c:v>
                </c:pt>
                <c:pt idx="2">
                  <c:v> F3Q21 </c:v>
                </c:pt>
                <c:pt idx="3">
                  <c:v> F4Q21 </c:v>
                </c:pt>
                <c:pt idx="4">
                  <c:v> F1Q22 </c:v>
                </c:pt>
                <c:pt idx="5">
                  <c:v> F2Q22 </c:v>
                </c:pt>
                <c:pt idx="6">
                  <c:v> F3Q22 </c:v>
                </c:pt>
                <c:pt idx="7">
                  <c:v> F4Q22 </c:v>
                </c:pt>
                <c:pt idx="8">
                  <c:v> F1Q23E </c:v>
                </c:pt>
                <c:pt idx="9">
                  <c:v> F2Q23E </c:v>
                </c:pt>
                <c:pt idx="10">
                  <c:v> F3Q23E </c:v>
                </c:pt>
                <c:pt idx="11">
                  <c:v> F4Q23E </c:v>
                </c:pt>
              </c:strCache>
            </c:strRef>
          </c:cat>
          <c:val>
            <c:numRef>
              <c:f>('IS (F4Q2022)'!$N$74,'IS (F4Q2022)'!$O$74,'IS (F4Q2022)'!$P$74,'IS (F4Q2022)'!$Q$74,'IS (F4Q2022)'!$S$74,'IS (F4Q2022)'!$T$74,'IS (F4Q2022)'!$U$74,'IS (F4Q2022)'!$V$74,'IS (F4Q2022)'!$X$74,'IS (F4Q2022)'!$Y$74,'IS (F4Q2022)'!$Z$74,'IS (F4Q2022)'!$AA$74)</c:f>
              <c:numCache>
                <c:formatCode>_(* #,##0_);_(* \(#,##0\);_(* "-"??_);_(@_)</c:formatCode>
                <c:ptCount val="12"/>
                <c:pt idx="0">
                  <c:v>6713</c:v>
                </c:pt>
                <c:pt idx="1">
                  <c:v>6836</c:v>
                </c:pt>
                <c:pt idx="2">
                  <c:v>7013</c:v>
                </c:pt>
                <c:pt idx="3">
                  <c:v>7272</c:v>
                </c:pt>
                <c:pt idx="4">
                  <c:v>7485</c:v>
                </c:pt>
                <c:pt idx="5">
                  <c:v>7587</c:v>
                </c:pt>
                <c:pt idx="6">
                  <c:v>7717</c:v>
                </c:pt>
                <c:pt idx="7">
                  <c:v>8037</c:v>
                </c:pt>
                <c:pt idx="8">
                  <c:v>8292</c:v>
                </c:pt>
                <c:pt idx="9">
                  <c:v>8547</c:v>
                </c:pt>
                <c:pt idx="10">
                  <c:v>8802</c:v>
                </c:pt>
                <c:pt idx="11">
                  <c:v>9059</c:v>
                </c:pt>
              </c:numCache>
            </c:numRef>
          </c:val>
          <c:extLst>
            <c:ext xmlns:c16="http://schemas.microsoft.com/office/drawing/2014/chart" uri="{C3380CC4-5D6E-409C-BE32-E72D297353CC}">
              <c16:uniqueId val="{00000000-5BDA-4287-AADE-A4A3DF0702F6}"/>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(F4Q2022)'!$B$77</c:f>
              <c:strCache>
                <c:ptCount val="1"/>
                <c:pt idx="0">
                  <c:v>Average revenue per average company operated store </c:v>
                </c:pt>
              </c:strCache>
            </c:strRef>
          </c:tx>
          <c:spPr>
            <a:ln w="28575" cap="rnd">
              <a:solidFill>
                <a:schemeClr val="accent3"/>
              </a:solidFill>
              <a:round/>
            </a:ln>
            <a:effectLst/>
          </c:spPr>
          <c:marker>
            <c:symbol val="none"/>
          </c:marker>
          <c:val>
            <c:numRef>
              <c:f>('IS (F4Q2022)'!$N$77,'IS (F4Q2022)'!$O$77,'IS (F4Q2022)'!$P$77,'IS (F4Q2022)'!$Q$77,'IS (F4Q2022)'!$S$77,'IS (F4Q2022)'!$T$77,'IS (F4Q2022)'!$U$77,'IS (F4Q2022)'!$V$77,'IS (F4Q2022)'!$X$77,'IS (F4Q2022)'!$Y$77,'IS (F4Q2022)'!$Z$77,'IS (F4Q2022)'!$AA$77)</c:f>
              <c:numCache>
                <c:formatCode>_(* #,##0.000_);_(* \(#,##0.000\);_(* "-"??_);_(@_)</c:formatCode>
                <c:ptCount val="12"/>
                <c:pt idx="0">
                  <c:v>0.21776300883619062</c:v>
                </c:pt>
                <c:pt idx="1">
                  <c:v>0.20439884862351465</c:v>
                </c:pt>
                <c:pt idx="2">
                  <c:v>0.20698967434471802</c:v>
                </c:pt>
                <c:pt idx="3">
                  <c:v>0.22541127056352817</c:v>
                </c:pt>
                <c:pt idx="4">
                  <c:v>0.20441824219014704</c:v>
                </c:pt>
                <c:pt idx="5">
                  <c:v>0.17786624203821658</c:v>
                </c:pt>
                <c:pt idx="6">
                  <c:v>0.15189492943021432</c:v>
                </c:pt>
                <c:pt idx="7">
                  <c:v>0.17149930176463121</c:v>
                </c:pt>
                <c:pt idx="8">
                  <c:v>0.17375550586162497</c:v>
                </c:pt>
                <c:pt idx="9">
                  <c:v>0.16897292993630575</c:v>
                </c:pt>
                <c:pt idx="10">
                  <c:v>0.18227391531625717</c:v>
                </c:pt>
                <c:pt idx="11">
                  <c:v>0.20579916211755744</c:v>
                </c:pt>
              </c:numCache>
            </c:numRef>
          </c:val>
          <c:smooth val="0"/>
          <c:extLst>
            <c:ext xmlns:c16="http://schemas.microsoft.com/office/drawing/2014/chart" uri="{C3380CC4-5D6E-409C-BE32-E72D297353CC}">
              <c16:uniqueId val="{00000001-5BDA-4287-AADE-A4A3DF0702F6}"/>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1.1701335840482614E-3"/>
          <c:y val="0.87216800788484661"/>
          <c:w val="0.98353703921338187"/>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C5B-4432-AEA3-B8F0A3A64560}"/>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1BE0-4F6E-98B6-6BDCE6C51D4B}"/>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FA8-4497-8BC1-3F0AFC5D0F80}"/>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3CB-44DC-8CDA-EB605E6F21D6}"/>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6F6-4D32-840B-EE81D8831A36}"/>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E0D2-4932-9F22-4C230B31E9FA}"/>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2D9-4052-8AC6-97CA7BA81AF2}"/>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9CC5-491B-A001-8CD17FD929AD}"/>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6F0-4254-9809-51273198279A}"/>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1CD0-4136-807B-4B26CEBE2FC0}"/>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DD47-4359-993F-738A6F4082E1}"/>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4B2-47B2-AA3D-83299EF3A3CB}"/>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1900-4B9E-91DD-FAC02C439578}"/>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A8F-4769-B640-DD5786E45947}"/>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CCA-4F88-93E7-02583179AE7A}"/>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25B3-4EC5-915A-AF4FFBF13EF5}"/>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C8A-4A15-89E9-AD6E459DE515}"/>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9E68-41CC-A139-8EDE3E3DF485}"/>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B67-41A8-AFAE-7762FB2A3275}"/>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27F-4779-8AB3-7A6BC2C72CF9}"/>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9F3B-4325-A8B7-E0FDFCF2B78B}"/>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29DC-457D-B993-3110C70E5BB3}"/>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7EA-43D0-B324-F110FD43FFEC}"/>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35B-425E-B42B-AAAF64DD1054}"/>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4A3-4CA6-B2E2-701F5B14F37E}"/>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5D06-4A3B-9977-1FC751AFC20E}"/>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E74-476F-B62F-9328F4CE52A7}"/>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170-4ABE-9C5E-04C105330CE6}"/>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EC3-4422-94C8-945EC159D6AD}"/>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E953-4288-9F00-BC0BE6C18B4D}"/>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451-4A02-9FDD-69FA7C3F7C8B}"/>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chart" Target="../charts/chart4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chart" Target="../charts/chart4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chart" Target="../charts/chart5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chart" Target="../charts/chart6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 Id="rId4" Type="http://schemas.openxmlformats.org/officeDocument/2006/relationships/chart" Target="../charts/chart71.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4" Type="http://schemas.openxmlformats.org/officeDocument/2006/relationships/chart" Target="../charts/chart7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chart" Target="../charts/chart8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0D5FC5F6-12CC-416F-8299-4C9B21704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5359A1CA-12F1-4B4D-877F-3ED33298F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0C552B26-F46F-4622-9953-026A8FB8F4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EF910E39-5A85-4807-B3DE-2960CA893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2979A103-7873-42C8-8AD4-7A8E1C8BE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7DFF5E42-9306-4F53-AF5A-F59BDA08C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50B06957-EDDA-447E-BB52-B004140DD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538C56D9-2CE5-4FDD-ABDA-736D0EEEC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5CFC4AB4-DA57-424B-B9E3-45548AE9F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236220</xdr:colOff>
      <xdr:row>1</xdr:row>
      <xdr:rowOff>140970</xdr:rowOff>
    </xdr:from>
    <xdr:to>
      <xdr:col>9</xdr:col>
      <xdr:colOff>464820</xdr:colOff>
      <xdr:row>16</xdr:row>
      <xdr:rowOff>167640</xdr:rowOff>
    </xdr:to>
    <xdr:graphicFrame macro="">
      <xdr:nvGraphicFramePr>
        <xdr:cNvPr id="2" name="Chart 1">
          <a:extLst>
            <a:ext uri="{FF2B5EF4-FFF2-40B4-BE49-F238E27FC236}">
              <a16:creationId xmlns:a16="http://schemas.microsoft.com/office/drawing/2014/main" id="{C063A551-2CEF-4D03-A1FB-3EB41F3111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19</xdr:row>
      <xdr:rowOff>106680</xdr:rowOff>
    </xdr:from>
    <xdr:to>
      <xdr:col>9</xdr:col>
      <xdr:colOff>419100</xdr:colOff>
      <xdr:row>34</xdr:row>
      <xdr:rowOff>133350</xdr:rowOff>
    </xdr:to>
    <xdr:graphicFrame macro="">
      <xdr:nvGraphicFramePr>
        <xdr:cNvPr id="3" name="Chart 2">
          <a:extLst>
            <a:ext uri="{FF2B5EF4-FFF2-40B4-BE49-F238E27FC236}">
              <a16:creationId xmlns:a16="http://schemas.microsoft.com/office/drawing/2014/main" id="{713A7E97-D86A-4F57-8309-B225E61D3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236220</xdr:colOff>
      <xdr:row>36</xdr:row>
      <xdr:rowOff>7620</xdr:rowOff>
    </xdr:from>
    <xdr:to>
      <xdr:col>9</xdr:col>
      <xdr:colOff>464820</xdr:colOff>
      <xdr:row>51</xdr:row>
      <xdr:rowOff>34290</xdr:rowOff>
    </xdr:to>
    <xdr:graphicFrame macro="">
      <xdr:nvGraphicFramePr>
        <xdr:cNvPr id="4" name="Chart 3">
          <a:extLst>
            <a:ext uri="{FF2B5EF4-FFF2-40B4-BE49-F238E27FC236}">
              <a16:creationId xmlns:a16="http://schemas.microsoft.com/office/drawing/2014/main" id="{A7A23716-492E-4D8C-BE86-B793723177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51ADA2A2-D289-4A31-963D-29E3AAC16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9BC80D6E-C4A1-4FE7-88D0-A202D2F8B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FD78CBD7-CD61-4F95-957E-7417AF33A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68712D76-217C-41B1-B834-00B240314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364C4FA7-036B-4716-83C7-259A8314B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CF4AC5E1-FAF5-4AAB-908A-7576EF96C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7C468DC6-553F-42A0-A72C-DF77EC2D0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06F3C63F-D702-424B-A57F-3B6ED477E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A359519C-2C50-4E62-BA53-32E508BFB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BCE7FFC1-1F98-4275-B9BE-82FB3A0F0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CAD379BD-F382-470F-B42E-0F43E3E40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334B0A61-AA73-4D7D-9A7C-30E4875E4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72268BEF-0EFD-4D02-AD51-DBD7E126B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BC77EBA5-E7FD-4563-9087-1427953AE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BBE2E3B8-F443-4E8C-A187-AB141CDED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D598B68B-E3BD-4EE9-8AF3-95FDEF835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0E89D53E-B114-495B-865F-6D8DEA4043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1233E0CD-2757-4418-A488-71774F83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236220</xdr:colOff>
      <xdr:row>1</xdr:row>
      <xdr:rowOff>140970</xdr:rowOff>
    </xdr:from>
    <xdr:to>
      <xdr:col>9</xdr:col>
      <xdr:colOff>464820</xdr:colOff>
      <xdr:row>16</xdr:row>
      <xdr:rowOff>167640</xdr:rowOff>
    </xdr:to>
    <xdr:graphicFrame macro="">
      <xdr:nvGraphicFramePr>
        <xdr:cNvPr id="2" name="Chart 1">
          <a:extLst>
            <a:ext uri="{FF2B5EF4-FFF2-40B4-BE49-F238E27FC236}">
              <a16:creationId xmlns:a16="http://schemas.microsoft.com/office/drawing/2014/main" id="{E284B3D2-4148-4E27-8BA9-BD10E46A7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19</xdr:row>
      <xdr:rowOff>106680</xdr:rowOff>
    </xdr:from>
    <xdr:to>
      <xdr:col>9</xdr:col>
      <xdr:colOff>419100</xdr:colOff>
      <xdr:row>34</xdr:row>
      <xdr:rowOff>133350</xdr:rowOff>
    </xdr:to>
    <xdr:graphicFrame macro="">
      <xdr:nvGraphicFramePr>
        <xdr:cNvPr id="3" name="Chart 2">
          <a:extLst>
            <a:ext uri="{FF2B5EF4-FFF2-40B4-BE49-F238E27FC236}">
              <a16:creationId xmlns:a16="http://schemas.microsoft.com/office/drawing/2014/main" id="{A24BD9AD-5F38-412F-8CB0-137C7C1D3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236220</xdr:colOff>
      <xdr:row>36</xdr:row>
      <xdr:rowOff>7620</xdr:rowOff>
    </xdr:from>
    <xdr:to>
      <xdr:col>9</xdr:col>
      <xdr:colOff>464820</xdr:colOff>
      <xdr:row>51</xdr:row>
      <xdr:rowOff>34290</xdr:rowOff>
    </xdr:to>
    <xdr:graphicFrame macro="">
      <xdr:nvGraphicFramePr>
        <xdr:cNvPr id="4" name="Chart 3">
          <a:extLst>
            <a:ext uri="{FF2B5EF4-FFF2-40B4-BE49-F238E27FC236}">
              <a16:creationId xmlns:a16="http://schemas.microsoft.com/office/drawing/2014/main" id="{63AD0E9E-A628-4077-BFD5-C2461D17C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BF1312FE-5BC7-4C9D-845B-B1654A086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39EF9ED5-BC0D-48C2-8548-D7F7F22378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C3414BBB-81E8-4DB5-BF90-B43172BC6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A5323322-2956-480F-BB6C-93EF89FF0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BF0FF9E6-5918-43CB-86AE-C8E53FE98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46C5BF6C-681A-427C-A3F8-2C49DEAA3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19B1FC21-813C-4A84-8264-010DCB8DA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B81E308E-4402-4A1F-86D5-DFAC5EDE0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7A9E003C-B043-42EF-9170-7CA306A63C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7FA4898C-E9B6-466B-9BD7-B4D5408F6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4147B794-29D7-4586-8738-6C0BA3C548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9B036550-2C17-49CA-BE35-88241844F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74FD4490-052E-49E0-8D6D-1F5705B73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5" name="Chart 4">
          <a:extLst>
            <a:ext uri="{FF2B5EF4-FFF2-40B4-BE49-F238E27FC236}">
              <a16:creationId xmlns:a16="http://schemas.microsoft.com/office/drawing/2014/main" id="{6B9BA363-6D51-4C5A-8B2C-5A9A03E89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3F7BABA0-FBC4-4D33-848F-AE0FF281D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F29EC6B1-3BC9-4815-8E99-B4C80B508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BD788BF8-6BD7-4BAF-A6EE-8A291738F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B79B21A9-C7F3-4056-A036-93DE8BF661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F0A0F0E0-30C2-4562-9720-3E1700E74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2F936734-8D3F-40BF-B885-0EBE340FDD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F00858EE-95A0-4852-BEF0-4C8C52E71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BE7E6B64-717A-4BFD-A689-100105AB4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08A3E776-CB3E-4532-9D76-3706234A7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3FEC6796-BBAA-4812-A080-4661A054E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B38B3808-D750-42E6-9282-B2A910CEC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BFEBF422-4279-4658-AFCD-882F71F666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035945FF-B285-4629-83FE-22A35CFD4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436BFE5E-61D7-40E0-AE75-EF391083B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424B5A63-5619-421B-A20C-C14058870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D42E5C83-3497-4FCE-BA51-0BF783358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79BF9F93-0DDE-4FE7-9CCD-F44CA577F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7209AE6D-3B14-427C-8B20-836EA1013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34D5DC0D-62B5-4C82-B371-FB9DF7AE94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6D281719-8930-4766-A0E8-4B0108865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677A53CC-FEFF-4FF2-BAC7-A682DE610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236220</xdr:colOff>
      <xdr:row>1</xdr:row>
      <xdr:rowOff>140970</xdr:rowOff>
    </xdr:from>
    <xdr:to>
      <xdr:col>9</xdr:col>
      <xdr:colOff>464820</xdr:colOff>
      <xdr:row>16</xdr:row>
      <xdr:rowOff>167640</xdr:rowOff>
    </xdr:to>
    <xdr:graphicFrame macro="">
      <xdr:nvGraphicFramePr>
        <xdr:cNvPr id="2" name="Chart 1">
          <a:extLst>
            <a:ext uri="{FF2B5EF4-FFF2-40B4-BE49-F238E27FC236}">
              <a16:creationId xmlns:a16="http://schemas.microsoft.com/office/drawing/2014/main" id="{337FE35B-CB21-4AC3-BB4C-9825D3400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19</xdr:row>
      <xdr:rowOff>106680</xdr:rowOff>
    </xdr:from>
    <xdr:to>
      <xdr:col>9</xdr:col>
      <xdr:colOff>419100</xdr:colOff>
      <xdr:row>34</xdr:row>
      <xdr:rowOff>133350</xdr:rowOff>
    </xdr:to>
    <xdr:graphicFrame macro="">
      <xdr:nvGraphicFramePr>
        <xdr:cNvPr id="3" name="Chart 2">
          <a:extLst>
            <a:ext uri="{FF2B5EF4-FFF2-40B4-BE49-F238E27FC236}">
              <a16:creationId xmlns:a16="http://schemas.microsoft.com/office/drawing/2014/main" id="{9139E611-37A1-4F43-92F8-A8F886159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236220</xdr:colOff>
      <xdr:row>36</xdr:row>
      <xdr:rowOff>7620</xdr:rowOff>
    </xdr:from>
    <xdr:to>
      <xdr:col>9</xdr:col>
      <xdr:colOff>464820</xdr:colOff>
      <xdr:row>51</xdr:row>
      <xdr:rowOff>34290</xdr:rowOff>
    </xdr:to>
    <xdr:graphicFrame macro="">
      <xdr:nvGraphicFramePr>
        <xdr:cNvPr id="4" name="Chart 3">
          <a:extLst>
            <a:ext uri="{FF2B5EF4-FFF2-40B4-BE49-F238E27FC236}">
              <a16:creationId xmlns:a16="http://schemas.microsoft.com/office/drawing/2014/main" id="{8D2D3A94-5432-465D-87A1-47A492CB7C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B2424DBC-C68E-4606-8ECC-F9FEF38BF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6401BC79-5D55-4030-9753-17E35DA61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39A1D059-88C1-4234-A982-2336D4722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A0051D2B-61A1-4FF6-9425-10CCF4221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FB3AA16B-1733-458D-A2C4-629A88174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65816EDE-15F6-42B4-A28B-0C3A10FE6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F2DD29D4-2F68-474D-80A9-0538B4A2B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526E9E8F-3AAB-45B7-8899-A2331C48A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19C4926B-47C6-41D2-AB6A-FE0BB647ED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236220</xdr:colOff>
      <xdr:row>1</xdr:row>
      <xdr:rowOff>140970</xdr:rowOff>
    </xdr:from>
    <xdr:to>
      <xdr:col>9</xdr:col>
      <xdr:colOff>464820</xdr:colOff>
      <xdr:row>16</xdr:row>
      <xdr:rowOff>167640</xdr:rowOff>
    </xdr:to>
    <xdr:graphicFrame macro="">
      <xdr:nvGraphicFramePr>
        <xdr:cNvPr id="2" name="Chart 1">
          <a:extLst>
            <a:ext uri="{FF2B5EF4-FFF2-40B4-BE49-F238E27FC236}">
              <a16:creationId xmlns:a16="http://schemas.microsoft.com/office/drawing/2014/main" id="{86A3048D-4C51-42E4-9A75-E4DBFC44A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19</xdr:row>
      <xdr:rowOff>106680</xdr:rowOff>
    </xdr:from>
    <xdr:to>
      <xdr:col>9</xdr:col>
      <xdr:colOff>419100</xdr:colOff>
      <xdr:row>34</xdr:row>
      <xdr:rowOff>133350</xdr:rowOff>
    </xdr:to>
    <xdr:graphicFrame macro="">
      <xdr:nvGraphicFramePr>
        <xdr:cNvPr id="3" name="Chart 2">
          <a:extLst>
            <a:ext uri="{FF2B5EF4-FFF2-40B4-BE49-F238E27FC236}">
              <a16:creationId xmlns:a16="http://schemas.microsoft.com/office/drawing/2014/main" id="{23E0C116-A13D-40DD-BA65-4ABEC44CD3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236220</xdr:colOff>
      <xdr:row>36</xdr:row>
      <xdr:rowOff>7620</xdr:rowOff>
    </xdr:from>
    <xdr:to>
      <xdr:col>9</xdr:col>
      <xdr:colOff>464820</xdr:colOff>
      <xdr:row>51</xdr:row>
      <xdr:rowOff>34290</xdr:rowOff>
    </xdr:to>
    <xdr:graphicFrame macro="">
      <xdr:nvGraphicFramePr>
        <xdr:cNvPr id="4" name="Chart 3">
          <a:extLst>
            <a:ext uri="{FF2B5EF4-FFF2-40B4-BE49-F238E27FC236}">
              <a16:creationId xmlns:a16="http://schemas.microsoft.com/office/drawing/2014/main" id="{A0534E0B-3BE7-496F-AC33-D580A6BBF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BC330020-7E1C-4838-A64D-C41D88665C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0163C-49A2-45A8-8E35-A3A096AC10F1}">
  <sheetPr>
    <tabColor theme="6" tint="0.39997558519241921"/>
    <pageSetUpPr fitToPage="1"/>
  </sheetPr>
  <dimension ref="A1:AV316"/>
  <sheetViews>
    <sheetView showGridLines="0" zoomScale="120" zoomScaleNormal="120" workbookViewId="0">
      <pane xSplit="3" ySplit="4" topLeftCell="S116" activePane="bottomRight" state="frozen"/>
      <selection activeCell="AA123" sqref="AA123"/>
      <selection pane="topRight" activeCell="AA123" sqref="AA123"/>
      <selection pane="bottomLeft" activeCell="AA123" sqref="AA123"/>
      <selection pane="bottomRight" activeCell="AA123" sqref="AA123"/>
    </sheetView>
  </sheetViews>
  <sheetFormatPr defaultColWidth="8.88671875" defaultRowHeight="14.4" outlineLevelRow="1" outlineLevelCol="1" x14ac:dyDescent="0.3"/>
  <cols>
    <col min="1" max="1" width="2" style="2" customWidth="1"/>
    <col min="2" max="2" width="39" style="2" customWidth="1"/>
    <col min="3" max="3" width="3.109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91"/>
      <c r="U1" s="369"/>
      <c r="V1" s="369"/>
      <c r="W1" s="369"/>
      <c r="X1" s="369"/>
      <c r="Y1" s="391"/>
      <c r="Z1" s="391"/>
      <c r="AA1" s="391"/>
      <c r="AB1" s="389"/>
      <c r="AC1" s="391"/>
      <c r="AD1" s="369"/>
      <c r="AE1" s="369"/>
      <c r="AF1" s="369"/>
      <c r="AG1" s="369"/>
      <c r="AH1" s="369"/>
      <c r="AI1" s="369"/>
      <c r="AJ1" s="369"/>
      <c r="AK1" s="369"/>
      <c r="AL1" s="42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582"/>
      <c r="B3" s="583" t="s">
        <v>18</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82"/>
      <c r="B4" s="585" t="s">
        <v>3</v>
      </c>
      <c r="C4" s="586"/>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580" t="s">
        <v>101</v>
      </c>
      <c r="C5" s="581"/>
      <c r="D5" s="105">
        <v>5370.3</v>
      </c>
      <c r="E5" s="105">
        <v>5159</v>
      </c>
      <c r="F5" s="105">
        <v>5535</v>
      </c>
      <c r="G5" s="105">
        <f>H5-F5-E5-D5</f>
        <v>5480.1000000000013</v>
      </c>
      <c r="H5" s="170">
        <v>21544.400000000001</v>
      </c>
      <c r="I5" s="105">
        <v>5780.7</v>
      </c>
      <c r="J5" s="105">
        <v>4766</v>
      </c>
      <c r="K5" s="105">
        <v>3444.4</v>
      </c>
      <c r="L5" s="105">
        <v>5173.6000000000004</v>
      </c>
      <c r="M5" s="49">
        <f>SUM(I5:L5)</f>
        <v>19164.7</v>
      </c>
      <c r="N5" s="48">
        <v>5726.5</v>
      </c>
      <c r="O5" s="48">
        <v>5653.1</v>
      </c>
      <c r="P5" s="48">
        <v>6363.1</v>
      </c>
      <c r="Q5" s="105">
        <v>6864.3</v>
      </c>
      <c r="R5" s="49">
        <f>SUM(N5:Q5)</f>
        <v>24607</v>
      </c>
      <c r="S5" s="48">
        <v>6722.4</v>
      </c>
      <c r="T5" s="48">
        <v>6276.7</v>
      </c>
      <c r="U5" s="48">
        <v>6675.5</v>
      </c>
      <c r="V5" s="48">
        <v>6901.4</v>
      </c>
      <c r="W5" s="49">
        <f>SUM(S5:V5)</f>
        <v>26576</v>
      </c>
      <c r="X5" s="105">
        <v>7083.5</v>
      </c>
      <c r="Y5" s="48">
        <f>+Y45+Y78</f>
        <v>6872.2063387567623</v>
      </c>
      <c r="Z5" s="48">
        <f>+Z45+Z78</f>
        <v>7551.2912476940055</v>
      </c>
      <c r="AA5" s="48">
        <f>+AA45+AA78</f>
        <v>7809.5352493040664</v>
      </c>
      <c r="AB5" s="49">
        <f>SUM(X5:AA5)</f>
        <v>29316.532835754831</v>
      </c>
      <c r="AC5" s="48">
        <f>+AC45+AC78</f>
        <v>7954.296796632133</v>
      </c>
      <c r="AD5" s="48">
        <f>+AD45+AD78</f>
        <v>7561.0798538091212</v>
      </c>
      <c r="AE5" s="48">
        <f>+AE45+AE78</f>
        <v>8304.311021198766</v>
      </c>
      <c r="AF5" s="48">
        <f>+AF45+AF78</f>
        <v>8602.9290481775988</v>
      </c>
      <c r="AG5" s="49">
        <f>SUM(AC5:AF5)</f>
        <v>32422.616719817619</v>
      </c>
      <c r="AH5" s="48">
        <f>+AH45+AH78</f>
        <v>8871.0604704692414</v>
      </c>
      <c r="AI5" s="48">
        <f>+AI45+AI78</f>
        <v>8443.3549125196478</v>
      </c>
      <c r="AJ5" s="48">
        <f>+AJ45+AJ78</f>
        <v>9277.86054299649</v>
      </c>
      <c r="AK5" s="48">
        <f>+AK45+AK78</f>
        <v>9628.7479859984633</v>
      </c>
      <c r="AL5" s="49">
        <f>SUM(AH5:AK5)</f>
        <v>36221.023911983837</v>
      </c>
      <c r="AM5" s="48">
        <f>+AM45+AM78</f>
        <v>9754.3597220383745</v>
      </c>
      <c r="AN5" s="48">
        <f>+AN45+AN78</f>
        <v>9263.3809370908839</v>
      </c>
      <c r="AO5" s="48">
        <f>+AO45+AO78</f>
        <v>10149.41387443534</v>
      </c>
      <c r="AP5" s="48">
        <f>+AP45+AP78</f>
        <v>10508.609735331214</v>
      </c>
      <c r="AQ5" s="49">
        <f>SUM(AM5:AP5)</f>
        <v>39675.764268895815</v>
      </c>
      <c r="AR5" s="48">
        <f>+AR45+AR78</f>
        <v>10420.885014200936</v>
      </c>
      <c r="AS5" s="48">
        <f>+AS45+AS78</f>
        <v>9894.3046985527762</v>
      </c>
      <c r="AT5" s="48">
        <f>+AT45+AT78</f>
        <v>10836.956031242846</v>
      </c>
      <c r="AU5" s="48">
        <f>+AU45+AU78</f>
        <v>11219.826215437452</v>
      </c>
      <c r="AV5" s="49">
        <f>SUM(AR5:AU5)</f>
        <v>42371.971959434013</v>
      </c>
    </row>
    <row r="6" spans="1:48" outlineLevel="1" x14ac:dyDescent="0.3">
      <c r="B6" s="580" t="s">
        <v>102</v>
      </c>
      <c r="C6" s="581"/>
      <c r="D6" s="105">
        <v>737.1</v>
      </c>
      <c r="E6" s="105">
        <v>678.2</v>
      </c>
      <c r="F6" s="105">
        <v>725</v>
      </c>
      <c r="G6" s="105">
        <f t="shared" ref="G6:G16" si="0">H6-F6-E6-D6</f>
        <v>734.69999999999993</v>
      </c>
      <c r="H6" s="170">
        <v>2875</v>
      </c>
      <c r="I6" s="105">
        <v>792</v>
      </c>
      <c r="J6" s="105">
        <v>689.8</v>
      </c>
      <c r="K6" s="105">
        <v>300.5</v>
      </c>
      <c r="L6" s="48">
        <v>544.6</v>
      </c>
      <c r="M6" s="49">
        <f t="shared" ref="M6:M7" si="1">SUM(I6:L6)</f>
        <v>2326.9</v>
      </c>
      <c r="N6" s="48">
        <v>613.79999999999995</v>
      </c>
      <c r="O6" s="48">
        <v>595</v>
      </c>
      <c r="P6" s="48">
        <v>680.2</v>
      </c>
      <c r="Q6" s="105">
        <v>794.5</v>
      </c>
      <c r="R6" s="49">
        <f>SUM(N6:Q6)</f>
        <v>2683.5</v>
      </c>
      <c r="S6" s="48">
        <v>850.8</v>
      </c>
      <c r="T6" s="48">
        <v>849.5</v>
      </c>
      <c r="U6" s="48">
        <v>956.8</v>
      </c>
      <c r="V6" s="48">
        <v>998.4</v>
      </c>
      <c r="W6" s="49">
        <f t="shared" ref="W6:W7" si="2">SUM(S6:V6)</f>
        <v>3655.5</v>
      </c>
      <c r="X6" s="105">
        <v>1119.5</v>
      </c>
      <c r="Y6" s="48">
        <f>+Y54+Y87</f>
        <v>1014.1358924138826</v>
      </c>
      <c r="Z6" s="48">
        <f>+Z54+Z87</f>
        <v>1130.5930055899562</v>
      </c>
      <c r="AA6" s="48">
        <f>+AA54+AA87</f>
        <v>1183.6175196977701</v>
      </c>
      <c r="AB6" s="49">
        <f t="shared" ref="AB6:AB7" si="3">SUM(X6:AA6)</f>
        <v>4447.8464177016085</v>
      </c>
      <c r="AC6" s="48">
        <f>+AC54+AC87</f>
        <v>1249.7688380698191</v>
      </c>
      <c r="AD6" s="48">
        <f>+AD54+AD87</f>
        <v>1134.2814707049301</v>
      </c>
      <c r="AE6" s="48">
        <f>+AE54+AE87</f>
        <v>1265.38444046636</v>
      </c>
      <c r="AF6" s="48">
        <f>+AF54+AF87</f>
        <v>1322.5200910247154</v>
      </c>
      <c r="AG6" s="49">
        <f t="shared" ref="AG6:AG7" si="4">SUM(AC6:AF6)</f>
        <v>4971.9548402658247</v>
      </c>
      <c r="AH6" s="48">
        <f>+AH54+AH87</f>
        <v>1408.5831537688796</v>
      </c>
      <c r="AI6" s="48">
        <f>+AI54+AI87</f>
        <v>1279.8786409325287</v>
      </c>
      <c r="AJ6" s="48">
        <f>+AJ54+AJ87</f>
        <v>1429.1226441710567</v>
      </c>
      <c r="AK6" s="48">
        <f>+AK54+AK87</f>
        <v>1493.7413501281694</v>
      </c>
      <c r="AL6" s="49">
        <f t="shared" ref="AL6:AL7" si="5">SUM(AH6:AK6)</f>
        <v>5611.3257890006353</v>
      </c>
      <c r="AM6" s="48">
        <f>+AM54+AM87</f>
        <v>1563.3744017812685</v>
      </c>
      <c r="AN6" s="48">
        <f>+AN54+AN87</f>
        <v>1405.2912129118733</v>
      </c>
      <c r="AO6" s="48">
        <f>+AO54+AO87</f>
        <v>1551.8969974579422</v>
      </c>
      <c r="AP6" s="48">
        <f>+AP54+AP87</f>
        <v>1603.1511469811312</v>
      </c>
      <c r="AQ6" s="49">
        <f t="shared" ref="AQ6:AQ7" si="6">SUM(AM6:AP6)</f>
        <v>6123.7137591322153</v>
      </c>
      <c r="AR6" s="48">
        <f>+AR54+AR87</f>
        <v>1636.0616063890823</v>
      </c>
      <c r="AS6" s="48">
        <f>+AS54+AS87</f>
        <v>1470.8306080991847</v>
      </c>
      <c r="AT6" s="48">
        <f>+AT54+AT87</f>
        <v>1624.4762658902873</v>
      </c>
      <c r="AU6" s="48">
        <f>+AU54+AU87</f>
        <v>1677.874900306264</v>
      </c>
      <c r="AV6" s="49">
        <f t="shared" ref="AV6:AV7" si="7">SUM(AR6:AU6)</f>
        <v>6409.2433806848185</v>
      </c>
    </row>
    <row r="7" spans="1:48" ht="16.2" outlineLevel="1" x14ac:dyDescent="0.45">
      <c r="B7" s="580" t="s">
        <v>103</v>
      </c>
      <c r="C7" s="581"/>
      <c r="D7" s="104">
        <v>525.29999999999995</v>
      </c>
      <c r="E7" s="104">
        <v>468.7</v>
      </c>
      <c r="F7" s="104">
        <v>563</v>
      </c>
      <c r="G7" s="104">
        <f t="shared" si="0"/>
        <v>532.19999999999982</v>
      </c>
      <c r="H7" s="173">
        <v>2089.1999999999998</v>
      </c>
      <c r="I7" s="104">
        <v>524.4</v>
      </c>
      <c r="J7" s="104">
        <v>539.9</v>
      </c>
      <c r="K7" s="104">
        <v>477.2</v>
      </c>
      <c r="L7" s="52">
        <v>484.9</v>
      </c>
      <c r="M7" s="53">
        <f t="shared" si="1"/>
        <v>2026.4</v>
      </c>
      <c r="N7" s="52">
        <v>409.1</v>
      </c>
      <c r="O7" s="52">
        <v>419.9</v>
      </c>
      <c r="P7" s="52">
        <v>453.2</v>
      </c>
      <c r="Q7" s="104">
        <v>487.9</v>
      </c>
      <c r="R7" s="53">
        <f>SUM(N7:Q7)</f>
        <v>1770.1</v>
      </c>
      <c r="S7" s="52">
        <v>477.2</v>
      </c>
      <c r="T7" s="52">
        <v>509.4</v>
      </c>
      <c r="U7" s="52">
        <v>517.79999999999995</v>
      </c>
      <c r="V7" s="52">
        <v>514.4</v>
      </c>
      <c r="W7" s="173">
        <f t="shared" si="2"/>
        <v>2018.7999999999997</v>
      </c>
      <c r="X7" s="104">
        <v>510.9</v>
      </c>
      <c r="Y7" s="52">
        <f>+Y55+Y88+Y108+Y123</f>
        <v>527.98200000000008</v>
      </c>
      <c r="Z7" s="52">
        <f>+Z55+Z88+Z108+Z123</f>
        <v>541.15800000000002</v>
      </c>
      <c r="AA7" s="52">
        <f>+AA55+AA88+AA108+AA123</f>
        <v>536.21299999999997</v>
      </c>
      <c r="AB7" s="53">
        <f t="shared" si="3"/>
        <v>2116.2529999999997</v>
      </c>
      <c r="AC7" s="52">
        <f>+AC55+AC88+AC108+AC123</f>
        <v>533.22800000000007</v>
      </c>
      <c r="AD7" s="52">
        <f>+AD55+AD88+AD108+AD123</f>
        <v>552.56346000000008</v>
      </c>
      <c r="AE7" s="52">
        <f>+AE55+AE88+AE108+AE123</f>
        <v>566.17452000000003</v>
      </c>
      <c r="AF7" s="52">
        <f>+AF55+AF88+AF108+AF123</f>
        <v>560.76692000000003</v>
      </c>
      <c r="AG7" s="53">
        <f t="shared" si="4"/>
        <v>2212.7329</v>
      </c>
      <c r="AH7" s="52">
        <f>+AH55+AH88+AH108+AH123</f>
        <v>561.21162000000004</v>
      </c>
      <c r="AI7" s="52">
        <f>+AI55+AI88+AI108+AI123</f>
        <v>580.59704340000019</v>
      </c>
      <c r="AJ7" s="52">
        <f>+AJ55+AJ88+AJ108+AJ123</f>
        <v>593.31856080000011</v>
      </c>
      <c r="AK7" s="52">
        <f>+AK55+AK88+AK108+AK123</f>
        <v>587.50131680000004</v>
      </c>
      <c r="AL7" s="53">
        <f t="shared" si="5"/>
        <v>2322.628541</v>
      </c>
      <c r="AM7" s="52">
        <f>+AM55+AM88+AM108+AM123</f>
        <v>586.22951480000006</v>
      </c>
      <c r="AN7" s="52">
        <f>+AN55+AN88+AN108+AN123</f>
        <v>607.20447663600021</v>
      </c>
      <c r="AO7" s="52">
        <f>+AO55+AO88+AO108+AO123</f>
        <v>620.07958123200001</v>
      </c>
      <c r="AP7" s="52">
        <f>+AP55+AP88+AP108+AP123</f>
        <v>613.55564547200015</v>
      </c>
      <c r="AQ7" s="53">
        <f t="shared" si="6"/>
        <v>2427.0692181400004</v>
      </c>
      <c r="AR7" s="52">
        <f>+AR55+AR88+AR108+AR123</f>
        <v>610.41305589199999</v>
      </c>
      <c r="AS7" s="52">
        <f>+AS55+AS88+AS108+AS123</f>
        <v>633.83488747644026</v>
      </c>
      <c r="AT7" s="52">
        <f>+AT55+AT88+AT108+AT123</f>
        <v>647.37274528128012</v>
      </c>
      <c r="AU7" s="52">
        <f>+AU55+AU88+AU108+AU123</f>
        <v>639.94803739088024</v>
      </c>
      <c r="AV7" s="53">
        <f t="shared" si="7"/>
        <v>2531.5687260406003</v>
      </c>
    </row>
    <row r="8" spans="1:48" s="8" customFormat="1" x14ac:dyDescent="0.3">
      <c r="B8" s="587" t="s">
        <v>104</v>
      </c>
      <c r="C8" s="588"/>
      <c r="D8" s="103">
        <f t="shared" ref="D8:AB8" si="8">SUM(D5:D7)</f>
        <v>6632.7000000000007</v>
      </c>
      <c r="E8" s="103">
        <f t="shared" si="8"/>
        <v>6305.9</v>
      </c>
      <c r="F8" s="103">
        <f t="shared" si="8"/>
        <v>6823</v>
      </c>
      <c r="G8" s="103">
        <f t="shared" si="8"/>
        <v>6747.0000000000009</v>
      </c>
      <c r="H8" s="171">
        <f t="shared" si="8"/>
        <v>26508.600000000002</v>
      </c>
      <c r="I8" s="103">
        <f>SUM(I5:I7)</f>
        <v>7097.0999999999995</v>
      </c>
      <c r="J8" s="103">
        <f>SUM(J5:J7)</f>
        <v>5995.7</v>
      </c>
      <c r="K8" s="103">
        <f>SUM(K5:K7)</f>
        <v>4222.1000000000004</v>
      </c>
      <c r="L8" s="103">
        <f>SUM(L5:L7)</f>
        <v>6203.1</v>
      </c>
      <c r="M8" s="171">
        <f t="shared" si="8"/>
        <v>23518.000000000004</v>
      </c>
      <c r="N8" s="103">
        <f t="shared" si="8"/>
        <v>6749.4000000000005</v>
      </c>
      <c r="O8" s="103">
        <f t="shared" si="8"/>
        <v>6668</v>
      </c>
      <c r="P8" s="103">
        <f t="shared" si="8"/>
        <v>7496.5</v>
      </c>
      <c r="Q8" s="103">
        <f>SUM(Q5:Q7)</f>
        <v>8146.7</v>
      </c>
      <c r="R8" s="171">
        <f t="shared" si="8"/>
        <v>29060.6</v>
      </c>
      <c r="S8" s="103">
        <f t="shared" si="8"/>
        <v>8050.4</v>
      </c>
      <c r="T8" s="103">
        <f t="shared" si="8"/>
        <v>7635.5999999999995</v>
      </c>
      <c r="U8" s="103">
        <f t="shared" si="8"/>
        <v>8150.1</v>
      </c>
      <c r="V8" s="103">
        <f t="shared" si="8"/>
        <v>8414.1999999999989</v>
      </c>
      <c r="W8" s="171">
        <f t="shared" si="8"/>
        <v>32250.3</v>
      </c>
      <c r="X8" s="103">
        <f t="shared" si="8"/>
        <v>8713.9</v>
      </c>
      <c r="Y8" s="50">
        <f t="shared" si="8"/>
        <v>8414.3242311706454</v>
      </c>
      <c r="Z8" s="50">
        <f t="shared" si="8"/>
        <v>9223.0422532839621</v>
      </c>
      <c r="AA8" s="50">
        <f t="shared" si="8"/>
        <v>9529.3657690018372</v>
      </c>
      <c r="AB8" s="489">
        <f t="shared" si="8"/>
        <v>35880.632253456439</v>
      </c>
      <c r="AC8" s="50">
        <f t="shared" ref="AC8:AV8" si="9">SUM(AC5:AC7)</f>
        <v>9737.2936347019531</v>
      </c>
      <c r="AD8" s="50">
        <f t="shared" si="9"/>
        <v>9247.9247845140508</v>
      </c>
      <c r="AE8" s="50">
        <f t="shared" si="9"/>
        <v>10135.869981665126</v>
      </c>
      <c r="AF8" s="50">
        <f t="shared" si="9"/>
        <v>10486.216059202314</v>
      </c>
      <c r="AG8" s="51">
        <f t="shared" si="9"/>
        <v>39607.304460083447</v>
      </c>
      <c r="AH8" s="50">
        <f t="shared" si="9"/>
        <v>10840.855244238121</v>
      </c>
      <c r="AI8" s="50">
        <f t="shared" si="9"/>
        <v>10303.830596852178</v>
      </c>
      <c r="AJ8" s="50">
        <f t="shared" si="9"/>
        <v>11300.301747967547</v>
      </c>
      <c r="AK8" s="50">
        <f t="shared" si="9"/>
        <v>11709.990652926634</v>
      </c>
      <c r="AL8" s="51">
        <f t="shared" si="9"/>
        <v>44154.978241984471</v>
      </c>
      <c r="AM8" s="50">
        <f t="shared" si="9"/>
        <v>11903.963638619642</v>
      </c>
      <c r="AN8" s="50">
        <f t="shared" si="9"/>
        <v>11275.876626638757</v>
      </c>
      <c r="AO8" s="50">
        <f t="shared" si="9"/>
        <v>12321.390453125281</v>
      </c>
      <c r="AP8" s="50">
        <f t="shared" si="9"/>
        <v>12725.316527784345</v>
      </c>
      <c r="AQ8" s="51">
        <f t="shared" si="9"/>
        <v>48226.547246168033</v>
      </c>
      <c r="AR8" s="50">
        <f t="shared" si="9"/>
        <v>12667.359676482019</v>
      </c>
      <c r="AS8" s="50">
        <f t="shared" si="9"/>
        <v>11998.9701941284</v>
      </c>
      <c r="AT8" s="50">
        <f t="shared" si="9"/>
        <v>13108.805042414413</v>
      </c>
      <c r="AU8" s="50">
        <f t="shared" si="9"/>
        <v>13537.649153134596</v>
      </c>
      <c r="AV8" s="51">
        <f t="shared" si="9"/>
        <v>51312.784066159431</v>
      </c>
    </row>
    <row r="9" spans="1:48" outlineLevel="1" x14ac:dyDescent="0.3">
      <c r="B9" s="589" t="s">
        <v>100</v>
      </c>
      <c r="C9" s="590"/>
      <c r="D9" s="105">
        <v>2175.8000000000002</v>
      </c>
      <c r="E9" s="105">
        <v>2012</v>
      </c>
      <c r="F9" s="105">
        <v>2199.6</v>
      </c>
      <c r="G9" s="105">
        <f t="shared" si="0"/>
        <v>2139.4999999999991</v>
      </c>
      <c r="H9" s="170">
        <v>8526.9</v>
      </c>
      <c r="I9" s="105">
        <v>2236.4</v>
      </c>
      <c r="J9" s="105">
        <v>1997.7</v>
      </c>
      <c r="K9" s="105">
        <v>1484</v>
      </c>
      <c r="L9" s="105">
        <v>1976.8</v>
      </c>
      <c r="M9" s="170">
        <f>SUM(I9:L9)</f>
        <v>7694.9000000000005</v>
      </c>
      <c r="N9" s="105">
        <v>2049.1</v>
      </c>
      <c r="O9" s="105">
        <v>1992.4</v>
      </c>
      <c r="P9" s="105">
        <v>2206</v>
      </c>
      <c r="Q9" s="105">
        <v>2491.1</v>
      </c>
      <c r="R9" s="170">
        <f>SUM(N9:Q9)</f>
        <v>8738.6</v>
      </c>
      <c r="S9" s="105">
        <v>2526.9</v>
      </c>
      <c r="T9" s="105">
        <v>2465.8000000000002</v>
      </c>
      <c r="U9" s="105">
        <v>2613.6</v>
      </c>
      <c r="V9" s="105">
        <v>2711</v>
      </c>
      <c r="W9" s="170">
        <f>SUM(S9:V9)</f>
        <v>10317.300000000001</v>
      </c>
      <c r="X9" s="105">
        <v>2810.2</v>
      </c>
      <c r="Y9" s="105">
        <f>+Y60+Y93+Y110+Y125</f>
        <v>2737.6712273545386</v>
      </c>
      <c r="Z9" s="105">
        <f>+Z60+Z93+Z110+Z125</f>
        <v>2884.2533907745128</v>
      </c>
      <c r="AA9" s="105">
        <f>+AA60+AA93+AA110+AA125</f>
        <v>2861.7149644720716</v>
      </c>
      <c r="AB9" s="49">
        <f>SUM(X9:AA9)</f>
        <v>11293.839582601124</v>
      </c>
      <c r="AC9" s="105">
        <f>+AC60+AC93+AC110+AC125</f>
        <v>3040.273264580675</v>
      </c>
      <c r="AD9" s="105">
        <f>+AD60+AD93+AD110+AD125</f>
        <v>2955.4328668907065</v>
      </c>
      <c r="AE9" s="105">
        <f>+AE60+AE93+AE110+AE125</f>
        <v>3142.7947918469918</v>
      </c>
      <c r="AF9" s="105">
        <f>+AF60+AF93+AF110+AF125</f>
        <v>3212.7324459448855</v>
      </c>
      <c r="AG9" s="49">
        <f>SUM(AC9:AF9)</f>
        <v>12351.23336926326</v>
      </c>
      <c r="AH9" s="105">
        <f>+AH60+AH93+AH110+AH125</f>
        <v>3365.4674098750825</v>
      </c>
      <c r="AI9" s="105">
        <f>+AI60+AI93+AI110+AI125</f>
        <v>3270.8426177421729</v>
      </c>
      <c r="AJ9" s="105">
        <f>+AJ60+AJ93+AJ110+AJ125</f>
        <v>3449.6813473271341</v>
      </c>
      <c r="AK9" s="105">
        <f>+AK60+AK93+AK110+AK125</f>
        <v>3560.3816337040153</v>
      </c>
      <c r="AL9" s="49">
        <f>SUM(AH9:AK9)</f>
        <v>13646.373008648405</v>
      </c>
      <c r="AM9" s="105">
        <f>+AM60+AM93+AM110+AM125</f>
        <v>3690.5496261875051</v>
      </c>
      <c r="AN9" s="105">
        <f>+AN60+AN93+AN110+AN125</f>
        <v>3572.6505223289441</v>
      </c>
      <c r="AO9" s="105">
        <f>+AO60+AO93+AO110+AO125</f>
        <v>3751.9367933900262</v>
      </c>
      <c r="AP9" s="105">
        <f>+AP60+AP93+AP110+AP125</f>
        <v>3860.0166052328559</v>
      </c>
      <c r="AQ9" s="49">
        <f>SUM(AM9:AP9)</f>
        <v>14875.153547139333</v>
      </c>
      <c r="AR9" s="105">
        <f>+AR60+AR93+AR110+AR125</f>
        <v>3922.9097093089158</v>
      </c>
      <c r="AS9" s="105">
        <f>+AS60+AS93+AS110+AS125</f>
        <v>3796.7014039203996</v>
      </c>
      <c r="AT9" s="105">
        <f>+AT60+AT93+AT110+AT125</f>
        <v>3985.9995585719071</v>
      </c>
      <c r="AU9" s="105">
        <f>+AU60+AU93+AU110+AU125</f>
        <v>4101.0902737600609</v>
      </c>
      <c r="AV9" s="49">
        <f>SUM(AR9:AU9)</f>
        <v>15806.700945561284</v>
      </c>
    </row>
    <row r="10" spans="1:48" outlineLevel="1" x14ac:dyDescent="0.3">
      <c r="B10" s="38" t="s">
        <v>32</v>
      </c>
      <c r="C10" s="18"/>
      <c r="D10" s="105">
        <v>2586.8000000000002</v>
      </c>
      <c r="E10" s="105">
        <v>2554.1</v>
      </c>
      <c r="F10" s="105">
        <v>2643.2</v>
      </c>
      <c r="G10" s="105">
        <f t="shared" si="0"/>
        <v>2709.5000000000009</v>
      </c>
      <c r="H10" s="170">
        <v>10493.6</v>
      </c>
      <c r="I10" s="105">
        <v>2821.5</v>
      </c>
      <c r="J10" s="105">
        <v>2721.4</v>
      </c>
      <c r="K10" s="105">
        <v>2537.8000000000002</v>
      </c>
      <c r="L10" s="48">
        <v>2683.4</v>
      </c>
      <c r="M10" s="49">
        <f t="shared" ref="M10:M13" si="10">SUM(I10:L10)</f>
        <v>10764.1</v>
      </c>
      <c r="N10" s="48">
        <v>2867.3</v>
      </c>
      <c r="O10" s="105">
        <v>2823.3</v>
      </c>
      <c r="P10" s="105">
        <v>2966.9</v>
      </c>
      <c r="Q10" s="105">
        <v>3273.4</v>
      </c>
      <c r="R10" s="170">
        <f t="shared" ref="R10:R13" si="11">SUM(N10:Q10)</f>
        <v>11930.9</v>
      </c>
      <c r="S10" s="48">
        <v>3400</v>
      </c>
      <c r="T10" s="48">
        <v>3314.7</v>
      </c>
      <c r="U10" s="48">
        <v>3302.5</v>
      </c>
      <c r="V10" s="48">
        <v>3544.7</v>
      </c>
      <c r="W10" s="170">
        <f t="shared" ref="W10:W13" si="12">SUM(S10:V10)</f>
        <v>13561.900000000001</v>
      </c>
      <c r="X10" s="105">
        <v>3665.3</v>
      </c>
      <c r="Y10" s="48">
        <f>+Y62+Y95</f>
        <v>3672.0549694413394</v>
      </c>
      <c r="Z10" s="48">
        <f>+Z62+Z95</f>
        <v>3763.5144927860119</v>
      </c>
      <c r="AA10" s="48">
        <f>+AA62+AA95</f>
        <v>3926.5022669462542</v>
      </c>
      <c r="AB10" s="49">
        <f t="shared" ref="AB10:AB13" si="13">SUM(X10:AA10)</f>
        <v>15027.371729173605</v>
      </c>
      <c r="AC10" s="48">
        <f>+AC62+AC95</f>
        <v>4054.4098328220075</v>
      </c>
      <c r="AD10" s="48">
        <f>+AD62+AD95</f>
        <v>4001.0541204712217</v>
      </c>
      <c r="AE10" s="48">
        <f>+AE62+AE95</f>
        <v>4134.8810473222738</v>
      </c>
      <c r="AF10" s="48">
        <f>+AF62+AF95</f>
        <v>4382.5493182445261</v>
      </c>
      <c r="AG10" s="49">
        <f t="shared" ref="AG10:AG14" si="14">SUM(AC10:AF10)</f>
        <v>16572.894318860031</v>
      </c>
      <c r="AH10" s="48">
        <f>+AH62+AH95</f>
        <v>4512.4449007699004</v>
      </c>
      <c r="AI10" s="48">
        <f>+AI62+AI95</f>
        <v>4455.8244801300716</v>
      </c>
      <c r="AJ10" s="48">
        <f>+AJ62+AJ95</f>
        <v>4571.4763903578278</v>
      </c>
      <c r="AK10" s="48">
        <f>+AK62+AK95</f>
        <v>4886.4374259303304</v>
      </c>
      <c r="AL10" s="49">
        <f t="shared" ref="AL10:AL14" si="15">SUM(AH10:AK10)</f>
        <v>18426.183197188129</v>
      </c>
      <c r="AM10" s="48">
        <f>+AM62+AM95</f>
        <v>4963.409251992126</v>
      </c>
      <c r="AN10" s="48">
        <f>+AN62+AN95</f>
        <v>4886.9490204302792</v>
      </c>
      <c r="AO10" s="48">
        <f>+AO62+AO95</f>
        <v>5001.032124748117</v>
      </c>
      <c r="AP10" s="48">
        <f>+AP62+AP95</f>
        <v>5330.4114606056983</v>
      </c>
      <c r="AQ10" s="49">
        <f t="shared" ref="AQ10:AQ14" si="16">SUM(AM10:AP10)</f>
        <v>20181.80185777622</v>
      </c>
      <c r="AR10" s="48">
        <f>+AR62+AR95</f>
        <v>5302.8887794059501</v>
      </c>
      <c r="AS10" s="48">
        <f>+AS62+AS95</f>
        <v>5219.3845041581617</v>
      </c>
      <c r="AT10" s="48">
        <f>+AT62+AT95</f>
        <v>5339.8537307488641</v>
      </c>
      <c r="AU10" s="48">
        <f>+AU62+AU95</f>
        <v>5689.590706100229</v>
      </c>
      <c r="AV10" s="49">
        <f t="shared" ref="AV10:AV14" si="17">SUM(AR10:AU10)</f>
        <v>21551.717720413202</v>
      </c>
    </row>
    <row r="11" spans="1:48" outlineLevel="1" x14ac:dyDescent="0.3">
      <c r="B11" s="38" t="s">
        <v>33</v>
      </c>
      <c r="C11" s="18"/>
      <c r="D11" s="105">
        <v>97.6</v>
      </c>
      <c r="E11" s="105">
        <v>87.1</v>
      </c>
      <c r="F11" s="105">
        <v>94.4</v>
      </c>
      <c r="G11" s="105">
        <f t="shared" si="0"/>
        <v>91.900000000000034</v>
      </c>
      <c r="H11" s="170">
        <v>371</v>
      </c>
      <c r="I11" s="105">
        <v>101.8</v>
      </c>
      <c r="J11" s="105">
        <v>95</v>
      </c>
      <c r="K11" s="105">
        <v>133.6</v>
      </c>
      <c r="L11" s="48">
        <v>99.9</v>
      </c>
      <c r="M11" s="49">
        <f t="shared" si="10"/>
        <v>430.29999999999995</v>
      </c>
      <c r="N11" s="48">
        <v>91.8</v>
      </c>
      <c r="O11" s="105">
        <v>87.7</v>
      </c>
      <c r="P11" s="105">
        <v>71.400000000000006</v>
      </c>
      <c r="Q11" s="105">
        <v>108.6</v>
      </c>
      <c r="R11" s="170">
        <f t="shared" si="11"/>
        <v>359.5</v>
      </c>
      <c r="S11" s="48">
        <v>101.7</v>
      </c>
      <c r="T11" s="48">
        <v>101.7</v>
      </c>
      <c r="U11" s="48">
        <v>135.1</v>
      </c>
      <c r="V11" s="48">
        <v>123.1</v>
      </c>
      <c r="W11" s="170">
        <f t="shared" si="12"/>
        <v>461.6</v>
      </c>
      <c r="X11" s="105">
        <v>129.30000000000001</v>
      </c>
      <c r="Y11" s="48">
        <f>+Y64+Y97+Y112+Y126</f>
        <v>119.21480393542156</v>
      </c>
      <c r="Z11" s="48">
        <f>+Z64+Z97+Z112+Z126</f>
        <v>144.5206078853202</v>
      </c>
      <c r="AA11" s="48">
        <f>+AA64+AA97+AA112+AA126</f>
        <v>129.56571556650638</v>
      </c>
      <c r="AB11" s="49">
        <f t="shared" si="13"/>
        <v>522.6011273872482</v>
      </c>
      <c r="AC11" s="48">
        <f>+AC64+AC97+AC112+AC126</f>
        <v>142.10847779019105</v>
      </c>
      <c r="AD11" s="48">
        <f>+AD64+AD97+AD112+AD126</f>
        <v>132.53604787472588</v>
      </c>
      <c r="AE11" s="48">
        <f>+AE64+AE97+AE112+AE126</f>
        <v>148.94513243051261</v>
      </c>
      <c r="AF11" s="48">
        <f>+AF64+AF97+AF112+AF126</f>
        <v>135.52799069402886</v>
      </c>
      <c r="AG11" s="49">
        <f t="shared" si="14"/>
        <v>559.11764878945837</v>
      </c>
      <c r="AH11" s="48">
        <f>+AH64+AH97+AH112+AH126</f>
        <v>154.08270534852045</v>
      </c>
      <c r="AI11" s="48">
        <f>+AI64+AI97+AI112+AI126</f>
        <v>143.68763187573026</v>
      </c>
      <c r="AJ11" s="48">
        <f>+AJ64+AJ97+AJ112+AJ126</f>
        <v>150.09537804146936</v>
      </c>
      <c r="AK11" s="48">
        <f>+AK64+AK97+AK112+AK126</f>
        <v>146.03247970674525</v>
      </c>
      <c r="AL11" s="49">
        <f t="shared" si="15"/>
        <v>593.89819497246538</v>
      </c>
      <c r="AM11" s="48">
        <f>+AM64+AM97+AM112+AM126</f>
        <v>171.47922939434841</v>
      </c>
      <c r="AN11" s="48">
        <f>+AN64+AN97+AN112+AN126</f>
        <v>158.22415960546471</v>
      </c>
      <c r="AO11" s="48">
        <f>+AO64+AO97+AO112+AO126</f>
        <v>163.94579438347074</v>
      </c>
      <c r="AP11" s="48">
        <f>+AP64+AP97+AP112+AP126</f>
        <v>160.05793606367342</v>
      </c>
      <c r="AQ11" s="49">
        <f t="shared" si="16"/>
        <v>653.70711944695722</v>
      </c>
      <c r="AR11" s="48">
        <f>+AR64+AR97+AR112+AR126</f>
        <v>182.75789910645722</v>
      </c>
      <c r="AS11" s="48">
        <f>+AS64+AS97+AS112+AS126</f>
        <v>168.33937557926862</v>
      </c>
      <c r="AT11" s="48">
        <f>+AT64+AT97+AT112+AT126</f>
        <v>174.30840585215387</v>
      </c>
      <c r="AU11" s="48">
        <f>+AU64+AU97+AU112+AU126</f>
        <v>170.93714212211123</v>
      </c>
      <c r="AV11" s="49">
        <f t="shared" si="17"/>
        <v>696.34282265999093</v>
      </c>
    </row>
    <row r="12" spans="1:48" outlineLevel="1" x14ac:dyDescent="0.3">
      <c r="B12" s="38" t="s">
        <v>34</v>
      </c>
      <c r="C12" s="18"/>
      <c r="D12" s="105">
        <v>333.4</v>
      </c>
      <c r="E12" s="105">
        <v>356.2</v>
      </c>
      <c r="F12" s="105">
        <v>343.1</v>
      </c>
      <c r="G12" s="105">
        <f t="shared" si="0"/>
        <v>344.5999999999998</v>
      </c>
      <c r="H12" s="170">
        <v>1377.3</v>
      </c>
      <c r="I12" s="105">
        <v>351</v>
      </c>
      <c r="J12" s="105">
        <v>356.3</v>
      </c>
      <c r="K12" s="105">
        <v>361</v>
      </c>
      <c r="L12" s="48">
        <v>362.9</v>
      </c>
      <c r="M12" s="49">
        <f t="shared" ref="M12" si="18">SUM(I12:L12)</f>
        <v>1431.1999999999998</v>
      </c>
      <c r="N12" s="48">
        <v>366.1</v>
      </c>
      <c r="O12" s="105">
        <v>366.7</v>
      </c>
      <c r="P12" s="105">
        <v>354.3</v>
      </c>
      <c r="Q12" s="105">
        <v>354.7</v>
      </c>
      <c r="R12" s="170">
        <f t="shared" ref="R12" si="19">SUM(N12:Q12)</f>
        <v>1441.8</v>
      </c>
      <c r="S12" s="48">
        <v>366</v>
      </c>
      <c r="T12" s="48">
        <v>367.7</v>
      </c>
      <c r="U12" s="48">
        <v>356.8</v>
      </c>
      <c r="V12" s="48">
        <v>357.4</v>
      </c>
      <c r="W12" s="170">
        <f t="shared" ref="W12" si="20">SUM(S12:V12)</f>
        <v>1447.9</v>
      </c>
      <c r="X12" s="105">
        <v>327.10000000000002</v>
      </c>
      <c r="Y12" s="48">
        <f t="shared" ref="Y12:AA13" si="21">+Y66+Y99+Y114+Y127</f>
        <v>341.2629617187294</v>
      </c>
      <c r="Z12" s="48">
        <f t="shared" si="21"/>
        <v>366.18179606765904</v>
      </c>
      <c r="AA12" s="48">
        <f t="shared" si="21"/>
        <v>372.10487474757906</v>
      </c>
      <c r="AB12" s="49">
        <f t="shared" ref="AB12" si="22">SUM(X12:AA12)</f>
        <v>1406.6496325339674</v>
      </c>
      <c r="AC12" s="48">
        <f t="shared" ref="AC12:AF13" si="23">+AC66+AC99+AC114+AC127</f>
        <v>385.06111987104339</v>
      </c>
      <c r="AD12" s="48">
        <f t="shared" si="23"/>
        <v>402.54821988393388</v>
      </c>
      <c r="AE12" s="48">
        <f t="shared" si="23"/>
        <v>414.805815534771</v>
      </c>
      <c r="AF12" s="48">
        <f t="shared" si="23"/>
        <v>426.37858357798962</v>
      </c>
      <c r="AG12" s="49">
        <f t="shared" si="14"/>
        <v>1628.7937388677378</v>
      </c>
      <c r="AH12" s="48">
        <f t="shared" ref="AH12:AK13" si="24">+AH66+AH99+AH114+AH127</f>
        <v>440.63420696014913</v>
      </c>
      <c r="AI12" s="48">
        <f t="shared" si="24"/>
        <v>452.19197320483869</v>
      </c>
      <c r="AJ12" s="48">
        <f t="shared" si="24"/>
        <v>460.56718652292619</v>
      </c>
      <c r="AK12" s="48">
        <f t="shared" si="24"/>
        <v>471.34104322379744</v>
      </c>
      <c r="AL12" s="49">
        <f t="shared" si="15"/>
        <v>1824.7344099117115</v>
      </c>
      <c r="AM12" s="48">
        <f t="shared" ref="AM12:AP13" si="25">+AM66+AM99+AM114+AM127</f>
        <v>483.32157524642986</v>
      </c>
      <c r="AN12" s="48">
        <f t="shared" si="25"/>
        <v>495.30166081989432</v>
      </c>
      <c r="AO12" s="48">
        <f t="shared" si="25"/>
        <v>504.4414558887047</v>
      </c>
      <c r="AP12" s="48">
        <f t="shared" si="25"/>
        <v>516.42390356182716</v>
      </c>
      <c r="AQ12" s="49">
        <f t="shared" si="16"/>
        <v>1999.4885955168561</v>
      </c>
      <c r="AR12" s="48">
        <f t="shared" ref="AR12:AU13" si="26">+AR66+AR99+AR114+AR127</f>
        <v>529.13821074592954</v>
      </c>
      <c r="AS12" s="48">
        <f t="shared" si="26"/>
        <v>540.95995982192028</v>
      </c>
      <c r="AT12" s="48">
        <f t="shared" si="26"/>
        <v>549.97472816783056</v>
      </c>
      <c r="AU12" s="48">
        <f t="shared" si="26"/>
        <v>562.05635669874891</v>
      </c>
      <c r="AV12" s="49">
        <f t="shared" si="17"/>
        <v>2182.1292554344291</v>
      </c>
    </row>
    <row r="13" spans="1:48" ht="17.25" customHeight="1" outlineLevel="1" x14ac:dyDescent="0.3">
      <c r="B13" s="38" t="s">
        <v>83</v>
      </c>
      <c r="C13" s="18"/>
      <c r="D13" s="105">
        <v>448</v>
      </c>
      <c r="E13" s="105">
        <v>458.1</v>
      </c>
      <c r="F13" s="105">
        <v>459.7</v>
      </c>
      <c r="G13" s="105">
        <f t="shared" si="0"/>
        <v>458.29999999999984</v>
      </c>
      <c r="H13" s="170">
        <v>1824.1</v>
      </c>
      <c r="I13" s="105">
        <v>434.2</v>
      </c>
      <c r="J13" s="105">
        <v>406.5</v>
      </c>
      <c r="K13" s="105">
        <v>399.9</v>
      </c>
      <c r="L13" s="48">
        <v>439</v>
      </c>
      <c r="M13" s="170">
        <f t="shared" si="10"/>
        <v>1679.6</v>
      </c>
      <c r="N13" s="48">
        <v>472.1</v>
      </c>
      <c r="O13" s="105">
        <v>464.4</v>
      </c>
      <c r="P13" s="105">
        <v>494.9</v>
      </c>
      <c r="Q13" s="105">
        <v>501.2</v>
      </c>
      <c r="R13" s="170">
        <f t="shared" si="11"/>
        <v>1932.6000000000001</v>
      </c>
      <c r="S13" s="48">
        <v>525.79999999999995</v>
      </c>
      <c r="T13" s="48">
        <v>481.5</v>
      </c>
      <c r="U13" s="48">
        <v>486.7</v>
      </c>
      <c r="V13" s="48">
        <v>538</v>
      </c>
      <c r="W13" s="170">
        <f t="shared" si="12"/>
        <v>2032</v>
      </c>
      <c r="X13" s="105">
        <v>580.9</v>
      </c>
      <c r="Y13" s="48">
        <f t="shared" si="21"/>
        <v>546.22917486886479</v>
      </c>
      <c r="Z13" s="48">
        <f t="shared" si="21"/>
        <v>559.70997819598949</v>
      </c>
      <c r="AA13" s="48">
        <f t="shared" si="21"/>
        <v>502.76491416312103</v>
      </c>
      <c r="AB13" s="49">
        <f t="shared" si="13"/>
        <v>2189.6040672279751</v>
      </c>
      <c r="AC13" s="48">
        <f t="shared" si="23"/>
        <v>557.90442967514673</v>
      </c>
      <c r="AD13" s="48">
        <f t="shared" si="23"/>
        <v>593.17267797125157</v>
      </c>
      <c r="AE13" s="48">
        <f t="shared" si="23"/>
        <v>582.80643195891957</v>
      </c>
      <c r="AF13" s="48">
        <f t="shared" si="23"/>
        <v>514.34007057977715</v>
      </c>
      <c r="AG13" s="49">
        <f t="shared" si="14"/>
        <v>2248.2236101850949</v>
      </c>
      <c r="AH13" s="48">
        <f t="shared" si="24"/>
        <v>566.894436629692</v>
      </c>
      <c r="AI13" s="48">
        <f t="shared" si="24"/>
        <v>613.67201765815503</v>
      </c>
      <c r="AJ13" s="48">
        <f t="shared" si="24"/>
        <v>598.88320496055962</v>
      </c>
      <c r="AK13" s="48">
        <f t="shared" si="24"/>
        <v>521.81242039251481</v>
      </c>
      <c r="AL13" s="49">
        <f t="shared" si="15"/>
        <v>2301.2620796409215</v>
      </c>
      <c r="AM13" s="48">
        <f t="shared" si="25"/>
        <v>590.51841902457295</v>
      </c>
      <c r="AN13" s="48">
        <f t="shared" si="25"/>
        <v>641.09690200752084</v>
      </c>
      <c r="AO13" s="48">
        <f t="shared" si="25"/>
        <v>622.4603835059861</v>
      </c>
      <c r="AP13" s="48">
        <f t="shared" si="25"/>
        <v>536.98214775302154</v>
      </c>
      <c r="AQ13" s="49">
        <f t="shared" si="16"/>
        <v>2391.0578522911014</v>
      </c>
      <c r="AR13" s="48">
        <f t="shared" si="26"/>
        <v>605.69428557341803</v>
      </c>
      <c r="AS13" s="48">
        <f t="shared" si="26"/>
        <v>659.64271775446127</v>
      </c>
      <c r="AT13" s="48">
        <f t="shared" si="26"/>
        <v>639.59808345038709</v>
      </c>
      <c r="AU13" s="48">
        <f t="shared" si="26"/>
        <v>548.83762804496178</v>
      </c>
      <c r="AV13" s="49">
        <f t="shared" si="17"/>
        <v>2453.7727148232279</v>
      </c>
    </row>
    <row r="14" spans="1:48" ht="17.25" customHeight="1" outlineLevel="1" x14ac:dyDescent="0.45">
      <c r="B14" s="38" t="s">
        <v>42</v>
      </c>
      <c r="C14" s="18"/>
      <c r="D14" s="104">
        <v>43.2</v>
      </c>
      <c r="E14" s="104">
        <v>43</v>
      </c>
      <c r="F14" s="104">
        <v>37.700000000000003</v>
      </c>
      <c r="G14" s="104">
        <f t="shared" si="0"/>
        <v>11.900000000000006</v>
      </c>
      <c r="H14" s="173">
        <v>135.80000000000001</v>
      </c>
      <c r="I14" s="104">
        <v>6.3</v>
      </c>
      <c r="J14" s="104">
        <v>-0.7</v>
      </c>
      <c r="K14" s="104">
        <v>78.099999999999994</v>
      </c>
      <c r="L14" s="104">
        <v>195</v>
      </c>
      <c r="M14" s="53">
        <f t="shared" ref="M14" si="27">SUM(I14:L14)</f>
        <v>278.7</v>
      </c>
      <c r="N14" s="52">
        <v>72.2</v>
      </c>
      <c r="O14" s="104">
        <v>23</v>
      </c>
      <c r="P14" s="104">
        <v>19.8</v>
      </c>
      <c r="Q14" s="104">
        <v>55.5</v>
      </c>
      <c r="R14" s="173">
        <f t="shared" ref="R14" si="28">SUM(N14:Q14)</f>
        <v>170.5</v>
      </c>
      <c r="S14" s="52">
        <v>-7.5</v>
      </c>
      <c r="T14" s="52">
        <v>4.4000000000000004</v>
      </c>
      <c r="U14" s="52">
        <v>14</v>
      </c>
      <c r="V14" s="52">
        <v>35.1</v>
      </c>
      <c r="W14" s="173">
        <f t="shared" ref="W14" si="29">SUM(S14:V14)</f>
        <v>46</v>
      </c>
      <c r="X14" s="104">
        <v>5.8</v>
      </c>
      <c r="Y14" s="52">
        <f>+Y69+Y102+Y117+Y129</f>
        <v>0</v>
      </c>
      <c r="Z14" s="52">
        <f>+Z69+Z102+Z117+Z129</f>
        <v>0</v>
      </c>
      <c r="AA14" s="52">
        <f>+AA69+AA102+AA117+AA129</f>
        <v>0</v>
      </c>
      <c r="AB14" s="53">
        <f t="shared" ref="AB14" si="30">SUM(X14:AA14)</f>
        <v>5.8</v>
      </c>
      <c r="AC14" s="52">
        <f>+AC69+AC102+AC117+AC129</f>
        <v>0</v>
      </c>
      <c r="AD14" s="52">
        <f>+AD69+AD102+AD117+AD129</f>
        <v>0</v>
      </c>
      <c r="AE14" s="52">
        <f>+AE69+AE102+AE117+AE129</f>
        <v>0</v>
      </c>
      <c r="AF14" s="52">
        <f>+AF69+AF102+AF117+AF129</f>
        <v>0</v>
      </c>
      <c r="AG14" s="53">
        <f t="shared" si="14"/>
        <v>0</v>
      </c>
      <c r="AH14" s="52">
        <f>+AH69+AH102+AH117+AH129</f>
        <v>0</v>
      </c>
      <c r="AI14" s="52">
        <f>+AI69+AI102+AI117+AI129</f>
        <v>0</v>
      </c>
      <c r="AJ14" s="52">
        <f>+AJ69+AJ102+AJ117+AJ129</f>
        <v>0</v>
      </c>
      <c r="AK14" s="52">
        <f>+AK69+AK102+AK117+AK129</f>
        <v>0</v>
      </c>
      <c r="AL14" s="53">
        <f t="shared" si="15"/>
        <v>0</v>
      </c>
      <c r="AM14" s="52">
        <f>+AM69+AM102+AM117+AM129</f>
        <v>0</v>
      </c>
      <c r="AN14" s="52">
        <f>+AN69+AN102+AN117+AN129</f>
        <v>0</v>
      </c>
      <c r="AO14" s="52">
        <f>+AO69+AO102+AO117+AO129</f>
        <v>0</v>
      </c>
      <c r="AP14" s="52">
        <f>+AP69+AP102+AP117+AP129</f>
        <v>0</v>
      </c>
      <c r="AQ14" s="53">
        <f t="shared" si="16"/>
        <v>0</v>
      </c>
      <c r="AR14" s="52">
        <f>+AR69+AR102+AR117+AR129</f>
        <v>0</v>
      </c>
      <c r="AS14" s="52">
        <f>+AS69+AS102+AS117+AS129</f>
        <v>0</v>
      </c>
      <c r="AT14" s="52">
        <f>+AT69+AT102+AT117+AT129</f>
        <v>0</v>
      </c>
      <c r="AU14" s="52">
        <f>+AU69+AU102+AU117+AU129</f>
        <v>0</v>
      </c>
      <c r="AV14" s="53">
        <f t="shared" si="17"/>
        <v>0</v>
      </c>
    </row>
    <row r="15" spans="1:48" s="20" customFormat="1" ht="17.25" customHeight="1" x14ac:dyDescent="0.45">
      <c r="B15" s="46" t="s">
        <v>8</v>
      </c>
      <c r="C15" s="19"/>
      <c r="D15" s="106">
        <f t="shared" ref="D15:AL15" si="31">SUM(D10:D14)+D9</f>
        <v>5684.8</v>
      </c>
      <c r="E15" s="106">
        <f t="shared" si="31"/>
        <v>5510.5</v>
      </c>
      <c r="F15" s="106">
        <f t="shared" si="31"/>
        <v>5777.6999999999989</v>
      </c>
      <c r="G15" s="106">
        <f t="shared" si="31"/>
        <v>5755.7</v>
      </c>
      <c r="H15" s="175">
        <f t="shared" si="31"/>
        <v>22728.699999999997</v>
      </c>
      <c r="I15" s="106">
        <f t="shared" si="31"/>
        <v>5951.2000000000007</v>
      </c>
      <c r="J15" s="106">
        <f t="shared" si="31"/>
        <v>5576.2000000000007</v>
      </c>
      <c r="K15" s="106">
        <f t="shared" si="31"/>
        <v>4994.3999999999996</v>
      </c>
      <c r="L15" s="54">
        <f t="shared" si="31"/>
        <v>5757</v>
      </c>
      <c r="M15" s="55">
        <f t="shared" si="31"/>
        <v>22278.799999999999</v>
      </c>
      <c r="N15" s="54">
        <f t="shared" si="31"/>
        <v>5918.6</v>
      </c>
      <c r="O15" s="106">
        <f t="shared" si="31"/>
        <v>5757.5</v>
      </c>
      <c r="P15" s="106">
        <f>SUM(P10:P14)+P9</f>
        <v>6113.3000000000011</v>
      </c>
      <c r="Q15" s="106">
        <f>SUM(Q10:Q14)+Q9</f>
        <v>6784.5</v>
      </c>
      <c r="R15" s="175">
        <f t="shared" si="31"/>
        <v>24573.9</v>
      </c>
      <c r="S15" s="54">
        <f t="shared" si="31"/>
        <v>6912.9</v>
      </c>
      <c r="T15" s="54">
        <f t="shared" si="31"/>
        <v>6735.7999999999993</v>
      </c>
      <c r="U15" s="54">
        <f t="shared" si="31"/>
        <v>6908.7000000000007</v>
      </c>
      <c r="V15" s="54">
        <f t="shared" si="31"/>
        <v>7309.3</v>
      </c>
      <c r="W15" s="175">
        <f t="shared" si="31"/>
        <v>27866.700000000004</v>
      </c>
      <c r="X15" s="106">
        <f>SUM(X10:X14)+X9</f>
        <v>7518.6</v>
      </c>
      <c r="Y15" s="54">
        <f t="shared" si="31"/>
        <v>7416.4331373188943</v>
      </c>
      <c r="Z15" s="54">
        <f t="shared" si="31"/>
        <v>7718.1802657094941</v>
      </c>
      <c r="AA15" s="54">
        <f>SUM(AA10:AA14)+AA9</f>
        <v>7792.6527358955318</v>
      </c>
      <c r="AB15" s="55">
        <f>SUM(AB10:AB14)+AB9</f>
        <v>30445.866138923921</v>
      </c>
      <c r="AC15" s="54">
        <f t="shared" si="31"/>
        <v>8179.7571247390642</v>
      </c>
      <c r="AD15" s="54">
        <f t="shared" si="31"/>
        <v>8084.7439330918396</v>
      </c>
      <c r="AE15" s="54">
        <f t="shared" si="31"/>
        <v>8424.2332190934685</v>
      </c>
      <c r="AF15" s="54">
        <f t="shared" si="31"/>
        <v>8671.528409041206</v>
      </c>
      <c r="AG15" s="55">
        <f t="shared" si="31"/>
        <v>33360.262685965587</v>
      </c>
      <c r="AH15" s="54">
        <f t="shared" si="31"/>
        <v>9039.5236595833449</v>
      </c>
      <c r="AI15" s="54">
        <f t="shared" si="31"/>
        <v>8936.2187206109684</v>
      </c>
      <c r="AJ15" s="54">
        <f t="shared" si="31"/>
        <v>9230.703507209917</v>
      </c>
      <c r="AK15" s="54">
        <f t="shared" si="31"/>
        <v>9586.0050029574031</v>
      </c>
      <c r="AL15" s="55">
        <f t="shared" si="31"/>
        <v>36792.45089036163</v>
      </c>
      <c r="AM15" s="54">
        <f t="shared" ref="AM15:AQ15" si="32">SUM(AM10:AM14)+AM9</f>
        <v>9899.2781018449823</v>
      </c>
      <c r="AN15" s="54">
        <f t="shared" si="32"/>
        <v>9754.2222651921038</v>
      </c>
      <c r="AO15" s="54">
        <f t="shared" si="32"/>
        <v>10043.816551916305</v>
      </c>
      <c r="AP15" s="54">
        <f t="shared" si="32"/>
        <v>10403.892053217078</v>
      </c>
      <c r="AQ15" s="55">
        <f t="shared" si="32"/>
        <v>40101.208972170469</v>
      </c>
      <c r="AR15" s="54">
        <f t="shared" ref="AR15:AV15" si="33">SUM(AR10:AR14)+AR9</f>
        <v>10543.38888414067</v>
      </c>
      <c r="AS15" s="54">
        <f t="shared" si="33"/>
        <v>10385.027961234211</v>
      </c>
      <c r="AT15" s="54">
        <f t="shared" si="33"/>
        <v>10689.734506791143</v>
      </c>
      <c r="AU15" s="54">
        <f t="shared" si="33"/>
        <v>11072.512106726113</v>
      </c>
      <c r="AV15" s="55">
        <f t="shared" si="33"/>
        <v>42690.663458892137</v>
      </c>
    </row>
    <row r="16" spans="1:48" s="23" customFormat="1" ht="17.25" customHeight="1" x14ac:dyDescent="0.45">
      <c r="B16" s="591" t="s">
        <v>36</v>
      </c>
      <c r="C16" s="592"/>
      <c r="D16" s="104">
        <v>67.8</v>
      </c>
      <c r="E16" s="104">
        <v>62.3</v>
      </c>
      <c r="F16" s="104">
        <v>76</v>
      </c>
      <c r="G16" s="104">
        <f t="shared" si="0"/>
        <v>91.899999999999991</v>
      </c>
      <c r="H16" s="173">
        <v>298</v>
      </c>
      <c r="I16" s="104">
        <v>73.900000000000006</v>
      </c>
      <c r="J16" s="104">
        <v>67.900000000000006</v>
      </c>
      <c r="K16" s="104">
        <v>68.400000000000006</v>
      </c>
      <c r="L16" s="52">
        <v>112.2</v>
      </c>
      <c r="M16" s="53">
        <f t="shared" ref="M16" si="34">SUM(I16:L16)</f>
        <v>322.40000000000003</v>
      </c>
      <c r="N16" s="52">
        <v>82.7</v>
      </c>
      <c r="O16" s="104">
        <v>77.099999999999994</v>
      </c>
      <c r="P16" s="104">
        <v>105.5</v>
      </c>
      <c r="Q16" s="104">
        <v>120</v>
      </c>
      <c r="R16" s="173">
        <f t="shared" ref="R16" si="35">SUM(N16:Q16)</f>
        <v>385.3</v>
      </c>
      <c r="S16" s="52">
        <v>40.299999999999997</v>
      </c>
      <c r="T16" s="52">
        <v>49.1</v>
      </c>
      <c r="U16" s="52">
        <v>54.1</v>
      </c>
      <c r="V16" s="52">
        <v>90.6</v>
      </c>
      <c r="W16" s="173">
        <f t="shared" ref="W16" si="36">SUM(S16:V16)</f>
        <v>234.1</v>
      </c>
      <c r="X16" s="104">
        <v>57.8</v>
      </c>
      <c r="Y16" s="52">
        <f>+Y104+Y119</f>
        <v>57.8</v>
      </c>
      <c r="Z16" s="52">
        <f>+Z104+Z119</f>
        <v>57.9</v>
      </c>
      <c r="AA16" s="52">
        <f>+AA104+AA119</f>
        <v>58</v>
      </c>
      <c r="AB16" s="53">
        <f t="shared" ref="AB16" si="37">SUM(X16:AA16)</f>
        <v>231.5</v>
      </c>
      <c r="AC16" s="52">
        <f>+AC104+AC119</f>
        <v>58.3</v>
      </c>
      <c r="AD16" s="52">
        <f>+AD104+AD119</f>
        <v>58.3</v>
      </c>
      <c r="AE16" s="52">
        <f>+AE104+AE119</f>
        <v>58.3</v>
      </c>
      <c r="AF16" s="52">
        <f>+AF104+AF119</f>
        <v>58.3</v>
      </c>
      <c r="AG16" s="53">
        <f t="shared" ref="AG16" si="38">SUM(AC16:AF16)</f>
        <v>233.2</v>
      </c>
      <c r="AH16" s="52">
        <f>+AH104+AH119</f>
        <v>58.3</v>
      </c>
      <c r="AI16" s="52">
        <f>+AI104+AI119</f>
        <v>58.3</v>
      </c>
      <c r="AJ16" s="52">
        <f>+AJ104+AJ119</f>
        <v>58.3</v>
      </c>
      <c r="AK16" s="52">
        <f>+AK104+AK119</f>
        <v>58.3</v>
      </c>
      <c r="AL16" s="53">
        <f t="shared" ref="AL16" si="39">SUM(AH16:AK16)</f>
        <v>233.2</v>
      </c>
      <c r="AM16" s="52">
        <f>+AM104+AM119</f>
        <v>58.3</v>
      </c>
      <c r="AN16" s="52">
        <f>+AN104+AN119</f>
        <v>58.3</v>
      </c>
      <c r="AO16" s="52">
        <f>+AO104+AO119</f>
        <v>58.3</v>
      </c>
      <c r="AP16" s="52">
        <f>+AP104+AP119</f>
        <v>58.3</v>
      </c>
      <c r="AQ16" s="53">
        <f t="shared" ref="AQ16" si="40">SUM(AM16:AP16)</f>
        <v>233.2</v>
      </c>
      <c r="AR16" s="52">
        <f>+AR104+AR119</f>
        <v>58.3</v>
      </c>
      <c r="AS16" s="52">
        <f>+AS104+AS119</f>
        <v>58.3</v>
      </c>
      <c r="AT16" s="52">
        <f>+AT104+AT119</f>
        <v>58.3</v>
      </c>
      <c r="AU16" s="52">
        <f>+AU104+AU119</f>
        <v>58.3</v>
      </c>
      <c r="AV16" s="53">
        <f t="shared" ref="AV16" si="41">SUM(AR16:AU16)</f>
        <v>233.2</v>
      </c>
    </row>
    <row r="17" spans="1:48" x14ac:dyDescent="0.3">
      <c r="B17" s="135" t="s">
        <v>10</v>
      </c>
      <c r="C17" s="136"/>
      <c r="D17" s="103">
        <f t="shared" ref="D17:AV17" si="42">D8-D15+D16</f>
        <v>1015.7000000000005</v>
      </c>
      <c r="E17" s="103">
        <f t="shared" si="42"/>
        <v>857.69999999999959</v>
      </c>
      <c r="F17" s="103">
        <f t="shared" si="42"/>
        <v>1121.3000000000011</v>
      </c>
      <c r="G17" s="103">
        <f t="shared" si="42"/>
        <v>1083.2000000000012</v>
      </c>
      <c r="H17" s="171">
        <f t="shared" si="42"/>
        <v>4077.9000000000051</v>
      </c>
      <c r="I17" s="103">
        <f t="shared" si="42"/>
        <v>1219.7999999999988</v>
      </c>
      <c r="J17" s="103">
        <f t="shared" si="42"/>
        <v>487.39999999999907</v>
      </c>
      <c r="K17" s="103">
        <f t="shared" si="42"/>
        <v>-703.8999999999993</v>
      </c>
      <c r="L17" s="50">
        <f t="shared" si="42"/>
        <v>558.30000000000041</v>
      </c>
      <c r="M17" s="51">
        <f t="shared" si="42"/>
        <v>1561.6000000000045</v>
      </c>
      <c r="N17" s="50">
        <f t="shared" si="42"/>
        <v>913.50000000000023</v>
      </c>
      <c r="O17" s="103">
        <f t="shared" si="42"/>
        <v>987.6</v>
      </c>
      <c r="P17" s="103">
        <f>P8-P15+P16</f>
        <v>1488.6999999999989</v>
      </c>
      <c r="Q17" s="103">
        <f>Q8-Q15+Q16</f>
        <v>1482.1999999999998</v>
      </c>
      <c r="R17" s="171">
        <f t="shared" si="42"/>
        <v>4871.9999999999973</v>
      </c>
      <c r="S17" s="50">
        <f t="shared" si="42"/>
        <v>1177.8</v>
      </c>
      <c r="T17" s="50">
        <f t="shared" si="42"/>
        <v>948.9000000000002</v>
      </c>
      <c r="U17" s="50">
        <f t="shared" si="42"/>
        <v>1295.4999999999995</v>
      </c>
      <c r="V17" s="50">
        <f t="shared" si="42"/>
        <v>1195.4999999999986</v>
      </c>
      <c r="W17" s="171">
        <f t="shared" si="42"/>
        <v>4617.6999999999953</v>
      </c>
      <c r="X17" s="103">
        <f t="shared" si="42"/>
        <v>1253.0999999999992</v>
      </c>
      <c r="Y17" s="50">
        <f t="shared" si="42"/>
        <v>1055.691093851751</v>
      </c>
      <c r="Z17" s="50">
        <f t="shared" si="42"/>
        <v>1562.7619875744681</v>
      </c>
      <c r="AA17" s="50">
        <f t="shared" si="42"/>
        <v>1794.7130331063054</v>
      </c>
      <c r="AB17" s="51">
        <f>AB8-AB15+AB16</f>
        <v>5666.2661145325183</v>
      </c>
      <c r="AC17" s="50">
        <f t="shared" si="42"/>
        <v>1615.8365099628888</v>
      </c>
      <c r="AD17" s="50">
        <f t="shared" si="42"/>
        <v>1221.4808514222111</v>
      </c>
      <c r="AE17" s="50">
        <f t="shared" si="42"/>
        <v>1769.9367625716575</v>
      </c>
      <c r="AF17" s="50">
        <f t="shared" si="42"/>
        <v>1872.9876501611077</v>
      </c>
      <c r="AG17" s="51">
        <f t="shared" si="42"/>
        <v>6480.2417741178606</v>
      </c>
      <c r="AH17" s="50">
        <f t="shared" si="42"/>
        <v>1859.6315846547757</v>
      </c>
      <c r="AI17" s="50">
        <f t="shared" si="42"/>
        <v>1425.9118762412097</v>
      </c>
      <c r="AJ17" s="50">
        <f t="shared" si="42"/>
        <v>2127.8982407576304</v>
      </c>
      <c r="AK17" s="50">
        <f t="shared" si="42"/>
        <v>2182.2856499692307</v>
      </c>
      <c r="AL17" s="51">
        <f t="shared" si="42"/>
        <v>7595.7273516228406</v>
      </c>
      <c r="AM17" s="50">
        <f t="shared" si="42"/>
        <v>2062.9855367746595</v>
      </c>
      <c r="AN17" s="50">
        <f t="shared" si="42"/>
        <v>1579.9543614466536</v>
      </c>
      <c r="AO17" s="50">
        <f t="shared" si="42"/>
        <v>2335.8739012089763</v>
      </c>
      <c r="AP17" s="50">
        <f t="shared" si="42"/>
        <v>2379.7244745672679</v>
      </c>
      <c r="AQ17" s="51">
        <f t="shared" si="42"/>
        <v>8358.5382739975648</v>
      </c>
      <c r="AR17" s="50">
        <f t="shared" si="42"/>
        <v>2182.27079234135</v>
      </c>
      <c r="AS17" s="50">
        <f t="shared" si="42"/>
        <v>1672.2422328941891</v>
      </c>
      <c r="AT17" s="50">
        <f t="shared" si="42"/>
        <v>2477.3705356232704</v>
      </c>
      <c r="AU17" s="50">
        <f t="shared" si="42"/>
        <v>2523.4370464084832</v>
      </c>
      <c r="AV17" s="51">
        <f t="shared" si="42"/>
        <v>8855.3206072672947</v>
      </c>
    </row>
    <row r="18" spans="1:48" ht="16.2" x14ac:dyDescent="0.45">
      <c r="B18" s="123" t="s">
        <v>70</v>
      </c>
      <c r="C18" s="88"/>
      <c r="D18" s="107">
        <f>+D170</f>
        <v>138</v>
      </c>
      <c r="E18" s="107">
        <f>+E170</f>
        <v>141.4</v>
      </c>
      <c r="F18" s="107">
        <f>+F170</f>
        <v>125.30000000000001</v>
      </c>
      <c r="G18" s="107">
        <f>+G170</f>
        <v>77.399999999999991</v>
      </c>
      <c r="H18" s="176">
        <f>SUM(D18:G18)</f>
        <v>482.09999999999997</v>
      </c>
      <c r="I18" s="107">
        <f>+I170</f>
        <v>71.599999999999994</v>
      </c>
      <c r="J18" s="107">
        <f>+J170</f>
        <v>66.8</v>
      </c>
      <c r="K18" s="107">
        <f>+K170</f>
        <v>173.67999999999998</v>
      </c>
      <c r="L18" s="89">
        <f>+L170</f>
        <v>259.5</v>
      </c>
      <c r="M18" s="90">
        <f>SUM(I18:L18)</f>
        <v>571.57999999999993</v>
      </c>
      <c r="N18" s="107">
        <f>+N170</f>
        <v>134.9</v>
      </c>
      <c r="O18" s="107">
        <f>+O170</f>
        <v>88.2</v>
      </c>
      <c r="P18" s="107">
        <f>+P170</f>
        <v>51.7</v>
      </c>
      <c r="Q18" s="107">
        <f>+Q170</f>
        <v>115.2</v>
      </c>
      <c r="R18" s="176">
        <f>SUM(N18:Q18)</f>
        <v>390</v>
      </c>
      <c r="S18" s="89">
        <f>+S170</f>
        <v>35.199999999999996</v>
      </c>
      <c r="T18" s="89">
        <f>+T170</f>
        <v>47.5</v>
      </c>
      <c r="U18" s="89">
        <f>+U170</f>
        <v>77.5</v>
      </c>
      <c r="V18" s="89">
        <f>+V170</f>
        <v>77.099999999999994</v>
      </c>
      <c r="W18" s="176">
        <f>SUM(S18:V18)</f>
        <v>237.29999999999998</v>
      </c>
      <c r="X18" s="107">
        <f>+X170</f>
        <v>6.1</v>
      </c>
      <c r="Y18" s="89">
        <f>+Y170</f>
        <v>0.3</v>
      </c>
      <c r="Z18" s="89">
        <f>+Z170</f>
        <v>0.3</v>
      </c>
      <c r="AA18" s="89">
        <f>+AA170</f>
        <v>0.3</v>
      </c>
      <c r="AB18" s="90">
        <f>SUM(X18:AA18)</f>
        <v>6.9999999999999991</v>
      </c>
      <c r="AC18" s="89">
        <f t="shared" ref="AC18:AF18" si="43">+AC170</f>
        <v>0.3</v>
      </c>
      <c r="AD18" s="89">
        <f t="shared" si="43"/>
        <v>0.3</v>
      </c>
      <c r="AE18" s="89">
        <f t="shared" si="43"/>
        <v>0.3</v>
      </c>
      <c r="AF18" s="89">
        <f t="shared" si="43"/>
        <v>0.3</v>
      </c>
      <c r="AG18" s="90">
        <f>SUM(AC18:AF18)</f>
        <v>1.2</v>
      </c>
      <c r="AH18" s="89">
        <f t="shared" ref="AH18:AK18" si="44">+AH170</f>
        <v>0.3</v>
      </c>
      <c r="AI18" s="89">
        <f t="shared" si="44"/>
        <v>0.3</v>
      </c>
      <c r="AJ18" s="89">
        <f t="shared" si="44"/>
        <v>0.3</v>
      </c>
      <c r="AK18" s="89">
        <f t="shared" si="44"/>
        <v>0.3</v>
      </c>
      <c r="AL18" s="90">
        <f>SUM(AH18:AK18)</f>
        <v>1.2</v>
      </c>
      <c r="AM18" s="89">
        <f t="shared" ref="AM18:AP18" si="45">+AM170</f>
        <v>0.3</v>
      </c>
      <c r="AN18" s="89">
        <f t="shared" si="45"/>
        <v>0.3</v>
      </c>
      <c r="AO18" s="89">
        <f t="shared" si="45"/>
        <v>0.3</v>
      </c>
      <c r="AP18" s="89">
        <f t="shared" si="45"/>
        <v>0.3</v>
      </c>
      <c r="AQ18" s="90">
        <f>SUM(AM18:AP18)</f>
        <v>1.2</v>
      </c>
      <c r="AR18" s="89">
        <f t="shared" ref="AR18:AU18" si="46">+AR170</f>
        <v>0.3</v>
      </c>
      <c r="AS18" s="89">
        <f t="shared" si="46"/>
        <v>0.3</v>
      </c>
      <c r="AT18" s="89">
        <f t="shared" si="46"/>
        <v>0.3</v>
      </c>
      <c r="AU18" s="89">
        <f t="shared" si="46"/>
        <v>0.3</v>
      </c>
      <c r="AV18" s="90">
        <f>SUM(AR18:AU18)</f>
        <v>1.2</v>
      </c>
    </row>
    <row r="19" spans="1:48" x14ac:dyDescent="0.3">
      <c r="B19" s="124" t="s">
        <v>71</v>
      </c>
      <c r="C19" s="79"/>
      <c r="D19" s="108">
        <f t="shared" ref="D19:AV19" si="47">+D17+D18</f>
        <v>1153.7000000000005</v>
      </c>
      <c r="E19" s="108">
        <f t="shared" si="47"/>
        <v>999.09999999999957</v>
      </c>
      <c r="F19" s="108">
        <f t="shared" si="47"/>
        <v>1246.600000000001</v>
      </c>
      <c r="G19" s="108">
        <f t="shared" si="47"/>
        <v>1160.6000000000013</v>
      </c>
      <c r="H19" s="177">
        <f t="shared" si="47"/>
        <v>4560.0000000000055</v>
      </c>
      <c r="I19" s="108">
        <f t="shared" si="47"/>
        <v>1291.3999999999987</v>
      </c>
      <c r="J19" s="108">
        <f t="shared" si="47"/>
        <v>554.19999999999902</v>
      </c>
      <c r="K19" s="108">
        <f t="shared" si="47"/>
        <v>-530.21999999999935</v>
      </c>
      <c r="L19" s="80">
        <f t="shared" si="47"/>
        <v>817.80000000000041</v>
      </c>
      <c r="M19" s="81">
        <f t="shared" si="47"/>
        <v>2133.1800000000044</v>
      </c>
      <c r="N19" s="108">
        <f t="shared" si="47"/>
        <v>1048.4000000000003</v>
      </c>
      <c r="O19" s="108">
        <f t="shared" si="47"/>
        <v>1075.8</v>
      </c>
      <c r="P19" s="108">
        <f t="shared" si="47"/>
        <v>1540.399999999999</v>
      </c>
      <c r="Q19" s="108">
        <f t="shared" si="47"/>
        <v>1597.3999999999999</v>
      </c>
      <c r="R19" s="177">
        <f t="shared" si="47"/>
        <v>5261.9999999999973</v>
      </c>
      <c r="S19" s="80">
        <f t="shared" si="47"/>
        <v>1213</v>
      </c>
      <c r="T19" s="80">
        <f t="shared" si="47"/>
        <v>996.4000000000002</v>
      </c>
      <c r="U19" s="80">
        <f t="shared" si="47"/>
        <v>1372.9999999999995</v>
      </c>
      <c r="V19" s="80">
        <f t="shared" si="47"/>
        <v>1272.5999999999985</v>
      </c>
      <c r="W19" s="177">
        <f t="shared" si="47"/>
        <v>4854.9999999999955</v>
      </c>
      <c r="X19" s="108">
        <f t="shared" si="47"/>
        <v>1259.1999999999991</v>
      </c>
      <c r="Y19" s="80">
        <f t="shared" si="47"/>
        <v>1055.991093851751</v>
      </c>
      <c r="Z19" s="80">
        <f t="shared" si="47"/>
        <v>1563.061987574468</v>
      </c>
      <c r="AA19" s="80">
        <f t="shared" si="47"/>
        <v>1795.0130331063053</v>
      </c>
      <c r="AB19" s="81">
        <f>+AB17+AB18</f>
        <v>5673.2661145325183</v>
      </c>
      <c r="AC19" s="80">
        <f t="shared" si="47"/>
        <v>1616.1365099628888</v>
      </c>
      <c r="AD19" s="80">
        <f t="shared" si="47"/>
        <v>1221.7808514222111</v>
      </c>
      <c r="AE19" s="80">
        <f t="shared" si="47"/>
        <v>1770.2367625716574</v>
      </c>
      <c r="AF19" s="80">
        <f t="shared" si="47"/>
        <v>1873.2876501611076</v>
      </c>
      <c r="AG19" s="81">
        <f t="shared" si="47"/>
        <v>6481.4417741178604</v>
      </c>
      <c r="AH19" s="80">
        <f t="shared" si="47"/>
        <v>1859.9315846547756</v>
      </c>
      <c r="AI19" s="80">
        <f t="shared" si="47"/>
        <v>1426.2118762412097</v>
      </c>
      <c r="AJ19" s="80">
        <f t="shared" si="47"/>
        <v>2128.1982407576306</v>
      </c>
      <c r="AK19" s="80">
        <f t="shared" si="47"/>
        <v>2182.5856499692309</v>
      </c>
      <c r="AL19" s="81">
        <f t="shared" si="47"/>
        <v>7596.9273516228404</v>
      </c>
      <c r="AM19" s="80">
        <f t="shared" si="47"/>
        <v>2063.2855367746597</v>
      </c>
      <c r="AN19" s="80">
        <f t="shared" si="47"/>
        <v>1580.2543614466535</v>
      </c>
      <c r="AO19" s="80">
        <f t="shared" si="47"/>
        <v>2336.1739012089765</v>
      </c>
      <c r="AP19" s="80">
        <f t="shared" si="47"/>
        <v>2380.024474567268</v>
      </c>
      <c r="AQ19" s="81">
        <f t="shared" si="47"/>
        <v>8359.7382739975656</v>
      </c>
      <c r="AR19" s="80">
        <f t="shared" si="47"/>
        <v>2182.5707923413502</v>
      </c>
      <c r="AS19" s="80">
        <f t="shared" si="47"/>
        <v>1672.5422328941891</v>
      </c>
      <c r="AT19" s="80">
        <f t="shared" si="47"/>
        <v>2477.6705356232706</v>
      </c>
      <c r="AU19" s="80">
        <f t="shared" si="47"/>
        <v>2523.7370464084834</v>
      </c>
      <c r="AV19" s="81">
        <f t="shared" si="47"/>
        <v>8856.5206072672954</v>
      </c>
    </row>
    <row r="20" spans="1:48" x14ac:dyDescent="0.3">
      <c r="B20" s="38" t="s">
        <v>63</v>
      </c>
      <c r="C20" s="18"/>
      <c r="D20" s="105">
        <v>0</v>
      </c>
      <c r="E20" s="105">
        <v>21</v>
      </c>
      <c r="F20" s="105">
        <v>601.79999999999995</v>
      </c>
      <c r="G20" s="105">
        <f t="shared" ref="G20:G22" si="48">H20-F20-E20-D20</f>
        <v>0</v>
      </c>
      <c r="H20" s="170">
        <v>622.79999999999995</v>
      </c>
      <c r="I20" s="105">
        <v>0</v>
      </c>
      <c r="J20" s="105">
        <v>0</v>
      </c>
      <c r="K20" s="105">
        <v>0</v>
      </c>
      <c r="L20" s="105">
        <v>0</v>
      </c>
      <c r="M20" s="170">
        <f>SUM(I20:L20)</f>
        <v>0</v>
      </c>
      <c r="N20" s="105">
        <v>0</v>
      </c>
      <c r="O20" s="105">
        <v>0</v>
      </c>
      <c r="P20" s="105">
        <v>0</v>
      </c>
      <c r="Q20" s="105">
        <v>864.5</v>
      </c>
      <c r="R20" s="170">
        <f>SUM(N20:Q20)</f>
        <v>864.5</v>
      </c>
      <c r="S20" s="105">
        <v>0</v>
      </c>
      <c r="T20" s="105">
        <v>0</v>
      </c>
      <c r="U20" s="105">
        <v>0</v>
      </c>
      <c r="V20" s="105">
        <v>0</v>
      </c>
      <c r="W20" s="170">
        <f>SUM(S20:V20)</f>
        <v>0</v>
      </c>
      <c r="X20" s="105">
        <v>0</v>
      </c>
      <c r="Y20" s="105">
        <v>0</v>
      </c>
      <c r="Z20" s="105">
        <v>0</v>
      </c>
      <c r="AA20" s="105">
        <v>0</v>
      </c>
      <c r="AB20" s="170">
        <f>SUM(X20:AA20)</f>
        <v>0</v>
      </c>
      <c r="AC20" s="105">
        <v>0</v>
      </c>
      <c r="AD20" s="105">
        <v>0</v>
      </c>
      <c r="AE20" s="105">
        <v>0</v>
      </c>
      <c r="AF20" s="105">
        <v>0</v>
      </c>
      <c r="AG20" s="170">
        <f>SUM(AC20:AF20)</f>
        <v>0</v>
      </c>
      <c r="AH20" s="105">
        <v>0</v>
      </c>
      <c r="AI20" s="105">
        <v>0</v>
      </c>
      <c r="AJ20" s="105">
        <v>0</v>
      </c>
      <c r="AK20" s="105">
        <v>0</v>
      </c>
      <c r="AL20" s="170">
        <f>SUM(AH20:AK20)</f>
        <v>0</v>
      </c>
      <c r="AM20" s="105">
        <v>0</v>
      </c>
      <c r="AN20" s="105">
        <v>0</v>
      </c>
      <c r="AO20" s="105">
        <v>0</v>
      </c>
      <c r="AP20" s="105">
        <v>0</v>
      </c>
      <c r="AQ20" s="170">
        <f>SUM(AM20:AP20)</f>
        <v>0</v>
      </c>
      <c r="AR20" s="105">
        <v>0</v>
      </c>
      <c r="AS20" s="105">
        <v>0</v>
      </c>
      <c r="AT20" s="105">
        <v>0</v>
      </c>
      <c r="AU20" s="105">
        <v>0</v>
      </c>
      <c r="AV20" s="170">
        <f>SUM(AR20:AU20)</f>
        <v>0</v>
      </c>
    </row>
    <row r="21" spans="1:48" x14ac:dyDescent="0.3">
      <c r="B21" s="38" t="s">
        <v>37</v>
      </c>
      <c r="C21" s="18"/>
      <c r="D21" s="105">
        <v>24.8</v>
      </c>
      <c r="E21" s="105">
        <v>15.2</v>
      </c>
      <c r="F21" s="102">
        <v>40.200000000000003</v>
      </c>
      <c r="G21" s="105">
        <f t="shared" si="48"/>
        <v>16.299999999999994</v>
      </c>
      <c r="H21" s="170">
        <v>96.5</v>
      </c>
      <c r="I21" s="105">
        <v>15.9</v>
      </c>
      <c r="J21" s="105">
        <v>2</v>
      </c>
      <c r="K21" s="105">
        <v>12.7</v>
      </c>
      <c r="L21" s="105">
        <v>9.1</v>
      </c>
      <c r="M21" s="170">
        <f t="shared" ref="M21:M22" si="49">SUM(I21:L21)</f>
        <v>39.699999999999996</v>
      </c>
      <c r="N21" s="105">
        <v>15.5</v>
      </c>
      <c r="O21" s="105">
        <v>17.3</v>
      </c>
      <c r="P21" s="105">
        <v>36</v>
      </c>
      <c r="Q21" s="105">
        <v>21.5</v>
      </c>
      <c r="R21" s="170">
        <f t="shared" ref="R21" si="50">SUM(N21:Q21)</f>
        <v>90.3</v>
      </c>
      <c r="S21" s="105">
        <v>-0.1</v>
      </c>
      <c r="T21" s="105">
        <v>46.3</v>
      </c>
      <c r="U21" s="105">
        <v>19.8</v>
      </c>
      <c r="V21" s="105">
        <v>31</v>
      </c>
      <c r="W21" s="170">
        <f t="shared" ref="W21:W22" si="51">SUM(S21:V21)</f>
        <v>97</v>
      </c>
      <c r="X21" s="105">
        <v>11.6</v>
      </c>
      <c r="Y21" s="105">
        <f>('BS (F1Q23)'!X6+'BS (F1Q23)'!X7+'BS (F1Q23)'!X12)*'IS (F1Q23)'!Y144</f>
        <v>25.798685798661033</v>
      </c>
      <c r="Z21" s="105">
        <f>('BS (F1Q23)'!Y6+'BS (F1Q23)'!Y7+'BS (F1Q23)'!Y12)*'IS (F1Q23)'!Z144</f>
        <v>25.871093885498802</v>
      </c>
      <c r="AA21" s="105">
        <f>('BS (F1Q23)'!Z6+'BS (F1Q23)'!Z7+'BS (F1Q23)'!Z12)*'IS (F1Q23)'!AA144</f>
        <v>7.1801448793855984</v>
      </c>
      <c r="AB21" s="170">
        <f t="shared" ref="AB21:AB22" si="52">SUM(X21:AA21)</f>
        <v>70.449924563545437</v>
      </c>
      <c r="AC21" s="105">
        <f>('BS (F1Q23)'!AA6+'BS (F1Q23)'!AA7+'BS (F1Q23)'!AA12)*'IS (F1Q23)'!AC144</f>
        <v>8.1636409253324711</v>
      </c>
      <c r="AD21" s="105">
        <f>('BS (F1Q23)'!AC6+'BS (F1Q23)'!AC7+'BS (F1Q23)'!AC12)*'IS (F1Q23)'!AD144</f>
        <v>9.3793047852752203</v>
      </c>
      <c r="AE21" s="105">
        <f>('BS (F1Q23)'!AD6+'BS (F1Q23)'!AD7+'BS (F1Q23)'!AD12)*'IS (F1Q23)'!AE144</f>
        <v>8.3778498033118094</v>
      </c>
      <c r="AF21" s="105">
        <f>('BS (F1Q23)'!AE6+'BS (F1Q23)'!AE7+'BS (F1Q23)'!AE12)*'IS (F1Q23)'!AF144</f>
        <v>8.4510042996433565</v>
      </c>
      <c r="AG21" s="170">
        <f t="shared" ref="AG21:AG22" si="53">SUM(AC21:AF21)</f>
        <v>34.371799813562859</v>
      </c>
      <c r="AH21" s="105">
        <f>('BS (F1Q23)'!AF6+'BS (F1Q23)'!AF7+'BS (F1Q23)'!AF12)*'IS (F1Q23)'!AH144</f>
        <v>9.6230082597490068</v>
      </c>
      <c r="AI21" s="105">
        <f>('BS (F1Q23)'!AH6+'BS (F1Q23)'!AH7+'BS (F1Q23)'!AH12)*'IS (F1Q23)'!AI144</f>
        <v>11.151434752783171</v>
      </c>
      <c r="AJ21" s="105">
        <f>('BS (F1Q23)'!AI6+'BS (F1Q23)'!AI7+'BS (F1Q23)'!AI12)*'IS (F1Q23)'!AJ144</f>
        <v>10.419635526849547</v>
      </c>
      <c r="AK21" s="105">
        <f>('BS (F1Q23)'!AJ6+'BS (F1Q23)'!AJ7+'BS (F1Q23)'!AJ12)*'IS (F1Q23)'!AK144</f>
        <v>14.782393765940608</v>
      </c>
      <c r="AL21" s="170">
        <f t="shared" ref="AL21:AL22" si="54">SUM(AH21:AK21)</f>
        <v>45.976472305322332</v>
      </c>
      <c r="AM21" s="105">
        <f>('BS (F1Q23)'!AK6+'BS (F1Q23)'!AK7+'BS (F1Q23)'!AK12)*'IS (F1Q23)'!AM144</f>
        <v>4.4818982369543177</v>
      </c>
      <c r="AN21" s="105">
        <f>('BS (F1Q23)'!AM6+'BS (F1Q23)'!AM7+'BS (F1Q23)'!AM12)*'IS (F1Q23)'!AN144</f>
        <v>6.0004194249426384</v>
      </c>
      <c r="AO21" s="105">
        <f>('BS (F1Q23)'!AN6+'BS (F1Q23)'!AN7+'BS (F1Q23)'!AN12)*'IS (F1Q23)'!AO144</f>
        <v>2.9360228620124027</v>
      </c>
      <c r="AP21" s="105">
        <f>('BS (F1Q23)'!AO6+'BS (F1Q23)'!AO7+'BS (F1Q23)'!AO12)*'IS (F1Q23)'!AP144</f>
        <v>3.1094227608931853</v>
      </c>
      <c r="AQ21" s="170">
        <f t="shared" ref="AQ21:AQ22" si="55">SUM(AM21:AP21)</f>
        <v>16.527763284802546</v>
      </c>
      <c r="AR21" s="105">
        <f>('BS (F1Q23)'!AP6+'BS (F1Q23)'!AP7+'BS (F1Q23)'!AP12)*'IS (F1Q23)'!AR144</f>
        <v>4.4395347649531329</v>
      </c>
      <c r="AS21" s="105">
        <f>('BS (F1Q23)'!AR6+'BS (F1Q23)'!AR7+'BS (F1Q23)'!AR12)*'IS (F1Q23)'!AS144</f>
        <v>6.4006755464735594</v>
      </c>
      <c r="AT21" s="105">
        <f>('BS (F1Q23)'!AS6+'BS (F1Q23)'!AS7+'BS (F1Q23)'!AS12)*'IS (F1Q23)'!AT144</f>
        <v>5.5273526846041179</v>
      </c>
      <c r="AU21" s="105">
        <f>('BS (F1Q23)'!AT6+'BS (F1Q23)'!AT7+'BS (F1Q23)'!AT12)*'IS (F1Q23)'!AU144</f>
        <v>5.9737280794930072</v>
      </c>
      <c r="AV21" s="170">
        <f t="shared" ref="AV21:AV22" si="56">SUM(AR21:AU21)</f>
        <v>22.341291075523817</v>
      </c>
    </row>
    <row r="22" spans="1:48" ht="16.2" x14ac:dyDescent="0.45">
      <c r="B22" s="38" t="s">
        <v>38</v>
      </c>
      <c r="C22" s="356"/>
      <c r="D22" s="104">
        <v>-75</v>
      </c>
      <c r="E22" s="104">
        <v>-73.900000000000006</v>
      </c>
      <c r="F22" s="104">
        <v>-86.4</v>
      </c>
      <c r="G22" s="104">
        <f t="shared" si="48"/>
        <v>-95.699999999999989</v>
      </c>
      <c r="H22" s="173">
        <v>-331</v>
      </c>
      <c r="I22" s="104">
        <v>-91.9</v>
      </c>
      <c r="J22" s="104">
        <v>-99.2</v>
      </c>
      <c r="K22" s="104">
        <v>-120.8</v>
      </c>
      <c r="L22" s="104">
        <v>-125</v>
      </c>
      <c r="M22" s="173">
        <f t="shared" si="49"/>
        <v>-436.90000000000003</v>
      </c>
      <c r="N22" s="104">
        <v>-120.7</v>
      </c>
      <c r="O22" s="104">
        <v>-115</v>
      </c>
      <c r="P22" s="104">
        <v>-113.4</v>
      </c>
      <c r="Q22" s="104">
        <v>-120.6</v>
      </c>
      <c r="R22" s="173">
        <f t="shared" ref="R22" si="57">SUM(N22:Q22)</f>
        <v>-469.70000000000005</v>
      </c>
      <c r="S22" s="104">
        <v>-115.3</v>
      </c>
      <c r="T22" s="104">
        <v>-119.1</v>
      </c>
      <c r="U22" s="104">
        <v>-123.1</v>
      </c>
      <c r="V22" s="104">
        <v>-125.3</v>
      </c>
      <c r="W22" s="173">
        <f t="shared" si="51"/>
        <v>-482.8</v>
      </c>
      <c r="X22" s="104">
        <v>-129.69999999999999</v>
      </c>
      <c r="Y22" s="104">
        <f>-('BS (F1Q23)'!X28+'BS (F1Q23)'!X31)*Y145</f>
        <v>-140.09999999999997</v>
      </c>
      <c r="Z22" s="104">
        <f>-('BS (F1Q23)'!Y28+'BS (F1Q23)'!Y31)*Z145</f>
        <v>-144.80253919335385</v>
      </c>
      <c r="AA22" s="104">
        <f>-('BS (F1Q23)'!Z28+'BS (F1Q23)'!Z31)*AA145</f>
        <v>-144.80253919335385</v>
      </c>
      <c r="AB22" s="430">
        <f t="shared" si="52"/>
        <v>-559.4050783867076</v>
      </c>
      <c r="AC22" s="104">
        <f>-('BS (F1Q23)'!AA28+'BS (F1Q23)'!AA31)*AC145</f>
        <v>-146.34523919335382</v>
      </c>
      <c r="AD22" s="104">
        <f>-('BS (F1Q23)'!AC28+'BS (F1Q23)'!AC31)*AD145</f>
        <v>-147.88793919335382</v>
      </c>
      <c r="AE22" s="104">
        <f>-('BS (F1Q23)'!AD28+'BS (F1Q23)'!AD31)*AE145</f>
        <v>-149.43063919335381</v>
      </c>
      <c r="AF22" s="104">
        <f>-('BS (F1Q23)'!AE28+'BS (F1Q23)'!AE31)*AF145</f>
        <v>-150.97333919335381</v>
      </c>
      <c r="AG22" s="173">
        <f t="shared" si="53"/>
        <v>-594.63715677341531</v>
      </c>
      <c r="AH22" s="104">
        <f>-('BS (F1Q23)'!AF28+'BS (F1Q23)'!AF31)*AH145</f>
        <v>-154.49330034838528</v>
      </c>
      <c r="AI22" s="104">
        <f>-('BS (F1Q23)'!AH28+'BS (F1Q23)'!AH31)*AI145</f>
        <v>-156.05600034838528</v>
      </c>
      <c r="AJ22" s="104">
        <f>-('BS (F1Q23)'!AI28+'BS (F1Q23)'!AI31)*AJ145</f>
        <v>-157.61870034838526</v>
      </c>
      <c r="AK22" s="104">
        <f>-('BS (F1Q23)'!AJ28+'BS (F1Q23)'!AJ31)*AK145</f>
        <v>-232.56965893608455</v>
      </c>
      <c r="AL22" s="173">
        <f t="shared" si="54"/>
        <v>-700.73765998124043</v>
      </c>
      <c r="AM22" s="104">
        <f>-('BS (F1Q23)'!AK28+'BS (F1Q23)'!AK31)*AM145</f>
        <v>-232.56965893608455</v>
      </c>
      <c r="AN22" s="104">
        <f>-('BS (F1Q23)'!AM28+'BS (F1Q23)'!AM31)*AN145</f>
        <v>-232.56965893608455</v>
      </c>
      <c r="AO22" s="104">
        <f>-('BS (F1Q23)'!AN28+'BS (F1Q23)'!AN31)*AO145</f>
        <v>-222.3833531609271</v>
      </c>
      <c r="AP22" s="104">
        <f>-('BS (F1Q23)'!AO28+'BS (F1Q23)'!AO31)*AP145</f>
        <v>-222.3833531609271</v>
      </c>
      <c r="AQ22" s="173">
        <f t="shared" si="55"/>
        <v>-909.9060241940233</v>
      </c>
      <c r="AR22" s="104">
        <f>-('BS (F1Q23)'!AP28+'BS (F1Q23)'!AP31)*AR145</f>
        <v>-222.3833531609271</v>
      </c>
      <c r="AS22" s="104">
        <f>-('BS (F1Q23)'!AR28+'BS (F1Q23)'!AR31)*AS145</f>
        <v>-222.3833531609271</v>
      </c>
      <c r="AT22" s="104">
        <f>-('BS (F1Q23)'!AS28+'BS (F1Q23)'!AS31)*AT145</f>
        <v>-222.3833531609271</v>
      </c>
      <c r="AU22" s="104">
        <f>-('BS (F1Q23)'!AT28+'BS (F1Q23)'!AT31)*AU145</f>
        <v>-222.3833531609271</v>
      </c>
      <c r="AV22" s="173">
        <f t="shared" si="56"/>
        <v>-889.5334126437084</v>
      </c>
    </row>
    <row r="23" spans="1:48" x14ac:dyDescent="0.3">
      <c r="B23" s="593" t="s">
        <v>11</v>
      </c>
      <c r="C23" s="594"/>
      <c r="D23" s="103">
        <f t="shared" ref="D23:AV23" si="58">D17+D21+D22+D20</f>
        <v>965.50000000000045</v>
      </c>
      <c r="E23" s="103">
        <f t="shared" si="58"/>
        <v>819.99999999999966</v>
      </c>
      <c r="F23" s="103">
        <f t="shared" si="58"/>
        <v>1676.900000000001</v>
      </c>
      <c r="G23" s="103">
        <f t="shared" si="58"/>
        <v>1003.8000000000011</v>
      </c>
      <c r="H23" s="171">
        <f t="shared" si="58"/>
        <v>4466.2000000000053</v>
      </c>
      <c r="I23" s="103">
        <f t="shared" si="58"/>
        <v>1143.7999999999988</v>
      </c>
      <c r="J23" s="103">
        <f t="shared" si="58"/>
        <v>390.19999999999908</v>
      </c>
      <c r="K23" s="103">
        <f t="shared" si="58"/>
        <v>-811.9999999999992</v>
      </c>
      <c r="L23" s="50">
        <f t="shared" si="58"/>
        <v>442.40000000000043</v>
      </c>
      <c r="M23" s="51">
        <f t="shared" si="58"/>
        <v>1164.4000000000044</v>
      </c>
      <c r="N23" s="50">
        <f t="shared" si="58"/>
        <v>808.30000000000018</v>
      </c>
      <c r="O23" s="103">
        <f t="shared" si="58"/>
        <v>889.9</v>
      </c>
      <c r="P23" s="103">
        <f t="shared" si="58"/>
        <v>1411.2999999999988</v>
      </c>
      <c r="Q23" s="103">
        <f>Q17+Q21+Q22+Q20</f>
        <v>2247.6</v>
      </c>
      <c r="R23" s="171">
        <f t="shared" si="58"/>
        <v>5357.0999999999976</v>
      </c>
      <c r="S23" s="50">
        <f t="shared" si="58"/>
        <v>1062.4000000000001</v>
      </c>
      <c r="T23" s="50">
        <f t="shared" si="58"/>
        <v>876.10000000000014</v>
      </c>
      <c r="U23" s="50">
        <f t="shared" si="58"/>
        <v>1192.1999999999996</v>
      </c>
      <c r="V23" s="50">
        <f t="shared" si="58"/>
        <v>1101.1999999999987</v>
      </c>
      <c r="W23" s="171">
        <f t="shared" si="58"/>
        <v>4231.8999999999951</v>
      </c>
      <c r="X23" s="103">
        <f>X17+X21+X22+X20</f>
        <v>1134.9999999999991</v>
      </c>
      <c r="Y23" s="50">
        <f t="shared" si="58"/>
        <v>941.38977965041204</v>
      </c>
      <c r="Z23" s="50">
        <f t="shared" si="58"/>
        <v>1443.8305422666131</v>
      </c>
      <c r="AA23" s="50">
        <f>AA17+AA21+AA22+AA20</f>
        <v>1657.0906387923371</v>
      </c>
      <c r="AB23" s="51">
        <f>AB17+AB21+AB22+AB20</f>
        <v>5177.3109607093556</v>
      </c>
      <c r="AC23" s="50">
        <f t="shared" si="58"/>
        <v>1477.6549116948675</v>
      </c>
      <c r="AD23" s="50">
        <f t="shared" si="58"/>
        <v>1082.9722170141326</v>
      </c>
      <c r="AE23" s="50">
        <f t="shared" si="58"/>
        <v>1628.8839731816156</v>
      </c>
      <c r="AF23" s="50">
        <f t="shared" si="58"/>
        <v>1730.4653152673973</v>
      </c>
      <c r="AG23" s="51">
        <f t="shared" si="58"/>
        <v>5919.9764171580082</v>
      </c>
      <c r="AH23" s="50">
        <f t="shared" si="58"/>
        <v>1714.7612925661394</v>
      </c>
      <c r="AI23" s="50">
        <f t="shared" si="58"/>
        <v>1281.0073106456075</v>
      </c>
      <c r="AJ23" s="50">
        <f t="shared" si="58"/>
        <v>1980.6991759360947</v>
      </c>
      <c r="AK23" s="50">
        <f t="shared" si="58"/>
        <v>1964.4983847990866</v>
      </c>
      <c r="AL23" s="51">
        <f t="shared" si="58"/>
        <v>6940.9661639469223</v>
      </c>
      <c r="AM23" s="50">
        <f t="shared" si="58"/>
        <v>1834.8977760755292</v>
      </c>
      <c r="AN23" s="50">
        <f t="shared" si="58"/>
        <v>1353.3851219355117</v>
      </c>
      <c r="AO23" s="50">
        <f t="shared" si="58"/>
        <v>2116.4265709100619</v>
      </c>
      <c r="AP23" s="50">
        <f t="shared" si="58"/>
        <v>2160.4505441672341</v>
      </c>
      <c r="AQ23" s="51">
        <f t="shared" si="58"/>
        <v>7465.1600130883444</v>
      </c>
      <c r="AR23" s="50">
        <f t="shared" si="58"/>
        <v>1964.3269739453763</v>
      </c>
      <c r="AS23" s="50">
        <f t="shared" si="58"/>
        <v>1456.2595552797357</v>
      </c>
      <c r="AT23" s="50">
        <f t="shared" si="58"/>
        <v>2260.5145351469473</v>
      </c>
      <c r="AU23" s="50">
        <f t="shared" si="58"/>
        <v>2307.0274213270491</v>
      </c>
      <c r="AV23" s="51">
        <f t="shared" si="58"/>
        <v>7988.1284856991097</v>
      </c>
    </row>
    <row r="24" spans="1:48" ht="16.2" x14ac:dyDescent="0.45">
      <c r="B24" s="595" t="s">
        <v>5</v>
      </c>
      <c r="C24" s="596"/>
      <c r="D24" s="104">
        <v>205.1</v>
      </c>
      <c r="E24" s="104">
        <v>161.19999999999999</v>
      </c>
      <c r="F24" s="104">
        <v>303.7</v>
      </c>
      <c r="G24" s="104">
        <f t="shared" ref="G24" si="59">H24-F24-E24-D24</f>
        <v>201.60000000000011</v>
      </c>
      <c r="H24" s="173">
        <v>871.6</v>
      </c>
      <c r="I24" s="104">
        <v>258.5</v>
      </c>
      <c r="J24" s="104">
        <v>65.400000000000006</v>
      </c>
      <c r="K24" s="104">
        <v>-133.9</v>
      </c>
      <c r="L24" s="52">
        <v>49.7</v>
      </c>
      <c r="M24" s="53">
        <f>SUM(I24:L24)</f>
        <v>239.7</v>
      </c>
      <c r="N24" s="52">
        <v>186.1</v>
      </c>
      <c r="O24" s="104">
        <v>230.5</v>
      </c>
      <c r="P24" s="104">
        <v>257.10000000000002</v>
      </c>
      <c r="Q24" s="104">
        <v>483</v>
      </c>
      <c r="R24" s="173">
        <f>SUM(N24:Q24)</f>
        <v>1156.7</v>
      </c>
      <c r="S24" s="52">
        <v>246.3</v>
      </c>
      <c r="T24" s="52">
        <v>201.1</v>
      </c>
      <c r="U24" s="52">
        <v>278.5</v>
      </c>
      <c r="V24" s="52">
        <v>222.7</v>
      </c>
      <c r="W24" s="173">
        <f>SUM(S24:V24)</f>
        <v>948.59999999999991</v>
      </c>
      <c r="X24" s="104">
        <v>279.8</v>
      </c>
      <c r="Y24" s="52">
        <f>+Y23*Y143</f>
        <v>230.64049601435096</v>
      </c>
      <c r="Z24" s="52">
        <f>+Z23*Z143</f>
        <v>353.73848285532017</v>
      </c>
      <c r="AA24" s="52">
        <f>+AA23*AA143</f>
        <v>405.98720650412258</v>
      </c>
      <c r="AB24" s="53">
        <f>SUM(X24:AA24)</f>
        <v>1270.1661853737937</v>
      </c>
      <c r="AC24" s="52">
        <f>+AC23*AC143</f>
        <v>362.58689713675659</v>
      </c>
      <c r="AD24" s="52">
        <f>+AD23*AD143</f>
        <v>265.43106360207202</v>
      </c>
      <c r="AE24" s="52">
        <f>+AE23*AE143</f>
        <v>399.26998097724766</v>
      </c>
      <c r="AF24" s="52">
        <f>+AF23*AF143</f>
        <v>424.22083840764105</v>
      </c>
      <c r="AG24" s="53">
        <f>SUM(AC24:AF24)</f>
        <v>1451.5087801237173</v>
      </c>
      <c r="AH24" s="52">
        <f>+AH23*AH143</f>
        <v>420.43464839307433</v>
      </c>
      <c r="AI24" s="52">
        <f>+AI23*AI143</f>
        <v>314.02218370746675</v>
      </c>
      <c r="AJ24" s="52">
        <f>+AJ23*AJ143</f>
        <v>485.56325296944857</v>
      </c>
      <c r="AK24" s="52">
        <f>+AK23*AK143</f>
        <v>481.60574857864634</v>
      </c>
      <c r="AL24" s="53">
        <f>SUM(AH24:AK24)</f>
        <v>1701.625833648636</v>
      </c>
      <c r="AM24" s="52">
        <f>+AM23*AM143</f>
        <v>449.83638672085368</v>
      </c>
      <c r="AN24" s="52">
        <f>+AN23*AN143</f>
        <v>331.78066605332293</v>
      </c>
      <c r="AO24" s="52">
        <f>+AO23*AO143</f>
        <v>518.84557936801116</v>
      </c>
      <c r="AP24" s="52">
        <f>+AP23*AP143</f>
        <v>529.64045588310205</v>
      </c>
      <c r="AQ24" s="53">
        <f>SUM(AM24:AP24)</f>
        <v>1830.1030880252899</v>
      </c>
      <c r="AR24" s="52">
        <f>+AR23*AR143</f>
        <v>481.5593402899483</v>
      </c>
      <c r="AS24" s="52">
        <f>+AS23*AS143</f>
        <v>357.00405505967814</v>
      </c>
      <c r="AT24" s="52">
        <f>+AT23*AT143</f>
        <v>554.16977608602917</v>
      </c>
      <c r="AU24" s="52">
        <f>+AU23*AU143</f>
        <v>565.57270631376468</v>
      </c>
      <c r="AV24" s="53">
        <f>SUM(AR24:AU24)</f>
        <v>1958.3058777494202</v>
      </c>
    </row>
    <row r="25" spans="1:48" x14ac:dyDescent="0.3">
      <c r="A25" s="23"/>
      <c r="B25" s="593" t="s">
        <v>39</v>
      </c>
      <c r="C25" s="594"/>
      <c r="D25" s="103">
        <f t="shared" ref="D25:AV25" si="60">+D23-D24</f>
        <v>760.40000000000043</v>
      </c>
      <c r="E25" s="103">
        <f t="shared" si="60"/>
        <v>658.79999999999973</v>
      </c>
      <c r="F25" s="103">
        <f t="shared" si="60"/>
        <v>1373.200000000001</v>
      </c>
      <c r="G25" s="103">
        <f t="shared" si="60"/>
        <v>802.20000000000095</v>
      </c>
      <c r="H25" s="171">
        <f t="shared" si="60"/>
        <v>3594.6000000000054</v>
      </c>
      <c r="I25" s="103">
        <f t="shared" si="60"/>
        <v>885.29999999999882</v>
      </c>
      <c r="J25" s="103">
        <f t="shared" si="60"/>
        <v>324.79999999999905</v>
      </c>
      <c r="K25" s="103">
        <f t="shared" si="60"/>
        <v>-678.09999999999923</v>
      </c>
      <c r="L25" s="50">
        <f t="shared" si="60"/>
        <v>392.70000000000044</v>
      </c>
      <c r="M25" s="51">
        <f t="shared" si="60"/>
        <v>924.70000000000437</v>
      </c>
      <c r="N25" s="50">
        <f t="shared" si="60"/>
        <v>622.20000000000016</v>
      </c>
      <c r="O25" s="103">
        <f t="shared" si="60"/>
        <v>659.4</v>
      </c>
      <c r="P25" s="103">
        <f t="shared" si="60"/>
        <v>1154.1999999999989</v>
      </c>
      <c r="Q25" s="103">
        <f>+Q23-Q24</f>
        <v>1764.6</v>
      </c>
      <c r="R25" s="171">
        <f t="shared" si="60"/>
        <v>4200.3999999999978</v>
      </c>
      <c r="S25" s="50">
        <f t="shared" si="60"/>
        <v>816.10000000000014</v>
      </c>
      <c r="T25" s="50">
        <f t="shared" si="60"/>
        <v>675.00000000000011</v>
      </c>
      <c r="U25" s="50">
        <f t="shared" si="60"/>
        <v>913.69999999999959</v>
      </c>
      <c r="V25" s="50">
        <f t="shared" si="60"/>
        <v>878.49999999999864</v>
      </c>
      <c r="W25" s="171">
        <f t="shared" si="60"/>
        <v>3283.2999999999952</v>
      </c>
      <c r="X25" s="103">
        <f>+X23-X24</f>
        <v>855.19999999999914</v>
      </c>
      <c r="Y25" s="50">
        <f t="shared" si="60"/>
        <v>710.74928363606114</v>
      </c>
      <c r="Z25" s="50">
        <f t="shared" si="60"/>
        <v>1090.0920594112929</v>
      </c>
      <c r="AA25" s="50">
        <f>+AA23-AA24</f>
        <v>1251.1034322882147</v>
      </c>
      <c r="AB25" s="51">
        <f>+AB23-AB24</f>
        <v>3907.1447753355619</v>
      </c>
      <c r="AC25" s="50">
        <f t="shared" si="60"/>
        <v>1115.0680145581109</v>
      </c>
      <c r="AD25" s="50">
        <f t="shared" si="60"/>
        <v>817.54115341206057</v>
      </c>
      <c r="AE25" s="50">
        <f t="shared" si="60"/>
        <v>1229.6139922043681</v>
      </c>
      <c r="AF25" s="103">
        <f t="shared" si="60"/>
        <v>1306.2444768597561</v>
      </c>
      <c r="AG25" s="171">
        <f t="shared" si="60"/>
        <v>4468.4676370342913</v>
      </c>
      <c r="AH25" s="103">
        <f t="shared" si="60"/>
        <v>1294.3266441730652</v>
      </c>
      <c r="AI25" s="103">
        <f t="shared" si="60"/>
        <v>966.98512693814075</v>
      </c>
      <c r="AJ25" s="103">
        <f t="shared" si="60"/>
        <v>1495.1359229666461</v>
      </c>
      <c r="AK25" s="103">
        <f t="shared" si="60"/>
        <v>1482.8926362204402</v>
      </c>
      <c r="AL25" s="51">
        <f t="shared" si="60"/>
        <v>5239.3403302982861</v>
      </c>
      <c r="AM25" s="103">
        <f t="shared" si="60"/>
        <v>1385.0613893546756</v>
      </c>
      <c r="AN25" s="103">
        <f t="shared" si="60"/>
        <v>1021.6044558821889</v>
      </c>
      <c r="AO25" s="103">
        <f t="shared" si="60"/>
        <v>1597.5809915420507</v>
      </c>
      <c r="AP25" s="103">
        <f t="shared" si="60"/>
        <v>1630.810088284132</v>
      </c>
      <c r="AQ25" s="51">
        <f t="shared" si="60"/>
        <v>5635.0569250630542</v>
      </c>
      <c r="AR25" s="103">
        <f t="shared" si="60"/>
        <v>1482.767633655428</v>
      </c>
      <c r="AS25" s="103">
        <f t="shared" si="60"/>
        <v>1099.2555002200575</v>
      </c>
      <c r="AT25" s="103">
        <f t="shared" si="60"/>
        <v>1706.344759060918</v>
      </c>
      <c r="AU25" s="103">
        <f t="shared" si="60"/>
        <v>1741.4547150132844</v>
      </c>
      <c r="AV25" s="51">
        <f t="shared" si="60"/>
        <v>6029.822607949689</v>
      </c>
    </row>
    <row r="26" spans="1:48" ht="16.2" x14ac:dyDescent="0.45">
      <c r="A26" s="23"/>
      <c r="B26" s="210" t="s">
        <v>40</v>
      </c>
      <c r="C26" s="201"/>
      <c r="D26" s="104">
        <v>-0.2</v>
      </c>
      <c r="E26" s="104">
        <v>-4.4000000000000004</v>
      </c>
      <c r="F26" s="104">
        <v>0.4</v>
      </c>
      <c r="G26" s="104">
        <f t="shared" ref="G26" si="61">H26-F26-E26-D26</f>
        <v>-0.39999999999999963</v>
      </c>
      <c r="H26" s="173">
        <v>-4.5999999999999996</v>
      </c>
      <c r="I26" s="104">
        <v>-0.4</v>
      </c>
      <c r="J26" s="104">
        <v>-3.6</v>
      </c>
      <c r="K26" s="104">
        <v>0.3</v>
      </c>
      <c r="L26" s="104">
        <v>0.1</v>
      </c>
      <c r="M26" s="173">
        <f>SUM(I26:L26)</f>
        <v>-3.6</v>
      </c>
      <c r="N26" s="104">
        <v>0</v>
      </c>
      <c r="O26" s="104">
        <v>0</v>
      </c>
      <c r="P26" s="104">
        <v>0.8</v>
      </c>
      <c r="Q26" s="104">
        <v>0.2</v>
      </c>
      <c r="R26" s="173">
        <f>SUM(N26:Q26)</f>
        <v>1</v>
      </c>
      <c r="S26" s="104">
        <v>0.2</v>
      </c>
      <c r="T26" s="104">
        <f>AVERAGE(S26,Q26,P26,O26)</f>
        <v>0.30000000000000004</v>
      </c>
      <c r="U26" s="104">
        <v>0.8</v>
      </c>
      <c r="V26" s="104">
        <v>0.49999999999999983</v>
      </c>
      <c r="W26" s="173">
        <f>SUM(S26:V26)</f>
        <v>1.7999999999999998</v>
      </c>
      <c r="X26" s="104">
        <v>0</v>
      </c>
      <c r="Y26" s="104">
        <f>AVERAGE(X26,V26,U26,T26)</f>
        <v>0.39999999999999997</v>
      </c>
      <c r="Z26" s="104">
        <f>AVERAGE(Y26,X26,V26,U26)</f>
        <v>0.42499999999999993</v>
      </c>
      <c r="AA26" s="104">
        <f>AVERAGE(Z26,Y26,X26,V26)</f>
        <v>0.33124999999999993</v>
      </c>
      <c r="AB26" s="173">
        <f>SUM(X26:AA26)</f>
        <v>1.15625</v>
      </c>
      <c r="AC26" s="104">
        <f>AVERAGE(AA26,Z26,Y26,X26)</f>
        <v>0.28906249999999994</v>
      </c>
      <c r="AD26" s="104">
        <f>AVERAGE(AC26,AA26,Z26,Y26)</f>
        <v>0.36132812499999989</v>
      </c>
      <c r="AE26" s="104">
        <f>AVERAGE(AD26,AC26,AA26,Z26)</f>
        <v>0.35166015624999991</v>
      </c>
      <c r="AF26" s="104">
        <f>AVERAGE(AE26,AD26,AC26,AA26)</f>
        <v>0.33332519531249993</v>
      </c>
      <c r="AG26" s="173">
        <f>SUM(AC26:AF26)</f>
        <v>1.3353759765624997</v>
      </c>
      <c r="AH26" s="104">
        <f>AVERAGE(AF26,AE26,AD26,AC26)</f>
        <v>0.33384399414062493</v>
      </c>
      <c r="AI26" s="104">
        <f>AVERAGE(AH26,AF26,AE26,AD26)</f>
        <v>0.34503936767578114</v>
      </c>
      <c r="AJ26" s="104">
        <f>AVERAGE(AI26,AH26,AF26,AE26)</f>
        <v>0.34096717834472645</v>
      </c>
      <c r="AK26" s="104">
        <f>AVERAGE(AJ26,AI26,AH26,AF26)</f>
        <v>0.33829393386840811</v>
      </c>
      <c r="AL26" s="53">
        <f>SUM(AH26:AK26)</f>
        <v>1.3581444740295407</v>
      </c>
      <c r="AM26" s="104">
        <f>AVERAGE(AK26,AJ26,AI26,AH26)</f>
        <v>0.33953611850738519</v>
      </c>
      <c r="AN26" s="104">
        <f>AVERAGE(AM26,AK26,AJ26,AI26)</f>
        <v>0.34095914959907525</v>
      </c>
      <c r="AO26" s="104">
        <f>AVERAGE(AN26,AM26,AK26,AJ26)</f>
        <v>0.33993909507989872</v>
      </c>
      <c r="AP26" s="104">
        <f>AVERAGE(AO26,AN26,AM26,AK26)</f>
        <v>0.33968207426369179</v>
      </c>
      <c r="AQ26" s="53">
        <f>SUM(AM26:AP26)</f>
        <v>1.360116437450051</v>
      </c>
      <c r="AR26" s="104">
        <f>AVERAGE(AP26,AO26,AN26,AM26)</f>
        <v>0.34002910936251274</v>
      </c>
      <c r="AS26" s="104">
        <f>AVERAGE(AR26,AP26,AO26,AN26)</f>
        <v>0.34015235707629465</v>
      </c>
      <c r="AT26" s="104">
        <f>AVERAGE(AS26,AR26,AP26,AO26)</f>
        <v>0.3399506589455995</v>
      </c>
      <c r="AU26" s="104">
        <f>AVERAGE(AT26,AS26,AR26,AP26)</f>
        <v>0.33995354991202464</v>
      </c>
      <c r="AV26" s="53">
        <f>SUM(AR26:AU26)</f>
        <v>1.3600856752964314</v>
      </c>
    </row>
    <row r="27" spans="1:48" s="8" customFormat="1" x14ac:dyDescent="0.3">
      <c r="A27" s="20"/>
      <c r="B27" s="209" t="s">
        <v>16</v>
      </c>
      <c r="C27" s="202"/>
      <c r="D27" s="103">
        <f t="shared" ref="D27:AV27" si="62">+D25-D26</f>
        <v>760.60000000000048</v>
      </c>
      <c r="E27" s="103">
        <f t="shared" si="62"/>
        <v>663.1999999999997</v>
      </c>
      <c r="F27" s="103">
        <f t="shared" si="62"/>
        <v>1372.8000000000009</v>
      </c>
      <c r="G27" s="103">
        <f t="shared" si="62"/>
        <v>802.60000000000093</v>
      </c>
      <c r="H27" s="171">
        <f t="shared" si="62"/>
        <v>3599.2000000000053</v>
      </c>
      <c r="I27" s="103">
        <f t="shared" si="62"/>
        <v>885.69999999999879</v>
      </c>
      <c r="J27" s="103">
        <f t="shared" si="62"/>
        <v>328.39999999999907</v>
      </c>
      <c r="K27" s="103">
        <f t="shared" si="62"/>
        <v>-678.39999999999918</v>
      </c>
      <c r="L27" s="50">
        <f t="shared" si="62"/>
        <v>392.60000000000042</v>
      </c>
      <c r="M27" s="51">
        <f t="shared" si="62"/>
        <v>928.30000000000439</v>
      </c>
      <c r="N27" s="50">
        <f t="shared" si="62"/>
        <v>622.20000000000016</v>
      </c>
      <c r="O27" s="103">
        <f t="shared" si="62"/>
        <v>659.4</v>
      </c>
      <c r="P27" s="103">
        <f t="shared" si="62"/>
        <v>1153.399999999999</v>
      </c>
      <c r="Q27" s="103">
        <f t="shared" si="62"/>
        <v>1764.3999999999999</v>
      </c>
      <c r="R27" s="171">
        <f t="shared" si="62"/>
        <v>4199.3999999999978</v>
      </c>
      <c r="S27" s="50">
        <f t="shared" si="62"/>
        <v>815.90000000000009</v>
      </c>
      <c r="T27" s="50">
        <f t="shared" si="62"/>
        <v>674.70000000000016</v>
      </c>
      <c r="U27" s="50">
        <f t="shared" si="62"/>
        <v>912.89999999999964</v>
      </c>
      <c r="V27" s="103">
        <f t="shared" si="62"/>
        <v>877.99999999999864</v>
      </c>
      <c r="W27" s="171">
        <f t="shared" si="62"/>
        <v>3281.499999999995</v>
      </c>
      <c r="X27" s="103">
        <f>+X25-X26</f>
        <v>855.19999999999914</v>
      </c>
      <c r="Y27" s="50">
        <f t="shared" si="62"/>
        <v>710.34928363606116</v>
      </c>
      <c r="Z27" s="50">
        <f t="shared" si="62"/>
        <v>1089.6670594112929</v>
      </c>
      <c r="AA27" s="50">
        <f>+AA25-AA26</f>
        <v>1250.7721822882147</v>
      </c>
      <c r="AB27" s="51">
        <f>+AB25-AB26</f>
        <v>3905.9885253355619</v>
      </c>
      <c r="AC27" s="50">
        <f t="shared" si="62"/>
        <v>1114.7789520581109</v>
      </c>
      <c r="AD27" s="50">
        <f t="shared" si="62"/>
        <v>817.17982528706057</v>
      </c>
      <c r="AE27" s="50">
        <f t="shared" si="62"/>
        <v>1229.262332048118</v>
      </c>
      <c r="AF27" s="50">
        <f t="shared" si="62"/>
        <v>1305.9111516644437</v>
      </c>
      <c r="AG27" s="51">
        <f t="shared" si="62"/>
        <v>4467.132261057729</v>
      </c>
      <c r="AH27" s="50">
        <f t="shared" si="62"/>
        <v>1293.9928001789247</v>
      </c>
      <c r="AI27" s="50">
        <f t="shared" si="62"/>
        <v>966.64008757046497</v>
      </c>
      <c r="AJ27" s="50">
        <f t="shared" si="62"/>
        <v>1494.7949557883014</v>
      </c>
      <c r="AK27" s="50">
        <f t="shared" si="62"/>
        <v>1482.5543422865717</v>
      </c>
      <c r="AL27" s="51">
        <f t="shared" si="62"/>
        <v>5237.9821858242567</v>
      </c>
      <c r="AM27" s="50">
        <f t="shared" si="62"/>
        <v>1384.7218532361683</v>
      </c>
      <c r="AN27" s="50">
        <f t="shared" si="62"/>
        <v>1021.2634967325898</v>
      </c>
      <c r="AO27" s="50">
        <f t="shared" si="62"/>
        <v>1597.2410524469708</v>
      </c>
      <c r="AP27" s="50">
        <f t="shared" si="62"/>
        <v>1630.4704062098683</v>
      </c>
      <c r="AQ27" s="51">
        <f t="shared" si="62"/>
        <v>5633.6968086256038</v>
      </c>
      <c r="AR27" s="50">
        <f t="shared" si="62"/>
        <v>1482.4276045460654</v>
      </c>
      <c r="AS27" s="50">
        <f t="shared" si="62"/>
        <v>1098.9153478629812</v>
      </c>
      <c r="AT27" s="50">
        <f t="shared" si="62"/>
        <v>1706.0048084019725</v>
      </c>
      <c r="AU27" s="50">
        <f t="shared" si="62"/>
        <v>1741.1147614633724</v>
      </c>
      <c r="AV27" s="51">
        <f t="shared" si="62"/>
        <v>6028.4625222743925</v>
      </c>
    </row>
    <row r="28" spans="1:48" s="8" customFormat="1" ht="16.2" x14ac:dyDescent="0.45">
      <c r="A28" s="20"/>
      <c r="B28" s="87" t="s">
        <v>72</v>
      </c>
      <c r="C28" s="84"/>
      <c r="D28" s="109">
        <f t="shared" ref="D28:AA28" si="63">-D171-D172</f>
        <v>41.449999999998646</v>
      </c>
      <c r="E28" s="109">
        <f t="shared" si="63"/>
        <v>-54.179999999999545</v>
      </c>
      <c r="F28" s="109">
        <f t="shared" si="63"/>
        <v>-544.16000000000076</v>
      </c>
      <c r="G28" s="109">
        <f t="shared" si="63"/>
        <v>-30</v>
      </c>
      <c r="H28" s="178">
        <f>SUM(D28:G28)</f>
        <v>-586.89000000000169</v>
      </c>
      <c r="I28" s="109">
        <f t="shared" si="63"/>
        <v>-11</v>
      </c>
      <c r="J28" s="109">
        <f t="shared" si="63"/>
        <v>-23</v>
      </c>
      <c r="K28" s="109">
        <f t="shared" si="63"/>
        <v>-35.055</v>
      </c>
      <c r="L28" s="91">
        <f>-L171-L172</f>
        <v>-50.810000000000372</v>
      </c>
      <c r="M28" s="92">
        <f>SUM(I28:L28)</f>
        <v>-119.86500000000038</v>
      </c>
      <c r="N28" s="109">
        <f t="shared" si="63"/>
        <v>-35.49</v>
      </c>
      <c r="O28" s="109">
        <f t="shared" si="63"/>
        <v>-11.847999999999999</v>
      </c>
      <c r="P28" s="109">
        <f t="shared" si="63"/>
        <v>-11.862</v>
      </c>
      <c r="Q28" s="109">
        <f t="shared" si="63"/>
        <v>-696.10940000000005</v>
      </c>
      <c r="R28" s="178">
        <f>SUM(N28:Q28)</f>
        <v>-755.3094000000001</v>
      </c>
      <c r="S28" s="91">
        <f t="shared" si="63"/>
        <v>-3.9480000000003299</v>
      </c>
      <c r="T28" s="91">
        <f t="shared" si="63"/>
        <v>-46.156000000000006</v>
      </c>
      <c r="U28" s="91">
        <f t="shared" si="63"/>
        <v>-23.02</v>
      </c>
      <c r="V28" s="109">
        <f t="shared" si="63"/>
        <v>-23.05</v>
      </c>
      <c r="W28" s="178">
        <f>SUM(S28:V28)</f>
        <v>-96.174000000000333</v>
      </c>
      <c r="X28" s="109">
        <f t="shared" si="63"/>
        <v>0</v>
      </c>
      <c r="Y28" s="91">
        <f t="shared" si="63"/>
        <v>0</v>
      </c>
      <c r="Z28" s="91">
        <f t="shared" si="63"/>
        <v>0</v>
      </c>
      <c r="AA28" s="91">
        <f t="shared" si="63"/>
        <v>0</v>
      </c>
      <c r="AB28" s="92">
        <f>SUM(X28:AA28)</f>
        <v>0</v>
      </c>
      <c r="AC28" s="91">
        <f t="shared" ref="AC28:AF28" si="64">-AC171-AC172</f>
        <v>0</v>
      </c>
      <c r="AD28" s="91">
        <f t="shared" si="64"/>
        <v>0</v>
      </c>
      <c r="AE28" s="91">
        <f t="shared" si="64"/>
        <v>0</v>
      </c>
      <c r="AF28" s="91">
        <f t="shared" si="64"/>
        <v>0</v>
      </c>
      <c r="AG28" s="92">
        <f>SUM(AC28:AF28)</f>
        <v>0</v>
      </c>
      <c r="AH28" s="91">
        <f t="shared" ref="AH28:AK28" si="65">-AH171-AH172</f>
        <v>0</v>
      </c>
      <c r="AI28" s="91">
        <f t="shared" si="65"/>
        <v>0</v>
      </c>
      <c r="AJ28" s="91">
        <f t="shared" si="65"/>
        <v>0</v>
      </c>
      <c r="AK28" s="91">
        <f t="shared" si="65"/>
        <v>0</v>
      </c>
      <c r="AL28" s="92">
        <f>SUM(AH28:AK28)</f>
        <v>0</v>
      </c>
      <c r="AM28" s="91">
        <f t="shared" ref="AM28:AP28" si="66">-AM171-AM172</f>
        <v>0</v>
      </c>
      <c r="AN28" s="91">
        <f t="shared" si="66"/>
        <v>0</v>
      </c>
      <c r="AO28" s="91">
        <f t="shared" si="66"/>
        <v>0</v>
      </c>
      <c r="AP28" s="91">
        <f t="shared" si="66"/>
        <v>0</v>
      </c>
      <c r="AQ28" s="92">
        <f>SUM(AM28:AP28)</f>
        <v>0</v>
      </c>
      <c r="AR28" s="91">
        <f t="shared" ref="AR28:AU28" si="67">-AR171-AR172</f>
        <v>0</v>
      </c>
      <c r="AS28" s="91">
        <f t="shared" si="67"/>
        <v>0</v>
      </c>
      <c r="AT28" s="91">
        <f t="shared" si="67"/>
        <v>0</v>
      </c>
      <c r="AU28" s="91">
        <f t="shared" si="67"/>
        <v>0</v>
      </c>
      <c r="AV28" s="92">
        <f>SUM(AR28:AU28)</f>
        <v>0</v>
      </c>
    </row>
    <row r="29" spans="1:48" s="8" customFormat="1" x14ac:dyDescent="0.3">
      <c r="A29" s="20"/>
      <c r="B29" s="85" t="s">
        <v>73</v>
      </c>
      <c r="C29" s="86"/>
      <c r="D29" s="108">
        <f t="shared" ref="D29:AV29" si="68">+D19+D20+D21+D22-D24-D26+D28</f>
        <v>940.04999999999916</v>
      </c>
      <c r="E29" s="108">
        <f t="shared" si="68"/>
        <v>750.42000000000007</v>
      </c>
      <c r="F29" s="108">
        <f t="shared" si="68"/>
        <v>953.94</v>
      </c>
      <c r="G29" s="108">
        <f t="shared" si="68"/>
        <v>850.00000000000102</v>
      </c>
      <c r="H29" s="177">
        <f t="shared" si="68"/>
        <v>3494.4100000000039</v>
      </c>
      <c r="I29" s="108">
        <f t="shared" si="68"/>
        <v>946.2999999999987</v>
      </c>
      <c r="J29" s="108">
        <f t="shared" si="68"/>
        <v>372.19999999999902</v>
      </c>
      <c r="K29" s="108">
        <f t="shared" si="68"/>
        <v>-539.7749999999993</v>
      </c>
      <c r="L29" s="80">
        <f>+L19+L20+L21+L22-L24-L26+L28</f>
        <v>601.29</v>
      </c>
      <c r="M29" s="81">
        <f t="shared" si="68"/>
        <v>1380.0150000000035</v>
      </c>
      <c r="N29" s="108">
        <f t="shared" si="68"/>
        <v>721.61000000000024</v>
      </c>
      <c r="O29" s="108">
        <f t="shared" si="68"/>
        <v>735.75199999999995</v>
      </c>
      <c r="P29" s="108">
        <f t="shared" si="68"/>
        <v>1193.2379999999987</v>
      </c>
      <c r="Q29" s="108">
        <f t="shared" si="68"/>
        <v>1183.4905999999996</v>
      </c>
      <c r="R29" s="177">
        <f t="shared" si="68"/>
        <v>3834.0905999999977</v>
      </c>
      <c r="S29" s="80">
        <f t="shared" si="68"/>
        <v>847.15199999999982</v>
      </c>
      <c r="T29" s="80">
        <f t="shared" si="68"/>
        <v>676.04400000000032</v>
      </c>
      <c r="U29" s="80">
        <f t="shared" si="68"/>
        <v>967.37999999999965</v>
      </c>
      <c r="V29" s="108">
        <f t="shared" si="68"/>
        <v>932.04999999999859</v>
      </c>
      <c r="W29" s="177">
        <f t="shared" si="68"/>
        <v>3422.6259999999947</v>
      </c>
      <c r="X29" s="108">
        <f t="shared" si="68"/>
        <v>861.29999999999905</v>
      </c>
      <c r="Y29" s="80">
        <f t="shared" si="68"/>
        <v>710.64928363606111</v>
      </c>
      <c r="Z29" s="80">
        <f t="shared" si="68"/>
        <v>1089.9670594112929</v>
      </c>
      <c r="AA29" s="80">
        <f t="shared" si="68"/>
        <v>1251.0721822882144</v>
      </c>
      <c r="AB29" s="81">
        <f t="shared" si="68"/>
        <v>3912.9885253355619</v>
      </c>
      <c r="AC29" s="80">
        <f t="shared" si="68"/>
        <v>1115.0789520581109</v>
      </c>
      <c r="AD29" s="80">
        <f t="shared" si="68"/>
        <v>817.47982528706052</v>
      </c>
      <c r="AE29" s="80">
        <f t="shared" si="68"/>
        <v>1229.5623320481177</v>
      </c>
      <c r="AF29" s="80">
        <f t="shared" si="68"/>
        <v>1306.2111516644434</v>
      </c>
      <c r="AG29" s="81">
        <f t="shared" si="68"/>
        <v>4468.3322610577279</v>
      </c>
      <c r="AH29" s="80">
        <f t="shared" si="68"/>
        <v>1294.2928001789244</v>
      </c>
      <c r="AI29" s="80">
        <f t="shared" si="68"/>
        <v>966.94008757046515</v>
      </c>
      <c r="AJ29" s="80">
        <f t="shared" si="68"/>
        <v>1495.0949557883016</v>
      </c>
      <c r="AK29" s="80">
        <f t="shared" si="68"/>
        <v>1482.8543422865719</v>
      </c>
      <c r="AL29" s="81">
        <f t="shared" si="68"/>
        <v>5239.1821858242565</v>
      </c>
      <c r="AM29" s="80">
        <f t="shared" si="68"/>
        <v>1385.0218532361685</v>
      </c>
      <c r="AN29" s="80">
        <f t="shared" si="68"/>
        <v>1021.5634967325898</v>
      </c>
      <c r="AO29" s="80">
        <f t="shared" si="68"/>
        <v>1597.541052446971</v>
      </c>
      <c r="AP29" s="80">
        <f t="shared" si="68"/>
        <v>1630.7704062098685</v>
      </c>
      <c r="AQ29" s="81">
        <f t="shared" si="68"/>
        <v>5634.8968086256045</v>
      </c>
      <c r="AR29" s="80">
        <f t="shared" si="68"/>
        <v>1482.7276045460655</v>
      </c>
      <c r="AS29" s="80">
        <f t="shared" si="68"/>
        <v>1099.2153478629812</v>
      </c>
      <c r="AT29" s="80">
        <f t="shared" si="68"/>
        <v>1706.3048084019727</v>
      </c>
      <c r="AU29" s="80">
        <f t="shared" si="68"/>
        <v>1741.4147614633725</v>
      </c>
      <c r="AV29" s="81">
        <f t="shared" si="68"/>
        <v>6029.6625222743933</v>
      </c>
    </row>
    <row r="30" spans="1:48" x14ac:dyDescent="0.3">
      <c r="B30" s="580" t="s">
        <v>0</v>
      </c>
      <c r="C30" s="581"/>
      <c r="D30" s="101">
        <v>1242</v>
      </c>
      <c r="E30" s="101">
        <v>1239.2</v>
      </c>
      <c r="F30" s="101">
        <v>1211</v>
      </c>
      <c r="G30" s="101">
        <v>1210.7904210526317</v>
      </c>
      <c r="H30" s="169">
        <v>1221.2</v>
      </c>
      <c r="I30" s="101">
        <v>1180.4000000000001</v>
      </c>
      <c r="J30" s="101">
        <v>1171.8</v>
      </c>
      <c r="K30" s="101">
        <v>1168.5</v>
      </c>
      <c r="L30" s="101">
        <v>1167.3874645009873</v>
      </c>
      <c r="M30" s="17">
        <f>+(I27/M27*I30)+(J27/M27*J30)+(K27/M27*K30)+(L27/M27*L30)</f>
        <v>1180.550811766758</v>
      </c>
      <c r="N30" s="101">
        <v>1175</v>
      </c>
      <c r="O30" s="101">
        <v>1177.5</v>
      </c>
      <c r="P30" s="101">
        <v>1178.5</v>
      </c>
      <c r="Q30" s="101">
        <v>1179.5008492569002</v>
      </c>
      <c r="R30" s="169">
        <f>+(N27/R27*N30)+(O27/R27*O30)+(P27/R27*P30)+(Q27/R27*Q30)</f>
        <v>1178.2449155662418</v>
      </c>
      <c r="S30" s="16">
        <v>1169.5999999999999</v>
      </c>
      <c r="T30" s="16">
        <v>1149.2</v>
      </c>
      <c r="U30" s="16">
        <v>1147</v>
      </c>
      <c r="V30" s="101">
        <v>1147.8558123647915</v>
      </c>
      <c r="W30" s="169">
        <f>+(S27/W27*S30)+(T27/W27*T30)+(U27/W27*U30)+(V27/W27*V30)</f>
        <v>1153.3004977163769</v>
      </c>
      <c r="X30" s="101">
        <v>1148.5</v>
      </c>
      <c r="Y30" s="16">
        <f>X30*(1+Y151)-Y155-Y158-Y161</f>
        <v>1149.797</v>
      </c>
      <c r="Z30" s="16">
        <f>Y30*(1+Z151)-Z155-Z158-Z161</f>
        <v>1151.0965940000001</v>
      </c>
      <c r="AA30" s="16">
        <f>Z30*(1+AA151)-AA155-AA158-AA161</f>
        <v>1152.3987871880001</v>
      </c>
      <c r="AB30" s="17">
        <f>+(X27/AB27*X30)+(Y27/AB27*Y30)+(Z27/AB27*Z30)+(AA27/AB27*AA30)</f>
        <v>1150.708721421684</v>
      </c>
      <c r="AC30" s="16">
        <f>AA30*(1+AC151)-AC155-AC158-AC161</f>
        <v>1153.8162044200692</v>
      </c>
      <c r="AD30" s="16">
        <f>AC30*(1+AD151)-AD155-AD158-AD161</f>
        <v>1155.2364564866025</v>
      </c>
      <c r="AE30" s="16">
        <f>AD30*(1+AE151)-AE155-AE158-AE161</f>
        <v>1156.6595490572688</v>
      </c>
      <c r="AF30" s="16">
        <f>AE30*(1+AF151)-AF155-AF158-AF161</f>
        <v>1158.0854878130765</v>
      </c>
      <c r="AG30" s="17">
        <f>+(AC27/AG27*AC30)+(AD27/AG27*AD30)+(AE27/AG27*AE30)+(AF27/AG27*AF30)</f>
        <v>1156.1065155167144</v>
      </c>
      <c r="AH30" s="16">
        <f>AF30*(1+AH151)-AH155-AH158-AH161</f>
        <v>1159.5565346531723</v>
      </c>
      <c r="AI30" s="16">
        <f>AH30*(1+AI151)-AI155-AI158-AI161</f>
        <v>1161.0305235869482</v>
      </c>
      <c r="AJ30" s="16">
        <f>AI30*(1+AJ151)-AJ155-AJ158-AJ161</f>
        <v>1117.3609291785554</v>
      </c>
      <c r="AK30" s="16">
        <f>AJ30*(1+AK151)-AK155-AK158-AK161</f>
        <v>1073.6039955813455</v>
      </c>
      <c r="AL30" s="17">
        <f>+(AH27/AL27*AH30)+(AI27/AL27*AI30)+(AJ27/AL27*AJ30)+(AK27/AL27*AK30)</f>
        <v>1123.4589946556018</v>
      </c>
      <c r="AM30" s="16">
        <f>AK30*(1+AM151)-AM155-AM158-AM161</f>
        <v>1073.7239868294982</v>
      </c>
      <c r="AN30" s="16">
        <f>AM30*(1+AN151)-AN155-AN158-AN161</f>
        <v>1073.8442180601471</v>
      </c>
      <c r="AO30" s="16">
        <f>AN30*(1+AO151)-AO155-AO158-AO161</f>
        <v>1073.9646897532573</v>
      </c>
      <c r="AP30" s="16">
        <f>AO30*(1+AP151)-AP155-AP158-AP161</f>
        <v>1074.0854023897537</v>
      </c>
      <c r="AQ30" s="17">
        <f>+(AM27/AQ27*AM30)+(AN27/AQ27*AN30)+(AO27/AQ27*AO30)+(AP27/AQ27*AP30)</f>
        <v>1073.918623809599</v>
      </c>
      <c r="AR30" s="16">
        <f>AP30*(1+AR151)-AR155-AR158-AR161</f>
        <v>1074.2461057994251</v>
      </c>
      <c r="AS30" s="16">
        <f>AR30*(1+AS151)-AS155-AS158-AS161</f>
        <v>1074.4071306159158</v>
      </c>
      <c r="AT30" s="16">
        <f>AS30*(1+AT151)-AT155-AT158-AT161</f>
        <v>1074.5684774820395</v>
      </c>
      <c r="AU30" s="16">
        <f>AT30*(1+AU151)-AU155-AU158-AU161</f>
        <v>1074.7301470418954</v>
      </c>
      <c r="AV30" s="17">
        <f>+(AR27/AV27*AR30)+(AS27/AV27*AS30)+(AT27/AV27*AT30)+(AU27/AV27*AU30)</f>
        <v>1074.5064858929368</v>
      </c>
    </row>
    <row r="31" spans="1:48" ht="15.75" customHeight="1" x14ac:dyDescent="0.3">
      <c r="B31" s="580" t="s">
        <v>1</v>
      </c>
      <c r="C31" s="581"/>
      <c r="D31" s="101">
        <v>1253.4000000000001</v>
      </c>
      <c r="E31" s="101">
        <v>1250.7</v>
      </c>
      <c r="F31" s="101">
        <v>1223</v>
      </c>
      <c r="G31" s="101">
        <v>1222.8144210526316</v>
      </c>
      <c r="H31" s="169">
        <v>1233.2</v>
      </c>
      <c r="I31" s="101">
        <v>1191</v>
      </c>
      <c r="J31" s="101">
        <v>1180.7</v>
      </c>
      <c r="K31" s="101">
        <v>1168.5</v>
      </c>
      <c r="L31" s="101">
        <v>1179</v>
      </c>
      <c r="M31" s="17">
        <f>+(I27/M27*I31)+(J27/M27*J31)+(K27/M27*K31)+(L27/M27*L31)</f>
        <v>1198.7240978132002</v>
      </c>
      <c r="N31" s="101">
        <v>1183</v>
      </c>
      <c r="O31" s="101">
        <v>1184.8</v>
      </c>
      <c r="P31" s="101">
        <v>1186.2</v>
      </c>
      <c r="Q31" s="101">
        <v>1187.9000000000001</v>
      </c>
      <c r="R31" s="169">
        <f>+(N27/R27*N31)+(O27/R27*O31)+(P27/R27*P31)+(Q27/R27*Q31)</f>
        <v>1186.2203076629999</v>
      </c>
      <c r="S31" s="16">
        <v>1176.5999999999999</v>
      </c>
      <c r="T31" s="16">
        <v>1153.9000000000001</v>
      </c>
      <c r="U31" s="16">
        <v>1151</v>
      </c>
      <c r="V31" s="16">
        <v>1152.5</v>
      </c>
      <c r="W31" s="169">
        <f>+(S27/W27*S31)+(T27/W27*T31)+(U27/W27*U31)+(V27/W27*V31)</f>
        <v>1158.3626908426036</v>
      </c>
      <c r="X31" s="101">
        <v>1152.9000000000001</v>
      </c>
      <c r="Y31" s="16">
        <f>X31*(1+Y152)-Y155-Y158-Y161</f>
        <v>1153.0528999999999</v>
      </c>
      <c r="Z31" s="16">
        <f>Y31*(1+Z152)-Z155-Z158-Z161</f>
        <v>1153.2059528999998</v>
      </c>
      <c r="AA31" s="16">
        <f>Z31*(1+AA152)-AA155-AA158-AA161</f>
        <v>1153.3591588528998</v>
      </c>
      <c r="AB31" s="17">
        <f>+(X27/AB27*X31)+(Y27/AB27*Y31)+(Z27/AB27*Z31)+(AA27/AB27*AA31)</f>
        <v>1153.1601908111616</v>
      </c>
      <c r="AC31" s="16">
        <f>AA31*(1+AC152)-AC155-AC158-AC161</f>
        <v>1153.6251376694456</v>
      </c>
      <c r="AD31" s="16">
        <f>AC31*(1+AD152)-AD155-AD158-AD161</f>
        <v>1153.891382464808</v>
      </c>
      <c r="AE31" s="16">
        <f>AD31*(1+AE152)-AE155-AE158-AE161</f>
        <v>1154.1578935049658</v>
      </c>
      <c r="AF31" s="16">
        <f>AE31*(1+AF152)-AF155-AF158-AF161</f>
        <v>1154.4246710561638</v>
      </c>
      <c r="AG31" s="17">
        <f>+(AC27/AG27*AC31)+(AD27/AG27*AD31)+(AE27/AG27*AE31)+(AF27/AG27*AF31)</f>
        <v>1154.054179392409</v>
      </c>
      <c r="AH31" s="16">
        <f>AF31*(1+AH152)-AH155-AH158-AH161</f>
        <v>1154.7339715916894</v>
      </c>
      <c r="AI31" s="16">
        <f>AH31*(1+AI152)-AI155-AI158-AI161</f>
        <v>1155.0435814277507</v>
      </c>
      <c r="AJ31" s="16">
        <f>AI31*(1+AJ152)-AJ155-AJ158-AJ161</f>
        <v>1110.2069695536115</v>
      </c>
      <c r="AK31" s="16">
        <f>AJ31*(1+AK152)-AK155-AK158-AK161</f>
        <v>1065.3255210675982</v>
      </c>
      <c r="AL31" s="17">
        <f>+(AH27/AL27*AH31)+(AI27/AL27*AI31)+(AJ27/AL27*AJ31)+(AK27/AL27*AK31)</f>
        <v>1116.7780686748176</v>
      </c>
      <c r="AM31" s="16">
        <f>AK31*(1+AM152)-AM155-AM158-AM161</f>
        <v>1064.3636298456556</v>
      </c>
      <c r="AN31" s="16">
        <f>AM31*(1+AN152)-AN155-AN158-AN161</f>
        <v>1063.4007767324911</v>
      </c>
      <c r="AO31" s="16">
        <f>AN31*(1+AO152)-AO155-AO158-AO161</f>
        <v>1062.4369607662134</v>
      </c>
      <c r="AP31" s="16">
        <f>AO31*(1+AP152)-AP155-AP158-AP161</f>
        <v>1061.4721809839693</v>
      </c>
      <c r="AQ31" s="17">
        <f>+(AM27/AQ27*AM31)+(AN27/AQ27*AN31)+(AO27/AQ27*AO31)+(AP27/AQ27*AP31)</f>
        <v>1062.8060196682716</v>
      </c>
      <c r="AR31" s="16">
        <f>AP31*(1+AR152)-AR155-AR158-AR161</f>
        <v>1060.5461857698451</v>
      </c>
      <c r="AS31" s="16">
        <f>AR31*(1+AS152)-AS155-AS158-AS161</f>
        <v>1059.6192645605067</v>
      </c>
      <c r="AT31" s="16">
        <f>AS31*(1+AT152)-AT155-AT158-AT161</f>
        <v>1058.691416429959</v>
      </c>
      <c r="AU31" s="16">
        <f>AT31*(1+AU152)-AU155-AU158-AU161</f>
        <v>1057.7626404512807</v>
      </c>
      <c r="AV31" s="17">
        <f>+(AR27/AV27*AR31)+(AS27/AV27*AS31)+(AT27/AV27*AT31)+(AU27/AV27*AU31)</f>
        <v>1059.0484033476243</v>
      </c>
    </row>
    <row r="32" spans="1:48" ht="15.75" customHeight="1" x14ac:dyDescent="0.3">
      <c r="B32" s="587" t="s">
        <v>6</v>
      </c>
      <c r="C32" s="588"/>
      <c r="D32" s="110">
        <f t="shared" ref="D32:AV32" si="69">D27/D30</f>
        <v>0.61239935587761718</v>
      </c>
      <c r="E32" s="110">
        <f t="shared" si="69"/>
        <v>0.53518398967075509</v>
      </c>
      <c r="F32" s="110">
        <f t="shared" si="69"/>
        <v>1.1336085879438487</v>
      </c>
      <c r="G32" s="110">
        <f t="shared" si="69"/>
        <v>0.66287276975832043</v>
      </c>
      <c r="H32" s="174">
        <f t="shared" si="69"/>
        <v>2.947264985260404</v>
      </c>
      <c r="I32" s="110">
        <f t="shared" si="69"/>
        <v>0.75033886818027684</v>
      </c>
      <c r="J32" s="110">
        <f t="shared" si="69"/>
        <v>0.28025260283324721</v>
      </c>
      <c r="K32" s="110">
        <f t="shared" si="69"/>
        <v>-0.58057338468121455</v>
      </c>
      <c r="L32" s="110">
        <f t="shared" si="69"/>
        <v>0.3363065065700544</v>
      </c>
      <c r="M32" s="25">
        <f t="shared" si="69"/>
        <v>0.78632786555858059</v>
      </c>
      <c r="N32" s="110">
        <f t="shared" si="69"/>
        <v>0.52953191489361717</v>
      </c>
      <c r="O32" s="110">
        <f t="shared" si="69"/>
        <v>0.55999999999999994</v>
      </c>
      <c r="P32" s="110">
        <f t="shared" si="69"/>
        <v>0.97870173949936268</v>
      </c>
      <c r="Q32" s="110">
        <f t="shared" si="69"/>
        <v>1.495887011112873</v>
      </c>
      <c r="R32" s="174">
        <f t="shared" si="69"/>
        <v>3.5641146798260079</v>
      </c>
      <c r="S32" s="24">
        <f t="shared" si="69"/>
        <v>0.69758891928864586</v>
      </c>
      <c r="T32" s="24">
        <f t="shared" si="69"/>
        <v>0.58710407239819018</v>
      </c>
      <c r="U32" s="24">
        <f t="shared" si="69"/>
        <v>0.79590235396686981</v>
      </c>
      <c r="V32" s="24">
        <f t="shared" si="69"/>
        <v>0.76490443359010318</v>
      </c>
      <c r="W32" s="174">
        <f t="shared" si="69"/>
        <v>2.8453122204469832</v>
      </c>
      <c r="X32" s="110">
        <f t="shared" si="69"/>
        <v>0.74462342185459218</v>
      </c>
      <c r="Y32" s="24">
        <f t="shared" si="69"/>
        <v>0.61780408510029261</v>
      </c>
      <c r="Z32" s="24">
        <f t="shared" si="69"/>
        <v>0.94663390117831658</v>
      </c>
      <c r="AA32" s="24">
        <f t="shared" si="69"/>
        <v>1.0853640217205176</v>
      </c>
      <c r="AB32" s="25">
        <f t="shared" si="69"/>
        <v>3.3944198498033189</v>
      </c>
      <c r="AC32" s="24">
        <f t="shared" si="69"/>
        <v>0.96616683644031576</v>
      </c>
      <c r="AD32" s="24">
        <f t="shared" si="69"/>
        <v>0.70737018443162125</v>
      </c>
      <c r="AE32" s="24">
        <f t="shared" si="69"/>
        <v>1.0627693629037376</v>
      </c>
      <c r="AF32" s="24">
        <f t="shared" si="69"/>
        <v>1.1276465903484556</v>
      </c>
      <c r="AG32" s="25">
        <f t="shared" si="69"/>
        <v>3.8639452343724341</v>
      </c>
      <c r="AH32" s="24">
        <f t="shared" si="69"/>
        <v>1.1159376550501374</v>
      </c>
      <c r="AI32" s="24">
        <f t="shared" si="69"/>
        <v>0.83257077909035215</v>
      </c>
      <c r="AJ32" s="24">
        <f t="shared" si="69"/>
        <v>1.3377906070934684</v>
      </c>
      <c r="AK32" s="24">
        <f t="shared" si="69"/>
        <v>1.3809135848863749</v>
      </c>
      <c r="AL32" s="25">
        <f t="shared" si="69"/>
        <v>4.6623705989642898</v>
      </c>
      <c r="AM32" s="24">
        <f t="shared" si="69"/>
        <v>1.2896441452565359</v>
      </c>
      <c r="AN32" s="24">
        <f t="shared" si="69"/>
        <v>0.95103505662810006</v>
      </c>
      <c r="AO32" s="24">
        <f t="shared" si="69"/>
        <v>1.487237958273969</v>
      </c>
      <c r="AP32" s="24">
        <f t="shared" si="69"/>
        <v>1.5180081607870313</v>
      </c>
      <c r="AQ32" s="25">
        <f t="shared" si="69"/>
        <v>5.2459252346706977</v>
      </c>
      <c r="AR32" s="24">
        <f t="shared" si="69"/>
        <v>1.3799701916935343</v>
      </c>
      <c r="AS32" s="24">
        <f t="shared" si="69"/>
        <v>1.0228109219947339</v>
      </c>
      <c r="AT32" s="24">
        <f t="shared" si="69"/>
        <v>1.5876185130607341</v>
      </c>
      <c r="AU32" s="24">
        <f t="shared" si="69"/>
        <v>1.6200483128305694</v>
      </c>
      <c r="AV32" s="25">
        <f t="shared" si="69"/>
        <v>5.6104477743236867</v>
      </c>
    </row>
    <row r="33" spans="2:48" x14ac:dyDescent="0.3">
      <c r="B33" s="587" t="s">
        <v>7</v>
      </c>
      <c r="C33" s="588"/>
      <c r="D33" s="110">
        <f t="shared" ref="D33:AV33" si="70">D27/D31</f>
        <v>0.60682942396681061</v>
      </c>
      <c r="E33" s="110">
        <f t="shared" si="70"/>
        <v>0.53026305269049312</v>
      </c>
      <c r="F33" s="110">
        <f t="shared" si="70"/>
        <v>1.1224856909239582</v>
      </c>
      <c r="G33" s="110">
        <f t="shared" si="70"/>
        <v>0.65635470614510849</v>
      </c>
      <c r="H33" s="174">
        <f t="shared" si="70"/>
        <v>2.9185857930587131</v>
      </c>
      <c r="I33" s="110">
        <f t="shared" si="70"/>
        <v>0.74366078925272783</v>
      </c>
      <c r="J33" s="110">
        <f t="shared" si="70"/>
        <v>0.27814008638942922</v>
      </c>
      <c r="K33" s="110">
        <f t="shared" si="70"/>
        <v>-0.58057338468121455</v>
      </c>
      <c r="L33" s="110">
        <f t="shared" si="70"/>
        <v>0.3329940627650555</v>
      </c>
      <c r="M33" s="174">
        <f t="shared" si="70"/>
        <v>0.7744067226924668</v>
      </c>
      <c r="N33" s="110">
        <f t="shared" si="70"/>
        <v>0.52595097210481845</v>
      </c>
      <c r="O33" s="110">
        <f t="shared" si="70"/>
        <v>0.55654962862930457</v>
      </c>
      <c r="P33" s="110">
        <f t="shared" si="70"/>
        <v>0.97234867644579237</v>
      </c>
      <c r="Q33" s="110">
        <f t="shared" si="70"/>
        <v>1.4853102112972469</v>
      </c>
      <c r="R33" s="174">
        <f t="shared" si="70"/>
        <v>3.5401518359379072</v>
      </c>
      <c r="S33" s="24">
        <f t="shared" si="70"/>
        <v>0.69343872174060861</v>
      </c>
      <c r="T33" s="24">
        <f t="shared" si="70"/>
        <v>0.58471271340670783</v>
      </c>
      <c r="U33" s="24">
        <f t="shared" si="70"/>
        <v>0.79313640312771472</v>
      </c>
      <c r="V33" s="24">
        <f t="shared" si="70"/>
        <v>0.76182212581344788</v>
      </c>
      <c r="W33" s="174">
        <f t="shared" si="70"/>
        <v>2.8328778420971088</v>
      </c>
      <c r="X33" s="110">
        <f>X27/X31</f>
        <v>0.74178159424060985</v>
      </c>
      <c r="Y33" s="24">
        <f t="shared" si="70"/>
        <v>0.6160595785640548</v>
      </c>
      <c r="Z33" s="24">
        <f t="shared" si="70"/>
        <v>0.9449023885725496</v>
      </c>
      <c r="AA33" s="24">
        <f>AA27/AA31</f>
        <v>1.0844602678078175</v>
      </c>
      <c r="AB33" s="25">
        <f>AB27/AB31</f>
        <v>3.3872037523147522</v>
      </c>
      <c r="AC33" s="24">
        <f t="shared" si="70"/>
        <v>0.96632685580186661</v>
      </c>
      <c r="AD33" s="24">
        <f t="shared" si="70"/>
        <v>0.70819475533433351</v>
      </c>
      <c r="AE33" s="24">
        <f t="shared" si="70"/>
        <v>1.0650729323654962</v>
      </c>
      <c r="AF33" s="24">
        <f t="shared" si="70"/>
        <v>1.1312224906538835</v>
      </c>
      <c r="AG33" s="25">
        <f t="shared" si="70"/>
        <v>3.8708167613149693</v>
      </c>
      <c r="AH33" s="24">
        <f t="shared" si="70"/>
        <v>1.12059819145641</v>
      </c>
      <c r="AI33" s="24">
        <f t="shared" si="70"/>
        <v>0.83688624664326516</v>
      </c>
      <c r="AJ33" s="24">
        <f t="shared" si="70"/>
        <v>1.3464110717926079</v>
      </c>
      <c r="AK33" s="24">
        <f t="shared" si="70"/>
        <v>1.3916444438511664</v>
      </c>
      <c r="AL33" s="25">
        <f t="shared" si="70"/>
        <v>4.6902624010513652</v>
      </c>
      <c r="AM33" s="24">
        <f t="shared" si="70"/>
        <v>1.3009856917386102</v>
      </c>
      <c r="AN33" s="24">
        <f t="shared" si="70"/>
        <v>0.96037497722225074</v>
      </c>
      <c r="AO33" s="24">
        <f t="shared" si="70"/>
        <v>1.5033748932219611</v>
      </c>
      <c r="AP33" s="24">
        <f t="shared" si="70"/>
        <v>1.5360462906323611</v>
      </c>
      <c r="AQ33" s="25">
        <f t="shared" si="70"/>
        <v>5.3007761570488867</v>
      </c>
      <c r="AR33" s="24">
        <f t="shared" si="70"/>
        <v>1.3977963660960024</v>
      </c>
      <c r="AS33" s="24">
        <f t="shared" si="70"/>
        <v>1.0370850970879366</v>
      </c>
      <c r="AT33" s="24">
        <f t="shared" si="70"/>
        <v>1.6114278267739583</v>
      </c>
      <c r="AU33" s="24">
        <f t="shared" si="70"/>
        <v>1.6460354099106282</v>
      </c>
      <c r="AV33" s="25">
        <f t="shared" si="70"/>
        <v>5.6923389934006607</v>
      </c>
    </row>
    <row r="34" spans="2:48" x14ac:dyDescent="0.3">
      <c r="B34" s="93" t="s">
        <v>74</v>
      </c>
      <c r="C34" s="100"/>
      <c r="D34" s="111">
        <f t="shared" ref="D34:AV34" si="71">+D29/D31</f>
        <v>0.74999999999999922</v>
      </c>
      <c r="E34" s="111">
        <f t="shared" si="71"/>
        <v>0.60000000000000009</v>
      </c>
      <c r="F34" s="111">
        <f t="shared" si="71"/>
        <v>0.78</v>
      </c>
      <c r="G34" s="111">
        <f t="shared" si="71"/>
        <v>0.69511774261567683</v>
      </c>
      <c r="H34" s="172">
        <f t="shared" si="71"/>
        <v>2.8336117418099285</v>
      </c>
      <c r="I34" s="111">
        <f t="shared" si="71"/>
        <v>0.79454240134340781</v>
      </c>
      <c r="J34" s="111">
        <f t="shared" si="71"/>
        <v>0.31523672397730074</v>
      </c>
      <c r="K34" s="111">
        <f t="shared" si="71"/>
        <v>-0.46193838254171954</v>
      </c>
      <c r="L34" s="111">
        <f t="shared" si="71"/>
        <v>0.51</v>
      </c>
      <c r="M34" s="172">
        <f t="shared" si="71"/>
        <v>1.1512365543643674</v>
      </c>
      <c r="N34" s="111">
        <f t="shared" si="71"/>
        <v>0.60998309382924787</v>
      </c>
      <c r="O34" s="111">
        <f t="shared" si="71"/>
        <v>0.62099257258609042</v>
      </c>
      <c r="P34" s="111">
        <f t="shared" si="71"/>
        <v>1.0059332321699532</v>
      </c>
      <c r="Q34" s="111">
        <f t="shared" si="71"/>
        <v>0.99628807138648001</v>
      </c>
      <c r="R34" s="172">
        <f>+R29/R31+0.01</f>
        <v>3.2421909979383412</v>
      </c>
      <c r="S34" s="111">
        <f t="shared" si="71"/>
        <v>0.71999999999999986</v>
      </c>
      <c r="T34" s="111">
        <f t="shared" si="71"/>
        <v>0.58587745905191113</v>
      </c>
      <c r="U34" s="111">
        <f t="shared" si="71"/>
        <v>0.84046915725456095</v>
      </c>
      <c r="V34" s="111">
        <f t="shared" si="71"/>
        <v>0.80872017353579051</v>
      </c>
      <c r="W34" s="172">
        <f t="shared" si="71"/>
        <v>2.95471014998795</v>
      </c>
      <c r="X34" s="111">
        <f t="shared" si="71"/>
        <v>0.74707259953161509</v>
      </c>
      <c r="Y34" s="82">
        <f t="shared" si="71"/>
        <v>0.61631975743355849</v>
      </c>
      <c r="Z34" s="82">
        <f t="shared" si="71"/>
        <v>0.94516253291124774</v>
      </c>
      <c r="AA34" s="82">
        <f t="shared" si="71"/>
        <v>1.0847203775903573</v>
      </c>
      <c r="AB34" s="415">
        <f t="shared" si="71"/>
        <v>3.3932740277680487</v>
      </c>
      <c r="AC34" s="82">
        <f t="shared" si="71"/>
        <v>0.96658690561371974</v>
      </c>
      <c r="AD34" s="82">
        <f t="shared" si="71"/>
        <v>0.7084547451432176</v>
      </c>
      <c r="AE34" s="82">
        <f t="shared" si="71"/>
        <v>1.0653328621391327</v>
      </c>
      <c r="AF34" s="82">
        <f t="shared" si="71"/>
        <v>1.1314823603599988</v>
      </c>
      <c r="AG34" s="83">
        <f t="shared" si="71"/>
        <v>3.8718565738484072</v>
      </c>
      <c r="AH34" s="82">
        <f t="shared" si="71"/>
        <v>1.1208579915552901</v>
      </c>
      <c r="AI34" s="82">
        <f t="shared" si="71"/>
        <v>0.83714597710263827</v>
      </c>
      <c r="AJ34" s="82">
        <f t="shared" si="71"/>
        <v>1.3466812916779334</v>
      </c>
      <c r="AK34" s="82">
        <f t="shared" si="71"/>
        <v>1.391926047918719</v>
      </c>
      <c r="AL34" s="415">
        <f t="shared" si="71"/>
        <v>4.6913369207197393</v>
      </c>
      <c r="AM34" s="82">
        <f t="shared" si="71"/>
        <v>1.3012675502985871</v>
      </c>
      <c r="AN34" s="82">
        <f t="shared" si="71"/>
        <v>0.96065709099023366</v>
      </c>
      <c r="AO34" s="82">
        <f t="shared" si="71"/>
        <v>1.5036572629164262</v>
      </c>
      <c r="AP34" s="82">
        <f t="shared" si="71"/>
        <v>1.5363289169746945</v>
      </c>
      <c r="AQ34" s="83">
        <f t="shared" si="71"/>
        <v>5.301905243615761</v>
      </c>
      <c r="AR34" s="82">
        <f t="shared" si="71"/>
        <v>1.3980792392080135</v>
      </c>
      <c r="AS34" s="82">
        <f t="shared" si="71"/>
        <v>1.0373682176483432</v>
      </c>
      <c r="AT34" s="82">
        <f t="shared" si="71"/>
        <v>1.6117111954641588</v>
      </c>
      <c r="AU34" s="82">
        <f t="shared" si="71"/>
        <v>1.6463190274147141</v>
      </c>
      <c r="AV34" s="83">
        <f t="shared" si="71"/>
        <v>5.6934720860867056</v>
      </c>
    </row>
    <row r="35" spans="2:48" x14ac:dyDescent="0.3">
      <c r="B35" s="38" t="s">
        <v>41</v>
      </c>
      <c r="C35" s="207"/>
      <c r="D35" s="239">
        <v>0.36</v>
      </c>
      <c r="E35" s="239">
        <v>0.36</v>
      </c>
      <c r="F35" s="239">
        <v>0.36</v>
      </c>
      <c r="G35" s="239">
        <v>0.41</v>
      </c>
      <c r="H35" s="174">
        <f>+SUM(D35:G35)</f>
        <v>1.49</v>
      </c>
      <c r="I35" s="239">
        <v>0.41</v>
      </c>
      <c r="J35" s="239">
        <v>0.41</v>
      </c>
      <c r="K35" s="239">
        <v>0.41</v>
      </c>
      <c r="L35" s="239">
        <f>K35*1.1</f>
        <v>0.45100000000000001</v>
      </c>
      <c r="M35" s="25">
        <f>+SUM(I35:L35)</f>
        <v>1.681</v>
      </c>
      <c r="N35" s="239">
        <f>+L35</f>
        <v>0.45100000000000001</v>
      </c>
      <c r="O35" s="239">
        <v>0.45</v>
      </c>
      <c r="P35" s="239">
        <v>0.45</v>
      </c>
      <c r="Q35" s="239">
        <v>0.49</v>
      </c>
      <c r="R35" s="25">
        <f>+SUM(N35:Q35)</f>
        <v>1.841</v>
      </c>
      <c r="S35" s="239">
        <v>0.49</v>
      </c>
      <c r="T35" s="239">
        <v>0.49</v>
      </c>
      <c r="U35" s="239">
        <v>0.49</v>
      </c>
      <c r="V35" s="239">
        <v>0.53</v>
      </c>
      <c r="W35" s="25">
        <f>+SUM(S35:V35)</f>
        <v>2</v>
      </c>
      <c r="X35" s="239">
        <v>0.53</v>
      </c>
      <c r="Y35" s="240">
        <f>+X35</f>
        <v>0.53</v>
      </c>
      <c r="Z35" s="240">
        <f>+Y35</f>
        <v>0.53</v>
      </c>
      <c r="AA35" s="240">
        <f>1.05*Z35</f>
        <v>0.55650000000000011</v>
      </c>
      <c r="AB35" s="25">
        <f>+SUM(X35:AA35)</f>
        <v>2.1465000000000001</v>
      </c>
      <c r="AC35" s="240">
        <f>+AA35</f>
        <v>0.55650000000000011</v>
      </c>
      <c r="AD35" s="240">
        <f>+AC35</f>
        <v>0.55650000000000011</v>
      </c>
      <c r="AE35" s="240">
        <f>+AD35</f>
        <v>0.55650000000000011</v>
      </c>
      <c r="AF35" s="240">
        <f>1.05*AE35</f>
        <v>0.58432500000000009</v>
      </c>
      <c r="AG35" s="25">
        <f>+SUM(AC35:AF35)</f>
        <v>2.2538250000000004</v>
      </c>
      <c r="AH35" s="240">
        <f>+AF35</f>
        <v>0.58432500000000009</v>
      </c>
      <c r="AI35" s="240">
        <f>+AH35</f>
        <v>0.58432500000000009</v>
      </c>
      <c r="AJ35" s="240">
        <f>+AI35</f>
        <v>0.58432500000000009</v>
      </c>
      <c r="AK35" s="240">
        <f>1.05*AJ35</f>
        <v>0.61354125000000015</v>
      </c>
      <c r="AL35" s="25">
        <f>+SUM(AH35:AK35)</f>
        <v>2.3665162500000001</v>
      </c>
      <c r="AM35" s="240">
        <f>+AK35</f>
        <v>0.61354125000000015</v>
      </c>
      <c r="AN35" s="240">
        <f>+AM35</f>
        <v>0.61354125000000015</v>
      </c>
      <c r="AO35" s="240">
        <f>+AN35</f>
        <v>0.61354125000000015</v>
      </c>
      <c r="AP35" s="240">
        <f>1.02*AO35</f>
        <v>0.62581207500000013</v>
      </c>
      <c r="AQ35" s="25">
        <f>+SUM(AM35:AP35)</f>
        <v>2.4664358250000005</v>
      </c>
      <c r="AR35" s="240">
        <f>+AP35</f>
        <v>0.62581207500000013</v>
      </c>
      <c r="AS35" s="240">
        <f>+AR35</f>
        <v>0.62581207500000013</v>
      </c>
      <c r="AT35" s="240">
        <f>+AS35</f>
        <v>0.62581207500000013</v>
      </c>
      <c r="AU35" s="240">
        <f>1.02*AT35</f>
        <v>0.6383283165000001</v>
      </c>
      <c r="AV35" s="25">
        <f>+SUM(AR35:AU35)</f>
        <v>2.5157645415000003</v>
      </c>
    </row>
    <row r="36" spans="2:48" s="241" customFormat="1" x14ac:dyDescent="0.3">
      <c r="B36" s="242" t="s">
        <v>170</v>
      </c>
      <c r="C36" s="243"/>
      <c r="D36" s="211"/>
      <c r="E36" s="211"/>
      <c r="F36" s="211"/>
      <c r="G36" s="211"/>
      <c r="H36" s="244">
        <f>H35/H33</f>
        <v>0.51052122693931912</v>
      </c>
      <c r="I36" s="211"/>
      <c r="J36" s="211"/>
      <c r="K36" s="211"/>
      <c r="L36" s="211"/>
      <c r="M36" s="244">
        <f>M35/M33</f>
        <v>2.1706939657696651</v>
      </c>
      <c r="N36" s="211"/>
      <c r="O36" s="211"/>
      <c r="P36" s="211"/>
      <c r="Q36" s="211"/>
      <c r="R36" s="244">
        <f>R35/R33</f>
        <v>0.52003419212449009</v>
      </c>
      <c r="S36" s="211"/>
      <c r="T36" s="211"/>
      <c r="U36" s="211"/>
      <c r="V36" s="211"/>
      <c r="W36" s="244">
        <f>W35/W33</f>
        <v>0.70599584997263765</v>
      </c>
      <c r="X36" s="211"/>
      <c r="Y36" s="211"/>
      <c r="Z36" s="211"/>
      <c r="AA36" s="211"/>
      <c r="AB36" s="244">
        <f>AB35/AB33</f>
        <v>0.63370855636692114</v>
      </c>
      <c r="AC36" s="211"/>
      <c r="AD36" s="211"/>
      <c r="AE36" s="211"/>
      <c r="AF36" s="211"/>
      <c r="AG36" s="244">
        <f>AG35/AG33</f>
        <v>0.58226083510973159</v>
      </c>
      <c r="AH36" s="211"/>
      <c r="AI36" s="211"/>
      <c r="AJ36" s="211"/>
      <c r="AK36" s="211"/>
      <c r="AL36" s="431">
        <f>AL35/AL33</f>
        <v>0.50455945694414106</v>
      </c>
      <c r="AM36" s="211"/>
      <c r="AN36" s="211"/>
      <c r="AO36" s="211"/>
      <c r="AP36" s="211"/>
      <c r="AQ36" s="244">
        <f>AQ35/AQ33</f>
        <v>0.4652971096921672</v>
      </c>
      <c r="AR36" s="211"/>
      <c r="AS36" s="211"/>
      <c r="AT36" s="211"/>
      <c r="AU36" s="211"/>
      <c r="AV36" s="244">
        <f>AV35/AV33</f>
        <v>0.44195620542216812</v>
      </c>
    </row>
    <row r="37" spans="2:48" s="63" customFormat="1" x14ac:dyDescent="0.3">
      <c r="B37" s="198"/>
      <c r="C37" s="371"/>
      <c r="D37" s="372"/>
      <c r="E37" s="196"/>
      <c r="F37" s="196"/>
      <c r="G37" s="196">
        <f>G35/F35-1</f>
        <v>0.13888888888888884</v>
      </c>
      <c r="H37" s="196"/>
      <c r="I37" s="196"/>
      <c r="J37" s="196"/>
      <c r="K37" s="196"/>
      <c r="L37" s="196">
        <f>L35/K35-1</f>
        <v>0.10000000000000009</v>
      </c>
      <c r="M37" s="196"/>
      <c r="N37" s="196"/>
      <c r="O37" s="196"/>
      <c r="P37" s="196"/>
      <c r="Q37" s="196">
        <f>Q35/P35-1</f>
        <v>8.8888888888888795E-2</v>
      </c>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583" t="s">
        <v>13</v>
      </c>
      <c r="C38" s="584"/>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3" t="s">
        <v>407</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85"/>
      <c r="C39" s="586"/>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4" t="s">
        <v>408</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99" t="s">
        <v>174</v>
      </c>
      <c r="C40" s="600"/>
      <c r="D40" s="14"/>
      <c r="E40" s="14"/>
      <c r="F40" s="14"/>
      <c r="G40" s="14"/>
      <c r="H40" s="40"/>
      <c r="I40" s="14"/>
      <c r="J40" s="14"/>
      <c r="K40" s="14"/>
      <c r="L40" s="14"/>
      <c r="M40" s="40"/>
      <c r="N40" s="14"/>
      <c r="O40" s="14"/>
      <c r="P40" s="14"/>
      <c r="Q40" s="14"/>
      <c r="R40" s="40"/>
      <c r="S40" s="14"/>
      <c r="T40" s="14"/>
      <c r="U40" s="14"/>
      <c r="V40" s="14"/>
      <c r="W40" s="40"/>
      <c r="X40" s="14"/>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601" t="s">
        <v>175</v>
      </c>
      <c r="C41" s="602"/>
      <c r="D41" s="21">
        <v>9777</v>
      </c>
      <c r="E41" s="21">
        <v>9776</v>
      </c>
      <c r="F41" s="116">
        <v>9857</v>
      </c>
      <c r="G41" s="21">
        <v>9974</v>
      </c>
      <c r="H41" s="57"/>
      <c r="I41" s="21">
        <v>10020</v>
      </c>
      <c r="J41" s="21">
        <v>10051</v>
      </c>
      <c r="K41" s="21">
        <v>10017</v>
      </c>
      <c r="L41" s="21">
        <v>10109</v>
      </c>
      <c r="M41" s="57"/>
      <c r="N41" s="21">
        <v>10029</v>
      </c>
      <c r="O41" s="21">
        <f>+N41+O42</f>
        <v>9820</v>
      </c>
      <c r="P41" s="21">
        <f>+O41+P42</f>
        <v>9860</v>
      </c>
      <c r="Q41" s="21">
        <f>+P41+Q42</f>
        <v>9861</v>
      </c>
      <c r="R41" s="191"/>
      <c r="S41" s="21">
        <f>+Q41+S42</f>
        <v>9900</v>
      </c>
      <c r="T41" s="21">
        <f>+S41+T42</f>
        <v>9954</v>
      </c>
      <c r="U41" s="21">
        <f>+T41+U42</f>
        <v>10050</v>
      </c>
      <c r="V41" s="21">
        <f>+U41+V42</f>
        <v>10216</v>
      </c>
      <c r="W41" s="191">
        <f>V41</f>
        <v>10216</v>
      </c>
      <c r="X41" s="21">
        <f>+V41+X42</f>
        <v>10256</v>
      </c>
      <c r="Y41" s="21">
        <f>+X41+Y42</f>
        <v>10323</v>
      </c>
      <c r="Z41" s="21">
        <f>+Y41+Z42</f>
        <v>10390</v>
      </c>
      <c r="AA41" s="21">
        <f>+Z41+AA42</f>
        <v>10457</v>
      </c>
      <c r="AB41" s="191">
        <f>AA41</f>
        <v>10457</v>
      </c>
      <c r="AC41" s="21">
        <f>+AA41+AC42</f>
        <v>10529</v>
      </c>
      <c r="AD41" s="21">
        <f>+AC41+AD42</f>
        <v>10601</v>
      </c>
      <c r="AE41" s="21">
        <f>+AD41+AE42</f>
        <v>10674</v>
      </c>
      <c r="AF41" s="21">
        <f>+AE41+AF42</f>
        <v>10747</v>
      </c>
      <c r="AG41" s="191">
        <f>AF41</f>
        <v>10747</v>
      </c>
      <c r="AH41" s="21">
        <f>+AF41+AH42</f>
        <v>10833</v>
      </c>
      <c r="AI41" s="21">
        <f>+AH41+AI42</f>
        <v>10919</v>
      </c>
      <c r="AJ41" s="21">
        <f>+AI41+AJ42</f>
        <v>11005</v>
      </c>
      <c r="AK41" s="21">
        <f>+AJ41+AK42</f>
        <v>11091</v>
      </c>
      <c r="AL41" s="191">
        <f>AK41</f>
        <v>11091</v>
      </c>
      <c r="AM41" s="21">
        <f>+AK41+AM42</f>
        <v>11187</v>
      </c>
      <c r="AN41" s="21">
        <f>+AM41+AN42</f>
        <v>11283</v>
      </c>
      <c r="AO41" s="21">
        <f>+AN41+AO42</f>
        <v>11379</v>
      </c>
      <c r="AP41" s="21">
        <f>+AO41+AP42</f>
        <v>11475</v>
      </c>
      <c r="AQ41" s="191">
        <f>AP41</f>
        <v>11475</v>
      </c>
      <c r="AR41" s="21">
        <f>+AP41+AR42</f>
        <v>11571</v>
      </c>
      <c r="AS41" s="21">
        <f>+AR41+AS42</f>
        <v>11667</v>
      </c>
      <c r="AT41" s="21">
        <f>+AS41+AT42</f>
        <v>11763</v>
      </c>
      <c r="AU41" s="21">
        <f>+AT41+AU42</f>
        <v>11859</v>
      </c>
      <c r="AV41" s="191">
        <f>AU41</f>
        <v>11859</v>
      </c>
    </row>
    <row r="42" spans="2:48" outlineLevel="1" x14ac:dyDescent="0.3">
      <c r="B42" s="180" t="s">
        <v>46</v>
      </c>
      <c r="C42" s="201"/>
      <c r="D42" s="101">
        <f>+D41-9690</f>
        <v>87</v>
      </c>
      <c r="E42" s="101">
        <f>E41-D41</f>
        <v>-1</v>
      </c>
      <c r="F42" s="101">
        <f>F41-E41</f>
        <v>81</v>
      </c>
      <c r="G42" s="101">
        <f>G41-F41</f>
        <v>117</v>
      </c>
      <c r="H42" s="122">
        <f>+SUM(D42:G42)</f>
        <v>284</v>
      </c>
      <c r="I42" s="101">
        <f>I41-G41</f>
        <v>46</v>
      </c>
      <c r="J42" s="101">
        <f>J41-I41</f>
        <v>31</v>
      </c>
      <c r="K42" s="101">
        <f>K41-J41</f>
        <v>-34</v>
      </c>
      <c r="L42" s="101">
        <f>L41-K41</f>
        <v>92</v>
      </c>
      <c r="M42" s="122"/>
      <c r="N42" s="101">
        <v>-80</v>
      </c>
      <c r="O42" s="101">
        <v>-209</v>
      </c>
      <c r="P42" s="101">
        <v>40</v>
      </c>
      <c r="Q42" s="101">
        <v>1</v>
      </c>
      <c r="R42" s="26"/>
      <c r="S42" s="101">
        <v>39</v>
      </c>
      <c r="T42" s="101">
        <v>54</v>
      </c>
      <c r="U42" s="101">
        <v>96</v>
      </c>
      <c r="V42" s="101">
        <v>166</v>
      </c>
      <c r="W42" s="122">
        <f>+SUM(S42:V42)</f>
        <v>355</v>
      </c>
      <c r="X42" s="101">
        <v>40</v>
      </c>
      <c r="Y42" s="33">
        <v>67</v>
      </c>
      <c r="Z42" s="33">
        <v>67</v>
      </c>
      <c r="AA42" s="33">
        <v>67</v>
      </c>
      <c r="AB42" s="26">
        <f>+SUM(X42:AA42)</f>
        <v>241</v>
      </c>
      <c r="AC42" s="33">
        <v>72</v>
      </c>
      <c r="AD42" s="33">
        <v>72</v>
      </c>
      <c r="AE42" s="33">
        <v>73</v>
      </c>
      <c r="AF42" s="33">
        <v>73</v>
      </c>
      <c r="AG42" s="26">
        <f>+SUM(AC42:AF42)</f>
        <v>290</v>
      </c>
      <c r="AH42" s="33">
        <v>86</v>
      </c>
      <c r="AI42" s="33">
        <v>86</v>
      </c>
      <c r="AJ42" s="33">
        <v>86</v>
      </c>
      <c r="AK42" s="33">
        <v>86</v>
      </c>
      <c r="AL42" s="26">
        <f>+SUM(AH42:AK42)</f>
        <v>344</v>
      </c>
      <c r="AM42" s="33">
        <v>96</v>
      </c>
      <c r="AN42" s="33">
        <v>96</v>
      </c>
      <c r="AO42" s="33">
        <v>96</v>
      </c>
      <c r="AP42" s="33">
        <v>96</v>
      </c>
      <c r="AQ42" s="26">
        <f>+SUM(AM42:AP42)</f>
        <v>384</v>
      </c>
      <c r="AR42" s="33">
        <v>96</v>
      </c>
      <c r="AS42" s="33">
        <v>96</v>
      </c>
      <c r="AT42" s="33">
        <v>96</v>
      </c>
      <c r="AU42" s="33">
        <v>96</v>
      </c>
      <c r="AV42" s="26">
        <f>+SUM(AR42:AU42)</f>
        <v>384</v>
      </c>
    </row>
    <row r="43" spans="2:48" outlineLevel="1" x14ac:dyDescent="0.3">
      <c r="B43" s="180" t="s">
        <v>201</v>
      </c>
      <c r="C43" s="201"/>
      <c r="D43" s="101">
        <f>D41</f>
        <v>9777</v>
      </c>
      <c r="E43" s="101">
        <f>AVERAGE(D41,E41)</f>
        <v>9776.5</v>
      </c>
      <c r="F43" s="101">
        <f t="shared" ref="F43:G43" si="72">AVERAGE(E41,F41)</f>
        <v>9816.5</v>
      </c>
      <c r="G43" s="101">
        <f t="shared" si="72"/>
        <v>9915.5</v>
      </c>
      <c r="H43" s="122"/>
      <c r="I43" s="101">
        <f>AVERAGE(G41,I41)</f>
        <v>9997</v>
      </c>
      <c r="J43" s="101">
        <f>AVERAGE(I41,J41)</f>
        <v>10035.5</v>
      </c>
      <c r="K43" s="101">
        <f t="shared" ref="K43:L43" si="73">AVERAGE(J41,K41)</f>
        <v>10034</v>
      </c>
      <c r="L43" s="101">
        <f t="shared" si="73"/>
        <v>10063</v>
      </c>
      <c r="M43" s="122"/>
      <c r="N43" s="101">
        <f>AVERAGE(L41,N41)</f>
        <v>10069</v>
      </c>
      <c r="O43" s="101">
        <f>AVERAGE(N41,O41)</f>
        <v>9924.5</v>
      </c>
      <c r="P43" s="101">
        <f t="shared" ref="P43:Q43" si="74">AVERAGE(O41,P41)</f>
        <v>9840</v>
      </c>
      <c r="Q43" s="101">
        <f t="shared" si="74"/>
        <v>9860.5</v>
      </c>
      <c r="R43" s="122"/>
      <c r="S43" s="101">
        <f>AVERAGE(Q41,S41)</f>
        <v>9880.5</v>
      </c>
      <c r="T43" s="101">
        <f>AVERAGE(S41,T41)</f>
        <v>9927</v>
      </c>
      <c r="U43" s="101">
        <f t="shared" ref="U43" si="75">AVERAGE(T41,U41)</f>
        <v>10002</v>
      </c>
      <c r="V43" s="101">
        <f>AVERAGE(U41,V41)</f>
        <v>10133</v>
      </c>
      <c r="W43" s="122"/>
      <c r="X43" s="101">
        <f>AVERAGE(V41,X41)</f>
        <v>10236</v>
      </c>
      <c r="Y43" s="101">
        <f>AVERAGE(X41,Y41)</f>
        <v>10289.5</v>
      </c>
      <c r="Z43" s="101">
        <f t="shared" ref="Z43:AA43" si="76">AVERAGE(Y41,Z41)</f>
        <v>10356.5</v>
      </c>
      <c r="AA43" s="101">
        <f t="shared" si="76"/>
        <v>10423.5</v>
      </c>
      <c r="AB43" s="122"/>
      <c r="AC43" s="101">
        <f>AVERAGE(AA41,AC41)</f>
        <v>10493</v>
      </c>
      <c r="AD43" s="101">
        <f>AVERAGE(AC41,AD41)</f>
        <v>10565</v>
      </c>
      <c r="AE43" s="101">
        <f t="shared" ref="AE43:AF43" si="77">AVERAGE(AD41,AE41)</f>
        <v>10637.5</v>
      </c>
      <c r="AF43" s="101">
        <f t="shared" si="77"/>
        <v>10710.5</v>
      </c>
      <c r="AG43" s="122"/>
      <c r="AH43" s="101">
        <f>AVERAGE(AF41,AH41)</f>
        <v>10790</v>
      </c>
      <c r="AI43" s="101">
        <f>AVERAGE(AH41,AI41)</f>
        <v>10876</v>
      </c>
      <c r="AJ43" s="101">
        <f t="shared" ref="AJ43:AK43" si="78">AVERAGE(AI41,AJ41)</f>
        <v>10962</v>
      </c>
      <c r="AK43" s="101">
        <f t="shared" si="78"/>
        <v>11048</v>
      </c>
      <c r="AL43" s="122"/>
      <c r="AM43" s="101">
        <f>AVERAGE(AK41,AM41)</f>
        <v>11139</v>
      </c>
      <c r="AN43" s="101">
        <f>AVERAGE(AM41,AN41)</f>
        <v>11235</v>
      </c>
      <c r="AO43" s="101">
        <f t="shared" ref="AO43:AP43" si="79">AVERAGE(AN41,AO41)</f>
        <v>11331</v>
      </c>
      <c r="AP43" s="101">
        <f t="shared" si="79"/>
        <v>11427</v>
      </c>
      <c r="AQ43" s="122"/>
      <c r="AR43" s="101">
        <f>AVERAGE(AP41,AR41)</f>
        <v>11523</v>
      </c>
      <c r="AS43" s="101">
        <f>AVERAGE(AR41,AS41)</f>
        <v>11619</v>
      </c>
      <c r="AT43" s="101">
        <f t="shared" ref="AT43:AU43" si="80">AVERAGE(AS41,AT41)</f>
        <v>11715</v>
      </c>
      <c r="AU43" s="101">
        <f t="shared" si="80"/>
        <v>11811</v>
      </c>
      <c r="AV43" s="122"/>
    </row>
    <row r="44" spans="2:48" s="8" customFormat="1" outlineLevel="1" x14ac:dyDescent="0.3">
      <c r="B44" s="180" t="s">
        <v>205</v>
      </c>
      <c r="C44" s="206"/>
      <c r="D44" s="472"/>
      <c r="E44" s="43">
        <f>+E45/E43</f>
        <v>0.39376054825346496</v>
      </c>
      <c r="F44" s="43">
        <f>+F45/F43</f>
        <v>0.42603779351092547</v>
      </c>
      <c r="G44" s="43">
        <f>+G45/G43</f>
        <v>0.4199687358176592</v>
      </c>
      <c r="H44" s="471"/>
      <c r="I44" s="43">
        <f>+I45/I43</f>
        <v>0.44723417025107531</v>
      </c>
      <c r="J44" s="43">
        <f>+J45/J43</f>
        <v>0.38499327387773402</v>
      </c>
      <c r="K44" s="43">
        <f>+K45/K43</f>
        <v>0.25601953358580826</v>
      </c>
      <c r="L44" s="43">
        <f>+L45/L43</f>
        <v>0.3851038457716387</v>
      </c>
      <c r="M44" s="471"/>
      <c r="N44" s="43">
        <f>+N45/N43</f>
        <v>0.42554374813784884</v>
      </c>
      <c r="O44" s="43">
        <f>+O45/O43</f>
        <v>0.43008715804322634</v>
      </c>
      <c r="P44" s="43">
        <f>+P45/P43</f>
        <v>0.50099593495934958</v>
      </c>
      <c r="Q44" s="43">
        <f>+Q45/Q43</f>
        <v>0.53286344505856698</v>
      </c>
      <c r="R44" s="97"/>
      <c r="S44" s="43">
        <f>+S45/S43</f>
        <v>0.52771620869389202</v>
      </c>
      <c r="T44" s="43">
        <f>+T45/T43</f>
        <v>0.49725999798529263</v>
      </c>
      <c r="U44" s="43">
        <f>+U45/U43</f>
        <v>0.55120975804839034</v>
      </c>
      <c r="V44" s="43">
        <f>+V45/V43</f>
        <v>0.54776472910293106</v>
      </c>
      <c r="W44" s="132"/>
      <c r="X44" s="114">
        <f>+X45/X43</f>
        <v>0.57352481438061742</v>
      </c>
      <c r="Y44" s="219">
        <f>T44*1.07</f>
        <v>0.53206819784426318</v>
      </c>
      <c r="Z44" s="219">
        <f>U44*1.05</f>
        <v>0.57877024595080984</v>
      </c>
      <c r="AA44" s="219">
        <f>V44*1.05</f>
        <v>0.5751529655580776</v>
      </c>
      <c r="AB44" s="97"/>
      <c r="AC44" s="219">
        <f>X44*1.05</f>
        <v>0.60220105509964827</v>
      </c>
      <c r="AD44" s="219">
        <f>Y44*1.05</f>
        <v>0.55867160773647639</v>
      </c>
      <c r="AE44" s="219">
        <f>Z44*1.05</f>
        <v>0.60770875824835036</v>
      </c>
      <c r="AF44" s="219">
        <f>AA44*1.05</f>
        <v>0.60391061383598155</v>
      </c>
      <c r="AG44" s="97"/>
      <c r="AH44" s="219">
        <f>AC44*1.07</f>
        <v>0.64435512895662372</v>
      </c>
      <c r="AI44" s="219">
        <f>AD44*1.07</f>
        <v>0.59777862027802975</v>
      </c>
      <c r="AJ44" s="219">
        <f>AE44*1.07</f>
        <v>0.65024837132573488</v>
      </c>
      <c r="AK44" s="219">
        <f>AF44*1.07</f>
        <v>0.64618435680450026</v>
      </c>
      <c r="AL44" s="97"/>
      <c r="AM44" s="477">
        <f>AH44*1.05</f>
        <v>0.67657288540445493</v>
      </c>
      <c r="AN44" s="477">
        <f>AI44*1.05</f>
        <v>0.6276675512919313</v>
      </c>
      <c r="AO44" s="477">
        <f>AJ44*1.05</f>
        <v>0.6827607898920216</v>
      </c>
      <c r="AP44" s="477">
        <f>AK44*1.05</f>
        <v>0.67849357464472526</v>
      </c>
      <c r="AQ44" s="97"/>
      <c r="AR44" s="477">
        <f>AM44*1.03</f>
        <v>0.69687007196658857</v>
      </c>
      <c r="AS44" s="477">
        <f>AN44*1.03</f>
        <v>0.64649757783068929</v>
      </c>
      <c r="AT44" s="477">
        <f>AO44*1.03</f>
        <v>0.70324361358878229</v>
      </c>
      <c r="AU44" s="477">
        <f>AP44*1.03</f>
        <v>0.69884838188406706</v>
      </c>
      <c r="AV44" s="97"/>
    </row>
    <row r="45" spans="2:48" s="8" customFormat="1" outlineLevel="1" x14ac:dyDescent="0.3">
      <c r="B45" s="587" t="s">
        <v>176</v>
      </c>
      <c r="C45" s="588"/>
      <c r="D45" s="50">
        <v>4092.2</v>
      </c>
      <c r="E45" s="50">
        <v>3849.6</v>
      </c>
      <c r="F45" s="50">
        <v>4182.2</v>
      </c>
      <c r="G45" s="50">
        <v>4164.2</v>
      </c>
      <c r="H45" s="97">
        <f>SUM(D45:G45)</f>
        <v>16288.2</v>
      </c>
      <c r="I45" s="50">
        <v>4471</v>
      </c>
      <c r="J45" s="50">
        <v>3863.6</v>
      </c>
      <c r="K45" s="103">
        <v>2568.9</v>
      </c>
      <c r="L45" s="50">
        <v>3875.3</v>
      </c>
      <c r="M45" s="132">
        <f>SUM(I45:L45)</f>
        <v>14778.8</v>
      </c>
      <c r="N45" s="50">
        <v>4284.8</v>
      </c>
      <c r="O45" s="50">
        <v>4268.3999999999996</v>
      </c>
      <c r="P45" s="50">
        <v>4929.8</v>
      </c>
      <c r="Q45" s="103">
        <v>5254.3</v>
      </c>
      <c r="R45" s="132">
        <f>SUM(N45:Q45)</f>
        <v>18737.3</v>
      </c>
      <c r="S45" s="50">
        <v>5214.1000000000004</v>
      </c>
      <c r="T45" s="50">
        <v>4936.3</v>
      </c>
      <c r="U45" s="50">
        <v>5513.2</v>
      </c>
      <c r="V45" s="50">
        <v>5550.5</v>
      </c>
      <c r="W45" s="132">
        <f>SUM(S45:V45)</f>
        <v>21214.100000000002</v>
      </c>
      <c r="X45" s="103">
        <v>5870.6</v>
      </c>
      <c r="Y45" s="50">
        <f>Y44*Y43</f>
        <v>5474.7157217185459</v>
      </c>
      <c r="Z45" s="50">
        <f>Z44*Z43</f>
        <v>5994.0340521895623</v>
      </c>
      <c r="AA45" s="50">
        <f>AA44*AA43</f>
        <v>5995.1069364946216</v>
      </c>
      <c r="AB45" s="97">
        <f>SUM(X45:AA45)</f>
        <v>23334.45671040273</v>
      </c>
      <c r="AC45" s="50">
        <f>AC44*AC43</f>
        <v>6318.8956711606097</v>
      </c>
      <c r="AD45" s="50">
        <f>AD44*AD43</f>
        <v>5902.365535735873</v>
      </c>
      <c r="AE45" s="50">
        <f>AE44*AE43</f>
        <v>6464.5019158668265</v>
      </c>
      <c r="AF45" s="50">
        <f>AF44*AF43</f>
        <v>6468.1846294902807</v>
      </c>
      <c r="AG45" s="97">
        <f>SUM(AC45:AF45)</f>
        <v>25153.947752253589</v>
      </c>
      <c r="AH45" s="50">
        <f>AH44*AH43</f>
        <v>6952.5918414419702</v>
      </c>
      <c r="AI45" s="50">
        <f>AI44*AI43</f>
        <v>6501.4402741438516</v>
      </c>
      <c r="AJ45" s="50">
        <f>AJ44*AJ43</f>
        <v>7128.0226464727057</v>
      </c>
      <c r="AK45" s="50">
        <f>AK44*AK43</f>
        <v>7139.0447739761184</v>
      </c>
      <c r="AL45" s="97">
        <f>SUM(AH45:AK45)</f>
        <v>27721.099536034646</v>
      </c>
      <c r="AM45" s="50">
        <f>AM44*AM43</f>
        <v>7536.3453705202237</v>
      </c>
      <c r="AN45" s="50">
        <f>AN44*AN43</f>
        <v>7051.8449387648479</v>
      </c>
      <c r="AO45" s="50">
        <f>AO44*AO43</f>
        <v>7736.3625102664964</v>
      </c>
      <c r="AP45" s="50">
        <f>AP44*AP43</f>
        <v>7753.146077465276</v>
      </c>
      <c r="AQ45" s="97">
        <f>SUM(AM45:AP45)</f>
        <v>30077.698897016846</v>
      </c>
      <c r="AR45" s="50">
        <f>AR44*AR43</f>
        <v>8030.033839271</v>
      </c>
      <c r="AS45" s="50">
        <f>AS44*AS43</f>
        <v>7511.6553568147792</v>
      </c>
      <c r="AT45" s="50">
        <f>AT44*AT43</f>
        <v>8238.4989331925844</v>
      </c>
      <c r="AU45" s="50">
        <f>AU44*AU43</f>
        <v>8254.0982384327162</v>
      </c>
      <c r="AV45" s="97">
        <f>SUM(AR45:AU45)</f>
        <v>32034.28636771108</v>
      </c>
    </row>
    <row r="46" spans="2:48" s="8" customFormat="1" outlineLevel="1" x14ac:dyDescent="0.3">
      <c r="B46" s="38" t="s">
        <v>200</v>
      </c>
      <c r="C46" s="206"/>
      <c r="D46" s="43"/>
      <c r="E46" s="43"/>
      <c r="F46" s="43"/>
      <c r="G46" s="43"/>
      <c r="H46" s="97"/>
      <c r="I46" s="27">
        <f>I45/D45-1</f>
        <v>9.2566345730902722E-2</v>
      </c>
      <c r="J46" s="27">
        <f>J45/E45-1</f>
        <v>3.6367414796343311E-3</v>
      </c>
      <c r="K46" s="27">
        <f>K45/F45-1</f>
        <v>-0.38575390942566112</v>
      </c>
      <c r="L46" s="27">
        <f>L45/G45-1</f>
        <v>-6.9377071226165765E-2</v>
      </c>
      <c r="M46" s="97"/>
      <c r="N46" s="27">
        <f>N45/I45-1</f>
        <v>-4.1646164169089617E-2</v>
      </c>
      <c r="O46" s="27">
        <f>O45/J45-1</f>
        <v>0.10477275080236037</v>
      </c>
      <c r="P46" s="27">
        <f>P45/K45-1</f>
        <v>0.91903149207832135</v>
      </c>
      <c r="Q46" s="27">
        <f>Q45/L45-1</f>
        <v>0.35584341857404578</v>
      </c>
      <c r="R46" s="97"/>
      <c r="S46" s="27">
        <f>S45/N45-1</f>
        <v>0.21688293502613898</v>
      </c>
      <c r="T46" s="27">
        <f>T45/O45-1</f>
        <v>0.15647549433042851</v>
      </c>
      <c r="U46" s="27">
        <f>U45/P45-1</f>
        <v>0.11834151486875721</v>
      </c>
      <c r="V46" s="27">
        <f>V45/Q45-1</f>
        <v>5.6372875549549839E-2</v>
      </c>
      <c r="W46" s="98">
        <f>W45/R45-1</f>
        <v>0.13218553366813812</v>
      </c>
      <c r="X46" s="113">
        <f t="shared" ref="X46:AV46" si="81">X45/S45-1</f>
        <v>0.12590859400471799</v>
      </c>
      <c r="Y46" s="27">
        <f t="shared" si="81"/>
        <v>0.1090727309358317</v>
      </c>
      <c r="Z46" s="27">
        <f t="shared" si="81"/>
        <v>8.7215056988602324E-2</v>
      </c>
      <c r="AA46" s="27">
        <f t="shared" si="81"/>
        <v>8.0102141517813141E-2</v>
      </c>
      <c r="AB46" s="98">
        <f t="shared" si="81"/>
        <v>9.9950349550663287E-2</v>
      </c>
      <c r="AC46" s="27">
        <f t="shared" si="81"/>
        <v>7.6362837045720999E-2</v>
      </c>
      <c r="AD46" s="27">
        <f t="shared" si="81"/>
        <v>7.8113610962631919E-2</v>
      </c>
      <c r="AE46" s="27">
        <f t="shared" si="81"/>
        <v>7.8489354511659171E-2</v>
      </c>
      <c r="AF46" s="27">
        <f t="shared" si="81"/>
        <v>7.8910634623687193E-2</v>
      </c>
      <c r="AG46" s="98">
        <f t="shared" si="81"/>
        <v>7.7974433449728098E-2</v>
      </c>
      <c r="AH46" s="27">
        <f t="shared" si="81"/>
        <v>0.10028590488897371</v>
      </c>
      <c r="AI46" s="27">
        <f t="shared" si="81"/>
        <v>0.10149739706578331</v>
      </c>
      <c r="AJ46" s="27">
        <f t="shared" si="81"/>
        <v>0.10264065804935374</v>
      </c>
      <c r="AK46" s="27">
        <f t="shared" si="81"/>
        <v>0.10371691330936916</v>
      </c>
      <c r="AL46" s="98">
        <f t="shared" si="81"/>
        <v>0.10205760976628664</v>
      </c>
      <c r="AM46" s="27">
        <f t="shared" si="81"/>
        <v>8.3962001853568058E-2</v>
      </c>
      <c r="AN46" s="27">
        <f t="shared" si="81"/>
        <v>8.4658881941890529E-2</v>
      </c>
      <c r="AO46" s="27">
        <f t="shared" si="81"/>
        <v>8.5344827586206762E-2</v>
      </c>
      <c r="AP46" s="27">
        <f t="shared" si="81"/>
        <v>8.6020094134685143E-2</v>
      </c>
      <c r="AQ46" s="98">
        <f t="shared" si="81"/>
        <v>8.5011034930950524E-2</v>
      </c>
      <c r="AR46" s="27">
        <f t="shared" si="81"/>
        <v>6.5507675733907922E-2</v>
      </c>
      <c r="AS46" s="27">
        <f t="shared" si="81"/>
        <v>6.5204272363150961E-2</v>
      </c>
      <c r="AT46" s="27">
        <f t="shared" si="81"/>
        <v>6.4906010060894914E-2</v>
      </c>
      <c r="AU46" s="27">
        <f t="shared" si="81"/>
        <v>6.4612759254397467E-2</v>
      </c>
      <c r="AV46" s="98">
        <f t="shared" si="81"/>
        <v>6.5051102392952309E-2</v>
      </c>
    </row>
    <row r="47" spans="2:48" outlineLevel="1" x14ac:dyDescent="0.3">
      <c r="B47" s="220" t="s">
        <v>44</v>
      </c>
      <c r="C47" s="221"/>
      <c r="D47" s="222">
        <v>0.04</v>
      </c>
      <c r="E47" s="222">
        <v>0</v>
      </c>
      <c r="F47" s="222">
        <v>0.03</v>
      </c>
      <c r="G47" s="222">
        <v>0.03</v>
      </c>
      <c r="H47" s="223"/>
      <c r="I47" s="222">
        <v>0.02</v>
      </c>
      <c r="J47" s="222">
        <v>-7.0000000000000007E-2</v>
      </c>
      <c r="K47" s="222">
        <v>-0.53</v>
      </c>
      <c r="L47" s="224">
        <v>-0.25</v>
      </c>
      <c r="M47" s="223"/>
      <c r="N47" s="222">
        <v>-0.21</v>
      </c>
      <c r="O47" s="222">
        <v>-0.1</v>
      </c>
      <c r="P47" s="222">
        <v>0.82</v>
      </c>
      <c r="Q47" s="222">
        <v>0.18</v>
      </c>
      <c r="R47" s="225"/>
      <c r="S47" s="224">
        <v>0.12</v>
      </c>
      <c r="T47" s="224">
        <v>0.05</v>
      </c>
      <c r="U47" s="224">
        <v>0.01</v>
      </c>
      <c r="V47" s="224">
        <v>0.01</v>
      </c>
      <c r="W47" s="223"/>
      <c r="X47" s="222">
        <v>0.01</v>
      </c>
      <c r="Y47" s="224"/>
      <c r="Z47" s="224"/>
      <c r="AA47" s="224"/>
      <c r="AB47" s="376"/>
      <c r="AC47" s="224"/>
      <c r="AD47" s="224"/>
      <c r="AE47" s="224"/>
      <c r="AF47" s="224"/>
      <c r="AG47" s="225"/>
      <c r="AH47" s="224"/>
      <c r="AI47" s="224"/>
      <c r="AJ47" s="224"/>
      <c r="AK47" s="224"/>
      <c r="AL47" s="225"/>
      <c r="AM47" s="224"/>
      <c r="AN47" s="224"/>
      <c r="AO47" s="224"/>
      <c r="AP47" s="224"/>
      <c r="AQ47" s="225"/>
      <c r="AR47" s="224"/>
      <c r="AS47" s="224"/>
      <c r="AT47" s="224"/>
      <c r="AU47" s="224"/>
      <c r="AV47" s="225"/>
    </row>
    <row r="48" spans="2:48" outlineLevel="1" x14ac:dyDescent="0.3">
      <c r="B48" s="38" t="s">
        <v>43</v>
      </c>
      <c r="C48" s="207"/>
      <c r="D48" s="226">
        <v>0</v>
      </c>
      <c r="E48" s="226">
        <v>0.04</v>
      </c>
      <c r="F48" s="226">
        <v>0.04</v>
      </c>
      <c r="G48" s="226">
        <v>0.03</v>
      </c>
      <c r="H48" s="217"/>
      <c r="I48" s="226">
        <v>0.03</v>
      </c>
      <c r="J48" s="226">
        <v>0.05</v>
      </c>
      <c r="K48" s="226">
        <v>0.27</v>
      </c>
      <c r="L48" s="227">
        <v>0.21</v>
      </c>
      <c r="M48" s="217"/>
      <c r="N48" s="226">
        <v>0.2</v>
      </c>
      <c r="O48" s="226">
        <v>0.22</v>
      </c>
      <c r="P48" s="226">
        <v>0.01</v>
      </c>
      <c r="Q48" s="226">
        <v>0.03</v>
      </c>
      <c r="R48" s="218"/>
      <c r="S48" s="227">
        <v>0.06</v>
      </c>
      <c r="T48" s="227">
        <v>7.0000000000000007E-2</v>
      </c>
      <c r="U48" s="228">
        <v>0.08</v>
      </c>
      <c r="V48" s="228">
        <v>0.1</v>
      </c>
      <c r="W48" s="148"/>
      <c r="X48" s="226">
        <v>0.09</v>
      </c>
      <c r="Y48" s="228"/>
      <c r="Z48" s="228"/>
      <c r="AA48" s="228"/>
      <c r="AB48" s="362"/>
      <c r="AC48" s="228"/>
      <c r="AD48" s="228"/>
      <c r="AE48" s="228"/>
      <c r="AF48" s="228"/>
      <c r="AG48" s="60"/>
      <c r="AH48" s="228"/>
      <c r="AI48" s="228"/>
      <c r="AJ48" s="228"/>
      <c r="AK48" s="228"/>
      <c r="AL48" s="60"/>
      <c r="AM48" s="228"/>
      <c r="AN48" s="228"/>
      <c r="AO48" s="228"/>
      <c r="AP48" s="228"/>
      <c r="AQ48" s="60"/>
      <c r="AR48" s="228"/>
      <c r="AS48" s="228"/>
      <c r="AT48" s="228"/>
      <c r="AU48" s="228"/>
      <c r="AV48" s="60"/>
    </row>
    <row r="49" spans="2:48" s="8" customFormat="1" outlineLevel="1" x14ac:dyDescent="0.3">
      <c r="B49" s="229" t="s">
        <v>45</v>
      </c>
      <c r="C49" s="230"/>
      <c r="D49" s="231">
        <v>0.04</v>
      </c>
      <c r="E49" s="231">
        <v>4.2999999999999997E-2</v>
      </c>
      <c r="F49" s="231">
        <v>7.0000000000000007E-2</v>
      </c>
      <c r="G49" s="231">
        <v>0.06</v>
      </c>
      <c r="H49" s="232"/>
      <c r="I49" s="231">
        <v>0.06</v>
      </c>
      <c r="J49" s="231">
        <v>-0.03</v>
      </c>
      <c r="K49" s="231">
        <v>-0.41</v>
      </c>
      <c r="L49" s="233">
        <v>-0.09</v>
      </c>
      <c r="M49" s="234"/>
      <c r="N49" s="233">
        <v>-0.06</v>
      </c>
      <c r="O49" s="233">
        <v>0.09</v>
      </c>
      <c r="P49" s="231">
        <v>0.84</v>
      </c>
      <c r="Q49" s="231">
        <v>0.22</v>
      </c>
      <c r="R49" s="235"/>
      <c r="S49" s="233">
        <v>0.18</v>
      </c>
      <c r="T49" s="233">
        <v>0.12</v>
      </c>
      <c r="U49" s="231">
        <v>0.09</v>
      </c>
      <c r="V49" s="231">
        <v>0.11</v>
      </c>
      <c r="W49" s="232"/>
      <c r="X49" s="233">
        <v>0.1</v>
      </c>
      <c r="Y49" s="233"/>
      <c r="Z49" s="233"/>
      <c r="AA49" s="233"/>
      <c r="AB49" s="361"/>
      <c r="AC49" s="233"/>
      <c r="AD49" s="233"/>
      <c r="AE49" s="233"/>
      <c r="AF49" s="233"/>
      <c r="AG49" s="232"/>
      <c r="AH49" s="233"/>
      <c r="AI49" s="233"/>
      <c r="AJ49" s="233"/>
      <c r="AK49" s="233"/>
      <c r="AL49" s="232"/>
      <c r="AM49" s="233"/>
      <c r="AN49" s="233"/>
      <c r="AO49" s="233"/>
      <c r="AP49" s="233"/>
      <c r="AQ49" s="232"/>
      <c r="AR49" s="233"/>
      <c r="AS49" s="233"/>
      <c r="AT49" s="233"/>
      <c r="AU49" s="233"/>
      <c r="AV49" s="232"/>
    </row>
    <row r="50" spans="2:48" s="8" customFormat="1" outlineLevel="1" x14ac:dyDescent="0.3">
      <c r="B50" s="597" t="s">
        <v>177</v>
      </c>
      <c r="C50" s="598"/>
      <c r="D50" s="67">
        <v>7876</v>
      </c>
      <c r="E50" s="67">
        <v>7943</v>
      </c>
      <c r="F50" s="117">
        <v>7996</v>
      </c>
      <c r="G50" s="67">
        <v>8093</v>
      </c>
      <c r="H50" s="68"/>
      <c r="I50" s="67">
        <v>8183</v>
      </c>
      <c r="J50" s="67">
        <v>8220</v>
      </c>
      <c r="K50" s="67">
        <v>8218</v>
      </c>
      <c r="L50" s="67">
        <v>6831</v>
      </c>
      <c r="M50" s="68"/>
      <c r="N50" s="67">
        <v>8279</v>
      </c>
      <c r="O50" s="67">
        <f>+N50+O51</f>
        <v>8300</v>
      </c>
      <c r="P50" s="67">
        <f t="shared" ref="P50" si="82">+O50+P51</f>
        <v>8315</v>
      </c>
      <c r="Q50" s="67">
        <v>6965</v>
      </c>
      <c r="R50" s="192"/>
      <c r="S50" s="67">
        <f>+Q50+S51</f>
        <v>6988</v>
      </c>
      <c r="T50" s="67">
        <f>+S50+T51</f>
        <v>6972</v>
      </c>
      <c r="U50" s="67">
        <f t="shared" ref="U50:V50" si="83">+T50+U51</f>
        <v>7000</v>
      </c>
      <c r="V50" s="67">
        <f t="shared" si="83"/>
        <v>7079</v>
      </c>
      <c r="W50" s="253">
        <f>V50</f>
        <v>7079</v>
      </c>
      <c r="X50" s="117">
        <f>+V50+X51</f>
        <v>7125</v>
      </c>
      <c r="Y50" s="67">
        <f>+X50+Y51</f>
        <v>7200</v>
      </c>
      <c r="Z50" s="67">
        <f t="shared" ref="Z50:AA50" si="84">+Y50+Z51</f>
        <v>7275</v>
      </c>
      <c r="AA50" s="67">
        <f t="shared" si="84"/>
        <v>7350</v>
      </c>
      <c r="AB50" s="192">
        <f>AA50</f>
        <v>7350</v>
      </c>
      <c r="AC50" s="67">
        <f>+AA50+AC51</f>
        <v>7432</v>
      </c>
      <c r="AD50" s="67">
        <f>+AC50+AD51</f>
        <v>7514</v>
      </c>
      <c r="AE50" s="67">
        <f t="shared" ref="AE50:AF50" si="85">+AD50+AE51</f>
        <v>7596</v>
      </c>
      <c r="AF50" s="67">
        <f t="shared" si="85"/>
        <v>7679</v>
      </c>
      <c r="AG50" s="192">
        <f>AF50</f>
        <v>7679</v>
      </c>
      <c r="AH50" s="67">
        <f>+AF50+AH51</f>
        <v>7776</v>
      </c>
      <c r="AI50" s="67">
        <f>+AH50+AI51</f>
        <v>7873</v>
      </c>
      <c r="AJ50" s="67">
        <f t="shared" ref="AJ50:AK50" si="86">+AI50+AJ51</f>
        <v>7970</v>
      </c>
      <c r="AK50" s="67">
        <f t="shared" si="86"/>
        <v>8067</v>
      </c>
      <c r="AL50" s="192">
        <f>AK50</f>
        <v>8067</v>
      </c>
      <c r="AM50" s="67">
        <f>+AK50+AM51</f>
        <v>8095</v>
      </c>
      <c r="AN50" s="67">
        <f>+AM50+AN51</f>
        <v>8123</v>
      </c>
      <c r="AO50" s="67">
        <f t="shared" ref="AO50:AP50" si="87">+AN50+AO51</f>
        <v>8151</v>
      </c>
      <c r="AP50" s="67">
        <f t="shared" si="87"/>
        <v>8179</v>
      </c>
      <c r="AQ50" s="192">
        <f>AP50</f>
        <v>8179</v>
      </c>
      <c r="AR50" s="67">
        <f>+AP50+AR51</f>
        <v>8207</v>
      </c>
      <c r="AS50" s="67">
        <f>+AR50+AS51</f>
        <v>8235</v>
      </c>
      <c r="AT50" s="67">
        <f t="shared" ref="AT50:AU50" si="88">+AS50+AT51</f>
        <v>8263</v>
      </c>
      <c r="AU50" s="67">
        <f t="shared" si="88"/>
        <v>8291</v>
      </c>
      <c r="AV50" s="192">
        <f>AU50</f>
        <v>8291</v>
      </c>
    </row>
    <row r="51" spans="2:48" outlineLevel="1" x14ac:dyDescent="0.3">
      <c r="B51" s="180" t="s">
        <v>47</v>
      </c>
      <c r="C51" s="201"/>
      <c r="D51" s="101">
        <f>+D50-7770</f>
        <v>106</v>
      </c>
      <c r="E51" s="101">
        <f>E50-D50</f>
        <v>67</v>
      </c>
      <c r="F51" s="101">
        <f t="shared" ref="F51:G51" si="89">F50-E50</f>
        <v>53</v>
      </c>
      <c r="G51" s="101">
        <f t="shared" si="89"/>
        <v>97</v>
      </c>
      <c r="H51" s="122">
        <f>+SUM(D51:G51)</f>
        <v>323</v>
      </c>
      <c r="I51" s="101">
        <f>I50-G50</f>
        <v>90</v>
      </c>
      <c r="J51" s="101">
        <f t="shared" ref="J51:K51" si="90">J50-I50</f>
        <v>37</v>
      </c>
      <c r="K51" s="101">
        <f t="shared" si="90"/>
        <v>-2</v>
      </c>
      <c r="L51" s="101">
        <v>32</v>
      </c>
      <c r="M51" s="122"/>
      <c r="N51" s="101">
        <v>34</v>
      </c>
      <c r="O51" s="101">
        <v>21</v>
      </c>
      <c r="P51" s="101">
        <v>15</v>
      </c>
      <c r="Q51" s="101">
        <v>73</v>
      </c>
      <c r="R51" s="26"/>
      <c r="S51" s="101">
        <v>23</v>
      </c>
      <c r="T51" s="101">
        <v>-16</v>
      </c>
      <c r="U51" s="101">
        <v>28</v>
      </c>
      <c r="V51" s="101">
        <v>79</v>
      </c>
      <c r="W51" s="122">
        <f>+SUM(S51:V51)</f>
        <v>114</v>
      </c>
      <c r="X51" s="101">
        <v>46</v>
      </c>
      <c r="Y51" s="33">
        <v>75</v>
      </c>
      <c r="Z51" s="33">
        <v>75</v>
      </c>
      <c r="AA51" s="33">
        <v>75</v>
      </c>
      <c r="AB51" s="26">
        <f>+SUM(X51:AA51)</f>
        <v>271</v>
      </c>
      <c r="AC51" s="33">
        <v>82</v>
      </c>
      <c r="AD51" s="33">
        <v>82</v>
      </c>
      <c r="AE51" s="33">
        <v>82</v>
      </c>
      <c r="AF51" s="33">
        <v>83</v>
      </c>
      <c r="AG51" s="26">
        <f>+SUM(AC51:AF51)</f>
        <v>329</v>
      </c>
      <c r="AH51" s="33">
        <v>97</v>
      </c>
      <c r="AI51" s="33">
        <v>97</v>
      </c>
      <c r="AJ51" s="33">
        <v>97</v>
      </c>
      <c r="AK51" s="33">
        <v>97</v>
      </c>
      <c r="AL51" s="26">
        <f>+SUM(AH51:AK51)</f>
        <v>388</v>
      </c>
      <c r="AM51" s="33">
        <v>28</v>
      </c>
      <c r="AN51" s="33">
        <v>28</v>
      </c>
      <c r="AO51" s="33">
        <v>28</v>
      </c>
      <c r="AP51" s="33">
        <v>28</v>
      </c>
      <c r="AQ51" s="26">
        <f>+SUM(AM51:AP51)</f>
        <v>112</v>
      </c>
      <c r="AR51" s="33">
        <v>28</v>
      </c>
      <c r="AS51" s="33">
        <v>28</v>
      </c>
      <c r="AT51" s="33">
        <v>28</v>
      </c>
      <c r="AU51" s="33">
        <v>28</v>
      </c>
      <c r="AV51" s="26">
        <f>+SUM(AR51:AU51)</f>
        <v>112</v>
      </c>
    </row>
    <row r="52" spans="2:48" outlineLevel="1" x14ac:dyDescent="0.3">
      <c r="B52" s="180" t="s">
        <v>49</v>
      </c>
      <c r="C52" s="201"/>
      <c r="D52" s="16">
        <f>AVERAGE(D50,7770)</f>
        <v>7823</v>
      </c>
      <c r="E52" s="16">
        <f>AVERAGE(E50,D50)</f>
        <v>7909.5</v>
      </c>
      <c r="F52" s="16">
        <f t="shared" ref="F52:G52" si="91">AVERAGE(F50,E50)</f>
        <v>7969.5</v>
      </c>
      <c r="G52" s="16">
        <f t="shared" si="91"/>
        <v>8044.5</v>
      </c>
      <c r="H52" s="26"/>
      <c r="I52" s="16">
        <f>AVERAGE(I50,G50)</f>
        <v>8138</v>
      </c>
      <c r="J52" s="16">
        <f>AVERAGE(J50,I50)</f>
        <v>8201.5</v>
      </c>
      <c r="K52" s="16">
        <f t="shared" ref="K52:L52" si="92">AVERAGE(K50,J50)</f>
        <v>8219</v>
      </c>
      <c r="L52" s="16">
        <f t="shared" si="92"/>
        <v>7524.5</v>
      </c>
      <c r="M52" s="6"/>
      <c r="N52" s="16">
        <f>AVERAGE(N50,L50)</f>
        <v>7555</v>
      </c>
      <c r="O52" s="16">
        <f>AVERAGE(O50,N50)</f>
        <v>8289.5</v>
      </c>
      <c r="P52" s="16">
        <f t="shared" ref="P52:Q52" si="93">AVERAGE(P50,O50)</f>
        <v>8307.5</v>
      </c>
      <c r="Q52" s="16">
        <f t="shared" si="93"/>
        <v>7640</v>
      </c>
      <c r="R52" s="6"/>
      <c r="S52" s="16">
        <f>AVERAGE(S50,Q50)</f>
        <v>6976.5</v>
      </c>
      <c r="T52" s="16">
        <f>AVERAGE(T50,S50)</f>
        <v>6980</v>
      </c>
      <c r="U52" s="16">
        <f t="shared" ref="U52:V52" si="94">AVERAGE(U50,T50)</f>
        <v>6986</v>
      </c>
      <c r="V52" s="16">
        <f t="shared" si="94"/>
        <v>7039.5</v>
      </c>
      <c r="W52" s="130"/>
      <c r="X52" s="101">
        <f>AVERAGE(X50,V50)</f>
        <v>7102</v>
      </c>
      <c r="Y52" s="16">
        <f>AVERAGE(Y50,X50)</f>
        <v>7162.5</v>
      </c>
      <c r="Z52" s="16">
        <f t="shared" ref="Z52:AA52" si="95">AVERAGE(Z50,Y50)</f>
        <v>7237.5</v>
      </c>
      <c r="AA52" s="16">
        <f t="shared" si="95"/>
        <v>7312.5</v>
      </c>
      <c r="AB52" s="6"/>
      <c r="AC52" s="16">
        <f>AVERAGE(AC50,AA50)</f>
        <v>7391</v>
      </c>
      <c r="AD52" s="16">
        <f>AVERAGE(AD50,AC50)</f>
        <v>7473</v>
      </c>
      <c r="AE52" s="16">
        <f t="shared" ref="AE52:AF52" si="96">AVERAGE(AE50,AD50)</f>
        <v>7555</v>
      </c>
      <c r="AF52" s="16">
        <f t="shared" si="96"/>
        <v>7637.5</v>
      </c>
      <c r="AG52" s="6"/>
      <c r="AH52" s="16">
        <f>AVERAGE(AH50,AF50)</f>
        <v>7727.5</v>
      </c>
      <c r="AI52" s="16">
        <f>AVERAGE(AI50,AH50)</f>
        <v>7824.5</v>
      </c>
      <c r="AJ52" s="16">
        <f t="shared" ref="AJ52:AK52" si="97">AVERAGE(AJ50,AI50)</f>
        <v>7921.5</v>
      </c>
      <c r="AK52" s="16">
        <f t="shared" si="97"/>
        <v>8018.5</v>
      </c>
      <c r="AL52" s="6"/>
      <c r="AM52" s="16">
        <f>AVERAGE(AM50,AK50)</f>
        <v>8081</v>
      </c>
      <c r="AN52" s="16">
        <f>AVERAGE(AN50,AM50)</f>
        <v>8109</v>
      </c>
      <c r="AO52" s="16">
        <f t="shared" ref="AO52:AP52" si="98">AVERAGE(AO50,AN50)</f>
        <v>8137</v>
      </c>
      <c r="AP52" s="16">
        <f t="shared" si="98"/>
        <v>8165</v>
      </c>
      <c r="AQ52" s="6"/>
      <c r="AR52" s="16">
        <f>AVERAGE(AR50,AP50)</f>
        <v>8193</v>
      </c>
      <c r="AS52" s="16">
        <f>AVERAGE(AS50,AR50)</f>
        <v>8221</v>
      </c>
      <c r="AT52" s="16">
        <f t="shared" ref="AT52:AU52" si="99">AVERAGE(AT50,AS50)</f>
        <v>8249</v>
      </c>
      <c r="AU52" s="16">
        <f t="shared" si="99"/>
        <v>8277</v>
      </c>
      <c r="AV52" s="6"/>
    </row>
    <row r="53" spans="2:48" outlineLevel="1" x14ac:dyDescent="0.3">
      <c r="B53" s="180" t="s">
        <v>202</v>
      </c>
      <c r="C53" s="201"/>
      <c r="D53" s="43">
        <f>+D54/D52</f>
        <v>6.5780391154288645E-2</v>
      </c>
      <c r="E53" s="43">
        <f>+E54/E52</f>
        <v>5.8549845122953414E-2</v>
      </c>
      <c r="F53" s="43">
        <f>+F54/F52</f>
        <v>6.2274923144488362E-2</v>
      </c>
      <c r="G53" s="114">
        <f t="shared" ref="G53:S53" si="100">+G54/G52</f>
        <v>6.016533034992852E-2</v>
      </c>
      <c r="H53" s="127"/>
      <c r="I53" s="114">
        <f t="shared" si="100"/>
        <v>6.6023593020398133E-2</v>
      </c>
      <c r="J53" s="114">
        <f t="shared" si="100"/>
        <v>5.6599402548314331E-2</v>
      </c>
      <c r="K53" s="114">
        <f t="shared" si="100"/>
        <v>2.8653120817617714E-2</v>
      </c>
      <c r="L53" s="114">
        <f t="shared" si="100"/>
        <v>4.4773739118878331E-2</v>
      </c>
      <c r="M53" s="6"/>
      <c r="N53" s="114">
        <f t="shared" si="100"/>
        <v>5.5089344804765052E-2</v>
      </c>
      <c r="O53" s="114">
        <f t="shared" si="100"/>
        <v>4.7554134748778572E-2</v>
      </c>
      <c r="P53" s="114">
        <f t="shared" si="100"/>
        <v>5.6394823954258204E-2</v>
      </c>
      <c r="Q53" s="114">
        <f t="shared" si="100"/>
        <v>6.6295811518324602E-2</v>
      </c>
      <c r="R53" s="6"/>
      <c r="S53" s="114">
        <f t="shared" si="100"/>
        <v>7.3948254855586606E-2</v>
      </c>
      <c r="T53" s="114">
        <f>+T54/T52</f>
        <v>7.2636103151862461E-2</v>
      </c>
      <c r="U53" s="114">
        <f>+U54/U52</f>
        <v>7.7898654451760668E-2</v>
      </c>
      <c r="V53" s="114">
        <f>+V54/V52</f>
        <v>8.2875204204844094E-2</v>
      </c>
      <c r="W53" s="130"/>
      <c r="X53" s="114">
        <f t="shared" ref="X53" si="101">+X54/X52</f>
        <v>9.5747676710785698E-2</v>
      </c>
      <c r="Y53" s="62">
        <f>T53*1.1</f>
        <v>7.9899713467048716E-2</v>
      </c>
      <c r="Z53" s="62">
        <f>U53*1.05</f>
        <v>8.1793587174348703E-2</v>
      </c>
      <c r="AA53" s="62">
        <f>V53*1.05</f>
        <v>8.7018964415086303E-2</v>
      </c>
      <c r="AB53" s="378"/>
      <c r="AC53" s="62">
        <f>X53*1.05</f>
        <v>0.10053506054632498</v>
      </c>
      <c r="AD53" s="62">
        <f>Y53*1.05</f>
        <v>8.3894699140401152E-2</v>
      </c>
      <c r="AE53" s="62">
        <f>Z53*1.05</f>
        <v>8.5883266533066147E-2</v>
      </c>
      <c r="AF53" s="62">
        <f>AA53*1.05</f>
        <v>9.1369912635840628E-2</v>
      </c>
      <c r="AG53" s="378"/>
      <c r="AH53" s="62">
        <f>AC53*1.07</f>
        <v>0.10757251478456774</v>
      </c>
      <c r="AI53" s="62">
        <f>AD53*1.07</f>
        <v>8.9767328080229233E-2</v>
      </c>
      <c r="AJ53" s="62">
        <f>AE53*1.07</f>
        <v>9.1895095190380777E-2</v>
      </c>
      <c r="AK53" s="62">
        <f>AF53*1.07</f>
        <v>9.7765806520349482E-2</v>
      </c>
      <c r="AL53" s="379"/>
      <c r="AM53" s="477">
        <f>AH53*1.05</f>
        <v>0.11295114052379612</v>
      </c>
      <c r="AN53" s="477">
        <f>AI53*1.05</f>
        <v>9.4255694484240704E-2</v>
      </c>
      <c r="AO53" s="477">
        <f>AJ53*1.05</f>
        <v>9.6489849949899814E-2</v>
      </c>
      <c r="AP53" s="477">
        <f>AK53*1.05</f>
        <v>0.10265409684636696</v>
      </c>
      <c r="AQ53" s="97"/>
      <c r="AR53" s="477">
        <f>AM53*1.03</f>
        <v>0.11633967473951001</v>
      </c>
      <c r="AS53" s="477">
        <f>AN53*1.03</f>
        <v>9.7083365318767934E-2</v>
      </c>
      <c r="AT53" s="477">
        <f>AO53*1.03</f>
        <v>9.938454544839681E-2</v>
      </c>
      <c r="AU53" s="477">
        <f>AP53*1.03</f>
        <v>0.10573371975175798</v>
      </c>
      <c r="AV53" s="6"/>
    </row>
    <row r="54" spans="2:48" s="8" customFormat="1" outlineLevel="1" x14ac:dyDescent="0.3">
      <c r="B54" s="603" t="s">
        <v>178</v>
      </c>
      <c r="C54" s="604"/>
      <c r="D54" s="115">
        <v>514.6</v>
      </c>
      <c r="E54" s="115">
        <v>463.1</v>
      </c>
      <c r="F54" s="115">
        <v>496.3</v>
      </c>
      <c r="G54" s="115">
        <v>484</v>
      </c>
      <c r="H54" s="153"/>
      <c r="I54" s="115">
        <v>537.29999999999995</v>
      </c>
      <c r="J54" s="115">
        <v>464.2</v>
      </c>
      <c r="K54" s="115">
        <v>235.5</v>
      </c>
      <c r="L54" s="72">
        <v>336.9</v>
      </c>
      <c r="M54" s="73"/>
      <c r="N54" s="72">
        <v>416.2</v>
      </c>
      <c r="O54" s="72">
        <v>394.2</v>
      </c>
      <c r="P54" s="72">
        <v>468.5</v>
      </c>
      <c r="Q54" s="115">
        <v>506.5</v>
      </c>
      <c r="R54" s="73"/>
      <c r="S54" s="72">
        <v>515.9</v>
      </c>
      <c r="T54" s="72">
        <v>507</v>
      </c>
      <c r="U54" s="72">
        <v>544.20000000000005</v>
      </c>
      <c r="V54" s="72">
        <v>583.4</v>
      </c>
      <c r="W54" s="213">
        <f>SUM(S54:V54)</f>
        <v>2150.5</v>
      </c>
      <c r="X54" s="115">
        <v>680</v>
      </c>
      <c r="Y54" s="72">
        <f>+Y52*Y53</f>
        <v>572.28169770773638</v>
      </c>
      <c r="Z54" s="72">
        <f t="shared" ref="Z54:AA54" si="102">+Z52*Z53</f>
        <v>591.98108717434877</v>
      </c>
      <c r="AA54" s="72">
        <f t="shared" si="102"/>
        <v>636.32617728531864</v>
      </c>
      <c r="AB54" s="73">
        <f>SUM(X54:AA54)</f>
        <v>2480.5889621674041</v>
      </c>
      <c r="AC54" s="72">
        <f>+AC52*AC53</f>
        <v>743.05463249788795</v>
      </c>
      <c r="AD54" s="72">
        <f>+AD52*AD53</f>
        <v>626.94508667621778</v>
      </c>
      <c r="AE54" s="72">
        <f t="shared" ref="AE54:AF54" si="103">+AE52*AE53</f>
        <v>648.84807865731477</v>
      </c>
      <c r="AF54" s="72">
        <f t="shared" si="103"/>
        <v>697.83770775623282</v>
      </c>
      <c r="AG54" s="73">
        <f>SUM(AC54:AF54)</f>
        <v>2716.6855055876536</v>
      </c>
      <c r="AH54" s="72">
        <f>+AH52*AH53</f>
        <v>831.2666079977472</v>
      </c>
      <c r="AI54" s="72">
        <f>+AI52*AI53</f>
        <v>702.38445856375358</v>
      </c>
      <c r="AJ54" s="72">
        <f t="shared" ref="AJ54:AK54" si="104">+AJ52*AJ53</f>
        <v>727.94699655060128</v>
      </c>
      <c r="AK54" s="72">
        <f t="shared" si="104"/>
        <v>783.93511958342231</v>
      </c>
      <c r="AL54" s="73">
        <f>SUM(AH54:AK54)</f>
        <v>3045.5331826955244</v>
      </c>
      <c r="AM54" s="72">
        <f>+AM52*AM53</f>
        <v>912.75816657279643</v>
      </c>
      <c r="AN54" s="72">
        <f>+AN52*AN53</f>
        <v>764.31942657270793</v>
      </c>
      <c r="AO54" s="72">
        <f t="shared" ref="AO54:AP54" si="105">+AO52*AO53</f>
        <v>785.13790904233474</v>
      </c>
      <c r="AP54" s="72">
        <f t="shared" si="105"/>
        <v>838.17070075058621</v>
      </c>
      <c r="AQ54" s="73">
        <f>SUM(AM54:AP54)</f>
        <v>3300.386202938425</v>
      </c>
      <c r="AR54" s="72">
        <f>+AR52*AR53</f>
        <v>953.17095514080552</v>
      </c>
      <c r="AS54" s="72">
        <f>+AS52*AS53</f>
        <v>798.12234628559122</v>
      </c>
      <c r="AT54" s="72">
        <f t="shared" ref="AT54:AU54" si="106">+AT52*AT53</f>
        <v>819.82311540382534</v>
      </c>
      <c r="AU54" s="72">
        <f t="shared" si="106"/>
        <v>875.15799838530074</v>
      </c>
      <c r="AV54" s="73">
        <f>SUM(AR54:AU54)</f>
        <v>3446.2744152155228</v>
      </c>
    </row>
    <row r="55" spans="2:48" s="8" customFormat="1" outlineLevel="1" x14ac:dyDescent="0.3">
      <c r="B55" s="587" t="s">
        <v>179</v>
      </c>
      <c r="C55" s="588"/>
      <c r="D55" s="103">
        <v>5.7</v>
      </c>
      <c r="E55" s="103">
        <v>1.4</v>
      </c>
      <c r="F55" s="103">
        <v>2.6</v>
      </c>
      <c r="G55" s="103">
        <v>3.2</v>
      </c>
      <c r="H55" s="154"/>
      <c r="I55" s="103">
        <v>2.6</v>
      </c>
      <c r="J55" s="103">
        <v>2.2000000000000002</v>
      </c>
      <c r="K55" s="103">
        <v>1.1000000000000001</v>
      </c>
      <c r="L55" s="50">
        <v>1.7</v>
      </c>
      <c r="M55" s="97"/>
      <c r="N55" s="50">
        <v>2.2000000000000002</v>
      </c>
      <c r="O55" s="50">
        <v>2</v>
      </c>
      <c r="P55" s="50">
        <v>2</v>
      </c>
      <c r="Q55" s="103">
        <v>2.2000000000000002</v>
      </c>
      <c r="R55" s="191"/>
      <c r="S55" s="50">
        <v>2.2999999999999998</v>
      </c>
      <c r="T55" s="50">
        <v>2.4</v>
      </c>
      <c r="U55" s="50">
        <v>1</v>
      </c>
      <c r="V55" s="50">
        <v>0.5</v>
      </c>
      <c r="W55" s="166">
        <f>SUM(S55:V55)</f>
        <v>6.1999999999999993</v>
      </c>
      <c r="X55" s="103">
        <v>0.7</v>
      </c>
      <c r="Y55" s="50">
        <f>+T55*(1+Y56)</f>
        <v>1.968</v>
      </c>
      <c r="Z55" s="50">
        <f>+U55*(1+Z56)</f>
        <v>1.95</v>
      </c>
      <c r="AA55" s="50">
        <f t="shared" ref="AA55" si="107">+V55*(1+AA56)</f>
        <v>0.5</v>
      </c>
      <c r="AB55" s="191">
        <f>SUM(X55:AA55)</f>
        <v>5.1180000000000003</v>
      </c>
      <c r="AC55" s="50">
        <f>+X55*(1+AC56)</f>
        <v>0.7</v>
      </c>
      <c r="AD55" s="50">
        <f>+Y55*(1+AD56)</f>
        <v>1.968</v>
      </c>
      <c r="AE55" s="50">
        <f>+Z55*(1+AE56)</f>
        <v>1.95</v>
      </c>
      <c r="AF55" s="50">
        <f t="shared" ref="AF55" si="108">+AA55*(1+AF56)</f>
        <v>0.5</v>
      </c>
      <c r="AG55" s="191">
        <f>SUM(AC55:AF55)</f>
        <v>5.1180000000000003</v>
      </c>
      <c r="AH55" s="50">
        <f>+AC55*(1+AH56)</f>
        <v>0.7</v>
      </c>
      <c r="AI55" s="50">
        <f>+AD55*(1+AI56)</f>
        <v>1.968</v>
      </c>
      <c r="AJ55" s="50">
        <f>+AE55*(1+AJ56)</f>
        <v>1.95</v>
      </c>
      <c r="AK55" s="50">
        <f t="shared" ref="AK55" si="109">+AF55*(1+AK56)</f>
        <v>0.5</v>
      </c>
      <c r="AL55" s="191">
        <f>SUM(AH55:AK55)</f>
        <v>5.1180000000000003</v>
      </c>
      <c r="AM55" s="50">
        <f>+AH55*(1+AM56)</f>
        <v>0.7</v>
      </c>
      <c r="AN55" s="50">
        <f>+AI55*(1+AN56)</f>
        <v>1.968</v>
      </c>
      <c r="AO55" s="50">
        <f>+AJ55*(1+AO56)</f>
        <v>1.95</v>
      </c>
      <c r="AP55" s="50">
        <f t="shared" ref="AP55" si="110">+AK55*(1+AP56)</f>
        <v>0.5</v>
      </c>
      <c r="AQ55" s="191">
        <f>SUM(AM55:AP55)</f>
        <v>5.1180000000000003</v>
      </c>
      <c r="AR55" s="50">
        <f>+AM55*(1+AR56)</f>
        <v>0.7</v>
      </c>
      <c r="AS55" s="50">
        <f>+AN55*(1+AS56)</f>
        <v>1.968</v>
      </c>
      <c r="AT55" s="50">
        <f>+AO55*(1+AT56)</f>
        <v>1.95</v>
      </c>
      <c r="AU55" s="50">
        <f t="shared" ref="AU55" si="111">+AP55*(1+AU56)</f>
        <v>0.5</v>
      </c>
      <c r="AV55" s="191">
        <f>SUM(AR55:AU55)</f>
        <v>5.1180000000000003</v>
      </c>
    </row>
    <row r="56" spans="2:48" outlineLevel="1" x14ac:dyDescent="0.3">
      <c r="B56" s="69" t="s">
        <v>50</v>
      </c>
      <c r="C56" s="70"/>
      <c r="D56" s="120"/>
      <c r="E56" s="120"/>
      <c r="F56" s="120"/>
      <c r="G56" s="120"/>
      <c r="H56" s="155"/>
      <c r="I56" s="120">
        <f>I55/D55-1</f>
        <v>-0.54385964912280704</v>
      </c>
      <c r="J56" s="120">
        <f t="shared" ref="J56" si="112">J55/E55-1</f>
        <v>0.57142857142857162</v>
      </c>
      <c r="K56" s="120">
        <f>K55/F55-1</f>
        <v>-0.57692307692307687</v>
      </c>
      <c r="L56" s="120">
        <f>L55/G55-1</f>
        <v>-0.46875</v>
      </c>
      <c r="M56" s="58"/>
      <c r="N56" s="120">
        <f>N55/I55-1</f>
        <v>-0.15384615384615385</v>
      </c>
      <c r="O56" s="120">
        <f t="shared" ref="O56" si="113">O55/J55-1</f>
        <v>-9.0909090909090939E-2</v>
      </c>
      <c r="P56" s="120">
        <f>P55/K55-1</f>
        <v>0.81818181818181812</v>
      </c>
      <c r="Q56" s="120">
        <f>Q55/L55-1</f>
        <v>0.29411764705882359</v>
      </c>
      <c r="R56" s="58"/>
      <c r="S56" s="120">
        <f>S55/N55-1</f>
        <v>4.5454545454545192E-2</v>
      </c>
      <c r="T56" s="120">
        <f t="shared" ref="T56:U56" si="114">T55/O55-1</f>
        <v>0.19999999999999996</v>
      </c>
      <c r="U56" s="120">
        <f t="shared" si="114"/>
        <v>-0.5</v>
      </c>
      <c r="V56" s="120">
        <f>V55/Q55-1</f>
        <v>-0.77272727272727271</v>
      </c>
      <c r="W56" s="155"/>
      <c r="X56" s="120">
        <f>X55/S55-1</f>
        <v>-0.69565217391304346</v>
      </c>
      <c r="Y56" s="71">
        <v>-0.18</v>
      </c>
      <c r="Z56" s="71">
        <v>0.95</v>
      </c>
      <c r="AA56" s="71">
        <v>0</v>
      </c>
      <c r="AB56" s="374"/>
      <c r="AC56" s="71">
        <v>0</v>
      </c>
      <c r="AD56" s="71">
        <v>0</v>
      </c>
      <c r="AE56" s="71">
        <v>0</v>
      </c>
      <c r="AF56" s="71">
        <v>0</v>
      </c>
      <c r="AG56" s="58"/>
      <c r="AH56" s="71">
        <v>0</v>
      </c>
      <c r="AI56" s="71">
        <v>0</v>
      </c>
      <c r="AJ56" s="71">
        <v>0</v>
      </c>
      <c r="AK56" s="71">
        <v>0</v>
      </c>
      <c r="AL56" s="58"/>
      <c r="AM56" s="71">
        <v>0</v>
      </c>
      <c r="AN56" s="71">
        <v>0</v>
      </c>
      <c r="AO56" s="71">
        <v>0</v>
      </c>
      <c r="AP56" s="71">
        <v>0</v>
      </c>
      <c r="AQ56" s="58"/>
      <c r="AR56" s="71">
        <v>0</v>
      </c>
      <c r="AS56" s="71">
        <v>0</v>
      </c>
      <c r="AT56" s="71">
        <v>0</v>
      </c>
      <c r="AU56" s="71">
        <v>0</v>
      </c>
      <c r="AV56" s="58"/>
    </row>
    <row r="57" spans="2:48" outlineLevel="1" x14ac:dyDescent="0.3">
      <c r="B57" s="180" t="s">
        <v>180</v>
      </c>
      <c r="C57" s="207"/>
      <c r="D57" s="101">
        <f t="shared" ref="D57:G58" si="115">+D50+D41</f>
        <v>17653</v>
      </c>
      <c r="E57" s="101">
        <f t="shared" si="115"/>
        <v>17719</v>
      </c>
      <c r="F57" s="101">
        <f t="shared" si="115"/>
        <v>17853</v>
      </c>
      <c r="G57" s="101">
        <f t="shared" si="115"/>
        <v>18067</v>
      </c>
      <c r="H57" s="122"/>
      <c r="I57" s="101">
        <f t="shared" ref="I57:L58" si="116">+I50+I41</f>
        <v>18203</v>
      </c>
      <c r="J57" s="101">
        <f t="shared" si="116"/>
        <v>18271</v>
      </c>
      <c r="K57" s="101">
        <f t="shared" si="116"/>
        <v>18235</v>
      </c>
      <c r="L57" s="16">
        <f t="shared" si="116"/>
        <v>16940</v>
      </c>
      <c r="M57" s="6"/>
      <c r="N57" s="16">
        <f t="shared" ref="N57:Q58" si="117">+N50+N41</f>
        <v>18308</v>
      </c>
      <c r="O57" s="16">
        <f t="shared" si="117"/>
        <v>18120</v>
      </c>
      <c r="P57" s="16">
        <f t="shared" si="117"/>
        <v>18175</v>
      </c>
      <c r="Q57" s="101">
        <f t="shared" si="117"/>
        <v>16826</v>
      </c>
      <c r="R57" s="6"/>
      <c r="S57" s="16">
        <f t="shared" ref="S57:V58" si="118">+S50+S41</f>
        <v>16888</v>
      </c>
      <c r="T57" s="16">
        <f t="shared" si="118"/>
        <v>16926</v>
      </c>
      <c r="U57" s="16">
        <f t="shared" si="118"/>
        <v>17050</v>
      </c>
      <c r="V57" s="16">
        <f t="shared" si="118"/>
        <v>17295</v>
      </c>
      <c r="W57" s="254">
        <f>W58/Q57</f>
        <v>2.7873529062165697E-2</v>
      </c>
      <c r="X57" s="101">
        <f t="shared" ref="X57:AA58" si="119">+X50+X41</f>
        <v>17381</v>
      </c>
      <c r="Y57" s="16">
        <f t="shared" si="119"/>
        <v>17523</v>
      </c>
      <c r="Z57" s="16">
        <f t="shared" si="119"/>
        <v>17665</v>
      </c>
      <c r="AA57" s="16">
        <f t="shared" si="119"/>
        <v>17807</v>
      </c>
      <c r="AB57" s="254">
        <f>AB58/V57</f>
        <v>2.9603931772188494E-2</v>
      </c>
      <c r="AC57" s="16">
        <f t="shared" ref="AC57:AF58" si="120">+AC50+AC41</f>
        <v>17961</v>
      </c>
      <c r="AD57" s="16">
        <f t="shared" si="120"/>
        <v>18115</v>
      </c>
      <c r="AE57" s="16">
        <f t="shared" si="120"/>
        <v>18270</v>
      </c>
      <c r="AF57" s="16">
        <f t="shared" si="120"/>
        <v>18426</v>
      </c>
      <c r="AG57" s="254">
        <f>AG58/AA57</f>
        <v>3.4761610602572025E-2</v>
      </c>
      <c r="AH57" s="16">
        <f t="shared" ref="AH57:AK58" si="121">+AH50+AH41</f>
        <v>18609</v>
      </c>
      <c r="AI57" s="16">
        <f t="shared" si="121"/>
        <v>18792</v>
      </c>
      <c r="AJ57" s="16">
        <f t="shared" si="121"/>
        <v>18975</v>
      </c>
      <c r="AK57" s="16">
        <f t="shared" si="121"/>
        <v>19158</v>
      </c>
      <c r="AL57" s="254">
        <f>AL58/AF57</f>
        <v>3.9726473461413218E-2</v>
      </c>
      <c r="AM57" s="16">
        <f t="shared" ref="AM57:AP58" si="122">+AM50+AM41</f>
        <v>19282</v>
      </c>
      <c r="AN57" s="16">
        <f t="shared" si="122"/>
        <v>19406</v>
      </c>
      <c r="AO57" s="16">
        <f t="shared" si="122"/>
        <v>19530</v>
      </c>
      <c r="AP57" s="16">
        <f t="shared" si="122"/>
        <v>19654</v>
      </c>
      <c r="AQ57" s="254">
        <f>AQ58/AK57</f>
        <v>2.5889967637540454E-2</v>
      </c>
      <c r="AR57" s="16">
        <f t="shared" ref="AR57:AU58" si="123">+AR50+AR41</f>
        <v>19778</v>
      </c>
      <c r="AS57" s="16">
        <f t="shared" si="123"/>
        <v>19902</v>
      </c>
      <c r="AT57" s="16">
        <f t="shared" si="123"/>
        <v>20026</v>
      </c>
      <c r="AU57" s="16">
        <f t="shared" si="123"/>
        <v>20150</v>
      </c>
      <c r="AV57" s="254">
        <f>AV58/AP57</f>
        <v>2.5236593059936908E-2</v>
      </c>
    </row>
    <row r="58" spans="2:48" outlineLevel="1" x14ac:dyDescent="0.3">
      <c r="B58" s="180" t="s">
        <v>181</v>
      </c>
      <c r="C58" s="207"/>
      <c r="D58" s="101">
        <f t="shared" si="115"/>
        <v>193</v>
      </c>
      <c r="E58" s="101">
        <f t="shared" si="115"/>
        <v>66</v>
      </c>
      <c r="F58" s="101">
        <f t="shared" si="115"/>
        <v>134</v>
      </c>
      <c r="G58" s="101">
        <f t="shared" si="115"/>
        <v>214</v>
      </c>
      <c r="H58" s="122">
        <f>+H51+H42</f>
        <v>607</v>
      </c>
      <c r="I58" s="101">
        <f t="shared" si="116"/>
        <v>136</v>
      </c>
      <c r="J58" s="101">
        <f t="shared" si="116"/>
        <v>68</v>
      </c>
      <c r="K58" s="101">
        <f t="shared" si="116"/>
        <v>-36</v>
      </c>
      <c r="L58" s="16">
        <f t="shared" si="116"/>
        <v>124</v>
      </c>
      <c r="M58" s="122"/>
      <c r="N58" s="16">
        <f t="shared" si="117"/>
        <v>-46</v>
      </c>
      <c r="O58" s="16">
        <f t="shared" si="117"/>
        <v>-188</v>
      </c>
      <c r="P58" s="16">
        <f t="shared" si="117"/>
        <v>55</v>
      </c>
      <c r="Q58" s="101">
        <f t="shared" si="117"/>
        <v>74</v>
      </c>
      <c r="R58" s="122"/>
      <c r="S58" s="16">
        <f t="shared" si="118"/>
        <v>62</v>
      </c>
      <c r="T58" s="16">
        <f t="shared" si="118"/>
        <v>38</v>
      </c>
      <c r="U58" s="16">
        <f t="shared" si="118"/>
        <v>124</v>
      </c>
      <c r="V58" s="16">
        <f t="shared" si="118"/>
        <v>245</v>
      </c>
      <c r="W58" s="122">
        <f>+W51+W42</f>
        <v>469</v>
      </c>
      <c r="X58" s="101">
        <f t="shared" si="119"/>
        <v>86</v>
      </c>
      <c r="Y58" s="16">
        <f t="shared" si="119"/>
        <v>142</v>
      </c>
      <c r="Z58" s="16">
        <f t="shared" si="119"/>
        <v>142</v>
      </c>
      <c r="AA58" s="16">
        <f t="shared" si="119"/>
        <v>142</v>
      </c>
      <c r="AB58" s="122">
        <f>+AB51+AB42</f>
        <v>512</v>
      </c>
      <c r="AC58" s="16">
        <f t="shared" si="120"/>
        <v>154</v>
      </c>
      <c r="AD58" s="16">
        <f t="shared" si="120"/>
        <v>154</v>
      </c>
      <c r="AE58" s="16">
        <f t="shared" si="120"/>
        <v>155</v>
      </c>
      <c r="AF58" s="16">
        <f t="shared" si="120"/>
        <v>156</v>
      </c>
      <c r="AG58" s="122">
        <f>+AG51+AG42</f>
        <v>619</v>
      </c>
      <c r="AH58" s="16">
        <f t="shared" si="121"/>
        <v>183</v>
      </c>
      <c r="AI58" s="16">
        <f t="shared" si="121"/>
        <v>183</v>
      </c>
      <c r="AJ58" s="16">
        <f t="shared" si="121"/>
        <v>183</v>
      </c>
      <c r="AK58" s="16">
        <f t="shared" si="121"/>
        <v>183</v>
      </c>
      <c r="AL58" s="122">
        <f>+AL51+AL42</f>
        <v>732</v>
      </c>
      <c r="AM58" s="16">
        <f t="shared" si="122"/>
        <v>124</v>
      </c>
      <c r="AN58" s="16">
        <f t="shared" si="122"/>
        <v>124</v>
      </c>
      <c r="AO58" s="16">
        <f t="shared" si="122"/>
        <v>124</v>
      </c>
      <c r="AP58" s="16">
        <f t="shared" si="122"/>
        <v>124</v>
      </c>
      <c r="AQ58" s="122">
        <f>+AQ51+AQ42</f>
        <v>496</v>
      </c>
      <c r="AR58" s="16">
        <f t="shared" si="123"/>
        <v>124</v>
      </c>
      <c r="AS58" s="16">
        <f t="shared" si="123"/>
        <v>124</v>
      </c>
      <c r="AT58" s="16">
        <f t="shared" si="123"/>
        <v>124</v>
      </c>
      <c r="AU58" s="16">
        <f t="shared" si="123"/>
        <v>124</v>
      </c>
      <c r="AV58" s="122">
        <f>+AV51+AV42</f>
        <v>496</v>
      </c>
    </row>
    <row r="59" spans="2:48" outlineLevel="1" x14ac:dyDescent="0.3">
      <c r="B59" s="605" t="s">
        <v>182</v>
      </c>
      <c r="C59" s="606"/>
      <c r="D59" s="115">
        <f>+D55+D54+D45</f>
        <v>4612.5</v>
      </c>
      <c r="E59" s="115">
        <f>+E55+E54+E45</f>
        <v>4314.1000000000004</v>
      </c>
      <c r="F59" s="115">
        <f>+F55+F54+F45</f>
        <v>4681.0999999999995</v>
      </c>
      <c r="G59" s="115">
        <f>+G55+G54+G45</f>
        <v>4651.3999999999996</v>
      </c>
      <c r="H59" s="132">
        <f>SUM(D59:G59)</f>
        <v>18259.099999999999</v>
      </c>
      <c r="I59" s="115">
        <f>+I55+I54+I45</f>
        <v>5010.8999999999996</v>
      </c>
      <c r="J59" s="115">
        <f>+J55+J54+J45</f>
        <v>4330</v>
      </c>
      <c r="K59" s="115">
        <f>+K55+K54+K45</f>
        <v>2805.5</v>
      </c>
      <c r="L59" s="72">
        <f>+L55+L54+L45</f>
        <v>4213.9000000000005</v>
      </c>
      <c r="M59" s="97"/>
      <c r="N59" s="72">
        <f>+N55+N54+N45</f>
        <v>4703.2</v>
      </c>
      <c r="O59" s="72">
        <f>+O55+O54+O45</f>
        <v>4664.5999999999995</v>
      </c>
      <c r="P59" s="72">
        <f>+P55+P54+P45</f>
        <v>5400.3</v>
      </c>
      <c r="Q59" s="115">
        <f>+Q55+Q54+Q45</f>
        <v>5763</v>
      </c>
      <c r="R59" s="97"/>
      <c r="S59" s="72">
        <f>+S55+S54+S45</f>
        <v>5732.3</v>
      </c>
      <c r="T59" s="72">
        <f>+T55+T54+T45</f>
        <v>5445.7</v>
      </c>
      <c r="U59" s="72">
        <f>+U55+U54+U45</f>
        <v>6058.4</v>
      </c>
      <c r="V59" s="72">
        <f>+V55+V54+V45</f>
        <v>6134.4</v>
      </c>
      <c r="W59" s="97">
        <f>SUM(S59:V59)</f>
        <v>23370.800000000003</v>
      </c>
      <c r="X59" s="115">
        <f>+X55+X54+X45</f>
        <v>6551.3</v>
      </c>
      <c r="Y59" s="72">
        <f>+Y55+Y54+Y45</f>
        <v>6048.9654194262821</v>
      </c>
      <c r="Z59" s="72">
        <f>+Z55+Z54+Z45</f>
        <v>6587.9651393639115</v>
      </c>
      <c r="AA59" s="72">
        <f>+AA55+AA54+AA45</f>
        <v>6631.93311377994</v>
      </c>
      <c r="AB59" s="97">
        <f>SUM(X59:AA59)</f>
        <v>25820.163672570132</v>
      </c>
      <c r="AC59" s="72">
        <f>+AC55+AC54+AC45</f>
        <v>7062.6503036584982</v>
      </c>
      <c r="AD59" s="72">
        <f>+AD55+AD54+AD45</f>
        <v>6531.278622412091</v>
      </c>
      <c r="AE59" s="72">
        <f>+AE55+AE54+AE45</f>
        <v>7115.2999945241409</v>
      </c>
      <c r="AF59" s="72">
        <f>+AF55+AF54+AF45</f>
        <v>7166.5223372465134</v>
      </c>
      <c r="AG59" s="97">
        <f>SUM(AC59:AF59)</f>
        <v>27875.751257841242</v>
      </c>
      <c r="AH59" s="72">
        <f>+AH55+AH54+AH45</f>
        <v>7784.5584494397172</v>
      </c>
      <c r="AI59" s="72">
        <f>+AI55+AI54+AI45</f>
        <v>7205.792732707605</v>
      </c>
      <c r="AJ59" s="72">
        <f>+AJ55+AJ54+AJ45</f>
        <v>7857.9196430233069</v>
      </c>
      <c r="AK59" s="72">
        <f>+AK55+AK54+AK45</f>
        <v>7923.4798935595409</v>
      </c>
      <c r="AL59" s="97">
        <f>SUM(AH59:AK59)</f>
        <v>30771.750718730167</v>
      </c>
      <c r="AM59" s="72">
        <f>+AM55+AM54+AM45</f>
        <v>8449.8035370930193</v>
      </c>
      <c r="AN59" s="72">
        <f>+AN55+AN54+AN45</f>
        <v>7818.1323653375557</v>
      </c>
      <c r="AO59" s="72">
        <f>+AO55+AO54+AO45</f>
        <v>8523.4504193088305</v>
      </c>
      <c r="AP59" s="72">
        <f>+AP55+AP54+AP45</f>
        <v>8591.8167782158616</v>
      </c>
      <c r="AQ59" s="97">
        <f>SUM(AM59:AP59)</f>
        <v>33383.203099955266</v>
      </c>
      <c r="AR59" s="72">
        <f>+AR55+AR54+AR45</f>
        <v>8983.9047944118065</v>
      </c>
      <c r="AS59" s="72">
        <f>+AS55+AS54+AS45</f>
        <v>8311.7457031003705</v>
      </c>
      <c r="AT59" s="72">
        <f>+AT55+AT54+AT45</f>
        <v>9060.2720485964091</v>
      </c>
      <c r="AU59" s="72">
        <f>+AU55+AU54+AU45</f>
        <v>9129.756236818017</v>
      </c>
      <c r="AV59" s="97">
        <f>SUM(AR59:AU59)</f>
        <v>35485.678782926603</v>
      </c>
    </row>
    <row r="60" spans="2:48" outlineLevel="1" x14ac:dyDescent="0.3">
      <c r="B60" s="607" t="s">
        <v>100</v>
      </c>
      <c r="C60" s="608"/>
      <c r="D60" s="105">
        <v>1351.3</v>
      </c>
      <c r="E60" s="105">
        <v>1220.5</v>
      </c>
      <c r="F60" s="105">
        <v>1324</v>
      </c>
      <c r="G60" s="105">
        <v>1278.9000000000001</v>
      </c>
      <c r="H60" s="129"/>
      <c r="I60" s="105">
        <v>1388.4</v>
      </c>
      <c r="J60" s="105">
        <v>1248.2</v>
      </c>
      <c r="K60" s="105">
        <v>805.6</v>
      </c>
      <c r="L60" s="48">
        <v>1158.3</v>
      </c>
      <c r="M60" s="76"/>
      <c r="N60" s="48">
        <v>1276.2</v>
      </c>
      <c r="O60" s="48">
        <v>1227.5999999999999</v>
      </c>
      <c r="P60" s="48">
        <v>1416.2</v>
      </c>
      <c r="Q60" s="105">
        <v>1580.3</v>
      </c>
      <c r="R60" s="76"/>
      <c r="S60" s="48">
        <v>1629.4</v>
      </c>
      <c r="T60" s="48">
        <v>1564</v>
      </c>
      <c r="U60" s="48">
        <v>1713.2</v>
      </c>
      <c r="V60" s="48">
        <v>1770.6</v>
      </c>
      <c r="W60" s="76">
        <f>SUM(S60:V60)</f>
        <v>6677.2000000000007</v>
      </c>
      <c r="X60" s="105">
        <v>1917.6</v>
      </c>
      <c r="Y60" s="48">
        <f t="shared" ref="Y60:AA60" si="124">Y61*Y59</f>
        <v>1737.2572701365675</v>
      </c>
      <c r="Z60" s="48">
        <f t="shared" si="124"/>
        <v>1862.9509238013757</v>
      </c>
      <c r="AA60" s="48">
        <f t="shared" si="124"/>
        <v>1831.3061000414245</v>
      </c>
      <c r="AB60" s="76">
        <f>SUM(X60:AA60)</f>
        <v>7349.1142939793672</v>
      </c>
      <c r="AC60" s="48">
        <f t="shared" ref="AC60:AF60" si="125">AC61*AC59</f>
        <v>1996.6484229010969</v>
      </c>
      <c r="AD60" s="48">
        <f t="shared" si="125"/>
        <v>1869.2458970303985</v>
      </c>
      <c r="AE60" s="48">
        <f t="shared" si="125"/>
        <v>2004.9558657619064</v>
      </c>
      <c r="AF60" s="48">
        <f t="shared" si="125"/>
        <v>2050.589896936076</v>
      </c>
      <c r="AG60" s="76">
        <f>SUM(AC60:AF60)</f>
        <v>7921.4400826294777</v>
      </c>
      <c r="AH60" s="48">
        <f t="shared" ref="AH60:AK60" si="126">AH61*AH59</f>
        <v>2192.9510978244994</v>
      </c>
      <c r="AI60" s="48">
        <f t="shared" si="126"/>
        <v>2055.0854184008817</v>
      </c>
      <c r="AJ60" s="48">
        <f t="shared" si="126"/>
        <v>2206.3540029870833</v>
      </c>
      <c r="AK60" s="48">
        <f t="shared" si="126"/>
        <v>2259.258153499909</v>
      </c>
      <c r="AL60" s="76">
        <f>SUM(AH60:AK60)</f>
        <v>8713.6486727123738</v>
      </c>
      <c r="AM60" s="48">
        <f t="shared" ref="AM60:AP60" si="127">AM61*AM59</f>
        <v>2380.3541412683653</v>
      </c>
      <c r="AN60" s="48">
        <f t="shared" si="127"/>
        <v>2229.724114906091</v>
      </c>
      <c r="AO60" s="48">
        <f t="shared" si="127"/>
        <v>2393.2223547998165</v>
      </c>
      <c r="AP60" s="48">
        <f t="shared" si="127"/>
        <v>2449.8241139400752</v>
      </c>
      <c r="AQ60" s="76">
        <f>SUM(AM60:AP60)</f>
        <v>9453.1247249143489</v>
      </c>
      <c r="AR60" s="48">
        <f t="shared" ref="AR60:AU60" si="128">AR61*AR59</f>
        <v>2530.8132772866679</v>
      </c>
      <c r="AS60" s="48">
        <f t="shared" si="128"/>
        <v>2370.50218199648</v>
      </c>
      <c r="AT60" s="48">
        <f t="shared" si="128"/>
        <v>2543.9516323281618</v>
      </c>
      <c r="AU60" s="48">
        <f t="shared" si="128"/>
        <v>2603.209258379467</v>
      </c>
      <c r="AV60" s="76">
        <f>SUM(AR60:AU60)</f>
        <v>10048.476349990777</v>
      </c>
    </row>
    <row r="61" spans="2:48" s="184" customFormat="1" outlineLevel="1" x14ac:dyDescent="0.3">
      <c r="B61" s="181" t="s">
        <v>151</v>
      </c>
      <c r="C61" s="185"/>
      <c r="D61" s="167">
        <f>D60/D59</f>
        <v>0.29296476964769647</v>
      </c>
      <c r="E61" s="167">
        <f t="shared" ref="E61:X61" si="129">E60/E59</f>
        <v>0.28290952921814511</v>
      </c>
      <c r="F61" s="167">
        <f t="shared" si="129"/>
        <v>0.28283950353549381</v>
      </c>
      <c r="G61" s="167">
        <f t="shared" si="129"/>
        <v>0.27494947757664362</v>
      </c>
      <c r="H61" s="186"/>
      <c r="I61" s="167">
        <f t="shared" si="129"/>
        <v>0.27707597437586068</v>
      </c>
      <c r="J61" s="167">
        <f t="shared" si="129"/>
        <v>0.28826789838337186</v>
      </c>
      <c r="K61" s="167">
        <f t="shared" si="129"/>
        <v>0.28715024059882377</v>
      </c>
      <c r="L61" s="187">
        <f t="shared" si="129"/>
        <v>0.27487600560051256</v>
      </c>
      <c r="M61" s="188"/>
      <c r="N61" s="187">
        <f t="shared" si="129"/>
        <v>0.27134716788569485</v>
      </c>
      <c r="O61" s="167">
        <f t="shared" si="129"/>
        <v>0.26317369120610556</v>
      </c>
      <c r="P61" s="167">
        <f t="shared" si="129"/>
        <v>0.26224469010980872</v>
      </c>
      <c r="Q61" s="167">
        <f t="shared" si="129"/>
        <v>0.27421481867083114</v>
      </c>
      <c r="R61" s="188"/>
      <c r="S61" s="187">
        <f t="shared" si="129"/>
        <v>0.28424890532595992</v>
      </c>
      <c r="T61" s="167">
        <f t="shared" si="129"/>
        <v>0.28719907449914611</v>
      </c>
      <c r="U61" s="167">
        <f t="shared" si="129"/>
        <v>0.28278093225934242</v>
      </c>
      <c r="V61" s="167">
        <f t="shared" si="129"/>
        <v>0.28863458528951486</v>
      </c>
      <c r="W61" s="188">
        <f t="shared" si="129"/>
        <v>0.28570695055368239</v>
      </c>
      <c r="X61" s="167">
        <f t="shared" si="129"/>
        <v>0.29270526460397173</v>
      </c>
      <c r="Y61" s="189">
        <f>T61+0.25%-0.25%</f>
        <v>0.28719907449914611</v>
      </c>
      <c r="Z61" s="189">
        <f>U61+0.25%-0.25%</f>
        <v>0.28278093225934242</v>
      </c>
      <c r="AA61" s="189">
        <f>V61-1%-0.25%</f>
        <v>0.27613458528951484</v>
      </c>
      <c r="AB61" s="188">
        <f t="shared" ref="AB61" si="130">AB60/AB59</f>
        <v>0.28462694455289789</v>
      </c>
      <c r="AC61" s="189">
        <f>X61-1%</f>
        <v>0.28270526460397172</v>
      </c>
      <c r="AD61" s="189">
        <f>Y61-0.1%</f>
        <v>0.28619907449914611</v>
      </c>
      <c r="AE61" s="189">
        <f>Z61-0.1%</f>
        <v>0.28178093225934242</v>
      </c>
      <c r="AF61" s="189">
        <f>AA61+1%</f>
        <v>0.28613458528951485</v>
      </c>
      <c r="AG61" s="188">
        <f t="shared" ref="AG61" si="131">AG60/AG59</f>
        <v>0.28416956405439425</v>
      </c>
      <c r="AH61" s="189">
        <f t="shared" ref="AH61:AK61" si="132">AC61-0.1%</f>
        <v>0.28170526460397172</v>
      </c>
      <c r="AI61" s="189">
        <f t="shared" si="132"/>
        <v>0.28519907449914611</v>
      </c>
      <c r="AJ61" s="189">
        <f t="shared" si="132"/>
        <v>0.28078093225934242</v>
      </c>
      <c r="AK61" s="189">
        <f t="shared" si="132"/>
        <v>0.28513458528951485</v>
      </c>
      <c r="AL61" s="188">
        <f t="shared" ref="AL61" si="133">AL60/AL59</f>
        <v>0.283170390672915</v>
      </c>
      <c r="AM61" s="189">
        <f>AH61</f>
        <v>0.28170526460397172</v>
      </c>
      <c r="AN61" s="189">
        <f t="shared" ref="AN61:AP61" si="134">AI61</f>
        <v>0.28519907449914611</v>
      </c>
      <c r="AO61" s="189">
        <f t="shared" si="134"/>
        <v>0.28078093225934242</v>
      </c>
      <c r="AP61" s="189">
        <f t="shared" si="134"/>
        <v>0.28513458528951485</v>
      </c>
      <c r="AQ61" s="188">
        <f t="shared" ref="AQ61" si="135">AQ60/AQ59</f>
        <v>0.28317009295393275</v>
      </c>
      <c r="AR61" s="189">
        <f>AM61</f>
        <v>0.28170526460397172</v>
      </c>
      <c r="AS61" s="189">
        <f t="shared" ref="AS61:AU61" si="136">AN61</f>
        <v>0.28519907449914611</v>
      </c>
      <c r="AT61" s="189">
        <f t="shared" si="136"/>
        <v>0.28078093225934242</v>
      </c>
      <c r="AU61" s="189">
        <f t="shared" si="136"/>
        <v>0.28513458528951485</v>
      </c>
      <c r="AV61" s="188">
        <f t="shared" ref="AV61" si="137">AV60/AV59</f>
        <v>0.28316990669558362</v>
      </c>
    </row>
    <row r="62" spans="2:48" outlineLevel="1" x14ac:dyDescent="0.3">
      <c r="B62" s="180" t="s">
        <v>32</v>
      </c>
      <c r="C62" s="18"/>
      <c r="D62" s="48">
        <v>1983.1</v>
      </c>
      <c r="E62" s="48">
        <v>1935.7</v>
      </c>
      <c r="F62" s="48">
        <v>2034</v>
      </c>
      <c r="G62" s="48">
        <v>2112.1</v>
      </c>
      <c r="H62" s="49"/>
      <c r="I62" s="48">
        <v>2214.4</v>
      </c>
      <c r="J62" s="48">
        <v>2158.6</v>
      </c>
      <c r="K62" s="48">
        <v>2054.4</v>
      </c>
      <c r="L62" s="48">
        <v>2060.6999999999998</v>
      </c>
      <c r="M62" s="165"/>
      <c r="N62" s="48">
        <v>2238.8000000000002</v>
      </c>
      <c r="O62" s="48">
        <v>2203.1</v>
      </c>
      <c r="P62" s="48">
        <v>2346.8000000000002</v>
      </c>
      <c r="Q62" s="105">
        <v>2570.8000000000002</v>
      </c>
      <c r="R62" s="49"/>
      <c r="S62" s="48">
        <v>2702.4</v>
      </c>
      <c r="T62" s="48">
        <v>2625.4</v>
      </c>
      <c r="U62" s="48">
        <v>2670</v>
      </c>
      <c r="V62" s="48">
        <v>2862.2</v>
      </c>
      <c r="W62" s="49">
        <f>SUM(S62:V62)</f>
        <v>10860</v>
      </c>
      <c r="X62" s="105">
        <v>3031.4</v>
      </c>
      <c r="Y62" s="48">
        <f>Y63*Y45</f>
        <v>2925.4463371032289</v>
      </c>
      <c r="Z62" s="48">
        <f>Z63*Z45</f>
        <v>2962.8045426814642</v>
      </c>
      <c r="AA62" s="48">
        <f>AA63*AA45</f>
        <v>3091.4683494522842</v>
      </c>
      <c r="AB62" s="49">
        <f>SUM(X62:AA62)</f>
        <v>12011.119229236978</v>
      </c>
      <c r="AC62" s="48">
        <f>AC63*AC45</f>
        <v>3199.6973475087925</v>
      </c>
      <c r="AD62" s="48">
        <f>AD63*AD45</f>
        <v>3148.0611486360308</v>
      </c>
      <c r="AE62" s="48">
        <f>AE63*AE45</f>
        <v>3188.8886568648772</v>
      </c>
      <c r="AF62" s="48">
        <f>AF63*AF45</f>
        <v>3400.0999251215094</v>
      </c>
      <c r="AG62" s="49">
        <f>SUM(AC62:AF62)</f>
        <v>12936.747078131209</v>
      </c>
      <c r="AH62" s="48">
        <f>AH63*AH45</f>
        <v>3513.6292995331191</v>
      </c>
      <c r="AI62" s="48">
        <f>AI63*AI45</f>
        <v>3461.0797207523642</v>
      </c>
      <c r="AJ62" s="48">
        <f>AJ63*AJ45</f>
        <v>3509.0702644051353</v>
      </c>
      <c r="AK62" s="48">
        <f>AK63*AK45</f>
        <v>3745.6087495245538</v>
      </c>
      <c r="AL62" s="49">
        <f>SUM(AH62:AK62)</f>
        <v>14229.388034215173</v>
      </c>
      <c r="AM62" s="48">
        <f>AM63*AM45</f>
        <v>3808.6406492932701</v>
      </c>
      <c r="AN62" s="48">
        <f>AN63*AN45</f>
        <v>3754.0908602230097</v>
      </c>
      <c r="AO62" s="48">
        <f>AO63*AO45</f>
        <v>3808.551261108677</v>
      </c>
      <c r="AP62" s="48">
        <f>AP63*AP45</f>
        <v>4067.8063667503561</v>
      </c>
      <c r="AQ62" s="49">
        <f>SUM(AM62:AP62)</f>
        <v>15439.089137375311</v>
      </c>
      <c r="AR62" s="48">
        <f>AR63*AR45</f>
        <v>4058.1358459341536</v>
      </c>
      <c r="AS62" s="48">
        <f>AS63*AS45</f>
        <v>3998.873623149007</v>
      </c>
      <c r="AT62" s="48">
        <f>AT63*AT45</f>
        <v>4055.749127579631</v>
      </c>
      <c r="AU62" s="48">
        <f>AU63*AU45</f>
        <v>4330.638560218702</v>
      </c>
      <c r="AV62" s="49">
        <f>SUM(AR62:AU62)</f>
        <v>16443.397156881496</v>
      </c>
    </row>
    <row r="63" spans="2:48" s="184" customFormat="1" outlineLevel="1" x14ac:dyDescent="0.3">
      <c r="B63" s="181" t="s">
        <v>150</v>
      </c>
      <c r="C63" s="190"/>
      <c r="D63" s="187">
        <f>D62/D45</f>
        <v>0.48460485802257952</v>
      </c>
      <c r="E63" s="187">
        <f>E62/E45</f>
        <v>0.50283146300914383</v>
      </c>
      <c r="F63" s="187">
        <f>F62/F45</f>
        <v>0.48634689876141746</v>
      </c>
      <c r="G63" s="187">
        <f>G62/G45</f>
        <v>0.5072042649248355</v>
      </c>
      <c r="H63" s="188"/>
      <c r="I63" s="187">
        <f>I62/I45</f>
        <v>0.49528069783046302</v>
      </c>
      <c r="J63" s="187">
        <f>J62/J45</f>
        <v>0.55870172895744896</v>
      </c>
      <c r="K63" s="187">
        <f>K62/K45</f>
        <v>0.79971972439565575</v>
      </c>
      <c r="L63" s="187">
        <f>L62/L45</f>
        <v>0.53175238046086748</v>
      </c>
      <c r="M63" s="188"/>
      <c r="N63" s="187">
        <f>N62/N45</f>
        <v>0.52249813293502612</v>
      </c>
      <c r="O63" s="187">
        <f>O62/O45</f>
        <v>0.51614187986130633</v>
      </c>
      <c r="P63" s="187">
        <f>P62/P45</f>
        <v>0.47604365288652684</v>
      </c>
      <c r="Q63" s="167">
        <f>Q62/Q45</f>
        <v>0.48927545058333177</v>
      </c>
      <c r="R63" s="188"/>
      <c r="S63" s="187">
        <f t="shared" ref="S63:X63" si="138">S62/S45</f>
        <v>0.51828695268598601</v>
      </c>
      <c r="T63" s="187">
        <f t="shared" si="138"/>
        <v>0.53185584344549564</v>
      </c>
      <c r="U63" s="187">
        <f t="shared" si="138"/>
        <v>0.48429224406878041</v>
      </c>
      <c r="V63" s="187">
        <f t="shared" si="138"/>
        <v>0.51566525538239794</v>
      </c>
      <c r="W63" s="188">
        <f t="shared" si="138"/>
        <v>0.51192367340589506</v>
      </c>
      <c r="X63" s="167">
        <f t="shared" si="138"/>
        <v>0.51636970667393456</v>
      </c>
      <c r="Y63" s="189">
        <f>T63+0.25%</f>
        <v>0.53435584344549558</v>
      </c>
      <c r="Z63" s="189">
        <f>U63+1%</f>
        <v>0.49429224406878042</v>
      </c>
      <c r="AA63" s="189">
        <f>V63</f>
        <v>0.51566525538239794</v>
      </c>
      <c r="AB63" s="188">
        <f>AB62/AB45</f>
        <v>0.51473747078423737</v>
      </c>
      <c r="AC63" s="189">
        <f>X63-1%</f>
        <v>0.50636970667393455</v>
      </c>
      <c r="AD63" s="189">
        <f>Y63-0.1%</f>
        <v>0.53335584344549558</v>
      </c>
      <c r="AE63" s="189">
        <f>Z63-0.1%</f>
        <v>0.49329224406878042</v>
      </c>
      <c r="AF63" s="189">
        <f>AA63+1%</f>
        <v>0.52566525538239794</v>
      </c>
      <c r="AG63" s="188">
        <f>AG62/AG45</f>
        <v>0.51430285240105833</v>
      </c>
      <c r="AH63" s="189">
        <f t="shared" ref="AH63:AK63" si="139">AC63-0.1%</f>
        <v>0.50536970667393455</v>
      </c>
      <c r="AI63" s="189">
        <f t="shared" si="139"/>
        <v>0.53235584344549558</v>
      </c>
      <c r="AJ63" s="189">
        <f t="shared" si="139"/>
        <v>0.49229224406878042</v>
      </c>
      <c r="AK63" s="189">
        <f t="shared" si="139"/>
        <v>0.52466525538239794</v>
      </c>
      <c r="AL63" s="188">
        <f>AL62/AL45</f>
        <v>0.51330532599251333</v>
      </c>
      <c r="AM63" s="189">
        <f>AH63</f>
        <v>0.50536970667393455</v>
      </c>
      <c r="AN63" s="189">
        <f t="shared" ref="AN63:AP63" si="140">AI63</f>
        <v>0.53235584344549558</v>
      </c>
      <c r="AO63" s="189">
        <f t="shared" si="140"/>
        <v>0.49229224406878042</v>
      </c>
      <c r="AP63" s="189">
        <f t="shared" si="140"/>
        <v>0.52466525538239794</v>
      </c>
      <c r="AQ63" s="188">
        <f>AQ62/AQ45</f>
        <v>0.51330685868747039</v>
      </c>
      <c r="AR63" s="189">
        <f>AM63</f>
        <v>0.50536970667393455</v>
      </c>
      <c r="AS63" s="189">
        <f t="shared" ref="AS63:AU63" si="141">AN63</f>
        <v>0.53235584344549558</v>
      </c>
      <c r="AT63" s="189">
        <f t="shared" si="141"/>
        <v>0.49229224406878042</v>
      </c>
      <c r="AU63" s="189">
        <f t="shared" si="141"/>
        <v>0.52466525538239794</v>
      </c>
      <c r="AV63" s="188">
        <f>AV62/AV45</f>
        <v>0.51330617976417914</v>
      </c>
    </row>
    <row r="64" spans="2:48" outlineLevel="1" x14ac:dyDescent="0.3">
      <c r="B64" s="180" t="s">
        <v>33</v>
      </c>
      <c r="C64" s="18"/>
      <c r="D64" s="48">
        <v>44.5</v>
      </c>
      <c r="E64" s="48">
        <v>39.4</v>
      </c>
      <c r="F64" s="48">
        <v>41.7</v>
      </c>
      <c r="G64" s="48">
        <v>34.200000000000003</v>
      </c>
      <c r="H64" s="49"/>
      <c r="I64" s="48">
        <v>42.5</v>
      </c>
      <c r="J64" s="48">
        <v>41.8</v>
      </c>
      <c r="K64" s="48">
        <v>40.700000000000003</v>
      </c>
      <c r="L64" s="48">
        <v>38</v>
      </c>
      <c r="M64" s="49"/>
      <c r="N64" s="48">
        <v>42.8</v>
      </c>
      <c r="O64" s="48">
        <v>41.9</v>
      </c>
      <c r="P64" s="48">
        <v>39.700000000000003</v>
      </c>
      <c r="Q64" s="105">
        <v>47.3</v>
      </c>
      <c r="R64" s="49"/>
      <c r="S64" s="48">
        <v>48.2</v>
      </c>
      <c r="T64" s="48">
        <v>47.1</v>
      </c>
      <c r="U64" s="48">
        <v>55.4</v>
      </c>
      <c r="V64" s="48">
        <v>51.4</v>
      </c>
      <c r="W64" s="49">
        <f>SUM(S64:V64)</f>
        <v>202.10000000000002</v>
      </c>
      <c r="X64" s="105">
        <v>65.599999999999994</v>
      </c>
      <c r="Y64" s="48">
        <f>Y59*Y65</f>
        <v>52.317658199125532</v>
      </c>
      <c r="Z64" s="48">
        <f t="shared" ref="Z64:AA64" si="142">Z59*Z65</f>
        <v>60.242517615337498</v>
      </c>
      <c r="AA64" s="48">
        <f t="shared" si="142"/>
        <v>55.568818800255762</v>
      </c>
      <c r="AB64" s="49">
        <f>SUM(X64:AA64)</f>
        <v>233.7289946147188</v>
      </c>
      <c r="AC64" s="48">
        <f>AC59*AC65</f>
        <v>70.720293669958238</v>
      </c>
      <c r="AD64" s="48">
        <f>AD59*AD65</f>
        <v>56.489197553227221</v>
      </c>
      <c r="AE64" s="48">
        <f t="shared" ref="AE64:AF64" si="143">AE59*AE65</f>
        <v>65.064640779188792</v>
      </c>
      <c r="AF64" s="48">
        <f t="shared" si="143"/>
        <v>60.048129912374613</v>
      </c>
      <c r="AG64" s="49">
        <f>SUM(AC64:AF64)</f>
        <v>252.32226191474885</v>
      </c>
      <c r="AH64" s="48">
        <f>AH59*AH65</f>
        <v>77.9489619286623</v>
      </c>
      <c r="AI64" s="48">
        <f>AI59*AI65</f>
        <v>62.323087520525959</v>
      </c>
      <c r="AJ64" s="48">
        <f t="shared" ref="AJ64:AK64" si="144">AJ59*AJ65</f>
        <v>71.855398822047277</v>
      </c>
      <c r="AK64" s="48">
        <f t="shared" si="144"/>
        <v>66.390660297496154</v>
      </c>
      <c r="AL64" s="49">
        <f>SUM(AH64:AK64)</f>
        <v>278.51810856873169</v>
      </c>
      <c r="AM64" s="48">
        <f>AM59*AM65</f>
        <v>84.610247131607764</v>
      </c>
      <c r="AN64" s="48">
        <f>AN59*AN65</f>
        <v>67.619228824099537</v>
      </c>
      <c r="AO64" s="48">
        <f t="shared" ref="AO64:AP64" si="145">AO59*AO65</f>
        <v>77.941230890946329</v>
      </c>
      <c r="AP64" s="48">
        <f t="shared" si="145"/>
        <v>71.990640062645952</v>
      </c>
      <c r="AQ64" s="49">
        <f>SUM(AM64:AP64)</f>
        <v>302.1613469092996</v>
      </c>
      <c r="AR64" s="48">
        <f>AR59*AR65</f>
        <v>89.958352466443969</v>
      </c>
      <c r="AS64" s="48">
        <f>AS59*AS65</f>
        <v>71.888503335848</v>
      </c>
      <c r="AT64" s="48">
        <f t="shared" ref="AT64:AU64" si="146">AT59*AT65</f>
        <v>82.850104234161009</v>
      </c>
      <c r="AU64" s="48">
        <f t="shared" si="146"/>
        <v>76.498022719817115</v>
      </c>
      <c r="AV64" s="49">
        <f>SUM(AR64:AU64)</f>
        <v>321.19498275627012</v>
      </c>
    </row>
    <row r="65" spans="2:48" s="184" customFormat="1" outlineLevel="1" x14ac:dyDescent="0.3">
      <c r="B65" s="181" t="s">
        <v>152</v>
      </c>
      <c r="C65" s="190"/>
      <c r="D65" s="187">
        <f>D64/D59</f>
        <v>9.6476964769647705E-3</v>
      </c>
      <c r="E65" s="187">
        <f t="shared" ref="E65:X65" si="147">E64/E59</f>
        <v>9.1328434667717479E-3</v>
      </c>
      <c r="F65" s="187">
        <f t="shared" si="147"/>
        <v>8.908162611352034E-3</v>
      </c>
      <c r="G65" s="187">
        <f t="shared" si="147"/>
        <v>7.352625016124179E-3</v>
      </c>
      <c r="H65" s="188"/>
      <c r="I65" s="187">
        <f t="shared" si="147"/>
        <v>8.4815103075295863E-3</v>
      </c>
      <c r="J65" s="187">
        <f t="shared" si="147"/>
        <v>9.6535796766743648E-3</v>
      </c>
      <c r="K65" s="187">
        <f t="shared" si="147"/>
        <v>1.4507217964712174E-2</v>
      </c>
      <c r="L65" s="187">
        <f t="shared" si="147"/>
        <v>9.017774508175324E-3</v>
      </c>
      <c r="M65" s="188"/>
      <c r="N65" s="187">
        <f t="shared" si="147"/>
        <v>9.1001871066507915E-3</v>
      </c>
      <c r="O65" s="187">
        <f t="shared" si="147"/>
        <v>8.982549414740814E-3</v>
      </c>
      <c r="P65" s="187">
        <f t="shared" si="147"/>
        <v>7.3514434383275002E-3</v>
      </c>
      <c r="Q65" s="167">
        <f t="shared" si="147"/>
        <v>8.2075307999305916E-3</v>
      </c>
      <c r="R65" s="188"/>
      <c r="S65" s="187">
        <f t="shared" si="147"/>
        <v>8.4084922282504412E-3</v>
      </c>
      <c r="T65" s="187">
        <f t="shared" si="147"/>
        <v>8.6490258368988378E-3</v>
      </c>
      <c r="U65" s="187">
        <f t="shared" si="147"/>
        <v>9.1443285355869534E-3</v>
      </c>
      <c r="V65" s="187">
        <f t="shared" si="147"/>
        <v>8.3789775691184148E-3</v>
      </c>
      <c r="W65" s="188">
        <f t="shared" si="147"/>
        <v>8.6475430879559105E-3</v>
      </c>
      <c r="X65" s="167">
        <f t="shared" si="147"/>
        <v>1.0013279807061192E-2</v>
      </c>
      <c r="Y65" s="189">
        <f t="shared" ref="Y65:AA65" si="148">T65</f>
        <v>8.6490258368988378E-3</v>
      </c>
      <c r="Z65" s="189">
        <f t="shared" si="148"/>
        <v>9.1443285355869534E-3</v>
      </c>
      <c r="AA65" s="189">
        <f t="shared" si="148"/>
        <v>8.3789775691184148E-3</v>
      </c>
      <c r="AB65" s="188">
        <f t="shared" ref="AB65" si="149">AB64/AB59</f>
        <v>9.0521887304308279E-3</v>
      </c>
      <c r="AC65" s="189">
        <f>X65</f>
        <v>1.0013279807061192E-2</v>
      </c>
      <c r="AD65" s="189">
        <f t="shared" ref="AD65:AF65" si="150">Y65</f>
        <v>8.6490258368988378E-3</v>
      </c>
      <c r="AE65" s="189">
        <f t="shared" si="150"/>
        <v>9.1443285355869534E-3</v>
      </c>
      <c r="AF65" s="189">
        <f t="shared" si="150"/>
        <v>8.3789775691184148E-3</v>
      </c>
      <c r="AG65" s="188">
        <f t="shared" ref="AG65" si="151">AG64/AG59</f>
        <v>9.0516757586496417E-3</v>
      </c>
      <c r="AH65" s="189">
        <f>AC65</f>
        <v>1.0013279807061192E-2</v>
      </c>
      <c r="AI65" s="189">
        <f t="shared" ref="AI65:AK65" si="152">AD65</f>
        <v>8.6490258368988378E-3</v>
      </c>
      <c r="AJ65" s="189">
        <f t="shared" si="152"/>
        <v>9.1443285355869534E-3</v>
      </c>
      <c r="AK65" s="189">
        <f t="shared" si="152"/>
        <v>8.3789775691184148E-3</v>
      </c>
      <c r="AL65" s="188">
        <f t="shared" ref="AL65" si="153">AL64/AL59</f>
        <v>9.0510972584736012E-3</v>
      </c>
      <c r="AM65" s="189">
        <f>AH65</f>
        <v>1.0013279807061192E-2</v>
      </c>
      <c r="AN65" s="189">
        <f t="shared" ref="AN65:AP65" si="154">AI65</f>
        <v>8.6490258368988378E-3</v>
      </c>
      <c r="AO65" s="189">
        <f t="shared" si="154"/>
        <v>9.1443285355869534E-3</v>
      </c>
      <c r="AP65" s="189">
        <f t="shared" si="154"/>
        <v>8.3789775691184148E-3</v>
      </c>
      <c r="AQ65" s="188">
        <f t="shared" ref="AQ65" si="155">AQ64/AQ59</f>
        <v>9.0512988224819117E-3</v>
      </c>
      <c r="AR65" s="189">
        <f>AM65</f>
        <v>1.0013279807061192E-2</v>
      </c>
      <c r="AS65" s="189">
        <f t="shared" ref="AS65:AU65" si="156">AN65</f>
        <v>8.6490258368988378E-3</v>
      </c>
      <c r="AT65" s="189">
        <f t="shared" si="156"/>
        <v>9.1443285355869534E-3</v>
      </c>
      <c r="AU65" s="189">
        <f t="shared" si="156"/>
        <v>8.3789775691184148E-3</v>
      </c>
      <c r="AV65" s="188">
        <f t="shared" ref="AV65" si="157">AV64/AV59</f>
        <v>9.0513974587068686E-3</v>
      </c>
    </row>
    <row r="66" spans="2:48" outlineLevel="1" x14ac:dyDescent="0.3">
      <c r="B66" s="180" t="s">
        <v>34</v>
      </c>
      <c r="C66" s="18"/>
      <c r="D66" s="358">
        <v>166.9</v>
      </c>
      <c r="E66" s="358">
        <v>173</v>
      </c>
      <c r="F66" s="358">
        <v>175.6</v>
      </c>
      <c r="G66" s="358">
        <v>180.6</v>
      </c>
      <c r="H66" s="130"/>
      <c r="I66" s="358">
        <v>189.2</v>
      </c>
      <c r="J66" s="358">
        <v>191.5</v>
      </c>
      <c r="K66" s="358">
        <v>191.3</v>
      </c>
      <c r="L66" s="358">
        <v>190.1</v>
      </c>
      <c r="M66" s="359"/>
      <c r="N66" s="358">
        <v>188.9</v>
      </c>
      <c r="O66" s="358">
        <v>186</v>
      </c>
      <c r="P66" s="358">
        <v>188.9</v>
      </c>
      <c r="Q66" s="358">
        <v>189.9</v>
      </c>
      <c r="R66" s="170"/>
      <c r="S66" s="358">
        <v>200</v>
      </c>
      <c r="T66" s="358">
        <v>202</v>
      </c>
      <c r="U66" s="358">
        <v>201.2</v>
      </c>
      <c r="V66" s="358">
        <v>205.2</v>
      </c>
      <c r="W66" s="170">
        <f t="shared" ref="W66:W67" si="158">SUM(S66:V66)</f>
        <v>808.40000000000009</v>
      </c>
      <c r="X66" s="358">
        <v>216.9</v>
      </c>
      <c r="Y66" s="358">
        <f>(X66/(X66+X99+X114+X127))*'CFS (F1Q23)'!Y7*0.95</f>
        <v>226.2914594827038</v>
      </c>
      <c r="Z66" s="358">
        <f>(Y66/(Y66+Y99+Y114+Y127))*'CFS (F1Q23)'!Z7*0.95</f>
        <v>242.81513777766813</v>
      </c>
      <c r="AA66" s="358">
        <f>(Z66/(Z66+Z99+Z114+Z127))*'CFS (F1Q23)'!AA7*0.95</f>
        <v>246.74273106924454</v>
      </c>
      <c r="AB66" s="170">
        <f t="shared" ref="AB66:AB67" si="159">SUM(X66:AA66)</f>
        <v>932.74932832961645</v>
      </c>
      <c r="AC66" s="358">
        <f>(AA66/(AA66+AA99+AA114+AA127))*'CFS (F1Q23)'!AC7*0.95</f>
        <v>255.33401681451943</v>
      </c>
      <c r="AD66" s="358">
        <f>(AC66/(AC66+AC99+AC114+AC127))*'CFS (F1Q23)'!AD7*0.95</f>
        <v>266.92971229845693</v>
      </c>
      <c r="AE66" s="358">
        <f>(AD66/(AD66+AD99+AD114+AD127))*'CFS (F1Q23)'!AE7*0.95</f>
        <v>275.05772359979159</v>
      </c>
      <c r="AF66" s="358">
        <f>(AE66/(AE66+AE99+AE114+AE127))*'CFS (F1Q23)'!AF7*0.95</f>
        <v>282.73162573545079</v>
      </c>
      <c r="AG66" s="170">
        <f t="shared" ref="AG66:AG67" si="160">SUM(AC66:AF66)</f>
        <v>1080.0530784482187</v>
      </c>
      <c r="AH66" s="358">
        <f>(AF66/(AF66+AF99+AF114+AF127))*'CFS (F1Q23)'!AH7*0.95</f>
        <v>292.18452916434222</v>
      </c>
      <c r="AI66" s="358">
        <f>(AH66/(AH66+AH99+AH114+AH127))*'CFS (F1Q23)'!AI7*0.95</f>
        <v>299.84848360785543</v>
      </c>
      <c r="AJ66" s="358">
        <f>(AI66/(AI66+AI99+AI114+AI127))*'CFS (F1Q23)'!AJ7*0.95</f>
        <v>305.40208730303482</v>
      </c>
      <c r="AK66" s="358">
        <f>(AJ66/(AJ66+AJ99+AJ114+AJ127))*'CFS (F1Q23)'!AK7*0.95</f>
        <v>312.54623135200757</v>
      </c>
      <c r="AL66" s="170">
        <f t="shared" ref="AL66:AL67" si="161">SUM(AH66:AK66)</f>
        <v>1209.9813314272401</v>
      </c>
      <c r="AM66" s="358">
        <f>(AK66/(AK66+AK99+AK114+AK127))*'CFS (F1Q23)'!AM7*0.95</f>
        <v>320.49052176994996</v>
      </c>
      <c r="AN66" s="358">
        <f>(AM66/(AM66+AM99+AM114+AM127))*'CFS (F1Q23)'!AN7*0.95</f>
        <v>328.43451614746277</v>
      </c>
      <c r="AO66" s="358">
        <f>(AN66/(AN66+AN99+AN114+AN127))*'CFS (F1Q23)'!AO7*0.95</f>
        <v>334.49511397817196</v>
      </c>
      <c r="AP66" s="358">
        <f>(AO66/(AO66+AO99+AO114+AO127))*'CFS (F1Q23)'!AP7*0.95</f>
        <v>342.44067466389583</v>
      </c>
      <c r="AQ66" s="170">
        <f t="shared" ref="AQ66:AQ67" si="162">SUM(AM66:AP66)</f>
        <v>1325.8608265594805</v>
      </c>
      <c r="AR66" s="358">
        <f>(AP66/(AP66+AP99+AP114+AP127))*'CFS (F1Q23)'!AR7*0.95</f>
        <v>350.87153136897621</v>
      </c>
      <c r="AS66" s="358">
        <f>(AR66/(AR66+AR99+AR114+AR127))*'CFS (F1Q23)'!AS7*0.95</f>
        <v>358.71053281985479</v>
      </c>
      <c r="AT66" s="358">
        <f>(AS66/(AS66+AS99+AS114+AS127))*'CFS (F1Q23)'!AT7*0.95</f>
        <v>364.68822543443122</v>
      </c>
      <c r="AU66" s="358">
        <f>(AT66/(AT66+AT99+AT114+AT127))*'CFS (F1Q23)'!AU7*0.95</f>
        <v>372.69955294392742</v>
      </c>
      <c r="AV66" s="170">
        <f t="shared" ref="AV66:AV67" si="163">SUM(AR66:AU66)</f>
        <v>1446.9698425671895</v>
      </c>
    </row>
    <row r="67" spans="2:48" outlineLevel="1" x14ac:dyDescent="0.3">
      <c r="B67" s="180" t="s">
        <v>35</v>
      </c>
      <c r="C67" s="18"/>
      <c r="D67" s="48">
        <v>75.099999999999994</v>
      </c>
      <c r="E67" s="48">
        <v>70.900000000000006</v>
      </c>
      <c r="F67" s="48">
        <v>72</v>
      </c>
      <c r="G67" s="48">
        <v>106</v>
      </c>
      <c r="H67" s="49"/>
      <c r="I67" s="48">
        <v>72.400000000000006</v>
      </c>
      <c r="J67" s="48">
        <v>68.2</v>
      </c>
      <c r="K67" s="48">
        <v>62.2</v>
      </c>
      <c r="L67" s="48">
        <v>65.2</v>
      </c>
      <c r="M67" s="165"/>
      <c r="N67" s="48">
        <v>70.8</v>
      </c>
      <c r="O67" s="48">
        <v>77.7</v>
      </c>
      <c r="P67" s="48">
        <v>73.2</v>
      </c>
      <c r="Q67" s="105">
        <v>78.400000000000006</v>
      </c>
      <c r="R67" s="49"/>
      <c r="S67" s="48">
        <v>76.7</v>
      </c>
      <c r="T67" s="48">
        <v>71.3</v>
      </c>
      <c r="U67" s="48">
        <v>76.5</v>
      </c>
      <c r="V67" s="48">
        <v>78.8</v>
      </c>
      <c r="W67" s="49">
        <f t="shared" si="158"/>
        <v>303.3</v>
      </c>
      <c r="X67" s="105">
        <v>102.3</v>
      </c>
      <c r="Y67" s="48">
        <f>Y68*Y59</f>
        <v>94.320906745968045</v>
      </c>
      <c r="Z67" s="48">
        <f t="shared" ref="Z67:AA67" si="164">Z68*Z59</f>
        <v>99.656782840707962</v>
      </c>
      <c r="AA67" s="48">
        <f t="shared" si="164"/>
        <v>18.871776283604369</v>
      </c>
      <c r="AB67" s="49">
        <f t="shared" si="159"/>
        <v>315.14946587028044</v>
      </c>
      <c r="AC67" s="48">
        <f>AC68*AC59</f>
        <v>89.096897296901474</v>
      </c>
      <c r="AD67" s="48">
        <f>AD68*AD59</f>
        <v>114.9041250438502</v>
      </c>
      <c r="AE67" s="48">
        <f t="shared" ref="AE67:AF67" si="165">AE68*AE59</f>
        <v>100.51852796304873</v>
      </c>
      <c r="AF67" s="48">
        <f t="shared" si="165"/>
        <v>13.226476801866545</v>
      </c>
      <c r="AG67" s="49">
        <f t="shared" si="160"/>
        <v>317.74602710566694</v>
      </c>
      <c r="AH67" s="48">
        <f>AH68*AH59</f>
        <v>90.41936994160325</v>
      </c>
      <c r="AI67" s="48">
        <f>AI68*AI59</f>
        <v>119.56499091720488</v>
      </c>
      <c r="AJ67" s="48">
        <f t="shared" ref="AJ67:AK67" si="166">AJ68*AJ59</f>
        <v>103.15166758119788</v>
      </c>
      <c r="AK67" s="48">
        <f t="shared" si="166"/>
        <v>6.7000317722796128</v>
      </c>
      <c r="AL67" s="49">
        <f t="shared" si="161"/>
        <v>319.83606021228564</v>
      </c>
      <c r="AM67" s="48">
        <f>AM68*AM59</f>
        <v>98.146338924241888</v>
      </c>
      <c r="AN67" s="48">
        <f>AN68*AN59</f>
        <v>129.72548058565167</v>
      </c>
      <c r="AO67" s="48">
        <f t="shared" ref="AO67:AP67" si="167">AO68*AO59</f>
        <v>111.88815414751352</v>
      </c>
      <c r="AP67" s="48">
        <f t="shared" si="167"/>
        <v>7.265172142664535</v>
      </c>
      <c r="AQ67" s="49">
        <f t="shared" si="162"/>
        <v>347.02514580007158</v>
      </c>
      <c r="AR67" s="48">
        <f>AR68*AR59</f>
        <v>104.35004328145673</v>
      </c>
      <c r="AS67" s="48">
        <f>AS68*AS59</f>
        <v>137.91595683656178</v>
      </c>
      <c r="AT67" s="48">
        <f t="shared" ref="AT67:AU67" si="168">AT68*AT59</f>
        <v>118.9350633512534</v>
      </c>
      <c r="AU67" s="48">
        <f t="shared" si="168"/>
        <v>7.7200494835065241</v>
      </c>
      <c r="AV67" s="49">
        <f t="shared" si="163"/>
        <v>368.9211129527784</v>
      </c>
    </row>
    <row r="68" spans="2:48" s="184" customFormat="1" outlineLevel="1" x14ac:dyDescent="0.3">
      <c r="B68" s="181" t="s">
        <v>153</v>
      </c>
      <c r="C68" s="190"/>
      <c r="D68" s="187">
        <f>D67/D59</f>
        <v>1.6281842818428184E-2</v>
      </c>
      <c r="E68" s="187">
        <f t="shared" ref="E68:Q68" si="169">E67/E59</f>
        <v>1.6434482279038501E-2</v>
      </c>
      <c r="F68" s="187">
        <f t="shared" si="169"/>
        <v>1.5381000192262503E-2</v>
      </c>
      <c r="G68" s="187">
        <f t="shared" si="169"/>
        <v>2.2788837769273769E-2</v>
      </c>
      <c r="H68" s="188"/>
      <c r="I68" s="187">
        <f t="shared" si="169"/>
        <v>1.4448502265062167E-2</v>
      </c>
      <c r="J68" s="187">
        <f t="shared" si="169"/>
        <v>1.5750577367205542E-2</v>
      </c>
      <c r="K68" s="187">
        <f t="shared" si="169"/>
        <v>2.2170736054179293E-2</v>
      </c>
      <c r="L68" s="187">
        <f t="shared" si="169"/>
        <v>1.5472602577185029E-2</v>
      </c>
      <c r="M68" s="188"/>
      <c r="N68" s="187">
        <f t="shared" si="169"/>
        <v>1.5053580540908319E-2</v>
      </c>
      <c r="O68" s="187">
        <f t="shared" si="169"/>
        <v>1.6657376838314114E-2</v>
      </c>
      <c r="P68" s="187">
        <f t="shared" si="169"/>
        <v>1.3554802510971613E-2</v>
      </c>
      <c r="Q68" s="167">
        <f t="shared" si="169"/>
        <v>1.3604025681068889E-2</v>
      </c>
      <c r="R68" s="188"/>
      <c r="S68" s="187">
        <f t="shared" ref="S68:X68" si="170">S67/S59</f>
        <v>1.3380318545784415E-2</v>
      </c>
      <c r="T68" s="187">
        <f t="shared" si="170"/>
        <v>1.3092898984519897E-2</v>
      </c>
      <c r="U68" s="187">
        <f t="shared" si="170"/>
        <v>1.2627096263039747E-2</v>
      </c>
      <c r="V68" s="187">
        <f t="shared" si="170"/>
        <v>1.2845592070944184E-2</v>
      </c>
      <c r="W68" s="188">
        <f t="shared" si="170"/>
        <v>1.2977732897461789E-2</v>
      </c>
      <c r="X68" s="167">
        <f t="shared" si="170"/>
        <v>1.5615221406438416E-2</v>
      </c>
      <c r="Y68" s="189">
        <f>T68+0.25%</f>
        <v>1.5592898984519897E-2</v>
      </c>
      <c r="Z68" s="189">
        <f>U68+0.25%</f>
        <v>1.5127096263039748E-2</v>
      </c>
      <c r="AA68" s="189">
        <f>V68-1%</f>
        <v>2.8455920709441838E-3</v>
      </c>
      <c r="AB68" s="188">
        <f t="shared" ref="AB68" si="171">AB67/AB59</f>
        <v>1.220555647387616E-2</v>
      </c>
      <c r="AC68" s="189">
        <f>X68-0.3%</f>
        <v>1.2615221406438417E-2</v>
      </c>
      <c r="AD68" s="189">
        <f>Y68+0.2%</f>
        <v>1.7592898984519899E-2</v>
      </c>
      <c r="AE68" s="189">
        <f>Z68-0.1%</f>
        <v>1.4127096263039748E-2</v>
      </c>
      <c r="AF68" s="189">
        <f>AA68-0.1%</f>
        <v>1.8455920709441838E-3</v>
      </c>
      <c r="AG68" s="188">
        <f t="shared" ref="AG68" si="172">AG67/AG59</f>
        <v>1.139865340907314E-2</v>
      </c>
      <c r="AH68" s="189">
        <f t="shared" ref="AH68:AK68" si="173">AC68-0.1%</f>
        <v>1.1615221406438416E-2</v>
      </c>
      <c r="AI68" s="189">
        <f t="shared" si="173"/>
        <v>1.6592898984519898E-2</v>
      </c>
      <c r="AJ68" s="189">
        <f t="shared" si="173"/>
        <v>1.3127096263039748E-2</v>
      </c>
      <c r="AK68" s="189">
        <f t="shared" si="173"/>
        <v>8.4559207094418373E-4</v>
      </c>
      <c r="AL68" s="188">
        <f t="shared" ref="AL68" si="174">AL67/AL59</f>
        <v>1.0393820720041374E-2</v>
      </c>
      <c r="AM68" s="189">
        <f>AH68</f>
        <v>1.1615221406438416E-2</v>
      </c>
      <c r="AN68" s="189">
        <f t="shared" ref="AN68:AP68" si="175">AI68</f>
        <v>1.6592898984519898E-2</v>
      </c>
      <c r="AO68" s="189">
        <f t="shared" si="175"/>
        <v>1.3127096263039748E-2</v>
      </c>
      <c r="AP68" s="189">
        <f t="shared" si="175"/>
        <v>8.4559207094418373E-4</v>
      </c>
      <c r="AQ68" s="188">
        <f t="shared" ref="AQ68" si="176">AQ67/AQ59</f>
        <v>1.0395202184793843E-2</v>
      </c>
      <c r="AR68" s="189">
        <f>AM68</f>
        <v>1.1615221406438416E-2</v>
      </c>
      <c r="AS68" s="189">
        <f t="shared" ref="AS68:AU68" si="177">AN68</f>
        <v>1.6592898984519898E-2</v>
      </c>
      <c r="AT68" s="189">
        <f t="shared" si="177"/>
        <v>1.3127096263039748E-2</v>
      </c>
      <c r="AU68" s="189">
        <f t="shared" si="177"/>
        <v>8.4559207094418373E-4</v>
      </c>
      <c r="AV68" s="188">
        <f t="shared" ref="AV68" si="178">AV67/AV59</f>
        <v>1.0396338061039971E-2</v>
      </c>
    </row>
    <row r="69" spans="2:48" ht="16.2" outlineLevel="1" x14ac:dyDescent="0.45">
      <c r="B69" s="180" t="s">
        <v>42</v>
      </c>
      <c r="C69" s="18"/>
      <c r="D69" s="119">
        <v>22.9</v>
      </c>
      <c r="E69" s="119">
        <v>18.2</v>
      </c>
      <c r="F69" s="119">
        <v>15.1</v>
      </c>
      <c r="G69" s="119">
        <v>0.7</v>
      </c>
      <c r="H69" s="131"/>
      <c r="I69" s="119">
        <v>5.2</v>
      </c>
      <c r="J69" s="119">
        <v>0.5</v>
      </c>
      <c r="K69" s="119">
        <v>56.2</v>
      </c>
      <c r="L69" s="119">
        <v>195.6</v>
      </c>
      <c r="M69" s="357"/>
      <c r="N69" s="119">
        <v>72.2</v>
      </c>
      <c r="O69" s="119">
        <v>23</v>
      </c>
      <c r="P69" s="119">
        <v>19.8</v>
      </c>
      <c r="Q69" s="119">
        <v>40.5</v>
      </c>
      <c r="R69" s="173"/>
      <c r="S69" s="119">
        <v>-7.5</v>
      </c>
      <c r="T69" s="119">
        <v>4.4000000000000004</v>
      </c>
      <c r="U69" s="119">
        <v>12</v>
      </c>
      <c r="V69" s="119">
        <v>24.4</v>
      </c>
      <c r="W69" s="173">
        <f>SUM(S69:V69)</f>
        <v>33.299999999999997</v>
      </c>
      <c r="X69" s="119">
        <v>5.0999999999999996</v>
      </c>
      <c r="Y69" s="119">
        <f t="shared" ref="Y69:AA69" si="179">IFERROR((Y163*(X69/X163)),0)</f>
        <v>0</v>
      </c>
      <c r="Z69" s="119">
        <f t="shared" si="179"/>
        <v>0</v>
      </c>
      <c r="AA69" s="119">
        <f t="shared" si="179"/>
        <v>0</v>
      </c>
      <c r="AB69" s="173">
        <f>SUM(X69:AA69)</f>
        <v>5.0999999999999996</v>
      </c>
      <c r="AC69" s="119">
        <f>IFERROR((AC163*(AA69/AA163)),0)</f>
        <v>0</v>
      </c>
      <c r="AD69" s="119">
        <f t="shared" ref="AD69:AF69" si="180">IFERROR((AD163*(AC69/AC163)),0)</f>
        <v>0</v>
      </c>
      <c r="AE69" s="119">
        <f t="shared" si="180"/>
        <v>0</v>
      </c>
      <c r="AF69" s="119">
        <f t="shared" si="180"/>
        <v>0</v>
      </c>
      <c r="AG69" s="173">
        <f>SUM(AC69:AF69)</f>
        <v>0</v>
      </c>
      <c r="AH69" s="119">
        <f>IFERROR((AH163*(AF69/AF163)),0)</f>
        <v>0</v>
      </c>
      <c r="AI69" s="119">
        <f t="shared" ref="AI69:AK69" si="181">IFERROR((AI163*(AH69/AH163)),0)</f>
        <v>0</v>
      </c>
      <c r="AJ69" s="119">
        <f t="shared" si="181"/>
        <v>0</v>
      </c>
      <c r="AK69" s="119">
        <f t="shared" si="181"/>
        <v>0</v>
      </c>
      <c r="AL69" s="173">
        <f>SUM(AH69:AK69)</f>
        <v>0</v>
      </c>
      <c r="AM69" s="119">
        <f>IFERROR((AM163*(AK69/AK163)),0)</f>
        <v>0</v>
      </c>
      <c r="AN69" s="119">
        <f t="shared" ref="AN69:AP69" si="182">IFERROR((AN163*(AM69/AM163)),0)</f>
        <v>0</v>
      </c>
      <c r="AO69" s="119">
        <f t="shared" si="182"/>
        <v>0</v>
      </c>
      <c r="AP69" s="119">
        <f t="shared" si="182"/>
        <v>0</v>
      </c>
      <c r="AQ69" s="173">
        <f>SUM(AM69:AP69)</f>
        <v>0</v>
      </c>
      <c r="AR69" s="119">
        <f>IFERROR((AR163*(AP69/AP163)),0)</f>
        <v>0</v>
      </c>
      <c r="AS69" s="119">
        <f t="shared" ref="AS69:AU69" si="183">IFERROR((AS163*(AR69/AR163)),0)</f>
        <v>0</v>
      </c>
      <c r="AT69" s="119">
        <f t="shared" si="183"/>
        <v>0</v>
      </c>
      <c r="AU69" s="119">
        <f t="shared" si="183"/>
        <v>0</v>
      </c>
      <c r="AV69" s="173">
        <f>SUM(AR69:AU69)</f>
        <v>0</v>
      </c>
    </row>
    <row r="70" spans="2:48" outlineLevel="1" x14ac:dyDescent="0.3">
      <c r="B70" s="46" t="s">
        <v>183</v>
      </c>
      <c r="C70" s="19"/>
      <c r="D70" s="103">
        <f>+D60+D62+D64+D66+D67+D69</f>
        <v>3643.7999999999997</v>
      </c>
      <c r="E70" s="103">
        <f t="shared" ref="E70:G70" si="184">+E60+E62+E64+E66+E67+E69</f>
        <v>3457.7</v>
      </c>
      <c r="F70" s="103">
        <f t="shared" si="184"/>
        <v>3662.3999999999996</v>
      </c>
      <c r="G70" s="103">
        <f t="shared" si="184"/>
        <v>3712.4999999999995</v>
      </c>
      <c r="H70" s="166">
        <f>+H60+H62+H64+H66+H67+H69</f>
        <v>0</v>
      </c>
      <c r="I70" s="103">
        <f t="shared" ref="I70:L70" si="185">+I60+I62+I64+I66+I67+I69</f>
        <v>3912.1</v>
      </c>
      <c r="J70" s="103">
        <f t="shared" si="185"/>
        <v>3708.8</v>
      </c>
      <c r="K70" s="103">
        <f t="shared" si="185"/>
        <v>3210.3999999999996</v>
      </c>
      <c r="L70" s="50">
        <f t="shared" si="185"/>
        <v>3707.8999999999996</v>
      </c>
      <c r="M70" s="191"/>
      <c r="N70" s="50">
        <f t="shared" ref="N70:Q70" si="186">+N60+N62+N64+N66+N67+N69</f>
        <v>3889.7000000000003</v>
      </c>
      <c r="O70" s="50">
        <f t="shared" si="186"/>
        <v>3759.2999999999997</v>
      </c>
      <c r="P70" s="50">
        <f t="shared" si="186"/>
        <v>4084.6</v>
      </c>
      <c r="Q70" s="103">
        <f t="shared" si="186"/>
        <v>4507.2</v>
      </c>
      <c r="R70" s="191"/>
      <c r="S70" s="50">
        <f>+S60+S62+S64+S66+S67+S69</f>
        <v>4649.2</v>
      </c>
      <c r="T70" s="50">
        <f t="shared" ref="T70:AK70" si="187">+T60+T62+T64+T66+T67+T69</f>
        <v>4514.2</v>
      </c>
      <c r="U70" s="50">
        <f t="shared" si="187"/>
        <v>4728.2999999999993</v>
      </c>
      <c r="V70" s="50">
        <f>+V60+V62+V64+V66+V67+V69</f>
        <v>4992.5999999999985</v>
      </c>
      <c r="W70" s="191">
        <f>+W60+W62+W64+W66+W67+W69</f>
        <v>18884.3</v>
      </c>
      <c r="X70" s="103">
        <f t="shared" si="187"/>
        <v>5338.9000000000005</v>
      </c>
      <c r="Y70" s="50">
        <f t="shared" si="187"/>
        <v>5035.6336316675943</v>
      </c>
      <c r="Z70" s="50">
        <f t="shared" si="187"/>
        <v>5228.4699047165541</v>
      </c>
      <c r="AA70" s="50">
        <f t="shared" si="187"/>
        <v>5243.9577756468134</v>
      </c>
      <c r="AB70" s="191">
        <f>+AB60+AB62+AB64+AB66+AB67+AB69</f>
        <v>20846.961312030959</v>
      </c>
      <c r="AC70" s="50">
        <f t="shared" si="187"/>
        <v>5611.4969781912687</v>
      </c>
      <c r="AD70" s="50">
        <f t="shared" si="187"/>
        <v>5455.630080561964</v>
      </c>
      <c r="AE70" s="50">
        <f t="shared" si="187"/>
        <v>5634.4854149688126</v>
      </c>
      <c r="AF70" s="50">
        <f t="shared" si="187"/>
        <v>5806.6960545072779</v>
      </c>
      <c r="AG70" s="191">
        <f>+AG60+AG62+AG64+AG66+AG67+AG69</f>
        <v>22508.308528229321</v>
      </c>
      <c r="AH70" s="50">
        <f t="shared" si="187"/>
        <v>6167.1332583922267</v>
      </c>
      <c r="AI70" s="50">
        <f t="shared" si="187"/>
        <v>5997.9017011988326</v>
      </c>
      <c r="AJ70" s="50">
        <f t="shared" si="187"/>
        <v>6195.8334210984985</v>
      </c>
      <c r="AK70" s="50">
        <f t="shared" si="187"/>
        <v>6390.5038264462455</v>
      </c>
      <c r="AL70" s="191">
        <f>+AL60+AL62+AL64+AL66+AL67+AL69</f>
        <v>24751.372207135802</v>
      </c>
      <c r="AM70" s="50">
        <f t="shared" ref="AM70:AP70" si="188">+AM60+AM62+AM64+AM66+AM67+AM69</f>
        <v>6692.241898387435</v>
      </c>
      <c r="AN70" s="50">
        <f t="shared" si="188"/>
        <v>6509.5942006863152</v>
      </c>
      <c r="AO70" s="50">
        <f t="shared" si="188"/>
        <v>6726.0981149251247</v>
      </c>
      <c r="AP70" s="50">
        <f t="shared" si="188"/>
        <v>6939.3269675596384</v>
      </c>
      <c r="AQ70" s="191">
        <f>+AQ60+AQ62+AQ64+AQ66+AQ67+AQ69</f>
        <v>26867.261181558511</v>
      </c>
      <c r="AR70" s="50">
        <f t="shared" ref="AR70:AU70" si="189">+AR60+AR62+AR64+AR66+AR67+AR69</f>
        <v>7134.1290503376995</v>
      </c>
      <c r="AS70" s="50">
        <f t="shared" si="189"/>
        <v>6937.8907981377524</v>
      </c>
      <c r="AT70" s="50">
        <f t="shared" si="189"/>
        <v>7166.1741529276387</v>
      </c>
      <c r="AU70" s="50">
        <f t="shared" si="189"/>
        <v>7390.7654437454212</v>
      </c>
      <c r="AV70" s="191">
        <f>+AV60+AV62+AV64+AV66+AV67+AV69</f>
        <v>28628.959445148514</v>
      </c>
    </row>
    <row r="71" spans="2:48" outlineLevel="1" x14ac:dyDescent="0.3">
      <c r="B71" s="46" t="s">
        <v>184</v>
      </c>
      <c r="C71" s="44"/>
      <c r="D71" s="156">
        <f t="shared" ref="D71:G71" si="190">+D59-D70</f>
        <v>968.70000000000027</v>
      </c>
      <c r="E71" s="156">
        <f t="shared" si="190"/>
        <v>856.40000000000055</v>
      </c>
      <c r="F71" s="156">
        <f t="shared" si="190"/>
        <v>1018.6999999999998</v>
      </c>
      <c r="G71" s="156">
        <f t="shared" si="190"/>
        <v>938.90000000000009</v>
      </c>
      <c r="H71" s="132">
        <f>SUM(D71:G71)</f>
        <v>3782.7000000000007</v>
      </c>
      <c r="I71" s="156">
        <f t="shared" ref="I71:L71" si="191">+I59-I70</f>
        <v>1098.7999999999997</v>
      </c>
      <c r="J71" s="156">
        <f t="shared" si="191"/>
        <v>621.19999999999982</v>
      </c>
      <c r="K71" s="156">
        <f t="shared" si="191"/>
        <v>-404.89999999999964</v>
      </c>
      <c r="L71" s="74">
        <f t="shared" si="191"/>
        <v>506.00000000000091</v>
      </c>
      <c r="M71" s="97"/>
      <c r="N71" s="74">
        <f>+N59-N70</f>
        <v>813.49999999999955</v>
      </c>
      <c r="O71" s="74">
        <f t="shared" ref="O71:Q71" si="192">+O59-O70</f>
        <v>905.29999999999973</v>
      </c>
      <c r="P71" s="74">
        <f t="shared" si="192"/>
        <v>1315.7000000000003</v>
      </c>
      <c r="Q71" s="74">
        <f t="shared" si="192"/>
        <v>1255.8000000000002</v>
      </c>
      <c r="R71" s="97"/>
      <c r="S71" s="74">
        <f t="shared" ref="S71:U71" si="193">+S59-S70</f>
        <v>1083.1000000000004</v>
      </c>
      <c r="T71" s="74">
        <f t="shared" si="193"/>
        <v>931.5</v>
      </c>
      <c r="U71" s="74">
        <f t="shared" si="193"/>
        <v>1330.1000000000004</v>
      </c>
      <c r="V71" s="156">
        <f>+V59-V70</f>
        <v>1141.8000000000011</v>
      </c>
      <c r="W71" s="97">
        <f>SUM(S71:V71)</f>
        <v>4486.5000000000018</v>
      </c>
      <c r="X71" s="156">
        <f t="shared" ref="X71:AA71" si="194">+X59-X70</f>
        <v>1212.3999999999996</v>
      </c>
      <c r="Y71" s="74">
        <f t="shared" si="194"/>
        <v>1013.3317877586878</v>
      </c>
      <c r="Z71" s="74">
        <f t="shared" si="194"/>
        <v>1359.4952346473574</v>
      </c>
      <c r="AA71" s="74">
        <f t="shared" si="194"/>
        <v>1387.9753381331266</v>
      </c>
      <c r="AB71" s="97">
        <f>SUM(X71:AA71)</f>
        <v>4973.2023605391714</v>
      </c>
      <c r="AC71" s="74">
        <f t="shared" ref="AC71:AF71" si="195">+AC59-AC70</f>
        <v>1451.1533254672295</v>
      </c>
      <c r="AD71" s="74">
        <f t="shared" si="195"/>
        <v>1075.648541850127</v>
      </c>
      <c r="AE71" s="74">
        <f t="shared" si="195"/>
        <v>1480.8145795553282</v>
      </c>
      <c r="AF71" s="74">
        <f t="shared" si="195"/>
        <v>1359.8262827392355</v>
      </c>
      <c r="AG71" s="97">
        <f>SUM(AC71:AF71)</f>
        <v>5367.4427296119202</v>
      </c>
      <c r="AH71" s="74">
        <f t="shared" ref="AH71:AK71" si="196">+AH59-AH70</f>
        <v>1617.4251910474904</v>
      </c>
      <c r="AI71" s="74">
        <f t="shared" si="196"/>
        <v>1207.8910315087724</v>
      </c>
      <c r="AJ71" s="74">
        <f t="shared" si="196"/>
        <v>1662.0862219248083</v>
      </c>
      <c r="AK71" s="74">
        <f t="shared" si="196"/>
        <v>1532.9760671132954</v>
      </c>
      <c r="AL71" s="97">
        <f>SUM(AH71:AK71)</f>
        <v>6020.3785115943665</v>
      </c>
      <c r="AM71" s="74">
        <f t="shared" ref="AM71:AP71" si="197">+AM59-AM70</f>
        <v>1757.5616387055843</v>
      </c>
      <c r="AN71" s="74">
        <f t="shared" si="197"/>
        <v>1308.5381646512405</v>
      </c>
      <c r="AO71" s="74">
        <f t="shared" si="197"/>
        <v>1797.3523043837058</v>
      </c>
      <c r="AP71" s="74">
        <f t="shared" si="197"/>
        <v>1652.4898106562232</v>
      </c>
      <c r="AQ71" s="97">
        <f>SUM(AM71:AP71)</f>
        <v>6515.9419183967539</v>
      </c>
      <c r="AR71" s="74">
        <f t="shared" ref="AR71:AU71" si="198">+AR59-AR70</f>
        <v>1849.775744074107</v>
      </c>
      <c r="AS71" s="74">
        <f t="shared" si="198"/>
        <v>1373.8549049626181</v>
      </c>
      <c r="AT71" s="74">
        <f t="shared" si="198"/>
        <v>1894.0978956687704</v>
      </c>
      <c r="AU71" s="74">
        <f t="shared" si="198"/>
        <v>1738.9907930725958</v>
      </c>
      <c r="AV71" s="97">
        <f>SUM(AR71:AU71)</f>
        <v>6856.7193377780914</v>
      </c>
    </row>
    <row r="72" spans="2:48" outlineLevel="1" x14ac:dyDescent="0.3">
      <c r="B72" s="46" t="s">
        <v>185</v>
      </c>
      <c r="C72" s="44"/>
      <c r="D72" s="157">
        <f t="shared" ref="D72:G72" si="199">+D71/D59</f>
        <v>0.21001626016260169</v>
      </c>
      <c r="E72" s="157">
        <f t="shared" si="199"/>
        <v>0.19851185647064287</v>
      </c>
      <c r="F72" s="157">
        <f t="shared" si="199"/>
        <v>0.21761979022024736</v>
      </c>
      <c r="G72" s="157">
        <f t="shared" si="199"/>
        <v>0.20185320548652022</v>
      </c>
      <c r="H72" s="133">
        <f>H71/H59</f>
        <v>0.20716793270205</v>
      </c>
      <c r="I72" s="157">
        <f t="shared" ref="I72:L72" si="200">+I71/I59</f>
        <v>0.21928196531561192</v>
      </c>
      <c r="J72" s="157">
        <f t="shared" si="200"/>
        <v>0.14346420323325632</v>
      </c>
      <c r="K72" s="157">
        <f t="shared" si="200"/>
        <v>-0.14432364997326666</v>
      </c>
      <c r="L72" s="75">
        <f t="shared" si="200"/>
        <v>0.12007878687201899</v>
      </c>
      <c r="M72" s="98"/>
      <c r="N72" s="75">
        <f>+N71/N59</f>
        <v>0.17296734138458913</v>
      </c>
      <c r="O72" s="75">
        <f t="shared" ref="O72:Q72" si="201">+O71/O59</f>
        <v>0.19407880632851687</v>
      </c>
      <c r="P72" s="75">
        <f t="shared" si="201"/>
        <v>0.24363461289187641</v>
      </c>
      <c r="Q72" s="75">
        <f t="shared" si="201"/>
        <v>0.21790733992712133</v>
      </c>
      <c r="R72" s="98"/>
      <c r="S72" s="75">
        <f t="shared" ref="S72:V72" si="202">+S71/S59</f>
        <v>0.188946845070914</v>
      </c>
      <c r="T72" s="75">
        <f t="shared" si="202"/>
        <v>0.17105238995905026</v>
      </c>
      <c r="U72" s="75">
        <f t="shared" si="202"/>
        <v>0.21954641489502186</v>
      </c>
      <c r="V72" s="75">
        <f t="shared" si="202"/>
        <v>0.18613067292644778</v>
      </c>
      <c r="W72" s="98">
        <f>W71/W59</f>
        <v>0.19197032194019895</v>
      </c>
      <c r="X72" s="157">
        <f t="shared" ref="X72:AA72" si="203">+X71/X59</f>
        <v>0.18506250667806384</v>
      </c>
      <c r="Y72" s="75">
        <f t="shared" si="203"/>
        <v>0.16752150450461625</v>
      </c>
      <c r="Z72" s="75">
        <f t="shared" si="203"/>
        <v>0.20636041719835527</v>
      </c>
      <c r="AA72" s="75">
        <f t="shared" si="203"/>
        <v>0.20928669127394672</v>
      </c>
      <c r="AB72" s="98">
        <f>AB71/AB59</f>
        <v>0.1926092500266533</v>
      </c>
      <c r="AC72" s="75">
        <f t="shared" ref="AC72:AF72" si="204">+AC71/AC59</f>
        <v>0.20546866446375275</v>
      </c>
      <c r="AD72" s="75">
        <f t="shared" si="204"/>
        <v>0.16469187796690185</v>
      </c>
      <c r="AE72" s="75">
        <f t="shared" si="204"/>
        <v>0.20811695651552956</v>
      </c>
      <c r="AF72" s="75">
        <f t="shared" si="204"/>
        <v>0.18974702355587736</v>
      </c>
      <c r="AG72" s="98">
        <f>AG71/AG59</f>
        <v>0.19254880989448125</v>
      </c>
      <c r="AH72" s="75">
        <f t="shared" ref="AH72:AK72" si="205">+AH71/AH59</f>
        <v>0.20777353032321344</v>
      </c>
      <c r="AI72" s="75">
        <f t="shared" si="205"/>
        <v>0.1676277789709478</v>
      </c>
      <c r="AJ72" s="75">
        <f t="shared" si="205"/>
        <v>0.21151733504942366</v>
      </c>
      <c r="AK72" s="75">
        <f t="shared" si="205"/>
        <v>0.19347257615424096</v>
      </c>
      <c r="AL72" s="98">
        <f>AL71/AL59</f>
        <v>0.1956462785177146</v>
      </c>
      <c r="AM72" s="75">
        <f t="shared" ref="AM72:AP72" si="206">+AM71/AM59</f>
        <v>0.20800029621874938</v>
      </c>
      <c r="AN72" s="75">
        <f t="shared" si="206"/>
        <v>0.16737221928510329</v>
      </c>
      <c r="AO72" s="75">
        <f t="shared" si="206"/>
        <v>0.21087144477452754</v>
      </c>
      <c r="AP72" s="75">
        <f t="shared" si="206"/>
        <v>0.19233299001976295</v>
      </c>
      <c r="AQ72" s="98">
        <f>AQ71/AQ59</f>
        <v>0.19518624078363186</v>
      </c>
      <c r="AR72" s="75">
        <f t="shared" ref="AR72:AU72" si="207">+AR71/AR59</f>
        <v>0.2058988587261866</v>
      </c>
      <c r="AS72" s="75">
        <f t="shared" si="207"/>
        <v>0.16529077693632463</v>
      </c>
      <c r="AT72" s="75">
        <f t="shared" si="207"/>
        <v>0.20905530049312354</v>
      </c>
      <c r="AU72" s="75">
        <f t="shared" si="207"/>
        <v>0.1904750519033227</v>
      </c>
      <c r="AV72" s="98">
        <f>AV71/AV59</f>
        <v>0.19322497336804778</v>
      </c>
    </row>
    <row r="73" spans="2:48" ht="17.399999999999999" x14ac:dyDescent="0.45">
      <c r="B73" s="599" t="s">
        <v>114</v>
      </c>
      <c r="C73" s="600"/>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4" t="s">
        <v>408</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601" t="s">
        <v>115</v>
      </c>
      <c r="C74" s="602"/>
      <c r="D74" s="21">
        <v>5839</v>
      </c>
      <c r="E74" s="21">
        <v>5879</v>
      </c>
      <c r="F74" s="116">
        <v>5646</v>
      </c>
      <c r="G74" s="21">
        <v>5860</v>
      </c>
      <c r="H74" s="191">
        <f>G74</f>
        <v>5860</v>
      </c>
      <c r="I74" s="21">
        <v>6059</v>
      </c>
      <c r="J74" s="21">
        <v>6137</v>
      </c>
      <c r="K74" s="21">
        <v>6254</v>
      </c>
      <c r="L74" s="21">
        <v>6528</v>
      </c>
      <c r="M74" s="191">
        <f>L74</f>
        <v>6528</v>
      </c>
      <c r="N74" s="21">
        <v>6713</v>
      </c>
      <c r="O74" s="21">
        <f>+N74+O75</f>
        <v>6836</v>
      </c>
      <c r="P74" s="21">
        <f t="shared" ref="P74:Q74" si="208">+O74+P75</f>
        <v>7013</v>
      </c>
      <c r="Q74" s="21">
        <f t="shared" si="208"/>
        <v>7272</v>
      </c>
      <c r="R74" s="191">
        <f>Q74</f>
        <v>7272</v>
      </c>
      <c r="S74" s="21">
        <f>+Q74+S75</f>
        <v>7485</v>
      </c>
      <c r="T74" s="21">
        <f>+S74+T75</f>
        <v>7587</v>
      </c>
      <c r="U74" s="21">
        <f t="shared" ref="U74:V74" si="209">+T74+U75</f>
        <v>7717</v>
      </c>
      <c r="V74" s="21">
        <f t="shared" si="209"/>
        <v>8037</v>
      </c>
      <c r="W74" s="191">
        <f>V74</f>
        <v>8037</v>
      </c>
      <c r="X74" s="21">
        <f>+V74+X75</f>
        <v>8134</v>
      </c>
      <c r="Y74" s="21">
        <f>+X74+Y75</f>
        <v>8407</v>
      </c>
      <c r="Z74" s="21">
        <f t="shared" ref="Z74:AA74" si="210">+Y74+Z75</f>
        <v>8680</v>
      </c>
      <c r="AA74" s="21">
        <f t="shared" si="210"/>
        <v>8953</v>
      </c>
      <c r="AB74" s="191">
        <f>AA74</f>
        <v>8953</v>
      </c>
      <c r="AC74" s="21">
        <f>+AA74+AC75</f>
        <v>9217</v>
      </c>
      <c r="AD74" s="21">
        <f>+AC74+AD75</f>
        <v>9481</v>
      </c>
      <c r="AE74" s="21">
        <f t="shared" ref="AE74:AF74" si="211">+AD74+AE75</f>
        <v>9745</v>
      </c>
      <c r="AF74" s="21">
        <f t="shared" si="211"/>
        <v>10013</v>
      </c>
      <c r="AG74" s="191">
        <f>AF74</f>
        <v>10013</v>
      </c>
      <c r="AH74" s="21">
        <f>+AF74+AH75</f>
        <v>10287</v>
      </c>
      <c r="AI74" s="21">
        <f>+AH74+AI75</f>
        <v>10561</v>
      </c>
      <c r="AJ74" s="21">
        <f t="shared" ref="AJ74:AK74" si="212">+AI74+AJ75</f>
        <v>10835</v>
      </c>
      <c r="AK74" s="21">
        <f t="shared" si="212"/>
        <v>11111</v>
      </c>
      <c r="AL74" s="191">
        <f>AK74</f>
        <v>11111</v>
      </c>
      <c r="AM74" s="21">
        <f>+AK74+AM75</f>
        <v>11241</v>
      </c>
      <c r="AN74" s="21">
        <f>+AM74+AN75</f>
        <v>11371</v>
      </c>
      <c r="AO74" s="21">
        <f t="shared" ref="AO74:AP74" si="213">+AN74+AO75</f>
        <v>11501</v>
      </c>
      <c r="AP74" s="21">
        <f t="shared" si="213"/>
        <v>11631</v>
      </c>
      <c r="AQ74" s="191">
        <f>AP74</f>
        <v>11631</v>
      </c>
      <c r="AR74" s="21">
        <f>+AP74+AR75</f>
        <v>11761</v>
      </c>
      <c r="AS74" s="21">
        <f>+AR74+AS75</f>
        <v>11891</v>
      </c>
      <c r="AT74" s="21">
        <f t="shared" ref="AT74:AU74" si="214">+AS74+AT75</f>
        <v>12021</v>
      </c>
      <c r="AU74" s="21">
        <f t="shared" si="214"/>
        <v>12151</v>
      </c>
      <c r="AV74" s="191">
        <f>AU74</f>
        <v>12151</v>
      </c>
    </row>
    <row r="75" spans="2:48" outlineLevel="1" x14ac:dyDescent="0.3">
      <c r="B75" s="180" t="s">
        <v>46</v>
      </c>
      <c r="C75" s="201"/>
      <c r="D75" s="101">
        <f>+D74-5651</f>
        <v>188</v>
      </c>
      <c r="E75" s="101">
        <f>+E74-D74</f>
        <v>40</v>
      </c>
      <c r="F75" s="101">
        <f t="shared" ref="F75:G75" si="215">+F74-E74</f>
        <v>-233</v>
      </c>
      <c r="G75" s="101">
        <f t="shared" si="215"/>
        <v>214</v>
      </c>
      <c r="H75" s="26">
        <f>+SUM(D75:G75)</f>
        <v>209</v>
      </c>
      <c r="I75" s="101">
        <f>+I74-G74</f>
        <v>199</v>
      </c>
      <c r="J75" s="101">
        <f t="shared" ref="J75:L75" si="216">+J74-I74</f>
        <v>78</v>
      </c>
      <c r="K75" s="101">
        <f t="shared" si="216"/>
        <v>117</v>
      </c>
      <c r="L75" s="101">
        <f t="shared" si="216"/>
        <v>274</v>
      </c>
      <c r="M75" s="26">
        <f>+SUM(I75:L75)</f>
        <v>668</v>
      </c>
      <c r="N75" s="101">
        <v>185</v>
      </c>
      <c r="O75" s="101">
        <v>123</v>
      </c>
      <c r="P75" s="101">
        <v>177</v>
      </c>
      <c r="Q75" s="101">
        <v>259</v>
      </c>
      <c r="R75" s="26">
        <f>+SUM(N75:Q75)</f>
        <v>744</v>
      </c>
      <c r="S75" s="101">
        <v>213</v>
      </c>
      <c r="T75" s="101">
        <v>102</v>
      </c>
      <c r="U75" s="101">
        <v>130</v>
      </c>
      <c r="V75" s="101">
        <v>320</v>
      </c>
      <c r="W75" s="122">
        <f>+SUM(S75:V75)</f>
        <v>765</v>
      </c>
      <c r="X75" s="101">
        <v>97</v>
      </c>
      <c r="Y75" s="33">
        <v>273</v>
      </c>
      <c r="Z75" s="33">
        <v>273</v>
      </c>
      <c r="AA75" s="33">
        <v>273</v>
      </c>
      <c r="AB75" s="26">
        <f>+SUM(X75:AA75)</f>
        <v>916</v>
      </c>
      <c r="AC75" s="33">
        <v>264</v>
      </c>
      <c r="AD75" s="33">
        <v>264</v>
      </c>
      <c r="AE75" s="33">
        <v>264</v>
      </c>
      <c r="AF75" s="33">
        <v>268</v>
      </c>
      <c r="AG75" s="26">
        <f>+SUM(AC75:AF75)</f>
        <v>1060</v>
      </c>
      <c r="AH75" s="95">
        <v>274</v>
      </c>
      <c r="AI75" s="33">
        <v>274</v>
      </c>
      <c r="AJ75" s="33">
        <v>274</v>
      </c>
      <c r="AK75" s="33">
        <v>276</v>
      </c>
      <c r="AL75" s="26">
        <f>+SUM(AH75:AK75)</f>
        <v>1098</v>
      </c>
      <c r="AM75" s="33">
        <v>130</v>
      </c>
      <c r="AN75" s="33">
        <v>130</v>
      </c>
      <c r="AO75" s="33">
        <v>130</v>
      </c>
      <c r="AP75" s="33">
        <v>130</v>
      </c>
      <c r="AQ75" s="26">
        <f>+SUM(AM75:AP75)</f>
        <v>520</v>
      </c>
      <c r="AR75" s="33">
        <v>130</v>
      </c>
      <c r="AS75" s="33">
        <v>130</v>
      </c>
      <c r="AT75" s="33">
        <v>130</v>
      </c>
      <c r="AU75" s="33">
        <v>130</v>
      </c>
      <c r="AV75" s="26">
        <f>+SUM(AR75:AU75)</f>
        <v>520</v>
      </c>
    </row>
    <row r="76" spans="2:48" outlineLevel="1" x14ac:dyDescent="0.3">
      <c r="B76" s="180" t="s">
        <v>201</v>
      </c>
      <c r="C76" s="201"/>
      <c r="D76" s="101"/>
      <c r="E76" s="101">
        <f>AVERAGE(D74,E74)</f>
        <v>5859</v>
      </c>
      <c r="F76" s="101">
        <f t="shared" ref="F76:G76" si="217">AVERAGE(E74,F74)</f>
        <v>5762.5</v>
      </c>
      <c r="G76" s="101">
        <f t="shared" si="217"/>
        <v>5753</v>
      </c>
      <c r="H76" s="26"/>
      <c r="I76" s="101">
        <f>AVERAGE(G74,I74)</f>
        <v>5959.5</v>
      </c>
      <c r="J76" s="101">
        <f t="shared" ref="J76:L76" si="218">AVERAGE(I74,J74)</f>
        <v>6098</v>
      </c>
      <c r="K76" s="101">
        <f t="shared" si="218"/>
        <v>6195.5</v>
      </c>
      <c r="L76" s="101">
        <f t="shared" si="218"/>
        <v>6391</v>
      </c>
      <c r="M76" s="26"/>
      <c r="N76" s="101">
        <f>AVERAGE(L74,N74)</f>
        <v>6620.5</v>
      </c>
      <c r="O76" s="101">
        <f t="shared" ref="O76:Q76" si="219">AVERAGE(N74,O74)</f>
        <v>6774.5</v>
      </c>
      <c r="P76" s="101">
        <f t="shared" si="219"/>
        <v>6924.5</v>
      </c>
      <c r="Q76" s="101">
        <f t="shared" si="219"/>
        <v>7142.5</v>
      </c>
      <c r="R76" s="26"/>
      <c r="S76" s="101">
        <f>AVERAGE(Q74,S74)</f>
        <v>7378.5</v>
      </c>
      <c r="T76" s="101">
        <f>AVERAGE(S74,T74)</f>
        <v>7536</v>
      </c>
      <c r="U76" s="101">
        <f t="shared" ref="U76:V76" si="220">AVERAGE(T74,U74)</f>
        <v>7652</v>
      </c>
      <c r="V76" s="101">
        <f t="shared" si="220"/>
        <v>7877</v>
      </c>
      <c r="W76" s="122"/>
      <c r="X76" s="101">
        <f>AVERAGE(V74,X74)</f>
        <v>8085.5</v>
      </c>
      <c r="Y76" s="101">
        <f t="shared" ref="Y76:AA76" si="221">AVERAGE(X74,Y74)</f>
        <v>8270.5</v>
      </c>
      <c r="Z76" s="101">
        <f t="shared" si="221"/>
        <v>8543.5</v>
      </c>
      <c r="AA76" s="101">
        <f t="shared" si="221"/>
        <v>8816.5</v>
      </c>
      <c r="AB76" s="26"/>
      <c r="AC76" s="101">
        <f>AVERAGE(AA74,AC74)</f>
        <v>9085</v>
      </c>
      <c r="AD76" s="101">
        <f t="shared" ref="AD76:AF76" si="222">AVERAGE(AC74,AD74)</f>
        <v>9349</v>
      </c>
      <c r="AE76" s="101">
        <f t="shared" si="222"/>
        <v>9613</v>
      </c>
      <c r="AF76" s="101">
        <f t="shared" si="222"/>
        <v>9879</v>
      </c>
      <c r="AG76" s="26"/>
      <c r="AH76" s="101">
        <f>AVERAGE(AF74,AH74)</f>
        <v>10150</v>
      </c>
      <c r="AI76" s="101">
        <f t="shared" ref="AI76:AK76" si="223">AVERAGE(AH74,AI74)</f>
        <v>10424</v>
      </c>
      <c r="AJ76" s="101">
        <f t="shared" si="223"/>
        <v>10698</v>
      </c>
      <c r="AK76" s="101">
        <f t="shared" si="223"/>
        <v>10973</v>
      </c>
      <c r="AL76" s="26"/>
      <c r="AM76" s="101">
        <f>AVERAGE(AK74,AM74)</f>
        <v>11176</v>
      </c>
      <c r="AN76" s="101">
        <f t="shared" ref="AN76:AP76" si="224">AVERAGE(AM74,AN74)</f>
        <v>11306</v>
      </c>
      <c r="AO76" s="101">
        <f t="shared" si="224"/>
        <v>11436</v>
      </c>
      <c r="AP76" s="101">
        <f t="shared" si="224"/>
        <v>11566</v>
      </c>
      <c r="AQ76" s="26"/>
      <c r="AR76" s="101">
        <f>AVERAGE(AP74,AR74)</f>
        <v>11696</v>
      </c>
      <c r="AS76" s="101">
        <f t="shared" ref="AS76:AU76" si="225">AVERAGE(AR74,AS74)</f>
        <v>11826</v>
      </c>
      <c r="AT76" s="101">
        <f t="shared" si="225"/>
        <v>11956</v>
      </c>
      <c r="AU76" s="101">
        <f t="shared" si="225"/>
        <v>12086</v>
      </c>
      <c r="AV76" s="26"/>
    </row>
    <row r="77" spans="2:48" s="20" customFormat="1" outlineLevel="1" x14ac:dyDescent="0.3">
      <c r="B77" s="180" t="s">
        <v>206</v>
      </c>
      <c r="C77" s="206"/>
      <c r="D77" s="43"/>
      <c r="E77" s="43">
        <f>+E78/E76</f>
        <v>0.22348523638846221</v>
      </c>
      <c r="F77" s="114">
        <f>+F78/F76</f>
        <v>0.2347592190889371</v>
      </c>
      <c r="G77" s="43">
        <f>+G78/G76</f>
        <v>0.22873283504258649</v>
      </c>
      <c r="H77" s="97"/>
      <c r="I77" s="43">
        <f>+I78/I76</f>
        <v>0.21976675895628828</v>
      </c>
      <c r="J77" s="43">
        <f>+J78/J76</f>
        <v>0.14798294522794359</v>
      </c>
      <c r="K77" s="43">
        <f>+K78/K76</f>
        <v>0.14131224275683965</v>
      </c>
      <c r="L77" s="43">
        <f>+L78/L76</f>
        <v>0.20314504772336098</v>
      </c>
      <c r="M77" s="97"/>
      <c r="N77" s="43">
        <f>+N78/N76</f>
        <v>0.21776300883619062</v>
      </c>
      <c r="O77" s="43">
        <f>+O78/O76</f>
        <v>0.20439884862351465</v>
      </c>
      <c r="P77" s="43">
        <f>+P78/P76</f>
        <v>0.20698967434471802</v>
      </c>
      <c r="Q77" s="43">
        <f>+Q78/Q76</f>
        <v>0.22541127056352817</v>
      </c>
      <c r="R77" s="97"/>
      <c r="S77" s="43">
        <f>+S78/S76</f>
        <v>0.20441824219014704</v>
      </c>
      <c r="T77" s="43">
        <f>+T78/T76</f>
        <v>0.17786624203821658</v>
      </c>
      <c r="U77" s="43">
        <f>+U78/U76</f>
        <v>0.15189492943021432</v>
      </c>
      <c r="V77" s="43">
        <f>+V78/V76</f>
        <v>0.17149930176463121</v>
      </c>
      <c r="W77" s="132"/>
      <c r="X77" s="114">
        <f>+X78/X76</f>
        <v>0.15000927586420135</v>
      </c>
      <c r="Y77" s="62">
        <f>T77*0.95</f>
        <v>0.16897292993630575</v>
      </c>
      <c r="Z77" s="62">
        <f>U77*1.2</f>
        <v>0.18227391531625717</v>
      </c>
      <c r="AA77" s="62">
        <f>V77*1.2</f>
        <v>0.20579916211755744</v>
      </c>
      <c r="AB77" s="97"/>
      <c r="AC77" s="62">
        <f>X77*1.2</f>
        <v>0.18001113103704161</v>
      </c>
      <c r="AD77" s="62">
        <f>Y77*1.05</f>
        <v>0.17742157643312104</v>
      </c>
      <c r="AE77" s="62">
        <f>Z77*1.05</f>
        <v>0.19138761108207003</v>
      </c>
      <c r="AF77" s="62">
        <f>AA77*1.05</f>
        <v>0.21608912022343532</v>
      </c>
      <c r="AG77" s="97"/>
      <c r="AH77" s="62">
        <f>AC77*1.05</f>
        <v>0.1890116875888937</v>
      </c>
      <c r="AI77" s="62">
        <f t="shared" ref="AI77:AK77" si="226">AD77*1.05</f>
        <v>0.18629265525477709</v>
      </c>
      <c r="AJ77" s="62">
        <f t="shared" si="226"/>
        <v>0.20095699163617353</v>
      </c>
      <c r="AK77" s="62">
        <f t="shared" si="226"/>
        <v>0.2268935762346071</v>
      </c>
      <c r="AL77" s="97"/>
      <c r="AM77" s="477">
        <f>AH77*1.05</f>
        <v>0.19846227196833838</v>
      </c>
      <c r="AN77" s="477">
        <f>AI77*1.05</f>
        <v>0.19560728801751595</v>
      </c>
      <c r="AO77" s="477">
        <f>AJ77*1.05</f>
        <v>0.21100484121798221</v>
      </c>
      <c r="AP77" s="477">
        <f>AK77*1.05</f>
        <v>0.23823825504633747</v>
      </c>
      <c r="AQ77" s="97"/>
      <c r="AR77" s="477">
        <f>AM77*1.03</f>
        <v>0.20441614012738854</v>
      </c>
      <c r="AS77" s="477">
        <f>AN77*1.03</f>
        <v>0.20147550665804143</v>
      </c>
      <c r="AT77" s="477">
        <f>AO77*1.03</f>
        <v>0.21733498645452168</v>
      </c>
      <c r="AU77" s="477">
        <f>AP77*1.03</f>
        <v>0.2453854026977276</v>
      </c>
      <c r="AV77" s="97"/>
    </row>
    <row r="78" spans="2:48" s="8" customFormat="1" outlineLevel="1" x14ac:dyDescent="0.3">
      <c r="B78" s="587" t="s">
        <v>116</v>
      </c>
      <c r="C78" s="588"/>
      <c r="D78" s="50">
        <v>1278.0999999999999</v>
      </c>
      <c r="E78" s="50">
        <v>1309.4000000000001</v>
      </c>
      <c r="F78" s="103">
        <v>1352.8</v>
      </c>
      <c r="G78" s="50">
        <v>1315.9</v>
      </c>
      <c r="H78" s="97">
        <f>SUM(D78:G78)</f>
        <v>5256.2000000000007</v>
      </c>
      <c r="I78" s="50">
        <v>1309.7</v>
      </c>
      <c r="J78" s="50">
        <v>902.4</v>
      </c>
      <c r="K78" s="103">
        <v>875.5</v>
      </c>
      <c r="L78" s="50">
        <v>1298.3</v>
      </c>
      <c r="M78" s="97">
        <f>SUM(I78:L78)</f>
        <v>4385.8999999999996</v>
      </c>
      <c r="N78" s="50">
        <v>1441.7</v>
      </c>
      <c r="O78" s="50">
        <v>1384.7</v>
      </c>
      <c r="P78" s="50">
        <v>1433.3</v>
      </c>
      <c r="Q78" s="103">
        <v>1610</v>
      </c>
      <c r="R78" s="97">
        <f>SUM(N78:Q78)</f>
        <v>5869.7</v>
      </c>
      <c r="S78" s="50">
        <v>1508.3</v>
      </c>
      <c r="T78" s="50">
        <v>1340.4</v>
      </c>
      <c r="U78" s="50">
        <v>1162.3</v>
      </c>
      <c r="V78" s="50">
        <v>1350.9</v>
      </c>
      <c r="W78" s="132">
        <f>SUM(S78:V78)</f>
        <v>5361.9</v>
      </c>
      <c r="X78" s="103">
        <v>1212.9000000000001</v>
      </c>
      <c r="Y78" s="50">
        <f>Y77*Y76</f>
        <v>1397.4906170382167</v>
      </c>
      <c r="Z78" s="50">
        <f>Z77*Z76</f>
        <v>1557.2571955044432</v>
      </c>
      <c r="AA78" s="50">
        <f>AA77*AA76</f>
        <v>1814.4283128094453</v>
      </c>
      <c r="AB78" s="97">
        <f>SUM(X78:AA78)</f>
        <v>5982.076125352105</v>
      </c>
      <c r="AC78" s="50">
        <f>AC77*AC76</f>
        <v>1635.4011254715231</v>
      </c>
      <c r="AD78" s="50">
        <f>AD77*AD76</f>
        <v>1658.7143180732485</v>
      </c>
      <c r="AE78" s="50">
        <f>AE77*AE76</f>
        <v>1839.8091053319392</v>
      </c>
      <c r="AF78" s="50">
        <f>AF77*AF76</f>
        <v>2134.7444186873176</v>
      </c>
      <c r="AG78" s="97">
        <f>SUM(AC78:AF78)</f>
        <v>7268.6689675640282</v>
      </c>
      <c r="AH78" s="50">
        <f>AH77*AH76</f>
        <v>1918.4686290272709</v>
      </c>
      <c r="AI78" s="50">
        <f>AI77*AI76</f>
        <v>1941.9146383757964</v>
      </c>
      <c r="AJ78" s="50">
        <f>AJ77*AJ76</f>
        <v>2149.8378965237844</v>
      </c>
      <c r="AK78" s="50">
        <f>AK77*AK76</f>
        <v>2489.7032120223439</v>
      </c>
      <c r="AL78" s="97">
        <f>SUM(AH78:AK78)</f>
        <v>8499.9243759491947</v>
      </c>
      <c r="AM78" s="50">
        <f>AM77*AM76</f>
        <v>2218.0143515181499</v>
      </c>
      <c r="AN78" s="50">
        <f>AN77*AN76</f>
        <v>2211.5359983260355</v>
      </c>
      <c r="AO78" s="50">
        <f>AO77*AO76</f>
        <v>2413.0513641688444</v>
      </c>
      <c r="AP78" s="50">
        <f>AP77*AP76</f>
        <v>2755.4636578659392</v>
      </c>
      <c r="AQ78" s="97">
        <f>SUM(AM78:AP78)</f>
        <v>9598.065371878969</v>
      </c>
      <c r="AR78" s="50">
        <f>AR77*AR76</f>
        <v>2390.8511749299364</v>
      </c>
      <c r="AS78" s="50">
        <f>AS77*AS76</f>
        <v>2382.6493417379979</v>
      </c>
      <c r="AT78" s="50">
        <f>AT77*AT76</f>
        <v>2598.4570980502613</v>
      </c>
      <c r="AU78" s="50">
        <f>AU77*AU76</f>
        <v>2965.7279770047357</v>
      </c>
      <c r="AV78" s="97">
        <f>SUM(AR78:AU78)</f>
        <v>10337.685591722931</v>
      </c>
    </row>
    <row r="79" spans="2:48" s="8" customFormat="1" outlineLevel="1" x14ac:dyDescent="0.3">
      <c r="B79" s="38" t="s">
        <v>200</v>
      </c>
      <c r="C79" s="206"/>
      <c r="D79" s="43"/>
      <c r="E79" s="43"/>
      <c r="F79" s="43"/>
      <c r="G79" s="43"/>
      <c r="H79" s="97"/>
      <c r="I79" s="27">
        <f>I78/D78-1</f>
        <v>2.4724199984351936E-2</v>
      </c>
      <c r="J79" s="27">
        <f>J78/E78-1</f>
        <v>-0.31082938750572786</v>
      </c>
      <c r="K79" s="27">
        <f>K78/F78-1</f>
        <v>-0.35282377291543465</v>
      </c>
      <c r="L79" s="27">
        <f>L78/G78-1</f>
        <v>-1.3374876510373279E-2</v>
      </c>
      <c r="M79" s="97"/>
      <c r="N79" s="27">
        <f>N78/I78-1</f>
        <v>0.10078643964266631</v>
      </c>
      <c r="O79" s="27">
        <f>O78/J78-1</f>
        <v>0.53446365248226968</v>
      </c>
      <c r="P79" s="27">
        <f>P78/K78-1</f>
        <v>0.63712164477441457</v>
      </c>
      <c r="Q79" s="27">
        <f>Q78/L78-1</f>
        <v>0.24008318570438281</v>
      </c>
      <c r="R79" s="97"/>
      <c r="S79" s="27">
        <f t="shared" ref="S79:AP79" si="227">S78/N78-1</f>
        <v>4.6195463688700755E-2</v>
      </c>
      <c r="T79" s="27">
        <f t="shared" si="227"/>
        <v>-3.1992489347873132E-2</v>
      </c>
      <c r="U79" s="27">
        <f t="shared" si="227"/>
        <v>-0.18907416451545389</v>
      </c>
      <c r="V79" s="27">
        <f t="shared" si="227"/>
        <v>-0.16093167701863353</v>
      </c>
      <c r="W79" s="375">
        <f t="shared" si="227"/>
        <v>-8.6512087500212997E-2</v>
      </c>
      <c r="X79" s="113">
        <f t="shared" si="227"/>
        <v>-0.19584963203606698</v>
      </c>
      <c r="Y79" s="27">
        <f t="shared" si="227"/>
        <v>4.2592223991507527E-2</v>
      </c>
      <c r="Z79" s="27">
        <f t="shared" si="227"/>
        <v>0.33980658651332973</v>
      </c>
      <c r="AA79" s="27">
        <f t="shared" si="227"/>
        <v>0.34312555541449785</v>
      </c>
      <c r="AB79" s="375">
        <f t="shared" si="227"/>
        <v>0.11566350087694754</v>
      </c>
      <c r="AC79" s="27">
        <f t="shared" si="227"/>
        <v>0.34833962030795851</v>
      </c>
      <c r="AD79" s="27">
        <f t="shared" si="227"/>
        <v>0.186923402454507</v>
      </c>
      <c r="AE79" s="27">
        <f t="shared" si="227"/>
        <v>0.18144203195411723</v>
      </c>
      <c r="AF79" s="27">
        <f t="shared" si="227"/>
        <v>0.17653830885271926</v>
      </c>
      <c r="AG79" s="375">
        <f t="shared" si="227"/>
        <v>0.21507463550310368</v>
      </c>
      <c r="AH79" s="27">
        <f t="shared" si="227"/>
        <v>0.17308750687947172</v>
      </c>
      <c r="AI79" s="27">
        <f t="shared" si="227"/>
        <v>0.17073483795058308</v>
      </c>
      <c r="AJ79" s="27">
        <f t="shared" si="227"/>
        <v>0.1685113908249245</v>
      </c>
      <c r="AK79" s="27">
        <f t="shared" si="227"/>
        <v>0.1662769511084119</v>
      </c>
      <c r="AL79" s="375">
        <f t="shared" si="227"/>
        <v>0.16939214234126831</v>
      </c>
      <c r="AM79" s="27">
        <f t="shared" si="227"/>
        <v>0.15613793103448281</v>
      </c>
      <c r="AN79" s="27">
        <f t="shared" si="227"/>
        <v>0.13884305448963952</v>
      </c>
      <c r="AO79" s="27">
        <f t="shared" si="227"/>
        <v>0.12243409983174414</v>
      </c>
      <c r="AP79" s="27">
        <f t="shared" si="227"/>
        <v>0.10674382575412378</v>
      </c>
      <c r="AQ79" s="97"/>
      <c r="AR79" s="27">
        <f>AR78/AM78-1</f>
        <v>7.7924123120973521E-2</v>
      </c>
      <c r="AS79" s="27">
        <f>AS78/AN78-1</f>
        <v>7.7373076242702954E-2</v>
      </c>
      <c r="AT79" s="27">
        <f>AT78/AO78-1</f>
        <v>7.6834557537600601E-2</v>
      </c>
      <c r="AU79" s="27">
        <f>AU78/AP78-1</f>
        <v>7.6308144561646252E-2</v>
      </c>
      <c r="AV79" s="97"/>
    </row>
    <row r="80" spans="2:48" outlineLevel="1" x14ac:dyDescent="0.3">
      <c r="B80" s="236" t="s">
        <v>44</v>
      </c>
      <c r="C80" s="221"/>
      <c r="D80" s="222">
        <v>0.01</v>
      </c>
      <c r="E80" s="222">
        <v>0</v>
      </c>
      <c r="F80" s="222">
        <v>0.01</v>
      </c>
      <c r="G80" s="222">
        <v>0.01</v>
      </c>
      <c r="H80" s="223"/>
      <c r="I80" s="222">
        <v>-0.01</v>
      </c>
      <c r="J80" s="222">
        <v>-0.32</v>
      </c>
      <c r="K80" s="222">
        <v>-0.44</v>
      </c>
      <c r="L80" s="224">
        <v>-0.15</v>
      </c>
      <c r="M80" s="223"/>
      <c r="N80" s="222">
        <v>-0.03</v>
      </c>
      <c r="O80" s="222">
        <v>0.26</v>
      </c>
      <c r="P80" s="222">
        <v>0.55000000000000004</v>
      </c>
      <c r="Q80" s="222">
        <v>0.06</v>
      </c>
      <c r="R80" s="225"/>
      <c r="S80" s="224">
        <v>0.02</v>
      </c>
      <c r="T80" s="224">
        <v>-0.03</v>
      </c>
      <c r="U80" s="224">
        <v>-0.18</v>
      </c>
      <c r="V80" s="224">
        <v>-0.05</v>
      </c>
      <c r="W80" s="223"/>
      <c r="X80" s="222">
        <v>-0.12</v>
      </c>
      <c r="Y80" s="224"/>
      <c r="Z80" s="224"/>
      <c r="AA80" s="224"/>
      <c r="AB80" s="225"/>
      <c r="AC80" s="224"/>
      <c r="AD80" s="224"/>
      <c r="AE80" s="224"/>
      <c r="AF80" s="224"/>
      <c r="AG80" s="225"/>
      <c r="AH80" s="224"/>
      <c r="AI80" s="224"/>
      <c r="AJ80" s="224"/>
      <c r="AK80" s="224"/>
      <c r="AL80" s="225"/>
      <c r="AM80" s="224"/>
      <c r="AN80" s="224"/>
      <c r="AO80" s="224"/>
      <c r="AP80" s="224"/>
      <c r="AQ80" s="225"/>
      <c r="AR80" s="224"/>
      <c r="AS80" s="224"/>
      <c r="AT80" s="224"/>
      <c r="AU80" s="224"/>
      <c r="AV80" s="225"/>
    </row>
    <row r="81" spans="1:48" outlineLevel="1" x14ac:dyDescent="0.3">
      <c r="B81" s="180" t="s">
        <v>43</v>
      </c>
      <c r="C81" s="207"/>
      <c r="D81" s="151">
        <v>0.01</v>
      </c>
      <c r="E81" s="151">
        <v>0.02</v>
      </c>
      <c r="F81" s="151">
        <v>0.03</v>
      </c>
      <c r="G81" s="151">
        <v>0.03</v>
      </c>
      <c r="H81" s="60"/>
      <c r="I81" s="151">
        <v>0.02</v>
      </c>
      <c r="J81" s="151">
        <v>0.01</v>
      </c>
      <c r="K81" s="151">
        <v>0.13</v>
      </c>
      <c r="L81" s="59">
        <v>7.0000000000000007E-2</v>
      </c>
      <c r="M81" s="60"/>
      <c r="N81" s="151">
        <v>-0.1</v>
      </c>
      <c r="O81" s="59">
        <v>7.0000000000000007E-2</v>
      </c>
      <c r="P81" s="59">
        <v>-0.09</v>
      </c>
      <c r="Q81" s="151">
        <v>-0.02</v>
      </c>
      <c r="R81" s="60"/>
      <c r="S81" s="59">
        <v>-0.05</v>
      </c>
      <c r="T81" s="59">
        <v>-0.05</v>
      </c>
      <c r="U81" s="59">
        <v>-0.15</v>
      </c>
      <c r="V81" s="59">
        <v>-0.01</v>
      </c>
      <c r="W81" s="148"/>
      <c r="X81" s="151">
        <v>-0.01</v>
      </c>
      <c r="Y81" s="59"/>
      <c r="Z81" s="59"/>
      <c r="AA81" s="59"/>
      <c r="AB81" s="60"/>
      <c r="AC81" s="59"/>
      <c r="AD81" s="59"/>
      <c r="AE81" s="59"/>
      <c r="AF81" s="59"/>
      <c r="AG81" s="60"/>
      <c r="AH81" s="59"/>
      <c r="AI81" s="59"/>
      <c r="AJ81" s="59"/>
      <c r="AK81" s="59"/>
      <c r="AL81" s="60"/>
      <c r="AM81" s="59"/>
      <c r="AN81" s="59"/>
      <c r="AO81" s="59"/>
      <c r="AP81" s="59"/>
      <c r="AQ81" s="60"/>
      <c r="AR81" s="59"/>
      <c r="AS81" s="59"/>
      <c r="AT81" s="59"/>
      <c r="AU81" s="59"/>
      <c r="AV81" s="60"/>
    </row>
    <row r="82" spans="1:48" s="8" customFormat="1" outlineLevel="1" x14ac:dyDescent="0.3">
      <c r="B82" s="208" t="s">
        <v>45</v>
      </c>
      <c r="C82" s="206"/>
      <c r="D82" s="152">
        <v>0.02</v>
      </c>
      <c r="E82" s="152">
        <v>0.02</v>
      </c>
      <c r="F82" s="152">
        <v>0.05</v>
      </c>
      <c r="G82" s="152">
        <v>0.03</v>
      </c>
      <c r="H82" s="61"/>
      <c r="I82" s="152">
        <v>0.01</v>
      </c>
      <c r="J82" s="152">
        <v>-0.31</v>
      </c>
      <c r="K82" s="152">
        <v>-0.37</v>
      </c>
      <c r="L82" s="157">
        <v>-0.1</v>
      </c>
      <c r="M82" s="61"/>
      <c r="N82" s="152">
        <v>0.08</v>
      </c>
      <c r="O82" s="152">
        <v>0.35</v>
      </c>
      <c r="P82" s="152">
        <v>0.41</v>
      </c>
      <c r="Q82" s="152">
        <v>0.03</v>
      </c>
      <c r="R82" s="377">
        <f>R92/M92-1</f>
        <v>0.32353965857623956</v>
      </c>
      <c r="S82" s="152">
        <v>-0.03</v>
      </c>
      <c r="T82" s="152">
        <v>-0.08</v>
      </c>
      <c r="U82" s="152">
        <v>-0.04</v>
      </c>
      <c r="V82" s="152">
        <v>-0.05</v>
      </c>
      <c r="W82" s="377">
        <f>W92/R92-1</f>
        <v>1.4886958556345364E-2</v>
      </c>
      <c r="X82" s="152">
        <v>-0.13</v>
      </c>
      <c r="Y82" s="157"/>
      <c r="Z82" s="157"/>
      <c r="AA82" s="157"/>
      <c r="AB82" s="377">
        <f>AB92/W92-1</f>
        <v>0.15511939205854608</v>
      </c>
      <c r="AC82" s="157"/>
      <c r="AD82" s="157"/>
      <c r="AE82" s="157"/>
      <c r="AF82" s="157"/>
      <c r="AG82" s="377">
        <f>AG92/AB92-1</f>
        <v>0.19764118662703223</v>
      </c>
      <c r="AH82" s="157"/>
      <c r="AI82" s="157"/>
      <c r="AJ82" s="157"/>
      <c r="AK82" s="157"/>
      <c r="AL82" s="377">
        <f>AL92/AG92-1</f>
        <v>0.16259113962100225</v>
      </c>
      <c r="AM82" s="157"/>
      <c r="AN82" s="157"/>
      <c r="AO82" s="157"/>
      <c r="AP82" s="157">
        <v>0.04</v>
      </c>
      <c r="AQ82" s="134"/>
      <c r="AR82" s="157"/>
      <c r="AS82" s="157"/>
      <c r="AT82" s="157"/>
      <c r="AU82" s="157">
        <v>0.04</v>
      </c>
      <c r="AV82" s="61"/>
    </row>
    <row r="83" spans="1:48" s="8" customFormat="1" outlineLevel="1" x14ac:dyDescent="0.3">
      <c r="B83" s="597" t="s">
        <v>117</v>
      </c>
      <c r="C83" s="598"/>
      <c r="D83" s="117">
        <v>6373</v>
      </c>
      <c r="E83" s="117">
        <v>6586</v>
      </c>
      <c r="F83" s="117">
        <v>7127</v>
      </c>
      <c r="G83" s="117">
        <v>7329</v>
      </c>
      <c r="H83" s="192">
        <f>G83</f>
        <v>7329</v>
      </c>
      <c r="I83" s="117">
        <v>7533</v>
      </c>
      <c r="J83" s="117">
        <v>7642</v>
      </c>
      <c r="K83" s="117">
        <v>7691</v>
      </c>
      <c r="L83" s="117">
        <v>9735</v>
      </c>
      <c r="M83" s="192">
        <f>L83</f>
        <v>9735</v>
      </c>
      <c r="N83" s="117">
        <v>7917</v>
      </c>
      <c r="O83" s="67">
        <f>+N83+O84</f>
        <v>7987</v>
      </c>
      <c r="P83" s="67">
        <f t="shared" ref="P83" si="228">+O83+P84</f>
        <v>8107</v>
      </c>
      <c r="Q83" s="67">
        <v>9735</v>
      </c>
      <c r="R83" s="192">
        <f>Q83</f>
        <v>9735</v>
      </c>
      <c r="S83" s="67">
        <f>+Q83+S84</f>
        <v>9944</v>
      </c>
      <c r="T83" s="67">
        <f>+S83+T84</f>
        <v>10117</v>
      </c>
      <c r="U83" s="67">
        <f t="shared" ref="U83:V83" si="229">+T83+U84</f>
        <v>10181</v>
      </c>
      <c r="V83" s="67">
        <f t="shared" si="229"/>
        <v>10379</v>
      </c>
      <c r="W83" s="253">
        <f>V83</f>
        <v>10379</v>
      </c>
      <c r="X83" s="117">
        <f>+V83+X84</f>
        <v>10655</v>
      </c>
      <c r="Y83" s="67">
        <f>+X83+Y84</f>
        <v>10912</v>
      </c>
      <c r="Z83" s="67">
        <f t="shared" ref="Z83:AA83" si="230">+Y83+Z84</f>
        <v>11169</v>
      </c>
      <c r="AA83" s="67">
        <f t="shared" si="230"/>
        <v>11426</v>
      </c>
      <c r="AB83" s="192">
        <f>AA83</f>
        <v>11426</v>
      </c>
      <c r="AC83" s="67">
        <f>+AA83+AC84</f>
        <v>11670</v>
      </c>
      <c r="AD83" s="67">
        <f>+AC83+AD84</f>
        <v>11914</v>
      </c>
      <c r="AE83" s="67">
        <f t="shared" ref="AE83:AF83" si="231">+AD83+AE84</f>
        <v>12158</v>
      </c>
      <c r="AF83" s="67">
        <f t="shared" si="231"/>
        <v>12404</v>
      </c>
      <c r="AG83" s="192">
        <f>AF83</f>
        <v>12404</v>
      </c>
      <c r="AH83" s="67">
        <f>+AF83+AH84</f>
        <v>12657</v>
      </c>
      <c r="AI83" s="67">
        <f>+AH83+AI84</f>
        <v>12910</v>
      </c>
      <c r="AJ83" s="67">
        <f t="shared" ref="AJ83:AK83" si="232">+AI83+AJ84</f>
        <v>13163</v>
      </c>
      <c r="AK83" s="67">
        <f t="shared" si="232"/>
        <v>13417</v>
      </c>
      <c r="AL83" s="192">
        <f>AK83</f>
        <v>13417</v>
      </c>
      <c r="AM83" s="67">
        <f>+AK83+AM84</f>
        <v>13481</v>
      </c>
      <c r="AN83" s="67">
        <f>+AM83+AN84</f>
        <v>13545</v>
      </c>
      <c r="AO83" s="67">
        <f t="shared" ref="AO83:AP83" si="233">+AN83+AO84</f>
        <v>13609</v>
      </c>
      <c r="AP83" s="67">
        <f t="shared" si="233"/>
        <v>13673</v>
      </c>
      <c r="AQ83" s="192">
        <f>AP83</f>
        <v>13673</v>
      </c>
      <c r="AR83" s="67">
        <f>+AP83+AR84</f>
        <v>13737</v>
      </c>
      <c r="AS83" s="67">
        <f>+AR83+AS84</f>
        <v>13801</v>
      </c>
      <c r="AT83" s="67">
        <f t="shared" ref="AT83:AU83" si="234">+AS83+AT84</f>
        <v>13865</v>
      </c>
      <c r="AU83" s="67">
        <f t="shared" si="234"/>
        <v>13929</v>
      </c>
      <c r="AV83" s="192">
        <f>AU83</f>
        <v>13929</v>
      </c>
    </row>
    <row r="84" spans="1:48" outlineLevel="1" x14ac:dyDescent="0.3">
      <c r="B84" s="180" t="s">
        <v>47</v>
      </c>
      <c r="C84" s="201"/>
      <c r="D84" s="101">
        <f>+D83-6201</f>
        <v>172</v>
      </c>
      <c r="E84" s="101">
        <f>+E83-D83</f>
        <v>213</v>
      </c>
      <c r="F84" s="101">
        <f t="shared" ref="F84:G84" si="235">+F83-E83</f>
        <v>541</v>
      </c>
      <c r="G84" s="101">
        <f t="shared" si="235"/>
        <v>202</v>
      </c>
      <c r="H84" s="122">
        <f>+SUM(D84:G84)</f>
        <v>1128</v>
      </c>
      <c r="I84" s="101">
        <f>+I83-G83</f>
        <v>204</v>
      </c>
      <c r="J84" s="101">
        <f t="shared" ref="J84:K84" si="236">+J83-I83</f>
        <v>109</v>
      </c>
      <c r="K84" s="101">
        <f t="shared" si="236"/>
        <v>49</v>
      </c>
      <c r="L84" s="101">
        <v>82</v>
      </c>
      <c r="M84" s="122">
        <f>+SUM(I84:L84)</f>
        <v>444</v>
      </c>
      <c r="N84" s="101">
        <v>139</v>
      </c>
      <c r="O84" s="101">
        <v>70</v>
      </c>
      <c r="P84" s="101">
        <v>120</v>
      </c>
      <c r="Q84" s="101">
        <v>205</v>
      </c>
      <c r="R84" s="122">
        <f>+SUM(N84:Q84)</f>
        <v>534</v>
      </c>
      <c r="S84" s="101">
        <v>209</v>
      </c>
      <c r="T84" s="101">
        <v>173</v>
      </c>
      <c r="U84" s="101">
        <v>64</v>
      </c>
      <c r="V84" s="101">
        <v>198</v>
      </c>
      <c r="W84" s="122">
        <f>+SUM(S84:V84)</f>
        <v>644</v>
      </c>
      <c r="X84" s="101">
        <v>276</v>
      </c>
      <c r="Y84" s="33">
        <v>257</v>
      </c>
      <c r="Z84" s="33">
        <v>257</v>
      </c>
      <c r="AA84" s="33">
        <v>257</v>
      </c>
      <c r="AB84" s="122">
        <f>+SUM(X84:AA84)</f>
        <v>1047</v>
      </c>
      <c r="AC84" s="33">
        <v>244</v>
      </c>
      <c r="AD84" s="33">
        <v>244</v>
      </c>
      <c r="AE84" s="33">
        <v>244</v>
      </c>
      <c r="AF84" s="33">
        <v>246</v>
      </c>
      <c r="AG84" s="122">
        <f>+SUM(AC84:AF84)</f>
        <v>978</v>
      </c>
      <c r="AH84" s="33">
        <v>253</v>
      </c>
      <c r="AI84" s="33">
        <v>253</v>
      </c>
      <c r="AJ84" s="33">
        <v>253</v>
      </c>
      <c r="AK84" s="33">
        <v>254</v>
      </c>
      <c r="AL84" s="122">
        <f>+SUM(AH84:AK84)</f>
        <v>1013</v>
      </c>
      <c r="AM84" s="33">
        <v>64</v>
      </c>
      <c r="AN84" s="33">
        <v>64</v>
      </c>
      <c r="AO84" s="33">
        <v>64</v>
      </c>
      <c r="AP84" s="33">
        <v>64</v>
      </c>
      <c r="AQ84" s="122">
        <f>+SUM(AM84:AP84)</f>
        <v>256</v>
      </c>
      <c r="AR84" s="33">
        <v>64</v>
      </c>
      <c r="AS84" s="33">
        <v>64</v>
      </c>
      <c r="AT84" s="33">
        <v>64</v>
      </c>
      <c r="AU84" s="33">
        <v>64</v>
      </c>
      <c r="AV84" s="122">
        <f>+SUM(AR84:AU84)</f>
        <v>256</v>
      </c>
    </row>
    <row r="85" spans="1:48" outlineLevel="1" x14ac:dyDescent="0.3">
      <c r="B85" s="180" t="s">
        <v>49</v>
      </c>
      <c r="C85" s="201"/>
      <c r="D85" s="16">
        <f>AVERAGE(D83,6201)</f>
        <v>6287</v>
      </c>
      <c r="E85" s="16">
        <f>AVERAGE(E83,D83)</f>
        <v>6479.5</v>
      </c>
      <c r="F85" s="16">
        <f t="shared" ref="F85:G85" si="237">AVERAGE(F83,E83)</f>
        <v>6856.5</v>
      </c>
      <c r="G85" s="16">
        <f t="shared" si="237"/>
        <v>7228</v>
      </c>
      <c r="H85" s="26"/>
      <c r="I85" s="16">
        <f>AVERAGE(I83,G83)</f>
        <v>7431</v>
      </c>
      <c r="J85" s="16">
        <f>AVERAGE(J83,I83)</f>
        <v>7587.5</v>
      </c>
      <c r="K85" s="16">
        <f t="shared" ref="K85:L85" si="238">AVERAGE(K83,J83)</f>
        <v>7666.5</v>
      </c>
      <c r="L85" s="16">
        <f t="shared" si="238"/>
        <v>8713</v>
      </c>
      <c r="M85" s="6"/>
      <c r="N85" s="16">
        <f>AVERAGE(N83,L83)</f>
        <v>8826</v>
      </c>
      <c r="O85" s="16">
        <f>AVERAGE(O83,N83)</f>
        <v>7952</v>
      </c>
      <c r="P85" s="16">
        <f t="shared" ref="P85:Q85" si="239">AVERAGE(P83,O83)</f>
        <v>8047</v>
      </c>
      <c r="Q85" s="16">
        <f t="shared" si="239"/>
        <v>8921</v>
      </c>
      <c r="R85" s="6"/>
      <c r="S85" s="16">
        <f>AVERAGE(S83,Q83)</f>
        <v>9839.5</v>
      </c>
      <c r="T85" s="16">
        <f>AVERAGE(T83,S83)</f>
        <v>10030.5</v>
      </c>
      <c r="U85" s="16">
        <f t="shared" ref="U85:V85" si="240">AVERAGE(U83,T83)</f>
        <v>10149</v>
      </c>
      <c r="V85" s="16">
        <f t="shared" si="240"/>
        <v>10280</v>
      </c>
      <c r="W85" s="130"/>
      <c r="X85" s="101">
        <f>AVERAGE(X83,V83)</f>
        <v>10517</v>
      </c>
      <c r="Y85" s="16">
        <f>AVERAGE(Y83,X83)</f>
        <v>10783.5</v>
      </c>
      <c r="Z85" s="16">
        <f t="shared" ref="Z85:AA85" si="241">AVERAGE(Z83,Y83)</f>
        <v>11040.5</v>
      </c>
      <c r="AA85" s="16">
        <f t="shared" si="241"/>
        <v>11297.5</v>
      </c>
      <c r="AB85" s="6"/>
      <c r="AC85" s="16">
        <f>AVERAGE(AC83,AA83)</f>
        <v>11548</v>
      </c>
      <c r="AD85" s="16">
        <f>AVERAGE(AD83,AC83)</f>
        <v>11792</v>
      </c>
      <c r="AE85" s="16">
        <f t="shared" ref="AE85:AF85" si="242">AVERAGE(AE83,AD83)</f>
        <v>12036</v>
      </c>
      <c r="AF85" s="16">
        <f t="shared" si="242"/>
        <v>12281</v>
      </c>
      <c r="AG85" s="6"/>
      <c r="AH85" s="16">
        <f>AVERAGE(AH83,AF83)</f>
        <v>12530.5</v>
      </c>
      <c r="AI85" s="16">
        <f>AVERAGE(AI83,AH83)</f>
        <v>12783.5</v>
      </c>
      <c r="AJ85" s="16">
        <f t="shared" ref="AJ85:AK85" si="243">AVERAGE(AJ83,AI83)</f>
        <v>13036.5</v>
      </c>
      <c r="AK85" s="16">
        <f t="shared" si="243"/>
        <v>13290</v>
      </c>
      <c r="AL85" s="6"/>
      <c r="AM85" s="16">
        <f>AVERAGE(AM83,AK83)</f>
        <v>13449</v>
      </c>
      <c r="AN85" s="16">
        <f>AVERAGE(AN83,AM83)</f>
        <v>13513</v>
      </c>
      <c r="AO85" s="16">
        <f t="shared" ref="AO85:AP85" si="244">AVERAGE(AO83,AN83)</f>
        <v>13577</v>
      </c>
      <c r="AP85" s="16">
        <f t="shared" si="244"/>
        <v>13641</v>
      </c>
      <c r="AQ85" s="6"/>
      <c r="AR85" s="16">
        <f>AVERAGE(AR83,AP83)</f>
        <v>13705</v>
      </c>
      <c r="AS85" s="16">
        <f>AVERAGE(AS83,AR83)</f>
        <v>13769</v>
      </c>
      <c r="AT85" s="16">
        <f t="shared" ref="AT85:AU85" si="245">AVERAGE(AT83,AS83)</f>
        <v>13833</v>
      </c>
      <c r="AU85" s="16">
        <f t="shared" si="245"/>
        <v>13897</v>
      </c>
      <c r="AV85" s="6"/>
    </row>
    <row r="86" spans="1:48" outlineLevel="1" x14ac:dyDescent="0.3">
      <c r="B86" s="180" t="s">
        <v>48</v>
      </c>
      <c r="C86" s="201"/>
      <c r="D86" s="43">
        <f>+D87/D85</f>
        <v>3.5390488309209482E-2</v>
      </c>
      <c r="E86" s="114">
        <f>+E87/E85</f>
        <v>3.3197005941816495E-2</v>
      </c>
      <c r="F86" s="114">
        <f>+F87/F85</f>
        <v>3.335521038430686E-2</v>
      </c>
      <c r="G86" s="114">
        <f>+G87/G85</f>
        <v>3.468456004427227E-2</v>
      </c>
      <c r="H86" s="26"/>
      <c r="I86" s="114">
        <f t="shared" ref="I86:S86" si="246">+I87/I85</f>
        <v>3.4275333064190554E-2</v>
      </c>
      <c r="J86" s="114">
        <f t="shared" si="246"/>
        <v>2.97331136738056E-2</v>
      </c>
      <c r="K86" s="114">
        <f t="shared" si="246"/>
        <v>8.4784451835909474E-3</v>
      </c>
      <c r="L86" s="114">
        <f t="shared" si="246"/>
        <v>2.3837943303110294E-2</v>
      </c>
      <c r="M86" s="6"/>
      <c r="N86" s="114">
        <f t="shared" si="246"/>
        <v>2.2388397915250397E-2</v>
      </c>
      <c r="O86" s="114">
        <f t="shared" si="246"/>
        <v>2.5251509054325959E-2</v>
      </c>
      <c r="P86" s="114">
        <f t="shared" si="246"/>
        <v>2.6307940847520812E-2</v>
      </c>
      <c r="Q86" s="114">
        <f t="shared" si="246"/>
        <v>3.228337630310503E-2</v>
      </c>
      <c r="R86" s="6"/>
      <c r="S86" s="114">
        <f t="shared" si="246"/>
        <v>3.4036282331419275E-2</v>
      </c>
      <c r="T86" s="114">
        <f>+T87/T85</f>
        <v>3.4145855141817456E-2</v>
      </c>
      <c r="U86" s="114">
        <f>+U87/U85</f>
        <v>4.065425165040891E-2</v>
      </c>
      <c r="V86" s="114">
        <f>+V87/V85</f>
        <v>4.0369649805447473E-2</v>
      </c>
      <c r="W86" s="130"/>
      <c r="X86" s="114">
        <f t="shared" ref="X86" si="247">+X87/X85</f>
        <v>4.1789483693068369E-2</v>
      </c>
      <c r="Y86" s="62">
        <f>T86*1.2</f>
        <v>4.0975026170180943E-2</v>
      </c>
      <c r="Z86" s="62">
        <f>U86*1.2</f>
        <v>4.8785101980490693E-2</v>
      </c>
      <c r="AA86" s="62">
        <f>V86*1.2</f>
        <v>4.8443579766536966E-2</v>
      </c>
      <c r="AB86" s="6"/>
      <c r="AC86" s="62">
        <f>X86*1.05</f>
        <v>4.3878957877721787E-2</v>
      </c>
      <c r="AD86" s="62">
        <f>Y86*1.05</f>
        <v>4.302377747868999E-2</v>
      </c>
      <c r="AE86" s="62">
        <f>Z86*1.05</f>
        <v>5.1224357079515233E-2</v>
      </c>
      <c r="AF86" s="62">
        <f>AA86*1.05</f>
        <v>5.0865758754863814E-2</v>
      </c>
      <c r="AG86" s="6"/>
      <c r="AH86" s="62">
        <f>AC86*1.05</f>
        <v>4.6072905771607879E-2</v>
      </c>
      <c r="AI86" s="62">
        <f t="shared" ref="AI86:AK86" si="248">AD86*1.05</f>
        <v>4.5174966352624489E-2</v>
      </c>
      <c r="AJ86" s="62">
        <f t="shared" si="248"/>
        <v>5.3785574933490995E-2</v>
      </c>
      <c r="AK86" s="62">
        <f t="shared" si="248"/>
        <v>5.3409046692607008E-2</v>
      </c>
      <c r="AL86" s="6"/>
      <c r="AM86" s="477">
        <f>AH86*1.05</f>
        <v>4.8376551060188275E-2</v>
      </c>
      <c r="AN86" s="477">
        <f>AI86*1.05</f>
        <v>4.7433714670255714E-2</v>
      </c>
      <c r="AO86" s="477">
        <f>AJ86*1.05</f>
        <v>5.6474853680165547E-2</v>
      </c>
      <c r="AP86" s="477">
        <f>AK86*1.05</f>
        <v>5.6079499027237363E-2</v>
      </c>
      <c r="AQ86" s="97"/>
      <c r="AR86" s="477">
        <f>AM86*1.03</f>
        <v>4.9827847591993928E-2</v>
      </c>
      <c r="AS86" s="477">
        <f>AN86*1.03</f>
        <v>4.8856726110363388E-2</v>
      </c>
      <c r="AT86" s="477">
        <f>AO86*1.03</f>
        <v>5.8169099290570514E-2</v>
      </c>
      <c r="AU86" s="477">
        <f>AP86*1.03</f>
        <v>5.7761883998054486E-2</v>
      </c>
      <c r="AV86" s="6"/>
    </row>
    <row r="87" spans="1:48" s="8" customFormat="1" outlineLevel="1" x14ac:dyDescent="0.3">
      <c r="B87" s="603" t="s">
        <v>118</v>
      </c>
      <c r="C87" s="604"/>
      <c r="D87" s="115">
        <v>222.5</v>
      </c>
      <c r="E87" s="115">
        <v>215.1</v>
      </c>
      <c r="F87" s="115">
        <v>228.7</v>
      </c>
      <c r="G87" s="115">
        <v>250.7</v>
      </c>
      <c r="H87" s="73">
        <f>SUM(D87:G87)</f>
        <v>917</v>
      </c>
      <c r="I87" s="115">
        <v>254.7</v>
      </c>
      <c r="J87" s="115">
        <v>225.6</v>
      </c>
      <c r="K87" s="115">
        <v>65</v>
      </c>
      <c r="L87" s="72">
        <v>207.7</v>
      </c>
      <c r="M87" s="73">
        <f>SUM(I87:L87)</f>
        <v>753</v>
      </c>
      <c r="N87" s="72">
        <v>197.6</v>
      </c>
      <c r="O87" s="72">
        <v>200.8</v>
      </c>
      <c r="P87" s="72">
        <v>211.7</v>
      </c>
      <c r="Q87" s="115">
        <v>288</v>
      </c>
      <c r="R87" s="73">
        <f>SUM(N87:Q87)</f>
        <v>898.09999999999991</v>
      </c>
      <c r="S87" s="72">
        <v>334.9</v>
      </c>
      <c r="T87" s="72">
        <v>342.5</v>
      </c>
      <c r="U87" s="72">
        <v>412.6</v>
      </c>
      <c r="V87" s="72">
        <v>415</v>
      </c>
      <c r="W87" s="213">
        <f>SUM(S87:V87)</f>
        <v>1505</v>
      </c>
      <c r="X87" s="115">
        <v>439.5</v>
      </c>
      <c r="Y87" s="72">
        <f>+Y85*Y86</f>
        <v>441.85419470614619</v>
      </c>
      <c r="Z87" s="72">
        <f t="shared" ref="Z87:AA87" si="249">+Z85*Z86</f>
        <v>538.61191841560753</v>
      </c>
      <c r="AA87" s="72">
        <f t="shared" si="249"/>
        <v>547.2913424124514</v>
      </c>
      <c r="AB87" s="73">
        <f>SUM(X87:AA87)</f>
        <v>1967.2574555342053</v>
      </c>
      <c r="AC87" s="72">
        <f>+AC85*AC86</f>
        <v>506.71420557193119</v>
      </c>
      <c r="AD87" s="72">
        <f>+AD85*AD86</f>
        <v>507.33638402871236</v>
      </c>
      <c r="AE87" s="72">
        <f t="shared" ref="AE87:AF87" si="250">+AE85*AE86</f>
        <v>616.53636180904539</v>
      </c>
      <c r="AF87" s="72">
        <f t="shared" si="250"/>
        <v>624.68238326848245</v>
      </c>
      <c r="AG87" s="73">
        <f>SUM(AC87:AF87)</f>
        <v>2255.2693346781716</v>
      </c>
      <c r="AH87" s="72">
        <f>+AH85*AH86</f>
        <v>577.3165457711325</v>
      </c>
      <c r="AI87" s="72">
        <f>+AI85*AI86</f>
        <v>577.49418236877511</v>
      </c>
      <c r="AJ87" s="72">
        <f t="shared" ref="AJ87:AK87" si="251">+AJ85*AJ86</f>
        <v>701.17564762045538</v>
      </c>
      <c r="AK87" s="72">
        <f t="shared" si="251"/>
        <v>709.80623054474711</v>
      </c>
      <c r="AL87" s="73">
        <f>SUM(AH87:AK87)</f>
        <v>2565.79260630511</v>
      </c>
      <c r="AM87" s="72">
        <f>+AM85*AM86</f>
        <v>650.61623520847206</v>
      </c>
      <c r="AN87" s="72">
        <f>+AN85*AN86</f>
        <v>640.97178633916542</v>
      </c>
      <c r="AO87" s="72">
        <f t="shared" ref="AO87:AP87" si="252">+AO85*AO86</f>
        <v>766.75908841560761</v>
      </c>
      <c r="AP87" s="72">
        <f t="shared" si="252"/>
        <v>764.98044623054489</v>
      </c>
      <c r="AQ87" s="73">
        <f>SUM(AM87:AP87)</f>
        <v>2823.3275561937899</v>
      </c>
      <c r="AR87" s="72">
        <f>+AR85*AR86</f>
        <v>682.89065124827675</v>
      </c>
      <c r="AS87" s="72">
        <f>+AS85*AS86</f>
        <v>672.70826181359348</v>
      </c>
      <c r="AT87" s="72">
        <f t="shared" ref="AT87:AU87" si="253">+AT85*AT86</f>
        <v>804.65315048646187</v>
      </c>
      <c r="AU87" s="72">
        <f t="shared" si="253"/>
        <v>802.71690192096321</v>
      </c>
      <c r="AV87" s="73">
        <f>SUM(AR87:AU87)</f>
        <v>2962.9689654692952</v>
      </c>
    </row>
    <row r="88" spans="1:48" s="8" customFormat="1" outlineLevel="1" x14ac:dyDescent="0.3">
      <c r="B88" s="587" t="s">
        <v>119</v>
      </c>
      <c r="C88" s="588"/>
      <c r="D88" s="103">
        <v>3.4</v>
      </c>
      <c r="E88" s="103">
        <v>4.9000000000000004</v>
      </c>
      <c r="F88" s="103">
        <v>3.8</v>
      </c>
      <c r="G88" s="103">
        <v>5.5</v>
      </c>
      <c r="H88" s="97">
        <f>SUM(D88:G88)</f>
        <v>17.600000000000001</v>
      </c>
      <c r="I88" s="103">
        <v>6.7</v>
      </c>
      <c r="J88" s="103">
        <v>6.6</v>
      </c>
      <c r="K88" s="103">
        <v>9.1</v>
      </c>
      <c r="L88" s="50">
        <v>5.3</v>
      </c>
      <c r="M88" s="97">
        <f>SUM(I88:L88)</f>
        <v>27.7</v>
      </c>
      <c r="N88" s="50">
        <v>15</v>
      </c>
      <c r="O88" s="50">
        <v>25.4</v>
      </c>
      <c r="P88" s="50">
        <v>13.4</v>
      </c>
      <c r="Q88" s="103">
        <v>16.600000000000001</v>
      </c>
      <c r="R88" s="97">
        <f>SUM(N88:Q88)</f>
        <v>70.400000000000006</v>
      </c>
      <c r="S88" s="50">
        <v>32.700000000000003</v>
      </c>
      <c r="T88" s="50">
        <v>19.5</v>
      </c>
      <c r="U88" s="50">
        <v>9.8000000000000007</v>
      </c>
      <c r="V88" s="50">
        <v>11.1</v>
      </c>
      <c r="W88" s="132">
        <f>SUM(S88:V88)</f>
        <v>73.099999999999994</v>
      </c>
      <c r="X88" s="103">
        <v>27.7</v>
      </c>
      <c r="Y88" s="50">
        <f>+T88*(1+Y89)</f>
        <v>17.55</v>
      </c>
      <c r="Z88" s="50">
        <f>+U88*(1+Z89)</f>
        <v>10.290000000000001</v>
      </c>
      <c r="AA88" s="50">
        <f t="shared" ref="AA88" si="254">+V88*(1+AA89)</f>
        <v>11.654999999999999</v>
      </c>
      <c r="AB88" s="97">
        <f>SUM(X88:AA88)</f>
        <v>67.194999999999993</v>
      </c>
      <c r="AC88" s="50">
        <f>+X88*(1+AC89)</f>
        <v>30.470000000000002</v>
      </c>
      <c r="AD88" s="50">
        <f>+Y88*(1+AD89)</f>
        <v>20.182500000000001</v>
      </c>
      <c r="AE88" s="50">
        <f>+Z88*(1+AE89)</f>
        <v>12.348000000000001</v>
      </c>
      <c r="AF88" s="50">
        <f t="shared" ref="AF88" si="255">+AA88*(1+AF89)</f>
        <v>13.985999999999999</v>
      </c>
      <c r="AG88" s="97">
        <f>SUM(AC88:AF88)</f>
        <v>76.986500000000007</v>
      </c>
      <c r="AH88" s="50">
        <f>+AC88*(1+AH89)</f>
        <v>38.087500000000006</v>
      </c>
      <c r="AI88" s="50">
        <f>+AD88*(1+AI89)</f>
        <v>25.228125000000002</v>
      </c>
      <c r="AJ88" s="50">
        <f>+AE88*(1+AJ89)</f>
        <v>15.435</v>
      </c>
      <c r="AK88" s="50">
        <f t="shared" ref="AK88" si="256">+AF88*(1+AK89)</f>
        <v>17.482499999999998</v>
      </c>
      <c r="AL88" s="97">
        <f>SUM(AH88:AK88)</f>
        <v>96.233125000000015</v>
      </c>
      <c r="AM88" s="50">
        <f>+AH88*(1+AM89)</f>
        <v>41.896250000000009</v>
      </c>
      <c r="AN88" s="50">
        <f>+AI88*(1+AN89)</f>
        <v>27.750937500000006</v>
      </c>
      <c r="AO88" s="50">
        <f>+AJ88*(1+AO89)</f>
        <v>16.9785</v>
      </c>
      <c r="AP88" s="50">
        <f t="shared" ref="AP88" si="257">+AK88*(1+AP89)</f>
        <v>19.23075</v>
      </c>
      <c r="AQ88" s="97">
        <f>SUM(AM88:AP88)</f>
        <v>105.85643750000001</v>
      </c>
      <c r="AR88" s="50">
        <f>+AM88*(1+AR89)</f>
        <v>43.991062500000012</v>
      </c>
      <c r="AS88" s="50">
        <f>+AN88*(1+AS89)</f>
        <v>29.138484375000008</v>
      </c>
      <c r="AT88" s="50">
        <f>+AO88*(1+AT89)</f>
        <v>17.827425000000002</v>
      </c>
      <c r="AU88" s="50">
        <f t="shared" ref="AU88" si="258">+AP88*(1+AU89)</f>
        <v>20.192287500000003</v>
      </c>
      <c r="AV88" s="97">
        <f>SUM(AR88:AU88)</f>
        <v>111.14925937500003</v>
      </c>
    </row>
    <row r="89" spans="1:48" outlineLevel="1" x14ac:dyDescent="0.3">
      <c r="B89" s="69" t="s">
        <v>50</v>
      </c>
      <c r="C89" s="70"/>
      <c r="D89" s="120"/>
      <c r="E89" s="120"/>
      <c r="F89" s="120"/>
      <c r="G89" s="120"/>
      <c r="H89" s="58"/>
      <c r="I89" s="120">
        <f>I88/D88-1</f>
        <v>0.97058823529411775</v>
      </c>
      <c r="J89" s="120">
        <f t="shared" ref="J89:L89" si="259">J88/E88-1</f>
        <v>0.3469387755102038</v>
      </c>
      <c r="K89" s="120">
        <f t="shared" si="259"/>
        <v>1.3947368421052633</v>
      </c>
      <c r="L89" s="120">
        <f t="shared" si="259"/>
        <v>-3.6363636363636376E-2</v>
      </c>
      <c r="M89" s="58"/>
      <c r="N89" s="120">
        <f>N88/I88-1</f>
        <v>1.2388059701492535</v>
      </c>
      <c r="O89" s="120">
        <f t="shared" ref="O89:Q89" si="260">O88/J88-1</f>
        <v>2.8484848484848486</v>
      </c>
      <c r="P89" s="120">
        <f t="shared" si="260"/>
        <v>0.47252747252747263</v>
      </c>
      <c r="Q89" s="120">
        <f t="shared" si="260"/>
        <v>2.1320754716981134</v>
      </c>
      <c r="R89" s="58"/>
      <c r="S89" s="120">
        <f>S88/N88-1</f>
        <v>1.1800000000000002</v>
      </c>
      <c r="T89" s="120">
        <f t="shared" ref="T89:U89" si="261">T88/O88-1</f>
        <v>-0.23228346456692905</v>
      </c>
      <c r="U89" s="120">
        <f t="shared" si="261"/>
        <v>-0.26865671641791045</v>
      </c>
      <c r="V89" s="120">
        <f>V88/Q88-1</f>
        <v>-0.3313253012048194</v>
      </c>
      <c r="W89" s="155"/>
      <c r="X89" s="120">
        <f>X88/S88-1</f>
        <v>-0.15290519877675846</v>
      </c>
      <c r="Y89" s="71">
        <v>-0.1</v>
      </c>
      <c r="Z89" s="71">
        <v>0.05</v>
      </c>
      <c r="AA89" s="71">
        <v>0.05</v>
      </c>
      <c r="AB89" s="58"/>
      <c r="AC89" s="71">
        <v>0.1</v>
      </c>
      <c r="AD89" s="71">
        <v>0.15</v>
      </c>
      <c r="AE89" s="71">
        <v>0.2</v>
      </c>
      <c r="AF89" s="71">
        <v>0.2</v>
      </c>
      <c r="AG89" s="58"/>
      <c r="AH89" s="71">
        <v>0.25</v>
      </c>
      <c r="AI89" s="71">
        <v>0.25</v>
      </c>
      <c r="AJ89" s="71">
        <v>0.25</v>
      </c>
      <c r="AK89" s="71">
        <v>0.25</v>
      </c>
      <c r="AL89" s="58"/>
      <c r="AM89" s="71">
        <v>0.1</v>
      </c>
      <c r="AN89" s="71">
        <v>0.1</v>
      </c>
      <c r="AO89" s="71">
        <v>0.1</v>
      </c>
      <c r="AP89" s="71">
        <v>0.1</v>
      </c>
      <c r="AQ89" s="58"/>
      <c r="AR89" s="71">
        <v>0.05</v>
      </c>
      <c r="AS89" s="71">
        <v>0.05</v>
      </c>
      <c r="AT89" s="71">
        <v>0.05</v>
      </c>
      <c r="AU89" s="71">
        <v>0.05</v>
      </c>
      <c r="AV89" s="58"/>
    </row>
    <row r="90" spans="1:48" outlineLevel="1" x14ac:dyDescent="0.3">
      <c r="B90" s="180" t="s">
        <v>120</v>
      </c>
      <c r="C90" s="207"/>
      <c r="D90" s="101">
        <f t="shared" ref="D90:G91" si="262">+D83+D74</f>
        <v>12212</v>
      </c>
      <c r="E90" s="101">
        <f t="shared" si="262"/>
        <v>12465</v>
      </c>
      <c r="F90" s="101">
        <f t="shared" si="262"/>
        <v>12773</v>
      </c>
      <c r="G90" s="101">
        <f t="shared" si="262"/>
        <v>13189</v>
      </c>
      <c r="H90" s="6"/>
      <c r="I90" s="101">
        <f t="shared" ref="I90:L91" si="263">+I83+I74</f>
        <v>13592</v>
      </c>
      <c r="J90" s="101">
        <f t="shared" si="263"/>
        <v>13779</v>
      </c>
      <c r="K90" s="101">
        <f t="shared" si="263"/>
        <v>13945</v>
      </c>
      <c r="L90" s="16">
        <f t="shared" si="263"/>
        <v>16263</v>
      </c>
      <c r="M90" s="6"/>
      <c r="N90" s="16">
        <f t="shared" ref="N90:Q91" si="264">+N83+N74</f>
        <v>14630</v>
      </c>
      <c r="O90" s="16">
        <f t="shared" si="264"/>
        <v>14823</v>
      </c>
      <c r="P90" s="16">
        <f t="shared" si="264"/>
        <v>15120</v>
      </c>
      <c r="Q90" s="16">
        <f t="shared" si="264"/>
        <v>17007</v>
      </c>
      <c r="R90" s="6"/>
      <c r="S90" s="16">
        <f t="shared" ref="S90:V91" si="265">+S83+S74</f>
        <v>17429</v>
      </c>
      <c r="T90" s="16">
        <f t="shared" si="265"/>
        <v>17704</v>
      </c>
      <c r="U90" s="16">
        <f t="shared" si="265"/>
        <v>17898</v>
      </c>
      <c r="V90" s="16">
        <f t="shared" si="265"/>
        <v>18416</v>
      </c>
      <c r="W90" s="254">
        <f>W91/Q90</f>
        <v>8.2848238960428061E-2</v>
      </c>
      <c r="X90" s="101">
        <f t="shared" ref="X90:AA91" si="266">+X83+X74</f>
        <v>18789</v>
      </c>
      <c r="Y90" s="16">
        <f t="shared" si="266"/>
        <v>19319</v>
      </c>
      <c r="Z90" s="16">
        <f t="shared" si="266"/>
        <v>19849</v>
      </c>
      <c r="AA90" s="16">
        <f t="shared" si="266"/>
        <v>20379</v>
      </c>
      <c r="AB90" s="254">
        <f>AB91/V90</f>
        <v>0.10659209383145091</v>
      </c>
      <c r="AC90" s="16">
        <f t="shared" ref="AC90:AF91" si="267">+AC83+AC74</f>
        <v>20887</v>
      </c>
      <c r="AD90" s="16">
        <f t="shared" si="267"/>
        <v>21395</v>
      </c>
      <c r="AE90" s="16">
        <f t="shared" si="267"/>
        <v>21903</v>
      </c>
      <c r="AF90" s="16">
        <f t="shared" si="267"/>
        <v>22417</v>
      </c>
      <c r="AG90" s="254">
        <f>AG91/AA90</f>
        <v>0.10000490701212032</v>
      </c>
      <c r="AH90" s="16">
        <f t="shared" ref="AH90:AK91" si="268">+AH83+AH74</f>
        <v>22944</v>
      </c>
      <c r="AI90" s="16">
        <f t="shared" si="268"/>
        <v>23471</v>
      </c>
      <c r="AJ90" s="16">
        <f t="shared" si="268"/>
        <v>23998</v>
      </c>
      <c r="AK90" s="16">
        <f t="shared" si="268"/>
        <v>24528</v>
      </c>
      <c r="AL90" s="254">
        <f>AL91/AF90</f>
        <v>9.416960342597136E-2</v>
      </c>
      <c r="AM90" s="16">
        <f t="shared" ref="AM90:AP91" si="269">+AM83+AM74</f>
        <v>24722</v>
      </c>
      <c r="AN90" s="16">
        <f t="shared" si="269"/>
        <v>24916</v>
      </c>
      <c r="AO90" s="16">
        <f t="shared" si="269"/>
        <v>25110</v>
      </c>
      <c r="AP90" s="16">
        <f t="shared" si="269"/>
        <v>25304</v>
      </c>
      <c r="AQ90" s="254">
        <f>AQ91/AK90</f>
        <v>3.1637312459230266E-2</v>
      </c>
      <c r="AR90" s="16">
        <f t="shared" ref="AR90:AU91" si="270">+AR83+AR74</f>
        <v>25498</v>
      </c>
      <c r="AS90" s="16">
        <f t="shared" si="270"/>
        <v>25692</v>
      </c>
      <c r="AT90" s="16">
        <f t="shared" si="270"/>
        <v>25886</v>
      </c>
      <c r="AU90" s="16">
        <f t="shared" si="270"/>
        <v>26080</v>
      </c>
      <c r="AV90" s="254">
        <f>AV91/AP90</f>
        <v>3.0667088207398038E-2</v>
      </c>
    </row>
    <row r="91" spans="1:48" outlineLevel="1" x14ac:dyDescent="0.3">
      <c r="B91" s="180" t="s">
        <v>121</v>
      </c>
      <c r="C91" s="207"/>
      <c r="D91" s="101">
        <f t="shared" si="262"/>
        <v>360</v>
      </c>
      <c r="E91" s="101">
        <f t="shared" si="262"/>
        <v>253</v>
      </c>
      <c r="F91" s="101">
        <f t="shared" si="262"/>
        <v>308</v>
      </c>
      <c r="G91" s="101">
        <f t="shared" si="262"/>
        <v>416</v>
      </c>
      <c r="H91" s="122">
        <f>+H84+H75</f>
        <v>1337</v>
      </c>
      <c r="I91" s="101">
        <f t="shared" si="263"/>
        <v>403</v>
      </c>
      <c r="J91" s="101">
        <f t="shared" si="263"/>
        <v>187</v>
      </c>
      <c r="K91" s="101">
        <f t="shared" si="263"/>
        <v>166</v>
      </c>
      <c r="L91" s="101">
        <f t="shared" si="263"/>
        <v>356</v>
      </c>
      <c r="M91" s="122">
        <f>+M84+M75</f>
        <v>1112</v>
      </c>
      <c r="N91" s="101">
        <f t="shared" si="264"/>
        <v>324</v>
      </c>
      <c r="O91" s="101">
        <f t="shared" si="264"/>
        <v>193</v>
      </c>
      <c r="P91" s="101">
        <f t="shared" si="264"/>
        <v>297</v>
      </c>
      <c r="Q91" s="101">
        <f t="shared" si="264"/>
        <v>464</v>
      </c>
      <c r="R91" s="122">
        <f>+R84+R75</f>
        <v>1278</v>
      </c>
      <c r="S91" s="16">
        <f t="shared" si="265"/>
        <v>422</v>
      </c>
      <c r="T91" s="16">
        <f t="shared" si="265"/>
        <v>275</v>
      </c>
      <c r="U91" s="16">
        <f t="shared" si="265"/>
        <v>194</v>
      </c>
      <c r="V91" s="16">
        <f t="shared" si="265"/>
        <v>518</v>
      </c>
      <c r="W91" s="122">
        <f>+W84+W75</f>
        <v>1409</v>
      </c>
      <c r="X91" s="101">
        <f t="shared" si="266"/>
        <v>373</v>
      </c>
      <c r="Y91" s="16">
        <f t="shared" si="266"/>
        <v>530</v>
      </c>
      <c r="Z91" s="16">
        <f t="shared" si="266"/>
        <v>530</v>
      </c>
      <c r="AA91" s="16">
        <f t="shared" si="266"/>
        <v>530</v>
      </c>
      <c r="AB91" s="26">
        <f>+AB84+AB75</f>
        <v>1963</v>
      </c>
      <c r="AC91" s="16">
        <f t="shared" si="267"/>
        <v>508</v>
      </c>
      <c r="AD91" s="16">
        <f t="shared" si="267"/>
        <v>508</v>
      </c>
      <c r="AE91" s="16">
        <f t="shared" si="267"/>
        <v>508</v>
      </c>
      <c r="AF91" s="16">
        <f t="shared" si="267"/>
        <v>514</v>
      </c>
      <c r="AG91" s="26">
        <f>+AG84+AG75</f>
        <v>2038</v>
      </c>
      <c r="AH91" s="16">
        <f t="shared" si="268"/>
        <v>527</v>
      </c>
      <c r="AI91" s="16">
        <f t="shared" si="268"/>
        <v>527</v>
      </c>
      <c r="AJ91" s="16">
        <f t="shared" si="268"/>
        <v>527</v>
      </c>
      <c r="AK91" s="16">
        <f t="shared" si="268"/>
        <v>530</v>
      </c>
      <c r="AL91" s="26">
        <f>+AL84+AL75</f>
        <v>2111</v>
      </c>
      <c r="AM91" s="16">
        <f t="shared" si="269"/>
        <v>194</v>
      </c>
      <c r="AN91" s="16">
        <f t="shared" si="269"/>
        <v>194</v>
      </c>
      <c r="AO91" s="16">
        <f t="shared" si="269"/>
        <v>194</v>
      </c>
      <c r="AP91" s="16">
        <f t="shared" si="269"/>
        <v>194</v>
      </c>
      <c r="AQ91" s="26">
        <f>+AQ84+AQ75</f>
        <v>776</v>
      </c>
      <c r="AR91" s="16">
        <f t="shared" si="270"/>
        <v>194</v>
      </c>
      <c r="AS91" s="16">
        <f t="shared" si="270"/>
        <v>194</v>
      </c>
      <c r="AT91" s="16">
        <f t="shared" si="270"/>
        <v>194</v>
      </c>
      <c r="AU91" s="16">
        <f t="shared" si="270"/>
        <v>194</v>
      </c>
      <c r="AV91" s="26">
        <f>+AV84+AV75</f>
        <v>776</v>
      </c>
    </row>
    <row r="92" spans="1:48" outlineLevel="1" x14ac:dyDescent="0.3">
      <c r="B92" s="605" t="s">
        <v>122</v>
      </c>
      <c r="C92" s="606"/>
      <c r="D92" s="115">
        <f>+D88+D87+D78</f>
        <v>1504</v>
      </c>
      <c r="E92" s="115">
        <f>+E88+E87+E78</f>
        <v>1529.4</v>
      </c>
      <c r="F92" s="115">
        <f>+F88+F87+F78</f>
        <v>1585.3</v>
      </c>
      <c r="G92" s="115">
        <f>+G88+G87+G78</f>
        <v>1572.1000000000001</v>
      </c>
      <c r="H92" s="213">
        <f>SUM(D92:G92)</f>
        <v>6190.8</v>
      </c>
      <c r="I92" s="115">
        <f>+I88+I87+I78</f>
        <v>1571.1</v>
      </c>
      <c r="J92" s="115">
        <f>+J88+J87+J78</f>
        <v>1134.5999999999999</v>
      </c>
      <c r="K92" s="115">
        <f>+K88+K87+K78</f>
        <v>949.6</v>
      </c>
      <c r="L92" s="115">
        <f>+L88+L87+L78</f>
        <v>1511.3</v>
      </c>
      <c r="M92" s="213">
        <f>SUM(I92:L92)</f>
        <v>5166.5999999999995</v>
      </c>
      <c r="N92" s="115">
        <f>+N88+N87+N78</f>
        <v>1654.3</v>
      </c>
      <c r="O92" s="115">
        <f>+O88+O87+O78</f>
        <v>1610.9</v>
      </c>
      <c r="P92" s="115">
        <f>+P88+P87+P78</f>
        <v>1658.3999999999999</v>
      </c>
      <c r="Q92" s="115">
        <f>+Q88+Q87+Q78</f>
        <v>1914.6</v>
      </c>
      <c r="R92" s="73">
        <f>SUM(N92:Q92)</f>
        <v>6838.1999999999989</v>
      </c>
      <c r="S92" s="72">
        <f>+S88+S87+S78</f>
        <v>1875.8999999999999</v>
      </c>
      <c r="T92" s="72">
        <f>+T88+T87+T78</f>
        <v>1702.4</v>
      </c>
      <c r="U92" s="72">
        <f>+U88+U87+U78</f>
        <v>1584.7</v>
      </c>
      <c r="V92" s="72">
        <f>+V88+V87+V78</f>
        <v>1777</v>
      </c>
      <c r="W92" s="213">
        <f>SUM(S92:V92)</f>
        <v>6940</v>
      </c>
      <c r="X92" s="115">
        <f>+X88+X87+X78</f>
        <v>1680.1000000000001</v>
      </c>
      <c r="Y92" s="72">
        <f>+Y88+Y87+Y78</f>
        <v>1856.8948117443629</v>
      </c>
      <c r="Z92" s="72">
        <f>+Z88+Z87+Z78</f>
        <v>2106.1591139200509</v>
      </c>
      <c r="AA92" s="72">
        <f>+AA88+AA87+AA78</f>
        <v>2373.3746552218968</v>
      </c>
      <c r="AB92" s="73">
        <f>SUM(X92:AA92)</f>
        <v>8016.52858088631</v>
      </c>
      <c r="AC92" s="72">
        <f>+AC88+AC87+AC78</f>
        <v>2172.5853310434541</v>
      </c>
      <c r="AD92" s="72">
        <f>+AD88+AD87+AD78</f>
        <v>2186.2332021019611</v>
      </c>
      <c r="AE92" s="72">
        <f>+AE88+AE87+AE78</f>
        <v>2468.6934671409845</v>
      </c>
      <c r="AF92" s="72">
        <f>+AF88+AF87+AF78</f>
        <v>2773.4128019558002</v>
      </c>
      <c r="AG92" s="73">
        <f>SUM(AC92:AF92)</f>
        <v>9600.9248022421998</v>
      </c>
      <c r="AH92" s="72">
        <f>+AH88+AH87+AH78</f>
        <v>2533.8726747984033</v>
      </c>
      <c r="AI92" s="72">
        <f>+AI88+AI87+AI78</f>
        <v>2544.6369457445717</v>
      </c>
      <c r="AJ92" s="72">
        <f>+AJ88+AJ87+AJ78</f>
        <v>2866.4485441442398</v>
      </c>
      <c r="AK92" s="72">
        <f>+AK88+AK87+AK78</f>
        <v>3216.991942567091</v>
      </c>
      <c r="AL92" s="73">
        <f>SUM(AH92:AK92)</f>
        <v>11161.950107254304</v>
      </c>
      <c r="AM92" s="72">
        <f>+AM88+AM87+AM78</f>
        <v>2910.5268367266217</v>
      </c>
      <c r="AN92" s="72">
        <f>+AN88+AN87+AN78</f>
        <v>2880.2587221652011</v>
      </c>
      <c r="AO92" s="72">
        <f>+AO88+AO87+AO78</f>
        <v>3196.7889525844521</v>
      </c>
      <c r="AP92" s="72">
        <f>+AP88+AP87+AP78</f>
        <v>3539.6748540964841</v>
      </c>
      <c r="AQ92" s="73">
        <f>SUM(AM92:AP92)</f>
        <v>12527.249365572759</v>
      </c>
      <c r="AR92" s="72">
        <f>+AR88+AR87+AR78</f>
        <v>3117.7328886782134</v>
      </c>
      <c r="AS92" s="72">
        <f>+AS88+AS87+AS78</f>
        <v>3084.4960879265914</v>
      </c>
      <c r="AT92" s="72">
        <f>+AT88+AT87+AT78</f>
        <v>3420.9376735367232</v>
      </c>
      <c r="AU92" s="72">
        <f>+AU88+AU87+AU78</f>
        <v>3788.637166425699</v>
      </c>
      <c r="AV92" s="73">
        <f>SUM(AR92:AU92)</f>
        <v>13411.803816567226</v>
      </c>
    </row>
    <row r="93" spans="1:48" outlineLevel="1" x14ac:dyDescent="0.3">
      <c r="B93" s="607" t="s">
        <v>100</v>
      </c>
      <c r="C93" s="608"/>
      <c r="D93" s="105">
        <v>462.7</v>
      </c>
      <c r="E93" s="105">
        <v>470.2</v>
      </c>
      <c r="F93" s="105">
        <v>476.1</v>
      </c>
      <c r="G93" s="105">
        <v>486.1</v>
      </c>
      <c r="H93" s="129">
        <f>SUM(D93:G93)</f>
        <v>1895.1</v>
      </c>
      <c r="I93" s="105">
        <v>488.5</v>
      </c>
      <c r="J93" s="105">
        <v>387.7</v>
      </c>
      <c r="K93" s="105">
        <v>337.7</v>
      </c>
      <c r="L93" s="105">
        <v>479.2</v>
      </c>
      <c r="M93" s="129">
        <f>SUM(I93:L93)</f>
        <v>1693.1000000000001</v>
      </c>
      <c r="N93" s="105">
        <v>520.4</v>
      </c>
      <c r="O93" s="105">
        <v>513.5</v>
      </c>
      <c r="P93" s="105">
        <v>501.7</v>
      </c>
      <c r="Q93" s="105">
        <v>605.1</v>
      </c>
      <c r="R93" s="76">
        <f>SUM(N93:Q93)</f>
        <v>2140.7000000000003</v>
      </c>
      <c r="S93" s="48">
        <v>615.79999999999995</v>
      </c>
      <c r="T93" s="48">
        <v>580.5</v>
      </c>
      <c r="U93" s="48">
        <v>550.29999999999995</v>
      </c>
      <c r="V93" s="48">
        <v>611</v>
      </c>
      <c r="W93" s="76">
        <f>SUM(S93:V93)</f>
        <v>2357.6</v>
      </c>
      <c r="X93" s="105">
        <v>593.6</v>
      </c>
      <c r="Y93" s="48">
        <f>Y94*Y92</f>
        <v>670.3189572179715</v>
      </c>
      <c r="Z93" s="48">
        <f t="shared" ref="Z93:AA93" si="271">Z94*Z92</f>
        <v>668.19615697313725</v>
      </c>
      <c r="AA93" s="48">
        <f t="shared" si="271"/>
        <v>709.25436693064705</v>
      </c>
      <c r="AB93" s="76">
        <f>SUM(X93:AA93)</f>
        <v>2641.3694811217561</v>
      </c>
      <c r="AC93" s="48">
        <f>AC94*AC92</f>
        <v>724.14941980457832</v>
      </c>
      <c r="AD93" s="48">
        <f>AD94*AD92</f>
        <v>745.48189251655799</v>
      </c>
      <c r="AE93" s="48">
        <f t="shared" ref="AE93:AF93" si="272">AE94*AE92</f>
        <v>783.21313740539779</v>
      </c>
      <c r="AF93" s="48">
        <f t="shared" si="272"/>
        <v>828.80093825919994</v>
      </c>
      <c r="AG93" s="76">
        <f>SUM(AC93:AF93)</f>
        <v>3081.645387985734</v>
      </c>
      <c r="AH93" s="48">
        <f>AH94*AH92</f>
        <v>839.50319098857119</v>
      </c>
      <c r="AI93" s="48">
        <f>AI94*AI92</f>
        <v>862.60442148252628</v>
      </c>
      <c r="AJ93" s="48">
        <f t="shared" ref="AJ93:AK93" si="273">AJ94*AJ92</f>
        <v>880.73969428053238</v>
      </c>
      <c r="AK93" s="48">
        <f t="shared" si="273"/>
        <v>954.92522614363065</v>
      </c>
      <c r="AL93" s="76">
        <f>SUM(AH93:AK93)</f>
        <v>3537.7725328952602</v>
      </c>
      <c r="AM93" s="48">
        <f>AM94*AM92</f>
        <v>964.29334875094673</v>
      </c>
      <c r="AN93" s="48">
        <f>AN94*AN92</f>
        <v>976.37657619811512</v>
      </c>
      <c r="AO93" s="48">
        <f t="shared" ref="AO93:AP93" si="274">AO94*AO92</f>
        <v>982.23947906909837</v>
      </c>
      <c r="AP93" s="48">
        <f t="shared" si="274"/>
        <v>1050.7097533560311</v>
      </c>
      <c r="AQ93" s="76">
        <f>SUM(AM93:AP93)</f>
        <v>3973.6191573741917</v>
      </c>
      <c r="AR93" s="48">
        <f>AR94*AR92</f>
        <v>1032.9432629852301</v>
      </c>
      <c r="AS93" s="48">
        <f>AS94*AS92</f>
        <v>1045.6108357384949</v>
      </c>
      <c r="AT93" s="48">
        <f t="shared" ref="AT93:AU93" si="275">AT94*AT92</f>
        <v>1051.1110017650738</v>
      </c>
      <c r="AU93" s="48">
        <f t="shared" si="275"/>
        <v>1124.6112105702837</v>
      </c>
      <c r="AV93" s="76">
        <f>SUM(AR93:AU93)</f>
        <v>4254.2763110590822</v>
      </c>
    </row>
    <row r="94" spans="1:48" s="183" customFormat="1" outlineLevel="1" x14ac:dyDescent="0.3">
      <c r="A94" s="238"/>
      <c r="B94" s="181" t="s">
        <v>151</v>
      </c>
      <c r="C94" s="182"/>
      <c r="D94" s="167">
        <f>D93/D92</f>
        <v>0.30764627659574467</v>
      </c>
      <c r="E94" s="167">
        <f t="shared" ref="E94:X94" si="276">E93/E92</f>
        <v>0.30744082646789589</v>
      </c>
      <c r="F94" s="167">
        <f t="shared" si="276"/>
        <v>0.30032170567085098</v>
      </c>
      <c r="G94" s="167">
        <f t="shared" si="276"/>
        <v>0.30920424909356908</v>
      </c>
      <c r="H94" s="186">
        <f>H93/H92</f>
        <v>0.30611552626477995</v>
      </c>
      <c r="I94" s="167">
        <f t="shared" si="276"/>
        <v>0.31092864871745912</v>
      </c>
      <c r="J94" s="167">
        <f t="shared" si="276"/>
        <v>0.34170632822139962</v>
      </c>
      <c r="K94" s="167">
        <f t="shared" si="276"/>
        <v>0.35562342038753159</v>
      </c>
      <c r="L94" s="167">
        <f t="shared" si="276"/>
        <v>0.31707801230728511</v>
      </c>
      <c r="M94" s="186">
        <f>M93/M92</f>
        <v>0.32770100259358192</v>
      </c>
      <c r="N94" s="167">
        <f t="shared" si="276"/>
        <v>0.31457414011968809</v>
      </c>
      <c r="O94" s="167">
        <f t="shared" si="276"/>
        <v>0.31876590725681292</v>
      </c>
      <c r="P94" s="167">
        <f t="shared" si="276"/>
        <v>0.30252050168837435</v>
      </c>
      <c r="Q94" s="167">
        <f t="shared" si="276"/>
        <v>0.31604512691946102</v>
      </c>
      <c r="R94" s="188">
        <f>R93/R92</f>
        <v>0.31305021789359783</v>
      </c>
      <c r="S94" s="167">
        <f t="shared" si="276"/>
        <v>0.32826909749986671</v>
      </c>
      <c r="T94" s="167">
        <f t="shared" si="276"/>
        <v>0.34098919172932329</v>
      </c>
      <c r="U94" s="167">
        <f t="shared" si="276"/>
        <v>0.34725815611787714</v>
      </c>
      <c r="V94" s="167">
        <f t="shared" si="276"/>
        <v>0.34383792909397859</v>
      </c>
      <c r="W94" s="188">
        <f>W93/W92</f>
        <v>0.33971181556195962</v>
      </c>
      <c r="X94" s="167">
        <f t="shared" si="276"/>
        <v>0.35331230283911669</v>
      </c>
      <c r="Y94" s="189">
        <f>T94-1%+3%</f>
        <v>0.36098919172932331</v>
      </c>
      <c r="Z94" s="189">
        <f>U94-0.5%-2.5%</f>
        <v>0.31725815611787711</v>
      </c>
      <c r="AA94" s="189">
        <f>V94-0.5%-4%</f>
        <v>0.2988379290939786</v>
      </c>
      <c r="AB94" s="188">
        <f>AB93/AB92</f>
        <v>0.32949043397905847</v>
      </c>
      <c r="AC94" s="189">
        <f>X94-2%</f>
        <v>0.33331230283911667</v>
      </c>
      <c r="AD94" s="189">
        <f>Y94-2%</f>
        <v>0.34098919172932329</v>
      </c>
      <c r="AE94" s="189">
        <f t="shared" ref="AE94:AF94" si="277">Z94</f>
        <v>0.31725815611787711</v>
      </c>
      <c r="AF94" s="189">
        <f t="shared" si="277"/>
        <v>0.2988379290939786</v>
      </c>
      <c r="AG94" s="188">
        <f>AG93/AG92</f>
        <v>0.32097380736343717</v>
      </c>
      <c r="AH94" s="189">
        <f>AC94-0.2%</f>
        <v>0.33131230283911667</v>
      </c>
      <c r="AI94" s="189">
        <f>AD94-0.2%</f>
        <v>0.33898919172932329</v>
      </c>
      <c r="AJ94" s="189">
        <f>AE94-1%</f>
        <v>0.3072581561178771</v>
      </c>
      <c r="AK94" s="189">
        <f>AF94-0.2%</f>
        <v>0.2968379290939786</v>
      </c>
      <c r="AL94" s="188">
        <f>AL93/AL92</f>
        <v>0.31694932327246411</v>
      </c>
      <c r="AM94" s="189">
        <f>AH94</f>
        <v>0.33131230283911667</v>
      </c>
      <c r="AN94" s="189">
        <f t="shared" ref="AN94:AP94" si="278">AI94</f>
        <v>0.33898919172932329</v>
      </c>
      <c r="AO94" s="189">
        <f t="shared" si="278"/>
        <v>0.3072581561178771</v>
      </c>
      <c r="AP94" s="189">
        <f t="shared" si="278"/>
        <v>0.2968379290939786</v>
      </c>
      <c r="AQ94" s="188">
        <f>AQ93/AQ92</f>
        <v>0.31719805692496594</v>
      </c>
      <c r="AR94" s="189">
        <f>AM94</f>
        <v>0.33131230283911667</v>
      </c>
      <c r="AS94" s="189">
        <f t="shared" ref="AS94:AU94" si="279">AN94</f>
        <v>0.33898919172932329</v>
      </c>
      <c r="AT94" s="189">
        <f t="shared" si="279"/>
        <v>0.3072581561178771</v>
      </c>
      <c r="AU94" s="189">
        <f t="shared" si="279"/>
        <v>0.2968379290939786</v>
      </c>
      <c r="AV94" s="188">
        <f>AV93/AV92</f>
        <v>0.31720388765334412</v>
      </c>
    </row>
    <row r="95" spans="1:48" outlineLevel="1" x14ac:dyDescent="0.3">
      <c r="B95" s="180" t="s">
        <v>32</v>
      </c>
      <c r="C95" s="18"/>
      <c r="D95" s="105">
        <v>603.70000000000005</v>
      </c>
      <c r="E95" s="105">
        <v>618.4</v>
      </c>
      <c r="F95" s="105">
        <v>609.20000000000005</v>
      </c>
      <c r="G95" s="105">
        <v>597.29999999999995</v>
      </c>
      <c r="H95" s="170">
        <f>SUM(D95:G95)</f>
        <v>2428.6</v>
      </c>
      <c r="I95" s="105">
        <v>607.1</v>
      </c>
      <c r="J95" s="105">
        <v>562.79999999999995</v>
      </c>
      <c r="K95" s="105">
        <v>483.4</v>
      </c>
      <c r="L95" s="105">
        <v>622.70000000000005</v>
      </c>
      <c r="M95" s="170">
        <f>SUM(I95:L95)</f>
        <v>2276</v>
      </c>
      <c r="N95" s="105">
        <v>628.5</v>
      </c>
      <c r="O95" s="105">
        <v>620.20000000000005</v>
      </c>
      <c r="P95" s="105">
        <v>620.1</v>
      </c>
      <c r="Q95" s="105">
        <v>702.6</v>
      </c>
      <c r="R95" s="49">
        <f>SUM(N95:Q95)</f>
        <v>2571.4</v>
      </c>
      <c r="S95" s="48">
        <v>697.6</v>
      </c>
      <c r="T95" s="48">
        <v>689.3</v>
      </c>
      <c r="U95" s="48">
        <v>632.5</v>
      </c>
      <c r="V95" s="48">
        <v>682.5</v>
      </c>
      <c r="W95" s="49">
        <f>SUM(S95:V95)</f>
        <v>2701.9</v>
      </c>
      <c r="X95" s="105">
        <v>633.9</v>
      </c>
      <c r="Y95" s="48">
        <f>Y96*Y78</f>
        <v>746.60863233811051</v>
      </c>
      <c r="Z95" s="48">
        <f>Z96*Z78</f>
        <v>800.70995010454783</v>
      </c>
      <c r="AA95" s="48">
        <f>AA96*AA78</f>
        <v>835.03391749396985</v>
      </c>
      <c r="AB95" s="49">
        <f>SUM(X95:AA95)</f>
        <v>3016.2524999366283</v>
      </c>
      <c r="AC95" s="48">
        <f>AC96*AC78</f>
        <v>854.71248531321498</v>
      </c>
      <c r="AD95" s="48">
        <f>AD96*AD78</f>
        <v>852.99297183519104</v>
      </c>
      <c r="AE95" s="48">
        <f>AE96*AE78</f>
        <v>945.99239045739671</v>
      </c>
      <c r="AF95" s="48">
        <f>AF96*AF78</f>
        <v>982.44939312301653</v>
      </c>
      <c r="AG95" s="49">
        <f>SUM(AC95:AF95)</f>
        <v>3636.1472407288193</v>
      </c>
      <c r="AH95" s="48">
        <f>AH96*AH78</f>
        <v>998.81560123678173</v>
      </c>
      <c r="AI95" s="48">
        <f>AI96*AI78</f>
        <v>994.74475937770706</v>
      </c>
      <c r="AJ95" s="48">
        <f>AJ96*AJ78</f>
        <v>1062.406125952692</v>
      </c>
      <c r="AK95" s="48">
        <f>AK96*AK78</f>
        <v>1140.8286764057766</v>
      </c>
      <c r="AL95" s="49">
        <f>SUM(AH95:AK95)</f>
        <v>4196.7951629729578</v>
      </c>
      <c r="AM95" s="48">
        <f>AM96*AM78</f>
        <v>1154.7686026988561</v>
      </c>
      <c r="AN95" s="48">
        <f>AN96*AN78</f>
        <v>1132.8581602072693</v>
      </c>
      <c r="AO95" s="48">
        <f>AO96*AO78</f>
        <v>1192.4808636394405</v>
      </c>
      <c r="AP95" s="48">
        <f>AP96*AP78</f>
        <v>1262.6050938553424</v>
      </c>
      <c r="AQ95" s="49">
        <f>SUM(AM95:AP95)</f>
        <v>4742.7127204009084</v>
      </c>
      <c r="AR95" s="48">
        <f>AR96*AR78</f>
        <v>1244.7529334717963</v>
      </c>
      <c r="AS95" s="48">
        <f>AS96*AS78</f>
        <v>1220.5108810091544</v>
      </c>
      <c r="AT95" s="48">
        <f>AT96*AT78</f>
        <v>1284.1046031692329</v>
      </c>
      <c r="AU95" s="48">
        <f>AU96*AU78</f>
        <v>1358.9521458815268</v>
      </c>
      <c r="AV95" s="49">
        <f>SUM(AR95:AU95)</f>
        <v>5108.3205635317108</v>
      </c>
    </row>
    <row r="96" spans="1:48" s="184" customFormat="1" outlineLevel="1" x14ac:dyDescent="0.3">
      <c r="B96" s="181" t="s">
        <v>150</v>
      </c>
      <c r="C96" s="190"/>
      <c r="D96" s="167">
        <f t="shared" ref="D96:X96" si="280">D95/D78</f>
        <v>0.47234175729598632</v>
      </c>
      <c r="E96" s="167">
        <f t="shared" si="280"/>
        <v>0.4722773789521918</v>
      </c>
      <c r="F96" s="167">
        <f t="shared" si="280"/>
        <v>0.45032525133057366</v>
      </c>
      <c r="G96" s="167">
        <f t="shared" si="280"/>
        <v>0.45390987157078799</v>
      </c>
      <c r="H96" s="186">
        <f t="shared" si="280"/>
        <v>0.46204482325634483</v>
      </c>
      <c r="I96" s="167">
        <f t="shared" si="280"/>
        <v>0.46354126899289916</v>
      </c>
      <c r="J96" s="167">
        <f t="shared" si="280"/>
        <v>0.62367021276595747</v>
      </c>
      <c r="K96" s="167">
        <f t="shared" si="280"/>
        <v>0.5521416333523701</v>
      </c>
      <c r="L96" s="167">
        <f t="shared" si="280"/>
        <v>0.47962720480628518</v>
      </c>
      <c r="M96" s="186">
        <f t="shared" si="280"/>
        <v>0.51893568024806769</v>
      </c>
      <c r="N96" s="167">
        <f t="shared" si="280"/>
        <v>0.43594367760282998</v>
      </c>
      <c r="O96" s="167">
        <f t="shared" si="280"/>
        <v>0.44789485087022463</v>
      </c>
      <c r="P96" s="167">
        <f t="shared" si="280"/>
        <v>0.4326379683248448</v>
      </c>
      <c r="Q96" s="167">
        <f t="shared" si="280"/>
        <v>0.43639751552795031</v>
      </c>
      <c r="R96" s="188">
        <f t="shared" si="280"/>
        <v>0.43808031074841985</v>
      </c>
      <c r="S96" s="167">
        <f t="shared" si="280"/>
        <v>0.46250745872836974</v>
      </c>
      <c r="T96" s="167">
        <f t="shared" si="280"/>
        <v>0.51424947776783048</v>
      </c>
      <c r="U96" s="167">
        <f t="shared" si="280"/>
        <v>0.54417964380968775</v>
      </c>
      <c r="V96" s="167">
        <f t="shared" si="280"/>
        <v>0.50521874306018211</v>
      </c>
      <c r="W96" s="188">
        <f>W95/W78</f>
        <v>0.50390719707566356</v>
      </c>
      <c r="X96" s="167">
        <f t="shared" si="280"/>
        <v>0.52263170912688595</v>
      </c>
      <c r="Y96" s="189">
        <f>T96-1%+3%</f>
        <v>0.53424947776783049</v>
      </c>
      <c r="Z96" s="189">
        <f>U96-0.5%-2.5%</f>
        <v>0.51417964380968773</v>
      </c>
      <c r="AA96" s="189">
        <f>V96-0.5%-4%</f>
        <v>0.46021874306018212</v>
      </c>
      <c r="AB96" s="188">
        <f>AB95/AB78</f>
        <v>0.5042149977252407</v>
      </c>
      <c r="AC96" s="189">
        <f>X96</f>
        <v>0.52263170912688595</v>
      </c>
      <c r="AD96" s="189">
        <f>Y96-2%</f>
        <v>0.51424947776783048</v>
      </c>
      <c r="AE96" s="189">
        <f t="shared" ref="AE96:AF96" si="281">Z96</f>
        <v>0.51417964380968773</v>
      </c>
      <c r="AF96" s="189">
        <f t="shared" si="281"/>
        <v>0.46021874306018212</v>
      </c>
      <c r="AG96" s="188">
        <f>AG95/AG78</f>
        <v>0.50024939324584661</v>
      </c>
      <c r="AH96" s="189">
        <f>AC96-0.2%</f>
        <v>0.52063170912688594</v>
      </c>
      <c r="AI96" s="189">
        <f>AD96-0.2%</f>
        <v>0.51224947776783047</v>
      </c>
      <c r="AJ96" s="189">
        <f>AE96-2%</f>
        <v>0.49417964380968771</v>
      </c>
      <c r="AK96" s="189">
        <f>AF96-0.2%</f>
        <v>0.45821874306018212</v>
      </c>
      <c r="AL96" s="188">
        <f>AL95/AL78</f>
        <v>0.49374500023175766</v>
      </c>
      <c r="AM96" s="189">
        <f>AH96</f>
        <v>0.52063170912688594</v>
      </c>
      <c r="AN96" s="189">
        <f t="shared" ref="AN96:AP96" si="282">AI96</f>
        <v>0.51224947776783047</v>
      </c>
      <c r="AO96" s="189">
        <f t="shared" si="282"/>
        <v>0.49417964380968771</v>
      </c>
      <c r="AP96" s="189">
        <f t="shared" si="282"/>
        <v>0.45821874306018212</v>
      </c>
      <c r="AQ96" s="188">
        <f>AQ95/AQ78</f>
        <v>0.49413215441274383</v>
      </c>
      <c r="AR96" s="189">
        <f>AM96</f>
        <v>0.52063170912688594</v>
      </c>
      <c r="AS96" s="189">
        <f t="shared" ref="AS96:AU96" si="283">AN96</f>
        <v>0.51224947776783047</v>
      </c>
      <c r="AT96" s="189">
        <f t="shared" si="283"/>
        <v>0.49417964380968771</v>
      </c>
      <c r="AU96" s="189">
        <f t="shared" si="283"/>
        <v>0.45821874306018212</v>
      </c>
      <c r="AV96" s="188">
        <f>AV95/AV78</f>
        <v>0.49414547561997696</v>
      </c>
    </row>
    <row r="97" spans="1:48" outlineLevel="1" x14ac:dyDescent="0.3">
      <c r="B97" s="180" t="s">
        <v>33</v>
      </c>
      <c r="C97" s="18"/>
      <c r="D97" s="105">
        <v>31.3</v>
      </c>
      <c r="E97" s="105">
        <v>26.3</v>
      </c>
      <c r="F97" s="105">
        <v>26.7</v>
      </c>
      <c r="G97" s="105">
        <v>31.9</v>
      </c>
      <c r="H97" s="170">
        <f>SUM(D97:G97)</f>
        <v>116.19999999999999</v>
      </c>
      <c r="I97" s="105">
        <v>35.9</v>
      </c>
      <c r="J97" s="105">
        <v>31.8</v>
      </c>
      <c r="K97" s="105">
        <v>37.5</v>
      </c>
      <c r="L97" s="105">
        <v>39.9</v>
      </c>
      <c r="M97" s="170">
        <f>SUM(I97:L97)</f>
        <v>145.1</v>
      </c>
      <c r="N97" s="105">
        <v>34.299999999999997</v>
      </c>
      <c r="O97" s="105">
        <v>29.3</v>
      </c>
      <c r="P97" s="105">
        <v>38.299999999999997</v>
      </c>
      <c r="Q97" s="105">
        <v>39.799999999999997</v>
      </c>
      <c r="R97" s="49">
        <f>SUM(N97:Q97)</f>
        <v>141.69999999999999</v>
      </c>
      <c r="S97" s="48">
        <v>39.200000000000003</v>
      </c>
      <c r="T97" s="48">
        <v>39.5</v>
      </c>
      <c r="U97" s="48">
        <v>60.2</v>
      </c>
      <c r="V97" s="48">
        <v>52.4</v>
      </c>
      <c r="W97" s="49">
        <f>SUM(S97:V97)</f>
        <v>191.3</v>
      </c>
      <c r="X97" s="105">
        <v>50.7</v>
      </c>
      <c r="Y97" s="48">
        <f>Y98*Y92</f>
        <v>52.369145736296019</v>
      </c>
      <c r="Z97" s="48">
        <f t="shared" ref="Z97:AA97" si="284">Z98*Z92</f>
        <v>69.478530269982684</v>
      </c>
      <c r="AA97" s="48">
        <f t="shared" si="284"/>
        <v>69.985836766250642</v>
      </c>
      <c r="AB97" s="49">
        <f>SUM(X97:AA97)</f>
        <v>242.53351277252938</v>
      </c>
      <c r="AC97" s="48">
        <f>AC98*AC92</f>
        <v>65.561619120232791</v>
      </c>
      <c r="AD97" s="48">
        <f>AD98*AD92</f>
        <v>61.657324071498678</v>
      </c>
      <c r="AE97" s="48">
        <f t="shared" ref="AE97:AF97" si="285">AE98*AE92</f>
        <v>69.094441438823807</v>
      </c>
      <c r="AF97" s="48">
        <f t="shared" si="285"/>
        <v>81.78212201602922</v>
      </c>
      <c r="AG97" s="49">
        <f>SUM(AC97:AF97)</f>
        <v>278.09550664658451</v>
      </c>
      <c r="AH97" s="48">
        <f>AH98*AH92</f>
        <v>71.396360722826884</v>
      </c>
      <c r="AI97" s="48">
        <f>AI98*AI92</f>
        <v>66.675945233915215</v>
      </c>
      <c r="AJ97" s="48">
        <f t="shared" ref="AJ97:AK97" si="286">AJ98*AJ92</f>
        <v>63.028223784310725</v>
      </c>
      <c r="AK97" s="48">
        <f t="shared" si="286"/>
        <v>88.428355895684916</v>
      </c>
      <c r="AL97" s="49">
        <f>SUM(AH97:AK97)</f>
        <v>289.52888563673775</v>
      </c>
      <c r="AM97" s="48">
        <f>AM98*AM92</f>
        <v>82.009260368591697</v>
      </c>
      <c r="AN97" s="48">
        <f>AN98*AN92</f>
        <v>75.470087447936777</v>
      </c>
      <c r="AO97" s="48">
        <f t="shared" ref="AO97:AP97" si="287">AO98*AO92</f>
        <v>70.291835486221188</v>
      </c>
      <c r="AP97" s="48">
        <f t="shared" si="287"/>
        <v>97.298231808214311</v>
      </c>
      <c r="AQ97" s="49">
        <f>SUM(AM97:AP97)</f>
        <v>325.06941511096397</v>
      </c>
      <c r="AR97" s="48">
        <f>AR98*AR92</f>
        <v>87.84765871284381</v>
      </c>
      <c r="AS97" s="48">
        <f>AS98*AS92</f>
        <v>80.821624702396065</v>
      </c>
      <c r="AT97" s="48">
        <f t="shared" ref="AT97:AU97" si="288">AT98*AT92</f>
        <v>75.220476460435677</v>
      </c>
      <c r="AU97" s="48">
        <f t="shared" si="288"/>
        <v>104.14168319146295</v>
      </c>
      <c r="AV97" s="49">
        <f>SUM(AR97:AU97)</f>
        <v>348.03144306713853</v>
      </c>
    </row>
    <row r="98" spans="1:48" s="184" customFormat="1" outlineLevel="1" x14ac:dyDescent="0.3">
      <c r="B98" s="181" t="s">
        <v>152</v>
      </c>
      <c r="C98" s="190"/>
      <c r="D98" s="167">
        <f>D97/D92</f>
        <v>2.0811170212765958E-2</v>
      </c>
      <c r="E98" s="167">
        <f t="shared" ref="E98:X98" si="289">E97/E92</f>
        <v>1.7196286125277887E-2</v>
      </c>
      <c r="F98" s="167">
        <f t="shared" si="289"/>
        <v>1.6842238062196431E-2</v>
      </c>
      <c r="G98" s="167">
        <f t="shared" si="289"/>
        <v>2.0291330068061827E-2</v>
      </c>
      <c r="H98" s="186">
        <f t="shared" si="289"/>
        <v>1.8769787426503842E-2</v>
      </c>
      <c r="I98" s="167">
        <f t="shared" si="289"/>
        <v>2.2850232321303544E-2</v>
      </c>
      <c r="J98" s="167">
        <f t="shared" si="289"/>
        <v>2.8027498677948178E-2</v>
      </c>
      <c r="K98" s="167">
        <f t="shared" si="289"/>
        <v>3.9490311710193765E-2</v>
      </c>
      <c r="L98" s="167">
        <f t="shared" si="289"/>
        <v>2.6401111625752663E-2</v>
      </c>
      <c r="M98" s="186">
        <f t="shared" si="289"/>
        <v>2.8084233344946388E-2</v>
      </c>
      <c r="N98" s="167">
        <f t="shared" si="289"/>
        <v>2.0733845130871061E-2</v>
      </c>
      <c r="O98" s="167">
        <f t="shared" si="289"/>
        <v>1.8188590229064498E-2</v>
      </c>
      <c r="P98" s="167">
        <f t="shared" si="289"/>
        <v>2.3094548962855763E-2</v>
      </c>
      <c r="Q98" s="167">
        <f t="shared" si="289"/>
        <v>2.0787631881332914E-2</v>
      </c>
      <c r="R98" s="188">
        <f t="shared" si="289"/>
        <v>2.0721827381474659E-2</v>
      </c>
      <c r="S98" s="167">
        <f t="shared" si="289"/>
        <v>2.0896636281251667E-2</v>
      </c>
      <c r="T98" s="167">
        <f t="shared" si="289"/>
        <v>2.3202537593984961E-2</v>
      </c>
      <c r="U98" s="167">
        <f t="shared" si="289"/>
        <v>3.7988262762668014E-2</v>
      </c>
      <c r="V98" s="167">
        <f t="shared" si="289"/>
        <v>2.948790095666854E-2</v>
      </c>
      <c r="W98" s="188">
        <f t="shared" si="289"/>
        <v>2.7564841498559079E-2</v>
      </c>
      <c r="X98" s="167">
        <f t="shared" si="289"/>
        <v>3.0176775191952859E-2</v>
      </c>
      <c r="Y98" s="189">
        <f>T98+0.5%</f>
        <v>2.8202537593984962E-2</v>
      </c>
      <c r="Z98" s="189">
        <f>U98-0.5%</f>
        <v>3.2988262762668016E-2</v>
      </c>
      <c r="AA98" s="189">
        <f t="shared" ref="AA98" si="290">V98</f>
        <v>2.948790095666854E-2</v>
      </c>
      <c r="AB98" s="188">
        <f t="shared" ref="AB98" si="291">AB97/AB92</f>
        <v>3.0254181760269457E-2</v>
      </c>
      <c r="AC98" s="189">
        <f>X98</f>
        <v>3.0176775191952859E-2</v>
      </c>
      <c r="AD98" s="189">
        <f t="shared" ref="AD98" si="292">Y98</f>
        <v>2.8202537593984962E-2</v>
      </c>
      <c r="AE98" s="189">
        <f>Z98-0.5%</f>
        <v>2.7988262762668015E-2</v>
      </c>
      <c r="AF98" s="189">
        <f t="shared" ref="AF98" si="293">AA98</f>
        <v>2.948790095666854E-2</v>
      </c>
      <c r="AG98" s="188">
        <f t="shared" ref="AG98" si="294">AG97/AG92</f>
        <v>2.8965491593230485E-2</v>
      </c>
      <c r="AH98" s="189">
        <f>AC98-0.2%</f>
        <v>2.8176775191952858E-2</v>
      </c>
      <c r="AI98" s="189">
        <f>AD98-0.2%</f>
        <v>2.6202537593984963E-2</v>
      </c>
      <c r="AJ98" s="189">
        <f>AE98-0.6%</f>
        <v>2.1988262762668014E-2</v>
      </c>
      <c r="AK98" s="189">
        <f>AF98-0.2%</f>
        <v>2.7487900956668539E-2</v>
      </c>
      <c r="AL98" s="188">
        <f t="shared" ref="AL98" si="295">AL97/AL92</f>
        <v>2.5938915947005439E-2</v>
      </c>
      <c r="AM98" s="189">
        <f>AH98</f>
        <v>2.8176775191952858E-2</v>
      </c>
      <c r="AN98" s="189">
        <f t="shared" ref="AN98:AP98" si="296">AI98</f>
        <v>2.6202537593984963E-2</v>
      </c>
      <c r="AO98" s="189">
        <f t="shared" si="296"/>
        <v>2.1988262762668014E-2</v>
      </c>
      <c r="AP98" s="189">
        <f t="shared" si="296"/>
        <v>2.7487900956668539E-2</v>
      </c>
      <c r="AQ98" s="188">
        <f t="shared" ref="AQ98" si="297">AQ97/AQ92</f>
        <v>2.5948985736989953E-2</v>
      </c>
      <c r="AR98" s="189">
        <f>AM98</f>
        <v>2.8176775191952858E-2</v>
      </c>
      <c r="AS98" s="189">
        <f t="shared" ref="AS98:AU98" si="298">AN98</f>
        <v>2.6202537593984963E-2</v>
      </c>
      <c r="AT98" s="189">
        <f t="shared" si="298"/>
        <v>2.1988262762668014E-2</v>
      </c>
      <c r="AU98" s="189">
        <f t="shared" si="298"/>
        <v>2.7487900956668539E-2</v>
      </c>
      <c r="AV98" s="188">
        <f t="shared" ref="AV98" si="299">AV97/AV92</f>
        <v>2.5949637187298029E-2</v>
      </c>
    </row>
    <row r="99" spans="1:48" outlineLevel="1" x14ac:dyDescent="0.3">
      <c r="B99" s="180" t="s">
        <v>34</v>
      </c>
      <c r="C99" s="18"/>
      <c r="D99" s="358">
        <v>127</v>
      </c>
      <c r="E99" s="358">
        <v>130.4</v>
      </c>
      <c r="F99" s="358">
        <v>127.7</v>
      </c>
      <c r="G99" s="358">
        <v>126.5</v>
      </c>
      <c r="H99" s="126">
        <f>SUM(D99:G99)</f>
        <v>511.59999999999997</v>
      </c>
      <c r="I99" s="358">
        <v>126.6</v>
      </c>
      <c r="J99" s="358">
        <v>130</v>
      </c>
      <c r="K99" s="358">
        <v>128.5</v>
      </c>
      <c r="L99" s="358">
        <v>133.1</v>
      </c>
      <c r="M99" s="126">
        <f>SUM(I99:L99)</f>
        <v>518.20000000000005</v>
      </c>
      <c r="N99" s="358">
        <v>140</v>
      </c>
      <c r="O99" s="358">
        <v>143.4</v>
      </c>
      <c r="P99" s="358">
        <v>129.69999999999999</v>
      </c>
      <c r="Q99" s="358">
        <v>131.6</v>
      </c>
      <c r="R99" s="126">
        <f>SUM(N99:Q99)</f>
        <v>544.69999999999993</v>
      </c>
      <c r="S99" s="358">
        <v>133.1</v>
      </c>
      <c r="T99" s="358">
        <v>133.4</v>
      </c>
      <c r="U99" s="358">
        <v>125</v>
      </c>
      <c r="V99" s="358">
        <v>121.5</v>
      </c>
      <c r="W99" s="126">
        <f>SUM(S99:V99)</f>
        <v>513</v>
      </c>
      <c r="X99" s="358">
        <v>81.5</v>
      </c>
      <c r="Y99" s="358">
        <f>(X99/(X66+X99+X114+X127))*'CFS (F1Q23)'!Y7*0.95</f>
        <v>85.028833323376475</v>
      </c>
      <c r="Z99" s="358">
        <f>(Y99/(Y66+Y99+Y114+Y127))*'CFS (F1Q23)'!Z7*0.95</f>
        <v>91.237592111018685</v>
      </c>
      <c r="AA99" s="358">
        <f>(Z99/(Z66+Z99+Z114+Z127))*'CFS (F1Q23)'!AA7*0.95</f>
        <v>92.713382121454259</v>
      </c>
      <c r="AB99" s="126">
        <f>SUM(X99:AA99)</f>
        <v>350.47980755584945</v>
      </c>
      <c r="AC99" s="358">
        <f>(AA99/(AA66+AA99+AA114+AA127))*'CFS (F1Q23)'!AC7*0.95</f>
        <v>95.941550808590748</v>
      </c>
      <c r="AD99" s="358">
        <f>(AC99/(AC66+AC99+AC114+AC127))*'CFS (F1Q23)'!AD7*0.95</f>
        <v>100.29862403100158</v>
      </c>
      <c r="AE99" s="358">
        <f>(AD99/(AD66+AD99+AD114+AD127))*'CFS (F1Q23)'!AE7*0.95</f>
        <v>103.35271771960819</v>
      </c>
      <c r="AF99" s="358">
        <f>(AE99/(AE66+AE99+AE114+AE127))*'CFS (F1Q23)'!AF7*0.95</f>
        <v>106.23618025559814</v>
      </c>
      <c r="AG99" s="126">
        <f>SUM(AC99:AF99)</f>
        <v>405.82907281479868</v>
      </c>
      <c r="AH99" s="358">
        <f>(AF99/(AF66+AF99+AF114+AF127))*'CFS (F1Q23)'!AH7*0.95</f>
        <v>109.78810109218023</v>
      </c>
      <c r="AI99" s="358">
        <f>(AH99/(AH66+AH99+AH114+AH127))*'CFS (F1Q23)'!AI7*0.95</f>
        <v>112.66782579087236</v>
      </c>
      <c r="AJ99" s="358">
        <f>(AI99/(AI66+AI99+AI114+AI127))*'CFS (F1Q23)'!AJ7*0.95</f>
        <v>114.75458789855848</v>
      </c>
      <c r="AK99" s="358">
        <f>(AJ99/(AJ66+AJ99+AJ114+AJ127))*'CFS (F1Q23)'!AK7*0.95</f>
        <v>117.43899426089723</v>
      </c>
      <c r="AL99" s="126">
        <f>SUM(AH99:AK99)</f>
        <v>454.64950904250833</v>
      </c>
      <c r="AM99" s="358">
        <f>(AK99/(AK66+AK99+AK114+AK127))*'CFS (F1Q23)'!AM7*0.95</f>
        <v>120.42405497579954</v>
      </c>
      <c r="AN99" s="358">
        <f>(AM99/(AM66+AM99+AM114+AM127))*'CFS (F1Q23)'!AN7*0.95</f>
        <v>123.40900445374926</v>
      </c>
      <c r="AO99" s="358">
        <f>(AN99/(AN66+AN99+AN114+AN127))*'CFS (F1Q23)'!AO7*0.95</f>
        <v>125.68626919880596</v>
      </c>
      <c r="AP99" s="358">
        <f>(AO99/(AO66+AO99+AO114+AO127))*'CFS (F1Q23)'!AP7*0.95</f>
        <v>128.67180721580226</v>
      </c>
      <c r="AQ99" s="126">
        <f>SUM(AM99:AP99)</f>
        <v>498.19113584415697</v>
      </c>
      <c r="AR99" s="358">
        <f>(AP99/(AP66+AP99+AP114+AP127))*'CFS (F1Q23)'!AR7*0.95</f>
        <v>131.83969482052356</v>
      </c>
      <c r="AS99" s="358">
        <f>(AR99/(AR66+AR99+AR114+AR127))*'CFS (F1Q23)'!AS7*0.95</f>
        <v>134.78519329100121</v>
      </c>
      <c r="AT99" s="358">
        <f>(AS99/(AS66+AS99+AS114+AS127))*'CFS (F1Q23)'!AT7*0.95</f>
        <v>137.03130646798587</v>
      </c>
      <c r="AU99" s="358">
        <f>(AT99/(AT66+AT99+AT114+AT127))*'CFS (F1Q23)'!AU7*0.95</f>
        <v>140.04155631595239</v>
      </c>
      <c r="AV99" s="126">
        <f>SUM(AR99:AU99)</f>
        <v>543.69775089546306</v>
      </c>
    </row>
    <row r="100" spans="1:48" outlineLevel="1" x14ac:dyDescent="0.3">
      <c r="B100" s="180" t="s">
        <v>35</v>
      </c>
      <c r="C100" s="18"/>
      <c r="D100" s="105">
        <v>69.3</v>
      </c>
      <c r="E100" s="105">
        <v>80.2</v>
      </c>
      <c r="F100" s="105">
        <v>86</v>
      </c>
      <c r="G100" s="105">
        <v>82.4</v>
      </c>
      <c r="H100" s="170">
        <f>SUM(D100:G100)</f>
        <v>317.89999999999998</v>
      </c>
      <c r="I100" s="105">
        <v>67.2</v>
      </c>
      <c r="J100" s="105">
        <v>63.7</v>
      </c>
      <c r="K100" s="105">
        <v>66.099999999999994</v>
      </c>
      <c r="L100" s="105">
        <v>84.5</v>
      </c>
      <c r="M100" s="170">
        <f>SUM(I100:L100)</f>
        <v>281.5</v>
      </c>
      <c r="N100" s="105">
        <v>82.6</v>
      </c>
      <c r="O100" s="105">
        <v>79.8</v>
      </c>
      <c r="P100" s="105">
        <v>92.3</v>
      </c>
      <c r="Q100" s="105">
        <v>98.4</v>
      </c>
      <c r="R100" s="49">
        <f>SUM(N100:Q100)</f>
        <v>353.1</v>
      </c>
      <c r="S100" s="48">
        <v>91.3</v>
      </c>
      <c r="T100" s="48">
        <v>79.599999999999994</v>
      </c>
      <c r="U100" s="48">
        <v>81.8</v>
      </c>
      <c r="V100" s="48">
        <v>92.6</v>
      </c>
      <c r="W100" s="49">
        <f>SUM(S100:V100)</f>
        <v>345.29999999999995</v>
      </c>
      <c r="X100" s="105">
        <v>80.5</v>
      </c>
      <c r="Y100" s="48">
        <f>Y101*Y92</f>
        <v>96.108268122896661</v>
      </c>
      <c r="Z100" s="48">
        <f t="shared" ref="Z100:AA100" si="300">Z101*Z92</f>
        <v>98.186195355281527</v>
      </c>
      <c r="AA100" s="48">
        <f t="shared" si="300"/>
        <v>111.81038787951664</v>
      </c>
      <c r="AB100" s="49">
        <f>SUM(X100:AA100)</f>
        <v>386.60485135769488</v>
      </c>
      <c r="AC100" s="48">
        <f>AC101*AC92</f>
        <v>97.579094878245158</v>
      </c>
      <c r="AD100" s="48">
        <f>AD101*AD92</f>
        <v>113.1540060524013</v>
      </c>
      <c r="AE100" s="48">
        <f t="shared" ref="AE100:AF100" si="301">AE101*AE92</f>
        <v>115.08704040212086</v>
      </c>
      <c r="AF100" s="48">
        <f t="shared" si="301"/>
        <v>130.65630428572302</v>
      </c>
      <c r="AG100" s="49">
        <f>SUM(AC100:AF100)</f>
        <v>456.47644561849035</v>
      </c>
      <c r="AH100" s="48">
        <f>AH101*AH92</f>
        <v>108.73814232285426</v>
      </c>
      <c r="AI100" s="48">
        <f>AI101*AI92</f>
        <v>126.61482065940704</v>
      </c>
      <c r="AJ100" s="48">
        <f t="shared" ref="AJ100:AK100" si="302">AJ101*AJ92</f>
        <v>127.89692929618298</v>
      </c>
      <c r="AK100" s="48">
        <f t="shared" si="302"/>
        <v>145.11946601469924</v>
      </c>
      <c r="AL100" s="49">
        <f>SUM(AH100:AK100)</f>
        <v>508.36935829314353</v>
      </c>
      <c r="AM100" s="48">
        <f>AM101*AM92</f>
        <v>124.90180921645795</v>
      </c>
      <c r="AN100" s="48">
        <f>AN101*AN92</f>
        <v>143.31452750833651</v>
      </c>
      <c r="AO100" s="48">
        <f t="shared" ref="AO100:AP100" si="303">AO101*AO92</f>
        <v>142.63625679894244</v>
      </c>
      <c r="AP100" s="48">
        <f t="shared" si="303"/>
        <v>159.675788395739</v>
      </c>
      <c r="AQ100" s="49">
        <f>SUM(AM100:AP100)</f>
        <v>570.52838191947592</v>
      </c>
      <c r="AR100" s="48">
        <f>AR101*AR92</f>
        <v>133.7938113250728</v>
      </c>
      <c r="AS100" s="48">
        <f>AS101*AS92</f>
        <v>153.47687207425713</v>
      </c>
      <c r="AT100" s="48">
        <f t="shared" ref="AT100:AU100" si="304">AT101*AT92</f>
        <v>152.63745956744395</v>
      </c>
      <c r="AU100" s="48">
        <f t="shared" si="304"/>
        <v>170.90655255928556</v>
      </c>
      <c r="AV100" s="49">
        <f>SUM(AR100:AU100)</f>
        <v>610.8146955260595</v>
      </c>
    </row>
    <row r="101" spans="1:48" s="184" customFormat="1" outlineLevel="1" x14ac:dyDescent="0.3">
      <c r="B101" s="181" t="s">
        <v>153</v>
      </c>
      <c r="C101" s="190"/>
      <c r="D101" s="167">
        <f>D100/D92</f>
        <v>4.6077127659574467E-2</v>
      </c>
      <c r="E101" s="167">
        <f t="shared" ref="E101:X101" si="305">E100/E92</f>
        <v>5.2438864914345497E-2</v>
      </c>
      <c r="F101" s="167">
        <f t="shared" si="305"/>
        <v>5.4248407241531571E-2</v>
      </c>
      <c r="G101" s="167">
        <f t="shared" si="305"/>
        <v>5.2413968577062528E-2</v>
      </c>
      <c r="H101" s="186">
        <f t="shared" si="305"/>
        <v>5.1350390902629703E-2</v>
      </c>
      <c r="I101" s="167">
        <f t="shared" si="305"/>
        <v>4.277257972121444E-2</v>
      </c>
      <c r="J101" s="167">
        <f t="shared" si="305"/>
        <v>5.6143134144191795E-2</v>
      </c>
      <c r="K101" s="167">
        <f t="shared" si="305"/>
        <v>6.9608256107834873E-2</v>
      </c>
      <c r="L101" s="167">
        <f t="shared" si="305"/>
        <v>5.5912128630979954E-2</v>
      </c>
      <c r="M101" s="186">
        <f t="shared" si="305"/>
        <v>5.4484573994503162E-2</v>
      </c>
      <c r="N101" s="167">
        <f t="shared" si="305"/>
        <v>4.9930484192709908E-2</v>
      </c>
      <c r="O101" s="167">
        <f t="shared" si="305"/>
        <v>4.9537525606803648E-2</v>
      </c>
      <c r="P101" s="167">
        <f t="shared" si="305"/>
        <v>5.5656054027978775E-2</v>
      </c>
      <c r="Q101" s="167">
        <f t="shared" si="305"/>
        <v>5.139454716389847E-2</v>
      </c>
      <c r="R101" s="188">
        <f t="shared" si="305"/>
        <v>5.1636395542686682E-2</v>
      </c>
      <c r="S101" s="167">
        <f t="shared" si="305"/>
        <v>4.8669971746894823E-2</v>
      </c>
      <c r="T101" s="167">
        <f t="shared" si="305"/>
        <v>4.6757518796992477E-2</v>
      </c>
      <c r="U101" s="167">
        <f t="shared" si="305"/>
        <v>5.1618602890136929E-2</v>
      </c>
      <c r="V101" s="167">
        <f t="shared" si="305"/>
        <v>5.211029825548677E-2</v>
      </c>
      <c r="W101" s="188">
        <f t="shared" si="305"/>
        <v>4.9755043227665698E-2</v>
      </c>
      <c r="X101" s="167">
        <f t="shared" si="305"/>
        <v>4.7913814653889643E-2</v>
      </c>
      <c r="Y101" s="189">
        <f>T101+0.5%</f>
        <v>5.1757518796992474E-2</v>
      </c>
      <c r="Z101" s="189">
        <f>U101-0.5%</f>
        <v>4.6618602890136931E-2</v>
      </c>
      <c r="AA101" s="189">
        <f>V101-0.5%</f>
        <v>4.7110298255486772E-2</v>
      </c>
      <c r="AB101" s="188">
        <f t="shared" ref="AB101" si="306">AB100/AB92</f>
        <v>4.8225968067957876E-2</v>
      </c>
      <c r="AC101" s="189">
        <f>X101-0.3%</f>
        <v>4.491381465388964E-2</v>
      </c>
      <c r="AD101" s="189">
        <f t="shared" ref="AD101:AF101" si="307">Y101</f>
        <v>5.1757518796992474E-2</v>
      </c>
      <c r="AE101" s="189">
        <f t="shared" si="307"/>
        <v>4.6618602890136931E-2</v>
      </c>
      <c r="AF101" s="189">
        <f t="shared" si="307"/>
        <v>4.7110298255486772E-2</v>
      </c>
      <c r="AG101" s="188">
        <f t="shared" ref="AG101" si="308">AG100/AG92</f>
        <v>4.754504956771298E-2</v>
      </c>
      <c r="AH101" s="189">
        <f>AC101-0.2%</f>
        <v>4.2913814653889638E-2</v>
      </c>
      <c r="AI101" s="189">
        <f>AD101-0.2%</f>
        <v>4.9757518796992473E-2</v>
      </c>
      <c r="AJ101" s="189">
        <f>AE101-0.2%</f>
        <v>4.461860289013693E-2</v>
      </c>
      <c r="AK101" s="189">
        <f>AF101-0.2%</f>
        <v>4.5110298255486771E-2</v>
      </c>
      <c r="AL101" s="188">
        <f t="shared" ref="AL101" si="309">AL100/AL92</f>
        <v>4.5544851339439987E-2</v>
      </c>
      <c r="AM101" s="189">
        <f>AH101</f>
        <v>4.2913814653889638E-2</v>
      </c>
      <c r="AN101" s="189">
        <f t="shared" ref="AN101:AP101" si="310">AI101</f>
        <v>4.9757518796992473E-2</v>
      </c>
      <c r="AO101" s="189">
        <f t="shared" si="310"/>
        <v>4.461860289013693E-2</v>
      </c>
      <c r="AP101" s="189">
        <f t="shared" si="310"/>
        <v>4.5110298255486771E-2</v>
      </c>
      <c r="AQ101" s="188">
        <f t="shared" ref="AQ101" si="311">AQ100/AQ92</f>
        <v>4.5542989148710918E-2</v>
      </c>
      <c r="AR101" s="189">
        <f>AM101</f>
        <v>4.2913814653889638E-2</v>
      </c>
      <c r="AS101" s="189">
        <f t="shared" ref="AS101:AU101" si="312">AN101</f>
        <v>4.9757518796992473E-2</v>
      </c>
      <c r="AT101" s="189">
        <f t="shared" si="312"/>
        <v>4.461860289013693E-2</v>
      </c>
      <c r="AU101" s="189">
        <f t="shared" si="312"/>
        <v>4.5110298255486771E-2</v>
      </c>
      <c r="AV101" s="188">
        <f t="shared" ref="AV101" si="313">AV100/AV92</f>
        <v>4.554306817189923E-2</v>
      </c>
    </row>
    <row r="102" spans="1:48" ht="16.2" outlineLevel="1" x14ac:dyDescent="0.45">
      <c r="B102" s="180" t="s">
        <v>42</v>
      </c>
      <c r="C102" s="18"/>
      <c r="D102" s="119">
        <v>6.4</v>
      </c>
      <c r="E102" s="119">
        <v>24.2</v>
      </c>
      <c r="F102" s="119">
        <v>16.600000000000001</v>
      </c>
      <c r="G102" s="119">
        <v>12</v>
      </c>
      <c r="H102" s="131">
        <f>SUM(D102:G102)</f>
        <v>59.2</v>
      </c>
      <c r="I102" s="119">
        <v>0.8</v>
      </c>
      <c r="J102" s="119">
        <v>-1.2</v>
      </c>
      <c r="K102" s="119">
        <v>-0.2</v>
      </c>
      <c r="L102" s="119">
        <v>-0.6</v>
      </c>
      <c r="M102" s="131">
        <f>SUM(I102:L102)</f>
        <v>-1.1999999999999997</v>
      </c>
      <c r="N102" s="119">
        <v>0</v>
      </c>
      <c r="O102" s="119">
        <v>0</v>
      </c>
      <c r="P102" s="119">
        <v>0</v>
      </c>
      <c r="Q102" s="119">
        <v>0</v>
      </c>
      <c r="R102" s="131">
        <f>SUM(N102:Q102)</f>
        <v>0</v>
      </c>
      <c r="S102" s="119">
        <v>0</v>
      </c>
      <c r="T102" s="119">
        <v>0</v>
      </c>
      <c r="U102" s="119">
        <v>0</v>
      </c>
      <c r="V102" s="119">
        <f>IFERROR((V163*(U102/U163)),0)</f>
        <v>0</v>
      </c>
      <c r="W102" s="131">
        <f>SUM(S102:V102)</f>
        <v>0</v>
      </c>
      <c r="X102" s="119">
        <f>IFERROR((X163*(V102/V163)),0)</f>
        <v>0</v>
      </c>
      <c r="Y102" s="119">
        <f t="shared" ref="Y102:AA102" si="314">IFERROR((Y163*(X102/X163)),0)</f>
        <v>0</v>
      </c>
      <c r="Z102" s="119">
        <f t="shared" si="314"/>
        <v>0</v>
      </c>
      <c r="AA102" s="119">
        <f t="shared" si="314"/>
        <v>0</v>
      </c>
      <c r="AB102" s="131">
        <f>SUM(X102:AA102)</f>
        <v>0</v>
      </c>
      <c r="AC102" s="119">
        <f>IFERROR((AC163*(AA102/AA163)),0)</f>
        <v>0</v>
      </c>
      <c r="AD102" s="119">
        <f t="shared" ref="AD102:AF102" si="315">IFERROR((AD163*(AC102/AC163)),0)</f>
        <v>0</v>
      </c>
      <c r="AE102" s="119">
        <f t="shared" si="315"/>
        <v>0</v>
      </c>
      <c r="AF102" s="119">
        <f t="shared" si="315"/>
        <v>0</v>
      </c>
      <c r="AG102" s="131">
        <f>SUM(AC102:AF102)</f>
        <v>0</v>
      </c>
      <c r="AH102" s="119">
        <f>IFERROR((AH163*(AF102/AF163)),0)</f>
        <v>0</v>
      </c>
      <c r="AI102" s="119">
        <f t="shared" ref="AI102:AK102" si="316">IFERROR((AI163*(AH102/AH163)),0)</f>
        <v>0</v>
      </c>
      <c r="AJ102" s="119">
        <f t="shared" si="316"/>
        <v>0</v>
      </c>
      <c r="AK102" s="119">
        <f t="shared" si="316"/>
        <v>0</v>
      </c>
      <c r="AL102" s="131">
        <f>SUM(AH102:AK102)</f>
        <v>0</v>
      </c>
      <c r="AM102" s="119">
        <f>IFERROR((AM163*(AK102/AK163)),0)</f>
        <v>0</v>
      </c>
      <c r="AN102" s="119">
        <f t="shared" ref="AN102:AP102" si="317">IFERROR((AN163*(AM102/AM163)),0)</f>
        <v>0</v>
      </c>
      <c r="AO102" s="119">
        <f t="shared" si="317"/>
        <v>0</v>
      </c>
      <c r="AP102" s="119">
        <f t="shared" si="317"/>
        <v>0</v>
      </c>
      <c r="AQ102" s="131">
        <f>SUM(AM102:AP102)</f>
        <v>0</v>
      </c>
      <c r="AR102" s="119">
        <f>IFERROR((AR163*(AP102/AP163)),0)</f>
        <v>0</v>
      </c>
      <c r="AS102" s="119">
        <f t="shared" ref="AS102:AU102" si="318">IFERROR((AS163*(AR102/AR163)),0)</f>
        <v>0</v>
      </c>
      <c r="AT102" s="119">
        <f t="shared" si="318"/>
        <v>0</v>
      </c>
      <c r="AU102" s="119">
        <f t="shared" si="318"/>
        <v>0</v>
      </c>
      <c r="AV102" s="131">
        <f>SUM(AR102:AU102)</f>
        <v>0</v>
      </c>
    </row>
    <row r="103" spans="1:48" outlineLevel="1" x14ac:dyDescent="0.3">
      <c r="B103" s="46" t="s">
        <v>123</v>
      </c>
      <c r="C103" s="19"/>
      <c r="D103" s="103">
        <f>D93+D95+D97+D99+D100+D102</f>
        <v>1300.4000000000001</v>
      </c>
      <c r="E103" s="103">
        <f t="shared" ref="E103:G103" si="319">E93+E95+E97+E99+E100+E102</f>
        <v>1349.7</v>
      </c>
      <c r="F103" s="103">
        <f t="shared" si="319"/>
        <v>1342.3000000000002</v>
      </c>
      <c r="G103" s="103">
        <f t="shared" si="319"/>
        <v>1336.2000000000003</v>
      </c>
      <c r="H103" s="171">
        <f>H93+H95+H97+H99+H100+H102</f>
        <v>5328.5999999999995</v>
      </c>
      <c r="I103" s="103">
        <f>I93+I95+I97+I99+I100+I102</f>
        <v>1326.1</v>
      </c>
      <c r="J103" s="103">
        <f t="shared" ref="J103:L103" si="320">J93+J95+J97+J99+J100+J102</f>
        <v>1174.8</v>
      </c>
      <c r="K103" s="103">
        <f t="shared" si="320"/>
        <v>1052.9999999999998</v>
      </c>
      <c r="L103" s="103">
        <f t="shared" si="320"/>
        <v>1358.8000000000002</v>
      </c>
      <c r="M103" s="171">
        <f>M93+M95+M97+M99+M100+M102</f>
        <v>4912.7000000000007</v>
      </c>
      <c r="N103" s="103">
        <f>N93+N95+N97+N99+N100+N102</f>
        <v>1405.8</v>
      </c>
      <c r="O103" s="103">
        <f t="shared" ref="O103:P103" si="321">O93+O95+O97+O99+O100+O102</f>
        <v>1386.2</v>
      </c>
      <c r="P103" s="103">
        <f t="shared" si="321"/>
        <v>1382.1</v>
      </c>
      <c r="Q103" s="103">
        <f>Q93+Q95+Q97+Q99+Q100+Q102</f>
        <v>1577.5</v>
      </c>
      <c r="R103" s="171">
        <f>R93+R95+R97+R99+R100+R102</f>
        <v>5751.6</v>
      </c>
      <c r="S103" s="103">
        <f>S93+S95+S97+S99+S100+S102</f>
        <v>1577</v>
      </c>
      <c r="T103" s="103">
        <f t="shared" ref="T103:V103" si="322">T93+T95+T97+T99+T100+T102</f>
        <v>1522.3</v>
      </c>
      <c r="U103" s="103">
        <f t="shared" si="322"/>
        <v>1449.8</v>
      </c>
      <c r="V103" s="103">
        <f t="shared" si="322"/>
        <v>1560</v>
      </c>
      <c r="W103" s="171">
        <f>W93+W95+W97+W99+W100+W102</f>
        <v>6109.1</v>
      </c>
      <c r="X103" s="103">
        <f>X93+X95+X97+X99+X100+X102</f>
        <v>1440.2</v>
      </c>
      <c r="Y103" s="103">
        <f t="shared" ref="Y103:AA103" si="323">Y93+Y95+Y97+Y99+Y100+Y102</f>
        <v>1650.4338367386511</v>
      </c>
      <c r="Z103" s="103">
        <f t="shared" si="323"/>
        <v>1727.8084248139683</v>
      </c>
      <c r="AA103" s="103">
        <f t="shared" si="323"/>
        <v>1818.7978911918385</v>
      </c>
      <c r="AB103" s="171">
        <f>AB93+AB95+AB97+AB99+AB100+AB102</f>
        <v>6637.2401527444581</v>
      </c>
      <c r="AC103" s="103">
        <f>AC93+AC95+AC97+AC99+AC100+AC102</f>
        <v>1837.9441699248621</v>
      </c>
      <c r="AD103" s="103">
        <f t="shared" ref="AD103:AF103" si="324">AD93+AD95+AD97+AD99+AD100+AD102</f>
        <v>1873.5848185066504</v>
      </c>
      <c r="AE103" s="103">
        <f t="shared" si="324"/>
        <v>2016.7397274233474</v>
      </c>
      <c r="AF103" s="103">
        <f t="shared" si="324"/>
        <v>2129.9249379395669</v>
      </c>
      <c r="AG103" s="171">
        <f>AG93+AG95+AG97+AG99+AG100+AG102</f>
        <v>7858.1936537944266</v>
      </c>
      <c r="AH103" s="103">
        <f>AH93+AH95+AH97+AH99+AH100+AH102</f>
        <v>2128.2413963632143</v>
      </c>
      <c r="AI103" s="103">
        <f t="shared" ref="AI103:AK103" si="325">AI93+AI95+AI97+AI99+AI100+AI102</f>
        <v>2163.3077725444277</v>
      </c>
      <c r="AJ103" s="103">
        <f t="shared" si="325"/>
        <v>2248.8255612122766</v>
      </c>
      <c r="AK103" s="103">
        <f t="shared" si="325"/>
        <v>2446.7407187206886</v>
      </c>
      <c r="AL103" s="171">
        <f>AL93+AL95+AL97+AL99+AL100+AL102</f>
        <v>8987.1154488406064</v>
      </c>
      <c r="AM103" s="103">
        <f>AM93+AM95+AM97+AM99+AM100+AM102</f>
        <v>2446.3970760106522</v>
      </c>
      <c r="AN103" s="103">
        <f t="shared" ref="AN103:AP103" si="326">AN93+AN95+AN97+AN99+AN100+AN102</f>
        <v>2451.428355815407</v>
      </c>
      <c r="AO103" s="103">
        <f t="shared" si="326"/>
        <v>2513.3347041925081</v>
      </c>
      <c r="AP103" s="103">
        <f t="shared" si="326"/>
        <v>2698.9606746311292</v>
      </c>
      <c r="AQ103" s="171">
        <f>AQ93+AQ95+AQ97+AQ99+AQ100+AQ102</f>
        <v>10110.120810649698</v>
      </c>
      <c r="AR103" s="103">
        <f>AR93+AR95+AR97+AR99+AR100+AR102</f>
        <v>2631.1773613154669</v>
      </c>
      <c r="AS103" s="103">
        <f t="shared" ref="AS103:AU103" si="327">AS93+AS95+AS97+AS99+AS100+AS102</f>
        <v>2635.2054068153038</v>
      </c>
      <c r="AT103" s="103">
        <f t="shared" si="327"/>
        <v>2700.104847430172</v>
      </c>
      <c r="AU103" s="103">
        <f t="shared" si="327"/>
        <v>2898.653148518511</v>
      </c>
      <c r="AV103" s="171">
        <f>AV93+AV95+AV97+AV99+AV100+AV102</f>
        <v>10865.140764079453</v>
      </c>
    </row>
    <row r="104" spans="1:48" ht="16.2" outlineLevel="1" x14ac:dyDescent="0.45">
      <c r="B104" s="180" t="s">
        <v>36</v>
      </c>
      <c r="C104" s="18"/>
      <c r="D104" s="119">
        <v>26.4</v>
      </c>
      <c r="E104" s="104">
        <v>22.1</v>
      </c>
      <c r="F104" s="104">
        <v>27.2</v>
      </c>
      <c r="G104" s="104">
        <v>26.8</v>
      </c>
      <c r="H104" s="214">
        <f>SUM(D104:G104)</f>
        <v>102.5</v>
      </c>
      <c r="I104" s="104">
        <v>30.9</v>
      </c>
      <c r="J104" s="104">
        <v>24.8</v>
      </c>
      <c r="K104" s="104">
        <v>17.399999999999999</v>
      </c>
      <c r="L104" s="104">
        <v>29.2</v>
      </c>
      <c r="M104" s="214">
        <f>SUM(I104:L104)</f>
        <v>102.3</v>
      </c>
      <c r="N104" s="104">
        <v>26.3</v>
      </c>
      <c r="O104" s="104">
        <v>26.8</v>
      </c>
      <c r="P104" s="104">
        <v>42</v>
      </c>
      <c r="Q104" s="104">
        <v>40.299999999999997</v>
      </c>
      <c r="R104" s="193">
        <f>SUM(N104:Q104)</f>
        <v>135.39999999999998</v>
      </c>
      <c r="S104" s="104">
        <v>0.7</v>
      </c>
      <c r="T104" s="104">
        <v>0.6</v>
      </c>
      <c r="U104" s="104">
        <v>0.4</v>
      </c>
      <c r="V104" s="104">
        <v>0.6</v>
      </c>
      <c r="W104" s="193">
        <f>SUM(S104:V104)</f>
        <v>2.2999999999999998</v>
      </c>
      <c r="X104" s="104">
        <v>0.5</v>
      </c>
      <c r="Y104" s="56">
        <v>0.5</v>
      </c>
      <c r="Z104" s="56">
        <v>0.6</v>
      </c>
      <c r="AA104" s="56">
        <v>0.7</v>
      </c>
      <c r="AB104" s="193">
        <f>SUM(X104:AA104)</f>
        <v>2.2999999999999998</v>
      </c>
      <c r="AC104" s="56">
        <v>1</v>
      </c>
      <c r="AD104" s="56">
        <v>1</v>
      </c>
      <c r="AE104" s="56">
        <v>1</v>
      </c>
      <c r="AF104" s="56">
        <v>1</v>
      </c>
      <c r="AG104" s="193">
        <f>SUM(AC104:AF104)</f>
        <v>4</v>
      </c>
      <c r="AH104" s="56">
        <v>1</v>
      </c>
      <c r="AI104" s="56">
        <v>1</v>
      </c>
      <c r="AJ104" s="56">
        <v>1</v>
      </c>
      <c r="AK104" s="56">
        <v>1</v>
      </c>
      <c r="AL104" s="193">
        <f>SUM(AH104:AK104)</f>
        <v>4</v>
      </c>
      <c r="AM104" s="56">
        <v>1</v>
      </c>
      <c r="AN104" s="56">
        <v>1</v>
      </c>
      <c r="AO104" s="56">
        <v>1</v>
      </c>
      <c r="AP104" s="56">
        <v>1</v>
      </c>
      <c r="AQ104" s="193">
        <f>SUM(AM104:AP104)</f>
        <v>4</v>
      </c>
      <c r="AR104" s="56">
        <v>1</v>
      </c>
      <c r="AS104" s="56">
        <v>1</v>
      </c>
      <c r="AT104" s="56">
        <v>1</v>
      </c>
      <c r="AU104" s="56">
        <v>1</v>
      </c>
      <c r="AV104" s="193">
        <f>SUM(AR104:AU104)</f>
        <v>4</v>
      </c>
    </row>
    <row r="105" spans="1:48" outlineLevel="1" x14ac:dyDescent="0.3">
      <c r="B105" s="46" t="s">
        <v>124</v>
      </c>
      <c r="C105" s="44"/>
      <c r="D105" s="156">
        <f>+D92-D103+D104</f>
        <v>229.99999999999991</v>
      </c>
      <c r="E105" s="156">
        <f t="shared" ref="E105:V105" si="328">+E92-E103+E104</f>
        <v>201.80000000000004</v>
      </c>
      <c r="F105" s="156">
        <f t="shared" si="328"/>
        <v>270.19999999999976</v>
      </c>
      <c r="G105" s="156">
        <f t="shared" si="328"/>
        <v>262.69999999999987</v>
      </c>
      <c r="H105" s="132">
        <f>SUM(D105:G105)</f>
        <v>964.69999999999959</v>
      </c>
      <c r="I105" s="156">
        <f t="shared" si="328"/>
        <v>275.89999999999998</v>
      </c>
      <c r="J105" s="156">
        <f t="shared" si="328"/>
        <v>-15.400000000000045</v>
      </c>
      <c r="K105" s="156">
        <f>+K92-K103+K104</f>
        <v>-85.999999999999744</v>
      </c>
      <c r="L105" s="156">
        <f t="shared" si="328"/>
        <v>181.69999999999976</v>
      </c>
      <c r="M105" s="132">
        <f>SUM(I105:L105)</f>
        <v>356.19999999999993</v>
      </c>
      <c r="N105" s="156">
        <f t="shared" si="328"/>
        <v>274.8</v>
      </c>
      <c r="O105" s="156">
        <f t="shared" si="328"/>
        <v>251.50000000000006</v>
      </c>
      <c r="P105" s="156">
        <f t="shared" si="328"/>
        <v>318.29999999999995</v>
      </c>
      <c r="Q105" s="156">
        <f t="shared" si="328"/>
        <v>377.39999999999992</v>
      </c>
      <c r="R105" s="97">
        <f>SUM(N105:Q105)</f>
        <v>1222</v>
      </c>
      <c r="S105" s="74">
        <f t="shared" si="328"/>
        <v>299.59999999999985</v>
      </c>
      <c r="T105" s="74">
        <f t="shared" si="328"/>
        <v>180.70000000000013</v>
      </c>
      <c r="U105" s="74">
        <f t="shared" si="328"/>
        <v>135.3000000000001</v>
      </c>
      <c r="V105" s="74">
        <f t="shared" si="328"/>
        <v>217.6</v>
      </c>
      <c r="W105" s="97">
        <f>SUM(S105:V105)</f>
        <v>833.2</v>
      </c>
      <c r="X105" s="156">
        <f t="shared" ref="X105:AA105" si="329">+X92-X103+X104</f>
        <v>240.40000000000009</v>
      </c>
      <c r="Y105" s="74">
        <f t="shared" si="329"/>
        <v>206.96097500571182</v>
      </c>
      <c r="Z105" s="74">
        <f t="shared" si="329"/>
        <v>378.95068910608268</v>
      </c>
      <c r="AA105" s="74">
        <f t="shared" si="329"/>
        <v>555.2767640300583</v>
      </c>
      <c r="AB105" s="97">
        <f>SUM(X105:AA105)</f>
        <v>1381.588428141853</v>
      </c>
      <c r="AC105" s="74">
        <f t="shared" ref="AC105:AF105" si="330">+AC92-AC103+AC104</f>
        <v>335.64116111859198</v>
      </c>
      <c r="AD105" s="74">
        <f t="shared" si="330"/>
        <v>313.64838359531063</v>
      </c>
      <c r="AE105" s="74">
        <f t="shared" si="330"/>
        <v>452.95373971763706</v>
      </c>
      <c r="AF105" s="74">
        <f t="shared" si="330"/>
        <v>644.48786401623329</v>
      </c>
      <c r="AG105" s="97">
        <f>SUM(AC105:AF105)</f>
        <v>1746.731148447773</v>
      </c>
      <c r="AH105" s="74">
        <f t="shared" ref="AH105:AK105" si="331">+AH92-AH103+AH104</f>
        <v>406.63127843518896</v>
      </c>
      <c r="AI105" s="74">
        <f t="shared" si="331"/>
        <v>382.32917320014394</v>
      </c>
      <c r="AJ105" s="74">
        <f t="shared" si="331"/>
        <v>618.62298293196318</v>
      </c>
      <c r="AK105" s="74">
        <f t="shared" si="331"/>
        <v>771.25122384640235</v>
      </c>
      <c r="AL105" s="97">
        <f>SUM(AH105:AK105)</f>
        <v>2178.8346584136984</v>
      </c>
      <c r="AM105" s="74">
        <f t="shared" ref="AM105:AP105" si="332">+AM92-AM103+AM104</f>
        <v>465.1297607159695</v>
      </c>
      <c r="AN105" s="74">
        <f t="shared" si="332"/>
        <v>429.83036634979408</v>
      </c>
      <c r="AO105" s="74">
        <f t="shared" si="332"/>
        <v>684.45424839194402</v>
      </c>
      <c r="AP105" s="74">
        <f t="shared" si="332"/>
        <v>841.71417946535485</v>
      </c>
      <c r="AQ105" s="97">
        <f>SUM(AM105:AP105)</f>
        <v>2421.1285549230624</v>
      </c>
      <c r="AR105" s="74">
        <f t="shared" ref="AR105:AU105" si="333">+AR92-AR103+AR104</f>
        <v>487.55552736274649</v>
      </c>
      <c r="AS105" s="74">
        <f t="shared" si="333"/>
        <v>450.29068111128754</v>
      </c>
      <c r="AT105" s="74">
        <f t="shared" si="333"/>
        <v>721.83282610655124</v>
      </c>
      <c r="AU105" s="74">
        <f t="shared" si="333"/>
        <v>890.98401790718799</v>
      </c>
      <c r="AV105" s="97">
        <f>SUM(AR105:AU105)</f>
        <v>2550.6630524877733</v>
      </c>
    </row>
    <row r="106" spans="1:48" outlineLevel="1" x14ac:dyDescent="0.3">
      <c r="B106" s="46" t="s">
        <v>125</v>
      </c>
      <c r="C106" s="44"/>
      <c r="D106" s="157">
        <f t="shared" ref="D106:G106" si="334">+D105/D92</f>
        <v>0.15292553191489355</v>
      </c>
      <c r="E106" s="157">
        <f t="shared" si="334"/>
        <v>0.1319471688243756</v>
      </c>
      <c r="F106" s="157">
        <f t="shared" si="334"/>
        <v>0.17044092600769556</v>
      </c>
      <c r="G106" s="157">
        <f t="shared" si="334"/>
        <v>0.16710132943196987</v>
      </c>
      <c r="H106" s="133">
        <f>H105/H92</f>
        <v>0.15582800284292814</v>
      </c>
      <c r="I106" s="157">
        <f t="shared" ref="I106:L106" si="335">+I105/I92</f>
        <v>0.17560944561135511</v>
      </c>
      <c r="J106" s="157">
        <f t="shared" si="335"/>
        <v>-1.3573065397496956E-2</v>
      </c>
      <c r="K106" s="157">
        <f t="shared" si="335"/>
        <v>-9.0564448188710761E-2</v>
      </c>
      <c r="L106" s="157">
        <f t="shared" si="335"/>
        <v>0.12022761860649757</v>
      </c>
      <c r="M106" s="133">
        <f>M105/M92</f>
        <v>6.8942825068710564E-2</v>
      </c>
      <c r="N106" s="157">
        <f t="shared" ref="N106:Q106" si="336">+N105/N92</f>
        <v>0.16611255515928189</v>
      </c>
      <c r="O106" s="157">
        <f t="shared" si="336"/>
        <v>0.1561239058911168</v>
      </c>
      <c r="P106" s="157">
        <f t="shared" si="336"/>
        <v>0.19193198263386396</v>
      </c>
      <c r="Q106" s="157">
        <f t="shared" si="336"/>
        <v>0.19711689125665932</v>
      </c>
      <c r="R106" s="98">
        <f>R105/R92</f>
        <v>0.17870199760170807</v>
      </c>
      <c r="S106" s="75">
        <f t="shared" ref="S106:V106" si="337">+S105/S92</f>
        <v>0.15971000586385195</v>
      </c>
      <c r="T106" s="75">
        <f t="shared" si="337"/>
        <v>0.1061442669172933</v>
      </c>
      <c r="U106" s="75">
        <f t="shared" si="337"/>
        <v>8.5378936076228998E-2</v>
      </c>
      <c r="V106" s="75">
        <f t="shared" si="337"/>
        <v>0.12245357343837929</v>
      </c>
      <c r="W106" s="98">
        <f>W105/W92</f>
        <v>0.12005763688760808</v>
      </c>
      <c r="X106" s="157">
        <f t="shared" ref="X106:AA106" si="338">+X105/X92</f>
        <v>0.14308672102851025</v>
      </c>
      <c r="Y106" s="75">
        <f t="shared" si="338"/>
        <v>0.11145541131179808</v>
      </c>
      <c r="Z106" s="75">
        <f t="shared" si="338"/>
        <v>0.17992500500152978</v>
      </c>
      <c r="AA106" s="75">
        <f t="shared" si="338"/>
        <v>0.23396085519340104</v>
      </c>
      <c r="AB106" s="98">
        <f>AB105/AB92</f>
        <v>0.17234248143715894</v>
      </c>
      <c r="AC106" s="75">
        <f t="shared" ref="AC106:AF106" si="339">+AC105/AC92</f>
        <v>0.15448928809502249</v>
      </c>
      <c r="AD106" s="75">
        <f t="shared" si="339"/>
        <v>0.14346520000416807</v>
      </c>
      <c r="AE106" s="75">
        <f t="shared" si="339"/>
        <v>0.18347913410335498</v>
      </c>
      <c r="AF106" s="75">
        <f t="shared" si="339"/>
        <v>0.23238079220004426</v>
      </c>
      <c r="AG106" s="98">
        <f>AG105/AG92</f>
        <v>0.18193363498064702</v>
      </c>
      <c r="AH106" s="75">
        <f t="shared" ref="AH106:AK106" si="340">+AH105/AH92</f>
        <v>0.16047818127544267</v>
      </c>
      <c r="AI106" s="75">
        <f t="shared" si="340"/>
        <v>0.15024900657813595</v>
      </c>
      <c r="AJ106" s="75">
        <f t="shared" si="340"/>
        <v>0.21581513618855111</v>
      </c>
      <c r="AK106" s="75">
        <f t="shared" si="340"/>
        <v>0.23974297654937871</v>
      </c>
      <c r="AL106" s="98">
        <f>AL105/AL92</f>
        <v>0.19520197075577717</v>
      </c>
      <c r="AM106" s="75">
        <f t="shared" ref="AM106:AP106" si="341">+AM105/AM92</f>
        <v>0.15980947327016795</v>
      </c>
      <c r="AN106" s="75">
        <f t="shared" si="341"/>
        <v>0.14923324875019356</v>
      </c>
      <c r="AO106" s="75">
        <f t="shared" si="341"/>
        <v>0.21410679858568557</v>
      </c>
      <c r="AP106" s="75">
        <f t="shared" si="341"/>
        <v>0.23779420827063669</v>
      </c>
      <c r="AQ106" s="98">
        <f>AQ105/AQ92</f>
        <v>0.19326896785313299</v>
      </c>
      <c r="AR106" s="75">
        <f t="shared" ref="AR106:AU106" si="342">+AR105/AR92</f>
        <v>0.15638142995933477</v>
      </c>
      <c r="AS106" s="75">
        <f t="shared" si="342"/>
        <v>0.14598516849278109</v>
      </c>
      <c r="AT106" s="75">
        <f t="shared" si="342"/>
        <v>0.21100437803658878</v>
      </c>
      <c r="AU106" s="75">
        <f t="shared" si="342"/>
        <v>0.23517269634657731</v>
      </c>
      <c r="AV106" s="98">
        <f>AV105/AV92</f>
        <v>0.19018046247716586</v>
      </c>
    </row>
    <row r="107" spans="1:48" ht="17.399999999999999" x14ac:dyDescent="0.45">
      <c r="B107" s="583" t="s">
        <v>51</v>
      </c>
      <c r="C107" s="584"/>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4" t="s">
        <v>408</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87" t="s">
        <v>126</v>
      </c>
      <c r="C108" s="588"/>
      <c r="D108" s="50">
        <v>504.6</v>
      </c>
      <c r="E108" s="50">
        <v>446.6</v>
      </c>
      <c r="F108" s="103">
        <v>533.29999999999995</v>
      </c>
      <c r="G108" s="50">
        <v>508.1</v>
      </c>
      <c r="H108" s="31">
        <f>SUM(D108:G108)</f>
        <v>1992.6</v>
      </c>
      <c r="I108" s="50">
        <v>494.6</v>
      </c>
      <c r="J108" s="50">
        <v>519.1</v>
      </c>
      <c r="K108" s="50">
        <v>447.3</v>
      </c>
      <c r="L108" s="50">
        <v>464</v>
      </c>
      <c r="M108" s="31">
        <f>SUM(I108:L108)</f>
        <v>1925</v>
      </c>
      <c r="N108" s="50">
        <v>371.4</v>
      </c>
      <c r="O108" s="50">
        <v>369.9</v>
      </c>
      <c r="P108" s="50">
        <v>414</v>
      </c>
      <c r="Q108" s="103">
        <v>438.3</v>
      </c>
      <c r="R108" s="126">
        <f>SUM(N108:Q108)</f>
        <v>1593.6</v>
      </c>
      <c r="S108" s="50">
        <v>417.1</v>
      </c>
      <c r="T108" s="50">
        <v>463.1</v>
      </c>
      <c r="U108" s="50">
        <v>479.7</v>
      </c>
      <c r="V108" s="103">
        <v>483.7</v>
      </c>
      <c r="W108" s="126">
        <f>SUM(S108:V108)</f>
        <v>1843.6000000000001</v>
      </c>
      <c r="X108" s="103">
        <v>478.2</v>
      </c>
      <c r="Y108" s="50">
        <f>+T108*(1+Y109)</f>
        <v>481.62400000000002</v>
      </c>
      <c r="Z108" s="50">
        <f>+U108*(1+Z109)</f>
        <v>498.88800000000003</v>
      </c>
      <c r="AA108" s="50">
        <f t="shared" ref="AA108" si="343">+V108*(1+AA109)</f>
        <v>503.048</v>
      </c>
      <c r="AB108" s="31">
        <f>SUM(X108:AA108)</f>
        <v>1961.76</v>
      </c>
      <c r="AC108" s="50">
        <f>+X108*(1+AC109)</f>
        <v>497.32800000000003</v>
      </c>
      <c r="AD108" s="50">
        <f>+Y108*(1+AD109)</f>
        <v>500.88896000000005</v>
      </c>
      <c r="AE108" s="50">
        <f>+Z108*(1+AE109)</f>
        <v>518.84352000000001</v>
      </c>
      <c r="AF108" s="50">
        <f t="shared" ref="AF108" si="344">+AA108*(1+AF109)</f>
        <v>523.16992000000005</v>
      </c>
      <c r="AG108" s="31">
        <f>SUM(AC108:AF108)</f>
        <v>2040.2304000000001</v>
      </c>
      <c r="AH108" s="50">
        <f>+AC108*(1+AH109)</f>
        <v>517.22112000000004</v>
      </c>
      <c r="AI108" s="50">
        <f>+AD108*(1+AI109)</f>
        <v>520.92451840000012</v>
      </c>
      <c r="AJ108" s="50">
        <f>+AE108*(1+AJ109)</f>
        <v>539.59726080000007</v>
      </c>
      <c r="AK108" s="50">
        <f t="shared" ref="AK108" si="345">+AF108*(1+AK109)</f>
        <v>544.09671680000008</v>
      </c>
      <c r="AL108" s="31">
        <f>SUM(AH108:AK108)</f>
        <v>2121.8396160000007</v>
      </c>
      <c r="AM108" s="50">
        <f>+AH108*(1+AM109)</f>
        <v>537.90996480000001</v>
      </c>
      <c r="AN108" s="50">
        <f>+AI108*(1+AN109)</f>
        <v>541.76149913600011</v>
      </c>
      <c r="AO108" s="50">
        <f>+AJ108*(1+AO109)</f>
        <v>561.18115123200005</v>
      </c>
      <c r="AP108" s="50">
        <f t="shared" ref="AP108" si="346">+AK108*(1+AP109)</f>
        <v>565.86058547200014</v>
      </c>
      <c r="AQ108" s="31">
        <f>SUM(AM108:AP108)</f>
        <v>2206.7132006400007</v>
      </c>
      <c r="AR108" s="50">
        <f>+AM108*(1+AR109)</f>
        <v>559.42636339199998</v>
      </c>
      <c r="AS108" s="50">
        <f>+AN108*(1+AS109)</f>
        <v>563.43195910144016</v>
      </c>
      <c r="AT108" s="50">
        <f>+AO108*(1+AT109)</f>
        <v>583.62839728128006</v>
      </c>
      <c r="AU108" s="50">
        <f t="shared" ref="AU108" si="347">+AP108*(1+AU109)</f>
        <v>588.49500889088017</v>
      </c>
      <c r="AV108" s="31">
        <f>SUM(AR108:AU108)</f>
        <v>2294.9817286656003</v>
      </c>
    </row>
    <row r="109" spans="1:48" outlineLevel="1" x14ac:dyDescent="0.3">
      <c r="B109" s="69" t="s">
        <v>58</v>
      </c>
      <c r="C109" s="70"/>
      <c r="D109" s="120"/>
      <c r="E109" s="120"/>
      <c r="F109" s="120"/>
      <c r="G109" s="120"/>
      <c r="H109" s="58"/>
      <c r="I109" s="120">
        <f>I108/D108-1</f>
        <v>-1.9817677368212494E-2</v>
      </c>
      <c r="J109" s="120">
        <f t="shared" ref="J109" si="348">J108/E108-1</f>
        <v>0.16233766233766223</v>
      </c>
      <c r="K109" s="120">
        <f>K108/F108-1</f>
        <v>-0.1612600787549221</v>
      </c>
      <c r="L109" s="120">
        <f>L108/G108-1</f>
        <v>-8.6793938201141563E-2</v>
      </c>
      <c r="M109" s="168">
        <f>M108/H108-1</f>
        <v>-3.3925524440429511E-2</v>
      </c>
      <c r="N109" s="120">
        <f>N108/I108-1</f>
        <v>-0.24909017387788124</v>
      </c>
      <c r="O109" s="120">
        <f t="shared" ref="O109" si="349">O108/J108-1</f>
        <v>-0.28742053554228475</v>
      </c>
      <c r="P109" s="120">
        <f>P108/K108-1</f>
        <v>-7.4446680080482941E-2</v>
      </c>
      <c r="Q109" s="120">
        <f>Q108/L108-1</f>
        <v>-5.5387931034482696E-2</v>
      </c>
      <c r="R109" s="168">
        <f>R108/M108-1</f>
        <v>-0.17215584415584417</v>
      </c>
      <c r="S109" s="120">
        <f>S108/N108-1</f>
        <v>0.12304792676359733</v>
      </c>
      <c r="T109" s="120">
        <f t="shared" ref="T109:U109" si="350">T108/O108-1</f>
        <v>0.25195998918626672</v>
      </c>
      <c r="U109" s="120">
        <f t="shared" si="350"/>
        <v>0.15869565217391313</v>
      </c>
      <c r="V109" s="120">
        <f>V108/Q108-1</f>
        <v>0.10358202144649775</v>
      </c>
      <c r="W109" s="168">
        <f>W108/R108-1</f>
        <v>0.15687751004016071</v>
      </c>
      <c r="X109" s="120">
        <f>X108/S108-1</f>
        <v>0.14648765284104526</v>
      </c>
      <c r="Y109" s="197">
        <v>0.04</v>
      </c>
      <c r="Z109" s="197">
        <v>0.04</v>
      </c>
      <c r="AA109" s="197">
        <v>0.04</v>
      </c>
      <c r="AB109" s="168">
        <f>AB108/W108-1</f>
        <v>6.4091993924929369E-2</v>
      </c>
      <c r="AC109" s="197">
        <v>0.04</v>
      </c>
      <c r="AD109" s="197">
        <v>0.04</v>
      </c>
      <c r="AE109" s="197">
        <v>0.04</v>
      </c>
      <c r="AF109" s="197">
        <v>0.04</v>
      </c>
      <c r="AG109" s="168">
        <f>AG108/AB108-1</f>
        <v>4.0000000000000036E-2</v>
      </c>
      <c r="AH109" s="197">
        <v>0.04</v>
      </c>
      <c r="AI109" s="197">
        <v>0.04</v>
      </c>
      <c r="AJ109" s="197">
        <v>0.04</v>
      </c>
      <c r="AK109" s="197">
        <v>0.04</v>
      </c>
      <c r="AL109" s="168">
        <f>AL108/AG108-1</f>
        <v>4.0000000000000258E-2</v>
      </c>
      <c r="AM109" s="197">
        <v>0.04</v>
      </c>
      <c r="AN109" s="197">
        <v>0.04</v>
      </c>
      <c r="AO109" s="197">
        <v>0.04</v>
      </c>
      <c r="AP109" s="197">
        <v>0.04</v>
      </c>
      <c r="AQ109" s="168">
        <f>AQ108/AL108-1</f>
        <v>4.0000000000000036E-2</v>
      </c>
      <c r="AR109" s="197">
        <v>0.04</v>
      </c>
      <c r="AS109" s="197">
        <v>0.04</v>
      </c>
      <c r="AT109" s="197">
        <v>0.04</v>
      </c>
      <c r="AU109" s="197">
        <v>0.04</v>
      </c>
      <c r="AV109" s="168">
        <f>AV108/AQ108-1</f>
        <v>3.9999999999999813E-2</v>
      </c>
    </row>
    <row r="110" spans="1:48" outlineLevel="1" x14ac:dyDescent="0.3">
      <c r="B110" s="607" t="s">
        <v>100</v>
      </c>
      <c r="C110" s="608"/>
      <c r="D110" s="48">
        <v>348.4</v>
      </c>
      <c r="E110" s="48">
        <v>305.39999999999998</v>
      </c>
      <c r="F110" s="48">
        <v>377.1</v>
      </c>
      <c r="G110" s="48">
        <v>359.1</v>
      </c>
      <c r="H110" s="76">
        <f>SUM(D110:G110)</f>
        <v>1390</v>
      </c>
      <c r="I110" s="48">
        <v>338.8</v>
      </c>
      <c r="J110" s="48">
        <v>351.6</v>
      </c>
      <c r="K110" s="48">
        <v>319.89999999999998</v>
      </c>
      <c r="L110" s="48">
        <v>327.8</v>
      </c>
      <c r="M110" s="76">
        <f>SUM(I110:L110)</f>
        <v>1338.1000000000001</v>
      </c>
      <c r="N110" s="48">
        <v>233.5</v>
      </c>
      <c r="O110" s="48">
        <v>231.9</v>
      </c>
      <c r="P110" s="48">
        <v>268.3</v>
      </c>
      <c r="Q110" s="105">
        <v>277.5</v>
      </c>
      <c r="R110" s="76">
        <f>SUM(N110:Q110)</f>
        <v>1011.2</v>
      </c>
      <c r="S110" s="48">
        <v>258.8</v>
      </c>
      <c r="T110" s="48">
        <v>300.5</v>
      </c>
      <c r="U110" s="48">
        <v>325.8</v>
      </c>
      <c r="V110" s="105">
        <v>309</v>
      </c>
      <c r="W110" s="129">
        <f>SUM(S110:V110)</f>
        <v>1194.0999999999999</v>
      </c>
      <c r="X110" s="105">
        <v>294.2</v>
      </c>
      <c r="Y110" s="48">
        <f t="shared" ref="Y110:AA110" si="351">Y111*Y108</f>
        <v>312.52</v>
      </c>
      <c r="Z110" s="48">
        <f t="shared" si="351"/>
        <v>336.33756000000005</v>
      </c>
      <c r="AA110" s="48">
        <f t="shared" si="351"/>
        <v>306.26855999999998</v>
      </c>
      <c r="AB110" s="76">
        <f>SUM(X110:AA110)</f>
        <v>1249.3261200000002</v>
      </c>
      <c r="AC110" s="48">
        <f t="shared" ref="AC110:AF110" si="352">AC111*AC108</f>
        <v>305.96799999999996</v>
      </c>
      <c r="AD110" s="48">
        <f t="shared" si="352"/>
        <v>325.02080000000001</v>
      </c>
      <c r="AE110" s="48">
        <f t="shared" si="352"/>
        <v>339.41419200000001</v>
      </c>
      <c r="AF110" s="48">
        <f t="shared" si="352"/>
        <v>318.51930240000002</v>
      </c>
      <c r="AG110" s="76">
        <f>SUM(AC110:AF110)</f>
        <v>1288.9222944000001</v>
      </c>
      <c r="AH110" s="48">
        <f t="shared" ref="AH110:AK110" si="353">AH111*AH108</f>
        <v>318.20672000000002</v>
      </c>
      <c r="AI110" s="48">
        <f t="shared" si="353"/>
        <v>338.02163200000007</v>
      </c>
      <c r="AJ110" s="48">
        <f t="shared" si="353"/>
        <v>347.59478707200009</v>
      </c>
      <c r="AK110" s="48">
        <f t="shared" si="353"/>
        <v>331.26007449600007</v>
      </c>
      <c r="AL110" s="76">
        <f>SUM(AH110:AK110)</f>
        <v>1335.0832135680002</v>
      </c>
      <c r="AM110" s="48">
        <f t="shared" ref="AM110:AP110" si="354">AM111*AM108</f>
        <v>330.93498879999999</v>
      </c>
      <c r="AN110" s="48">
        <f t="shared" si="354"/>
        <v>351.54249728000008</v>
      </c>
      <c r="AO110" s="48">
        <f t="shared" si="354"/>
        <v>361.49857855488005</v>
      </c>
      <c r="AP110" s="48">
        <f t="shared" si="354"/>
        <v>344.5104774758401</v>
      </c>
      <c r="AQ110" s="76">
        <f>SUM(AM110:AP110)</f>
        <v>1388.4865421107202</v>
      </c>
      <c r="AR110" s="48">
        <f t="shared" ref="AR110:AU110" si="355">AR111*AR108</f>
        <v>344.17238835199993</v>
      </c>
      <c r="AS110" s="48">
        <f t="shared" si="355"/>
        <v>365.6041971712001</v>
      </c>
      <c r="AT110" s="48">
        <f t="shared" si="355"/>
        <v>375.95852169707524</v>
      </c>
      <c r="AU110" s="48">
        <f t="shared" si="355"/>
        <v>358.29089657487373</v>
      </c>
      <c r="AV110" s="76">
        <f>SUM(AR110:AU110)</f>
        <v>1444.0260037951489</v>
      </c>
    </row>
    <row r="111" spans="1:48" s="183" customFormat="1" outlineLevel="1" x14ac:dyDescent="0.3">
      <c r="A111" s="238"/>
      <c r="B111" s="181" t="s">
        <v>151</v>
      </c>
      <c r="C111" s="182"/>
      <c r="D111" s="167">
        <f>D110/D108</f>
        <v>0.69044787950852149</v>
      </c>
      <c r="E111" s="167">
        <f t="shared" ref="E111:X111" si="356">E110/E108</f>
        <v>0.68383340797133896</v>
      </c>
      <c r="F111" s="167">
        <f t="shared" si="356"/>
        <v>0.70710669416838567</v>
      </c>
      <c r="G111" s="167">
        <f t="shared" si="356"/>
        <v>0.70675063963786655</v>
      </c>
      <c r="H111" s="188">
        <f t="shared" si="356"/>
        <v>0.69758104988457292</v>
      </c>
      <c r="I111" s="167">
        <f t="shared" si="356"/>
        <v>0.68499797816417307</v>
      </c>
      <c r="J111" s="167">
        <f t="shared" si="356"/>
        <v>0.6773261413985745</v>
      </c>
      <c r="K111" s="167">
        <f t="shared" si="356"/>
        <v>0.71517996870109535</v>
      </c>
      <c r="L111" s="187">
        <f t="shared" si="356"/>
        <v>0.70646551724137929</v>
      </c>
      <c r="M111" s="188">
        <f t="shared" si="356"/>
        <v>0.69511688311688313</v>
      </c>
      <c r="N111" s="187">
        <f t="shared" si="356"/>
        <v>0.62870220786214326</v>
      </c>
      <c r="O111" s="167">
        <f t="shared" si="356"/>
        <v>0.62692619626926205</v>
      </c>
      <c r="P111" s="167">
        <f t="shared" si="356"/>
        <v>0.6480676328502416</v>
      </c>
      <c r="Q111" s="167">
        <f t="shared" si="356"/>
        <v>0.63312799452429835</v>
      </c>
      <c r="R111" s="188">
        <f t="shared" si="356"/>
        <v>0.63453815261044189</v>
      </c>
      <c r="S111" s="187">
        <f t="shared" si="356"/>
        <v>0.62047470630544233</v>
      </c>
      <c r="T111" s="167">
        <f t="shared" si="356"/>
        <v>0.64888792917296478</v>
      </c>
      <c r="U111" s="167">
        <f t="shared" si="356"/>
        <v>0.67917448405253289</v>
      </c>
      <c r="V111" s="167">
        <f t="shared" si="356"/>
        <v>0.63882571842050861</v>
      </c>
      <c r="W111" s="186">
        <f t="shared" si="356"/>
        <v>0.64770015187676278</v>
      </c>
      <c r="X111" s="167">
        <f t="shared" si="356"/>
        <v>0.61522375575073185</v>
      </c>
      <c r="Y111" s="189">
        <f t="shared" ref="Y111" si="357">T111</f>
        <v>0.64888792917296478</v>
      </c>
      <c r="Z111" s="189">
        <f>U111-0.5%</f>
        <v>0.67417448405253289</v>
      </c>
      <c r="AA111" s="189">
        <f>V111-3%</f>
        <v>0.60882571842050859</v>
      </c>
      <c r="AB111" s="188">
        <f t="shared" ref="AB111" si="358">AB110/AB108</f>
        <v>0.63683942989968201</v>
      </c>
      <c r="AC111" s="189">
        <f t="shared" ref="AC111:AD111" si="359">X111</f>
        <v>0.61522375575073185</v>
      </c>
      <c r="AD111" s="189">
        <f t="shared" si="359"/>
        <v>0.64888792917296478</v>
      </c>
      <c r="AE111" s="189">
        <f>Z111-2%</f>
        <v>0.65417448405253287</v>
      </c>
      <c r="AF111" s="189">
        <f t="shared" ref="AF111" si="360">AA111</f>
        <v>0.60882571842050859</v>
      </c>
      <c r="AG111" s="188">
        <f t="shared" ref="AG111" si="361">AG110/AG108</f>
        <v>0.63175330315634937</v>
      </c>
      <c r="AH111" s="189">
        <f t="shared" ref="AH111:AI111" si="362">AC111</f>
        <v>0.61522375575073185</v>
      </c>
      <c r="AI111" s="189">
        <f t="shared" si="362"/>
        <v>0.64888792917296478</v>
      </c>
      <c r="AJ111" s="189">
        <f>AE111-1%</f>
        <v>0.64417448405253286</v>
      </c>
      <c r="AK111" s="189">
        <f t="shared" ref="AK111" si="363">AF111</f>
        <v>0.60882571842050859</v>
      </c>
      <c r="AL111" s="188">
        <f t="shared" ref="AL111" si="364">AL110/AL108</f>
        <v>0.62921023978468305</v>
      </c>
      <c r="AM111" s="189">
        <f t="shared" ref="AM111:AP111" si="365">AH111</f>
        <v>0.61522375575073185</v>
      </c>
      <c r="AN111" s="189">
        <f t="shared" si="365"/>
        <v>0.64888792917296478</v>
      </c>
      <c r="AO111" s="189">
        <f t="shared" si="365"/>
        <v>0.64417448405253286</v>
      </c>
      <c r="AP111" s="189">
        <f t="shared" si="365"/>
        <v>0.60882571842050859</v>
      </c>
      <c r="AQ111" s="188">
        <f t="shared" ref="AQ111" si="366">AQ110/AQ108</f>
        <v>0.62921023978468305</v>
      </c>
      <c r="AR111" s="189">
        <f t="shared" ref="AR111:AU111" si="367">AM111</f>
        <v>0.61522375575073185</v>
      </c>
      <c r="AS111" s="189">
        <f t="shared" si="367"/>
        <v>0.64888792917296478</v>
      </c>
      <c r="AT111" s="189">
        <f t="shared" si="367"/>
        <v>0.64417448405253286</v>
      </c>
      <c r="AU111" s="189">
        <f t="shared" si="367"/>
        <v>0.60882571842050859</v>
      </c>
      <c r="AV111" s="188">
        <f t="shared" ref="AV111" si="368">AV110/AV108</f>
        <v>0.62921023978468316</v>
      </c>
    </row>
    <row r="112" spans="1:48" outlineLevel="1" x14ac:dyDescent="0.3">
      <c r="B112" s="180" t="s">
        <v>33</v>
      </c>
      <c r="C112" s="18"/>
      <c r="D112" s="48">
        <v>18.600000000000001</v>
      </c>
      <c r="E112" s="48">
        <v>17.100000000000001</v>
      </c>
      <c r="F112" s="48">
        <v>20.2</v>
      </c>
      <c r="G112" s="48">
        <v>20.3</v>
      </c>
      <c r="H112" s="49">
        <f>SUM(D112:G112)</f>
        <v>76.2</v>
      </c>
      <c r="I112" s="48">
        <v>20.6</v>
      </c>
      <c r="J112" s="48">
        <v>17.7</v>
      </c>
      <c r="K112" s="48">
        <v>51.4</v>
      </c>
      <c r="L112" s="48">
        <v>18.5</v>
      </c>
      <c r="M112" s="49">
        <f>SUM(I112:L112)</f>
        <v>108.19999999999999</v>
      </c>
      <c r="N112" s="48">
        <v>11.1</v>
      </c>
      <c r="O112" s="48">
        <v>13.1</v>
      </c>
      <c r="P112" s="48">
        <v>-9.9</v>
      </c>
      <c r="Q112" s="105">
        <v>17</v>
      </c>
      <c r="R112" s="49">
        <f>SUM(N112:Q112)</f>
        <v>31.299999999999997</v>
      </c>
      <c r="S112" s="48">
        <v>11.4</v>
      </c>
      <c r="T112" s="48">
        <v>10.7</v>
      </c>
      <c r="U112" s="48">
        <v>13.6</v>
      </c>
      <c r="V112" s="105">
        <v>16</v>
      </c>
      <c r="W112" s="170">
        <f>SUM(S112:V112)</f>
        <v>51.7</v>
      </c>
      <c r="X112" s="105">
        <v>13</v>
      </c>
      <c r="Y112" s="48">
        <f t="shared" ref="Y112:AA112" si="369">Y113*Y108</f>
        <v>11.128</v>
      </c>
      <c r="Z112" s="48">
        <f t="shared" si="369"/>
        <v>11.649560000000001</v>
      </c>
      <c r="AA112" s="48">
        <f t="shared" si="369"/>
        <v>1.5485600000000008</v>
      </c>
      <c r="AB112" s="49">
        <f>SUM(X112:AA112)</f>
        <v>37.326120000000003</v>
      </c>
      <c r="AC112" s="48">
        <f t="shared" ref="AC112:AF112" si="370">AC113*AC108</f>
        <v>3.5734400000000006</v>
      </c>
      <c r="AD112" s="48">
        <f t="shared" si="370"/>
        <v>11.573120000000001</v>
      </c>
      <c r="AE112" s="48">
        <f t="shared" si="370"/>
        <v>12.115542399999999</v>
      </c>
      <c r="AF112" s="48">
        <f t="shared" si="370"/>
        <v>-8.8528959999999994</v>
      </c>
      <c r="AG112" s="49">
        <f>SUM(AC112:AF112)</f>
        <v>18.409206400000002</v>
      </c>
      <c r="AH112" s="48">
        <f t="shared" ref="AH112:AK112" si="371">AH113*AH108</f>
        <v>2.1647142400000008</v>
      </c>
      <c r="AI112" s="48">
        <f t="shared" si="371"/>
        <v>12.036044800000003</v>
      </c>
      <c r="AJ112" s="48">
        <f t="shared" si="371"/>
        <v>12.600164096</v>
      </c>
      <c r="AK112" s="48">
        <f t="shared" si="371"/>
        <v>-11.383398707200001</v>
      </c>
      <c r="AL112" s="49">
        <f>SUM(AH112:AK112)</f>
        <v>15.4175244288</v>
      </c>
      <c r="AM112" s="48">
        <f t="shared" ref="AM112:AP112" si="372">AM113*AM108</f>
        <v>2.2513028096000007</v>
      </c>
      <c r="AN112" s="48">
        <f t="shared" si="372"/>
        <v>12.517486592000003</v>
      </c>
      <c r="AO112" s="48">
        <f t="shared" si="372"/>
        <v>13.104170659840001</v>
      </c>
      <c r="AP112" s="48">
        <f t="shared" si="372"/>
        <v>-11.838734655488002</v>
      </c>
      <c r="AQ112" s="49">
        <f>SUM(AM112:AP112)</f>
        <v>16.034225405952</v>
      </c>
      <c r="AR112" s="48">
        <f t="shared" ref="AR112:AU112" si="373">AR113*AR108</f>
        <v>2.3413549219840006</v>
      </c>
      <c r="AS112" s="48">
        <f t="shared" si="373"/>
        <v>13.018186055680003</v>
      </c>
      <c r="AT112" s="48">
        <f t="shared" si="373"/>
        <v>13.628337486233601</v>
      </c>
      <c r="AU112" s="48">
        <f t="shared" si="373"/>
        <v>-12.312284041707523</v>
      </c>
      <c r="AV112" s="49">
        <f>SUM(AR112:AU112)</f>
        <v>16.67559442219008</v>
      </c>
    </row>
    <row r="113" spans="2:48" s="184" customFormat="1" outlineLevel="1" x14ac:dyDescent="0.3">
      <c r="B113" s="181" t="s">
        <v>154</v>
      </c>
      <c r="C113" s="190"/>
      <c r="D113" s="187">
        <f>D112/D108</f>
        <v>3.6860879904875153E-2</v>
      </c>
      <c r="E113" s="187">
        <f t="shared" ref="E113:W113" si="374">E112/E108</f>
        <v>3.8289296909986566E-2</v>
      </c>
      <c r="F113" s="187">
        <f t="shared" si="374"/>
        <v>3.7877367335458469E-2</v>
      </c>
      <c r="G113" s="187">
        <f t="shared" si="374"/>
        <v>3.9952765203700058E-2</v>
      </c>
      <c r="H113" s="188">
        <f t="shared" si="374"/>
        <v>3.8241493526046375E-2</v>
      </c>
      <c r="I113" s="187">
        <f t="shared" si="374"/>
        <v>4.1649818034775576E-2</v>
      </c>
      <c r="J113" s="187">
        <f t="shared" si="374"/>
        <v>3.4097476401464072E-2</v>
      </c>
      <c r="K113" s="187">
        <f t="shared" si="374"/>
        <v>0.11491169237648111</v>
      </c>
      <c r="L113" s="187">
        <f t="shared" si="374"/>
        <v>3.9870689655172417E-2</v>
      </c>
      <c r="M113" s="188">
        <f t="shared" si="374"/>
        <v>5.62077922077922E-2</v>
      </c>
      <c r="N113" s="187">
        <f t="shared" si="374"/>
        <v>2.9886914378029081E-2</v>
      </c>
      <c r="O113" s="187">
        <f t="shared" si="374"/>
        <v>3.5414977020816439E-2</v>
      </c>
      <c r="P113" s="187">
        <f t="shared" si="374"/>
        <v>-2.391304347826087E-2</v>
      </c>
      <c r="Q113" s="167">
        <f t="shared" si="374"/>
        <v>3.8786219484371436E-2</v>
      </c>
      <c r="R113" s="188">
        <f t="shared" si="374"/>
        <v>1.964106425702811E-2</v>
      </c>
      <c r="S113" s="187">
        <f t="shared" si="374"/>
        <v>2.7331575161831694E-2</v>
      </c>
      <c r="T113" s="187">
        <f t="shared" si="374"/>
        <v>2.3105160872381774E-2</v>
      </c>
      <c r="U113" s="187">
        <f t="shared" si="374"/>
        <v>2.8351052741296644E-2</v>
      </c>
      <c r="V113" s="167">
        <f t="shared" si="374"/>
        <v>3.3078354351870995E-2</v>
      </c>
      <c r="W113" s="186">
        <f t="shared" si="374"/>
        <v>2.8042959427207637E-2</v>
      </c>
      <c r="X113" s="167">
        <f t="shared" ref="X113" si="375">X112/X108</f>
        <v>2.7185278126306986E-2</v>
      </c>
      <c r="Y113" s="189">
        <f t="shared" ref="Y113" si="376">T113</f>
        <v>2.3105160872381774E-2</v>
      </c>
      <c r="Z113" s="189">
        <f>U113-0.5%</f>
        <v>2.3351052741296643E-2</v>
      </c>
      <c r="AA113" s="189">
        <f>V113-3%</f>
        <v>3.078354351870996E-3</v>
      </c>
      <c r="AB113" s="188">
        <f t="shared" ref="AB113" si="377">AB112/AB108</f>
        <v>1.9026853437729387E-2</v>
      </c>
      <c r="AC113" s="189">
        <f>X113-2%</f>
        <v>7.1852781263069855E-3</v>
      </c>
      <c r="AD113" s="189">
        <f t="shared" ref="AD113:AE113" si="378">Y113</f>
        <v>2.3105160872381774E-2</v>
      </c>
      <c r="AE113" s="189">
        <f t="shared" si="378"/>
        <v>2.3351052741296643E-2</v>
      </c>
      <c r="AF113" s="189">
        <f>AA113-2%</f>
        <v>-1.6921645648129004E-2</v>
      </c>
      <c r="AG113" s="188">
        <f t="shared" ref="AG113" si="379">AG112/AG108</f>
        <v>9.023101704591795E-3</v>
      </c>
      <c r="AH113" s="189">
        <f>AC113-0.3%</f>
        <v>4.1852781263069854E-3</v>
      </c>
      <c r="AI113" s="189">
        <f t="shared" ref="AI113:AJ113" si="380">AD113</f>
        <v>2.3105160872381774E-2</v>
      </c>
      <c r="AJ113" s="189">
        <f t="shared" si="380"/>
        <v>2.3351052741296643E-2</v>
      </c>
      <c r="AK113" s="189">
        <f>AF113-0.4%</f>
        <v>-2.0921645648129004E-2</v>
      </c>
      <c r="AL113" s="188">
        <f t="shared" ref="AL113" si="381">AL112/AL108</f>
        <v>7.2661120626376294E-3</v>
      </c>
      <c r="AM113" s="189">
        <f t="shared" ref="AM113:AP113" si="382">AH113</f>
        <v>4.1852781263069854E-3</v>
      </c>
      <c r="AN113" s="189">
        <f t="shared" si="382"/>
        <v>2.3105160872381774E-2</v>
      </c>
      <c r="AO113" s="189">
        <f t="shared" si="382"/>
        <v>2.3351052741296643E-2</v>
      </c>
      <c r="AP113" s="189">
        <f t="shared" si="382"/>
        <v>-2.0921645648129004E-2</v>
      </c>
      <c r="AQ113" s="188">
        <f t="shared" ref="AQ113" si="383">AQ112/AQ108</f>
        <v>7.2661120626376294E-3</v>
      </c>
      <c r="AR113" s="189">
        <f t="shared" ref="AR113:AU113" si="384">AM113</f>
        <v>4.1852781263069854E-3</v>
      </c>
      <c r="AS113" s="189">
        <f t="shared" si="384"/>
        <v>2.3105160872381774E-2</v>
      </c>
      <c r="AT113" s="189">
        <f t="shared" si="384"/>
        <v>2.3351052741296643E-2</v>
      </c>
      <c r="AU113" s="189">
        <f t="shared" si="384"/>
        <v>-2.0921645648129004E-2</v>
      </c>
      <c r="AV113" s="188">
        <f t="shared" ref="AV113" si="385">AV112/AV108</f>
        <v>7.2661120626376311E-3</v>
      </c>
    </row>
    <row r="114" spans="2:48" outlineLevel="1" x14ac:dyDescent="0.3">
      <c r="B114" s="180" t="s">
        <v>34</v>
      </c>
      <c r="C114" s="18"/>
      <c r="D114" s="358">
        <v>0</v>
      </c>
      <c r="E114" s="358">
        <v>12.3</v>
      </c>
      <c r="F114" s="358">
        <v>0.2</v>
      </c>
      <c r="G114" s="358">
        <v>0.3</v>
      </c>
      <c r="H114" s="126">
        <f>SUM(D114:G114)</f>
        <v>12.8</v>
      </c>
      <c r="I114" s="358">
        <v>0.3</v>
      </c>
      <c r="J114" s="358">
        <v>0.3</v>
      </c>
      <c r="K114" s="358">
        <v>0.3</v>
      </c>
      <c r="L114" s="358">
        <v>0.3</v>
      </c>
      <c r="M114" s="126">
        <f>SUM(I114:L114)</f>
        <v>1.2</v>
      </c>
      <c r="N114" s="358">
        <v>0.2</v>
      </c>
      <c r="O114" s="358">
        <v>0.3</v>
      </c>
      <c r="P114" s="358">
        <v>0.2</v>
      </c>
      <c r="Q114" s="358">
        <v>0.3</v>
      </c>
      <c r="R114" s="126">
        <f>SUM(N114:Q114)</f>
        <v>1</v>
      </c>
      <c r="S114" s="358">
        <v>0</v>
      </c>
      <c r="T114" s="358">
        <v>0</v>
      </c>
      <c r="U114" s="358">
        <v>0</v>
      </c>
      <c r="V114" s="358">
        <v>0</v>
      </c>
      <c r="W114" s="126">
        <f>SUM(S114:V114)</f>
        <v>0</v>
      </c>
      <c r="X114" s="358">
        <v>0</v>
      </c>
      <c r="Y114" s="360">
        <v>0</v>
      </c>
      <c r="Z114" s="360">
        <v>0</v>
      </c>
      <c r="AA114" s="360">
        <v>0</v>
      </c>
      <c r="AB114" s="126">
        <f>SUM(X114:AA114)</f>
        <v>0</v>
      </c>
      <c r="AC114" s="360">
        <v>0</v>
      </c>
      <c r="AD114" s="360">
        <v>0</v>
      </c>
      <c r="AE114" s="360">
        <v>0</v>
      </c>
      <c r="AF114" s="360">
        <v>0</v>
      </c>
      <c r="AG114" s="126">
        <f>SUM(AC114:AF114)</f>
        <v>0</v>
      </c>
      <c r="AH114" s="360">
        <v>0</v>
      </c>
      <c r="AI114" s="360">
        <v>0</v>
      </c>
      <c r="AJ114" s="360">
        <v>0</v>
      </c>
      <c r="AK114" s="360">
        <v>0</v>
      </c>
      <c r="AL114" s="126">
        <f>SUM(AH114:AK114)</f>
        <v>0</v>
      </c>
      <c r="AM114" s="360">
        <v>0</v>
      </c>
      <c r="AN114" s="360">
        <v>0</v>
      </c>
      <c r="AO114" s="360">
        <v>0</v>
      </c>
      <c r="AP114" s="360">
        <v>0</v>
      </c>
      <c r="AQ114" s="126">
        <f>SUM(AM114:AP114)</f>
        <v>0</v>
      </c>
      <c r="AR114" s="360">
        <v>0</v>
      </c>
      <c r="AS114" s="360">
        <v>0</v>
      </c>
      <c r="AT114" s="360">
        <v>0</v>
      </c>
      <c r="AU114" s="360">
        <v>0</v>
      </c>
      <c r="AV114" s="126">
        <f>SUM(AR114:AU114)</f>
        <v>0</v>
      </c>
    </row>
    <row r="115" spans="2:48" outlineLevel="1" x14ac:dyDescent="0.3">
      <c r="B115" s="180" t="s">
        <v>35</v>
      </c>
      <c r="C115" s="18"/>
      <c r="D115" s="48">
        <v>3.2</v>
      </c>
      <c r="E115" s="48">
        <v>3.1</v>
      </c>
      <c r="F115" s="48">
        <v>2.7</v>
      </c>
      <c r="G115" s="48">
        <v>2.6</v>
      </c>
      <c r="H115" s="49">
        <f>SUM(D115:G115)</f>
        <v>11.6</v>
      </c>
      <c r="I115" s="48">
        <v>2.4</v>
      </c>
      <c r="J115" s="48">
        <v>3</v>
      </c>
      <c r="K115" s="48">
        <v>2.5</v>
      </c>
      <c r="L115" s="48">
        <v>2.5</v>
      </c>
      <c r="M115" s="49">
        <f>SUM(I115:L115)</f>
        <v>10.4</v>
      </c>
      <c r="N115" s="48">
        <v>2.2000000000000002</v>
      </c>
      <c r="O115" s="48">
        <v>2.2999999999999998</v>
      </c>
      <c r="P115" s="48">
        <v>2.9</v>
      </c>
      <c r="Q115" s="105">
        <v>3.4</v>
      </c>
      <c r="R115" s="49">
        <f>SUM(N115:Q115)</f>
        <v>10.8</v>
      </c>
      <c r="S115" s="48">
        <v>3.3</v>
      </c>
      <c r="T115" s="48">
        <v>2.5</v>
      </c>
      <c r="U115" s="48">
        <v>2.2999999999999998</v>
      </c>
      <c r="V115" s="105">
        <v>4.0999999999999996</v>
      </c>
      <c r="W115" s="170">
        <f>SUM(S115:V115)</f>
        <v>12.2</v>
      </c>
      <c r="X115" s="105">
        <v>2</v>
      </c>
      <c r="Y115" s="48">
        <f t="shared" ref="Y115:AA115" si="386">Y116*Y108</f>
        <v>2.6</v>
      </c>
      <c r="Z115" s="48">
        <f t="shared" si="386"/>
        <v>2.3920000000000003</v>
      </c>
      <c r="AA115" s="48">
        <f t="shared" si="386"/>
        <v>4.2639999999999993</v>
      </c>
      <c r="AB115" s="49">
        <f>SUM(X115:AA115)</f>
        <v>11.256</v>
      </c>
      <c r="AC115" s="48">
        <f t="shared" ref="AC115:AF115" si="387">AC116*AC108</f>
        <v>2.0800000000000005</v>
      </c>
      <c r="AD115" s="48">
        <f t="shared" si="387"/>
        <v>2.7040000000000002</v>
      </c>
      <c r="AE115" s="48">
        <f t="shared" si="387"/>
        <v>2.4876800000000001</v>
      </c>
      <c r="AF115" s="48">
        <f t="shared" si="387"/>
        <v>4.4345600000000003</v>
      </c>
      <c r="AG115" s="49">
        <f>SUM(AC115:AF115)</f>
        <v>11.706240000000001</v>
      </c>
      <c r="AH115" s="48">
        <f t="shared" ref="AH115:AK115" si="388">AH116*AH108</f>
        <v>2.1632000000000002</v>
      </c>
      <c r="AI115" s="48">
        <f t="shared" si="388"/>
        <v>2.8121600000000004</v>
      </c>
      <c r="AJ115" s="48">
        <f t="shared" si="388"/>
        <v>2.5871872000000002</v>
      </c>
      <c r="AK115" s="48">
        <f t="shared" si="388"/>
        <v>4.6119424000000002</v>
      </c>
      <c r="AL115" s="49">
        <f>SUM(AH115:AK115)</f>
        <v>12.174489600000001</v>
      </c>
      <c r="AM115" s="48">
        <f t="shared" ref="AM115:AP115" si="389">AM116*AM108</f>
        <v>2.2497280000000002</v>
      </c>
      <c r="AN115" s="48">
        <f t="shared" si="389"/>
        <v>2.9246464000000003</v>
      </c>
      <c r="AO115" s="48">
        <f t="shared" si="389"/>
        <v>2.6906746880000001</v>
      </c>
      <c r="AP115" s="48">
        <f t="shared" si="389"/>
        <v>4.7964200960000012</v>
      </c>
      <c r="AQ115" s="49">
        <f>SUM(AM115:AP115)</f>
        <v>12.661469184000001</v>
      </c>
      <c r="AR115" s="48">
        <f t="shared" ref="AR115:AU115" si="390">AR116*AR108</f>
        <v>2.33971712</v>
      </c>
      <c r="AS115" s="48">
        <f t="shared" si="390"/>
        <v>3.0416322560000006</v>
      </c>
      <c r="AT115" s="48">
        <f t="shared" si="390"/>
        <v>2.7983016755200003</v>
      </c>
      <c r="AU115" s="48">
        <f t="shared" si="390"/>
        <v>4.9882768998400016</v>
      </c>
      <c r="AV115" s="49">
        <f>SUM(AR115:AU115)</f>
        <v>13.167927951360003</v>
      </c>
    </row>
    <row r="116" spans="2:48" s="184" customFormat="1" outlineLevel="1" x14ac:dyDescent="0.3">
      <c r="B116" s="181" t="s">
        <v>153</v>
      </c>
      <c r="C116" s="190"/>
      <c r="D116" s="187">
        <f>D115/D108</f>
        <v>6.3416567578279829E-3</v>
      </c>
      <c r="E116" s="187">
        <f t="shared" ref="E116:X116" si="391">E115/E108</f>
        <v>6.9413345275414241E-3</v>
      </c>
      <c r="F116" s="187">
        <f t="shared" si="391"/>
        <v>5.0628164260266275E-3</v>
      </c>
      <c r="G116" s="187">
        <f t="shared" si="391"/>
        <v>5.1171029324936033E-3</v>
      </c>
      <c r="H116" s="188">
        <f t="shared" si="391"/>
        <v>5.8215396968784505E-3</v>
      </c>
      <c r="I116" s="187">
        <f t="shared" si="391"/>
        <v>4.8524059846340476E-3</v>
      </c>
      <c r="J116" s="187">
        <f t="shared" si="391"/>
        <v>5.7792332883837404E-3</v>
      </c>
      <c r="K116" s="187">
        <f t="shared" si="391"/>
        <v>5.5890900961323492E-3</v>
      </c>
      <c r="L116" s="187">
        <f t="shared" si="391"/>
        <v>5.387931034482759E-3</v>
      </c>
      <c r="M116" s="188">
        <f t="shared" si="391"/>
        <v>5.4025974025974028E-3</v>
      </c>
      <c r="N116" s="187">
        <f t="shared" si="391"/>
        <v>5.9235325794291874E-3</v>
      </c>
      <c r="O116" s="187">
        <f t="shared" si="391"/>
        <v>6.2178967288456337E-3</v>
      </c>
      <c r="P116" s="187">
        <f t="shared" si="391"/>
        <v>7.0048309178743955E-3</v>
      </c>
      <c r="Q116" s="167">
        <f t="shared" si="391"/>
        <v>7.7572438968742862E-3</v>
      </c>
      <c r="R116" s="188">
        <f t="shared" si="391"/>
        <v>6.7771084337349408E-3</v>
      </c>
      <c r="S116" s="187">
        <f t="shared" si="391"/>
        <v>7.9117717573723313E-3</v>
      </c>
      <c r="T116" s="187">
        <f t="shared" si="391"/>
        <v>5.3984020729863956E-3</v>
      </c>
      <c r="U116" s="187">
        <f t="shared" si="391"/>
        <v>4.7946633312486971E-3</v>
      </c>
      <c r="V116" s="167">
        <f t="shared" si="391"/>
        <v>8.4763283026669418E-3</v>
      </c>
      <c r="W116" s="186">
        <f t="shared" si="391"/>
        <v>6.6174875244087647E-3</v>
      </c>
      <c r="X116" s="167">
        <f t="shared" si="391"/>
        <v>4.1823504809703057E-3</v>
      </c>
      <c r="Y116" s="189">
        <f t="shared" ref="Y116:AA116" si="392">T116</f>
        <v>5.3984020729863956E-3</v>
      </c>
      <c r="Z116" s="189">
        <f t="shared" si="392"/>
        <v>4.7946633312486971E-3</v>
      </c>
      <c r="AA116" s="189">
        <f t="shared" si="392"/>
        <v>8.4763283026669418E-3</v>
      </c>
      <c r="AB116" s="188">
        <f t="shared" ref="AB116" si="393">AB115/AB108</f>
        <v>5.7377049180327867E-3</v>
      </c>
      <c r="AC116" s="189">
        <f t="shared" ref="AC116:AF116" si="394">X116</f>
        <v>4.1823504809703057E-3</v>
      </c>
      <c r="AD116" s="189">
        <f t="shared" si="394"/>
        <v>5.3984020729863956E-3</v>
      </c>
      <c r="AE116" s="189">
        <f t="shared" si="394"/>
        <v>4.7946633312486971E-3</v>
      </c>
      <c r="AF116" s="189">
        <f t="shared" si="394"/>
        <v>8.4763283026669418E-3</v>
      </c>
      <c r="AG116" s="188">
        <f t="shared" ref="AG116" si="395">AG115/AG108</f>
        <v>5.7377049180327867E-3</v>
      </c>
      <c r="AH116" s="189">
        <f t="shared" ref="AH116:AK116" si="396">AC116</f>
        <v>4.1823504809703057E-3</v>
      </c>
      <c r="AI116" s="189">
        <f t="shared" si="396"/>
        <v>5.3984020729863956E-3</v>
      </c>
      <c r="AJ116" s="189">
        <f t="shared" si="396"/>
        <v>4.7946633312486971E-3</v>
      </c>
      <c r="AK116" s="189">
        <f t="shared" si="396"/>
        <v>8.4763283026669418E-3</v>
      </c>
      <c r="AL116" s="188">
        <f t="shared" ref="AL116" si="397">AL115/AL108</f>
        <v>5.7377049180327858E-3</v>
      </c>
      <c r="AM116" s="189">
        <f t="shared" ref="AM116:AP116" si="398">AH116</f>
        <v>4.1823504809703057E-3</v>
      </c>
      <c r="AN116" s="189">
        <f t="shared" si="398"/>
        <v>5.3984020729863956E-3</v>
      </c>
      <c r="AO116" s="189">
        <f t="shared" si="398"/>
        <v>4.7946633312486971E-3</v>
      </c>
      <c r="AP116" s="189">
        <f t="shared" si="398"/>
        <v>8.4763283026669418E-3</v>
      </c>
      <c r="AQ116" s="188">
        <f t="shared" ref="AQ116" si="399">AQ115/AQ108</f>
        <v>5.7377049180327858E-3</v>
      </c>
      <c r="AR116" s="189">
        <f t="shared" ref="AR116:AU116" si="400">AM116</f>
        <v>4.1823504809703057E-3</v>
      </c>
      <c r="AS116" s="189">
        <f t="shared" si="400"/>
        <v>5.3984020729863956E-3</v>
      </c>
      <c r="AT116" s="189">
        <f t="shared" si="400"/>
        <v>4.7946633312486971E-3</v>
      </c>
      <c r="AU116" s="189">
        <f t="shared" si="400"/>
        <v>8.4763283026669418E-3</v>
      </c>
      <c r="AV116" s="188">
        <f t="shared" ref="AV116" si="401">AV115/AV108</f>
        <v>5.7377049180327875E-3</v>
      </c>
    </row>
    <row r="117" spans="2:48" ht="16.2" outlineLevel="1" x14ac:dyDescent="0.45">
      <c r="B117" s="180" t="s">
        <v>42</v>
      </c>
      <c r="C117" s="18"/>
      <c r="D117" s="119">
        <v>0</v>
      </c>
      <c r="E117" s="119">
        <v>0</v>
      </c>
      <c r="F117" s="119">
        <v>0</v>
      </c>
      <c r="G117" s="119">
        <v>0</v>
      </c>
      <c r="H117" s="131">
        <f>SUM(D117:G117)</f>
        <v>0</v>
      </c>
      <c r="I117" s="119">
        <v>0</v>
      </c>
      <c r="J117" s="119">
        <v>0</v>
      </c>
      <c r="K117" s="119">
        <v>0</v>
      </c>
      <c r="L117" s="119">
        <v>0</v>
      </c>
      <c r="M117" s="131">
        <f>SUM(I117:L117)</f>
        <v>0</v>
      </c>
      <c r="N117" s="119">
        <v>0</v>
      </c>
      <c r="O117" s="119">
        <v>0</v>
      </c>
      <c r="P117" s="119">
        <v>0</v>
      </c>
      <c r="Q117" s="119">
        <v>0</v>
      </c>
      <c r="R117" s="131">
        <f>SUM(N117:Q117)</f>
        <v>0</v>
      </c>
      <c r="S117" s="119">
        <v>0</v>
      </c>
      <c r="T117" s="119">
        <v>0</v>
      </c>
      <c r="U117" s="119">
        <v>0</v>
      </c>
      <c r="V117" s="119">
        <f>IFERROR((V163*(U117/U163)),0)</f>
        <v>0</v>
      </c>
      <c r="W117" s="131">
        <f>SUM(S117:V117)</f>
        <v>0</v>
      </c>
      <c r="X117" s="119">
        <f>IFERROR((X163*(V117/V163)),0)</f>
        <v>0</v>
      </c>
      <c r="Y117" s="119">
        <f t="shared" ref="Y117:AA117" si="402">IFERROR((Y163*(X117/X163)),0)</f>
        <v>0</v>
      </c>
      <c r="Z117" s="119">
        <f t="shared" si="402"/>
        <v>0</v>
      </c>
      <c r="AA117" s="119">
        <f t="shared" si="402"/>
        <v>0</v>
      </c>
      <c r="AB117" s="131">
        <f>SUM(X117:AA117)</f>
        <v>0</v>
      </c>
      <c r="AC117" s="119">
        <f>IFERROR((AC163*(AA117/AA163)),0)</f>
        <v>0</v>
      </c>
      <c r="AD117" s="119">
        <f t="shared" ref="AD117:AF117" si="403">IFERROR((AD163*(AC117/AC163)),0)</f>
        <v>0</v>
      </c>
      <c r="AE117" s="119">
        <f t="shared" si="403"/>
        <v>0</v>
      </c>
      <c r="AF117" s="119">
        <f t="shared" si="403"/>
        <v>0</v>
      </c>
      <c r="AG117" s="131">
        <f>SUM(AC117:AF117)</f>
        <v>0</v>
      </c>
      <c r="AH117" s="119">
        <f>IFERROR((AH163*(AF117/AF163)),0)</f>
        <v>0</v>
      </c>
      <c r="AI117" s="119">
        <f t="shared" ref="AI117:AK117" si="404">IFERROR((AI163*(AH117/AH163)),0)</f>
        <v>0</v>
      </c>
      <c r="AJ117" s="119">
        <f t="shared" si="404"/>
        <v>0</v>
      </c>
      <c r="AK117" s="119">
        <f t="shared" si="404"/>
        <v>0</v>
      </c>
      <c r="AL117" s="131">
        <f>SUM(AH117:AK117)</f>
        <v>0</v>
      </c>
      <c r="AM117" s="119">
        <f>IFERROR((AM163*(AK117/AK163)),0)</f>
        <v>0</v>
      </c>
      <c r="AN117" s="119">
        <f t="shared" ref="AN117:AP117" si="405">IFERROR((AN163*(AM117/AM163)),0)</f>
        <v>0</v>
      </c>
      <c r="AO117" s="119">
        <f t="shared" si="405"/>
        <v>0</v>
      </c>
      <c r="AP117" s="119">
        <f t="shared" si="405"/>
        <v>0</v>
      </c>
      <c r="AQ117" s="131">
        <f>SUM(AM117:AP117)</f>
        <v>0</v>
      </c>
      <c r="AR117" s="119">
        <f>IFERROR((AR163*(AP117/AP163)),0)</f>
        <v>0</v>
      </c>
      <c r="AS117" s="119">
        <f t="shared" ref="AS117:AU117" si="406">IFERROR((AS163*(AR117/AR163)),0)</f>
        <v>0</v>
      </c>
      <c r="AT117" s="119">
        <f t="shared" si="406"/>
        <v>0</v>
      </c>
      <c r="AU117" s="119">
        <f t="shared" si="406"/>
        <v>0</v>
      </c>
      <c r="AV117" s="131">
        <f>SUM(AR117:AU117)</f>
        <v>0</v>
      </c>
    </row>
    <row r="118" spans="2:48" outlineLevel="1" x14ac:dyDescent="0.3">
      <c r="B118" s="46" t="s">
        <v>52</v>
      </c>
      <c r="C118" s="19"/>
      <c r="D118" s="50">
        <f>D110+D112+D114+D115+D117</f>
        <v>370.2</v>
      </c>
      <c r="E118" s="50">
        <f t="shared" ref="E118:AV118" si="407">E110+E112+E114+E115+E117</f>
        <v>337.90000000000003</v>
      </c>
      <c r="F118" s="50">
        <f t="shared" si="407"/>
        <v>400.2</v>
      </c>
      <c r="G118" s="50">
        <f t="shared" si="407"/>
        <v>382.30000000000007</v>
      </c>
      <c r="H118" s="26">
        <f t="shared" si="407"/>
        <v>1490.6</v>
      </c>
      <c r="I118" s="50">
        <f t="shared" si="407"/>
        <v>362.1</v>
      </c>
      <c r="J118" s="50">
        <f t="shared" si="407"/>
        <v>372.6</v>
      </c>
      <c r="K118" s="50">
        <f t="shared" si="407"/>
        <v>374.09999999999997</v>
      </c>
      <c r="L118" s="50">
        <f t="shared" si="407"/>
        <v>349.1</v>
      </c>
      <c r="M118" s="26">
        <f t="shared" si="407"/>
        <v>1457.9000000000003</v>
      </c>
      <c r="N118" s="50">
        <f t="shared" si="407"/>
        <v>246.99999999999997</v>
      </c>
      <c r="O118" s="50">
        <f t="shared" si="407"/>
        <v>247.60000000000002</v>
      </c>
      <c r="P118" s="50">
        <f t="shared" si="407"/>
        <v>261.5</v>
      </c>
      <c r="Q118" s="103">
        <f t="shared" si="407"/>
        <v>298.2</v>
      </c>
      <c r="R118" s="26">
        <f t="shared" si="407"/>
        <v>1054.3</v>
      </c>
      <c r="S118" s="50">
        <f t="shared" si="407"/>
        <v>273.5</v>
      </c>
      <c r="T118" s="50">
        <f t="shared" si="407"/>
        <v>313.7</v>
      </c>
      <c r="U118" s="50">
        <f t="shared" si="407"/>
        <v>341.70000000000005</v>
      </c>
      <c r="V118" s="103">
        <f t="shared" si="407"/>
        <v>329.1</v>
      </c>
      <c r="W118" s="122">
        <f t="shared" si="407"/>
        <v>1258</v>
      </c>
      <c r="X118" s="103">
        <f t="shared" si="407"/>
        <v>309.2</v>
      </c>
      <c r="Y118" s="50">
        <f t="shared" si="407"/>
        <v>326.24799999999999</v>
      </c>
      <c r="Z118" s="50">
        <f t="shared" si="407"/>
        <v>350.37912000000006</v>
      </c>
      <c r="AA118" s="50">
        <f t="shared" si="407"/>
        <v>312.08112</v>
      </c>
      <c r="AB118" s="26">
        <f t="shared" si="407"/>
        <v>1297.9082400000002</v>
      </c>
      <c r="AC118" s="50">
        <f t="shared" si="407"/>
        <v>311.62143999999995</v>
      </c>
      <c r="AD118" s="50">
        <f t="shared" si="407"/>
        <v>339.29792000000003</v>
      </c>
      <c r="AE118" s="50">
        <f t="shared" si="407"/>
        <v>354.01741440000001</v>
      </c>
      <c r="AF118" s="50">
        <f t="shared" si="407"/>
        <v>314.1009664</v>
      </c>
      <c r="AG118" s="26">
        <f t="shared" si="407"/>
        <v>1319.0377407999999</v>
      </c>
      <c r="AH118" s="50">
        <f t="shared" si="407"/>
        <v>322.53463424000006</v>
      </c>
      <c r="AI118" s="50">
        <f t="shared" si="407"/>
        <v>352.86983680000009</v>
      </c>
      <c r="AJ118" s="50">
        <f t="shared" si="407"/>
        <v>362.78213836800012</v>
      </c>
      <c r="AK118" s="50">
        <f t="shared" si="407"/>
        <v>324.48861818880005</v>
      </c>
      <c r="AL118" s="26">
        <f t="shared" si="407"/>
        <v>1362.6752275968004</v>
      </c>
      <c r="AM118" s="50">
        <f t="shared" si="407"/>
        <v>335.43601960960001</v>
      </c>
      <c r="AN118" s="50">
        <f t="shared" si="407"/>
        <v>366.98463027200012</v>
      </c>
      <c r="AO118" s="50">
        <f t="shared" si="407"/>
        <v>377.29342390272006</v>
      </c>
      <c r="AP118" s="50">
        <f t="shared" si="407"/>
        <v>337.46816291635213</v>
      </c>
      <c r="AQ118" s="26">
        <f t="shared" si="407"/>
        <v>1417.1822367006721</v>
      </c>
      <c r="AR118" s="50">
        <f t="shared" si="407"/>
        <v>348.85346039398394</v>
      </c>
      <c r="AS118" s="50">
        <f t="shared" si="407"/>
        <v>381.66401548288013</v>
      </c>
      <c r="AT118" s="50">
        <f t="shared" si="407"/>
        <v>392.38516085882884</v>
      </c>
      <c r="AU118" s="50">
        <f t="shared" si="407"/>
        <v>350.9668894330062</v>
      </c>
      <c r="AV118" s="26">
        <f t="shared" si="407"/>
        <v>1473.8695261686989</v>
      </c>
    </row>
    <row r="119" spans="2:48" ht="16.2" outlineLevel="1" x14ac:dyDescent="0.45">
      <c r="B119" s="47" t="s">
        <v>36</v>
      </c>
      <c r="C119" s="44"/>
      <c r="D119" s="52">
        <v>41.4</v>
      </c>
      <c r="E119" s="104">
        <v>40.200000000000003</v>
      </c>
      <c r="F119" s="104">
        <v>48.8</v>
      </c>
      <c r="G119" s="104">
        <v>65.099999999999994</v>
      </c>
      <c r="H119" s="193">
        <f>SUM(D119:G119)</f>
        <v>195.49999999999997</v>
      </c>
      <c r="I119" s="104">
        <v>43</v>
      </c>
      <c r="J119" s="104">
        <v>43.1</v>
      </c>
      <c r="K119" s="104">
        <v>51</v>
      </c>
      <c r="L119" s="104">
        <v>83</v>
      </c>
      <c r="M119" s="193">
        <f>SUM(I119:L119)</f>
        <v>220.1</v>
      </c>
      <c r="N119" s="104">
        <v>56.4</v>
      </c>
      <c r="O119" s="104">
        <v>50.3</v>
      </c>
      <c r="P119" s="104">
        <v>63.5</v>
      </c>
      <c r="Q119" s="104">
        <v>79.7</v>
      </c>
      <c r="R119" s="193">
        <f>SUM(N119:Q119)</f>
        <v>249.89999999999998</v>
      </c>
      <c r="S119" s="104">
        <v>39.6</v>
      </c>
      <c r="T119" s="104">
        <v>48.5</v>
      </c>
      <c r="U119" s="104">
        <v>53.7</v>
      </c>
      <c r="V119" s="104">
        <v>90</v>
      </c>
      <c r="W119" s="214">
        <f>SUM(S119:V119)</f>
        <v>231.8</v>
      </c>
      <c r="X119" s="104">
        <v>57.3</v>
      </c>
      <c r="Y119" s="56">
        <f>X119</f>
        <v>57.3</v>
      </c>
      <c r="Z119" s="56">
        <f>Y119</f>
        <v>57.3</v>
      </c>
      <c r="AA119" s="56">
        <f>Z119</f>
        <v>57.3</v>
      </c>
      <c r="AB119" s="193">
        <f>SUM(X119:AA119)</f>
        <v>229.2</v>
      </c>
      <c r="AC119" s="56">
        <f>AA119</f>
        <v>57.3</v>
      </c>
      <c r="AD119" s="56">
        <f>AC119</f>
        <v>57.3</v>
      </c>
      <c r="AE119" s="56">
        <f>AD119</f>
        <v>57.3</v>
      </c>
      <c r="AF119" s="56">
        <f>AE119</f>
        <v>57.3</v>
      </c>
      <c r="AG119" s="193">
        <f>SUM(AC119:AF119)</f>
        <v>229.2</v>
      </c>
      <c r="AH119" s="56">
        <f>AF119</f>
        <v>57.3</v>
      </c>
      <c r="AI119" s="56">
        <f>AH119</f>
        <v>57.3</v>
      </c>
      <c r="AJ119" s="56">
        <f>AI119</f>
        <v>57.3</v>
      </c>
      <c r="AK119" s="56">
        <f>AJ119</f>
        <v>57.3</v>
      </c>
      <c r="AL119" s="193">
        <f>SUM(AH119:AK119)</f>
        <v>229.2</v>
      </c>
      <c r="AM119" s="56">
        <f>AK119</f>
        <v>57.3</v>
      </c>
      <c r="AN119" s="56">
        <f>AM119</f>
        <v>57.3</v>
      </c>
      <c r="AO119" s="56">
        <f>AN119</f>
        <v>57.3</v>
      </c>
      <c r="AP119" s="56">
        <f>AO119</f>
        <v>57.3</v>
      </c>
      <c r="AQ119" s="193">
        <f>SUM(AM119:AP119)</f>
        <v>229.2</v>
      </c>
      <c r="AR119" s="56">
        <f>AP119</f>
        <v>57.3</v>
      </c>
      <c r="AS119" s="56">
        <f>AR119</f>
        <v>57.3</v>
      </c>
      <c r="AT119" s="56">
        <f>AS119</f>
        <v>57.3</v>
      </c>
      <c r="AU119" s="56">
        <f>AT119</f>
        <v>57.3</v>
      </c>
      <c r="AV119" s="193">
        <f>SUM(AR119:AU119)</f>
        <v>229.2</v>
      </c>
    </row>
    <row r="120" spans="2:48" outlineLevel="1" x14ac:dyDescent="0.3">
      <c r="B120" s="46" t="s">
        <v>53</v>
      </c>
      <c r="C120" s="44"/>
      <c r="D120" s="156">
        <f t="shared" ref="D120:AV120" si="408">D108-D118+D119</f>
        <v>175.80000000000004</v>
      </c>
      <c r="E120" s="156">
        <f t="shared" si="408"/>
        <v>148.89999999999998</v>
      </c>
      <c r="F120" s="156">
        <f t="shared" si="408"/>
        <v>181.89999999999998</v>
      </c>
      <c r="G120" s="156">
        <f t="shared" si="408"/>
        <v>190.89999999999995</v>
      </c>
      <c r="H120" s="97">
        <f t="shared" si="408"/>
        <v>697.5</v>
      </c>
      <c r="I120" s="156">
        <f t="shared" si="408"/>
        <v>175.5</v>
      </c>
      <c r="J120" s="156">
        <f t="shared" si="408"/>
        <v>189.6</v>
      </c>
      <c r="K120" s="156">
        <f t="shared" si="408"/>
        <v>124.20000000000005</v>
      </c>
      <c r="L120" s="74">
        <f t="shared" si="408"/>
        <v>197.89999999999998</v>
      </c>
      <c r="M120" s="97">
        <f t="shared" si="408"/>
        <v>687.1999999999997</v>
      </c>
      <c r="N120" s="74">
        <f t="shared" si="408"/>
        <v>180.8</v>
      </c>
      <c r="O120" s="74">
        <f t="shared" si="408"/>
        <v>172.59999999999997</v>
      </c>
      <c r="P120" s="74">
        <f t="shared" si="408"/>
        <v>216</v>
      </c>
      <c r="Q120" s="74">
        <f t="shared" si="408"/>
        <v>219.8</v>
      </c>
      <c r="R120" s="97">
        <f t="shared" si="408"/>
        <v>789.19999999999993</v>
      </c>
      <c r="S120" s="74">
        <f t="shared" si="408"/>
        <v>183.20000000000002</v>
      </c>
      <c r="T120" s="74">
        <f t="shared" si="408"/>
        <v>197.90000000000003</v>
      </c>
      <c r="U120" s="74">
        <f t="shared" si="408"/>
        <v>191.69999999999993</v>
      </c>
      <c r="V120" s="156">
        <f t="shared" si="408"/>
        <v>244.59999999999997</v>
      </c>
      <c r="W120" s="132">
        <f t="shared" si="408"/>
        <v>817.40000000000009</v>
      </c>
      <c r="X120" s="156">
        <f t="shared" si="408"/>
        <v>226.3</v>
      </c>
      <c r="Y120" s="74">
        <f t="shared" si="408"/>
        <v>212.67600000000004</v>
      </c>
      <c r="Z120" s="74">
        <f t="shared" si="408"/>
        <v>205.80887999999999</v>
      </c>
      <c r="AA120" s="74">
        <f t="shared" si="408"/>
        <v>248.26688000000001</v>
      </c>
      <c r="AB120" s="97">
        <f t="shared" si="408"/>
        <v>893.05175999999983</v>
      </c>
      <c r="AC120" s="74">
        <f t="shared" si="408"/>
        <v>243.00656000000009</v>
      </c>
      <c r="AD120" s="74">
        <f t="shared" si="408"/>
        <v>218.89104000000003</v>
      </c>
      <c r="AE120" s="74">
        <f t="shared" si="408"/>
        <v>222.12610560000002</v>
      </c>
      <c r="AF120" s="74">
        <f t="shared" si="408"/>
        <v>266.36895360000005</v>
      </c>
      <c r="AG120" s="97">
        <f t="shared" si="408"/>
        <v>950.39265920000025</v>
      </c>
      <c r="AH120" s="74">
        <f t="shared" si="408"/>
        <v>251.98648575999999</v>
      </c>
      <c r="AI120" s="74">
        <f t="shared" si="408"/>
        <v>225.35468160000005</v>
      </c>
      <c r="AJ120" s="74">
        <f t="shared" si="408"/>
        <v>234.11512243199996</v>
      </c>
      <c r="AK120" s="74">
        <f t="shared" si="408"/>
        <v>276.90809861120005</v>
      </c>
      <c r="AL120" s="97">
        <f t="shared" si="408"/>
        <v>988.36438840320034</v>
      </c>
      <c r="AM120" s="74">
        <f t="shared" si="408"/>
        <v>259.77394519040001</v>
      </c>
      <c r="AN120" s="74">
        <f t="shared" si="408"/>
        <v>232.07686886400001</v>
      </c>
      <c r="AO120" s="74">
        <f t="shared" si="408"/>
        <v>241.18772732927999</v>
      </c>
      <c r="AP120" s="74">
        <f t="shared" si="408"/>
        <v>285.69242255564802</v>
      </c>
      <c r="AQ120" s="97">
        <f t="shared" si="408"/>
        <v>1018.7309639393286</v>
      </c>
      <c r="AR120" s="74">
        <f t="shared" si="408"/>
        <v>267.87290299801606</v>
      </c>
      <c r="AS120" s="74">
        <f t="shared" si="408"/>
        <v>239.06794361856004</v>
      </c>
      <c r="AT120" s="74">
        <f t="shared" si="408"/>
        <v>248.54323642245123</v>
      </c>
      <c r="AU120" s="74">
        <f t="shared" si="408"/>
        <v>294.82811945787398</v>
      </c>
      <c r="AV120" s="97">
        <f t="shared" si="408"/>
        <v>1050.3122024969014</v>
      </c>
    </row>
    <row r="121" spans="2:48" outlineLevel="1" x14ac:dyDescent="0.3">
      <c r="B121" s="46" t="s">
        <v>54</v>
      </c>
      <c r="C121" s="44"/>
      <c r="D121" s="157">
        <f>+D120/D108</f>
        <v>0.34839476813317488</v>
      </c>
      <c r="E121" s="157">
        <f>+E120/E108</f>
        <v>0.33340797133900574</v>
      </c>
      <c r="F121" s="157">
        <f>+F120/F108</f>
        <v>0.34108381773860863</v>
      </c>
      <c r="G121" s="157">
        <f>+G120/G108</f>
        <v>0.37571344223578024</v>
      </c>
      <c r="H121" s="125">
        <f>H120/H108</f>
        <v>0.35004516711833789</v>
      </c>
      <c r="I121" s="157">
        <f t="shared" ref="I121:AV121" si="409">+I120/I108</f>
        <v>0.3548321876263647</v>
      </c>
      <c r="J121" s="157">
        <f t="shared" si="409"/>
        <v>0.36524754382585239</v>
      </c>
      <c r="K121" s="157">
        <f t="shared" si="409"/>
        <v>0.27766599597585523</v>
      </c>
      <c r="L121" s="75">
        <f t="shared" si="409"/>
        <v>0.42650862068965512</v>
      </c>
      <c r="M121" s="98">
        <f t="shared" si="409"/>
        <v>0.35698701298701285</v>
      </c>
      <c r="N121" s="75">
        <f t="shared" si="409"/>
        <v>0.48680667743672595</v>
      </c>
      <c r="O121" s="75">
        <f t="shared" si="409"/>
        <v>0.46661259799945926</v>
      </c>
      <c r="P121" s="75">
        <f t="shared" si="409"/>
        <v>0.52173913043478259</v>
      </c>
      <c r="Q121" s="75">
        <f t="shared" si="409"/>
        <v>0.50148300250969657</v>
      </c>
      <c r="R121" s="98">
        <f t="shared" si="409"/>
        <v>0.49523092369477911</v>
      </c>
      <c r="S121" s="75">
        <f t="shared" si="409"/>
        <v>0.43922320786382163</v>
      </c>
      <c r="T121" s="75">
        <f t="shared" si="409"/>
        <v>0.42733750809760318</v>
      </c>
      <c r="U121" s="75">
        <f t="shared" si="409"/>
        <v>0.3996247654784239</v>
      </c>
      <c r="V121" s="157">
        <f t="shared" si="409"/>
        <v>0.50568534215422778</v>
      </c>
      <c r="W121" s="133">
        <f t="shared" si="409"/>
        <v>0.44337166413538731</v>
      </c>
      <c r="X121" s="157">
        <f t="shared" si="409"/>
        <v>0.47323295692179007</v>
      </c>
      <c r="Y121" s="75">
        <f t="shared" si="409"/>
        <v>0.44158098433632881</v>
      </c>
      <c r="Z121" s="75">
        <f t="shared" si="409"/>
        <v>0.41253523837013512</v>
      </c>
      <c r="AA121" s="75">
        <f t="shared" si="409"/>
        <v>0.49352523019672084</v>
      </c>
      <c r="AB121" s="98">
        <f t="shared" si="409"/>
        <v>0.45522987521409336</v>
      </c>
      <c r="AC121" s="75">
        <f t="shared" si="409"/>
        <v>0.48862432841102871</v>
      </c>
      <c r="AD121" s="75">
        <f t="shared" si="409"/>
        <v>0.43700511985730334</v>
      </c>
      <c r="AE121" s="75">
        <f t="shared" si="409"/>
        <v>0.42811772150493471</v>
      </c>
      <c r="AF121" s="75">
        <f t="shared" si="409"/>
        <v>0.50914424437857597</v>
      </c>
      <c r="AG121" s="98">
        <f t="shared" si="409"/>
        <v>0.46582614355711993</v>
      </c>
      <c r="AH121" s="75">
        <f t="shared" si="409"/>
        <v>0.48719295484298858</v>
      </c>
      <c r="AI121" s="75">
        <f t="shared" si="409"/>
        <v>0.43260525016593265</v>
      </c>
      <c r="AJ121" s="75">
        <f t="shared" si="409"/>
        <v>0.43387010913454943</v>
      </c>
      <c r="AK121" s="75">
        <f t="shared" si="409"/>
        <v>0.50893175801497503</v>
      </c>
      <c r="AL121" s="98">
        <f t="shared" si="409"/>
        <v>0.46580541759627514</v>
      </c>
      <c r="AM121" s="75">
        <f t="shared" si="409"/>
        <v>0.48293201871987335</v>
      </c>
      <c r="AN121" s="75">
        <f t="shared" si="409"/>
        <v>0.42837460623192236</v>
      </c>
      <c r="AO121" s="75">
        <f t="shared" si="409"/>
        <v>0.42978586647071765</v>
      </c>
      <c r="AP121" s="75">
        <f t="shared" si="409"/>
        <v>0.50488129035766638</v>
      </c>
      <c r="AQ121" s="98">
        <f t="shared" si="409"/>
        <v>0.46165082242852029</v>
      </c>
      <c r="AR121" s="75">
        <f t="shared" si="409"/>
        <v>0.47883496475533949</v>
      </c>
      <c r="AS121" s="75">
        <f t="shared" si="409"/>
        <v>0.42430667937229721</v>
      </c>
      <c r="AT121" s="75">
        <f t="shared" si="409"/>
        <v>0.4258587100631871</v>
      </c>
      <c r="AU121" s="75">
        <f t="shared" si="409"/>
        <v>0.50098660991794675</v>
      </c>
      <c r="AV121" s="98">
        <f t="shared" si="409"/>
        <v>0.45765601938260198</v>
      </c>
    </row>
    <row r="122" spans="2:48" ht="17.399999999999999" x14ac:dyDescent="0.45">
      <c r="B122" s="583" t="s">
        <v>55</v>
      </c>
      <c r="C122" s="584"/>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4" t="s">
        <v>408</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580" t="s">
        <v>127</v>
      </c>
      <c r="C123" s="581"/>
      <c r="D123" s="48">
        <v>11.6</v>
      </c>
      <c r="E123" s="48">
        <v>15.8</v>
      </c>
      <c r="F123" s="48">
        <v>23.3</v>
      </c>
      <c r="G123" s="48">
        <v>15.4</v>
      </c>
      <c r="H123" s="31">
        <f>SUM(D123:G123)</f>
        <v>66.100000000000009</v>
      </c>
      <c r="I123" s="48">
        <v>20.5</v>
      </c>
      <c r="J123" s="48">
        <v>12</v>
      </c>
      <c r="K123" s="48">
        <v>19.7</v>
      </c>
      <c r="L123" s="48">
        <v>13.9</v>
      </c>
      <c r="M123" s="31">
        <f>SUM(I123:L123)</f>
        <v>66.100000000000009</v>
      </c>
      <c r="N123" s="48">
        <v>20.5</v>
      </c>
      <c r="O123" s="48">
        <v>22.6</v>
      </c>
      <c r="P123" s="48">
        <v>23.8</v>
      </c>
      <c r="Q123" s="105">
        <v>30.8</v>
      </c>
      <c r="R123" s="31">
        <f>SUM(N123:Q123)</f>
        <v>97.7</v>
      </c>
      <c r="S123" s="48">
        <v>25.1</v>
      </c>
      <c r="T123" s="48">
        <v>24.4</v>
      </c>
      <c r="U123" s="48">
        <v>27.3</v>
      </c>
      <c r="V123" s="48">
        <v>19.100000000000001</v>
      </c>
      <c r="W123" s="31">
        <f>SUM(S123:V123)</f>
        <v>95.9</v>
      </c>
      <c r="X123" s="105">
        <v>4.3</v>
      </c>
      <c r="Y123" s="48">
        <f>+T123*(1+Y124)</f>
        <v>26.84</v>
      </c>
      <c r="Z123" s="48">
        <f>+U123*(1+Z124)</f>
        <v>30.030000000000005</v>
      </c>
      <c r="AA123" s="48">
        <f t="shared" ref="AA123" si="410">+V123*(1+AA124)</f>
        <v>21.01</v>
      </c>
      <c r="AB123" s="31">
        <f>SUM(X123:AA123)</f>
        <v>82.18</v>
      </c>
      <c r="AC123" s="48">
        <f>+X123*(1+AC124)</f>
        <v>4.7300000000000004</v>
      </c>
      <c r="AD123" s="48">
        <f>+Y123*(1+AD124)</f>
        <v>29.524000000000001</v>
      </c>
      <c r="AE123" s="48">
        <f>+Z123*(1+AE124)</f>
        <v>33.033000000000008</v>
      </c>
      <c r="AF123" s="48">
        <f t="shared" ref="AF123" si="411">+AA123*(1+AF124)</f>
        <v>23.111000000000004</v>
      </c>
      <c r="AG123" s="31">
        <f>SUM(AC123:AF123)</f>
        <v>90.39800000000001</v>
      </c>
      <c r="AH123" s="48">
        <f>+AC123*(1+AH124)</f>
        <v>5.2030000000000012</v>
      </c>
      <c r="AI123" s="48">
        <f>+AD123*(1+AI124)</f>
        <v>32.476400000000005</v>
      </c>
      <c r="AJ123" s="48">
        <f>+AE123*(1+AJ124)</f>
        <v>36.336300000000016</v>
      </c>
      <c r="AK123" s="48">
        <f t="shared" ref="AK123" si="412">+AF123*(1+AK124)</f>
        <v>25.422100000000007</v>
      </c>
      <c r="AL123" s="31">
        <f>SUM(AH123:AK123)</f>
        <v>99.437800000000038</v>
      </c>
      <c r="AM123" s="48">
        <f>+AH123*(1+AM124)</f>
        <v>5.7233000000000018</v>
      </c>
      <c r="AN123" s="48">
        <f>+AI123*(1+AN124)</f>
        <v>35.724040000000009</v>
      </c>
      <c r="AO123" s="48">
        <f>+AJ123*(1+AO124)</f>
        <v>39.969930000000019</v>
      </c>
      <c r="AP123" s="48">
        <f t="shared" ref="AP123" si="413">+AK123*(1+AP124)</f>
        <v>27.964310000000012</v>
      </c>
      <c r="AQ123" s="31">
        <f>SUM(AM123:AP123)</f>
        <v>109.38158000000004</v>
      </c>
      <c r="AR123" s="48">
        <f>+AM123*(1+AR124)</f>
        <v>6.2956300000000027</v>
      </c>
      <c r="AS123" s="48">
        <f>+AN123*(1+AS124)</f>
        <v>39.296444000000015</v>
      </c>
      <c r="AT123" s="48">
        <f>+AO123*(1+AT124)</f>
        <v>43.966923000000023</v>
      </c>
      <c r="AU123" s="48">
        <f t="shared" ref="AU123" si="414">+AP123*(1+AU124)</f>
        <v>30.760741000000014</v>
      </c>
      <c r="AV123" s="31">
        <f>SUM(AR123:AU123)</f>
        <v>120.31973800000004</v>
      </c>
    </row>
    <row r="124" spans="2:48" s="8" customFormat="1" outlineLevel="1" x14ac:dyDescent="0.3">
      <c r="B124" s="38" t="s">
        <v>128</v>
      </c>
      <c r="C124" s="201"/>
      <c r="D124" s="30"/>
      <c r="E124" s="30"/>
      <c r="F124" s="30"/>
      <c r="G124" s="118"/>
      <c r="H124" s="130"/>
      <c r="I124" s="118">
        <f t="shared" ref="I124:J124" si="415">I123/D123-1</f>
        <v>0.76724137931034497</v>
      </c>
      <c r="J124" s="118">
        <f t="shared" si="415"/>
        <v>-0.24050632911392411</v>
      </c>
      <c r="K124" s="118">
        <f>K123/F123-1</f>
        <v>-0.15450643776824036</v>
      </c>
      <c r="L124" s="118">
        <f>L123/G123-1</f>
        <v>-9.740259740259738E-2</v>
      </c>
      <c r="M124" s="128">
        <f>M123/H123-1</f>
        <v>0</v>
      </c>
      <c r="N124" s="118">
        <f t="shared" ref="N124:Q124" si="416">N123/I123-1</f>
        <v>0</v>
      </c>
      <c r="O124" s="118">
        <f t="shared" si="416"/>
        <v>0.88333333333333353</v>
      </c>
      <c r="P124" s="118">
        <f t="shared" si="416"/>
        <v>0.20812182741116758</v>
      </c>
      <c r="Q124" s="118">
        <f t="shared" si="416"/>
        <v>1.2158273381294964</v>
      </c>
      <c r="R124" s="128">
        <f>R123/M123-1</f>
        <v>0.47806354009077134</v>
      </c>
      <c r="S124" s="118">
        <f t="shared" ref="S124:X124" si="417">S123/N123-1</f>
        <v>0.224390243902439</v>
      </c>
      <c r="T124" s="118">
        <f t="shared" si="417"/>
        <v>7.9646017699114946E-2</v>
      </c>
      <c r="U124" s="118">
        <f t="shared" si="417"/>
        <v>0.14705882352941169</v>
      </c>
      <c r="V124" s="118">
        <f t="shared" si="417"/>
        <v>-0.3798701298701298</v>
      </c>
      <c r="W124" s="128">
        <f>W123/R123-1</f>
        <v>-1.842374616171949E-2</v>
      </c>
      <c r="X124" s="118">
        <f t="shared" si="417"/>
        <v>-0.82868525896414347</v>
      </c>
      <c r="Y124" s="34">
        <v>0.1</v>
      </c>
      <c r="Z124" s="34">
        <v>0.1</v>
      </c>
      <c r="AA124" s="34">
        <v>0.1</v>
      </c>
      <c r="AB124" s="128">
        <f>AB123/W123-1</f>
        <v>-0.14306569343065689</v>
      </c>
      <c r="AC124" s="34">
        <v>0.1</v>
      </c>
      <c r="AD124" s="34">
        <v>0.1</v>
      </c>
      <c r="AE124" s="34">
        <v>0.1</v>
      </c>
      <c r="AF124" s="34">
        <v>0.1</v>
      </c>
      <c r="AG124" s="128">
        <f>AG123/AB123-1</f>
        <v>0.10000000000000009</v>
      </c>
      <c r="AH124" s="34">
        <v>0.1</v>
      </c>
      <c r="AI124" s="34">
        <v>0.1</v>
      </c>
      <c r="AJ124" s="34">
        <v>0.1</v>
      </c>
      <c r="AK124" s="34">
        <v>0.1</v>
      </c>
      <c r="AL124" s="128">
        <f>AL123/AG123-1</f>
        <v>0.10000000000000031</v>
      </c>
      <c r="AM124" s="34">
        <v>0.1</v>
      </c>
      <c r="AN124" s="34">
        <v>0.1</v>
      </c>
      <c r="AO124" s="34">
        <v>0.1</v>
      </c>
      <c r="AP124" s="34">
        <v>0.1</v>
      </c>
      <c r="AQ124" s="128">
        <f>AQ123/AL123-1</f>
        <v>0.10000000000000009</v>
      </c>
      <c r="AR124" s="34">
        <v>0.1</v>
      </c>
      <c r="AS124" s="34">
        <v>0.1</v>
      </c>
      <c r="AT124" s="34">
        <v>0.1</v>
      </c>
      <c r="AU124" s="34">
        <v>0.1</v>
      </c>
      <c r="AV124" s="128">
        <f>AV123/AQ123-1</f>
        <v>9.9999999999999867E-2</v>
      </c>
    </row>
    <row r="125" spans="2:48" outlineLevel="1" x14ac:dyDescent="0.3">
      <c r="B125" s="607" t="s">
        <v>100</v>
      </c>
      <c r="C125" s="608"/>
      <c r="D125" s="48">
        <v>13.4</v>
      </c>
      <c r="E125" s="48">
        <v>15.9</v>
      </c>
      <c r="F125" s="48">
        <v>22.4</v>
      </c>
      <c r="G125" s="105">
        <v>15.5</v>
      </c>
      <c r="H125" s="170"/>
      <c r="I125" s="105">
        <v>20.7</v>
      </c>
      <c r="J125" s="105">
        <v>10.199999999999999</v>
      </c>
      <c r="K125" s="105">
        <v>20.8</v>
      </c>
      <c r="L125" s="105">
        <v>11.6</v>
      </c>
      <c r="M125" s="31">
        <f>SUM(I125:L125)</f>
        <v>63.300000000000004</v>
      </c>
      <c r="N125" s="105">
        <v>19</v>
      </c>
      <c r="O125" s="105">
        <v>19.399999999999999</v>
      </c>
      <c r="P125" s="105">
        <v>19.8</v>
      </c>
      <c r="Q125" s="105">
        <v>28.2</v>
      </c>
      <c r="R125" s="31">
        <f>SUM(N125:Q125)</f>
        <v>86.4</v>
      </c>
      <c r="S125" s="105">
        <v>22.9</v>
      </c>
      <c r="T125" s="105">
        <v>20.8</v>
      </c>
      <c r="U125" s="105">
        <v>24.3</v>
      </c>
      <c r="V125" s="105">
        <v>20.399999999999999</v>
      </c>
      <c r="W125" s="31">
        <f>SUM(S125:V125)</f>
        <v>88.4</v>
      </c>
      <c r="X125" s="105">
        <v>4.8</v>
      </c>
      <c r="Y125" s="105">
        <f>AVERAGE(X125,V125,U125,T125)</f>
        <v>17.574999999999999</v>
      </c>
      <c r="Z125" s="105">
        <f>AVERAGE(Y125,X125,V125,U125)</f>
        <v>16.768750000000001</v>
      </c>
      <c r="AA125" s="105">
        <f>AVERAGE(Z125,Y125,X125,V125)</f>
        <v>14.885937499999999</v>
      </c>
      <c r="AB125" s="126">
        <f>SUM(X125:AA125)</f>
        <v>54.029687499999994</v>
      </c>
      <c r="AC125" s="105">
        <f>AVERAGE(X125,AA125,Z125,Y125)</f>
        <v>13.507421874999999</v>
      </c>
      <c r="AD125" s="105">
        <f>AVERAGE(AC125,AA125,Z125,Y125)</f>
        <v>15.684277343750001</v>
      </c>
      <c r="AE125" s="105">
        <f>AVERAGE(AD125,AC125,AA125,Z125)</f>
        <v>15.211596679687499</v>
      </c>
      <c r="AF125" s="105">
        <f>AVERAGE(AE125,AD125,AC125,AA125)</f>
        <v>14.822308349609374</v>
      </c>
      <c r="AG125" s="31">
        <f>SUM(AC125:AF125)</f>
        <v>59.225604248046871</v>
      </c>
      <c r="AH125" s="105">
        <f>AVERAGE(AC125,AF125,AE125,AD125)</f>
        <v>14.806401062011716</v>
      </c>
      <c r="AI125" s="105">
        <f>AVERAGE(AH125,AF125,AE125,AD125)</f>
        <v>15.131145858764647</v>
      </c>
      <c r="AJ125" s="105">
        <f>AVERAGE(AI125,AH125,AF125,AE125)</f>
        <v>14.992862987518308</v>
      </c>
      <c r="AK125" s="105">
        <f>AVERAGE(AJ125,AI125,AH125,AF125)</f>
        <v>14.938179564476011</v>
      </c>
      <c r="AL125" s="31">
        <f>SUM(AH125:AK125)</f>
        <v>59.86858947277068</v>
      </c>
      <c r="AM125" s="105">
        <f>AVERAGE(AH125,AK125,AJ125,AI125)</f>
        <v>14.96714736819267</v>
      </c>
      <c r="AN125" s="105">
        <f>AVERAGE(AM125,AK125,AJ125,AI125)</f>
        <v>15.007333944737908</v>
      </c>
      <c r="AO125" s="105">
        <f>AVERAGE(AN125,AM125,AK125,AJ125)</f>
        <v>14.976380966231224</v>
      </c>
      <c r="AP125" s="105">
        <f>AVERAGE(AO125,AN125,AM125,AK125)</f>
        <v>14.972260460909453</v>
      </c>
      <c r="AQ125" s="31">
        <f>SUM(AM125:AP125)</f>
        <v>59.923122740071257</v>
      </c>
      <c r="AR125" s="105">
        <f>AVERAGE(AM125,AP125,AO125,AN125)</f>
        <v>14.980780685017814</v>
      </c>
      <c r="AS125" s="105">
        <f>AVERAGE(AR125,AP125,AO125,AN125)</f>
        <v>14.9841890142241</v>
      </c>
      <c r="AT125" s="105">
        <f>AVERAGE(AS125,AR125,AP125,AO125)</f>
        <v>14.978402781595648</v>
      </c>
      <c r="AU125" s="105">
        <f>AVERAGE(AT125,AS125,AR125,AP125)</f>
        <v>14.978908235436753</v>
      </c>
      <c r="AV125" s="31">
        <f>SUM(AR125:AU125)</f>
        <v>59.922280716274315</v>
      </c>
    </row>
    <row r="126" spans="2:48" outlineLevel="1" x14ac:dyDescent="0.3">
      <c r="B126" s="180" t="s">
        <v>33</v>
      </c>
      <c r="C126" s="18"/>
      <c r="D126" s="48">
        <v>3.2</v>
      </c>
      <c r="E126" s="48">
        <v>4.3</v>
      </c>
      <c r="F126" s="48">
        <v>5.8</v>
      </c>
      <c r="G126" s="105">
        <f>5.2+0.1</f>
        <v>5.3</v>
      </c>
      <c r="H126" s="170"/>
      <c r="I126" s="105">
        <v>2.8</v>
      </c>
      <c r="J126" s="105">
        <v>3.7</v>
      </c>
      <c r="K126" s="105">
        <v>4</v>
      </c>
      <c r="L126" s="105">
        <v>3.4</v>
      </c>
      <c r="M126" s="31">
        <f t="shared" ref="M126:M129" si="418">SUM(I126:L126)</f>
        <v>13.9</v>
      </c>
      <c r="N126" s="105">
        <v>3.6</v>
      </c>
      <c r="O126" s="105">
        <v>3.4</v>
      </c>
      <c r="P126" s="105">
        <v>3.3</v>
      </c>
      <c r="Q126" s="105">
        <v>4.5</v>
      </c>
      <c r="R126" s="31">
        <f t="shared" ref="R126:R129" si="419">SUM(N126:Q126)</f>
        <v>14.8</v>
      </c>
      <c r="S126" s="105">
        <v>2.9</v>
      </c>
      <c r="T126" s="105">
        <v>4.4000000000000004</v>
      </c>
      <c r="U126" s="105">
        <v>5.9</v>
      </c>
      <c r="V126" s="105">
        <v>3.3</v>
      </c>
      <c r="W126" s="31">
        <f t="shared" ref="W126:W129" si="420">SUM(S126:V126)</f>
        <v>16.5</v>
      </c>
      <c r="X126" s="105">
        <v>0</v>
      </c>
      <c r="Y126" s="105">
        <f>AVERAGE(X126,V126,U126,T126)</f>
        <v>3.4</v>
      </c>
      <c r="Z126" s="105">
        <f>AVERAGE(Y126,X126,V126,U126)</f>
        <v>3.15</v>
      </c>
      <c r="AA126" s="105">
        <f>AVERAGE(Z126,Y126,X126,V126)</f>
        <v>2.4624999999999999</v>
      </c>
      <c r="AB126" s="31">
        <f t="shared" ref="AB126:AB129" si="421">SUM(X126:AA126)</f>
        <v>9.0124999999999993</v>
      </c>
      <c r="AC126" s="105">
        <f>AVERAGE(X126,AA126,Z126,Y126)</f>
        <v>2.2531249999999998</v>
      </c>
      <c r="AD126" s="105">
        <f>AVERAGE(AC126,AA126,Z126,Y126)</f>
        <v>2.81640625</v>
      </c>
      <c r="AE126" s="105">
        <f>AVERAGE(AD126,AC126,AA126,Z126)</f>
        <v>2.6705078124999999</v>
      </c>
      <c r="AF126" s="105">
        <f>AVERAGE(AE126,AD126,AC126,AA126)</f>
        <v>2.5506347656249999</v>
      </c>
      <c r="AG126" s="31">
        <f t="shared" ref="AG126:AG129" si="422">SUM(AC126:AF126)</f>
        <v>10.290673828125</v>
      </c>
      <c r="AH126" s="105">
        <f>AVERAGE(AC126,AF126,AE126,AD126)</f>
        <v>2.5726684570312499</v>
      </c>
      <c r="AI126" s="105">
        <f>AVERAGE(AH126,AF126,AE126,AD126)</f>
        <v>2.6525543212890623</v>
      </c>
      <c r="AJ126" s="105">
        <f>AVERAGE(AI126,AH126,AF126,AE126)</f>
        <v>2.6115913391113281</v>
      </c>
      <c r="AK126" s="105">
        <f>AVERAGE(AJ126,AI126,AH126,AF126)</f>
        <v>2.5968622207641601</v>
      </c>
      <c r="AL126" s="31">
        <f t="shared" ref="AL126:AL129" si="423">SUM(AH126:AK126)</f>
        <v>10.4336763381958</v>
      </c>
      <c r="AM126" s="105">
        <f>AVERAGE(AH126,AK126,AJ126,AI126)</f>
        <v>2.6084190845489501</v>
      </c>
      <c r="AN126" s="105">
        <f>AVERAGE(AM126,AK126,AJ126,AI126)</f>
        <v>2.6173567414283752</v>
      </c>
      <c r="AO126" s="105">
        <f>AVERAGE(AN126,AM126,AK126,AJ126)</f>
        <v>2.6085573464632033</v>
      </c>
      <c r="AP126" s="105">
        <f>AVERAGE(AO126,AN126,AM126,AK126)</f>
        <v>2.6077988483011723</v>
      </c>
      <c r="AQ126" s="31">
        <f t="shared" ref="AQ126:AQ129" si="424">SUM(AM126:AP126)</f>
        <v>10.442132020741701</v>
      </c>
      <c r="AR126" s="105">
        <f>AVERAGE(AM126,AP126,AO126,AN126)</f>
        <v>2.6105330051854252</v>
      </c>
      <c r="AS126" s="105">
        <f>AVERAGE(AR126,AP126,AO126,AN126)</f>
        <v>2.611061485344544</v>
      </c>
      <c r="AT126" s="105">
        <f>AVERAGE(AS126,AR126,AP126,AO126)</f>
        <v>2.6094876713235862</v>
      </c>
      <c r="AU126" s="105">
        <f>AVERAGE(AT126,AS126,AR126,AP126)</f>
        <v>2.6097202525386818</v>
      </c>
      <c r="AV126" s="31">
        <f t="shared" ref="AV126:AV129" si="425">SUM(AR126:AU126)</f>
        <v>10.440802414392238</v>
      </c>
    </row>
    <row r="127" spans="2:48" outlineLevel="1" x14ac:dyDescent="0.3">
      <c r="B127" s="180" t="s">
        <v>34</v>
      </c>
      <c r="C127" s="18"/>
      <c r="D127" s="358">
        <v>39.5</v>
      </c>
      <c r="E127" s="358">
        <v>40.5</v>
      </c>
      <c r="F127" s="358">
        <v>39.6</v>
      </c>
      <c r="G127" s="358">
        <v>37.299999999999997</v>
      </c>
      <c r="H127" s="130"/>
      <c r="I127" s="358">
        <v>34.9</v>
      </c>
      <c r="J127" s="358">
        <v>34.5</v>
      </c>
      <c r="K127" s="358">
        <v>40.9</v>
      </c>
      <c r="L127" s="358">
        <v>39.5</v>
      </c>
      <c r="M127" s="126">
        <f t="shared" si="418"/>
        <v>149.80000000000001</v>
      </c>
      <c r="N127" s="358">
        <v>37</v>
      </c>
      <c r="O127" s="358">
        <v>37</v>
      </c>
      <c r="P127" s="358">
        <v>35.5</v>
      </c>
      <c r="Q127" s="358">
        <v>32.9</v>
      </c>
      <c r="R127" s="126">
        <f t="shared" si="419"/>
        <v>142.4</v>
      </c>
      <c r="S127" s="358">
        <v>32.9</v>
      </c>
      <c r="T127" s="358">
        <v>32.299999999999997</v>
      </c>
      <c r="U127" s="358">
        <v>30.6</v>
      </c>
      <c r="V127" s="358">
        <v>30.7</v>
      </c>
      <c r="W127" s="126">
        <f t="shared" si="420"/>
        <v>126.49999999999999</v>
      </c>
      <c r="X127" s="358">
        <v>28.7</v>
      </c>
      <c r="Y127" s="358">
        <f>(X127/(X66+X99+X114+X127))*'CFS (F1Q23)'!Y7*0.95</f>
        <v>29.94266891264914</v>
      </c>
      <c r="Z127" s="358">
        <f>(Y127/(Y66+Y99+Y114+Y127))*'CFS (F1Q23)'!Z7*0.95</f>
        <v>32.129066178972224</v>
      </c>
      <c r="AA127" s="358">
        <f>(Z127/(Z66+Z99+Z114+Z127))*'CFS (F1Q23)'!AA7*0.95</f>
        <v>32.64876155688021</v>
      </c>
      <c r="AB127" s="126">
        <f t="shared" si="421"/>
        <v>123.42049664850157</v>
      </c>
      <c r="AC127" s="358">
        <f>(AA127/(AA66+AA99+AA114+AA127))*'CFS (F1Q23)'!AC7*0.95</f>
        <v>33.785552247933182</v>
      </c>
      <c r="AD127" s="358">
        <f>(AC127/(AC66+AC99+AC114+AC127))*'CFS (F1Q23)'!AD7*0.95</f>
        <v>35.319883554475403</v>
      </c>
      <c r="AE127" s="358">
        <f>(AD127/(AD66+AD99+AD114+AD127))*'CFS (F1Q23)'!AE7*0.95</f>
        <v>36.395374215371227</v>
      </c>
      <c r="AF127" s="358">
        <f>(AE127/(AE66+AE99+AE114+AE127))*'CFS (F1Q23)'!AF7*0.95</f>
        <v>37.410777586940704</v>
      </c>
      <c r="AG127" s="126">
        <f t="shared" si="422"/>
        <v>142.91158760472049</v>
      </c>
      <c r="AH127" s="358">
        <f>(AF127/(AF66+AF99+AF114+AF127))*'CFS (F1Q23)'!AH7*0.95</f>
        <v>38.661576703626665</v>
      </c>
      <c r="AI127" s="358">
        <f>(AH127/(AH66+AH99+AH114+AH127))*'CFS (F1Q23)'!AI7*0.95</f>
        <v>39.675663806110883</v>
      </c>
      <c r="AJ127" s="358">
        <f>(AI127/(AI66+AI99+AI114+AI127))*'CFS (F1Q23)'!AJ7*0.95</f>
        <v>40.410511321332869</v>
      </c>
      <c r="AK127" s="358">
        <f>(AJ127/(AJ66+AJ99+AJ114+AJ127))*'CFS (F1Q23)'!AK7*0.95</f>
        <v>41.35581761089265</v>
      </c>
      <c r="AL127" s="126">
        <f t="shared" si="423"/>
        <v>160.10356944196306</v>
      </c>
      <c r="AM127" s="358">
        <f>(AK127/(AK66+AK99+AK114+AK127))*'CFS (F1Q23)'!AM7*0.95</f>
        <v>42.406998500680331</v>
      </c>
      <c r="AN127" s="358">
        <f>(AM127/(AM66+AM99+AM114+AM127))*'CFS (F1Q23)'!AN7*0.95</f>
        <v>43.45814021868226</v>
      </c>
      <c r="AO127" s="358">
        <f>(AN127/(AN66+AN99+AN114+AN127))*'CFS (F1Q23)'!AO7*0.95</f>
        <v>44.260072711726764</v>
      </c>
      <c r="AP127" s="358">
        <f>(AO127/(AO66+AO99+AO114+AO127))*'CFS (F1Q23)'!AP7*0.95</f>
        <v>45.311421682129136</v>
      </c>
      <c r="AQ127" s="126">
        <f t="shared" si="424"/>
        <v>175.43663311321848</v>
      </c>
      <c r="AR127" s="358">
        <f>(AP127/(AP66+AP99+AP114+AP127))*'CFS (F1Q23)'!AR7*0.95</f>
        <v>46.426984556429773</v>
      </c>
      <c r="AS127" s="358">
        <f>(AR127/(AR66+AR99+AR114+AR127))*'CFS (F1Q23)'!AS7*0.95</f>
        <v>47.464233711064239</v>
      </c>
      <c r="AT127" s="358">
        <f>(AS127/(AS66+AS99+AS114+AS127))*'CFS (F1Q23)'!AT7*0.95</f>
        <v>48.255196265413453</v>
      </c>
      <c r="AU127" s="358">
        <f>(AT127/(AT66+AT99+AT114+AT127))*'CFS (F1Q23)'!AU7*0.95</f>
        <v>49.315247438869157</v>
      </c>
      <c r="AV127" s="126">
        <f t="shared" si="425"/>
        <v>191.46166197177664</v>
      </c>
    </row>
    <row r="128" spans="2:48" outlineLevel="1" x14ac:dyDescent="0.3">
      <c r="B128" s="180" t="s">
        <v>35</v>
      </c>
      <c r="C128" s="18"/>
      <c r="D128" s="48">
        <v>300.39999999999998</v>
      </c>
      <c r="E128" s="48">
        <v>303.89999999999998</v>
      </c>
      <c r="F128" s="48">
        <v>299</v>
      </c>
      <c r="G128" s="105">
        <v>267.39999999999998</v>
      </c>
      <c r="H128" s="170"/>
      <c r="I128" s="105">
        <v>292.2</v>
      </c>
      <c r="J128" s="105">
        <v>271.60000000000002</v>
      </c>
      <c r="K128" s="105">
        <v>269.10000000000002</v>
      </c>
      <c r="L128" s="105">
        <v>288.8</v>
      </c>
      <c r="M128" s="31">
        <f t="shared" si="418"/>
        <v>1121.7</v>
      </c>
      <c r="N128" s="105">
        <v>316.5</v>
      </c>
      <c r="O128" s="105">
        <v>304.60000000000002</v>
      </c>
      <c r="P128" s="105">
        <v>326.5</v>
      </c>
      <c r="Q128" s="105">
        <v>321</v>
      </c>
      <c r="R128" s="31">
        <f t="shared" si="419"/>
        <v>1268.5999999999999</v>
      </c>
      <c r="S128" s="105">
        <v>354.5</v>
      </c>
      <c r="T128" s="105">
        <v>328.1</v>
      </c>
      <c r="U128" s="105">
        <v>326.10000000000002</v>
      </c>
      <c r="V128" s="105">
        <v>362.5</v>
      </c>
      <c r="W128" s="31">
        <f t="shared" si="420"/>
        <v>1371.2</v>
      </c>
      <c r="X128" s="105">
        <v>396.1</v>
      </c>
      <c r="Y128" s="105">
        <f>AVERAGE(X128,V128,U128,T128)</f>
        <v>353.20000000000005</v>
      </c>
      <c r="Z128" s="105">
        <f>AVERAGE(Y128,X128,V128,U128)</f>
        <v>359.47500000000002</v>
      </c>
      <c r="AA128" s="105">
        <f>AVERAGE(Z128,Y128,X128,V128)</f>
        <v>367.81875000000002</v>
      </c>
      <c r="AB128" s="31">
        <f t="shared" si="421"/>
        <v>1476.59375</v>
      </c>
      <c r="AC128" s="105">
        <f>AVERAGE(X128,AA128,Z128,Y128)</f>
        <v>369.14843750000006</v>
      </c>
      <c r="AD128" s="105">
        <f>AVERAGE(AC128,AA128,Z128,Y128)</f>
        <v>362.41054687500008</v>
      </c>
      <c r="AE128" s="105">
        <f>AVERAGE(AD128,AC128,AA128,Z128)</f>
        <v>364.71318359375005</v>
      </c>
      <c r="AF128" s="105">
        <f>AVERAGE(AE128,AD128,AC128,AA128)</f>
        <v>366.02272949218752</v>
      </c>
      <c r="AG128" s="31">
        <f t="shared" si="422"/>
        <v>1462.2948974609376</v>
      </c>
      <c r="AH128" s="105">
        <f>AVERAGE(AC128,AF128,AE128,AD128)</f>
        <v>365.57372436523445</v>
      </c>
      <c r="AI128" s="105">
        <f>AVERAGE(AH128,AF128,AE128,AD128)</f>
        <v>364.68004608154303</v>
      </c>
      <c r="AJ128" s="105">
        <f>AVERAGE(AI128,AH128,AF128,AE128)</f>
        <v>365.24742088317879</v>
      </c>
      <c r="AK128" s="105">
        <f>AVERAGE(AJ128,AI128,AH128,AF128)</f>
        <v>365.38098020553593</v>
      </c>
      <c r="AL128" s="31">
        <f t="shared" si="423"/>
        <v>1460.8821715354923</v>
      </c>
      <c r="AM128" s="105">
        <f>AVERAGE(AH128,AK128,AJ128,AI128)</f>
        <v>365.22054288387307</v>
      </c>
      <c r="AN128" s="105">
        <f>AVERAGE(AM128,AK128,AJ128,AI128)</f>
        <v>365.13224751353272</v>
      </c>
      <c r="AO128" s="105">
        <f>AVERAGE(AN128,AM128,AK128,AJ128)</f>
        <v>365.24529787153011</v>
      </c>
      <c r="AP128" s="105">
        <f>AVERAGE(AO128,AN128,AM128,AK128)</f>
        <v>365.24476711861797</v>
      </c>
      <c r="AQ128" s="31">
        <f t="shared" si="424"/>
        <v>1460.842855387554</v>
      </c>
      <c r="AR128" s="105">
        <f>AVERAGE(AM128,AP128,AO128,AN128)</f>
        <v>365.2107138468885</v>
      </c>
      <c r="AS128" s="105">
        <f>AVERAGE(AR128,AP128,AO128,AN128)</f>
        <v>365.20825658764232</v>
      </c>
      <c r="AT128" s="105">
        <f>AVERAGE(AS128,AR128,AP128,AO128)</f>
        <v>365.22725885616973</v>
      </c>
      <c r="AU128" s="105">
        <f>AVERAGE(AT128,AS128,AR128,AP128)</f>
        <v>365.22274910232966</v>
      </c>
      <c r="AV128" s="31">
        <f t="shared" si="425"/>
        <v>1460.8689783930304</v>
      </c>
    </row>
    <row r="129" spans="2:48" ht="16.2" outlineLevel="1" x14ac:dyDescent="0.45">
      <c r="B129" s="180" t="s">
        <v>42</v>
      </c>
      <c r="C129" s="18"/>
      <c r="D129" s="119">
        <v>13.9</v>
      </c>
      <c r="E129" s="119">
        <v>0.6</v>
      </c>
      <c r="F129" s="119">
        <v>6</v>
      </c>
      <c r="G129" s="119">
        <v>-0.9</v>
      </c>
      <c r="H129" s="131"/>
      <c r="I129" s="119">
        <v>0.3</v>
      </c>
      <c r="J129" s="119">
        <v>0</v>
      </c>
      <c r="K129" s="119">
        <v>22.1</v>
      </c>
      <c r="L129" s="119">
        <v>0</v>
      </c>
      <c r="M129" s="193">
        <f t="shared" si="418"/>
        <v>22.400000000000002</v>
      </c>
      <c r="N129" s="119">
        <v>0</v>
      </c>
      <c r="O129" s="119">
        <v>0</v>
      </c>
      <c r="P129" s="119">
        <v>0</v>
      </c>
      <c r="Q129" s="119">
        <v>15</v>
      </c>
      <c r="R129" s="193">
        <f t="shared" si="419"/>
        <v>15</v>
      </c>
      <c r="S129" s="119">
        <v>0</v>
      </c>
      <c r="T129" s="119">
        <v>0</v>
      </c>
      <c r="U129" s="119">
        <v>2</v>
      </c>
      <c r="V129" s="119">
        <v>10.7</v>
      </c>
      <c r="W129" s="193">
        <f t="shared" si="420"/>
        <v>12.7</v>
      </c>
      <c r="X129" s="119">
        <v>0.7</v>
      </c>
      <c r="Y129" s="119">
        <f t="shared" ref="Y129:AA129" si="426">IFERROR((Y163*(X129/X163)),0)</f>
        <v>0</v>
      </c>
      <c r="Z129" s="119">
        <f t="shared" si="426"/>
        <v>0</v>
      </c>
      <c r="AA129" s="119">
        <f t="shared" si="426"/>
        <v>0</v>
      </c>
      <c r="AB129" s="193">
        <f t="shared" si="421"/>
        <v>0.7</v>
      </c>
      <c r="AC129" s="119">
        <f>IFERROR((AC163*(AA129/AA163)),0)</f>
        <v>0</v>
      </c>
      <c r="AD129" s="119">
        <f t="shared" ref="AD129:AF129" si="427">IFERROR((AD163*(AC129/AC163)),0)</f>
        <v>0</v>
      </c>
      <c r="AE129" s="119">
        <f t="shared" si="427"/>
        <v>0</v>
      </c>
      <c r="AF129" s="119">
        <f t="shared" si="427"/>
        <v>0</v>
      </c>
      <c r="AG129" s="193">
        <f t="shared" si="422"/>
        <v>0</v>
      </c>
      <c r="AH129" s="119">
        <f>IFERROR((AH163*(AF129/AF163)),0)</f>
        <v>0</v>
      </c>
      <c r="AI129" s="119">
        <f t="shared" ref="AI129:AK129" si="428">IFERROR((AI163*(AH129/AH163)),0)</f>
        <v>0</v>
      </c>
      <c r="AJ129" s="119">
        <f t="shared" si="428"/>
        <v>0</v>
      </c>
      <c r="AK129" s="119">
        <f t="shared" si="428"/>
        <v>0</v>
      </c>
      <c r="AL129" s="193">
        <f t="shared" si="423"/>
        <v>0</v>
      </c>
      <c r="AM129" s="119">
        <f>IFERROR((AM163*(AK129/AK163)),0)</f>
        <v>0</v>
      </c>
      <c r="AN129" s="119">
        <f t="shared" ref="AN129:AP129" si="429">IFERROR((AN163*(AM129/AM163)),0)</f>
        <v>0</v>
      </c>
      <c r="AO129" s="119">
        <f t="shared" si="429"/>
        <v>0</v>
      </c>
      <c r="AP129" s="119">
        <f t="shared" si="429"/>
        <v>0</v>
      </c>
      <c r="AQ129" s="193">
        <f t="shared" si="424"/>
        <v>0</v>
      </c>
      <c r="AR129" s="119">
        <f>IFERROR((AR163*(AP129/AP163)),0)</f>
        <v>0</v>
      </c>
      <c r="AS129" s="119">
        <f t="shared" ref="AS129:AU129" si="430">IFERROR((AS163*(AR129/AR163)),0)</f>
        <v>0</v>
      </c>
      <c r="AT129" s="119">
        <f t="shared" si="430"/>
        <v>0</v>
      </c>
      <c r="AU129" s="119">
        <f t="shared" si="430"/>
        <v>0</v>
      </c>
      <c r="AV129" s="193">
        <f t="shared" si="425"/>
        <v>0</v>
      </c>
    </row>
    <row r="130" spans="2:48" outlineLevel="1" x14ac:dyDescent="0.3">
      <c r="B130" s="46" t="s">
        <v>56</v>
      </c>
      <c r="C130" s="19"/>
      <c r="D130" s="103">
        <f>SUM(D125:D129)</f>
        <v>370.4</v>
      </c>
      <c r="E130" s="103">
        <f>SUM(E125:E129)</f>
        <v>365.2</v>
      </c>
      <c r="F130" s="103">
        <f>SUM(F125:F129)</f>
        <v>372.8</v>
      </c>
      <c r="G130" s="103">
        <f>SUM(G125:G129)</f>
        <v>324.60000000000002</v>
      </c>
      <c r="H130" s="130"/>
      <c r="I130" s="103">
        <f t="shared" ref="I130:AV130" si="431">SUM(I125:I129)</f>
        <v>350.9</v>
      </c>
      <c r="J130" s="103">
        <f t="shared" si="431"/>
        <v>320</v>
      </c>
      <c r="K130" s="103">
        <f t="shared" si="431"/>
        <v>356.90000000000003</v>
      </c>
      <c r="L130" s="50">
        <f t="shared" si="431"/>
        <v>343.3</v>
      </c>
      <c r="M130" s="51">
        <f t="shared" si="431"/>
        <v>1371.1000000000001</v>
      </c>
      <c r="N130" s="50">
        <f t="shared" si="431"/>
        <v>376.1</v>
      </c>
      <c r="O130" s="50">
        <f t="shared" si="431"/>
        <v>364.40000000000003</v>
      </c>
      <c r="P130" s="50">
        <f t="shared" si="431"/>
        <v>385.1</v>
      </c>
      <c r="Q130" s="50">
        <f t="shared" si="431"/>
        <v>401.6</v>
      </c>
      <c r="R130" s="51">
        <f t="shared" si="431"/>
        <v>1527.1999999999998</v>
      </c>
      <c r="S130" s="50">
        <f t="shared" si="431"/>
        <v>413.2</v>
      </c>
      <c r="T130" s="50">
        <f t="shared" si="431"/>
        <v>385.6</v>
      </c>
      <c r="U130" s="50">
        <f t="shared" si="431"/>
        <v>388.90000000000003</v>
      </c>
      <c r="V130" s="50">
        <f t="shared" si="431"/>
        <v>427.59999999999997</v>
      </c>
      <c r="W130" s="51">
        <f t="shared" si="431"/>
        <v>1615.3</v>
      </c>
      <c r="X130" s="103">
        <f t="shared" si="431"/>
        <v>430.3</v>
      </c>
      <c r="Y130" s="50">
        <f t="shared" si="431"/>
        <v>404.11766891264915</v>
      </c>
      <c r="Z130" s="50">
        <f t="shared" si="431"/>
        <v>411.52281617897222</v>
      </c>
      <c r="AA130" s="50">
        <f t="shared" si="431"/>
        <v>417.81594905688024</v>
      </c>
      <c r="AB130" s="51">
        <f t="shared" si="431"/>
        <v>1663.7564341485015</v>
      </c>
      <c r="AC130" s="50">
        <f t="shared" si="431"/>
        <v>418.69453662293324</v>
      </c>
      <c r="AD130" s="50">
        <f t="shared" si="431"/>
        <v>416.23111402322547</v>
      </c>
      <c r="AE130" s="50">
        <f t="shared" si="431"/>
        <v>418.99066230130876</v>
      </c>
      <c r="AF130" s="50">
        <f t="shared" si="431"/>
        <v>420.80645019436258</v>
      </c>
      <c r="AG130" s="51">
        <f t="shared" si="431"/>
        <v>1674.72276314183</v>
      </c>
      <c r="AH130" s="50">
        <f t="shared" si="431"/>
        <v>421.61437058790409</v>
      </c>
      <c r="AI130" s="50">
        <f t="shared" si="431"/>
        <v>422.13941006770762</v>
      </c>
      <c r="AJ130" s="50">
        <f t="shared" si="431"/>
        <v>423.26238653114132</v>
      </c>
      <c r="AK130" s="50">
        <f t="shared" si="431"/>
        <v>424.27183960166877</v>
      </c>
      <c r="AL130" s="51">
        <f t="shared" si="431"/>
        <v>1691.2880067884219</v>
      </c>
      <c r="AM130" s="50">
        <f t="shared" si="431"/>
        <v>425.20310783729502</v>
      </c>
      <c r="AN130" s="50">
        <f t="shared" si="431"/>
        <v>426.21507841838127</v>
      </c>
      <c r="AO130" s="50">
        <f t="shared" si="431"/>
        <v>427.0903088959513</v>
      </c>
      <c r="AP130" s="50">
        <f t="shared" si="431"/>
        <v>428.13624810995771</v>
      </c>
      <c r="AQ130" s="51">
        <f t="shared" si="431"/>
        <v>1706.6447432615855</v>
      </c>
      <c r="AR130" s="50">
        <f t="shared" si="431"/>
        <v>429.22901209352153</v>
      </c>
      <c r="AS130" s="50">
        <f t="shared" si="431"/>
        <v>430.26774079827521</v>
      </c>
      <c r="AT130" s="50">
        <f t="shared" si="431"/>
        <v>431.07034557450243</v>
      </c>
      <c r="AU130" s="50">
        <f t="shared" si="431"/>
        <v>432.12662502917425</v>
      </c>
      <c r="AV130" s="51">
        <f t="shared" si="431"/>
        <v>1722.6937234954735</v>
      </c>
    </row>
    <row r="131" spans="2:48" outlineLevel="1" x14ac:dyDescent="0.3">
      <c r="B131" s="46" t="s">
        <v>57</v>
      </c>
      <c r="C131" s="44"/>
      <c r="D131" s="156">
        <f>D123-D130</f>
        <v>-358.79999999999995</v>
      </c>
      <c r="E131" s="156">
        <f>E123-E130</f>
        <v>-349.4</v>
      </c>
      <c r="F131" s="156">
        <f>F123-F130</f>
        <v>-349.5</v>
      </c>
      <c r="G131" s="156">
        <f>G123-G130</f>
        <v>-309.20000000000005</v>
      </c>
      <c r="H131" s="158"/>
      <c r="I131" s="156">
        <f t="shared" ref="I131:AV131" si="432">I123-I130</f>
        <v>-330.4</v>
      </c>
      <c r="J131" s="156">
        <f t="shared" si="432"/>
        <v>-308</v>
      </c>
      <c r="K131" s="156">
        <f t="shared" si="432"/>
        <v>-337.20000000000005</v>
      </c>
      <c r="L131" s="74">
        <f t="shared" si="432"/>
        <v>-329.40000000000003</v>
      </c>
      <c r="M131" s="194">
        <f t="shared" si="432"/>
        <v>-1305.0000000000002</v>
      </c>
      <c r="N131" s="74">
        <f t="shared" si="432"/>
        <v>-355.6</v>
      </c>
      <c r="O131" s="74">
        <f t="shared" si="432"/>
        <v>-341.8</v>
      </c>
      <c r="P131" s="74">
        <f t="shared" si="432"/>
        <v>-361.3</v>
      </c>
      <c r="Q131" s="74">
        <f t="shared" si="432"/>
        <v>-370.8</v>
      </c>
      <c r="R131" s="194">
        <f t="shared" si="432"/>
        <v>-1429.4999999999998</v>
      </c>
      <c r="S131" s="74">
        <f t="shared" si="432"/>
        <v>-388.09999999999997</v>
      </c>
      <c r="T131" s="74">
        <f t="shared" si="432"/>
        <v>-361.20000000000005</v>
      </c>
      <c r="U131" s="74">
        <f t="shared" si="432"/>
        <v>-361.6</v>
      </c>
      <c r="V131" s="74">
        <f t="shared" si="432"/>
        <v>-408.49999999999994</v>
      </c>
      <c r="W131" s="194">
        <f t="shared" si="432"/>
        <v>-1519.3999999999999</v>
      </c>
      <c r="X131" s="156">
        <f t="shared" si="432"/>
        <v>-426</v>
      </c>
      <c r="Y131" s="74">
        <f t="shared" si="432"/>
        <v>-377.27766891264918</v>
      </c>
      <c r="Z131" s="74">
        <f t="shared" si="432"/>
        <v>-381.49281617897219</v>
      </c>
      <c r="AA131" s="74">
        <f t="shared" si="432"/>
        <v>-396.80594905688025</v>
      </c>
      <c r="AB131" s="194">
        <f t="shared" si="432"/>
        <v>-1581.5764341485014</v>
      </c>
      <c r="AC131" s="74">
        <f t="shared" si="432"/>
        <v>-413.96453662293322</v>
      </c>
      <c r="AD131" s="74">
        <f t="shared" si="432"/>
        <v>-386.70711402322547</v>
      </c>
      <c r="AE131" s="74">
        <f t="shared" si="432"/>
        <v>-385.95766230130874</v>
      </c>
      <c r="AF131" s="74">
        <f t="shared" si="432"/>
        <v>-397.69545019436259</v>
      </c>
      <c r="AG131" s="194">
        <f t="shared" si="432"/>
        <v>-1584.3247631418301</v>
      </c>
      <c r="AH131" s="74">
        <f t="shared" si="432"/>
        <v>-416.41137058790412</v>
      </c>
      <c r="AI131" s="74">
        <f t="shared" si="432"/>
        <v>-389.6630100677076</v>
      </c>
      <c r="AJ131" s="74">
        <f t="shared" si="432"/>
        <v>-386.92608653114132</v>
      </c>
      <c r="AK131" s="74">
        <f t="shared" si="432"/>
        <v>-398.84973960166877</v>
      </c>
      <c r="AL131" s="194">
        <f t="shared" si="432"/>
        <v>-1591.8502067884219</v>
      </c>
      <c r="AM131" s="74">
        <f t="shared" si="432"/>
        <v>-419.47980783729503</v>
      </c>
      <c r="AN131" s="74">
        <f t="shared" si="432"/>
        <v>-390.49103841838127</v>
      </c>
      <c r="AO131" s="74">
        <f t="shared" si="432"/>
        <v>-387.12037889595126</v>
      </c>
      <c r="AP131" s="74">
        <f t="shared" si="432"/>
        <v>-400.17193810995769</v>
      </c>
      <c r="AQ131" s="194">
        <f t="shared" si="432"/>
        <v>-1597.2631632615855</v>
      </c>
      <c r="AR131" s="74">
        <f t="shared" si="432"/>
        <v>-422.93338209352152</v>
      </c>
      <c r="AS131" s="74">
        <f t="shared" si="432"/>
        <v>-390.9712967982752</v>
      </c>
      <c r="AT131" s="74">
        <f t="shared" si="432"/>
        <v>-387.10342257450242</v>
      </c>
      <c r="AU131" s="74">
        <f t="shared" si="432"/>
        <v>-401.36588402917425</v>
      </c>
      <c r="AV131" s="194">
        <f t="shared" si="432"/>
        <v>-1602.3739854954733</v>
      </c>
    </row>
    <row r="132" spans="2:48" ht="17.399999999999999" x14ac:dyDescent="0.45">
      <c r="B132" s="583" t="s">
        <v>14</v>
      </c>
      <c r="C132" s="584"/>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4" t="s">
        <v>408</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0</v>
      </c>
      <c r="W133" s="66"/>
      <c r="X133" s="65">
        <f>+X45+X78-X5</f>
        <v>0</v>
      </c>
      <c r="Y133" s="65">
        <f>+Y45+Y78-Y5</f>
        <v>0</v>
      </c>
      <c r="Z133" s="121">
        <f>+Z45+Z78-Z5</f>
        <v>0</v>
      </c>
      <c r="AA133" s="65">
        <f>+AA45+AA78-AA5</f>
        <v>0</v>
      </c>
      <c r="AB133" s="66"/>
      <c r="AC133" s="65">
        <f>+AC45+AC78-AC5</f>
        <v>0</v>
      </c>
      <c r="AD133" s="65">
        <f>+AD45+AD78-AD5</f>
        <v>0</v>
      </c>
      <c r="AE133" s="121">
        <f>+AE45+AE78-AE5</f>
        <v>0</v>
      </c>
      <c r="AF133" s="65">
        <f>+AF45+AF78-AF5</f>
        <v>0</v>
      </c>
      <c r="AG133" s="66"/>
      <c r="AH133" s="65">
        <f>+AH45+AH78-AH5</f>
        <v>0</v>
      </c>
      <c r="AI133" s="65">
        <f>+AI45+AI78-AI5</f>
        <v>0</v>
      </c>
      <c r="AJ133" s="121">
        <f>+AJ45+AJ78-AJ5</f>
        <v>0</v>
      </c>
      <c r="AK133" s="65">
        <f>+AK45+AK78-AK5</f>
        <v>0</v>
      </c>
      <c r="AL133" s="66"/>
      <c r="AM133" s="65">
        <f>+AM45+AM78-AM5</f>
        <v>0</v>
      </c>
      <c r="AN133" s="65">
        <f>+AN45+AN78-AN5</f>
        <v>0</v>
      </c>
      <c r="AO133" s="121">
        <f>+AO45+AO78-AO5</f>
        <v>0</v>
      </c>
      <c r="AP133" s="65">
        <f>+AP45+AP78-AP5</f>
        <v>0</v>
      </c>
      <c r="AQ133" s="66"/>
      <c r="AR133" s="65">
        <f>+AR45+AR78-AR5</f>
        <v>0</v>
      </c>
      <c r="AS133" s="65">
        <f>+AS45+AS78-AS5</f>
        <v>0</v>
      </c>
      <c r="AT133" s="121">
        <f>+AT45+AT78-AT5</f>
        <v>0</v>
      </c>
      <c r="AU133" s="65">
        <f>+AU45+AU78-AU5</f>
        <v>0</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0</v>
      </c>
      <c r="Z134" s="121">
        <f>+Z54+Z87-Z6</f>
        <v>0</v>
      </c>
      <c r="AA134" s="65">
        <f>+AA54+AA87-AA6</f>
        <v>0</v>
      </c>
      <c r="AB134" s="66"/>
      <c r="AC134" s="65">
        <f>+AC54+AC87-AC6</f>
        <v>0</v>
      </c>
      <c r="AD134" s="65">
        <f>+AD54+AD87-AD6</f>
        <v>0</v>
      </c>
      <c r="AE134" s="121">
        <f>+AE54+AE87-AE6</f>
        <v>0</v>
      </c>
      <c r="AF134" s="65">
        <f>+AF54+AF87-AF6</f>
        <v>0</v>
      </c>
      <c r="AG134" s="66"/>
      <c r="AH134" s="65">
        <f>+AH54+AH87-AH6</f>
        <v>0</v>
      </c>
      <c r="AI134" s="65">
        <f>+AI54+AI87-AI6</f>
        <v>0</v>
      </c>
      <c r="AJ134" s="121">
        <f>+AJ54+AJ87-AJ6</f>
        <v>0</v>
      </c>
      <c r="AK134" s="65">
        <f>+AK54+AK87-AK6</f>
        <v>0</v>
      </c>
      <c r="AL134" s="66"/>
      <c r="AM134" s="65">
        <f>+AM54+AM87-AM6</f>
        <v>0</v>
      </c>
      <c r="AN134" s="65">
        <f>+AN54+AN87-AN6</f>
        <v>0</v>
      </c>
      <c r="AO134" s="121">
        <f>+AO54+AO87-AO6</f>
        <v>0</v>
      </c>
      <c r="AP134" s="65">
        <f>+AP54+AP87-AP6</f>
        <v>0</v>
      </c>
      <c r="AQ134" s="66"/>
      <c r="AR134" s="65">
        <f>+AR54+AR87-AR6</f>
        <v>0</v>
      </c>
      <c r="AS134" s="65">
        <f>+AS54+AS87-AS6</f>
        <v>0</v>
      </c>
      <c r="AT134" s="121">
        <f>+AT54+AT87-AT6</f>
        <v>0</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0</v>
      </c>
      <c r="W135" s="66"/>
      <c r="X135" s="65">
        <f>+X55+X88+X108+X123-X7</f>
        <v>0</v>
      </c>
      <c r="Y135" s="65">
        <f>+Y55+Y88+Y108+Y123-Y7</f>
        <v>0</v>
      </c>
      <c r="Z135" s="121">
        <f>+Z55+Z88+Z108+Z123-Z7</f>
        <v>0</v>
      </c>
      <c r="AA135" s="65">
        <f>+AA55+AA88+AA108+AA123-AA7</f>
        <v>0</v>
      </c>
      <c r="AB135" s="66"/>
      <c r="AC135" s="65">
        <f>+AC55+AC88+AC108+AC123-AC7</f>
        <v>0</v>
      </c>
      <c r="AD135" s="65">
        <f>+AD55+AD88+AD108+AD123-AD7</f>
        <v>0</v>
      </c>
      <c r="AE135" s="121">
        <f>+AE55+AE88+AE108+AE123-AE7</f>
        <v>0</v>
      </c>
      <c r="AF135" s="65">
        <f>+AF55+AF88+AF108+AF123-AF7</f>
        <v>0</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0</v>
      </c>
      <c r="AQ135" s="66"/>
      <c r="AR135" s="65">
        <f>+AR55+AR88+AR108+AR123-AR7</f>
        <v>0</v>
      </c>
      <c r="AS135" s="65">
        <f>+AS55+AS88+AS108+AS123-AS7</f>
        <v>0</v>
      </c>
      <c r="AT135" s="121">
        <f>+AT55+AT88+AT108+AT123-AT7</f>
        <v>0</v>
      </c>
      <c r="AU135" s="65">
        <f>+AU55+AU88+AU108+AU123-AU7</f>
        <v>0</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9.9999999998544808E-2</v>
      </c>
      <c r="H137" s="66"/>
      <c r="I137" s="65">
        <f>+I71+I105+I120+I131-I17</f>
        <v>0</v>
      </c>
      <c r="J137" s="65">
        <f>+J71+J105+J120+J131-J17</f>
        <v>6.8212102632969618E-13</v>
      </c>
      <c r="K137" s="121">
        <f>+K71+K105+K120+K131-K17</f>
        <v>0</v>
      </c>
      <c r="L137" s="65">
        <f>+L71+L105+L120+L131-L17</f>
        <v>-2.0999999999996817</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2.2737367544323206E-12</v>
      </c>
      <c r="W137" s="66"/>
      <c r="X137" s="65">
        <f>+X71+X105+X120+X131-X17</f>
        <v>0</v>
      </c>
      <c r="Y137" s="65">
        <f>+Y71+Y105+Y120+Y131-Y17</f>
        <v>0</v>
      </c>
      <c r="Z137" s="121">
        <f>+Z71+Z105+Z120+Z131-Z17</f>
        <v>0</v>
      </c>
      <c r="AA137" s="65">
        <f>+AA71+AA105+AA120+AA131-AA17</f>
        <v>0</v>
      </c>
      <c r="AB137" s="66"/>
      <c r="AC137" s="65">
        <f>+AC71+AC105+AC120+AC131-AC17</f>
        <v>0</v>
      </c>
      <c r="AD137" s="65">
        <f>+AD71+AD105+AD120+AD131-AD17</f>
        <v>0</v>
      </c>
      <c r="AE137" s="121">
        <f>+AE71+AE105+AE120+AE131-AE17</f>
        <v>0</v>
      </c>
      <c r="AF137" s="65">
        <f>+AF71+AF105+AF120+AF131-AF17</f>
        <v>0</v>
      </c>
      <c r="AG137" s="66"/>
      <c r="AH137" s="65">
        <f>+AH71+AH105+AH120+AH131-AH17</f>
        <v>0</v>
      </c>
      <c r="AI137" s="65">
        <f>+AI71+AI105+AI120+AI131-AI17</f>
        <v>0</v>
      </c>
      <c r="AJ137" s="121">
        <f>+AJ71+AJ105+AJ120+AJ131-AJ17</f>
        <v>0</v>
      </c>
      <c r="AK137" s="65">
        <f>+AK71+AK105+AK120+AK131-AK17</f>
        <v>0</v>
      </c>
      <c r="AL137" s="66"/>
      <c r="AM137" s="65">
        <f>+AM71+AM105+AM120+AM131-AM17</f>
        <v>0</v>
      </c>
      <c r="AN137" s="65">
        <f>+AN71+AN105+AN120+AN131-AN17</f>
        <v>0</v>
      </c>
      <c r="AO137" s="121">
        <f>+AO71+AO105+AO120+AO131-AO17</f>
        <v>0</v>
      </c>
      <c r="AP137" s="65">
        <f>+AP71+AP105+AP120+AP131-AP17</f>
        <v>0</v>
      </c>
      <c r="AQ137" s="66"/>
      <c r="AR137" s="65">
        <f>+AR71+AR105+AR120+AR131-AR17</f>
        <v>0</v>
      </c>
      <c r="AS137" s="65">
        <f>+AS71+AS105+AS120+AS131-AS17</f>
        <v>0</v>
      </c>
      <c r="AT137" s="121">
        <f>+AT71+AT105+AT120+AT131-AT17</f>
        <v>0</v>
      </c>
      <c r="AU137" s="65">
        <f>+AU71+AU105+AU120+AU131-AU17</f>
        <v>0</v>
      </c>
      <c r="AV137" s="66"/>
    </row>
    <row r="138" spans="2:48" ht="15" customHeight="1" x14ac:dyDescent="0.45">
      <c r="B138" s="583" t="s">
        <v>9</v>
      </c>
      <c r="C138" s="584"/>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4" t="s">
        <v>408</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c r="E139" s="27"/>
      <c r="F139" s="27"/>
      <c r="G139" s="27"/>
      <c r="H139" s="29"/>
      <c r="I139" s="27"/>
      <c r="J139" s="27"/>
      <c r="K139" s="27"/>
      <c r="L139" s="113"/>
      <c r="M139" s="137"/>
      <c r="N139" s="113"/>
      <c r="O139" s="113"/>
      <c r="P139" s="113"/>
      <c r="Q139" s="113"/>
      <c r="R139" s="29"/>
      <c r="S139" s="113"/>
      <c r="T139" s="113"/>
      <c r="U139" s="113"/>
      <c r="V139" s="113"/>
      <c r="W139" s="137"/>
      <c r="X139" s="113"/>
      <c r="Y139" s="113"/>
      <c r="Z139" s="113"/>
      <c r="AA139" s="113"/>
      <c r="AB139" s="137">
        <f>(AB91+AB58)/(W83+W74+W50+W41)</f>
        <v>6.9306376186609162E-2</v>
      </c>
      <c r="AC139" s="113"/>
      <c r="AD139" s="113"/>
      <c r="AE139" s="113"/>
      <c r="AF139" s="113"/>
      <c r="AG139" s="137">
        <f>(AG91+AG58)/(AB83+AB74+AB50+AB41)</f>
        <v>6.9580474519457397E-2</v>
      </c>
      <c r="AH139" s="113"/>
      <c r="AI139" s="113"/>
      <c r="AJ139" s="113"/>
      <c r="AK139" s="113"/>
      <c r="AL139" s="406">
        <f>(AL91+AL58)/(AG83+AG74+AG50+AG41)</f>
        <v>6.9608011164703873E-2</v>
      </c>
      <c r="AM139" s="113"/>
      <c r="AN139" s="113"/>
      <c r="AO139" s="113"/>
      <c r="AP139" s="113"/>
      <c r="AQ139" s="137">
        <f>(AQ91+AQ58)/(AL83+AL74+AL50+AL41)</f>
        <v>2.911687954951243E-2</v>
      </c>
      <c r="AR139" s="113"/>
      <c r="AS139" s="113"/>
      <c r="AT139" s="113"/>
      <c r="AU139" s="113"/>
      <c r="AV139" s="137">
        <f>(AV91+AV58)/(AQ83+AQ74+AQ50+AQ41)</f>
        <v>2.8293073535299612E-2</v>
      </c>
    </row>
    <row r="140" spans="2:48" s="23" customFormat="1" outlineLevel="1" x14ac:dyDescent="0.3">
      <c r="B140" s="580" t="s">
        <v>17</v>
      </c>
      <c r="C140" s="581"/>
      <c r="D140" s="30"/>
      <c r="E140" s="30"/>
      <c r="F140" s="30"/>
      <c r="G140" s="30"/>
      <c r="H140" s="137"/>
      <c r="I140" s="30">
        <f t="shared" ref="I140:AV140" si="433">I8/D8-1</f>
        <v>7.0016735266180907E-2</v>
      </c>
      <c r="J140" s="30">
        <f t="shared" si="433"/>
        <v>-4.9192026514851106E-2</v>
      </c>
      <c r="K140" s="30">
        <f t="shared" si="433"/>
        <v>-0.38119595485856661</v>
      </c>
      <c r="L140" s="113">
        <f t="shared" si="433"/>
        <v>-8.061360604713208E-2</v>
      </c>
      <c r="M140" s="128">
        <f t="shared" si="433"/>
        <v>-0.11281621813298315</v>
      </c>
      <c r="N140" s="30">
        <f t="shared" si="433"/>
        <v>-4.8991841738174613E-2</v>
      </c>
      <c r="O140" s="30">
        <f t="shared" si="433"/>
        <v>0.11213036009139876</v>
      </c>
      <c r="P140" s="30">
        <f t="shared" si="433"/>
        <v>0.77553823926482068</v>
      </c>
      <c r="Q140" s="30">
        <f t="shared" si="433"/>
        <v>0.31332720736405983</v>
      </c>
      <c r="R140" s="128">
        <f t="shared" si="433"/>
        <v>0.23567480227910509</v>
      </c>
      <c r="S140" s="30">
        <f t="shared" si="433"/>
        <v>0.19275787477405393</v>
      </c>
      <c r="T140" s="30">
        <f t="shared" si="433"/>
        <v>0.14511097780443905</v>
      </c>
      <c r="U140" s="30">
        <f t="shared" si="433"/>
        <v>8.7187354098579473E-2</v>
      </c>
      <c r="V140" s="30">
        <f t="shared" si="433"/>
        <v>3.2835381197294566E-2</v>
      </c>
      <c r="W140" s="28">
        <f t="shared" si="433"/>
        <v>0.10976029400631782</v>
      </c>
      <c r="X140" s="30">
        <f t="shared" si="433"/>
        <v>8.241826493093507E-2</v>
      </c>
      <c r="Y140" s="30">
        <f t="shared" si="433"/>
        <v>0.10198599077618598</v>
      </c>
      <c r="Z140" s="30">
        <f t="shared" si="433"/>
        <v>0.13164774092145648</v>
      </c>
      <c r="AA140" s="30">
        <f t="shared" si="433"/>
        <v>0.13253378443605324</v>
      </c>
      <c r="AB140" s="137">
        <f t="shared" si="433"/>
        <v>0.11256739482908507</v>
      </c>
      <c r="AC140" s="30">
        <f t="shared" si="433"/>
        <v>0.11744381215092603</v>
      </c>
      <c r="AD140" s="30">
        <f t="shared" si="433"/>
        <v>9.9069221774857885E-2</v>
      </c>
      <c r="AE140" s="30">
        <f t="shared" si="433"/>
        <v>9.897251940444507E-2</v>
      </c>
      <c r="AF140" s="30">
        <f t="shared" si="433"/>
        <v>0.10041070029162102</v>
      </c>
      <c r="AG140" s="137">
        <f t="shared" si="433"/>
        <v>0.10386305849635669</v>
      </c>
      <c r="AH140" s="30">
        <f t="shared" si="433"/>
        <v>0.11333350425042887</v>
      </c>
      <c r="AI140" s="30">
        <f t="shared" si="433"/>
        <v>0.11417759518397852</v>
      </c>
      <c r="AJ140" s="30">
        <f t="shared" si="433"/>
        <v>0.11488227141910601</v>
      </c>
      <c r="AK140" s="30">
        <f t="shared" si="433"/>
        <v>0.11670316411708681</v>
      </c>
      <c r="AL140" s="406">
        <f t="shared" si="433"/>
        <v>0.11481906794450514</v>
      </c>
      <c r="AM140" s="30">
        <f t="shared" si="433"/>
        <v>9.8064993068379902E-2</v>
      </c>
      <c r="AN140" s="30">
        <f t="shared" si="433"/>
        <v>9.4338316284386492E-2</v>
      </c>
      <c r="AO140" s="30">
        <f t="shared" si="433"/>
        <v>9.0359419414741238E-2</v>
      </c>
      <c r="AP140" s="30">
        <f t="shared" si="433"/>
        <v>8.6705950922681074E-2</v>
      </c>
      <c r="AQ140" s="28">
        <f t="shared" si="433"/>
        <v>9.2210871034064779E-2</v>
      </c>
      <c r="AR140" s="30">
        <f t="shared" si="433"/>
        <v>6.4129567347275485E-2</v>
      </c>
      <c r="AS140" s="30">
        <f t="shared" si="433"/>
        <v>6.4127481297672873E-2</v>
      </c>
      <c r="AT140" s="30">
        <f t="shared" si="433"/>
        <v>6.3906309298834563E-2</v>
      </c>
      <c r="AU140" s="30">
        <f t="shared" si="433"/>
        <v>6.3835946522556863E-2</v>
      </c>
      <c r="AV140" s="28">
        <f t="shared" si="433"/>
        <v>6.3994563082403255E-2</v>
      </c>
    </row>
    <row r="141" spans="2:48" s="23" customFormat="1" outlineLevel="1" x14ac:dyDescent="0.3">
      <c r="B141" s="580" t="s">
        <v>4</v>
      </c>
      <c r="C141" s="581"/>
      <c r="D141" s="27">
        <f t="shared" ref="D141:AV141" si="434">D17/D8</f>
        <v>0.15313522396610738</v>
      </c>
      <c r="E141" s="27">
        <f t="shared" si="434"/>
        <v>0.13601547756862614</v>
      </c>
      <c r="F141" s="27">
        <f t="shared" si="434"/>
        <v>0.16434119888612064</v>
      </c>
      <c r="G141" s="27">
        <f t="shared" si="434"/>
        <v>0.16054542759745088</v>
      </c>
      <c r="H141" s="29">
        <f t="shared" si="434"/>
        <v>0.15383309567461143</v>
      </c>
      <c r="I141" s="27">
        <f t="shared" si="434"/>
        <v>0.1718730185568752</v>
      </c>
      <c r="J141" s="27">
        <f t="shared" si="434"/>
        <v>8.1291592307820446E-2</v>
      </c>
      <c r="K141" s="27">
        <f t="shared" si="434"/>
        <v>-0.16671798394164022</v>
      </c>
      <c r="L141" s="113">
        <f t="shared" si="434"/>
        <v>9.0003385404072211E-2</v>
      </c>
      <c r="M141" s="137">
        <f t="shared" si="434"/>
        <v>6.6400204098988183E-2</v>
      </c>
      <c r="N141" s="27">
        <f t="shared" si="434"/>
        <v>0.13534536403235845</v>
      </c>
      <c r="O141" s="27">
        <f t="shared" si="434"/>
        <v>0.14811037792441512</v>
      </c>
      <c r="P141" s="27">
        <f t="shared" si="434"/>
        <v>0.19858600680317468</v>
      </c>
      <c r="Q141" s="27">
        <f t="shared" si="434"/>
        <v>0.18193869910515911</v>
      </c>
      <c r="R141" s="137">
        <f t="shared" si="434"/>
        <v>0.16764966999993108</v>
      </c>
      <c r="S141" s="27">
        <f t="shared" si="434"/>
        <v>0.14630328927755143</v>
      </c>
      <c r="T141" s="27">
        <f t="shared" si="434"/>
        <v>0.12427314159987431</v>
      </c>
      <c r="U141" s="27">
        <f t="shared" si="434"/>
        <v>0.15895510484533926</v>
      </c>
      <c r="V141" s="27">
        <f t="shared" si="434"/>
        <v>0.14208124361198912</v>
      </c>
      <c r="W141" s="137">
        <f t="shared" si="434"/>
        <v>0.14318316418761981</v>
      </c>
      <c r="X141" s="27">
        <f t="shared" si="434"/>
        <v>0.1438047257829444</v>
      </c>
      <c r="Y141" s="27">
        <f t="shared" si="434"/>
        <v>0.12546356247373625</v>
      </c>
      <c r="Z141" s="27">
        <f t="shared" si="434"/>
        <v>0.16944105260040743</v>
      </c>
      <c r="AA141" s="27">
        <f t="shared" si="434"/>
        <v>0.18833499275936538</v>
      </c>
      <c r="AB141" s="137">
        <f t="shared" si="434"/>
        <v>0.15791990716625898</v>
      </c>
      <c r="AC141" s="27">
        <f t="shared" si="434"/>
        <v>0.16594308137163902</v>
      </c>
      <c r="AD141" s="27">
        <f t="shared" si="434"/>
        <v>0.13208161613377525</v>
      </c>
      <c r="AE141" s="27">
        <f t="shared" si="434"/>
        <v>0.17462109969576498</v>
      </c>
      <c r="AF141" s="27">
        <f t="shared" si="434"/>
        <v>0.1786142531859663</v>
      </c>
      <c r="AG141" s="137">
        <f t="shared" si="434"/>
        <v>0.16361228976459882</v>
      </c>
      <c r="AH141" s="27">
        <f t="shared" si="434"/>
        <v>0.17153919527180883</v>
      </c>
      <c r="AI141" s="27">
        <f t="shared" si="434"/>
        <v>0.13838657990716832</v>
      </c>
      <c r="AJ141" s="27">
        <f t="shared" si="434"/>
        <v>0.18830455046391575</v>
      </c>
      <c r="AK141" s="27">
        <f t="shared" si="434"/>
        <v>0.18636100699395694</v>
      </c>
      <c r="AL141" s="29">
        <f t="shared" si="434"/>
        <v>0.17202425760455914</v>
      </c>
      <c r="AM141" s="27">
        <f t="shared" si="434"/>
        <v>0.17330240577027492</v>
      </c>
      <c r="AN141" s="27">
        <f t="shared" si="434"/>
        <v>0.14011809580410642</v>
      </c>
      <c r="AO141" s="27">
        <f t="shared" si="434"/>
        <v>0.18957875818442954</v>
      </c>
      <c r="AP141" s="27">
        <f t="shared" si="434"/>
        <v>0.1870070948232524</v>
      </c>
      <c r="AQ141" s="29">
        <f t="shared" si="434"/>
        <v>0.17331819819760608</v>
      </c>
      <c r="AR141" s="27">
        <f t="shared" si="434"/>
        <v>0.17227511084199437</v>
      </c>
      <c r="AS141" s="27">
        <f t="shared" si="434"/>
        <v>0.13936547935692742</v>
      </c>
      <c r="AT141" s="27">
        <f t="shared" si="434"/>
        <v>0.18898522997386663</v>
      </c>
      <c r="AU141" s="27">
        <f t="shared" si="434"/>
        <v>0.18640142153663289</v>
      </c>
      <c r="AV141" s="29">
        <f t="shared" si="434"/>
        <v>0.17257532929512867</v>
      </c>
    </row>
    <row r="142" spans="2:48" s="23" customFormat="1" outlineLevel="1" x14ac:dyDescent="0.3">
      <c r="B142" s="580" t="s">
        <v>77</v>
      </c>
      <c r="C142" s="581"/>
      <c r="D142" s="27">
        <f t="shared" ref="D142:AV142" si="435">+D19/D8</f>
        <v>0.17394123056975294</v>
      </c>
      <c r="E142" s="27">
        <f t="shared" si="435"/>
        <v>0.15843892227913536</v>
      </c>
      <c r="F142" s="27">
        <f t="shared" si="435"/>
        <v>0.18270555474131628</v>
      </c>
      <c r="G142" s="27">
        <f t="shared" si="435"/>
        <v>0.17201719282644154</v>
      </c>
      <c r="H142" s="29">
        <f t="shared" si="435"/>
        <v>0.17201964645435841</v>
      </c>
      <c r="I142" s="27">
        <f t="shared" si="435"/>
        <v>0.1819616463062376</v>
      </c>
      <c r="J142" s="27">
        <f t="shared" si="435"/>
        <v>9.2432910252347358E-2</v>
      </c>
      <c r="K142" s="27">
        <f t="shared" si="435"/>
        <v>-0.12558205632268285</v>
      </c>
      <c r="L142" s="113">
        <f t="shared" si="435"/>
        <v>0.13183730715287523</v>
      </c>
      <c r="M142" s="137">
        <f t="shared" si="435"/>
        <v>9.0704141508631861E-2</v>
      </c>
      <c r="N142" s="27">
        <f t="shared" si="435"/>
        <v>0.15533232583637069</v>
      </c>
      <c r="O142" s="27">
        <f t="shared" si="435"/>
        <v>0.1613377324535093</v>
      </c>
      <c r="P142" s="27">
        <f t="shared" si="435"/>
        <v>0.20548255852731262</v>
      </c>
      <c r="Q142" s="27">
        <f t="shared" si="435"/>
        <v>0.19607939411049871</v>
      </c>
      <c r="R142" s="137">
        <f t="shared" si="435"/>
        <v>0.18106990220435909</v>
      </c>
      <c r="S142" s="27">
        <f t="shared" si="435"/>
        <v>0.15067574282023255</v>
      </c>
      <c r="T142" s="27">
        <f t="shared" si="435"/>
        <v>0.13049400178113052</v>
      </c>
      <c r="U142" s="27">
        <f t="shared" si="435"/>
        <v>0.16846419062342788</v>
      </c>
      <c r="V142" s="27">
        <f t="shared" si="435"/>
        <v>0.15124432506952518</v>
      </c>
      <c r="W142" s="137">
        <f t="shared" si="435"/>
        <v>0.15054123527533064</v>
      </c>
      <c r="X142" s="27">
        <f t="shared" si="435"/>
        <v>0.14450475676792243</v>
      </c>
      <c r="Y142" s="27">
        <f t="shared" si="435"/>
        <v>0.125499215960785</v>
      </c>
      <c r="Z142" s="27">
        <f t="shared" si="435"/>
        <v>0.16947357982859976</v>
      </c>
      <c r="AA142" s="27">
        <f t="shared" si="435"/>
        <v>0.18836647439279958</v>
      </c>
      <c r="AB142" s="137">
        <f t="shared" si="435"/>
        <v>0.15811499848880181</v>
      </c>
      <c r="AC142" s="27">
        <f t="shared" si="435"/>
        <v>0.1659738907537173</v>
      </c>
      <c r="AD142" s="27">
        <f t="shared" si="435"/>
        <v>0.13211405584397948</v>
      </c>
      <c r="AE142" s="27">
        <f t="shared" si="435"/>
        <v>0.17465069754977677</v>
      </c>
      <c r="AF142" s="27">
        <f t="shared" si="435"/>
        <v>0.17864286217116229</v>
      </c>
      <c r="AG142" s="137">
        <f t="shared" si="435"/>
        <v>0.16364258720635505</v>
      </c>
      <c r="AH142" s="27">
        <f t="shared" si="435"/>
        <v>0.1715668683652356</v>
      </c>
      <c r="AI142" s="27">
        <f t="shared" si="435"/>
        <v>0.13841569529267278</v>
      </c>
      <c r="AJ142" s="27">
        <f t="shared" si="435"/>
        <v>0.18833109842756232</v>
      </c>
      <c r="AK142" s="27">
        <f t="shared" si="435"/>
        <v>0.1863866261433561</v>
      </c>
      <c r="AL142" s="406">
        <f t="shared" si="435"/>
        <v>0.17205143460809935</v>
      </c>
      <c r="AM142" s="27">
        <f t="shared" si="435"/>
        <v>0.17332760746015802</v>
      </c>
      <c r="AN142" s="27">
        <f t="shared" si="435"/>
        <v>0.14014470127434464</v>
      </c>
      <c r="AO142" s="27">
        <f t="shared" si="435"/>
        <v>0.18960310608584063</v>
      </c>
      <c r="AP142" s="27">
        <f t="shared" si="435"/>
        <v>0.18703066987534206</v>
      </c>
      <c r="AQ142" s="29">
        <f t="shared" si="435"/>
        <v>0.17334308075852994</v>
      </c>
      <c r="AR142" s="27">
        <f t="shared" si="435"/>
        <v>0.17229879375679763</v>
      </c>
      <c r="AS142" s="27">
        <f t="shared" si="435"/>
        <v>0.13939048150254046</v>
      </c>
      <c r="AT142" s="27">
        <f t="shared" si="435"/>
        <v>0.18900811535503062</v>
      </c>
      <c r="AU142" s="27">
        <f t="shared" si="435"/>
        <v>0.1864235819572943</v>
      </c>
      <c r="AV142" s="29">
        <f t="shared" si="435"/>
        <v>0.1725987152801583</v>
      </c>
    </row>
    <row r="143" spans="2:48" s="23" customFormat="1" outlineLevel="1" x14ac:dyDescent="0.3">
      <c r="B143" s="580" t="s">
        <v>2</v>
      </c>
      <c r="C143" s="581"/>
      <c r="D143" s="27">
        <f t="shared" ref="D143:K143" si="436">D24/D23</f>
        <v>0.2124287933713101</v>
      </c>
      <c r="E143" s="27">
        <f t="shared" si="436"/>
        <v>0.1965853658536586</v>
      </c>
      <c r="F143" s="27">
        <f t="shared" si="436"/>
        <v>0.18110799689903978</v>
      </c>
      <c r="G143" s="118">
        <f t="shared" si="436"/>
        <v>0.20083682008368189</v>
      </c>
      <c r="H143" s="137">
        <f t="shared" si="436"/>
        <v>0.19515471765706843</v>
      </c>
      <c r="I143" s="118">
        <f t="shared" si="436"/>
        <v>0.22600104913446431</v>
      </c>
      <c r="J143" s="118">
        <f t="shared" si="436"/>
        <v>0.16760635571501836</v>
      </c>
      <c r="K143" s="118">
        <f t="shared" si="436"/>
        <v>0.16490147783251249</v>
      </c>
      <c r="L143" s="118">
        <v>0.25</v>
      </c>
      <c r="M143" s="137">
        <f t="shared" ref="M143:V143" si="437">M24/M23</f>
        <v>0.20585709378220463</v>
      </c>
      <c r="N143" s="118">
        <f t="shared" si="437"/>
        <v>0.23023629840405785</v>
      </c>
      <c r="O143" s="118">
        <f t="shared" si="437"/>
        <v>0.25901786717608721</v>
      </c>
      <c r="P143" s="118">
        <f t="shared" si="437"/>
        <v>0.18217246510309659</v>
      </c>
      <c r="Q143" s="118">
        <f t="shared" si="437"/>
        <v>0.21489588894821143</v>
      </c>
      <c r="R143" s="137">
        <f t="shared" si="437"/>
        <v>0.21591906068581893</v>
      </c>
      <c r="S143" s="118">
        <f>S24/S23</f>
        <v>0.23183358433734938</v>
      </c>
      <c r="T143" s="118">
        <f t="shared" si="437"/>
        <v>0.22954000684853323</v>
      </c>
      <c r="U143" s="118">
        <f t="shared" si="437"/>
        <v>0.23360174467371256</v>
      </c>
      <c r="V143" s="118">
        <f t="shared" si="437"/>
        <v>0.20223392662549969</v>
      </c>
      <c r="W143" s="137">
        <f>W24/W23</f>
        <v>0.22415463503390937</v>
      </c>
      <c r="X143" s="113">
        <f>X24/X23</f>
        <v>0.24651982378854645</v>
      </c>
      <c r="Y143" s="35">
        <v>0.245</v>
      </c>
      <c r="Z143" s="35">
        <v>0.245</v>
      </c>
      <c r="AA143" s="35">
        <v>0.245</v>
      </c>
      <c r="AB143" s="406">
        <f>AB24/AB23</f>
        <v>0.24533318454562467</v>
      </c>
      <c r="AC143" s="34">
        <f>AVERAGE(X143,Y143,Z143,AA143)</f>
        <v>0.2453799559471366</v>
      </c>
      <c r="AD143" s="34">
        <f>AVERAGE(Y143,Z143,AA143,AC143)</f>
        <v>0.24509498898678414</v>
      </c>
      <c r="AE143" s="34">
        <f>AVERAGE(Z143,AA143,AC143,AD143)</f>
        <v>0.24511873623348018</v>
      </c>
      <c r="AF143" s="34">
        <f>AVERAGE(AA143,AC143,AD143,AE143)</f>
        <v>0.24514842029185024</v>
      </c>
      <c r="AG143" s="29">
        <f>AG24/AG23</f>
        <v>0.24518827066891263</v>
      </c>
      <c r="AH143" s="34">
        <f>AVERAGE(AC143,AD143,AE143,AF143)</f>
        <v>0.24518552536481278</v>
      </c>
      <c r="AI143" s="34">
        <f>AVERAGE(AD143,AE143,AF143,AH143)</f>
        <v>0.24513691771923182</v>
      </c>
      <c r="AJ143" s="34">
        <f>AVERAGE(AE143,AF143,AH143,AI143)</f>
        <v>0.24514739990234377</v>
      </c>
      <c r="AK143" s="34">
        <f>AVERAGE(AF143,AH143,AI143,AJ143)</f>
        <v>0.24515456581955966</v>
      </c>
      <c r="AL143" s="29">
        <f>AL24/AL23</f>
        <v>0.24515691237443243</v>
      </c>
      <c r="AM143" s="34">
        <f>AVERAGE(AH143,AI143,AJ143,AK143)</f>
        <v>0.24515610220148701</v>
      </c>
      <c r="AN143" s="34">
        <f>AVERAGE(AI143,AJ143,AK143,AM143)</f>
        <v>0.24514874641065557</v>
      </c>
      <c r="AO143" s="34">
        <f>AVERAGE(AJ143,AK143,AM143,AN143)</f>
        <v>0.24515170358351149</v>
      </c>
      <c r="AP143" s="34">
        <f>AVERAGE(AK143,AM143,AN143,AO143)</f>
        <v>0.24515277950380343</v>
      </c>
      <c r="AQ143" s="29">
        <f>AQ24/AQ23</f>
        <v>0.24515256000094424</v>
      </c>
      <c r="AR143" s="34">
        <f>AVERAGE(AM143,AN143,AO143,AP143)</f>
        <v>0.24515233292486438</v>
      </c>
      <c r="AS143" s="34">
        <f>AVERAGE(AN143,AO143,AP143,AR143)</f>
        <v>0.24515139060570873</v>
      </c>
      <c r="AT143" s="34">
        <f>AVERAGE(AO143,AP143,AR143,AS143)</f>
        <v>0.24515205165447201</v>
      </c>
      <c r="AU143" s="34">
        <f>AVERAGE(AP143,AR143,AS143,AT143)</f>
        <v>0.24515213867221214</v>
      </c>
      <c r="AV143" s="29">
        <f>AV24/AV23</f>
        <v>0.24515202544066642</v>
      </c>
    </row>
    <row r="144" spans="2:48" s="23" customFormat="1" outlineLevel="1" x14ac:dyDescent="0.3">
      <c r="B144" s="580" t="s">
        <v>78</v>
      </c>
      <c r="C144" s="581"/>
      <c r="D144" s="27"/>
      <c r="E144" s="27">
        <f>+E21/(('BS (F1Q23)'!E6+'BS (F1Q23)'!E7+'BS (F1Q23)'!E12)+('BS (F1Q23)'!D6+'BS (F1Q23)'!D7+'BS (F1Q23)'!D12)/2)</f>
        <v>3.0327214684756584E-3</v>
      </c>
      <c r="F144" s="27">
        <f>+F21/(('BS (F1Q23)'!F6+'BS (F1Q23)'!F7+'BS (F1Q23)'!F12)+('BS (F1Q23)'!E6+'BS (F1Q23)'!E7+'BS (F1Q23)'!E12)/2)</f>
        <v>6.4321029136466161E-3</v>
      </c>
      <c r="G144" s="27">
        <f>+G21/(('BS (F1Q23)'!G6+'BS (F1Q23)'!G7+'BS (F1Q23)'!G12)+('BS (F1Q23)'!F6+'BS (F1Q23)'!F7+'BS (F1Q23)'!F12)/2)</f>
        <v>2.9603261807251862E-3</v>
      </c>
      <c r="H144" s="29"/>
      <c r="I144" s="27">
        <f>+I21/(('BS (F1Q23)'!I6+'BS (F1Q23)'!I7+'BS (F1Q23)'!I12)+('BS (F1Q23)'!G6+'BS (F1Q23)'!G7+'BS (F1Q23)'!G12)/2)</f>
        <v>3.3143988743550958E-3</v>
      </c>
      <c r="J144" s="27">
        <f>+J21/(('BS (F1Q23)'!J6+'BS (F1Q23)'!J7+'BS (F1Q23)'!J12)+('BS (F1Q23)'!I6+'BS (F1Q23)'!I7+'BS (F1Q23)'!I12)/2)</f>
        <v>4.4659305324505627E-4</v>
      </c>
      <c r="K144" s="27">
        <f>+K21/(('BS (F1Q23)'!K6+'BS (F1Q23)'!K7+'BS (F1Q23)'!K12)+('BS (F1Q23)'!J6+'BS (F1Q23)'!J7+'BS (F1Q23)'!J12)/2)</f>
        <v>2.1779393606804753E-3</v>
      </c>
      <c r="L144" s="27">
        <f>+L21/(('BS (F1Q23)'!L6+'BS (F1Q23)'!L7+'BS (F1Q23)'!L12)+('BS (F1Q23)'!K6+'BS (F1Q23)'!K7+'BS (F1Q23)'!K12)/2)</f>
        <v>1.2911830642186198E-3</v>
      </c>
      <c r="M144" s="29"/>
      <c r="N144" s="27">
        <f>+N21/(('BS (F1Q23)'!N6+'BS (F1Q23)'!N7+'BS (F1Q23)'!N12)+('BS (F1Q23)'!L6+'BS (F1Q23)'!L7+'BS (F1Q23)'!L12)/2)</f>
        <v>1.9686289451959073E-3</v>
      </c>
      <c r="O144" s="27">
        <f>+O21/(('BS (F1Q23)'!O6+'BS (F1Q23)'!O7+'BS (F1Q23)'!O12)+('BS (F1Q23)'!N6+'BS (F1Q23)'!N7+'BS (F1Q23)'!N12)/2)</f>
        <v>2.465933063458573E-3</v>
      </c>
      <c r="P144" s="27">
        <f>+P21/(('BS (F1Q23)'!P6+'BS (F1Q23)'!P7+'BS (F1Q23)'!P12)+('BS (F1Q23)'!O6+'BS (F1Q23)'!O7+'BS (F1Q23)'!O12)/2)</f>
        <v>4.9067713444553383E-3</v>
      </c>
      <c r="Q144" s="27">
        <f>+Q21/(('BS (F1Q23)'!Q6+'BS (F1Q23)'!Q7+'BS (F1Q23)'!Q12)+('BS (F1Q23)'!P6+'BS (F1Q23)'!P7+'BS (F1Q23)'!P12)/2)</f>
        <v>2.2641350477574504E-3</v>
      </c>
      <c r="R144" s="137"/>
      <c r="S144" s="27">
        <f>+S21/(('BS (F1Q23)'!S6+'BS (F1Q23)'!S7+'BS (F1Q23)'!S12)+('BS (F1Q23)'!Q6+'BS (F1Q23)'!Q7+'BS (F1Q23)'!Q12)/2)</f>
        <v>-1.2810330250313835E-5</v>
      </c>
      <c r="T144" s="27">
        <f>+T21/(('BS (F1Q23)'!T6+'BS (F1Q23)'!T7+'BS (F1Q23)'!T12)+('BS (F1Q23)'!S6+'BS (F1Q23)'!S7+'BS (F1Q23)'!S12)/2)</f>
        <v>7.1679593764030023E-3</v>
      </c>
      <c r="U144" s="27">
        <f>+U21/(('BS (F1Q23)'!U6+'BS (F1Q23)'!U7+'BS (F1Q23)'!U12)+('BS (F1Q23)'!T6+'BS (F1Q23)'!T7+'BS (F1Q23)'!T12)/2)</f>
        <v>3.4813492865871276E-3</v>
      </c>
      <c r="V144" s="27">
        <f>+V21/(('BS (F1Q23)'!V6+'BS (F1Q23)'!V7+'BS (F1Q23)'!V12)+('BS (F1Q23)'!U6+'BS (F1Q23)'!U7+'BS (F1Q23)'!U12)/2)</f>
        <v>5.9212851098780295E-3</v>
      </c>
      <c r="W144" s="137"/>
      <c r="X144" s="27">
        <f>+X21/(('BS (F1Q23)'!X6+'BS (F1Q23)'!X7+'BS (F1Q23)'!X12)+('BS (F1Q23)'!V6+'BS (F1Q23)'!V7+'BS (F1Q23)'!V12)/2)</f>
        <v>2.1784651210832182E-3</v>
      </c>
      <c r="Y144" s="35">
        <f>X144+0.5%</f>
        <v>7.1784651210832183E-3</v>
      </c>
      <c r="Z144" s="35">
        <f>Y144</f>
        <v>7.1784651210832183E-3</v>
      </c>
      <c r="AA144" s="35">
        <f>Z144-0.5%</f>
        <v>2.1784651210832182E-3</v>
      </c>
      <c r="AB144" s="137"/>
      <c r="AC144" s="35">
        <f>AA144</f>
        <v>2.1784651210832182E-3</v>
      </c>
      <c r="AD144" s="35">
        <f>AC144</f>
        <v>2.1784651210832182E-3</v>
      </c>
      <c r="AE144" s="35">
        <f>AD144</f>
        <v>2.1784651210832182E-3</v>
      </c>
      <c r="AF144" s="35">
        <f>AE144</f>
        <v>2.1784651210832182E-3</v>
      </c>
      <c r="AG144" s="29"/>
      <c r="AH144" s="35">
        <f>AF144</f>
        <v>2.1784651210832182E-3</v>
      </c>
      <c r="AI144" s="35">
        <f>AH144</f>
        <v>2.1784651210832182E-3</v>
      </c>
      <c r="AJ144" s="35">
        <f>AI144</f>
        <v>2.1784651210832182E-3</v>
      </c>
      <c r="AK144" s="35">
        <f>AJ144</f>
        <v>2.1784651210832182E-3</v>
      </c>
      <c r="AL144" s="29"/>
      <c r="AM144" s="35">
        <f>AK144</f>
        <v>2.1784651210832182E-3</v>
      </c>
      <c r="AN144" s="35">
        <f t="shared" ref="AN144:AP145" si="438">AM144</f>
        <v>2.1784651210832182E-3</v>
      </c>
      <c r="AO144" s="35">
        <f t="shared" si="438"/>
        <v>2.1784651210832182E-3</v>
      </c>
      <c r="AP144" s="35">
        <f t="shared" si="438"/>
        <v>2.1784651210832182E-3</v>
      </c>
      <c r="AQ144" s="29"/>
      <c r="AR144" s="35">
        <f>AP144</f>
        <v>2.1784651210832182E-3</v>
      </c>
      <c r="AS144" s="35">
        <f t="shared" ref="AS144:AU145" si="439">AR144</f>
        <v>2.1784651210832182E-3</v>
      </c>
      <c r="AT144" s="35">
        <f t="shared" si="439"/>
        <v>2.1784651210832182E-3</v>
      </c>
      <c r="AU144" s="35">
        <f t="shared" si="439"/>
        <v>2.1784651210832182E-3</v>
      </c>
      <c r="AV144" s="29"/>
    </row>
    <row r="145" spans="2:48" s="23" customFormat="1" outlineLevel="1" x14ac:dyDescent="0.3">
      <c r="B145" s="580" t="s">
        <v>79</v>
      </c>
      <c r="C145" s="581"/>
      <c r="D145" s="27"/>
      <c r="E145" s="215">
        <f>-E22/(((('BS (F1Q23)'!E28+'BS (F1Q23)'!E31)+('BS (F1Q23)'!D28+'BS (F1Q23)'!D31))/2))</f>
        <v>8.0557251242696429E-3</v>
      </c>
      <c r="F145" s="215">
        <f>-F22/(((('BS (F1Q23)'!F28+'BS (F1Q23)'!F31)+('BS (F1Q23)'!E28+'BS (F1Q23)'!E31))/2))</f>
        <v>8.4807318557490342E-3</v>
      </c>
      <c r="G145" s="215">
        <f>-G22/(((('BS (F1Q23)'!G28+'BS (F1Q23)'!G31)+('BS (F1Q23)'!F28+'BS (F1Q23)'!F31))/2))</f>
        <v>8.572925858076421E-3</v>
      </c>
      <c r="H145" s="29"/>
      <c r="I145" s="215">
        <f>-I22/(((('BS (F1Q23)'!I28+'BS (F1Q23)'!I31)+('BS (F1Q23)'!G28+'BS (F1Q23)'!G31))/2))</f>
        <v>8.0554679008449908E-3</v>
      </c>
      <c r="J145" s="215">
        <f>-J22/(((('BS (F1Q23)'!J28+'BS (F1Q23)'!J31)+('BS (F1Q23)'!I28+'BS (F1Q23)'!I31))/2))</f>
        <v>7.730372102084551E-3</v>
      </c>
      <c r="K145" s="215">
        <f>-K22/(((('BS (F1Q23)'!K28+'BS (F1Q23)'!K31)+('BS (F1Q23)'!J28+'BS (F1Q23)'!J31))/2))</f>
        <v>7.8322294946980078E-3</v>
      </c>
      <c r="L145" s="215">
        <f>-L22/(((('BS (F1Q23)'!L28+'BS (F1Q23)'!L31)+('BS (F1Q23)'!K28+'BS (F1Q23)'!K31))/2))</f>
        <v>7.5346594333936109E-3</v>
      </c>
      <c r="M145" s="29"/>
      <c r="N145" s="215">
        <f>-N22/(((('BS (F1Q23)'!N28+'BS (F1Q23)'!N31)+('BS (F1Q23)'!L28+'BS (F1Q23)'!L31))/2))</f>
        <v>7.481930548840208E-3</v>
      </c>
      <c r="O145" s="215">
        <f>-O22/(((('BS (F1Q23)'!O28+'BS (F1Q23)'!O31)+('BS (F1Q23)'!N28+'BS (F1Q23)'!N31))/2))</f>
        <v>7.5250206938069089E-3</v>
      </c>
      <c r="P145" s="215">
        <f>-P22/(((('BS (F1Q23)'!P28+'BS (F1Q23)'!P31)+('BS (F1Q23)'!O28+'BS (F1Q23)'!O31))/2))</f>
        <v>7.7494216976973845E-3</v>
      </c>
      <c r="Q145" s="215">
        <f>-Q22/(((('BS (F1Q23)'!Q28+'BS (F1Q23)'!Q31)+('BS (F1Q23)'!P28+'BS (F1Q23)'!P31))/2))</f>
        <v>8.2506952544819535E-3</v>
      </c>
      <c r="R145" s="29"/>
      <c r="S145" s="215">
        <f>-S22/(((('BS (F1Q23)'!S28+'BS (F1Q23)'!S31)+('BS (F1Q23)'!Q28+'BS (F1Q23)'!Q31))/2))</f>
        <v>7.8431639309692741E-3</v>
      </c>
      <c r="T145" s="215">
        <f>-T22/(((('BS (F1Q23)'!T28+'BS (F1Q23)'!T31)+('BS (F1Q23)'!S28+'BS (F1Q23)'!S31))/2))</f>
        <v>7.7341177845746236E-3</v>
      </c>
      <c r="U145" s="215">
        <f>-U22/(((('BS (F1Q23)'!U28+'BS (F1Q23)'!U31)+('BS (F1Q23)'!T28+'BS (F1Q23)'!T31))/2))</f>
        <v>7.9054937080361813E-3</v>
      </c>
      <c r="V145" s="215">
        <f>-V22/(((('BS (F1Q23)'!V28+'BS (F1Q23)'!V31)+('BS (F1Q23)'!U28+'BS (F1Q23)'!U31))/2))</f>
        <v>8.3052184345359225E-3</v>
      </c>
      <c r="W145" s="137"/>
      <c r="X145" s="215">
        <f>-X22/(((('BS (F1Q23)'!X28+'BS (F1Q23)'!X31)+('BS (F1Q23)'!V28+'BS (F1Q23)'!V31))/2))</f>
        <v>8.6553508687049335E-3</v>
      </c>
      <c r="Y145" s="35">
        <v>9.386305775157441E-3</v>
      </c>
      <c r="Z145" s="35">
        <f>Y145</f>
        <v>9.386305775157441E-3</v>
      </c>
      <c r="AA145" s="35">
        <f>Z145</f>
        <v>9.386305775157441E-3</v>
      </c>
      <c r="AB145" s="137"/>
      <c r="AC145" s="35">
        <f>AA145+0.01%</f>
        <v>9.4863057751574404E-3</v>
      </c>
      <c r="AD145" s="35">
        <f>AC145+0.01%</f>
        <v>9.5863057751574398E-3</v>
      </c>
      <c r="AE145" s="35">
        <f t="shared" ref="AE145:AF145" si="440">AD145+0.01%</f>
        <v>9.6863057751574392E-3</v>
      </c>
      <c r="AF145" s="35">
        <f t="shared" si="440"/>
        <v>9.7863057751574386E-3</v>
      </c>
      <c r="AG145" s="29"/>
      <c r="AH145" s="35">
        <f>AF145+0.01%</f>
        <v>9.886305775157438E-3</v>
      </c>
      <c r="AI145" s="35">
        <f>AH145+0.01%</f>
        <v>9.9863057751574374E-3</v>
      </c>
      <c r="AJ145" s="35">
        <f t="shared" ref="AJ145:AK145" si="441">AI145+0.01%</f>
        <v>1.0086305775157437E-2</v>
      </c>
      <c r="AK145" s="35">
        <f t="shared" si="441"/>
        <v>1.0186305775157436E-2</v>
      </c>
      <c r="AL145" s="29"/>
      <c r="AM145" s="35">
        <f>AK145</f>
        <v>1.0186305775157436E-2</v>
      </c>
      <c r="AN145" s="35">
        <f t="shared" si="438"/>
        <v>1.0186305775157436E-2</v>
      </c>
      <c r="AO145" s="35">
        <f t="shared" si="438"/>
        <v>1.0186305775157436E-2</v>
      </c>
      <c r="AP145" s="35">
        <f t="shared" si="438"/>
        <v>1.0186305775157436E-2</v>
      </c>
      <c r="AQ145" s="29"/>
      <c r="AR145" s="35">
        <f>AP145</f>
        <v>1.0186305775157436E-2</v>
      </c>
      <c r="AS145" s="35">
        <f t="shared" si="439"/>
        <v>1.0186305775157436E-2</v>
      </c>
      <c r="AT145" s="35">
        <f t="shared" si="439"/>
        <v>1.0186305775157436E-2</v>
      </c>
      <c r="AU145" s="35">
        <f t="shared" si="439"/>
        <v>1.0186305775157436E-2</v>
      </c>
      <c r="AV145" s="29"/>
    </row>
    <row r="146" spans="2:48" s="23" customFormat="1" outlineLevel="1" x14ac:dyDescent="0.3">
      <c r="B146" s="200" t="s">
        <v>186</v>
      </c>
      <c r="C146" s="201"/>
      <c r="D146" s="113"/>
      <c r="E146" s="113"/>
      <c r="F146" s="113"/>
      <c r="G146" s="113"/>
      <c r="H146" s="137"/>
      <c r="I146" s="113">
        <f>I33/D33-1</f>
        <v>0.2254857129231771</v>
      </c>
      <c r="J146" s="113">
        <f t="shared" ref="J146:AV147" si="442">J33/E33-1</f>
        <v>-0.47546772308917484</v>
      </c>
      <c r="K146" s="113">
        <f t="shared" si="442"/>
        <v>-1.5172211898784418</v>
      </c>
      <c r="L146" s="113">
        <f t="shared" si="442"/>
        <v>-0.49266142278343572</v>
      </c>
      <c r="M146" s="137">
        <f t="shared" si="442"/>
        <v>-0.73466371126240593</v>
      </c>
      <c r="N146" s="113">
        <f t="shared" si="442"/>
        <v>-0.292754196932551</v>
      </c>
      <c r="O146" s="113">
        <f t="shared" si="442"/>
        <v>1.0009687774744878</v>
      </c>
      <c r="P146" s="113">
        <f t="shared" si="442"/>
        <v>-2.6748075301104208</v>
      </c>
      <c r="Q146" s="113">
        <f t="shared" si="442"/>
        <v>3.4604705530296798</v>
      </c>
      <c r="R146" s="137">
        <f t="shared" si="442"/>
        <v>3.5714373754781779</v>
      </c>
      <c r="S146" s="113">
        <f t="shared" si="442"/>
        <v>0.31844745711851452</v>
      </c>
      <c r="T146" s="113">
        <f t="shared" si="442"/>
        <v>5.0603007043171555E-2</v>
      </c>
      <c r="U146" s="113">
        <f t="shared" si="442"/>
        <v>-0.18430865147381992</v>
      </c>
      <c r="V146" s="113">
        <f t="shared" si="442"/>
        <v>-0.4870956113954914</v>
      </c>
      <c r="W146" s="137">
        <f t="shared" si="442"/>
        <v>-0.199786344376785</v>
      </c>
      <c r="X146" s="113">
        <f t="shared" si="442"/>
        <v>6.9714700065573565E-2</v>
      </c>
      <c r="Y146" s="113">
        <f t="shared" si="442"/>
        <v>5.3610712472302646E-2</v>
      </c>
      <c r="Z146" s="113">
        <f t="shared" si="442"/>
        <v>0.19134916118633472</v>
      </c>
      <c r="AA146" s="113">
        <f t="shared" si="442"/>
        <v>0.42350849504386279</v>
      </c>
      <c r="AB146" s="137">
        <f t="shared" si="442"/>
        <v>0.19567589607298053</v>
      </c>
      <c r="AC146" s="113">
        <f t="shared" si="442"/>
        <v>0.30271074842606782</v>
      </c>
      <c r="AD146" s="113">
        <f t="shared" si="442"/>
        <v>0.14955562737135319</v>
      </c>
      <c r="AE146" s="113">
        <f t="shared" si="442"/>
        <v>0.12717773311430247</v>
      </c>
      <c r="AF146" s="113">
        <f t="shared" si="442"/>
        <v>4.3120273037382528E-2</v>
      </c>
      <c r="AG146" s="137">
        <f t="shared" si="442"/>
        <v>0.14277647415503858</v>
      </c>
      <c r="AH146" s="113">
        <f t="shared" si="442"/>
        <v>0.15964715740672197</v>
      </c>
      <c r="AI146" s="113">
        <f t="shared" si="442"/>
        <v>0.18171765653386873</v>
      </c>
      <c r="AJ146" s="113">
        <f t="shared" si="442"/>
        <v>0.26414917784293679</v>
      </c>
      <c r="AK146" s="113">
        <f t="shared" si="442"/>
        <v>0.23021284968154276</v>
      </c>
      <c r="AL146" s="137">
        <f t="shared" si="442"/>
        <v>0.21169838053972345</v>
      </c>
      <c r="AM146" s="113">
        <f t="shared" si="442"/>
        <v>0.16097429181797596</v>
      </c>
      <c r="AN146" s="113">
        <f t="shared" si="442"/>
        <v>0.14755736645726536</v>
      </c>
      <c r="AO146" s="113">
        <f t="shared" si="442"/>
        <v>0.11657941970157149</v>
      </c>
      <c r="AP146" s="113">
        <f t="shared" si="442"/>
        <v>0.10376346301615968</v>
      </c>
      <c r="AQ146" s="137">
        <f t="shared" si="442"/>
        <v>0.13016622606459483</v>
      </c>
      <c r="AR146" s="113">
        <f t="shared" si="442"/>
        <v>7.4413327504022408E-2</v>
      </c>
      <c r="AS146" s="113">
        <f t="shared" si="442"/>
        <v>7.9875175514838137E-2</v>
      </c>
      <c r="AT146" s="113">
        <f t="shared" si="442"/>
        <v>7.1873578599163324E-2</v>
      </c>
      <c r="AU146" s="113">
        <f t="shared" si="442"/>
        <v>7.1605341550603052E-2</v>
      </c>
      <c r="AV146" s="137">
        <f t="shared" si="442"/>
        <v>7.3868962723709908E-2</v>
      </c>
    </row>
    <row r="147" spans="2:48" s="23" customFormat="1" outlineLevel="1" x14ac:dyDescent="0.3">
      <c r="B147" s="200" t="s">
        <v>139</v>
      </c>
      <c r="C147" s="201"/>
      <c r="D147" s="27"/>
      <c r="E147" s="27"/>
      <c r="F147" s="27"/>
      <c r="G147" s="27"/>
      <c r="H147" s="29"/>
      <c r="I147" s="27">
        <f t="shared" ref="I147:V147" si="443">I34/D34-1</f>
        <v>5.9389868457878192E-2</v>
      </c>
      <c r="J147" s="27">
        <f t="shared" si="443"/>
        <v>-0.47460546003783222</v>
      </c>
      <c r="K147" s="27">
        <f t="shared" si="443"/>
        <v>-1.5922286955663072</v>
      </c>
      <c r="L147" s="113">
        <f t="shared" si="443"/>
        <v>-0.26631134736842188</v>
      </c>
      <c r="M147" s="137">
        <f t="shared" si="443"/>
        <v>-0.59372113780519853</v>
      </c>
      <c r="N147" s="113">
        <f t="shared" si="443"/>
        <v>-0.23228377390823718</v>
      </c>
      <c r="O147" s="113">
        <f t="shared" si="443"/>
        <v>0.96992458477270005</v>
      </c>
      <c r="P147" s="113">
        <f t="shared" si="443"/>
        <v>-3.1776350920116565</v>
      </c>
      <c r="Q147" s="113">
        <f t="shared" si="443"/>
        <v>0.95350602232643134</v>
      </c>
      <c r="R147" s="29">
        <f t="shared" si="443"/>
        <v>1.8162682861720394</v>
      </c>
      <c r="S147" s="113">
        <f t="shared" si="443"/>
        <v>0.18036058258616094</v>
      </c>
      <c r="T147" s="113">
        <f t="shared" si="443"/>
        <v>-5.6546752866856842E-2</v>
      </c>
      <c r="U147" s="113">
        <f t="shared" si="443"/>
        <v>-0.16448812865885809</v>
      </c>
      <c r="V147" s="113">
        <f t="shared" si="443"/>
        <v>-0.1882667305146607</v>
      </c>
      <c r="W147" s="137">
        <f>W34/(R34-0.1-0.04)-1</f>
        <v>-4.7540866454839237E-2</v>
      </c>
      <c r="X147" s="113">
        <f t="shared" si="442"/>
        <v>3.7600832682799012E-2</v>
      </c>
      <c r="Y147" s="113">
        <f t="shared" si="442"/>
        <v>5.1960180258360245E-2</v>
      </c>
      <c r="Z147" s="113">
        <f t="shared" si="442"/>
        <v>0.12456539868598338</v>
      </c>
      <c r="AA147" s="113">
        <f t="shared" si="442"/>
        <v>0.34128022656819779</v>
      </c>
      <c r="AB147" s="137">
        <f t="shared" si="442"/>
        <v>0.1484287309135508</v>
      </c>
      <c r="AC147" s="113">
        <f t="shared" si="442"/>
        <v>0.2938326291443849</v>
      </c>
      <c r="AD147" s="113">
        <f t="shared" si="442"/>
        <v>0.14949218583113755</v>
      </c>
      <c r="AE147" s="113">
        <f t="shared" si="442"/>
        <v>0.12714250199671118</v>
      </c>
      <c r="AF147" s="113">
        <f t="shared" si="442"/>
        <v>4.3109711715308974E-2</v>
      </c>
      <c r="AG147" s="137">
        <f t="shared" si="442"/>
        <v>0.14103857871895764</v>
      </c>
      <c r="AH147" s="113">
        <f t="shared" si="442"/>
        <v>0.15960394771085618</v>
      </c>
      <c r="AI147" s="113">
        <f t="shared" si="442"/>
        <v>0.1816506034318468</v>
      </c>
      <c r="AJ147" s="113">
        <f t="shared" si="442"/>
        <v>0.26409438733905932</v>
      </c>
      <c r="AK147" s="113">
        <f t="shared" si="442"/>
        <v>0.23017918500811274</v>
      </c>
      <c r="AL147" s="137">
        <f t="shared" si="442"/>
        <v>0.21165049149969284</v>
      </c>
      <c r="AM147" s="113">
        <f t="shared" si="442"/>
        <v>0.16095666007873377</v>
      </c>
      <c r="AN147" s="113">
        <f t="shared" si="442"/>
        <v>0.1475383233818639</v>
      </c>
      <c r="AO147" s="113">
        <f t="shared" si="442"/>
        <v>0.11656504936138568</v>
      </c>
      <c r="AP147" s="113">
        <f t="shared" si="442"/>
        <v>0.10374320480020782</v>
      </c>
      <c r="AQ147" s="29">
        <f t="shared" si="442"/>
        <v>0.13014804376965294</v>
      </c>
      <c r="AR147" s="113">
        <f t="shared" si="442"/>
        <v>7.4397989012491728E-2</v>
      </c>
      <c r="AS147" s="113">
        <f t="shared" si="442"/>
        <v>7.9852766796356667E-2</v>
      </c>
      <c r="AT147" s="113">
        <f t="shared" si="442"/>
        <v>7.1860745937645465E-2</v>
      </c>
      <c r="AU147" s="113">
        <f t="shared" si="442"/>
        <v>7.1592814028788698E-2</v>
      </c>
      <c r="AV147" s="29">
        <f t="shared" si="442"/>
        <v>7.3853987289276057E-2</v>
      </c>
    </row>
    <row r="148" spans="2:48" s="23" customFormat="1" outlineLevel="1" x14ac:dyDescent="0.3">
      <c r="B148" s="200" t="s">
        <v>140</v>
      </c>
      <c r="C148" s="201"/>
      <c r="D148" s="27"/>
      <c r="E148" s="27"/>
      <c r="F148" s="27"/>
      <c r="G148" s="27"/>
      <c r="H148" s="29"/>
      <c r="I148" s="27">
        <f>'CFS (F1Q23)'!I55</f>
        <v>-0.22820512820512895</v>
      </c>
      <c r="J148" s="27">
        <f>'CFS (F1Q23)'!J55</f>
        <v>-4.4869364754098413</v>
      </c>
      <c r="K148" s="27">
        <f>'CFS (F1Q23)'!K55</f>
        <v>-1.314434752864716</v>
      </c>
      <c r="L148" s="113">
        <f>'CFS (F1Q23)'!L55</f>
        <v>0.34527569713924766</v>
      </c>
      <c r="M148" s="137">
        <f>'CFS (F1Q23)'!M55</f>
        <v>-0.68340961778517451</v>
      </c>
      <c r="N148" s="113">
        <f>'CFS (F1Q23)'!N55</f>
        <v>-2.1785305811139466E-4</v>
      </c>
      <c r="O148" s="113">
        <f>'CFS (F1Q23)'!O55</f>
        <v>-1.649232351428781</v>
      </c>
      <c r="P148" s="113">
        <f>'CFS (F1Q23)'!P55</f>
        <v>-5.7565950503127619</v>
      </c>
      <c r="Q148" s="113">
        <f>'CFS (F1Q23)'!Q55</f>
        <v>2.012477359629572E-2</v>
      </c>
      <c r="R148" s="29">
        <f>'CFS (F1Q23)'!R55</f>
        <v>2.7484040555764064</v>
      </c>
      <c r="S148" s="113">
        <f>'CFS (F1Q23)'!S55</f>
        <v>1.9175246499972598E-2</v>
      </c>
      <c r="T148" s="113">
        <f>'CFS (F1Q23)'!T55</f>
        <v>-0.81681375876895213</v>
      </c>
      <c r="U148" s="113">
        <f>'CFS (F1Q23)'!U55</f>
        <v>-0.27684391080617499</v>
      </c>
      <c r="V148" s="113">
        <f>'CFS (F1Q23)'!V55</f>
        <v>-0.27691194844479561</v>
      </c>
      <c r="W148" s="137">
        <f>'CFS (F1Q23)'!W55</f>
        <v>-0.26581179456354764</v>
      </c>
      <c r="X148" s="113">
        <f>'CFS (F1Q23)'!X55</f>
        <v>-0.14843123630338328</v>
      </c>
      <c r="Y148" s="113">
        <f>'CFS (F1Q23)'!Y55</f>
        <v>4.4637703370802537</v>
      </c>
      <c r="Z148" s="113">
        <f>'CFS (F1Q23)'!Z55</f>
        <v>-9.7622169713393214E-2</v>
      </c>
      <c r="AA148" s="113">
        <f>'CFS (F1Q23)'!AA55</f>
        <v>0.77934893426440843</v>
      </c>
      <c r="AB148" s="137">
        <f>'CFS (F1Q23)'!AB55</f>
        <v>0.26800781984829825</v>
      </c>
      <c r="AC148" s="113">
        <f>'CFS (F1Q23)'!AC55</f>
        <v>0.27060646256255705</v>
      </c>
      <c r="AD148" s="113">
        <f>'CFS (F1Q23)'!AD55</f>
        <v>6.8124424539429906E-2</v>
      </c>
      <c r="AE148" s="113">
        <f>'CFS (F1Q23)'!AE55</f>
        <v>0.33588723372200735</v>
      </c>
      <c r="AF148" s="113">
        <f>'CFS (F1Q23)'!AF55</f>
        <v>-3.4678509366291355E-2</v>
      </c>
      <c r="AG148" s="137">
        <f>'CFS (F1Q23)'!AG55</f>
        <v>0.14471737442891119</v>
      </c>
      <c r="AH148" s="113">
        <f>'CFS (F1Q23)'!AH55</f>
        <v>9.3134693126841528E-2</v>
      </c>
      <c r="AI148" s="113">
        <f>'CFS (F1Q23)'!AI55</f>
        <v>0.1801598306637604</v>
      </c>
      <c r="AJ148" s="113">
        <f>'CFS (F1Q23)'!AJ55</f>
        <v>0.12541631805708264</v>
      </c>
      <c r="AK148" s="113">
        <f>'CFS (F1Q23)'!AK55</f>
        <v>0.11784636237764201</v>
      </c>
      <c r="AL148" s="29">
        <f>'CFS (F1Q23)'!AL55</f>
        <v>0.12104159930598901</v>
      </c>
      <c r="AM148" s="113">
        <f>'CFS (F1Q23)'!AM55</f>
        <v>0.11521186654166571</v>
      </c>
      <c r="AN148" s="113">
        <f>'CFS (F1Q23)'!AN55</f>
        <v>0.14614039781498644</v>
      </c>
      <c r="AO148" s="113">
        <f>'CFS (F1Q23)'!AO55</f>
        <v>7.9213454664449179E-2</v>
      </c>
      <c r="AP148" s="113">
        <f>'CFS (F1Q23)'!AP55</f>
        <v>0.14257318644465378</v>
      </c>
      <c r="AQ148" s="29">
        <f>'CFS (F1Q23)'!AQ55</f>
        <v>0.11947251777404055</v>
      </c>
      <c r="AR148" s="113">
        <f>'CFS (F1Q23)'!AR55</f>
        <v>9.8143163003586054E-2</v>
      </c>
      <c r="AS148" s="113">
        <f>'CFS (F1Q23)'!AS55</f>
        <v>4.5212453205687231E-2</v>
      </c>
      <c r="AT148" s="113">
        <f>'CFS (F1Q23)'!AT55</f>
        <v>0.10229710799861547</v>
      </c>
      <c r="AU148" s="113">
        <f>'CFS (F1Q23)'!AU55</f>
        <v>5.0176274738440663E-2</v>
      </c>
      <c r="AV148" s="29">
        <f>'CFS (F1Q23)'!AV55</f>
        <v>7.6212319942035478E-2</v>
      </c>
    </row>
    <row r="149" spans="2:48" s="23" customFormat="1" outlineLevel="1" x14ac:dyDescent="0.3">
      <c r="B149" s="200" t="s">
        <v>334</v>
      </c>
      <c r="C149" s="201"/>
      <c r="D149" s="27"/>
      <c r="E149" s="27"/>
      <c r="F149" s="27"/>
      <c r="G149" s="27"/>
      <c r="H149" s="29"/>
      <c r="I149" s="27"/>
      <c r="J149" s="27"/>
      <c r="K149" s="27"/>
      <c r="L149" s="113"/>
      <c r="M149" s="137"/>
      <c r="N149" s="113"/>
      <c r="O149" s="113"/>
      <c r="P149" s="113"/>
      <c r="Q149" s="113"/>
      <c r="R149" s="29"/>
      <c r="S149" s="113"/>
      <c r="T149" s="113"/>
      <c r="U149" s="113"/>
      <c r="V149" s="113"/>
      <c r="W149" s="137"/>
      <c r="X149" s="113"/>
      <c r="Y149" s="113"/>
      <c r="Z149" s="113"/>
      <c r="AA149" s="113"/>
      <c r="AB149" s="137"/>
      <c r="AC149" s="113"/>
      <c r="AD149" s="113"/>
      <c r="AE149" s="113"/>
      <c r="AF149" s="113"/>
      <c r="AG149" s="137"/>
      <c r="AH149" s="113"/>
      <c r="AI149" s="113"/>
      <c r="AJ149" s="113"/>
      <c r="AK149" s="113"/>
      <c r="AL149" s="406">
        <f>(AL34/W34)^(1/3)-1</f>
        <v>0.16661416863394818</v>
      </c>
      <c r="AM149" s="113"/>
      <c r="AN149" s="113"/>
      <c r="AO149" s="113"/>
      <c r="AP149" s="113"/>
      <c r="AQ149" s="29"/>
      <c r="AR149" s="113"/>
      <c r="AS149" s="113"/>
      <c r="AT149" s="113"/>
      <c r="AU149" s="113"/>
      <c r="AV149" s="29"/>
    </row>
    <row r="150" spans="2:48" ht="17.399999999999999" x14ac:dyDescent="0.45">
      <c r="B150" s="583" t="s">
        <v>130</v>
      </c>
      <c r="C150" s="584"/>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4" t="s">
        <v>408</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580" t="s">
        <v>208</v>
      </c>
      <c r="C151" s="581"/>
      <c r="D151" s="27"/>
      <c r="E151" s="27">
        <f t="shared" ref="E151:G151" si="444">(E30+E155+E158+E161)/D30-1</f>
        <v>2.777764747303535E-2</v>
      </c>
      <c r="F151" s="27">
        <f t="shared" si="444"/>
        <v>-1.7269004124131682E-2</v>
      </c>
      <c r="G151" s="27">
        <f t="shared" si="444"/>
        <v>1.9258933156590885E-2</v>
      </c>
      <c r="H151" s="9"/>
      <c r="I151" s="27">
        <f>(I30+I155+I158+I161)/G30-1</f>
        <v>-1.436336111538794E-2</v>
      </c>
      <c r="J151" s="27">
        <f t="shared" ref="J151:L151" si="445">(J30+J155+J158+J161)/I30-1</f>
        <v>-1.1333810572689007E-3</v>
      </c>
      <c r="K151" s="27">
        <f t="shared" si="445"/>
        <v>-2.8161802355349819E-3</v>
      </c>
      <c r="L151" s="27">
        <f t="shared" si="445"/>
        <v>-9.5210569021197955E-4</v>
      </c>
      <c r="M151" s="9"/>
      <c r="N151" s="27">
        <f>(N30+N155+N158+N161)/L30-1</f>
        <v>6.5210015787404707E-3</v>
      </c>
      <c r="O151" s="27">
        <f t="shared" ref="O151:Q151" si="446">(O30+O155+O158+O161)/N30-1</f>
        <v>2.1276595744681437E-3</v>
      </c>
      <c r="P151" s="27">
        <f t="shared" si="446"/>
        <v>8.4925690021231404E-4</v>
      </c>
      <c r="Q151" s="27">
        <f t="shared" si="446"/>
        <v>8.4925690021231404E-4</v>
      </c>
      <c r="R151" s="9"/>
      <c r="S151" s="27">
        <f>(S30+S155+S158+S161)/Q30-1</f>
        <v>1.7994180128374726E-2</v>
      </c>
      <c r="T151" s="27">
        <f>(T30+T155+T158+T161)/S30-1</f>
        <v>-1.2989686217510177E-2</v>
      </c>
      <c r="U151" s="27">
        <f>(U30+U155+U158+U161)/T30-1</f>
        <v>-1.9143752175426743E-3</v>
      </c>
      <c r="V151" s="27">
        <f>(V30+V155+V158+V161)/U30-1</f>
        <v>7.4613109397692057E-4</v>
      </c>
      <c r="W151" s="256"/>
      <c r="X151" s="27">
        <f>(X30+X155+X158+X161)/V30-1</f>
        <v>2.2460199068061737E-3</v>
      </c>
      <c r="Y151" s="35">
        <v>2E-3</v>
      </c>
      <c r="Z151" s="35">
        <v>2E-3</v>
      </c>
      <c r="AA151" s="35">
        <v>2E-3</v>
      </c>
      <c r="AB151" s="9"/>
      <c r="AC151" s="35">
        <v>2E-3</v>
      </c>
      <c r="AD151" s="35">
        <v>2E-3</v>
      </c>
      <c r="AE151" s="35">
        <v>2E-3</v>
      </c>
      <c r="AF151" s="35">
        <v>2E-3</v>
      </c>
      <c r="AG151" s="9"/>
      <c r="AH151" s="35">
        <v>2E-3</v>
      </c>
      <c r="AI151" s="35">
        <v>2E-3</v>
      </c>
      <c r="AJ151" s="35">
        <v>2E-3</v>
      </c>
      <c r="AK151" s="35">
        <v>2E-3</v>
      </c>
      <c r="AL151" s="9"/>
      <c r="AM151" s="35">
        <v>2E-3</v>
      </c>
      <c r="AN151" s="35">
        <v>2E-3</v>
      </c>
      <c r="AO151" s="35">
        <v>2E-3</v>
      </c>
      <c r="AP151" s="35">
        <v>2E-3</v>
      </c>
      <c r="AQ151" s="9"/>
      <c r="AR151" s="35">
        <v>2E-3</v>
      </c>
      <c r="AS151" s="35">
        <v>2E-3</v>
      </c>
      <c r="AT151" s="35">
        <v>2E-3</v>
      </c>
      <c r="AU151" s="35">
        <v>2E-3</v>
      </c>
      <c r="AV151" s="9"/>
    </row>
    <row r="152" spans="2:48" outlineLevel="1" x14ac:dyDescent="0.3">
      <c r="B152" s="580" t="s">
        <v>209</v>
      </c>
      <c r="C152" s="581"/>
      <c r="D152" s="27"/>
      <c r="E152" s="27">
        <f t="shared" ref="E152:G152" si="447">(E31+E155+E158+E161)/D31-1</f>
        <v>2.7604785512613583E-2</v>
      </c>
      <c r="F152" s="27">
        <f t="shared" si="447"/>
        <v>-1.6710442080933863E-2</v>
      </c>
      <c r="G152" s="27">
        <f t="shared" si="447"/>
        <v>1.9089589576967603E-2</v>
      </c>
      <c r="H152" s="9"/>
      <c r="I152" s="27">
        <f>(I31+I155+I158+I161)/G31-1</f>
        <v>-1.5386652077945762E-2</v>
      </c>
      <c r="J152" s="27">
        <f t="shared" ref="J152:L152" si="448">(J31+J155+J158+J161)/I31-1</f>
        <v>-2.5506658270361138E-3</v>
      </c>
      <c r="K152" s="27">
        <f t="shared" si="448"/>
        <v>-1.0332853392055585E-2</v>
      </c>
      <c r="L152" s="27">
        <f t="shared" si="448"/>
        <v>8.9858793324775199E-3</v>
      </c>
      <c r="M152" s="9"/>
      <c r="N152" s="27">
        <f>(N31+N155+N158+N161)/L31-1</f>
        <v>3.392705682782049E-3</v>
      </c>
      <c r="O152" s="27">
        <f t="shared" ref="O152:Q152" si="449">(O31+O155+O158+O161)/N31-1</f>
        <v>1.5215553677092597E-3</v>
      </c>
      <c r="P152" s="27">
        <f t="shared" si="449"/>
        <v>1.1816340310601969E-3</v>
      </c>
      <c r="Q152" s="27">
        <f t="shared" si="449"/>
        <v>1.4331478671387732E-3</v>
      </c>
      <c r="R152" s="9"/>
      <c r="S152" s="27">
        <f>(S31+S155+S158+S161)/Q31-1</f>
        <v>1.6689115245390962E-2</v>
      </c>
      <c r="T152" s="27">
        <f>(T31+T155+T158+T161)/S31-1</f>
        <v>-1.4867191058983376E-2</v>
      </c>
      <c r="U152" s="27">
        <f>(U31+U155+U158+U161)/T31-1</f>
        <v>-2.5132160499177214E-3</v>
      </c>
      <c r="V152" s="27">
        <f t="shared" ref="V152" si="450">(V31+V155+V158+V161)/U31-1</f>
        <v>1.3032145960034658E-3</v>
      </c>
      <c r="W152" s="256"/>
      <c r="X152" s="27">
        <f>(X31+X155+X158+X161)/V31-1</f>
        <v>2.0250927284217735E-3</v>
      </c>
      <c r="Y152" s="35">
        <v>1E-3</v>
      </c>
      <c r="Z152" s="35">
        <v>1E-3</v>
      </c>
      <c r="AA152" s="35">
        <v>1E-3</v>
      </c>
      <c r="AB152" s="9"/>
      <c r="AC152" s="35">
        <v>1E-3</v>
      </c>
      <c r="AD152" s="35">
        <v>1E-3</v>
      </c>
      <c r="AE152" s="35">
        <v>1E-3</v>
      </c>
      <c r="AF152" s="35">
        <v>1E-3</v>
      </c>
      <c r="AG152" s="9"/>
      <c r="AH152" s="35">
        <v>1E-3</v>
      </c>
      <c r="AI152" s="35">
        <v>1E-3</v>
      </c>
      <c r="AJ152" s="35">
        <v>1E-3</v>
      </c>
      <c r="AK152" s="35">
        <v>1E-3</v>
      </c>
      <c r="AL152" s="9"/>
      <c r="AM152" s="35">
        <v>1E-3</v>
      </c>
      <c r="AN152" s="35">
        <v>1E-3</v>
      </c>
      <c r="AO152" s="35">
        <v>1E-3</v>
      </c>
      <c r="AP152" s="35">
        <v>1E-3</v>
      </c>
      <c r="AQ152" s="9"/>
      <c r="AR152" s="35">
        <v>1E-3</v>
      </c>
      <c r="AS152" s="35">
        <v>1E-3</v>
      </c>
      <c r="AT152" s="35">
        <v>1E-3</v>
      </c>
      <c r="AU152" s="35">
        <v>1E-3</v>
      </c>
      <c r="AV152" s="9"/>
    </row>
    <row r="153" spans="2:48" outlineLevel="1" x14ac:dyDescent="0.3">
      <c r="B153" s="609" t="s">
        <v>137</v>
      </c>
      <c r="C153" s="610"/>
      <c r="D153" s="245"/>
      <c r="E153" s="144">
        <v>69.922678056926543</v>
      </c>
      <c r="F153" s="144">
        <v>83.13076202744692</v>
      </c>
      <c r="G153" s="144">
        <v>92.52</v>
      </c>
      <c r="H153" s="246"/>
      <c r="I153" s="144">
        <v>85.23</v>
      </c>
      <c r="J153" s="144">
        <v>78.08</v>
      </c>
      <c r="K153" s="144">
        <v>0</v>
      </c>
      <c r="L153" s="144">
        <v>0</v>
      </c>
      <c r="M153" s="246"/>
      <c r="N153" s="144">
        <v>0</v>
      </c>
      <c r="O153" s="144">
        <v>0</v>
      </c>
      <c r="P153" s="144">
        <v>0</v>
      </c>
      <c r="Q153" s="144">
        <v>0</v>
      </c>
      <c r="R153" s="246"/>
      <c r="S153" s="144">
        <v>113.12</v>
      </c>
      <c r="T153" s="144">
        <v>94.51</v>
      </c>
      <c r="U153" s="144">
        <v>0</v>
      </c>
      <c r="V153" s="144">
        <f>+U153</f>
        <v>0</v>
      </c>
      <c r="W153" s="257"/>
      <c r="X153" s="144">
        <v>98.97</v>
      </c>
      <c r="Y153" s="247">
        <v>100</v>
      </c>
      <c r="Z153" s="247">
        <v>100</v>
      </c>
      <c r="AA153" s="247">
        <v>100</v>
      </c>
      <c r="AB153" s="246"/>
      <c r="AC153" s="393">
        <f>AG35/0.02</f>
        <v>112.69125000000003</v>
      </c>
      <c r="AD153" s="247">
        <f>+AC153</f>
        <v>112.69125000000003</v>
      </c>
      <c r="AE153" s="247">
        <f>+AD153</f>
        <v>112.69125000000003</v>
      </c>
      <c r="AF153" s="247">
        <f>+AE153</f>
        <v>112.69125000000003</v>
      </c>
      <c r="AG153" s="390"/>
      <c r="AH153" s="393">
        <f>AL35/0.02</f>
        <v>118.3258125</v>
      </c>
      <c r="AI153" s="247">
        <f>AH153</f>
        <v>118.3258125</v>
      </c>
      <c r="AJ153" s="247">
        <f>AI153</f>
        <v>118.3258125</v>
      </c>
      <c r="AK153" s="247">
        <f>AJ153</f>
        <v>118.3258125</v>
      </c>
      <c r="AL153" s="390"/>
      <c r="AM153" s="247">
        <f>AQ35/0.02</f>
        <v>123.32179125000002</v>
      </c>
      <c r="AN153" s="247">
        <f>AM153</f>
        <v>123.32179125000002</v>
      </c>
      <c r="AO153" s="247">
        <f>AN153</f>
        <v>123.32179125000002</v>
      </c>
      <c r="AP153" s="247">
        <f>AO153</f>
        <v>123.32179125000002</v>
      </c>
      <c r="AQ153" s="246"/>
      <c r="AR153" s="247">
        <f>AV35/0.02</f>
        <v>125.78822707500001</v>
      </c>
      <c r="AS153" s="247">
        <f>AR153</f>
        <v>125.78822707500001</v>
      </c>
      <c r="AT153" s="247">
        <f>AS153</f>
        <v>125.78822707500001</v>
      </c>
      <c r="AU153" s="247">
        <f>AT153</f>
        <v>125.78822707500001</v>
      </c>
      <c r="AV153" s="246"/>
    </row>
    <row r="154" spans="2:48" outlineLevel="1" x14ac:dyDescent="0.3">
      <c r="B154" s="580" t="s">
        <v>138</v>
      </c>
      <c r="C154" s="581"/>
      <c r="D154" s="16"/>
      <c r="E154" s="105">
        <v>713.2</v>
      </c>
      <c r="F154" s="105">
        <f>954.3-713.2</f>
        <v>241.09999999999991</v>
      </c>
      <c r="G154" s="101">
        <v>2177.1942404399997</v>
      </c>
      <c r="H154" s="17">
        <f>+SUM(D154:G154)</f>
        <v>3131.4942404399999</v>
      </c>
      <c r="I154" s="101">
        <v>1107.9389472300002</v>
      </c>
      <c r="J154" s="101">
        <v>567.02921856000012</v>
      </c>
      <c r="K154" s="101">
        <v>0</v>
      </c>
      <c r="L154" s="101">
        <v>0</v>
      </c>
      <c r="M154" s="17">
        <f>+SUM(I154:L154)</f>
        <v>1674.9681657900003</v>
      </c>
      <c r="N154" s="101">
        <v>0</v>
      </c>
      <c r="O154" s="101">
        <v>0</v>
      </c>
      <c r="P154" s="101">
        <v>0</v>
      </c>
      <c r="Q154" s="101">
        <v>0</v>
      </c>
      <c r="R154" s="17">
        <f>+SUM(N154:Q154)</f>
        <v>0</v>
      </c>
      <c r="S154" s="101">
        <f>S155*S153</f>
        <v>3520.86</v>
      </c>
      <c r="T154" s="101">
        <f>T155*T153</f>
        <v>492.13842613000003</v>
      </c>
      <c r="U154" s="101">
        <v>0</v>
      </c>
      <c r="V154" s="101">
        <f>U154</f>
        <v>0</v>
      </c>
      <c r="W154" s="169">
        <f>+SUM(S154:V154)</f>
        <v>4012.9984261300001</v>
      </c>
      <c r="X154" s="101">
        <v>191.4</v>
      </c>
      <c r="Y154" s="33">
        <v>100</v>
      </c>
      <c r="Z154" s="33">
        <v>100</v>
      </c>
      <c r="AA154" s="33">
        <v>100</v>
      </c>
      <c r="AB154" s="17">
        <f>+SUM(X154:AA154)</f>
        <v>491.4</v>
      </c>
      <c r="AC154" s="33">
        <v>100</v>
      </c>
      <c r="AD154" s="33">
        <v>100</v>
      </c>
      <c r="AE154" s="33">
        <v>100</v>
      </c>
      <c r="AF154" s="33">
        <v>100</v>
      </c>
      <c r="AG154" s="17">
        <f>+SUM(AC154:AF154)</f>
        <v>400</v>
      </c>
      <c r="AH154" s="33">
        <v>100</v>
      </c>
      <c r="AI154" s="33">
        <v>100</v>
      </c>
      <c r="AJ154" s="33">
        <v>5442</v>
      </c>
      <c r="AK154" s="33">
        <f>AJ154</f>
        <v>5442</v>
      </c>
      <c r="AL154" s="17">
        <f>+SUM(AH154:AK154)</f>
        <v>11084</v>
      </c>
      <c r="AM154" s="33">
        <v>250</v>
      </c>
      <c r="AN154" s="33">
        <v>250</v>
      </c>
      <c r="AO154" s="33">
        <v>250</v>
      </c>
      <c r="AP154" s="33">
        <v>250</v>
      </c>
      <c r="AQ154" s="17">
        <f>+SUM(AM154:AP154)</f>
        <v>1000</v>
      </c>
      <c r="AR154" s="33">
        <v>250</v>
      </c>
      <c r="AS154" s="33">
        <v>250</v>
      </c>
      <c r="AT154" s="33">
        <v>250</v>
      </c>
      <c r="AU154" s="33">
        <v>250</v>
      </c>
      <c r="AV154" s="17">
        <f>+SUM(AR154:AU154)</f>
        <v>1000</v>
      </c>
    </row>
    <row r="155" spans="2:48" outlineLevel="1" x14ac:dyDescent="0.3">
      <c r="B155" s="580" t="s">
        <v>207</v>
      </c>
      <c r="C155" s="581"/>
      <c r="D155" s="139"/>
      <c r="E155" s="139">
        <f>IF((E154)&gt;0,(E154/E153),0)</f>
        <v>10.199838161509755</v>
      </c>
      <c r="F155" s="142">
        <f>IF((F154)&gt;0,(F154/F153),0)</f>
        <v>2.9002500893760241</v>
      </c>
      <c r="G155" s="142">
        <f>IF((G154)&gt;0,(G154/G153),0)</f>
        <v>23.532146999999998</v>
      </c>
      <c r="H155" s="49">
        <f>+SUM(D155:G155)</f>
        <v>36.632235250885778</v>
      </c>
      <c r="I155" s="139">
        <f>IF((I154)&gt;0,(I154/I153),0)</f>
        <v>12.999401000000001</v>
      </c>
      <c r="J155" s="142">
        <f>IF((J154)&gt;0,(J154/J153),0)</f>
        <v>7.262157000000002</v>
      </c>
      <c r="K155" s="139">
        <f>IF((K154)&gt;0,(K154/K153),0)</f>
        <v>0</v>
      </c>
      <c r="L155" s="139">
        <f>IF((L154)&gt;0,(L154/L153),0)</f>
        <v>0</v>
      </c>
      <c r="M155" s="49">
        <f>+SUM(I155:L155)</f>
        <v>20.261558000000001</v>
      </c>
      <c r="N155" s="139">
        <f>IF((N154)&gt;0,(N154/N153),0)</f>
        <v>0</v>
      </c>
      <c r="O155" s="139">
        <f>IF((O154)&gt;0,(O154/O153),0)</f>
        <v>0</v>
      </c>
      <c r="P155" s="139">
        <f>IF((P154)&gt;0,(P154/P153),0)</f>
        <v>0</v>
      </c>
      <c r="Q155" s="139">
        <f>IF((Q154)&gt;0,(Q154/Q153),0)</f>
        <v>0</v>
      </c>
      <c r="R155" s="49">
        <f>+SUM(N155:Q155)</f>
        <v>0</v>
      </c>
      <c r="S155" s="139">
        <v>31.125</v>
      </c>
      <c r="T155" s="142">
        <v>5.2072630000000002</v>
      </c>
      <c r="U155" s="142">
        <f>IF((U154)&gt;0,(U154/U153),0)</f>
        <v>0</v>
      </c>
      <c r="V155" s="139">
        <f>IF((V154)&gt;0,(V154/V153),0)</f>
        <v>0</v>
      </c>
      <c r="W155" s="49">
        <f>+SUM(S155:V155)</f>
        <v>36.332262999999998</v>
      </c>
      <c r="X155" s="139">
        <f>IF((X154)&gt;0,(X154/X153),0)</f>
        <v>1.9339193695059109</v>
      </c>
      <c r="Y155" s="139">
        <f>IF((Y154)&gt;0,(Y154/Y153),0)</f>
        <v>1</v>
      </c>
      <c r="Z155" s="139">
        <f>IF((Z154)&gt;0,(Z154/Z153),0)</f>
        <v>1</v>
      </c>
      <c r="AA155" s="139">
        <f>IF((AA154)&gt;0,(AA154/AA153),0)</f>
        <v>1</v>
      </c>
      <c r="AB155" s="49">
        <f>+SUM(X155:AA155)</f>
        <v>4.9339193695059107</v>
      </c>
      <c r="AC155" s="139">
        <f>IF((AC154)&gt;0,(AC154/AC153),0)</f>
        <v>0.88738034230696683</v>
      </c>
      <c r="AD155" s="139">
        <f>IF((AD154)&gt;0,(AD154/AD153),0)</f>
        <v>0.88738034230696683</v>
      </c>
      <c r="AE155" s="139">
        <f>IF((AE154)&gt;0,(AE154/AE153),0)</f>
        <v>0.88738034230696683</v>
      </c>
      <c r="AF155" s="139">
        <f>IF((AF154)&gt;0,(AF154/AF153),0)</f>
        <v>0.88738034230696683</v>
      </c>
      <c r="AG155" s="49">
        <f>+SUM(AC155:AF155)</f>
        <v>3.5495213692278673</v>
      </c>
      <c r="AH155" s="139">
        <f>IF((AH154)&gt;0,(AH154/AH153),0)</f>
        <v>0.84512413553044485</v>
      </c>
      <c r="AI155" s="139">
        <f>IF((AI154)&gt;0,(AI154/AI153),0)</f>
        <v>0.84512413553044485</v>
      </c>
      <c r="AJ155" s="139">
        <f>IF((AJ154)&gt;0,(AJ154/AJ153),0)</f>
        <v>45.991655455566807</v>
      </c>
      <c r="AK155" s="139">
        <f>IF((AK154)&gt;0,(AK154/AK153),0)</f>
        <v>45.991655455566807</v>
      </c>
      <c r="AL155" s="49">
        <f>+SUM(AH155:AK155)</f>
        <v>93.673559182194509</v>
      </c>
      <c r="AM155" s="139">
        <f>IF((AM154)&gt;0,(AM154/AM153),0)</f>
        <v>2.0272167430101287</v>
      </c>
      <c r="AN155" s="139">
        <f>IF((AN154)&gt;0,(AN154/AN153),0)</f>
        <v>2.0272167430101287</v>
      </c>
      <c r="AO155" s="139">
        <f>IF((AO154)&gt;0,(AO154/AO153),0)</f>
        <v>2.0272167430101287</v>
      </c>
      <c r="AP155" s="139">
        <f>IF((AP154)&gt;0,(AP154/AP153),0)</f>
        <v>2.0272167430101287</v>
      </c>
      <c r="AQ155" s="49">
        <f>+SUM(AM155:AP155)</f>
        <v>8.1088669720405147</v>
      </c>
      <c r="AR155" s="139">
        <f>IF((AR154)&gt;0,(AR154/AR153),0)</f>
        <v>1.9874673951079693</v>
      </c>
      <c r="AS155" s="139">
        <f>IF((AS154)&gt;0,(AS154/AS153),0)</f>
        <v>1.9874673951079693</v>
      </c>
      <c r="AT155" s="139">
        <f>IF((AT154)&gt;0,(AT154/AT153),0)</f>
        <v>1.9874673951079693</v>
      </c>
      <c r="AU155" s="139">
        <f>IF((AU154)&gt;0,(AU154/AU153),0)</f>
        <v>1.9874673951079693</v>
      </c>
      <c r="AV155" s="49">
        <f>+SUM(AR155:AU155)</f>
        <v>7.9498695804318773</v>
      </c>
    </row>
    <row r="156" spans="2:48" outlineLevel="1" x14ac:dyDescent="0.3">
      <c r="B156" s="611" t="s">
        <v>131</v>
      </c>
      <c r="C156" s="612"/>
      <c r="D156" s="143">
        <v>55.58</v>
      </c>
      <c r="E156" s="144">
        <v>65.03</v>
      </c>
      <c r="F156" s="96"/>
      <c r="G156" s="96"/>
      <c r="H156" s="76"/>
      <c r="I156" s="96"/>
      <c r="J156" s="96"/>
      <c r="K156" s="96"/>
      <c r="L156" s="96"/>
      <c r="M156" s="76"/>
      <c r="N156" s="96"/>
      <c r="O156" s="96"/>
      <c r="P156" s="96"/>
      <c r="Q156" s="96"/>
      <c r="R156" s="76"/>
      <c r="S156" s="96"/>
      <c r="T156" s="96"/>
      <c r="U156" s="96"/>
      <c r="V156" s="96"/>
      <c r="W156" s="76"/>
      <c r="X156" s="96"/>
      <c r="Y156" s="96"/>
      <c r="Z156" s="96"/>
      <c r="AA156" s="96"/>
      <c r="AB156" s="76"/>
      <c r="AC156" s="96"/>
      <c r="AD156" s="96"/>
      <c r="AE156" s="96"/>
      <c r="AF156" s="96"/>
      <c r="AG156" s="76"/>
      <c r="AH156" s="96"/>
      <c r="AI156" s="96"/>
      <c r="AJ156" s="96"/>
      <c r="AK156" s="96"/>
      <c r="AL156" s="76"/>
      <c r="AM156" s="96"/>
      <c r="AN156" s="96"/>
      <c r="AO156" s="96"/>
      <c r="AP156" s="96"/>
      <c r="AQ156" s="76"/>
      <c r="AR156" s="96"/>
      <c r="AS156" s="96"/>
      <c r="AT156" s="96"/>
      <c r="AU156" s="96"/>
      <c r="AV156" s="76"/>
    </row>
    <row r="157" spans="2:48" outlineLevel="1" x14ac:dyDescent="0.3">
      <c r="B157" s="613" t="s">
        <v>132</v>
      </c>
      <c r="C157" s="614"/>
      <c r="D157" s="145">
        <f>71.968334*55.58</f>
        <v>4000.0000037199998</v>
      </c>
      <c r="E157" s="146">
        <v>318.64700000000005</v>
      </c>
      <c r="F157" s="139"/>
      <c r="G157" s="139"/>
      <c r="H157" s="49"/>
      <c r="I157" s="139"/>
      <c r="J157" s="139"/>
      <c r="K157" s="139"/>
      <c r="L157" s="139"/>
      <c r="M157" s="49"/>
      <c r="N157" s="139"/>
      <c r="O157" s="139"/>
      <c r="P157" s="139"/>
      <c r="Q157" s="139"/>
      <c r="R157" s="49"/>
      <c r="S157" s="139"/>
      <c r="T157" s="139"/>
      <c r="U157" s="142"/>
      <c r="V157" s="139"/>
      <c r="W157" s="137"/>
      <c r="X157" s="139"/>
      <c r="Y157" s="139"/>
      <c r="Z157" s="139"/>
      <c r="AA157" s="139"/>
      <c r="AB157" s="49"/>
      <c r="AC157" s="139"/>
      <c r="AD157" s="139"/>
      <c r="AE157" s="139"/>
      <c r="AF157" s="139"/>
      <c r="AG157" s="49"/>
      <c r="AH157" s="139"/>
      <c r="AI157" s="139"/>
      <c r="AJ157" s="139"/>
      <c r="AK157" s="139"/>
      <c r="AL157" s="49"/>
      <c r="AM157" s="139"/>
      <c r="AN157" s="139"/>
      <c r="AO157" s="139"/>
      <c r="AP157" s="139"/>
      <c r="AQ157" s="49"/>
      <c r="AR157" s="139"/>
      <c r="AS157" s="139"/>
      <c r="AT157" s="139"/>
      <c r="AU157" s="139"/>
      <c r="AV157" s="49"/>
    </row>
    <row r="158" spans="2:48" outlineLevel="1" x14ac:dyDescent="0.3">
      <c r="B158" s="615" t="s">
        <v>133</v>
      </c>
      <c r="C158" s="616"/>
      <c r="D158" s="147">
        <f>IF((D157)&gt;0,(D157/D156),0)</f>
        <v>71.968333999999999</v>
      </c>
      <c r="E158" s="140">
        <f>IF((E157)&gt;0,(E157/E156),0)</f>
        <v>4.9000000000000004</v>
      </c>
      <c r="F158" s="140"/>
      <c r="G158" s="140"/>
      <c r="H158" s="141"/>
      <c r="I158" s="140"/>
      <c r="J158" s="140"/>
      <c r="K158" s="140"/>
      <c r="L158" s="140"/>
      <c r="M158" s="141"/>
      <c r="N158" s="140"/>
      <c r="O158" s="140"/>
      <c r="P158" s="140"/>
      <c r="Q158" s="140"/>
      <c r="R158" s="141"/>
      <c r="S158" s="140"/>
      <c r="T158" s="140"/>
      <c r="U158" s="140"/>
      <c r="V158" s="140"/>
      <c r="W158" s="199"/>
      <c r="X158" s="140"/>
      <c r="Y158" s="140"/>
      <c r="Z158" s="140"/>
      <c r="AA158" s="140"/>
      <c r="AB158" s="141"/>
      <c r="AC158" s="140"/>
      <c r="AD158" s="140"/>
      <c r="AE158" s="140"/>
      <c r="AF158" s="140"/>
      <c r="AG158" s="141"/>
      <c r="AH158" s="140"/>
      <c r="AI158" s="140"/>
      <c r="AJ158" s="140"/>
      <c r="AK158" s="140"/>
      <c r="AL158" s="141"/>
      <c r="AM158" s="140"/>
      <c r="AN158" s="140"/>
      <c r="AO158" s="140"/>
      <c r="AP158" s="140"/>
      <c r="AQ158" s="141"/>
      <c r="AR158" s="140"/>
      <c r="AS158" s="140"/>
      <c r="AT158" s="140"/>
      <c r="AU158" s="140"/>
      <c r="AV158" s="141"/>
    </row>
    <row r="159" spans="2:48" outlineLevel="1" x14ac:dyDescent="0.3">
      <c r="B159" s="200" t="s">
        <v>134</v>
      </c>
      <c r="C159" s="201"/>
      <c r="D159" s="139"/>
      <c r="E159" s="36">
        <v>71.959999999999994</v>
      </c>
      <c r="F159" s="36">
        <v>76.5</v>
      </c>
      <c r="G159" s="139"/>
      <c r="H159" s="49"/>
      <c r="I159" s="139"/>
      <c r="J159" s="139"/>
      <c r="K159" s="139"/>
      <c r="L159" s="139"/>
      <c r="M159" s="49"/>
      <c r="N159" s="139"/>
      <c r="O159" s="139"/>
      <c r="P159" s="139"/>
      <c r="Q159" s="139"/>
      <c r="R159" s="49"/>
      <c r="S159" s="139"/>
      <c r="T159" s="139"/>
      <c r="U159" s="139"/>
      <c r="V159" s="139"/>
      <c r="W159" s="49"/>
      <c r="X159" s="139"/>
      <c r="Y159" s="139"/>
      <c r="Z159" s="139"/>
      <c r="AA159" s="139"/>
      <c r="AB159" s="49"/>
      <c r="AC159" s="139"/>
      <c r="AD159" s="139"/>
      <c r="AE159" s="139"/>
      <c r="AF159" s="139"/>
      <c r="AG159" s="49"/>
      <c r="AH159" s="139"/>
      <c r="AI159" s="139"/>
      <c r="AJ159" s="139"/>
      <c r="AK159" s="139"/>
      <c r="AL159" s="49"/>
      <c r="AM159" s="139"/>
      <c r="AN159" s="139"/>
      <c r="AO159" s="139"/>
      <c r="AP159" s="139"/>
      <c r="AQ159" s="49"/>
      <c r="AR159" s="139"/>
      <c r="AS159" s="139"/>
      <c r="AT159" s="139"/>
      <c r="AU159" s="139"/>
      <c r="AV159" s="49"/>
    </row>
    <row r="160" spans="2:48" outlineLevel="1" x14ac:dyDescent="0.3">
      <c r="B160" s="200" t="s">
        <v>135</v>
      </c>
      <c r="C160" s="201"/>
      <c r="D160" s="139"/>
      <c r="E160" s="16">
        <v>1597.5119999999997</v>
      </c>
      <c r="F160" s="16">
        <v>298.35000000000002</v>
      </c>
      <c r="G160" s="139"/>
      <c r="H160" s="49"/>
      <c r="I160" s="139"/>
      <c r="J160" s="139"/>
      <c r="K160" s="139"/>
      <c r="L160" s="139"/>
      <c r="M160" s="49"/>
      <c r="N160" s="179"/>
      <c r="O160" s="139"/>
      <c r="P160" s="139"/>
      <c r="Q160" s="139"/>
      <c r="R160" s="49"/>
      <c r="S160" s="139"/>
      <c r="T160" s="139"/>
      <c r="U160" s="139"/>
      <c r="V160" s="139"/>
      <c r="W160" s="49"/>
      <c r="X160" s="139"/>
      <c r="Y160" s="139"/>
      <c r="Z160" s="139"/>
      <c r="AA160" s="139"/>
      <c r="AB160" s="49"/>
      <c r="AC160" s="139"/>
      <c r="AD160" s="139"/>
      <c r="AE160" s="139"/>
      <c r="AF160" s="139"/>
      <c r="AG160" s="49"/>
      <c r="AH160" s="139"/>
      <c r="AI160" s="139"/>
      <c r="AJ160" s="139"/>
      <c r="AK160" s="139"/>
      <c r="AL160" s="49"/>
      <c r="AM160" s="139"/>
      <c r="AN160" s="139"/>
      <c r="AO160" s="139"/>
      <c r="AP160" s="139"/>
      <c r="AQ160" s="49"/>
      <c r="AR160" s="139"/>
      <c r="AS160" s="139"/>
      <c r="AT160" s="139"/>
      <c r="AU160" s="139"/>
      <c r="AV160" s="49"/>
    </row>
    <row r="161" spans="2:48" outlineLevel="1" x14ac:dyDescent="0.3">
      <c r="B161" s="200" t="s">
        <v>136</v>
      </c>
      <c r="C161" s="201"/>
      <c r="D161" s="139"/>
      <c r="E161" s="139">
        <f>IF((E160)&gt;0,(E160/E159),0)</f>
        <v>22.2</v>
      </c>
      <c r="F161" s="139">
        <f>IF((F160)&gt;0,(F160/F159),0)</f>
        <v>3.9000000000000004</v>
      </c>
      <c r="G161" s="139"/>
      <c r="H161" s="49"/>
      <c r="I161" s="139"/>
      <c r="J161" s="139"/>
      <c r="K161" s="139"/>
      <c r="L161" s="139"/>
      <c r="M161" s="49"/>
      <c r="N161" s="139"/>
      <c r="O161" s="139"/>
      <c r="P161" s="139"/>
      <c r="Q161" s="139"/>
      <c r="R161" s="49"/>
      <c r="S161" s="139"/>
      <c r="T161" s="139"/>
      <c r="U161" s="139"/>
      <c r="V161" s="139"/>
      <c r="W161" s="49"/>
      <c r="X161" s="139"/>
      <c r="Y161" s="139"/>
      <c r="Z161" s="139"/>
      <c r="AA161" s="139"/>
      <c r="AB161" s="49"/>
      <c r="AC161" s="139"/>
      <c r="AD161" s="139"/>
      <c r="AE161" s="139"/>
      <c r="AF161" s="139"/>
      <c r="AG161" s="49"/>
      <c r="AH161" s="139"/>
      <c r="AI161" s="139"/>
      <c r="AJ161" s="139"/>
      <c r="AK161" s="139"/>
      <c r="AL161" s="49"/>
      <c r="AM161" s="139"/>
      <c r="AN161" s="139"/>
      <c r="AO161" s="139"/>
      <c r="AP161" s="139"/>
      <c r="AQ161" s="49"/>
      <c r="AR161" s="139"/>
      <c r="AS161" s="139"/>
      <c r="AT161" s="139"/>
      <c r="AU161" s="139"/>
      <c r="AV161" s="49"/>
    </row>
    <row r="162" spans="2:48" ht="17.399999999999999" x14ac:dyDescent="0.45">
      <c r="B162" s="583" t="s">
        <v>12</v>
      </c>
      <c r="C162" s="584"/>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4" t="s">
        <v>408</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580" t="s">
        <v>65</v>
      </c>
      <c r="C163" s="581"/>
      <c r="D163" s="102">
        <f>-(22+5.3+0.6+20.9)</f>
        <v>-48.8</v>
      </c>
      <c r="E163" s="102">
        <v>-45.1</v>
      </c>
      <c r="F163" s="102">
        <v>-39.6</v>
      </c>
      <c r="G163" s="102">
        <f>-146.2+133.5</f>
        <v>-12.699999999999989</v>
      </c>
      <c r="H163" s="159">
        <f>SUM(D163:G163)</f>
        <v>-146.19999999999999</v>
      </c>
      <c r="I163" s="102">
        <v>-7.1</v>
      </c>
      <c r="J163" s="102">
        <v>0.1</v>
      </c>
      <c r="K163" s="105">
        <f>-K14</f>
        <v>-78.099999999999994</v>
      </c>
      <c r="L163" s="101">
        <v>-195.5</v>
      </c>
      <c r="M163" s="169"/>
      <c r="N163" s="101">
        <v>-72.2</v>
      </c>
      <c r="O163" s="101">
        <v>-23</v>
      </c>
      <c r="P163" s="101">
        <v>-19.8</v>
      </c>
      <c r="Q163" s="101">
        <v>-55.5</v>
      </c>
      <c r="R163" s="17"/>
      <c r="S163" s="16">
        <v>7.5</v>
      </c>
      <c r="T163" s="16">
        <v>-4.4000000000000004</v>
      </c>
      <c r="U163" s="16">
        <v>-14</v>
      </c>
      <c r="V163" s="101">
        <v>-35.1</v>
      </c>
      <c r="W163" s="17"/>
      <c r="X163" s="101">
        <v>-5.8</v>
      </c>
      <c r="Y163" s="33">
        <v>0</v>
      </c>
      <c r="Z163" s="33">
        <v>0</v>
      </c>
      <c r="AA163" s="33">
        <v>0</v>
      </c>
      <c r="AB163" s="17"/>
      <c r="AC163" s="33">
        <f>AA163</f>
        <v>0</v>
      </c>
      <c r="AD163" s="33">
        <f t="shared" ref="AD163:AF163" si="451">AC163</f>
        <v>0</v>
      </c>
      <c r="AE163" s="33">
        <f t="shared" si="451"/>
        <v>0</v>
      </c>
      <c r="AF163" s="33">
        <f t="shared" si="451"/>
        <v>0</v>
      </c>
      <c r="AG163" s="17"/>
      <c r="AH163" s="33">
        <f>AF163</f>
        <v>0</v>
      </c>
      <c r="AI163" s="33">
        <f t="shared" ref="AI163:AK163" si="452">AH163</f>
        <v>0</v>
      </c>
      <c r="AJ163" s="33">
        <f t="shared" si="452"/>
        <v>0</v>
      </c>
      <c r="AK163" s="33">
        <f t="shared" si="452"/>
        <v>0</v>
      </c>
      <c r="AL163" s="17"/>
      <c r="AM163" s="33">
        <f>AK163</f>
        <v>0</v>
      </c>
      <c r="AN163" s="33">
        <f t="shared" ref="AN163:AP163" si="453">AM163</f>
        <v>0</v>
      </c>
      <c r="AO163" s="33">
        <f t="shared" si="453"/>
        <v>0</v>
      </c>
      <c r="AP163" s="33">
        <f t="shared" si="453"/>
        <v>0</v>
      </c>
      <c r="AQ163" s="17"/>
      <c r="AR163" s="33">
        <f>AP163</f>
        <v>0</v>
      </c>
      <c r="AS163" s="33">
        <f t="shared" ref="AS163:AU163" si="454">AR163</f>
        <v>0</v>
      </c>
      <c r="AT163" s="33">
        <f t="shared" si="454"/>
        <v>0</v>
      </c>
      <c r="AU163" s="33">
        <f t="shared" si="454"/>
        <v>0</v>
      </c>
      <c r="AV163" s="17"/>
    </row>
    <row r="164" spans="2:48" outlineLevel="1" x14ac:dyDescent="0.3">
      <c r="B164" s="200" t="s">
        <v>64</v>
      </c>
      <c r="C164" s="201"/>
      <c r="D164" s="102">
        <f>-(5.3+0.5)</f>
        <v>-5.8</v>
      </c>
      <c r="E164" s="102">
        <v>-4.3</v>
      </c>
      <c r="F164" s="102">
        <v>-2.2999999999999998</v>
      </c>
      <c r="G164" s="102">
        <v>-0.2</v>
      </c>
      <c r="H164" s="159">
        <f t="shared" ref="H164:H167" si="455">SUM(D164:G164)</f>
        <v>-12.599999999999998</v>
      </c>
      <c r="I164" s="102">
        <v>-5.6</v>
      </c>
      <c r="J164" s="102">
        <v>-6.8</v>
      </c>
      <c r="K164" s="105">
        <v>-35.04</v>
      </c>
      <c r="L164" s="101">
        <v>0</v>
      </c>
      <c r="M164" s="169"/>
      <c r="N164" s="101">
        <v>0</v>
      </c>
      <c r="O164" s="101">
        <v>0</v>
      </c>
      <c r="P164" s="101">
        <v>22.8</v>
      </c>
      <c r="Q164" s="101">
        <v>-0.1</v>
      </c>
      <c r="R164" s="17"/>
      <c r="S164" s="16"/>
      <c r="T164" s="16"/>
      <c r="U164" s="16"/>
      <c r="V164" s="101"/>
      <c r="W164" s="17"/>
      <c r="X164" s="101">
        <v>0</v>
      </c>
      <c r="Y164" s="33"/>
      <c r="Z164" s="33"/>
      <c r="AA164" s="33"/>
      <c r="AB164" s="17"/>
      <c r="AC164" s="33">
        <f t="shared" ref="AC164:AC167" si="456">AA164</f>
        <v>0</v>
      </c>
      <c r="AD164" s="33"/>
      <c r="AE164" s="33"/>
      <c r="AF164" s="33"/>
      <c r="AG164" s="17"/>
      <c r="AH164" s="33">
        <f t="shared" ref="AH164:AH167" si="457">AF164</f>
        <v>0</v>
      </c>
      <c r="AI164" s="33"/>
      <c r="AJ164" s="33"/>
      <c r="AK164" s="33"/>
      <c r="AL164" s="17"/>
      <c r="AM164" s="33">
        <f t="shared" ref="AM164:AM167" si="458">AK164</f>
        <v>0</v>
      </c>
      <c r="AN164" s="33"/>
      <c r="AO164" s="33"/>
      <c r="AP164" s="33"/>
      <c r="AQ164" s="17"/>
      <c r="AR164" s="33">
        <f t="shared" ref="AR164:AR167" si="459">AP164</f>
        <v>0</v>
      </c>
      <c r="AS164" s="33"/>
      <c r="AT164" s="33"/>
      <c r="AU164" s="33"/>
      <c r="AV164" s="17"/>
    </row>
    <row r="165" spans="2:48" outlineLevel="1" x14ac:dyDescent="0.3">
      <c r="B165" s="580" t="s">
        <v>129</v>
      </c>
      <c r="C165" s="581"/>
      <c r="D165" s="102">
        <f>-(60.6-0.3)</f>
        <v>-60.300000000000004</v>
      </c>
      <c r="E165" s="102">
        <v>-68.2</v>
      </c>
      <c r="F165" s="102">
        <v>-69</v>
      </c>
      <c r="G165" s="102">
        <f>-262+197.5</f>
        <v>-64.5</v>
      </c>
      <c r="H165" s="159">
        <f>SUM(D165:G165)</f>
        <v>-262</v>
      </c>
      <c r="I165" s="102">
        <v>-58.9</v>
      </c>
      <c r="J165" s="102">
        <v>-60.1</v>
      </c>
      <c r="K165" s="105">
        <v>-60.54</v>
      </c>
      <c r="L165" s="101">
        <v>-64</v>
      </c>
      <c r="M165" s="169"/>
      <c r="N165" s="101">
        <v>-62.7</v>
      </c>
      <c r="O165" s="101">
        <v>-65.2</v>
      </c>
      <c r="P165" s="101">
        <v>-54.7</v>
      </c>
      <c r="Q165" s="101">
        <v>-59.6</v>
      </c>
      <c r="R165" s="17"/>
      <c r="S165" s="16">
        <f>0.1-42.8</f>
        <v>-42.699999999999996</v>
      </c>
      <c r="T165" s="16">
        <v>-43.1</v>
      </c>
      <c r="U165" s="16">
        <v>-63.5</v>
      </c>
      <c r="V165" s="101">
        <v>-42</v>
      </c>
      <c r="W165" s="17"/>
      <c r="X165" s="101">
        <v>-0.3</v>
      </c>
      <c r="Y165" s="33">
        <f t="shared" ref="Y165:AA165" si="460">X165</f>
        <v>-0.3</v>
      </c>
      <c r="Z165" s="33">
        <f t="shared" si="460"/>
        <v>-0.3</v>
      </c>
      <c r="AA165" s="33">
        <f t="shared" si="460"/>
        <v>-0.3</v>
      </c>
      <c r="AB165" s="17"/>
      <c r="AC165" s="33">
        <f t="shared" si="456"/>
        <v>-0.3</v>
      </c>
      <c r="AD165" s="33">
        <f t="shared" ref="AD165:AF165" si="461">AC165</f>
        <v>-0.3</v>
      </c>
      <c r="AE165" s="33">
        <f t="shared" si="461"/>
        <v>-0.3</v>
      </c>
      <c r="AF165" s="33">
        <f t="shared" si="461"/>
        <v>-0.3</v>
      </c>
      <c r="AG165" s="17"/>
      <c r="AH165" s="33">
        <f t="shared" si="457"/>
        <v>-0.3</v>
      </c>
      <c r="AI165" s="33">
        <f t="shared" ref="AI165:AK165" si="462">AH165</f>
        <v>-0.3</v>
      </c>
      <c r="AJ165" s="33">
        <f t="shared" si="462"/>
        <v>-0.3</v>
      </c>
      <c r="AK165" s="33">
        <f t="shared" si="462"/>
        <v>-0.3</v>
      </c>
      <c r="AL165" s="17"/>
      <c r="AM165" s="33">
        <f t="shared" si="458"/>
        <v>-0.3</v>
      </c>
      <c r="AN165" s="33">
        <f t="shared" ref="AN165:AP165" si="463">AM165</f>
        <v>-0.3</v>
      </c>
      <c r="AO165" s="33">
        <f t="shared" si="463"/>
        <v>-0.3</v>
      </c>
      <c r="AP165" s="33">
        <f t="shared" si="463"/>
        <v>-0.3</v>
      </c>
      <c r="AQ165" s="17"/>
      <c r="AR165" s="33">
        <f t="shared" si="459"/>
        <v>-0.3</v>
      </c>
      <c r="AS165" s="33">
        <f t="shared" ref="AS165:AU165" si="464">AR165</f>
        <v>-0.3</v>
      </c>
      <c r="AT165" s="33">
        <f t="shared" si="464"/>
        <v>-0.3</v>
      </c>
      <c r="AU165" s="33">
        <f t="shared" si="464"/>
        <v>-0.3</v>
      </c>
      <c r="AV165" s="17"/>
    </row>
    <row r="166" spans="2:48" outlineLevel="1" x14ac:dyDescent="0.3">
      <c r="B166" s="200" t="s">
        <v>66</v>
      </c>
      <c r="C166" s="201"/>
      <c r="D166" s="102">
        <v>-23.1</v>
      </c>
      <c r="E166" s="102">
        <v>-23.8</v>
      </c>
      <c r="F166" s="102">
        <v>-14.4</v>
      </c>
      <c r="G166" s="102">
        <v>0</v>
      </c>
      <c r="H166" s="159">
        <f t="shared" si="455"/>
        <v>-61.300000000000004</v>
      </c>
      <c r="I166" s="102"/>
      <c r="J166" s="102"/>
      <c r="K166" s="101"/>
      <c r="L166" s="101"/>
      <c r="M166" s="169"/>
      <c r="N166" s="101"/>
      <c r="O166" s="101"/>
      <c r="P166" s="101"/>
      <c r="Q166" s="101"/>
      <c r="R166" s="17"/>
      <c r="S166" s="16"/>
      <c r="T166" s="16"/>
      <c r="U166" s="16"/>
      <c r="V166" s="101"/>
      <c r="W166" s="17"/>
      <c r="X166" s="101">
        <v>0</v>
      </c>
      <c r="Y166" s="33"/>
      <c r="Z166" s="33"/>
      <c r="AA166" s="33"/>
      <c r="AB166" s="17"/>
      <c r="AC166" s="33">
        <f t="shared" si="456"/>
        <v>0</v>
      </c>
      <c r="AD166" s="33"/>
      <c r="AE166" s="33"/>
      <c r="AF166" s="33"/>
      <c r="AG166" s="17"/>
      <c r="AH166" s="33">
        <f t="shared" si="457"/>
        <v>0</v>
      </c>
      <c r="AI166" s="33"/>
      <c r="AJ166" s="33"/>
      <c r="AK166" s="33"/>
      <c r="AL166" s="17"/>
      <c r="AM166" s="33">
        <f t="shared" si="458"/>
        <v>0</v>
      </c>
      <c r="AN166" s="33"/>
      <c r="AO166" s="33"/>
      <c r="AP166" s="33"/>
      <c r="AQ166" s="17"/>
      <c r="AR166" s="33">
        <f t="shared" si="459"/>
        <v>0</v>
      </c>
      <c r="AS166" s="33"/>
      <c r="AT166" s="33"/>
      <c r="AU166" s="33"/>
      <c r="AV166" s="17"/>
    </row>
    <row r="167" spans="2:48" ht="16.2" outlineLevel="1" x14ac:dyDescent="0.45">
      <c r="B167" s="200" t="s">
        <v>80</v>
      </c>
      <c r="C167" s="201"/>
      <c r="D167" s="138">
        <v>0</v>
      </c>
      <c r="E167" s="138">
        <v>0</v>
      </c>
      <c r="F167" s="138">
        <v>0</v>
      </c>
      <c r="G167" s="138">
        <v>0</v>
      </c>
      <c r="H167" s="160">
        <f t="shared" si="455"/>
        <v>0</v>
      </c>
      <c r="I167" s="138">
        <v>0</v>
      </c>
      <c r="J167" s="138">
        <v>0</v>
      </c>
      <c r="K167" s="112">
        <v>0</v>
      </c>
      <c r="L167" s="112">
        <v>0</v>
      </c>
      <c r="M167" s="169"/>
      <c r="N167" s="112">
        <v>0</v>
      </c>
      <c r="O167" s="112">
        <v>0</v>
      </c>
      <c r="P167" s="112">
        <v>0</v>
      </c>
      <c r="Q167" s="112">
        <v>0</v>
      </c>
      <c r="R167" s="17"/>
      <c r="S167" s="112">
        <v>0</v>
      </c>
      <c r="T167" s="112">
        <v>0</v>
      </c>
      <c r="U167" s="112">
        <v>0</v>
      </c>
      <c r="V167" s="112">
        <v>0</v>
      </c>
      <c r="W167" s="17"/>
      <c r="X167" s="112">
        <v>0</v>
      </c>
      <c r="Y167" s="32">
        <f>X167</f>
        <v>0</v>
      </c>
      <c r="Z167" s="32">
        <f>Y167</f>
        <v>0</v>
      </c>
      <c r="AA167" s="32">
        <f>Z167</f>
        <v>0</v>
      </c>
      <c r="AB167" s="17"/>
      <c r="AC167" s="32">
        <f t="shared" si="456"/>
        <v>0</v>
      </c>
      <c r="AD167" s="32">
        <v>0</v>
      </c>
      <c r="AE167" s="32">
        <v>0</v>
      </c>
      <c r="AF167" s="32">
        <v>0</v>
      </c>
      <c r="AG167" s="17"/>
      <c r="AH167" s="32">
        <f t="shared" si="457"/>
        <v>0</v>
      </c>
      <c r="AI167" s="32">
        <v>0</v>
      </c>
      <c r="AJ167" s="32">
        <v>0</v>
      </c>
      <c r="AK167" s="32">
        <v>0</v>
      </c>
      <c r="AL167" s="17"/>
      <c r="AM167" s="32">
        <f t="shared" si="458"/>
        <v>0</v>
      </c>
      <c r="AN167" s="32">
        <v>0</v>
      </c>
      <c r="AO167" s="32">
        <v>0</v>
      </c>
      <c r="AP167" s="32">
        <v>0</v>
      </c>
      <c r="AQ167" s="17"/>
      <c r="AR167" s="32">
        <f t="shared" si="459"/>
        <v>0</v>
      </c>
      <c r="AS167" s="32">
        <v>0</v>
      </c>
      <c r="AT167" s="32">
        <v>0</v>
      </c>
      <c r="AU167" s="32">
        <v>0</v>
      </c>
      <c r="AV167" s="17"/>
    </row>
    <row r="168" spans="2:48" s="8" customFormat="1" outlineLevel="1" x14ac:dyDescent="0.3">
      <c r="B168" s="205" t="s">
        <v>67</v>
      </c>
      <c r="C168" s="202"/>
      <c r="D168" s="103">
        <f t="shared" ref="D168:L168" si="465">SUM(D163:D167)</f>
        <v>-138</v>
      </c>
      <c r="E168" s="103">
        <f t="shared" si="465"/>
        <v>-141.4</v>
      </c>
      <c r="F168" s="103">
        <f t="shared" si="465"/>
        <v>-125.30000000000001</v>
      </c>
      <c r="G168" s="103">
        <f t="shared" si="465"/>
        <v>-77.399999999999991</v>
      </c>
      <c r="H168" s="171">
        <f t="shared" si="465"/>
        <v>-482.09999999999997</v>
      </c>
      <c r="I168" s="103">
        <f t="shared" si="465"/>
        <v>-71.599999999999994</v>
      </c>
      <c r="J168" s="103">
        <f t="shared" si="465"/>
        <v>-66.8</v>
      </c>
      <c r="K168" s="103">
        <f t="shared" si="465"/>
        <v>-173.67999999999998</v>
      </c>
      <c r="L168" s="103">
        <f t="shared" si="465"/>
        <v>-259.5</v>
      </c>
      <c r="M168" s="150"/>
      <c r="N168" s="103">
        <f>SUM(N163:N167)</f>
        <v>-134.9</v>
      </c>
      <c r="O168" s="103">
        <f>SUM(O163:O167)</f>
        <v>-88.2</v>
      </c>
      <c r="P168" s="103">
        <f>SUM(P163:P167)</f>
        <v>-51.7</v>
      </c>
      <c r="Q168" s="103">
        <f>SUM(Q163:Q167)</f>
        <v>-115.2</v>
      </c>
      <c r="R168" s="22"/>
      <c r="S168" s="103">
        <f>SUM(S163:S167)</f>
        <v>-35.199999999999996</v>
      </c>
      <c r="T168" s="50">
        <f>SUM(T163:T167)</f>
        <v>-47.5</v>
      </c>
      <c r="U168" s="50">
        <f>SUM(U163:U167)</f>
        <v>-77.5</v>
      </c>
      <c r="V168" s="50">
        <f>SUM(V163:V167)</f>
        <v>-77.099999999999994</v>
      </c>
      <c r="W168" s="22"/>
      <c r="X168" s="103">
        <f>SUM(X163:X167)</f>
        <v>-6.1</v>
      </c>
      <c r="Y168" s="50">
        <f>SUM(Y163:Y167)</f>
        <v>-0.3</v>
      </c>
      <c r="Z168" s="50">
        <f>SUM(Z163:Z167)</f>
        <v>-0.3</v>
      </c>
      <c r="AA168" s="50">
        <f>SUM(AA163:AA167)</f>
        <v>-0.3</v>
      </c>
      <c r="AB168" s="22"/>
      <c r="AC168" s="50">
        <f>SUM(AC163:AC167)</f>
        <v>-0.3</v>
      </c>
      <c r="AD168" s="50">
        <f>SUM(AD163:AD167)</f>
        <v>-0.3</v>
      </c>
      <c r="AE168" s="50">
        <f>SUM(AE163:AE167)</f>
        <v>-0.3</v>
      </c>
      <c r="AF168" s="50">
        <f>SUM(AF163:AF167)</f>
        <v>-0.3</v>
      </c>
      <c r="AG168" s="22"/>
      <c r="AH168" s="50">
        <f>SUM(AH163:AH167)</f>
        <v>-0.3</v>
      </c>
      <c r="AI168" s="50">
        <f>SUM(AI163:AI167)</f>
        <v>-0.3</v>
      </c>
      <c r="AJ168" s="50">
        <f>SUM(AJ163:AJ167)</f>
        <v>-0.3</v>
      </c>
      <c r="AK168" s="50">
        <f>SUM(AK163:AK167)</f>
        <v>-0.3</v>
      </c>
      <c r="AL168" s="22"/>
      <c r="AM168" s="50">
        <f>SUM(AM163:AM167)</f>
        <v>-0.3</v>
      </c>
      <c r="AN168" s="50">
        <f>SUM(AN163:AN167)</f>
        <v>-0.3</v>
      </c>
      <c r="AO168" s="50">
        <f>SUM(AO163:AO167)</f>
        <v>-0.3</v>
      </c>
      <c r="AP168" s="50">
        <f>SUM(AP163:AP167)</f>
        <v>-0.3</v>
      </c>
      <c r="AQ168" s="22"/>
      <c r="AR168" s="50">
        <f>SUM(AR163:AR167)</f>
        <v>-0.3</v>
      </c>
      <c r="AS168" s="50">
        <f>SUM(AS163:AS167)</f>
        <v>-0.3</v>
      </c>
      <c r="AT168" s="50">
        <f>SUM(AT163:AT167)</f>
        <v>-0.3</v>
      </c>
      <c r="AU168" s="50">
        <f>SUM(AU163:AU167)</f>
        <v>-0.3</v>
      </c>
      <c r="AV168" s="22"/>
    </row>
    <row r="169" spans="2:48" ht="16.2" outlineLevel="1" x14ac:dyDescent="0.45">
      <c r="B169" s="200" t="s">
        <v>155</v>
      </c>
      <c r="C169" s="201"/>
      <c r="D169" s="104">
        <v>0</v>
      </c>
      <c r="E169" s="104">
        <v>0</v>
      </c>
      <c r="F169" s="104">
        <v>0</v>
      </c>
      <c r="G169" s="104">
        <v>0</v>
      </c>
      <c r="H169" s="169"/>
      <c r="I169" s="104">
        <v>0</v>
      </c>
      <c r="J169" s="104">
        <v>0</v>
      </c>
      <c r="K169" s="104">
        <v>0</v>
      </c>
      <c r="L169" s="104">
        <v>0</v>
      </c>
      <c r="M169" s="169"/>
      <c r="N169" s="104">
        <v>0</v>
      </c>
      <c r="O169" s="104">
        <v>0</v>
      </c>
      <c r="P169" s="104">
        <v>0</v>
      </c>
      <c r="Q169" s="104">
        <v>0</v>
      </c>
      <c r="R169" s="17"/>
      <c r="S169" s="104">
        <v>0</v>
      </c>
      <c r="T169" s="52">
        <v>0</v>
      </c>
      <c r="U169" s="52">
        <v>0</v>
      </c>
      <c r="V169" s="52">
        <v>0</v>
      </c>
      <c r="W169" s="17"/>
      <c r="X169" s="104">
        <v>0</v>
      </c>
      <c r="Y169" s="52">
        <v>0</v>
      </c>
      <c r="Z169" s="52">
        <v>0</v>
      </c>
      <c r="AA169" s="52">
        <v>0</v>
      </c>
      <c r="AB169" s="17"/>
      <c r="AC169" s="52">
        <v>0</v>
      </c>
      <c r="AD169" s="52">
        <v>0</v>
      </c>
      <c r="AE169" s="52">
        <v>0</v>
      </c>
      <c r="AF169" s="52">
        <v>0</v>
      </c>
      <c r="AG169" s="17"/>
      <c r="AH169" s="52">
        <v>0</v>
      </c>
      <c r="AI169" s="52">
        <v>0</v>
      </c>
      <c r="AJ169" s="52">
        <v>0</v>
      </c>
      <c r="AK169" s="52">
        <v>0</v>
      </c>
      <c r="AL169" s="17"/>
      <c r="AM169" s="52">
        <v>0</v>
      </c>
      <c r="AN169" s="52">
        <v>0</v>
      </c>
      <c r="AO169" s="52">
        <v>0</v>
      </c>
      <c r="AP169" s="52">
        <v>0</v>
      </c>
      <c r="AQ169" s="17"/>
      <c r="AR169" s="52">
        <v>0</v>
      </c>
      <c r="AS169" s="52">
        <v>0</v>
      </c>
      <c r="AT169" s="52">
        <v>0</v>
      </c>
      <c r="AU169" s="52">
        <v>0</v>
      </c>
      <c r="AV169" s="17"/>
    </row>
    <row r="170" spans="2:48" s="8" customFormat="1" outlineLevel="1" x14ac:dyDescent="0.3">
      <c r="B170" s="205" t="s">
        <v>68</v>
      </c>
      <c r="C170" s="202"/>
      <c r="D170" s="103">
        <f t="shared" ref="D170:G170" si="466">-D168+D169</f>
        <v>138</v>
      </c>
      <c r="E170" s="103">
        <f t="shared" si="466"/>
        <v>141.4</v>
      </c>
      <c r="F170" s="103">
        <f t="shared" si="466"/>
        <v>125.30000000000001</v>
      </c>
      <c r="G170" s="103">
        <f t="shared" si="466"/>
        <v>77.399999999999991</v>
      </c>
      <c r="H170" s="150"/>
      <c r="I170" s="103">
        <f t="shared" ref="I170:L170" si="467">-I168+I169</f>
        <v>71.599999999999994</v>
      </c>
      <c r="J170" s="103">
        <f t="shared" si="467"/>
        <v>66.8</v>
      </c>
      <c r="K170" s="103">
        <f t="shared" si="467"/>
        <v>173.67999999999998</v>
      </c>
      <c r="L170" s="103">
        <f t="shared" si="467"/>
        <v>259.5</v>
      </c>
      <c r="M170" s="150"/>
      <c r="N170" s="103">
        <f t="shared" ref="N170:P170" si="468">-N168+N169</f>
        <v>134.9</v>
      </c>
      <c r="O170" s="103">
        <f t="shared" si="468"/>
        <v>88.2</v>
      </c>
      <c r="P170" s="103">
        <f t="shared" si="468"/>
        <v>51.7</v>
      </c>
      <c r="Q170" s="103">
        <f>-Q168+Q169</f>
        <v>115.2</v>
      </c>
      <c r="R170" s="22"/>
      <c r="S170" s="103">
        <f t="shared" ref="S170:V170" si="469">-S168+S169</f>
        <v>35.199999999999996</v>
      </c>
      <c r="T170" s="50">
        <f t="shared" si="469"/>
        <v>47.5</v>
      </c>
      <c r="U170" s="50">
        <f t="shared" si="469"/>
        <v>77.5</v>
      </c>
      <c r="V170" s="50">
        <f t="shared" si="469"/>
        <v>77.099999999999994</v>
      </c>
      <c r="W170" s="22"/>
      <c r="X170" s="103">
        <f t="shared" ref="X170:AA170" si="470">-X168+X169</f>
        <v>6.1</v>
      </c>
      <c r="Y170" s="50">
        <f t="shared" si="470"/>
        <v>0.3</v>
      </c>
      <c r="Z170" s="50">
        <f t="shared" si="470"/>
        <v>0.3</v>
      </c>
      <c r="AA170" s="50">
        <f t="shared" si="470"/>
        <v>0.3</v>
      </c>
      <c r="AB170" s="22"/>
      <c r="AC170" s="50">
        <f t="shared" ref="AC170:AF170" si="471">-AC168+AC169</f>
        <v>0.3</v>
      </c>
      <c r="AD170" s="50">
        <f t="shared" si="471"/>
        <v>0.3</v>
      </c>
      <c r="AE170" s="50">
        <f t="shared" si="471"/>
        <v>0.3</v>
      </c>
      <c r="AF170" s="50">
        <f t="shared" si="471"/>
        <v>0.3</v>
      </c>
      <c r="AG170" s="22"/>
      <c r="AH170" s="50">
        <f t="shared" ref="AH170:AK170" si="472">-AH168+AH169</f>
        <v>0.3</v>
      </c>
      <c r="AI170" s="50">
        <f t="shared" si="472"/>
        <v>0.3</v>
      </c>
      <c r="AJ170" s="50">
        <f t="shared" si="472"/>
        <v>0.3</v>
      </c>
      <c r="AK170" s="50">
        <f t="shared" si="472"/>
        <v>0.3</v>
      </c>
      <c r="AL170" s="22"/>
      <c r="AM170" s="50">
        <f t="shared" ref="AM170:AP170" si="473">-AM168+AM169</f>
        <v>0.3</v>
      </c>
      <c r="AN170" s="50">
        <f t="shared" si="473"/>
        <v>0.3</v>
      </c>
      <c r="AO170" s="50">
        <f t="shared" si="473"/>
        <v>0.3</v>
      </c>
      <c r="AP170" s="50">
        <f t="shared" si="473"/>
        <v>0.3</v>
      </c>
      <c r="AQ170" s="22"/>
      <c r="AR170" s="50">
        <f t="shared" ref="AR170:AU170" si="474">-AR168+AR169</f>
        <v>0.3</v>
      </c>
      <c r="AS170" s="50">
        <f t="shared" si="474"/>
        <v>0.3</v>
      </c>
      <c r="AT170" s="50">
        <f t="shared" si="474"/>
        <v>0.3</v>
      </c>
      <c r="AU170" s="50">
        <f t="shared" si="474"/>
        <v>0.3</v>
      </c>
      <c r="AV170" s="22"/>
    </row>
    <row r="171" spans="2:48" outlineLevel="1" x14ac:dyDescent="0.3">
      <c r="B171" s="200" t="s">
        <v>69</v>
      </c>
      <c r="C171" s="201"/>
      <c r="D171" s="105">
        <v>0</v>
      </c>
      <c r="E171" s="101">
        <f>-0.02*E31</f>
        <v>-25.014000000000003</v>
      </c>
      <c r="F171" s="101">
        <f>0.49*F31</f>
        <v>599.27</v>
      </c>
      <c r="G171" s="101">
        <v>0</v>
      </c>
      <c r="H171" s="169"/>
      <c r="I171" s="101">
        <v>0</v>
      </c>
      <c r="J171" s="101">
        <v>0</v>
      </c>
      <c r="K171" s="101">
        <v>0</v>
      </c>
      <c r="L171" s="101">
        <v>0</v>
      </c>
      <c r="M171" s="169"/>
      <c r="N171" s="101">
        <v>0</v>
      </c>
      <c r="O171" s="101">
        <v>0</v>
      </c>
      <c r="P171" s="101">
        <v>0</v>
      </c>
      <c r="Q171" s="101">
        <f>0.73*Q31</f>
        <v>867.16700000000003</v>
      </c>
      <c r="R171" s="17"/>
      <c r="S171" s="101">
        <v>0</v>
      </c>
      <c r="T171" s="101">
        <f>0.03*T31</f>
        <v>34.617000000000004</v>
      </c>
      <c r="U171" s="101">
        <v>0</v>
      </c>
      <c r="V171" s="101">
        <v>0</v>
      </c>
      <c r="W171" s="17"/>
      <c r="X171" s="101">
        <v>0</v>
      </c>
      <c r="Y171" s="33">
        <v>0</v>
      </c>
      <c r="Z171" s="33">
        <v>0</v>
      </c>
      <c r="AA171" s="33">
        <v>0</v>
      </c>
      <c r="AB171" s="17"/>
      <c r="AC171" s="33">
        <v>0</v>
      </c>
      <c r="AD171" s="33">
        <v>0</v>
      </c>
      <c r="AE171" s="33">
        <v>0</v>
      </c>
      <c r="AF171" s="33">
        <v>0</v>
      </c>
      <c r="AG171" s="17"/>
      <c r="AH171" s="33">
        <v>0</v>
      </c>
      <c r="AI171" s="33">
        <v>0</v>
      </c>
      <c r="AJ171" s="33">
        <v>0</v>
      </c>
      <c r="AK171" s="33">
        <v>0</v>
      </c>
      <c r="AL171" s="17"/>
      <c r="AM171" s="33">
        <v>0</v>
      </c>
      <c r="AN171" s="33">
        <v>0</v>
      </c>
      <c r="AO171" s="33">
        <v>0</v>
      </c>
      <c r="AP171" s="33">
        <v>0</v>
      </c>
      <c r="AQ171" s="17"/>
      <c r="AR171" s="33">
        <v>0</v>
      </c>
      <c r="AS171" s="33">
        <v>0</v>
      </c>
      <c r="AT171" s="33">
        <v>0</v>
      </c>
      <c r="AU171" s="33">
        <v>0</v>
      </c>
      <c r="AV171" s="17"/>
    </row>
    <row r="172" spans="2:48" outlineLevel="1" x14ac:dyDescent="0.3">
      <c r="B172" s="580" t="s">
        <v>75</v>
      </c>
      <c r="C172" s="581"/>
      <c r="D172" s="105">
        <v>-41.449999999998646</v>
      </c>
      <c r="E172" s="101">
        <v>79.193999999999548</v>
      </c>
      <c r="F172" s="101">
        <v>-55.109999999999197</v>
      </c>
      <c r="G172" s="101">
        <v>30</v>
      </c>
      <c r="H172" s="169"/>
      <c r="I172" s="101">
        <v>11</v>
      </c>
      <c r="J172" s="101">
        <v>23</v>
      </c>
      <c r="K172" s="101">
        <f>0.03*K31</f>
        <v>35.055</v>
      </c>
      <c r="L172" s="101">
        <v>50.810000000000372</v>
      </c>
      <c r="M172" s="169"/>
      <c r="N172" s="101">
        <f>0.03*N31</f>
        <v>35.49</v>
      </c>
      <c r="O172" s="101">
        <f>0.01*O31</f>
        <v>11.847999999999999</v>
      </c>
      <c r="P172" s="101">
        <f>0.01*P31</f>
        <v>11.862</v>
      </c>
      <c r="Q172" s="101">
        <f>-0.144*Q31</f>
        <v>-171.05760000000001</v>
      </c>
      <c r="R172" s="17"/>
      <c r="S172" s="101">
        <v>3.9480000000003299</v>
      </c>
      <c r="T172" s="16">
        <f>0.01*T31</f>
        <v>11.539000000000001</v>
      </c>
      <c r="U172" s="16">
        <f>0.02*U31</f>
        <v>23.02</v>
      </c>
      <c r="V172" s="16">
        <f>0.02*V31</f>
        <v>23.05</v>
      </c>
      <c r="W172" s="17"/>
      <c r="X172" s="101">
        <f>0*X31</f>
        <v>0</v>
      </c>
      <c r="Y172" s="16">
        <f>+Y170*Y173</f>
        <v>0</v>
      </c>
      <c r="Z172" s="16">
        <f t="shared" ref="Z172:AA172" si="475">+Z170*Z173</f>
        <v>0</v>
      </c>
      <c r="AA172" s="16">
        <f t="shared" si="475"/>
        <v>0</v>
      </c>
      <c r="AB172" s="17"/>
      <c r="AC172" s="16">
        <f>+AC170*AC173</f>
        <v>0</v>
      </c>
      <c r="AD172" s="16">
        <f>+AD170*AD173</f>
        <v>0</v>
      </c>
      <c r="AE172" s="16">
        <f t="shared" ref="AE172:AF172" si="476">+AE170*AE173</f>
        <v>0</v>
      </c>
      <c r="AF172" s="16">
        <f t="shared" si="476"/>
        <v>0</v>
      </c>
      <c r="AG172" s="17"/>
      <c r="AH172" s="16">
        <f>+AH170*AH173</f>
        <v>0</v>
      </c>
      <c r="AI172" s="16">
        <f>+AI170*AI173</f>
        <v>0</v>
      </c>
      <c r="AJ172" s="16">
        <f t="shared" ref="AJ172:AK172" si="477">+AJ170*AJ173</f>
        <v>0</v>
      </c>
      <c r="AK172" s="16">
        <f t="shared" si="477"/>
        <v>0</v>
      </c>
      <c r="AL172" s="17"/>
      <c r="AM172" s="16">
        <f>+AM170*AM173</f>
        <v>0</v>
      </c>
      <c r="AN172" s="16">
        <f>+AN170*AN173</f>
        <v>0</v>
      </c>
      <c r="AO172" s="16">
        <f t="shared" ref="AO172:AP172" si="478">+AO170*AO173</f>
        <v>0</v>
      </c>
      <c r="AP172" s="16">
        <f t="shared" si="478"/>
        <v>0</v>
      </c>
      <c r="AQ172" s="17"/>
      <c r="AR172" s="16">
        <f>+AR170*AR173</f>
        <v>0</v>
      </c>
      <c r="AS172" s="16">
        <f>+AS170*AS173</f>
        <v>0</v>
      </c>
      <c r="AT172" s="16">
        <f t="shared" ref="AT172:AU172" si="479">+AT170*AT173</f>
        <v>0</v>
      </c>
      <c r="AU172" s="16">
        <f t="shared" si="479"/>
        <v>0</v>
      </c>
      <c r="AV172" s="17"/>
    </row>
    <row r="173" spans="2:48" outlineLevel="1" x14ac:dyDescent="0.3">
      <c r="B173" s="203" t="s">
        <v>76</v>
      </c>
      <c r="C173" s="204"/>
      <c r="D173" s="211">
        <f t="shared" ref="D173:G173" si="480">D172/D170</f>
        <v>-0.30036231884056991</v>
      </c>
      <c r="E173" s="211">
        <f t="shared" si="480"/>
        <v>0.56007072135784686</v>
      </c>
      <c r="F173" s="211">
        <f t="shared" si="480"/>
        <v>-0.43982442138866074</v>
      </c>
      <c r="G173" s="211">
        <f t="shared" si="480"/>
        <v>0.38759689922480622</v>
      </c>
      <c r="H173" s="212"/>
      <c r="I173" s="211">
        <f t="shared" ref="I173:X173" si="481">I172/I170</f>
        <v>0.15363128491620112</v>
      </c>
      <c r="J173" s="211">
        <f t="shared" si="481"/>
        <v>0.34431137724550898</v>
      </c>
      <c r="K173" s="211">
        <f t="shared" si="481"/>
        <v>0.20183671119299865</v>
      </c>
      <c r="L173" s="211">
        <f t="shared" si="481"/>
        <v>0.1957996146435467</v>
      </c>
      <c r="M173" s="212"/>
      <c r="N173" s="211">
        <f t="shared" si="481"/>
        <v>0.26308376575240922</v>
      </c>
      <c r="O173" s="211">
        <f t="shared" si="481"/>
        <v>0.13433106575963719</v>
      </c>
      <c r="P173" s="211">
        <f t="shared" si="481"/>
        <v>0.22943907156673113</v>
      </c>
      <c r="Q173" s="211">
        <f t="shared" si="481"/>
        <v>-1.4848749999999999</v>
      </c>
      <c r="R173" s="37"/>
      <c r="S173" s="211">
        <f t="shared" si="481"/>
        <v>0.1121590909091003</v>
      </c>
      <c r="T173" s="211">
        <f t="shared" si="481"/>
        <v>0.24292631578947371</v>
      </c>
      <c r="U173" s="211">
        <f t="shared" si="481"/>
        <v>0.29703225806451611</v>
      </c>
      <c r="V173" s="211">
        <f t="shared" si="481"/>
        <v>0.29896238651102469</v>
      </c>
      <c r="W173" s="37"/>
      <c r="X173" s="211">
        <f t="shared" si="481"/>
        <v>0</v>
      </c>
      <c r="Y173" s="94">
        <f>X173</f>
        <v>0</v>
      </c>
      <c r="Z173" s="94">
        <f>Y173</f>
        <v>0</v>
      </c>
      <c r="AA173" s="94">
        <f>Z173</f>
        <v>0</v>
      </c>
      <c r="AB173" s="37"/>
      <c r="AC173" s="94">
        <f>AA173</f>
        <v>0</v>
      </c>
      <c r="AD173" s="94">
        <f>AC173</f>
        <v>0</v>
      </c>
      <c r="AE173" s="94">
        <f>AD173</f>
        <v>0</v>
      </c>
      <c r="AF173" s="94">
        <f>AE173</f>
        <v>0</v>
      </c>
      <c r="AG173" s="37"/>
      <c r="AH173" s="94">
        <f>AF173</f>
        <v>0</v>
      </c>
      <c r="AI173" s="94">
        <f>AH173</f>
        <v>0</v>
      </c>
      <c r="AJ173" s="94">
        <f>AI173</f>
        <v>0</v>
      </c>
      <c r="AK173" s="94">
        <f>AJ173</f>
        <v>0</v>
      </c>
      <c r="AL173" s="37"/>
      <c r="AM173" s="94">
        <f>AK173</f>
        <v>0</v>
      </c>
      <c r="AN173" s="94">
        <f>AM173</f>
        <v>0</v>
      </c>
      <c r="AO173" s="94">
        <f>AN173</f>
        <v>0</v>
      </c>
      <c r="AP173" s="94">
        <f>AO173</f>
        <v>0</v>
      </c>
      <c r="AQ173" s="37"/>
      <c r="AR173" s="94">
        <f>AP173</f>
        <v>0</v>
      </c>
      <c r="AS173" s="94">
        <f>AR173</f>
        <v>0</v>
      </c>
      <c r="AT173" s="94">
        <f>AS173</f>
        <v>0</v>
      </c>
      <c r="AU173" s="94">
        <f>AT173</f>
        <v>0</v>
      </c>
      <c r="AV173" s="37"/>
    </row>
    <row r="175" spans="2:48" x14ac:dyDescent="0.3">
      <c r="B175" s="382" t="s">
        <v>314</v>
      </c>
      <c r="Q175" s="383">
        <f>Q61-L61</f>
        <v>-6.6118692968142323E-4</v>
      </c>
      <c r="R175" s="383"/>
      <c r="S175" s="383">
        <f>S61-N61</f>
        <v>1.2901737440265071E-2</v>
      </c>
      <c r="T175" s="383">
        <f t="shared" ref="T175" si="482">T61-O61</f>
        <v>2.4025383293040548E-2</v>
      </c>
      <c r="U175" s="383">
        <f>U61-P61</f>
        <v>2.0536242149533701E-2</v>
      </c>
      <c r="V175" s="383">
        <f>V61-Q61</f>
        <v>1.4419766618683716E-2</v>
      </c>
      <c r="W175" s="383"/>
      <c r="X175" s="383">
        <f t="shared" ref="X175:AA175" si="483">X61-S61</f>
        <v>8.4563592780118046E-3</v>
      </c>
      <c r="Y175" s="383">
        <f t="shared" si="483"/>
        <v>0</v>
      </c>
      <c r="Z175" s="383">
        <f t="shared" si="483"/>
        <v>0</v>
      </c>
      <c r="AA175" s="383">
        <f t="shared" si="483"/>
        <v>-1.2500000000000011E-2</v>
      </c>
      <c r="AB175" s="383"/>
      <c r="AC175" s="383">
        <f t="shared" ref="AC175:AF175" si="484">AC61-X61</f>
        <v>-1.0000000000000009E-2</v>
      </c>
      <c r="AD175" s="383">
        <f t="shared" si="484"/>
        <v>-1.0000000000000009E-3</v>
      </c>
      <c r="AE175" s="383">
        <f t="shared" si="484"/>
        <v>-1.0000000000000009E-3</v>
      </c>
      <c r="AF175" s="383">
        <f t="shared" si="484"/>
        <v>1.0000000000000009E-2</v>
      </c>
      <c r="AH175" s="383">
        <f t="shared" ref="AH175:AK175" si="485">AH61-AC61</f>
        <v>-1.0000000000000009E-3</v>
      </c>
      <c r="AI175" s="383">
        <f t="shared" si="485"/>
        <v>-1.0000000000000009E-3</v>
      </c>
      <c r="AJ175" s="383">
        <f t="shared" si="485"/>
        <v>-1.0000000000000009E-3</v>
      </c>
      <c r="AK175" s="383">
        <f t="shared" si="485"/>
        <v>-1.0000000000000009E-3</v>
      </c>
    </row>
    <row r="176" spans="2:48" ht="14.55" customHeight="1" x14ac:dyDescent="0.3">
      <c r="B176" s="382" t="s">
        <v>315</v>
      </c>
      <c r="Q176" s="383">
        <f t="shared" ref="Q176:T176" si="486">Q63-L63</f>
        <v>-4.2476929877535707E-2</v>
      </c>
      <c r="R176" s="383"/>
      <c r="S176" s="383">
        <f t="shared" si="486"/>
        <v>-4.2111802490401029E-3</v>
      </c>
      <c r="T176" s="383">
        <f t="shared" si="486"/>
        <v>1.5713963584189306E-2</v>
      </c>
      <c r="U176" s="383">
        <f>U63-P63</f>
        <v>8.2485911822535729E-3</v>
      </c>
      <c r="V176" s="383">
        <f>V63-Q63</f>
        <v>2.6389804799066163E-2</v>
      </c>
      <c r="W176" s="383"/>
      <c r="X176" s="383">
        <f t="shared" ref="X176:AA176" si="487">X63-S63</f>
        <v>-1.9172460120514545E-3</v>
      </c>
      <c r="Y176" s="383">
        <f>Y63-T63</f>
        <v>2.4999999999999467E-3</v>
      </c>
      <c r="Z176" s="383">
        <f t="shared" si="487"/>
        <v>1.0000000000000009E-2</v>
      </c>
      <c r="AA176" s="383">
        <f t="shared" si="487"/>
        <v>0</v>
      </c>
      <c r="AB176" s="383"/>
      <c r="AC176" s="383">
        <f t="shared" ref="AC176:AF176" si="488">AC63-X63</f>
        <v>-1.0000000000000009E-2</v>
      </c>
      <c r="AD176" s="383">
        <f t="shared" si="488"/>
        <v>-1.0000000000000009E-3</v>
      </c>
      <c r="AE176" s="383">
        <f t="shared" si="488"/>
        <v>-1.0000000000000009E-3</v>
      </c>
      <c r="AF176" s="383">
        <f t="shared" si="488"/>
        <v>1.0000000000000009E-2</v>
      </c>
      <c r="AH176" s="383">
        <f t="shared" ref="AH176:AK176" si="489">AH63-AC63</f>
        <v>-1.0000000000000009E-3</v>
      </c>
      <c r="AI176" s="383">
        <f t="shared" si="489"/>
        <v>-1.0000000000000009E-3</v>
      </c>
      <c r="AJ176" s="383">
        <f t="shared" si="489"/>
        <v>-1.0000000000000009E-3</v>
      </c>
      <c r="AK176" s="383">
        <f t="shared" si="489"/>
        <v>-1.0000000000000009E-3</v>
      </c>
    </row>
    <row r="177" spans="1:48" ht="14.55" customHeight="1" x14ac:dyDescent="0.3">
      <c r="B177" s="382" t="s">
        <v>316</v>
      </c>
      <c r="Q177" s="383">
        <f t="shared" ref="Q177:T177" si="490">Q65-L65</f>
        <v>-8.1024370824473238E-4</v>
      </c>
      <c r="R177" s="383"/>
      <c r="S177" s="383">
        <f t="shared" si="490"/>
        <v>-6.9169487840035036E-4</v>
      </c>
      <c r="T177" s="383">
        <f t="shared" si="490"/>
        <v>-3.3352357784197616E-4</v>
      </c>
      <c r="U177" s="383">
        <f>U65-P65</f>
        <v>1.7928850972594532E-3</v>
      </c>
      <c r="V177" s="383">
        <f t="shared" ref="V177:AA177" si="491">V65-Q65</f>
        <v>1.7144676918782326E-4</v>
      </c>
      <c r="W177" s="383"/>
      <c r="X177" s="383">
        <f t="shared" si="491"/>
        <v>1.6047875788107509E-3</v>
      </c>
      <c r="Y177" s="383">
        <f t="shared" si="491"/>
        <v>0</v>
      </c>
      <c r="Z177" s="383">
        <f t="shared" si="491"/>
        <v>0</v>
      </c>
      <c r="AA177" s="383">
        <f t="shared" si="491"/>
        <v>0</v>
      </c>
      <c r="AB177" s="383"/>
      <c r="AC177" s="383">
        <f t="shared" ref="AC177:AF177" si="492">AC65-X65</f>
        <v>0</v>
      </c>
      <c r="AD177" s="383">
        <f t="shared" si="492"/>
        <v>0</v>
      </c>
      <c r="AE177" s="383">
        <f t="shared" si="492"/>
        <v>0</v>
      </c>
      <c r="AF177" s="383">
        <f t="shared" si="492"/>
        <v>0</v>
      </c>
      <c r="AH177" s="383">
        <f t="shared" ref="AH177:AK177" si="493">AH65-AC65</f>
        <v>0</v>
      </c>
      <c r="AI177" s="383">
        <f t="shared" si="493"/>
        <v>0</v>
      </c>
      <c r="AJ177" s="383">
        <f t="shared" si="493"/>
        <v>0</v>
      </c>
      <c r="AK177" s="383">
        <f t="shared" si="493"/>
        <v>0</v>
      </c>
    </row>
    <row r="178" spans="1:48" ht="14.55" customHeight="1" x14ac:dyDescent="0.3">
      <c r="A178" s="161"/>
      <c r="B178" s="382" t="s">
        <v>317</v>
      </c>
      <c r="Q178" s="383">
        <f t="shared" ref="Q178:T178" si="494">Q68-L68</f>
        <v>-1.8685768961161399E-3</v>
      </c>
      <c r="R178" s="383"/>
      <c r="S178" s="383">
        <f t="shared" si="494"/>
        <v>-1.673261995123904E-3</v>
      </c>
      <c r="T178" s="383">
        <f t="shared" si="494"/>
        <v>-3.5644778537942175E-3</v>
      </c>
      <c r="U178" s="383">
        <f>U68-P68</f>
        <v>-9.2770624793186637E-4</v>
      </c>
      <c r="V178" s="383">
        <f t="shared" ref="V178:AA178" si="495">V68-Q68</f>
        <v>-7.584336101247053E-4</v>
      </c>
      <c r="W178" s="383"/>
      <c r="X178" s="383">
        <f t="shared" si="495"/>
        <v>2.2349028606540016E-3</v>
      </c>
      <c r="Y178" s="383">
        <f t="shared" si="495"/>
        <v>2.5000000000000005E-3</v>
      </c>
      <c r="Z178" s="383">
        <f t="shared" si="495"/>
        <v>2.5000000000000005E-3</v>
      </c>
      <c r="AA178" s="383">
        <f t="shared" si="495"/>
        <v>-0.01</v>
      </c>
      <c r="AB178" s="383"/>
      <c r="AC178" s="383">
        <f t="shared" ref="AC178:AF178" si="496">AC68-X68</f>
        <v>-2.9999999999999992E-3</v>
      </c>
      <c r="AD178" s="383">
        <f t="shared" si="496"/>
        <v>2.0000000000000018E-3</v>
      </c>
      <c r="AE178" s="383">
        <f t="shared" si="496"/>
        <v>-9.9999999999999915E-4</v>
      </c>
      <c r="AF178" s="383">
        <f t="shared" si="496"/>
        <v>-1E-3</v>
      </c>
      <c r="AH178" s="383">
        <f t="shared" ref="AH178:AK178" si="497">AH68-AC68</f>
        <v>-1.0000000000000009E-3</v>
      </c>
      <c r="AI178" s="383">
        <f t="shared" si="497"/>
        <v>-1.0000000000000009E-3</v>
      </c>
      <c r="AJ178" s="383">
        <f t="shared" si="497"/>
        <v>-1.0000000000000009E-3</v>
      </c>
      <c r="AK178" s="383">
        <f t="shared" si="497"/>
        <v>-1E-3</v>
      </c>
    </row>
    <row r="179" spans="1:48" s="23" customFormat="1" ht="14.55" customHeight="1" x14ac:dyDescent="0.3">
      <c r="A179" s="161"/>
    </row>
    <row r="180" spans="1:48" s="23" customFormat="1" ht="14.55" customHeight="1" x14ac:dyDescent="0.3">
      <c r="A180" s="161"/>
      <c r="B180" s="382" t="s">
        <v>318</v>
      </c>
      <c r="Q180" s="384">
        <f t="shared" ref="Q180:U180" si="498">Q94-L94</f>
        <v>-1.0328853878240896E-3</v>
      </c>
      <c r="R180" s="384"/>
      <c r="S180" s="384">
        <f t="shared" si="498"/>
        <v>1.3694957380178618E-2</v>
      </c>
      <c r="T180" s="384">
        <f t="shared" si="498"/>
        <v>2.2223284472510374E-2</v>
      </c>
      <c r="U180" s="384">
        <f t="shared" si="498"/>
        <v>4.4737654429502782E-2</v>
      </c>
      <c r="V180" s="384">
        <f>V94-Q94</f>
        <v>2.7792802174517572E-2</v>
      </c>
      <c r="W180" s="384"/>
      <c r="X180" s="384">
        <f t="shared" ref="X180:AA180" si="499">X94-S94</f>
        <v>2.5043205339249974E-2</v>
      </c>
      <c r="Y180" s="384">
        <f t="shared" si="499"/>
        <v>2.0000000000000018E-2</v>
      </c>
      <c r="Z180" s="384">
        <f t="shared" si="499"/>
        <v>-3.0000000000000027E-2</v>
      </c>
      <c r="AA180" s="384">
        <f t="shared" si="499"/>
        <v>-4.4999999999999984E-2</v>
      </c>
      <c r="AB180" s="384"/>
      <c r="AC180" s="384">
        <f t="shared" ref="AC180:AF180" si="500">AC94-X94</f>
        <v>-2.0000000000000018E-2</v>
      </c>
      <c r="AD180" s="384">
        <f t="shared" si="500"/>
        <v>-2.0000000000000018E-2</v>
      </c>
      <c r="AE180" s="384">
        <f t="shared" si="500"/>
        <v>0</v>
      </c>
      <c r="AF180" s="384">
        <f t="shared" si="500"/>
        <v>0</v>
      </c>
      <c r="AG180" s="384"/>
      <c r="AH180" s="384">
        <f t="shared" ref="AH180:AK180" si="501">AH94-AC94</f>
        <v>-2.0000000000000018E-3</v>
      </c>
      <c r="AI180" s="384">
        <f t="shared" si="501"/>
        <v>-2.0000000000000018E-3</v>
      </c>
      <c r="AJ180" s="384">
        <f t="shared" si="501"/>
        <v>-1.0000000000000009E-2</v>
      </c>
      <c r="AK180" s="384">
        <f t="shared" si="501"/>
        <v>-2.0000000000000018E-3</v>
      </c>
      <c r="AL180" s="384"/>
      <c r="AM180" s="384">
        <f t="shared" ref="AM180:AP180" si="502">AM94-AH94</f>
        <v>0</v>
      </c>
      <c r="AN180" s="384">
        <f t="shared" si="502"/>
        <v>0</v>
      </c>
      <c r="AO180" s="384">
        <f t="shared" si="502"/>
        <v>0</v>
      </c>
      <c r="AP180" s="384">
        <f t="shared" si="502"/>
        <v>0</v>
      </c>
      <c r="AQ180" s="384"/>
      <c r="AR180" s="384">
        <f t="shared" ref="AR180:AU180" si="503">AR94-AM94</f>
        <v>0</v>
      </c>
      <c r="AS180" s="384">
        <f t="shared" si="503"/>
        <v>0</v>
      </c>
      <c r="AT180" s="384">
        <f t="shared" si="503"/>
        <v>0</v>
      </c>
      <c r="AU180" s="384">
        <f t="shared" si="503"/>
        <v>0</v>
      </c>
    </row>
    <row r="181" spans="1:48" ht="16.2" customHeight="1" x14ac:dyDescent="0.3">
      <c r="A181" s="161"/>
      <c r="B181" s="382" t="s">
        <v>319</v>
      </c>
      <c r="Q181" s="384">
        <f t="shared" ref="Q181:U181" si="504">Q96-L96</f>
        <v>-4.3229689278334871E-2</v>
      </c>
      <c r="R181" s="384"/>
      <c r="S181" s="384">
        <f t="shared" si="504"/>
        <v>2.6563781125539754E-2</v>
      </c>
      <c r="T181" s="384">
        <f t="shared" si="504"/>
        <v>6.6354626897605851E-2</v>
      </c>
      <c r="U181" s="384">
        <f t="shared" si="504"/>
        <v>0.11154167548484295</v>
      </c>
      <c r="V181" s="384">
        <f>V96-Q96</f>
        <v>6.8821227532231799E-2</v>
      </c>
      <c r="W181" s="384"/>
      <c r="X181" s="384">
        <f t="shared" ref="X181:AA181" si="505">X96-S96</f>
        <v>6.012425039851621E-2</v>
      </c>
      <c r="Y181" s="384">
        <f t="shared" si="505"/>
        <v>2.0000000000000018E-2</v>
      </c>
      <c r="Z181" s="384">
        <f t="shared" si="505"/>
        <v>-3.0000000000000027E-2</v>
      </c>
      <c r="AA181" s="384">
        <f t="shared" si="505"/>
        <v>-4.4999999999999984E-2</v>
      </c>
      <c r="AB181" s="384"/>
      <c r="AC181" s="384">
        <f t="shared" ref="AC181:AF181" si="506">AC96-X96</f>
        <v>0</v>
      </c>
      <c r="AD181" s="384">
        <f t="shared" si="506"/>
        <v>-2.0000000000000018E-2</v>
      </c>
      <c r="AE181" s="384">
        <f t="shared" si="506"/>
        <v>0</v>
      </c>
      <c r="AF181" s="384">
        <f t="shared" si="506"/>
        <v>0</v>
      </c>
      <c r="AG181" s="384"/>
      <c r="AH181" s="384">
        <f t="shared" ref="AH181:AK181" si="507">AH96-AC96</f>
        <v>-2.0000000000000018E-3</v>
      </c>
      <c r="AI181" s="384">
        <f t="shared" si="507"/>
        <v>-2.0000000000000018E-3</v>
      </c>
      <c r="AJ181" s="384">
        <f t="shared" si="507"/>
        <v>-2.0000000000000018E-2</v>
      </c>
      <c r="AK181" s="384">
        <f t="shared" si="507"/>
        <v>-2.0000000000000018E-3</v>
      </c>
      <c r="AL181" s="384"/>
      <c r="AM181" s="384">
        <f t="shared" ref="AM181:AP181" si="508">AM96-AH96</f>
        <v>0</v>
      </c>
      <c r="AN181" s="384">
        <f t="shared" si="508"/>
        <v>0</v>
      </c>
      <c r="AO181" s="384">
        <f t="shared" si="508"/>
        <v>0</v>
      </c>
      <c r="AP181" s="384">
        <f t="shared" si="508"/>
        <v>0</v>
      </c>
      <c r="AQ181" s="384"/>
      <c r="AR181" s="384">
        <f t="shared" ref="AR181:AU181" si="509">AR96-AM96</f>
        <v>0</v>
      </c>
      <c r="AS181" s="384">
        <f t="shared" si="509"/>
        <v>0</v>
      </c>
      <c r="AT181" s="384">
        <f t="shared" si="509"/>
        <v>0</v>
      </c>
      <c r="AU181" s="384">
        <f t="shared" si="509"/>
        <v>0</v>
      </c>
    </row>
    <row r="182" spans="1:48" ht="14.55" customHeight="1" x14ac:dyDescent="0.3">
      <c r="A182" s="161"/>
      <c r="B182" s="382" t="s">
        <v>320</v>
      </c>
      <c r="Q182" s="384">
        <f t="shared" ref="Q182:U182" si="510">Q98-L98</f>
        <v>-5.6134797444197491E-3</v>
      </c>
      <c r="R182" s="384"/>
      <c r="S182" s="384">
        <f t="shared" si="510"/>
        <v>1.6279115038060621E-4</v>
      </c>
      <c r="T182" s="384">
        <f t="shared" si="510"/>
        <v>5.0139473649204631E-3</v>
      </c>
      <c r="U182" s="384">
        <f t="shared" si="510"/>
        <v>1.4893713799812251E-2</v>
      </c>
      <c r="V182" s="384">
        <f>V98-Q98</f>
        <v>8.7002690753356267E-3</v>
      </c>
      <c r="W182" s="384"/>
      <c r="X182" s="384">
        <f t="shared" ref="X182:AA182" si="511">X98-S98</f>
        <v>9.2801389107011918E-3</v>
      </c>
      <c r="Y182" s="384">
        <f t="shared" si="511"/>
        <v>5.000000000000001E-3</v>
      </c>
      <c r="Z182" s="384">
        <f t="shared" si="511"/>
        <v>-4.9999999999999975E-3</v>
      </c>
      <c r="AA182" s="384">
        <f t="shared" si="511"/>
        <v>0</v>
      </c>
      <c r="AB182" s="384"/>
      <c r="AC182" s="384">
        <f t="shared" ref="AC182:AF182" si="512">AC98-X98</f>
        <v>0</v>
      </c>
      <c r="AD182" s="384">
        <f t="shared" si="512"/>
        <v>0</v>
      </c>
      <c r="AE182" s="384">
        <f t="shared" si="512"/>
        <v>-5.000000000000001E-3</v>
      </c>
      <c r="AF182" s="384">
        <f t="shared" si="512"/>
        <v>0</v>
      </c>
      <c r="AG182" s="384"/>
      <c r="AH182" s="384">
        <f t="shared" ref="AH182:AK182" si="513">AH98-AC98</f>
        <v>-2.0000000000000018E-3</v>
      </c>
      <c r="AI182" s="384">
        <f t="shared" si="513"/>
        <v>-1.9999999999999983E-3</v>
      </c>
      <c r="AJ182" s="384">
        <f t="shared" si="513"/>
        <v>-6.0000000000000019E-3</v>
      </c>
      <c r="AK182" s="384">
        <f t="shared" si="513"/>
        <v>-2.0000000000000018E-3</v>
      </c>
      <c r="AL182" s="384"/>
      <c r="AM182" s="384">
        <f t="shared" ref="AM182:AP182" si="514">AM98-AH98</f>
        <v>0</v>
      </c>
      <c r="AN182" s="384">
        <f t="shared" si="514"/>
        <v>0</v>
      </c>
      <c r="AO182" s="384">
        <f t="shared" si="514"/>
        <v>0</v>
      </c>
      <c r="AP182" s="384">
        <f t="shared" si="514"/>
        <v>0</v>
      </c>
      <c r="AQ182" s="384"/>
      <c r="AR182" s="384">
        <f t="shared" ref="AR182:AU182" si="515">AR98-AM98</f>
        <v>0</v>
      </c>
      <c r="AS182" s="384">
        <f t="shared" si="515"/>
        <v>0</v>
      </c>
      <c r="AT182" s="384">
        <f t="shared" si="515"/>
        <v>0</v>
      </c>
      <c r="AU182" s="384">
        <f t="shared" si="515"/>
        <v>0</v>
      </c>
    </row>
    <row r="183" spans="1:48" ht="14.55" customHeight="1" x14ac:dyDescent="0.3">
      <c r="A183" s="161"/>
      <c r="B183" s="382" t="s">
        <v>321</v>
      </c>
      <c r="Q183" s="384">
        <f t="shared" ref="Q183:U183" si="516">Q101-L101</f>
        <v>-4.5175814670814843E-3</v>
      </c>
      <c r="R183" s="384"/>
      <c r="S183" s="384">
        <f t="shared" si="516"/>
        <v>-1.2605124458150846E-3</v>
      </c>
      <c r="T183" s="384">
        <f t="shared" si="516"/>
        <v>-2.780006809811171E-3</v>
      </c>
      <c r="U183" s="384">
        <f t="shared" si="516"/>
        <v>-4.0374511378418465E-3</v>
      </c>
      <c r="V183" s="384">
        <f>V101-Q101</f>
        <v>7.1575109158830003E-4</v>
      </c>
      <c r="W183" s="384"/>
      <c r="X183" s="384">
        <f t="shared" ref="X183:AA183" si="517">X101-S101</f>
        <v>-7.561570930051803E-4</v>
      </c>
      <c r="Y183" s="384">
        <f t="shared" si="517"/>
        <v>4.9999999999999975E-3</v>
      </c>
      <c r="Z183" s="384">
        <f t="shared" si="517"/>
        <v>-4.9999999999999975E-3</v>
      </c>
      <c r="AA183" s="384">
        <f t="shared" si="517"/>
        <v>-4.9999999999999975E-3</v>
      </c>
      <c r="AB183" s="384"/>
      <c r="AC183" s="384">
        <f t="shared" ref="AC183:AF183" si="518">AC101-X101</f>
        <v>-3.0000000000000027E-3</v>
      </c>
      <c r="AD183" s="384">
        <f t="shared" si="518"/>
        <v>0</v>
      </c>
      <c r="AE183" s="384">
        <f t="shared" si="518"/>
        <v>0</v>
      </c>
      <c r="AF183" s="384">
        <f t="shared" si="518"/>
        <v>0</v>
      </c>
      <c r="AG183" s="384"/>
      <c r="AH183" s="384">
        <f t="shared" ref="AH183:AK183" si="519">AH101-AC101</f>
        <v>-2.0000000000000018E-3</v>
      </c>
      <c r="AI183" s="384">
        <f t="shared" si="519"/>
        <v>-2.0000000000000018E-3</v>
      </c>
      <c r="AJ183" s="384">
        <f t="shared" si="519"/>
        <v>-2.0000000000000018E-3</v>
      </c>
      <c r="AK183" s="384">
        <f t="shared" si="519"/>
        <v>-2.0000000000000018E-3</v>
      </c>
      <c r="AL183" s="384"/>
      <c r="AM183" s="384">
        <f t="shared" ref="AM183:AP183" si="520">AM101-AH101</f>
        <v>0</v>
      </c>
      <c r="AN183" s="384">
        <f t="shared" si="520"/>
        <v>0</v>
      </c>
      <c r="AO183" s="384">
        <f t="shared" si="520"/>
        <v>0</v>
      </c>
      <c r="AP183" s="384">
        <f t="shared" si="520"/>
        <v>0</v>
      </c>
      <c r="AQ183" s="384"/>
      <c r="AR183" s="384">
        <f t="shared" ref="AR183:AU183" si="521">AR101-AM101</f>
        <v>0</v>
      </c>
      <c r="AS183" s="384">
        <f t="shared" si="521"/>
        <v>0</v>
      </c>
      <c r="AT183" s="384">
        <f t="shared" si="521"/>
        <v>0</v>
      </c>
      <c r="AU183" s="384">
        <f t="shared" si="521"/>
        <v>0</v>
      </c>
    </row>
    <row r="184" spans="1:48" ht="14.55" customHeight="1" x14ac:dyDescent="0.3">
      <c r="A184" s="161"/>
    </row>
    <row r="185" spans="1:48" s="8" customFormat="1" x14ac:dyDescent="0.3">
      <c r="A185" s="161"/>
      <c r="B185" s="382" t="s">
        <v>322</v>
      </c>
      <c r="Q185" s="384">
        <f t="shared" ref="Q185:T185" si="522">Q111-L111</f>
        <v>-7.3337522717080939E-2</v>
      </c>
      <c r="R185" s="384"/>
      <c r="S185" s="384">
        <f t="shared" si="522"/>
        <v>-8.2275015567009335E-3</v>
      </c>
      <c r="T185" s="384">
        <f t="shared" si="522"/>
        <v>2.1961732903702735E-2</v>
      </c>
      <c r="U185" s="384">
        <f>U111-P111</f>
        <v>3.1106851202291286E-2</v>
      </c>
      <c r="V185" s="384">
        <f t="shared" ref="V185:AU185" si="523">V111-Q111</f>
        <v>5.6977238962102605E-3</v>
      </c>
      <c r="W185" s="384"/>
      <c r="X185" s="384">
        <f t="shared" si="523"/>
        <v>-5.2509505547104762E-3</v>
      </c>
      <c r="Y185" s="384">
        <f t="shared" si="523"/>
        <v>0</v>
      </c>
      <c r="Z185" s="384">
        <f t="shared" si="523"/>
        <v>-5.0000000000000044E-3</v>
      </c>
      <c r="AA185" s="384">
        <f t="shared" si="523"/>
        <v>-3.0000000000000027E-2</v>
      </c>
      <c r="AB185" s="384"/>
      <c r="AC185" s="384">
        <f t="shared" si="523"/>
        <v>0</v>
      </c>
      <c r="AD185" s="384">
        <f t="shared" si="523"/>
        <v>0</v>
      </c>
      <c r="AE185" s="384">
        <f t="shared" si="523"/>
        <v>-2.0000000000000018E-2</v>
      </c>
      <c r="AF185" s="384">
        <f t="shared" si="523"/>
        <v>0</v>
      </c>
      <c r="AG185" s="384"/>
      <c r="AH185" s="384">
        <f t="shared" si="523"/>
        <v>0</v>
      </c>
      <c r="AI185" s="384">
        <f t="shared" si="523"/>
        <v>0</v>
      </c>
      <c r="AJ185" s="384">
        <f t="shared" si="523"/>
        <v>-1.0000000000000009E-2</v>
      </c>
      <c r="AK185" s="384">
        <f t="shared" si="523"/>
        <v>0</v>
      </c>
      <c r="AL185" s="384"/>
      <c r="AM185" s="384">
        <f t="shared" si="523"/>
        <v>0</v>
      </c>
      <c r="AN185" s="384">
        <f t="shared" si="523"/>
        <v>0</v>
      </c>
      <c r="AO185" s="384">
        <f t="shared" si="523"/>
        <v>0</v>
      </c>
      <c r="AP185" s="384">
        <f t="shared" si="523"/>
        <v>0</v>
      </c>
      <c r="AQ185" s="384"/>
      <c r="AR185" s="384">
        <f t="shared" si="523"/>
        <v>0</v>
      </c>
      <c r="AS185" s="384">
        <f t="shared" si="523"/>
        <v>0</v>
      </c>
      <c r="AT185" s="384">
        <f t="shared" si="523"/>
        <v>0</v>
      </c>
      <c r="AU185" s="384">
        <f t="shared" si="523"/>
        <v>0</v>
      </c>
    </row>
    <row r="186" spans="1:48" s="8" customFormat="1" x14ac:dyDescent="0.3">
      <c r="A186" s="161"/>
      <c r="B186" s="382" t="s">
        <v>323</v>
      </c>
      <c r="Q186" s="384">
        <f t="shared" ref="Q186:T186" si="524">Q113-L113</f>
        <v>-1.0844701708009816E-3</v>
      </c>
      <c r="R186" s="384"/>
      <c r="S186" s="384">
        <f t="shared" si="524"/>
        <v>-2.5553392161973866E-3</v>
      </c>
      <c r="T186" s="384">
        <f t="shared" si="524"/>
        <v>-1.2309816148434665E-2</v>
      </c>
      <c r="U186" s="384">
        <f>U113-P113</f>
        <v>5.2264096219557514E-2</v>
      </c>
      <c r="V186" s="384">
        <f t="shared" ref="V186:AU186" si="525">V113-Q113</f>
        <v>-5.7078651325004406E-3</v>
      </c>
      <c r="W186" s="384"/>
      <c r="X186" s="384">
        <f t="shared" si="525"/>
        <v>-1.4629703552470827E-4</v>
      </c>
      <c r="Y186" s="384">
        <f t="shared" si="525"/>
        <v>0</v>
      </c>
      <c r="Z186" s="384">
        <f t="shared" si="525"/>
        <v>-5.000000000000001E-3</v>
      </c>
      <c r="AA186" s="384">
        <f t="shared" si="525"/>
        <v>-0.03</v>
      </c>
      <c r="AB186" s="384"/>
      <c r="AC186" s="384">
        <f t="shared" si="525"/>
        <v>-0.02</v>
      </c>
      <c r="AD186" s="384">
        <f t="shared" si="525"/>
        <v>0</v>
      </c>
      <c r="AE186" s="384">
        <f t="shared" si="525"/>
        <v>0</v>
      </c>
      <c r="AF186" s="384">
        <f t="shared" si="525"/>
        <v>-0.02</v>
      </c>
      <c r="AG186" s="384"/>
      <c r="AH186" s="384">
        <f t="shared" si="525"/>
        <v>-3.0000000000000001E-3</v>
      </c>
      <c r="AI186" s="384">
        <f t="shared" si="525"/>
        <v>0</v>
      </c>
      <c r="AJ186" s="384">
        <f t="shared" si="525"/>
        <v>0</v>
      </c>
      <c r="AK186" s="384">
        <f t="shared" si="525"/>
        <v>-4.0000000000000001E-3</v>
      </c>
      <c r="AL186" s="384"/>
      <c r="AM186" s="384">
        <f t="shared" si="525"/>
        <v>0</v>
      </c>
      <c r="AN186" s="384">
        <f t="shared" si="525"/>
        <v>0</v>
      </c>
      <c r="AO186" s="384">
        <f t="shared" si="525"/>
        <v>0</v>
      </c>
      <c r="AP186" s="384">
        <f t="shared" si="525"/>
        <v>0</v>
      </c>
      <c r="AQ186" s="384"/>
      <c r="AR186" s="384">
        <f t="shared" si="525"/>
        <v>0</v>
      </c>
      <c r="AS186" s="384">
        <f t="shared" si="525"/>
        <v>0</v>
      </c>
      <c r="AT186" s="384">
        <f t="shared" si="525"/>
        <v>0</v>
      </c>
      <c r="AU186" s="384">
        <f t="shared" si="525"/>
        <v>0</v>
      </c>
    </row>
    <row r="187" spans="1:48" s="8" customFormat="1" x14ac:dyDescent="0.3">
      <c r="A187" s="161"/>
      <c r="B187" s="382" t="s">
        <v>324</v>
      </c>
      <c r="Q187" s="384">
        <f t="shared" ref="Q187:T187" si="526">Q116-L116</f>
        <v>2.3693128623915273E-3</v>
      </c>
      <c r="R187" s="384"/>
      <c r="S187" s="384">
        <f t="shared" si="526"/>
        <v>1.9882391779431439E-3</v>
      </c>
      <c r="T187" s="384">
        <f t="shared" si="526"/>
        <v>-8.1949465585923805E-4</v>
      </c>
      <c r="U187" s="384">
        <f>U116-P116</f>
        <v>-2.2101675866256984E-3</v>
      </c>
      <c r="V187" s="384">
        <f t="shared" ref="V187:AU187" si="527">V116-Q116</f>
        <v>7.190844057926556E-4</v>
      </c>
      <c r="W187" s="384"/>
      <c r="X187" s="384">
        <f t="shared" si="527"/>
        <v>-3.7294212764020255E-3</v>
      </c>
      <c r="Y187" s="384">
        <f t="shared" si="527"/>
        <v>0</v>
      </c>
      <c r="Z187" s="384">
        <f t="shared" si="527"/>
        <v>0</v>
      </c>
      <c r="AA187" s="384">
        <f t="shared" si="527"/>
        <v>0</v>
      </c>
      <c r="AB187" s="384"/>
      <c r="AC187" s="384">
        <f t="shared" si="527"/>
        <v>0</v>
      </c>
      <c r="AD187" s="384">
        <f t="shared" si="527"/>
        <v>0</v>
      </c>
      <c r="AE187" s="384">
        <f t="shared" si="527"/>
        <v>0</v>
      </c>
      <c r="AF187" s="384">
        <f t="shared" si="527"/>
        <v>0</v>
      </c>
      <c r="AG187" s="384"/>
      <c r="AH187" s="384">
        <f t="shared" si="527"/>
        <v>0</v>
      </c>
      <c r="AI187" s="384">
        <f t="shared" si="527"/>
        <v>0</v>
      </c>
      <c r="AJ187" s="384">
        <f t="shared" si="527"/>
        <v>0</v>
      </c>
      <c r="AK187" s="384">
        <f t="shared" si="527"/>
        <v>0</v>
      </c>
      <c r="AL187" s="384"/>
      <c r="AM187" s="384">
        <f t="shared" si="527"/>
        <v>0</v>
      </c>
      <c r="AN187" s="384">
        <f t="shared" si="527"/>
        <v>0</v>
      </c>
      <c r="AO187" s="384">
        <f t="shared" si="527"/>
        <v>0</v>
      </c>
      <c r="AP187" s="384">
        <f t="shared" si="527"/>
        <v>0</v>
      </c>
      <c r="AQ187" s="384"/>
      <c r="AR187" s="384">
        <f t="shared" si="527"/>
        <v>0</v>
      </c>
      <c r="AS187" s="384">
        <f t="shared" si="527"/>
        <v>0</v>
      </c>
      <c r="AT187" s="384">
        <f t="shared" si="527"/>
        <v>0</v>
      </c>
      <c r="AU187" s="384">
        <f t="shared" si="527"/>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172:C172"/>
    <mergeCell ref="B156:C156"/>
    <mergeCell ref="B157:C157"/>
    <mergeCell ref="B158:C158"/>
    <mergeCell ref="B162:C162"/>
    <mergeCell ref="B163:C163"/>
    <mergeCell ref="B165:C165"/>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38:C138"/>
    <mergeCell ref="B87:C87"/>
    <mergeCell ref="B88:C88"/>
    <mergeCell ref="B92:C92"/>
    <mergeCell ref="B93:C93"/>
    <mergeCell ref="B107:C107"/>
    <mergeCell ref="B108:C108"/>
    <mergeCell ref="B110:C110"/>
    <mergeCell ref="B122:C122"/>
    <mergeCell ref="B123:C123"/>
    <mergeCell ref="B125:C125"/>
    <mergeCell ref="B132:C132"/>
    <mergeCell ref="B83:C83"/>
    <mergeCell ref="B40:C40"/>
    <mergeCell ref="B41:C41"/>
    <mergeCell ref="B45:C45"/>
    <mergeCell ref="B50:C50"/>
    <mergeCell ref="B54:C54"/>
    <mergeCell ref="B55:C55"/>
    <mergeCell ref="B59:C59"/>
    <mergeCell ref="B60:C60"/>
    <mergeCell ref="B73:C73"/>
    <mergeCell ref="B74:C74"/>
    <mergeCell ref="B78:C78"/>
    <mergeCell ref="B39:C39"/>
    <mergeCell ref="B8:C8"/>
    <mergeCell ref="B9:C9"/>
    <mergeCell ref="B16:C16"/>
    <mergeCell ref="B23:C23"/>
    <mergeCell ref="B24:C24"/>
    <mergeCell ref="B25:C25"/>
    <mergeCell ref="B30:C30"/>
    <mergeCell ref="B31:C31"/>
    <mergeCell ref="B32:C32"/>
    <mergeCell ref="B33:C33"/>
    <mergeCell ref="B38:C38"/>
    <mergeCell ref="B7:C7"/>
    <mergeCell ref="A3:A4"/>
    <mergeCell ref="B3:C3"/>
    <mergeCell ref="B4:C4"/>
    <mergeCell ref="B5:C5"/>
    <mergeCell ref="B6:C6"/>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2AFAA-C881-42DA-AAD5-43AE9C111F80}">
  <sheetPr>
    <tabColor theme="6" tint="0.39997558519241921"/>
  </sheetPr>
  <dimension ref="A1"/>
  <sheetViews>
    <sheetView showGridLines="0" topLeftCell="A16" workbookViewId="0">
      <selection activeCell="J21" sqref="J21"/>
    </sheetView>
  </sheetViews>
  <sheetFormatPr defaultRowHeight="14.4" x14ac:dyDescent="0.3"/>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DD84D-23DC-4B1B-BD7D-527E66F44854}">
  <sheetPr>
    <tabColor theme="6" tint="0.39997558519241921"/>
  </sheetPr>
  <dimension ref="B2:G38"/>
  <sheetViews>
    <sheetView showGridLines="0" zoomScaleNormal="100" workbookViewId="0">
      <selection activeCell="J21" sqref="J21"/>
    </sheetView>
  </sheetViews>
  <sheetFormatPr defaultRowHeight="14.4" x14ac:dyDescent="0.3"/>
  <cols>
    <col min="1" max="1" width="2.44140625" customWidth="1"/>
    <col min="2" max="2" width="28.33203125" customWidth="1"/>
    <col min="3" max="3" width="12.5546875" customWidth="1"/>
    <col min="4" max="4" width="2.33203125" customWidth="1"/>
    <col min="5" max="5" width="36.109375" customWidth="1"/>
    <col min="6" max="6" width="11.5546875" customWidth="1"/>
    <col min="7" max="7" width="86.109375" customWidth="1"/>
  </cols>
  <sheetData>
    <row r="2" spans="2:7" ht="30" customHeight="1" x14ac:dyDescent="0.3">
      <c r="B2" s="639" t="s">
        <v>457</v>
      </c>
      <c r="C2" s="640"/>
      <c r="D2" s="640"/>
      <c r="E2" s="640"/>
      <c r="F2" s="640"/>
      <c r="G2" s="641"/>
    </row>
    <row r="3" spans="2:7" ht="8.4" customHeight="1" x14ac:dyDescent="0.3"/>
    <row r="4" spans="2:7" ht="15.6" x14ac:dyDescent="0.3">
      <c r="B4" s="583" t="s">
        <v>335</v>
      </c>
      <c r="C4" s="638"/>
      <c r="E4" s="583" t="s">
        <v>350</v>
      </c>
      <c r="F4" s="638"/>
      <c r="G4" s="458" t="s">
        <v>384</v>
      </c>
    </row>
    <row r="5" spans="2:7" ht="14.4" customHeight="1" x14ac:dyDescent="0.3">
      <c r="B5" s="308" t="s">
        <v>338</v>
      </c>
      <c r="C5" s="474">
        <v>28.6</v>
      </c>
      <c r="E5" s="432" t="s">
        <v>351</v>
      </c>
      <c r="F5" s="399"/>
      <c r="G5" s="459"/>
    </row>
    <row r="6" spans="2:7" ht="16.2" customHeight="1" x14ac:dyDescent="0.3">
      <c r="B6" s="308" t="s">
        <v>339</v>
      </c>
      <c r="C6" s="421">
        <v>30.5</v>
      </c>
      <c r="E6" s="433" t="s">
        <v>352</v>
      </c>
      <c r="F6" s="476">
        <v>111</v>
      </c>
      <c r="G6" s="459" t="s">
        <v>397</v>
      </c>
    </row>
    <row r="7" spans="2:7" ht="16.2" x14ac:dyDescent="0.45">
      <c r="B7" s="308" t="s">
        <v>340</v>
      </c>
      <c r="C7" s="421">
        <v>26.9</v>
      </c>
      <c r="E7" s="433" t="s">
        <v>353</v>
      </c>
      <c r="F7" s="444">
        <f>'IS (Adjusted)'!X31</f>
        <v>1152.9000000000001</v>
      </c>
      <c r="G7" s="459" t="s">
        <v>398</v>
      </c>
    </row>
    <row r="8" spans="2:7" x14ac:dyDescent="0.3">
      <c r="B8" s="308" t="s">
        <v>447</v>
      </c>
      <c r="C8" s="421" t="s">
        <v>448</v>
      </c>
      <c r="E8" s="434" t="s">
        <v>354</v>
      </c>
      <c r="F8" s="445">
        <f>F7*F6</f>
        <v>127971.90000000001</v>
      </c>
      <c r="G8" s="459"/>
    </row>
    <row r="9" spans="2:7" x14ac:dyDescent="0.3">
      <c r="B9" s="180" t="s">
        <v>342</v>
      </c>
      <c r="C9" s="475">
        <v>30</v>
      </c>
      <c r="E9" s="442" t="s">
        <v>373</v>
      </c>
      <c r="F9" s="446"/>
      <c r="G9" s="459"/>
    </row>
    <row r="10" spans="2:7" ht="16.2" x14ac:dyDescent="0.45">
      <c r="B10" s="180" t="s">
        <v>336</v>
      </c>
      <c r="C10" s="422">
        <v>0</v>
      </c>
      <c r="E10" s="433" t="s">
        <v>355</v>
      </c>
      <c r="F10" s="447">
        <v>0.86</v>
      </c>
      <c r="G10" s="459" t="s">
        <v>399</v>
      </c>
    </row>
    <row r="11" spans="2:7" ht="15" customHeight="1" x14ac:dyDescent="0.3">
      <c r="B11" s="423" t="s">
        <v>337</v>
      </c>
      <c r="C11" s="424">
        <f>C9*('IS (Adjusted)'!Z34+'IS (Adjusted)'!AA34+'IS (Adjusted)'!AC34+'IS (Adjusted)'!AD34)</f>
        <v>109.62130501106353</v>
      </c>
      <c r="E11" s="433" t="s">
        <v>356</v>
      </c>
      <c r="F11" s="448">
        <v>0.35</v>
      </c>
      <c r="G11" s="459" t="s">
        <v>401</v>
      </c>
    </row>
    <row r="12" spans="2:7" ht="15" customHeight="1" x14ac:dyDescent="0.3">
      <c r="E12" s="433" t="s">
        <v>357</v>
      </c>
      <c r="F12" s="449">
        <v>0.19819999999999999</v>
      </c>
      <c r="G12" s="459" t="s">
        <v>402</v>
      </c>
    </row>
    <row r="13" spans="2:7" ht="15" customHeight="1" x14ac:dyDescent="0.3">
      <c r="B13" s="642" t="s">
        <v>449</v>
      </c>
      <c r="C13" s="643"/>
      <c r="E13" s="435" t="s">
        <v>387</v>
      </c>
      <c r="F13" s="450">
        <f>F11*F12</f>
        <v>6.9369999999999987E-2</v>
      </c>
      <c r="G13" s="459" t="s">
        <v>386</v>
      </c>
    </row>
    <row r="14" spans="2:7" x14ac:dyDescent="0.3">
      <c r="B14" s="644"/>
      <c r="C14" s="645"/>
      <c r="E14" s="433" t="s">
        <v>380</v>
      </c>
      <c r="F14" s="473">
        <v>4.4499999999999998E-2</v>
      </c>
      <c r="G14" s="459" t="s">
        <v>394</v>
      </c>
    </row>
    <row r="15" spans="2:7" x14ac:dyDescent="0.3">
      <c r="B15" s="644"/>
      <c r="C15" s="645"/>
      <c r="E15" s="434" t="s">
        <v>374</v>
      </c>
      <c r="F15" s="451">
        <f>F14+(F10*F13)</f>
        <v>0.10415819999999998</v>
      </c>
      <c r="G15" s="459"/>
    </row>
    <row r="16" spans="2:7" x14ac:dyDescent="0.3">
      <c r="B16" s="644"/>
      <c r="C16" s="645"/>
      <c r="E16" s="308" t="s">
        <v>358</v>
      </c>
      <c r="F16" s="452">
        <f>F8/(F8+'BS (Adjusted)'!X28+'BS (Adjusted)'!X31)</f>
        <v>0.89554780021259928</v>
      </c>
      <c r="G16" s="459"/>
    </row>
    <row r="17" spans="2:7" ht="14.4" customHeight="1" x14ac:dyDescent="0.3">
      <c r="B17" s="644"/>
      <c r="C17" s="645"/>
      <c r="E17" s="308" t="s">
        <v>359</v>
      </c>
      <c r="F17" s="452">
        <f>'IS (Adjusted)'!X145*4</f>
        <v>3.4621403474819734E-2</v>
      </c>
      <c r="G17" s="459"/>
    </row>
    <row r="18" spans="2:7" ht="14.4" customHeight="1" x14ac:dyDescent="0.3">
      <c r="B18" s="644"/>
      <c r="C18" s="645"/>
      <c r="E18" s="308" t="s">
        <v>2</v>
      </c>
      <c r="F18" s="453">
        <f>'IS (Adjusted)'!X143</f>
        <v>0.24651982378854645</v>
      </c>
      <c r="G18" s="459"/>
    </row>
    <row r="19" spans="2:7" ht="14.4" customHeight="1" x14ac:dyDescent="0.3">
      <c r="B19" s="644"/>
      <c r="C19" s="645"/>
      <c r="E19" s="308" t="s">
        <v>360</v>
      </c>
      <c r="F19" s="452">
        <f>F17*(1-F18)</f>
        <v>2.6086541190895006E-2</v>
      </c>
      <c r="G19" s="459"/>
    </row>
    <row r="20" spans="2:7" ht="14.4" customHeight="1" x14ac:dyDescent="0.3">
      <c r="B20" s="644"/>
      <c r="C20" s="645"/>
      <c r="E20" s="436" t="s">
        <v>361</v>
      </c>
      <c r="F20" s="454">
        <f>(F16*F15)+((1-F16)*F19)</f>
        <v>9.6003443496337562E-2</v>
      </c>
      <c r="G20" s="459"/>
    </row>
    <row r="21" spans="2:7" ht="14.4" customHeight="1" x14ac:dyDescent="0.3">
      <c r="B21" s="644"/>
      <c r="C21" s="645"/>
      <c r="E21" s="648" t="s">
        <v>372</v>
      </c>
      <c r="F21" s="649"/>
      <c r="G21" s="459"/>
    </row>
    <row r="22" spans="2:7" ht="14.4" customHeight="1" x14ac:dyDescent="0.3">
      <c r="B22" s="644"/>
      <c r="C22" s="645"/>
      <c r="E22" s="308" t="s">
        <v>404</v>
      </c>
      <c r="F22" s="288">
        <v>0.04</v>
      </c>
      <c r="G22" s="650" t="s">
        <v>397</v>
      </c>
    </row>
    <row r="23" spans="2:7" ht="14.4" customHeight="1" x14ac:dyDescent="0.3">
      <c r="B23" s="644"/>
      <c r="C23" s="645"/>
      <c r="E23" s="308" t="s">
        <v>362</v>
      </c>
      <c r="F23" s="288">
        <v>0.04</v>
      </c>
      <c r="G23" s="650"/>
    </row>
    <row r="24" spans="2:7" ht="14.4" customHeight="1" x14ac:dyDescent="0.3">
      <c r="B24" s="644"/>
      <c r="C24" s="645"/>
      <c r="E24" s="308" t="s">
        <v>363</v>
      </c>
      <c r="F24" s="288">
        <v>0.02</v>
      </c>
      <c r="G24" s="650"/>
    </row>
    <row r="25" spans="2:7" ht="14.4" customHeight="1" x14ac:dyDescent="0.3">
      <c r="B25" s="644"/>
      <c r="C25" s="645"/>
      <c r="E25" s="443" t="s">
        <v>375</v>
      </c>
      <c r="F25" s="455"/>
      <c r="G25" s="459"/>
    </row>
    <row r="26" spans="2:7" ht="14.4" customHeight="1" x14ac:dyDescent="0.3">
      <c r="B26" s="646"/>
      <c r="C26" s="647"/>
      <c r="E26" s="433" t="s">
        <v>377</v>
      </c>
      <c r="F26" s="447">
        <v>0.83</v>
      </c>
      <c r="G26" s="459" t="s">
        <v>400</v>
      </c>
    </row>
    <row r="27" spans="2:7" ht="14.4" customHeight="1" x14ac:dyDescent="0.3">
      <c r="B27" s="466"/>
      <c r="C27" s="466"/>
      <c r="E27" s="433" t="s">
        <v>385</v>
      </c>
      <c r="F27" s="448">
        <v>0.34</v>
      </c>
      <c r="G27" s="459" t="s">
        <v>405</v>
      </c>
    </row>
    <row r="28" spans="2:7" ht="14.4" customHeight="1" x14ac:dyDescent="0.3">
      <c r="B28" s="583" t="s">
        <v>390</v>
      </c>
      <c r="C28" s="638"/>
      <c r="E28" s="433" t="s">
        <v>376</v>
      </c>
      <c r="F28" s="449">
        <v>0.19500000000000001</v>
      </c>
      <c r="G28" s="459" t="s">
        <v>395</v>
      </c>
    </row>
    <row r="29" spans="2:7" x14ac:dyDescent="0.3">
      <c r="B29" s="395" t="s">
        <v>391</v>
      </c>
      <c r="C29" s="468">
        <f>C11</f>
        <v>109.62130501106353</v>
      </c>
      <c r="E29" s="435" t="s">
        <v>388</v>
      </c>
      <c r="F29" s="450">
        <f>F27*F28</f>
        <v>6.6300000000000012E-2</v>
      </c>
      <c r="G29" s="459"/>
    </row>
    <row r="30" spans="2:7" x14ac:dyDescent="0.3">
      <c r="B30" s="308" t="s">
        <v>392</v>
      </c>
      <c r="C30" s="467">
        <f>F37</f>
        <v>107.90132713419547</v>
      </c>
      <c r="E30" s="433" t="s">
        <v>379</v>
      </c>
      <c r="F30" s="490">
        <v>3.9E-2</v>
      </c>
      <c r="G30" s="459" t="s">
        <v>396</v>
      </c>
    </row>
    <row r="31" spans="2:7" x14ac:dyDescent="0.3">
      <c r="B31" s="469" t="s">
        <v>393</v>
      </c>
      <c r="C31" s="470">
        <f>(C29+C30)/2</f>
        <v>108.7613160726295</v>
      </c>
      <c r="E31" s="435" t="s">
        <v>378</v>
      </c>
      <c r="F31" s="450">
        <f>F30+(F26*F29)</f>
        <v>9.4029000000000001E-2</v>
      </c>
      <c r="G31" s="459"/>
    </row>
    <row r="32" spans="2:7" x14ac:dyDescent="0.3">
      <c r="E32" s="319" t="s">
        <v>364</v>
      </c>
      <c r="F32" s="465">
        <f>(F16*(F30+(F26*(F27*F28))))+((1-F16)*F19)</f>
        <v>8.6932260718424123E-2</v>
      </c>
      <c r="G32" s="459"/>
    </row>
    <row r="33" spans="2:7" ht="15.6" x14ac:dyDescent="0.3">
      <c r="B33" s="583" t="s">
        <v>389</v>
      </c>
      <c r="C33" s="638"/>
      <c r="E33" s="437" t="s">
        <v>349</v>
      </c>
      <c r="F33" s="399"/>
      <c r="G33" s="459"/>
    </row>
    <row r="34" spans="2:7" x14ac:dyDescent="0.3">
      <c r="B34" s="395" t="s">
        <v>367</v>
      </c>
      <c r="C34" s="438">
        <v>1.6299999999999999E-2</v>
      </c>
      <c r="E34" s="308" t="s">
        <v>383</v>
      </c>
      <c r="F34" s="456">
        <f>'CFS (Adjusted)'!AB44+'CFS (Adjusted)'!AG44+'CFS (Adjusted)'!AL44+'CFS (Adjusted)'!AQ44+'CFS (Adjusted)'!AV44</f>
        <v>17543.773192562694</v>
      </c>
      <c r="G34" s="459"/>
    </row>
    <row r="35" spans="2:7" x14ac:dyDescent="0.3">
      <c r="B35" s="308" t="s">
        <v>368</v>
      </c>
      <c r="C35" s="439">
        <v>8.7099999999999997E-2</v>
      </c>
      <c r="E35" s="308" t="s">
        <v>382</v>
      </c>
      <c r="F35" s="456">
        <f>(((('CFS (Adjusted)'!AV22*(1+F23))-(F24*'IS (Adjusted)'!AV8*(1+F22))+(F19*('BS (Adjusted)'!AV28+'BS (Adjusted)'!AV31))))/(F32-F22))/(1+F32)^5</f>
        <v>118187.76686045126</v>
      </c>
      <c r="G35" s="459" t="s">
        <v>397</v>
      </c>
    </row>
    <row r="36" spans="2:7" ht="16.2" x14ac:dyDescent="0.45">
      <c r="B36" s="308" t="s">
        <v>369</v>
      </c>
      <c r="C36" s="440">
        <f>C31</f>
        <v>108.7613160726295</v>
      </c>
      <c r="E36" s="308" t="s">
        <v>365</v>
      </c>
      <c r="F36" s="457">
        <f>'CFS (Adjusted)'!X48</f>
        <v>-9.8292132882296741</v>
      </c>
      <c r="G36" s="459" t="s">
        <v>397</v>
      </c>
    </row>
    <row r="37" spans="2:7" x14ac:dyDescent="0.3">
      <c r="B37" s="308" t="s">
        <v>370</v>
      </c>
      <c r="C37" s="440">
        <f>C36*(1+(C34+(2*C35)))</f>
        <v>129.48034678446544</v>
      </c>
      <c r="E37" s="461" t="s">
        <v>366</v>
      </c>
      <c r="F37" s="462">
        <f>(F35+F34)/F7+F36</f>
        <v>107.90132713419547</v>
      </c>
      <c r="G37" s="459"/>
    </row>
    <row r="38" spans="2:7" x14ac:dyDescent="0.3">
      <c r="B38" s="311" t="s">
        <v>371</v>
      </c>
      <c r="C38" s="441">
        <f>C36*(1+(C34-(2*C35)))</f>
        <v>91.587904264761306</v>
      </c>
      <c r="E38" s="463" t="s">
        <v>381</v>
      </c>
      <c r="F38" s="464">
        <f>F6-F37</f>
        <v>3.0986728658045308</v>
      </c>
      <c r="G38" s="460"/>
    </row>
  </sheetData>
  <mergeCells count="8">
    <mergeCell ref="B28:C28"/>
    <mergeCell ref="B33:C33"/>
    <mergeCell ref="B2:G2"/>
    <mergeCell ref="B4:C4"/>
    <mergeCell ref="E4:F4"/>
    <mergeCell ref="B13:C26"/>
    <mergeCell ref="E21:F21"/>
    <mergeCell ref="G22:G24"/>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5E458-1B3B-400F-A3FF-35216ABBC54F}">
  <sheetPr>
    <tabColor theme="8" tint="0.39997558519241921"/>
    <pageSetUpPr fitToPage="1"/>
  </sheetPr>
  <dimension ref="A1:AV316"/>
  <sheetViews>
    <sheetView showGridLines="0" zoomScaleNormal="100" workbookViewId="0">
      <pane xSplit="3" ySplit="4" topLeftCell="X116" activePane="bottomRight" state="frozen"/>
      <selection activeCell="B3" sqref="B3:C3"/>
      <selection pane="topRight" activeCell="B3" sqref="B3:C3"/>
      <selection pane="bottomLeft" activeCell="B3" sqref="B3:C3"/>
      <selection pane="bottomRight" activeCell="Z130" sqref="Z130"/>
    </sheetView>
  </sheetViews>
  <sheetFormatPr defaultColWidth="8.88671875" defaultRowHeight="14.4" outlineLevelRow="1" outlineLevelCol="1" x14ac:dyDescent="0.3"/>
  <cols>
    <col min="1" max="1" width="2" style="2" customWidth="1"/>
    <col min="2" max="2" width="39" style="2" customWidth="1"/>
    <col min="3" max="3" width="3.109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91"/>
      <c r="U1" s="369"/>
      <c r="V1" s="369"/>
      <c r="W1" s="391"/>
      <c r="X1" s="369"/>
      <c r="Y1" s="391"/>
      <c r="Z1" s="573"/>
      <c r="AA1" s="573"/>
      <c r="AB1" s="573"/>
      <c r="AC1" s="573"/>
      <c r="AD1" s="573"/>
      <c r="AE1" s="573"/>
      <c r="AF1" s="573"/>
      <c r="AG1" s="573"/>
      <c r="AH1" s="573"/>
      <c r="AI1" s="573"/>
      <c r="AJ1" s="573"/>
      <c r="AK1" s="573"/>
      <c r="AL1" s="573"/>
      <c r="AM1" s="573"/>
      <c r="AN1" s="573"/>
      <c r="AO1" s="573"/>
      <c r="AP1" s="573"/>
      <c r="AQ1" s="573"/>
      <c r="AR1" s="573"/>
      <c r="AS1" s="573"/>
      <c r="AT1" s="573"/>
      <c r="AU1" s="573"/>
      <c r="AV1" s="573"/>
    </row>
    <row r="2" spans="1:48" ht="13.2"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89"/>
      <c r="AC2" s="389"/>
      <c r="AD2" s="389"/>
      <c r="AE2" s="389"/>
      <c r="AF2" s="389"/>
      <c r="AG2" s="389"/>
      <c r="AH2" s="389"/>
      <c r="AI2" s="389"/>
      <c r="AJ2" s="389"/>
      <c r="AK2" s="389"/>
      <c r="AL2" s="389"/>
      <c r="AM2" s="389"/>
      <c r="AN2" s="389"/>
      <c r="AO2" s="389"/>
      <c r="AP2" s="389"/>
      <c r="AQ2" s="389"/>
      <c r="AR2" s="389"/>
      <c r="AS2" s="389"/>
      <c r="AT2" s="389"/>
      <c r="AU2" s="389"/>
      <c r="AV2" s="389"/>
    </row>
    <row r="3" spans="1:48" ht="15.6" x14ac:dyDescent="0.3">
      <c r="A3" s="582"/>
      <c r="B3" s="583" t="s">
        <v>18</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3" t="s">
        <v>451</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82"/>
      <c r="B4" s="585" t="s">
        <v>3</v>
      </c>
      <c r="C4" s="586"/>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4" t="s">
        <v>452</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580" t="s">
        <v>101</v>
      </c>
      <c r="C5" s="581"/>
      <c r="D5" s="105">
        <v>5370.3</v>
      </c>
      <c r="E5" s="105">
        <v>5159</v>
      </c>
      <c r="F5" s="105">
        <v>5535</v>
      </c>
      <c r="G5" s="105">
        <f>H5-F5-E5-D5</f>
        <v>5480.1000000000013</v>
      </c>
      <c r="H5" s="170">
        <v>21544.400000000001</v>
      </c>
      <c r="I5" s="105">
        <v>5780.7</v>
      </c>
      <c r="J5" s="105">
        <v>4766</v>
      </c>
      <c r="K5" s="105">
        <v>3444.4</v>
      </c>
      <c r="L5" s="105">
        <v>5173.6000000000004</v>
      </c>
      <c r="M5" s="49">
        <f>SUM(I5:L5)</f>
        <v>19164.7</v>
      </c>
      <c r="N5" s="48">
        <v>5726.5</v>
      </c>
      <c r="O5" s="48">
        <v>5653.1</v>
      </c>
      <c r="P5" s="48">
        <v>6363.1</v>
      </c>
      <c r="Q5" s="105">
        <v>6864.3</v>
      </c>
      <c r="R5" s="49">
        <f>SUM(N5:Q5)</f>
        <v>24607</v>
      </c>
      <c r="S5" s="48">
        <v>6722.4</v>
      </c>
      <c r="T5" s="48">
        <v>6276.7</v>
      </c>
      <c r="U5" s="48">
        <v>6675.5</v>
      </c>
      <c r="V5" s="48">
        <v>6901.4</v>
      </c>
      <c r="W5" s="49">
        <f>SUM(S5:V5)</f>
        <v>26576</v>
      </c>
      <c r="X5" s="105">
        <v>7083.5</v>
      </c>
      <c r="Y5" s="105">
        <v>7142.3</v>
      </c>
      <c r="Z5" s="48">
        <f>+Z45+Z78</f>
        <v>7669.3421216757179</v>
      </c>
      <c r="AA5" s="48">
        <f>+AA45+AA78</f>
        <v>7713.4880606413199</v>
      </c>
      <c r="AB5" s="49">
        <f>SUM(X5:AA5)</f>
        <v>29608.630182317036</v>
      </c>
      <c r="AC5" s="48">
        <f>+AC45+AC78</f>
        <v>7985.339364316942</v>
      </c>
      <c r="AD5" s="48">
        <f>+AD45+AD78</f>
        <v>7885.2940495505591</v>
      </c>
      <c r="AE5" s="48">
        <f>+AE45+AE78</f>
        <v>8459.0854191319868</v>
      </c>
      <c r="AF5" s="48">
        <f>+AF45+AF78</f>
        <v>8508.5080120594612</v>
      </c>
      <c r="AG5" s="49">
        <f>SUM(AC5:AF5)</f>
        <v>32838.226845058947</v>
      </c>
      <c r="AH5" s="48">
        <f>+AH45+AH78</f>
        <v>8904.4380279099205</v>
      </c>
      <c r="AI5" s="48">
        <f>+AI45+AI78</f>
        <v>8800.5577766482966</v>
      </c>
      <c r="AJ5" s="48">
        <f>+AJ45+AJ78</f>
        <v>9447.6605518539673</v>
      </c>
      <c r="AK5" s="48">
        <f>+AK45+AK78</f>
        <v>9523.7579152665148</v>
      </c>
      <c r="AL5" s="49">
        <f>SUM(AH5:AK5)</f>
        <v>36676.414271678696</v>
      </c>
      <c r="AM5" s="48">
        <f>+AM45+AM78</f>
        <v>9789.406157351088</v>
      </c>
      <c r="AN5" s="48">
        <f>+AN45+AN78</f>
        <v>9650.4993029389989</v>
      </c>
      <c r="AO5" s="48">
        <f>+AO45+AO78</f>
        <v>10332.502716716077</v>
      </c>
      <c r="AP5" s="48">
        <f>+AP45+AP78</f>
        <v>10393.472083638091</v>
      </c>
      <c r="AQ5" s="49">
        <f>SUM(AM5:AP5)</f>
        <v>40165.880260644255</v>
      </c>
      <c r="AR5" s="48">
        <f>+AR45+AR78</f>
        <v>10456.982842573032</v>
      </c>
      <c r="AS5" s="48">
        <f>+AS45+AS78</f>
        <v>10305.675129499681</v>
      </c>
      <c r="AT5" s="48">
        <f>+AT45+AT78</f>
        <v>11030.681263508537</v>
      </c>
      <c r="AU5" s="48">
        <f>+AU45+AU78</f>
        <v>11096.122857457469</v>
      </c>
      <c r="AV5" s="49">
        <f>SUM(AR5:AU5)</f>
        <v>42889.462093038717</v>
      </c>
    </row>
    <row r="6" spans="1:48" outlineLevel="1" x14ac:dyDescent="0.3">
      <c r="B6" s="580" t="s">
        <v>102</v>
      </c>
      <c r="C6" s="581"/>
      <c r="D6" s="105">
        <v>737.1</v>
      </c>
      <c r="E6" s="105">
        <v>678.2</v>
      </c>
      <c r="F6" s="105">
        <v>725</v>
      </c>
      <c r="G6" s="105">
        <f t="shared" ref="G6:G16" si="0">H6-F6-E6-D6</f>
        <v>734.69999999999993</v>
      </c>
      <c r="H6" s="170">
        <v>2875</v>
      </c>
      <c r="I6" s="105">
        <v>792</v>
      </c>
      <c r="J6" s="105">
        <v>689.8</v>
      </c>
      <c r="K6" s="105">
        <v>300.5</v>
      </c>
      <c r="L6" s="48">
        <v>544.6</v>
      </c>
      <c r="M6" s="49">
        <f t="shared" ref="M6:M7" si="1">SUM(I6:L6)</f>
        <v>2326.9</v>
      </c>
      <c r="N6" s="48">
        <v>613.79999999999995</v>
      </c>
      <c r="O6" s="48">
        <v>595</v>
      </c>
      <c r="P6" s="48">
        <v>680.2</v>
      </c>
      <c r="Q6" s="105">
        <v>794.5</v>
      </c>
      <c r="R6" s="49">
        <f>SUM(N6:Q6)</f>
        <v>2683.5</v>
      </c>
      <c r="S6" s="48">
        <v>850.8</v>
      </c>
      <c r="T6" s="48">
        <v>849.5</v>
      </c>
      <c r="U6" s="48">
        <v>956.8</v>
      </c>
      <c r="V6" s="48">
        <v>998.4</v>
      </c>
      <c r="W6" s="49">
        <f t="shared" ref="W6:W7" si="2">SUM(S6:V6)</f>
        <v>3655.5</v>
      </c>
      <c r="X6" s="105">
        <v>1119.5</v>
      </c>
      <c r="Y6" s="105">
        <v>1069.5</v>
      </c>
      <c r="Z6" s="48">
        <f>+Z54+Z87</f>
        <v>1123.0079151815307</v>
      </c>
      <c r="AA6" s="48">
        <f>+AA54+AA87</f>
        <v>1177.7917344816065</v>
      </c>
      <c r="AB6" s="49">
        <f t="shared" ref="AB6:AB7" si="3">SUM(X6:AA6)</f>
        <v>4489.7996496631367</v>
      </c>
      <c r="AC6" s="48">
        <f>+AC54+AC87</f>
        <v>1244.0238803761072</v>
      </c>
      <c r="AD6" s="48">
        <f>+AD54+AD87</f>
        <v>1193.8305670294721</v>
      </c>
      <c r="AE6" s="48">
        <f>+AE54+AE87</f>
        <v>1260.724066569142</v>
      </c>
      <c r="AF6" s="48">
        <f>+AF54+AF87</f>
        <v>1317.4966303609731</v>
      </c>
      <c r="AG6" s="49">
        <f t="shared" ref="AG6:AG7" si="4">SUM(AC6:AF6)</f>
        <v>5016.0751443356949</v>
      </c>
      <c r="AH6" s="48">
        <f>+AH54+AH87</f>
        <v>1402.4202526117717</v>
      </c>
      <c r="AI6" s="48">
        <f>+AI54+AI87</f>
        <v>1346.6738875859387</v>
      </c>
      <c r="AJ6" s="48">
        <f>+AJ54+AJ87</f>
        <v>1424.1176033324848</v>
      </c>
      <c r="AK6" s="48">
        <f>+AK54+AK87</f>
        <v>1488.3479355448135</v>
      </c>
      <c r="AL6" s="49">
        <f t="shared" ref="AL6:AL7" si="5">SUM(AH6:AK6)</f>
        <v>5661.5596790750087</v>
      </c>
      <c r="AM6" s="48">
        <f>+AM54+AM87</f>
        <v>1556.9033555663052</v>
      </c>
      <c r="AN6" s="48">
        <f>+AN54+AN87</f>
        <v>1477.9568002765163</v>
      </c>
      <c r="AO6" s="48">
        <f>+AO54+AO87</f>
        <v>1546.6417045774419</v>
      </c>
      <c r="AP6" s="48">
        <f>+AP54+AP87</f>
        <v>1597.4880616686075</v>
      </c>
      <c r="AQ6" s="49">
        <f t="shared" ref="AQ6:AQ7" si="6">SUM(AM6:AP6)</f>
        <v>6178.989922088871</v>
      </c>
      <c r="AR6" s="48">
        <f>+AR54+AR87</f>
        <v>1629.3964287876702</v>
      </c>
      <c r="AS6" s="48">
        <f>+AS54+AS87</f>
        <v>1546.731191587548</v>
      </c>
      <c r="AT6" s="48">
        <f>+AT54+AT87</f>
        <v>1619.0633142233717</v>
      </c>
      <c r="AU6" s="48">
        <f>+AU54+AU87</f>
        <v>1672.0419224343648</v>
      </c>
      <c r="AV6" s="49">
        <f t="shared" ref="AV6:AV7" si="7">SUM(AR6:AU6)</f>
        <v>6467.2328570329546</v>
      </c>
    </row>
    <row r="7" spans="1:48" ht="16.2" outlineLevel="1" x14ac:dyDescent="0.45">
      <c r="B7" s="580" t="s">
        <v>103</v>
      </c>
      <c r="C7" s="581"/>
      <c r="D7" s="104">
        <v>525.29999999999995</v>
      </c>
      <c r="E7" s="104">
        <v>468.7</v>
      </c>
      <c r="F7" s="104">
        <v>563</v>
      </c>
      <c r="G7" s="104">
        <f t="shared" si="0"/>
        <v>532.19999999999982</v>
      </c>
      <c r="H7" s="173">
        <v>2089.1999999999998</v>
      </c>
      <c r="I7" s="104">
        <v>524.4</v>
      </c>
      <c r="J7" s="104">
        <v>539.9</v>
      </c>
      <c r="K7" s="104">
        <v>477.2</v>
      </c>
      <c r="L7" s="52">
        <v>484.9</v>
      </c>
      <c r="M7" s="53">
        <f t="shared" si="1"/>
        <v>2026.4</v>
      </c>
      <c r="N7" s="52">
        <v>409.1</v>
      </c>
      <c r="O7" s="52">
        <v>419.9</v>
      </c>
      <c r="P7" s="52">
        <v>453.2</v>
      </c>
      <c r="Q7" s="104">
        <v>487.9</v>
      </c>
      <c r="R7" s="53">
        <f>SUM(N7:Q7)</f>
        <v>1770.1</v>
      </c>
      <c r="S7" s="52">
        <v>477.2</v>
      </c>
      <c r="T7" s="52">
        <v>509.4</v>
      </c>
      <c r="U7" s="52">
        <v>517.79999999999995</v>
      </c>
      <c r="V7" s="52">
        <v>514.4</v>
      </c>
      <c r="W7" s="173">
        <f t="shared" si="2"/>
        <v>2018.7999999999997</v>
      </c>
      <c r="X7" s="104">
        <v>510.9</v>
      </c>
      <c r="Y7" s="104">
        <v>508</v>
      </c>
      <c r="Z7" s="52">
        <f>+Z55+Z88+Z108+Z123</f>
        <v>515.22300000000007</v>
      </c>
      <c r="AA7" s="52">
        <f>+AA55+AA88+AA108+AA123</f>
        <v>519.97799999999995</v>
      </c>
      <c r="AB7" s="53">
        <f t="shared" si="3"/>
        <v>2054.1010000000001</v>
      </c>
      <c r="AC7" s="52">
        <f>+AC55+AC88+AC108+AC123</f>
        <v>533.22800000000007</v>
      </c>
      <c r="AD7" s="52">
        <f>+AD55+AD88+AD108+AD123</f>
        <v>531.0630000000001</v>
      </c>
      <c r="AE7" s="52">
        <f>+AE55+AE88+AE108+AE123</f>
        <v>537.64602000000002</v>
      </c>
      <c r="AF7" s="52">
        <f>+AF55+AF88+AF108+AF123</f>
        <v>542.90842000000009</v>
      </c>
      <c r="AG7" s="53">
        <f t="shared" si="4"/>
        <v>2144.8454400000005</v>
      </c>
      <c r="AH7" s="52">
        <f>+AH55+AH88+AH108+AH123</f>
        <v>561.21162000000004</v>
      </c>
      <c r="AI7" s="52">
        <f>+AI55+AI88+AI108+AI123</f>
        <v>558.10836999999992</v>
      </c>
      <c r="AJ7" s="52">
        <f>+AJ55+AJ88+AJ108+AJ123</f>
        <v>561.93721080000012</v>
      </c>
      <c r="AK7" s="52">
        <f>+AK55+AK88+AK108+AK123</f>
        <v>567.85696680000001</v>
      </c>
      <c r="AL7" s="53">
        <f t="shared" si="5"/>
        <v>2249.1141676000002</v>
      </c>
      <c r="AM7" s="52">
        <f>+AM55+AM88+AM108+AM123</f>
        <v>586.22951480000006</v>
      </c>
      <c r="AN7" s="52">
        <f>+AN55+AN88+AN108+AN123</f>
        <v>582.67369980000001</v>
      </c>
      <c r="AO7" s="52">
        <f>+AO55+AO88+AO108+AO123</f>
        <v>585.56009623200009</v>
      </c>
      <c r="AP7" s="52">
        <f>+AP55+AP88+AP108+AP123</f>
        <v>591.94686047200014</v>
      </c>
      <c r="AQ7" s="53">
        <f t="shared" si="6"/>
        <v>2346.410171304</v>
      </c>
      <c r="AR7" s="52">
        <f>+AR55+AR88+AR108+AR123</f>
        <v>610.41305589199999</v>
      </c>
      <c r="AS7" s="52">
        <f>+AS55+AS88+AS108+AS123</f>
        <v>606.62139854200007</v>
      </c>
      <c r="AT7" s="52">
        <f>+AT55+AT88+AT108+AT123</f>
        <v>609.40131178128001</v>
      </c>
      <c r="AU7" s="52">
        <f>+AU55+AU88+AU108+AU123</f>
        <v>616.17837389088015</v>
      </c>
      <c r="AV7" s="53">
        <f t="shared" si="7"/>
        <v>2442.6141401061604</v>
      </c>
    </row>
    <row r="8" spans="1:48" s="8" customFormat="1" x14ac:dyDescent="0.3">
      <c r="B8" s="587" t="s">
        <v>104</v>
      </c>
      <c r="C8" s="588"/>
      <c r="D8" s="103">
        <f t="shared" ref="D8:AB8" si="8">SUM(D5:D7)</f>
        <v>6632.7000000000007</v>
      </c>
      <c r="E8" s="103">
        <f t="shared" si="8"/>
        <v>6305.9</v>
      </c>
      <c r="F8" s="103">
        <f t="shared" si="8"/>
        <v>6823</v>
      </c>
      <c r="G8" s="103">
        <f t="shared" si="8"/>
        <v>6747.0000000000009</v>
      </c>
      <c r="H8" s="171">
        <f t="shared" si="8"/>
        <v>26508.600000000002</v>
      </c>
      <c r="I8" s="103">
        <f>SUM(I5:I7)</f>
        <v>7097.0999999999995</v>
      </c>
      <c r="J8" s="103">
        <f>SUM(J5:J7)</f>
        <v>5995.7</v>
      </c>
      <c r="K8" s="103">
        <f>SUM(K5:K7)</f>
        <v>4222.1000000000004</v>
      </c>
      <c r="L8" s="103">
        <f>SUM(L5:L7)</f>
        <v>6203.1</v>
      </c>
      <c r="M8" s="171">
        <f t="shared" si="8"/>
        <v>23518.000000000004</v>
      </c>
      <c r="N8" s="103">
        <f t="shared" si="8"/>
        <v>6749.4000000000005</v>
      </c>
      <c r="O8" s="103">
        <f t="shared" si="8"/>
        <v>6668</v>
      </c>
      <c r="P8" s="103">
        <f t="shared" si="8"/>
        <v>7496.5</v>
      </c>
      <c r="Q8" s="103">
        <f>SUM(Q5:Q7)</f>
        <v>8146.7</v>
      </c>
      <c r="R8" s="171">
        <f t="shared" si="8"/>
        <v>29060.6</v>
      </c>
      <c r="S8" s="103">
        <f t="shared" si="8"/>
        <v>8050.4</v>
      </c>
      <c r="T8" s="103">
        <f t="shared" si="8"/>
        <v>7635.5999999999995</v>
      </c>
      <c r="U8" s="103">
        <f t="shared" si="8"/>
        <v>8150.1</v>
      </c>
      <c r="V8" s="103">
        <f t="shared" si="8"/>
        <v>8414.1999999999989</v>
      </c>
      <c r="W8" s="171">
        <f t="shared" si="8"/>
        <v>32250.3</v>
      </c>
      <c r="X8" s="103">
        <f t="shared" si="8"/>
        <v>8713.9</v>
      </c>
      <c r="Y8" s="103">
        <f t="shared" si="8"/>
        <v>8719.7999999999993</v>
      </c>
      <c r="Z8" s="50">
        <f t="shared" si="8"/>
        <v>9307.5730368572495</v>
      </c>
      <c r="AA8" s="50">
        <f t="shared" si="8"/>
        <v>9411.257795122925</v>
      </c>
      <c r="AB8" s="489">
        <f t="shared" si="8"/>
        <v>36152.530831980177</v>
      </c>
      <c r="AC8" s="50">
        <f t="shared" ref="AC8:AV8" si="9">SUM(AC5:AC7)</f>
        <v>9762.5912446930488</v>
      </c>
      <c r="AD8" s="50">
        <f t="shared" si="9"/>
        <v>9610.1876165800313</v>
      </c>
      <c r="AE8" s="50">
        <f t="shared" si="9"/>
        <v>10257.455505701129</v>
      </c>
      <c r="AF8" s="50">
        <f t="shared" si="9"/>
        <v>10368.913062420434</v>
      </c>
      <c r="AG8" s="51">
        <f t="shared" si="9"/>
        <v>39999.147429394638</v>
      </c>
      <c r="AH8" s="50">
        <f t="shared" si="9"/>
        <v>10868.069900521692</v>
      </c>
      <c r="AI8" s="50">
        <f t="shared" si="9"/>
        <v>10705.340034234236</v>
      </c>
      <c r="AJ8" s="50">
        <f t="shared" si="9"/>
        <v>11433.715365986453</v>
      </c>
      <c r="AK8" s="50">
        <f t="shared" si="9"/>
        <v>11579.962817611327</v>
      </c>
      <c r="AL8" s="51">
        <f t="shared" si="9"/>
        <v>44587.088118353699</v>
      </c>
      <c r="AM8" s="50">
        <f t="shared" si="9"/>
        <v>11932.539027717392</v>
      </c>
      <c r="AN8" s="50">
        <f t="shared" si="9"/>
        <v>11711.129803015514</v>
      </c>
      <c r="AO8" s="50">
        <f t="shared" si="9"/>
        <v>12464.704517525519</v>
      </c>
      <c r="AP8" s="50">
        <f t="shared" si="9"/>
        <v>12582.907005778699</v>
      </c>
      <c r="AQ8" s="51">
        <f t="shared" si="9"/>
        <v>48691.280354037124</v>
      </c>
      <c r="AR8" s="50">
        <f t="shared" si="9"/>
        <v>12696.792327252702</v>
      </c>
      <c r="AS8" s="50">
        <f t="shared" si="9"/>
        <v>12459.02771962923</v>
      </c>
      <c r="AT8" s="50">
        <f t="shared" si="9"/>
        <v>13259.145889513187</v>
      </c>
      <c r="AU8" s="50">
        <f t="shared" si="9"/>
        <v>13384.343153782713</v>
      </c>
      <c r="AV8" s="51">
        <f t="shared" si="9"/>
        <v>51799.309090177834</v>
      </c>
    </row>
    <row r="9" spans="1:48" outlineLevel="1" x14ac:dyDescent="0.3">
      <c r="B9" s="589" t="s">
        <v>100</v>
      </c>
      <c r="C9" s="590"/>
      <c r="D9" s="105">
        <v>2175.8000000000002</v>
      </c>
      <c r="E9" s="105">
        <v>2012</v>
      </c>
      <c r="F9" s="105">
        <v>2199.6</v>
      </c>
      <c r="G9" s="105">
        <f t="shared" si="0"/>
        <v>2139.4999999999991</v>
      </c>
      <c r="H9" s="170">
        <v>8526.9</v>
      </c>
      <c r="I9" s="105">
        <v>2236.4</v>
      </c>
      <c r="J9" s="105">
        <v>1997.7</v>
      </c>
      <c r="K9" s="105">
        <v>1484</v>
      </c>
      <c r="L9" s="105">
        <v>1976.8</v>
      </c>
      <c r="M9" s="170">
        <f>SUM(I9:L9)</f>
        <v>7694.9000000000005</v>
      </c>
      <c r="N9" s="105">
        <v>2049.1</v>
      </c>
      <c r="O9" s="105">
        <v>1992.4</v>
      </c>
      <c r="P9" s="105">
        <v>2206</v>
      </c>
      <c r="Q9" s="105">
        <v>2491.1</v>
      </c>
      <c r="R9" s="170">
        <f>SUM(N9:Q9)</f>
        <v>8738.6</v>
      </c>
      <c r="S9" s="105">
        <v>2526.9</v>
      </c>
      <c r="T9" s="105">
        <v>2465.8000000000002</v>
      </c>
      <c r="U9" s="105">
        <v>2613.6</v>
      </c>
      <c r="V9" s="105">
        <v>2711</v>
      </c>
      <c r="W9" s="170">
        <f>SUM(S9:V9)</f>
        <v>10317.300000000001</v>
      </c>
      <c r="X9" s="105">
        <v>2810.2</v>
      </c>
      <c r="Y9" s="105">
        <v>2801.7</v>
      </c>
      <c r="Z9" s="105">
        <f>+Z60+Z93+Z110+Z125</f>
        <v>2952.7109087594008</v>
      </c>
      <c r="AA9" s="105">
        <f>+AA60+AA93+AA110+AA125</f>
        <v>2899.3011349142112</v>
      </c>
      <c r="AB9" s="49">
        <f>SUM(X9:AA9)</f>
        <v>11463.912043673612</v>
      </c>
      <c r="AC9" s="105">
        <f>+AC60+AC93+AC110+AC125</f>
        <v>3102.8304833872376</v>
      </c>
      <c r="AD9" s="105">
        <f>+AD60+AD93+AD110+AD125</f>
        <v>3021.2198767911964</v>
      </c>
      <c r="AE9" s="105">
        <f>+AE60+AE93+AE110+AE125</f>
        <v>3225.4099939310586</v>
      </c>
      <c r="AF9" s="105">
        <f>+AF60+AF93+AF110+AF125</f>
        <v>3257.01974971648</v>
      </c>
      <c r="AG9" s="49">
        <f>SUM(AC9:AF9)</f>
        <v>12606.480103825972</v>
      </c>
      <c r="AH9" s="105">
        <f>+AH60+AH93+AH110+AH125</f>
        <v>3430.7507373898998</v>
      </c>
      <c r="AI9" s="105">
        <f>+AI60+AI93+AI110+AI125</f>
        <v>3340.1291420932962</v>
      </c>
      <c r="AJ9" s="105">
        <f>+AJ60+AJ93+AJ110+AJ125</f>
        <v>3537.1352782457802</v>
      </c>
      <c r="AK9" s="105">
        <f>+AK60+AK93+AK110+AK125</f>
        <v>3604.6344673629123</v>
      </c>
      <c r="AL9" s="49">
        <f>SUM(AH9:AK9)</f>
        <v>13912.649625091888</v>
      </c>
      <c r="AM9" s="105">
        <f>+AM60+AM93+AM110+AM125</f>
        <v>3758.8542905592026</v>
      </c>
      <c r="AN9" s="105">
        <f>+AN60+AN93+AN110+AN125</f>
        <v>3644.1200701824055</v>
      </c>
      <c r="AO9" s="105">
        <f>+AO60+AO93+AO110+AO125</f>
        <v>3844.4173902859038</v>
      </c>
      <c r="AP9" s="105">
        <f>+AP60+AP93+AP110+AP125</f>
        <v>3904.5691192148283</v>
      </c>
      <c r="AQ9" s="49">
        <f>SUM(AM9:AP9)</f>
        <v>15151.960870242339</v>
      </c>
      <c r="AR9" s="105">
        <f>+AR60+AR93+AR110+AR125</f>
        <v>3994.1557212008315</v>
      </c>
      <c r="AS9" s="105">
        <f>+AS60+AS93+AS110+AS125</f>
        <v>3871.1230550026548</v>
      </c>
      <c r="AT9" s="105">
        <f>+AT60+AT93+AT110+AT125</f>
        <v>4083.128179727702</v>
      </c>
      <c r="AU9" s="105">
        <f>+AU60+AU93+AU110+AU125</f>
        <v>4146.5718645930392</v>
      </c>
      <c r="AV9" s="49">
        <f>SUM(AR9:AU9)</f>
        <v>16094.978820524228</v>
      </c>
    </row>
    <row r="10" spans="1:48" outlineLevel="1" x14ac:dyDescent="0.3">
      <c r="B10" s="38" t="s">
        <v>32</v>
      </c>
      <c r="C10" s="18"/>
      <c r="D10" s="105">
        <v>2586.8000000000002</v>
      </c>
      <c r="E10" s="105">
        <v>2554.1</v>
      </c>
      <c r="F10" s="105">
        <v>2643.2</v>
      </c>
      <c r="G10" s="105">
        <f t="shared" si="0"/>
        <v>2709.5000000000009</v>
      </c>
      <c r="H10" s="170">
        <v>10493.6</v>
      </c>
      <c r="I10" s="105">
        <v>2821.5</v>
      </c>
      <c r="J10" s="105">
        <v>2721.4</v>
      </c>
      <c r="K10" s="105">
        <v>2537.8000000000002</v>
      </c>
      <c r="L10" s="48">
        <v>2683.4</v>
      </c>
      <c r="M10" s="49">
        <f t="shared" ref="M10:M13" si="10">SUM(I10:L10)</f>
        <v>10764.1</v>
      </c>
      <c r="N10" s="48">
        <v>2867.3</v>
      </c>
      <c r="O10" s="105">
        <v>2823.3</v>
      </c>
      <c r="P10" s="105">
        <v>2966.9</v>
      </c>
      <c r="Q10" s="105">
        <v>3273.4</v>
      </c>
      <c r="R10" s="170">
        <f t="shared" ref="R10:R13" si="11">SUM(N10:Q10)</f>
        <v>11930.9</v>
      </c>
      <c r="S10" s="48">
        <v>3400</v>
      </c>
      <c r="T10" s="48">
        <v>3314.7</v>
      </c>
      <c r="U10" s="48">
        <v>3302.5</v>
      </c>
      <c r="V10" s="48">
        <v>3544.7</v>
      </c>
      <c r="W10" s="170">
        <f t="shared" ref="W10:W13" si="12">SUM(S10:V10)</f>
        <v>13561.900000000001</v>
      </c>
      <c r="X10" s="105">
        <v>3665.3</v>
      </c>
      <c r="Y10" s="105">
        <v>3636</v>
      </c>
      <c r="Z10" s="48">
        <f>+Z62+Z95</f>
        <v>3821.5561906152252</v>
      </c>
      <c r="AA10" s="48">
        <f>+AA62+AA95</f>
        <v>3877.6416033537453</v>
      </c>
      <c r="AB10" s="49">
        <f t="shared" ref="AB10:AB13" si="13">SUM(X10:AA10)</f>
        <v>15000.497793968971</v>
      </c>
      <c r="AC10" s="48">
        <f>+AC62+AC95</f>
        <v>4069.997118349519</v>
      </c>
      <c r="AD10" s="48">
        <f>+AD62+AD95</f>
        <v>3971.8107230408295</v>
      </c>
      <c r="AE10" s="48">
        <f>+AE62+AE95</f>
        <v>4211.0501658739313</v>
      </c>
      <c r="AF10" s="48">
        <f>+AF62+AF95</f>
        <v>4333.5518627471374</v>
      </c>
      <c r="AG10" s="49">
        <f t="shared" ref="AG10:AG14" si="14">SUM(AC10:AF10)</f>
        <v>16586.409870011419</v>
      </c>
      <c r="AH10" s="48">
        <f>+AH62+AH95</f>
        <v>4529.1830958254068</v>
      </c>
      <c r="AI10" s="48">
        <f>+AI62+AI95</f>
        <v>4418.0381617930998</v>
      </c>
      <c r="AJ10" s="48">
        <f>+AJ62+AJ95</f>
        <v>4655.0505498833463</v>
      </c>
      <c r="AK10" s="48">
        <f>+AK62+AK95</f>
        <v>4832.031216563546</v>
      </c>
      <c r="AL10" s="49">
        <f t="shared" ref="AL10:AL14" si="15">SUM(AH10:AK10)</f>
        <v>18434.303024065397</v>
      </c>
      <c r="AM10" s="48">
        <f>+AM62+AM95</f>
        <v>4980.9843568004071</v>
      </c>
      <c r="AN10" s="48">
        <f>+AN62+AN95</f>
        <v>4840.9870410339472</v>
      </c>
      <c r="AO10" s="48">
        <f>+AO62+AO95</f>
        <v>5091.147420506737</v>
      </c>
      <c r="AP10" s="48">
        <f>+AP62+AP95</f>
        <v>5270.7150897277261</v>
      </c>
      <c r="AQ10" s="49">
        <f t="shared" ref="AQ10:AQ14" si="16">SUM(AM10:AP10)</f>
        <v>20183.833908068817</v>
      </c>
      <c r="AR10" s="48">
        <f>+AR62+AR95</f>
        <v>5320.99113735848</v>
      </c>
      <c r="AS10" s="48">
        <f>+AS62+AS95</f>
        <v>5168.6779072393074</v>
      </c>
      <c r="AT10" s="48">
        <f>+AT62+AT95</f>
        <v>5435.2047011638151</v>
      </c>
      <c r="AU10" s="48">
        <f>+AU62+AU95</f>
        <v>5625.4215773822825</v>
      </c>
      <c r="AV10" s="49">
        <f t="shared" ref="AV10:AV14" si="17">SUM(AR10:AU10)</f>
        <v>21550.295323143884</v>
      </c>
    </row>
    <row r="11" spans="1:48" outlineLevel="1" x14ac:dyDescent="0.3">
      <c r="B11" s="38" t="s">
        <v>33</v>
      </c>
      <c r="C11" s="18"/>
      <c r="D11" s="105">
        <v>97.6</v>
      </c>
      <c r="E11" s="105">
        <v>87.1</v>
      </c>
      <c r="F11" s="105">
        <v>94.4</v>
      </c>
      <c r="G11" s="105">
        <f t="shared" si="0"/>
        <v>91.900000000000034</v>
      </c>
      <c r="H11" s="170">
        <v>371</v>
      </c>
      <c r="I11" s="105">
        <v>101.8</v>
      </c>
      <c r="J11" s="105">
        <v>95</v>
      </c>
      <c r="K11" s="105">
        <v>133.6</v>
      </c>
      <c r="L11" s="48">
        <v>99.9</v>
      </c>
      <c r="M11" s="49">
        <f t="shared" si="10"/>
        <v>430.29999999999995</v>
      </c>
      <c r="N11" s="48">
        <v>91.8</v>
      </c>
      <c r="O11" s="105">
        <v>87.7</v>
      </c>
      <c r="P11" s="105">
        <v>71.400000000000006</v>
      </c>
      <c r="Q11" s="105">
        <v>108.6</v>
      </c>
      <c r="R11" s="170">
        <f t="shared" si="11"/>
        <v>359.5</v>
      </c>
      <c r="S11" s="48">
        <v>101.7</v>
      </c>
      <c r="T11" s="48">
        <v>101.7</v>
      </c>
      <c r="U11" s="48">
        <v>135.1</v>
      </c>
      <c r="V11" s="48">
        <v>123.1</v>
      </c>
      <c r="W11" s="170">
        <f t="shared" si="12"/>
        <v>461.6</v>
      </c>
      <c r="X11" s="105">
        <v>129.30000000000001</v>
      </c>
      <c r="Y11" s="105">
        <v>126.2</v>
      </c>
      <c r="Z11" s="48">
        <f>+Z64+Z97+Z112+Z126</f>
        <v>147.59713928506753</v>
      </c>
      <c r="AA11" s="48">
        <f>+AA64+AA97+AA112+AA126</f>
        <v>140.96603950546478</v>
      </c>
      <c r="AB11" s="49">
        <f t="shared" si="13"/>
        <v>544.06317879053233</v>
      </c>
      <c r="AC11" s="48">
        <f>+AC64+AC97+AC112+AC126</f>
        <v>152.27171848200047</v>
      </c>
      <c r="AD11" s="48">
        <f>+AD64+AD97+AD112+AD126</f>
        <v>143.81225402887284</v>
      </c>
      <c r="AE11" s="48">
        <f>+AE64+AE97+AE112+AE126</f>
        <v>152.43350995934827</v>
      </c>
      <c r="AF11" s="48">
        <f>+AF64+AF97+AF112+AF126</f>
        <v>157.776604485326</v>
      </c>
      <c r="AG11" s="49">
        <f t="shared" si="14"/>
        <v>606.29408695554753</v>
      </c>
      <c r="AH11" s="48">
        <f>+AH64+AH97+AH112+AH126</f>
        <v>166.22526806162006</v>
      </c>
      <c r="AI11" s="48">
        <f>+AI64+AI97+AI112+AI126</f>
        <v>156.20115760936642</v>
      </c>
      <c r="AJ11" s="48">
        <f>+AJ64+AJ97+AJ112+AJ126</f>
        <v>153.79446238905155</v>
      </c>
      <c r="AK11" s="48">
        <f>+AK64+AK97+AK112+AK126</f>
        <v>171.31956503907341</v>
      </c>
      <c r="AL11" s="49">
        <f t="shared" si="15"/>
        <v>647.54045309911146</v>
      </c>
      <c r="AM11" s="48">
        <f>+AM64+AM97+AM112+AM126</f>
        <v>184.1780374773823</v>
      </c>
      <c r="AN11" s="48">
        <f>+AN64+AN97+AN112+AN126</f>
        <v>171.64720279022285</v>
      </c>
      <c r="AO11" s="48">
        <f>+AO64+AO97+AO112+AO126</f>
        <v>167.8794668532864</v>
      </c>
      <c r="AP11" s="48">
        <f>+AP64+AP97+AP112+AP126</f>
        <v>186.35412763776591</v>
      </c>
      <c r="AQ11" s="49">
        <f t="shared" si="16"/>
        <v>710.05883475865755</v>
      </c>
      <c r="AR11" s="48">
        <f>+AR64+AR97+AR112+AR126</f>
        <v>196.02190485111177</v>
      </c>
      <c r="AS11" s="48">
        <f>+AS64+AS97+AS112+AS126</f>
        <v>182.57447079744233</v>
      </c>
      <c r="AT11" s="48">
        <f>+AT64+AT97+AT112+AT126</f>
        <v>178.47954681513588</v>
      </c>
      <c r="AU11" s="48">
        <f>+AU64+AU97+AU112+AU126</f>
        <v>198.30747453367371</v>
      </c>
      <c r="AV11" s="49">
        <f t="shared" si="17"/>
        <v>755.38339699736366</v>
      </c>
    </row>
    <row r="12" spans="1:48" outlineLevel="1" x14ac:dyDescent="0.3">
      <c r="B12" s="38" t="s">
        <v>34</v>
      </c>
      <c r="C12" s="18"/>
      <c r="D12" s="105">
        <v>333.4</v>
      </c>
      <c r="E12" s="105">
        <v>356.2</v>
      </c>
      <c r="F12" s="105">
        <v>343.1</v>
      </c>
      <c r="G12" s="105">
        <f t="shared" si="0"/>
        <v>344.5999999999998</v>
      </c>
      <c r="H12" s="170">
        <v>1377.3</v>
      </c>
      <c r="I12" s="105">
        <v>351</v>
      </c>
      <c r="J12" s="105">
        <v>356.3</v>
      </c>
      <c r="K12" s="105">
        <v>361</v>
      </c>
      <c r="L12" s="48">
        <v>362.9</v>
      </c>
      <c r="M12" s="49">
        <f t="shared" ref="M12" si="18">SUM(I12:L12)</f>
        <v>1431.1999999999998</v>
      </c>
      <c r="N12" s="48">
        <v>366.1</v>
      </c>
      <c r="O12" s="105">
        <v>366.7</v>
      </c>
      <c r="P12" s="105">
        <v>354.3</v>
      </c>
      <c r="Q12" s="105">
        <v>354.7</v>
      </c>
      <c r="R12" s="170">
        <f t="shared" ref="R12" si="19">SUM(N12:Q12)</f>
        <v>1441.8</v>
      </c>
      <c r="S12" s="48">
        <v>366</v>
      </c>
      <c r="T12" s="48">
        <v>367.7</v>
      </c>
      <c r="U12" s="48">
        <v>356.8</v>
      </c>
      <c r="V12" s="48">
        <v>357.4</v>
      </c>
      <c r="W12" s="170">
        <f t="shared" ref="W12" si="20">SUM(S12:V12)</f>
        <v>1447.9</v>
      </c>
      <c r="X12" s="105">
        <v>327.10000000000002</v>
      </c>
      <c r="Y12" s="105">
        <v>341.9</v>
      </c>
      <c r="Z12" s="48">
        <f t="shared" ref="Z12:AA13" si="21">+Z66+Z99+Z114+Z127</f>
        <v>358.97863142275145</v>
      </c>
      <c r="AA12" s="48">
        <f t="shared" si="21"/>
        <v>369.16766398149059</v>
      </c>
      <c r="AB12" s="49">
        <f t="shared" ref="AB12" si="22">SUM(X12:AA12)</f>
        <v>1397.1462954042422</v>
      </c>
      <c r="AC12" s="48">
        <f t="shared" ref="AC12:AF13" si="23">+AC66+AC99+AC114+AC127</f>
        <v>385.25925470918571</v>
      </c>
      <c r="AD12" s="48">
        <f t="shared" si="23"/>
        <v>402.82767680044378</v>
      </c>
      <c r="AE12" s="48">
        <f t="shared" si="23"/>
        <v>416.36575461501559</v>
      </c>
      <c r="AF12" s="48">
        <f t="shared" si="23"/>
        <v>428.27893014913781</v>
      </c>
      <c r="AG12" s="49">
        <f t="shared" si="14"/>
        <v>1632.7316162737827</v>
      </c>
      <c r="AH12" s="48">
        <f t="shared" ref="AH12:AK13" si="24">+AH66+AH99+AH114+AH127</f>
        <v>442.01460150250102</v>
      </c>
      <c r="AI12" s="48">
        <f t="shared" si="24"/>
        <v>453.58701549223656</v>
      </c>
      <c r="AJ12" s="48">
        <f t="shared" si="24"/>
        <v>463.16936571494978</v>
      </c>
      <c r="AK12" s="48">
        <f t="shared" si="24"/>
        <v>474.22618890876424</v>
      </c>
      <c r="AL12" s="49">
        <f t="shared" si="15"/>
        <v>1832.9971716184516</v>
      </c>
      <c r="AM12" s="48">
        <f t="shared" ref="AM12:AP13" si="25">+AM66+AM99+AM114+AM127</f>
        <v>485.63596372391027</v>
      </c>
      <c r="AN12" s="48">
        <f t="shared" si="25"/>
        <v>497.58261862815294</v>
      </c>
      <c r="AO12" s="48">
        <f t="shared" si="25"/>
        <v>507.98874095166394</v>
      </c>
      <c r="AP12" s="48">
        <f t="shared" si="25"/>
        <v>520.23641535035017</v>
      </c>
      <c r="AQ12" s="49">
        <f t="shared" si="16"/>
        <v>2011.4437386540774</v>
      </c>
      <c r="AR12" s="48">
        <f t="shared" ref="AR12:AU13" si="26">+AR66+AR99+AR114+AR127</f>
        <v>532.28976482099665</v>
      </c>
      <c r="AS12" s="48">
        <f t="shared" si="26"/>
        <v>544.03496872700293</v>
      </c>
      <c r="AT12" s="48">
        <f t="shared" si="26"/>
        <v>554.3523958723456</v>
      </c>
      <c r="AU12" s="48">
        <f t="shared" si="26"/>
        <v>566.67708868090415</v>
      </c>
      <c r="AV12" s="49">
        <f t="shared" si="17"/>
        <v>2197.3542181012494</v>
      </c>
    </row>
    <row r="13" spans="1:48" ht="17.25" customHeight="1" outlineLevel="1" x14ac:dyDescent="0.3">
      <c r="B13" s="38" t="s">
        <v>83</v>
      </c>
      <c r="C13" s="18"/>
      <c r="D13" s="105">
        <v>448</v>
      </c>
      <c r="E13" s="105">
        <v>458.1</v>
      </c>
      <c r="F13" s="105">
        <v>459.7</v>
      </c>
      <c r="G13" s="105">
        <f t="shared" si="0"/>
        <v>458.29999999999984</v>
      </c>
      <c r="H13" s="170">
        <v>1824.1</v>
      </c>
      <c r="I13" s="105">
        <v>434.2</v>
      </c>
      <c r="J13" s="105">
        <v>406.5</v>
      </c>
      <c r="K13" s="105">
        <v>399.9</v>
      </c>
      <c r="L13" s="48">
        <v>439</v>
      </c>
      <c r="M13" s="170">
        <f t="shared" si="10"/>
        <v>1679.6</v>
      </c>
      <c r="N13" s="48">
        <v>472.1</v>
      </c>
      <c r="O13" s="105">
        <v>464.4</v>
      </c>
      <c r="P13" s="105">
        <v>494.9</v>
      </c>
      <c r="Q13" s="105">
        <v>501.2</v>
      </c>
      <c r="R13" s="170">
        <f t="shared" si="11"/>
        <v>1932.6000000000001</v>
      </c>
      <c r="S13" s="48">
        <v>525.79999999999995</v>
      </c>
      <c r="T13" s="48">
        <v>481.5</v>
      </c>
      <c r="U13" s="48">
        <v>486.7</v>
      </c>
      <c r="V13" s="48">
        <v>538</v>
      </c>
      <c r="W13" s="170">
        <f t="shared" si="12"/>
        <v>2032</v>
      </c>
      <c r="X13" s="105">
        <v>580.9</v>
      </c>
      <c r="Y13" s="105">
        <v>620.4</v>
      </c>
      <c r="Z13" s="48">
        <f t="shared" si="21"/>
        <v>582.44378916888968</v>
      </c>
      <c r="AA13" s="48">
        <f t="shared" si="21"/>
        <v>528.96585613603725</v>
      </c>
      <c r="AB13" s="49">
        <f t="shared" si="13"/>
        <v>2312.7096453049271</v>
      </c>
      <c r="AC13" s="48">
        <f t="shared" si="23"/>
        <v>591.77650245770315</v>
      </c>
      <c r="AD13" s="48">
        <f t="shared" si="23"/>
        <v>622.65828821269338</v>
      </c>
      <c r="AE13" s="48">
        <f t="shared" si="23"/>
        <v>615.84764456831203</v>
      </c>
      <c r="AF13" s="48">
        <f t="shared" si="23"/>
        <v>547.3145884514314</v>
      </c>
      <c r="AG13" s="49">
        <f t="shared" si="14"/>
        <v>2377.5970236901398</v>
      </c>
      <c r="AH13" s="48">
        <f t="shared" si="24"/>
        <v>602.1584270687423</v>
      </c>
      <c r="AI13" s="48">
        <f t="shared" si="24"/>
        <v>634.2098492126961</v>
      </c>
      <c r="AJ13" s="48">
        <f t="shared" si="24"/>
        <v>634.65549888362659</v>
      </c>
      <c r="AK13" s="48">
        <f t="shared" si="24"/>
        <v>555.84621346716847</v>
      </c>
      <c r="AL13" s="49">
        <f t="shared" si="15"/>
        <v>2426.8699886322333</v>
      </c>
      <c r="AM13" s="48">
        <f t="shared" si="25"/>
        <v>625.37953292146597</v>
      </c>
      <c r="AN13" s="48">
        <f t="shared" si="25"/>
        <v>658.99966343303208</v>
      </c>
      <c r="AO13" s="48">
        <f t="shared" si="25"/>
        <v>658.99309364618068</v>
      </c>
      <c r="AP13" s="48">
        <f t="shared" si="25"/>
        <v>571.06590333372048</v>
      </c>
      <c r="AQ13" s="49">
        <f t="shared" si="16"/>
        <v>2514.4381933343993</v>
      </c>
      <c r="AR13" s="48">
        <f t="shared" si="26"/>
        <v>640.41189831192605</v>
      </c>
      <c r="AS13" s="48">
        <f t="shared" si="26"/>
        <v>676.3073396709683</v>
      </c>
      <c r="AT13" s="48">
        <f t="shared" si="26"/>
        <v>676.37399547548694</v>
      </c>
      <c r="AU13" s="48">
        <f t="shared" si="26"/>
        <v>582.89267877346697</v>
      </c>
      <c r="AV13" s="49">
        <f t="shared" si="17"/>
        <v>2575.9859122318485</v>
      </c>
    </row>
    <row r="14" spans="1:48" ht="17.25" customHeight="1" outlineLevel="1" x14ac:dyDescent="0.45">
      <c r="B14" s="38" t="s">
        <v>456</v>
      </c>
      <c r="C14" s="18"/>
      <c r="D14" s="104">
        <v>43.2</v>
      </c>
      <c r="E14" s="104">
        <v>43</v>
      </c>
      <c r="F14" s="104">
        <v>37.700000000000003</v>
      </c>
      <c r="G14" s="104">
        <f t="shared" si="0"/>
        <v>11.900000000000006</v>
      </c>
      <c r="H14" s="173">
        <v>135.80000000000001</v>
      </c>
      <c r="I14" s="104">
        <v>6.3</v>
      </c>
      <c r="J14" s="104">
        <v>-0.7</v>
      </c>
      <c r="K14" s="104">
        <v>78.099999999999994</v>
      </c>
      <c r="L14" s="104">
        <v>195</v>
      </c>
      <c r="M14" s="53">
        <f t="shared" ref="M14" si="27">SUM(I14:L14)</f>
        <v>278.7</v>
      </c>
      <c r="N14" s="52">
        <v>72.2</v>
      </c>
      <c r="O14" s="104">
        <v>23</v>
      </c>
      <c r="P14" s="104">
        <v>19.8</v>
      </c>
      <c r="Q14" s="104">
        <v>55.5</v>
      </c>
      <c r="R14" s="173">
        <f t="shared" ref="R14" si="28">SUM(N14:Q14)</f>
        <v>170.5</v>
      </c>
      <c r="S14" s="52">
        <v>-7.5</v>
      </c>
      <c r="T14" s="52">
        <v>4.4000000000000004</v>
      </c>
      <c r="U14" s="52">
        <v>14</v>
      </c>
      <c r="V14" s="52">
        <v>35.1</v>
      </c>
      <c r="W14" s="173">
        <f t="shared" ref="W14" si="29">SUM(S14:V14)</f>
        <v>46</v>
      </c>
      <c r="X14" s="104">
        <v>5.8</v>
      </c>
      <c r="Y14" s="104">
        <f>8.8-91.3</f>
        <v>-82.5</v>
      </c>
      <c r="Z14" s="52">
        <f>+Z69+Z102+Z117+Z129</f>
        <v>7</v>
      </c>
      <c r="AA14" s="52">
        <f>+AA69+AA102+AA117+AA129</f>
        <v>7</v>
      </c>
      <c r="AB14" s="53">
        <f t="shared" ref="AB14" si="30">SUM(X14:AA14)</f>
        <v>-62.7</v>
      </c>
      <c r="AC14" s="52">
        <f>+AC69+AC102+AC117+AC129</f>
        <v>7</v>
      </c>
      <c r="AD14" s="52">
        <f>+AD69+AD102+AD117+AD129</f>
        <v>7</v>
      </c>
      <c r="AE14" s="52">
        <f>+AE69+AE102+AE117+AE129</f>
        <v>7</v>
      </c>
      <c r="AF14" s="52">
        <f>+AF69+AF102+AF117+AF129</f>
        <v>7</v>
      </c>
      <c r="AG14" s="53">
        <f t="shared" si="14"/>
        <v>28</v>
      </c>
      <c r="AH14" s="52">
        <f>+AH69+AH102+AH117+AH129</f>
        <v>7</v>
      </c>
      <c r="AI14" s="52">
        <f>+AI69+AI102+AI117+AI129</f>
        <v>7</v>
      </c>
      <c r="AJ14" s="52">
        <f>+AJ69+AJ102+AJ117+AJ129</f>
        <v>7</v>
      </c>
      <c r="AK14" s="52">
        <f>+AK69+AK102+AK117+AK129</f>
        <v>7</v>
      </c>
      <c r="AL14" s="53">
        <f t="shared" si="15"/>
        <v>28</v>
      </c>
      <c r="AM14" s="52">
        <f>+AM69+AM102+AM117+AM129</f>
        <v>7</v>
      </c>
      <c r="AN14" s="52">
        <f>+AN69+AN102+AN117+AN129</f>
        <v>7</v>
      </c>
      <c r="AO14" s="52">
        <f>+AO69+AO102+AO117+AO129</f>
        <v>7</v>
      </c>
      <c r="AP14" s="52">
        <f>+AP69+AP102+AP117+AP129</f>
        <v>7</v>
      </c>
      <c r="AQ14" s="53">
        <f t="shared" si="16"/>
        <v>28</v>
      </c>
      <c r="AR14" s="52">
        <f>+AR69+AR102+AR117+AR129</f>
        <v>7</v>
      </c>
      <c r="AS14" s="52">
        <f>+AS69+AS102+AS117+AS129</f>
        <v>7</v>
      </c>
      <c r="AT14" s="52">
        <f>+AT69+AT102+AT117+AT129</f>
        <v>7</v>
      </c>
      <c r="AU14" s="52">
        <f>+AU69+AU102+AU117+AU129</f>
        <v>7</v>
      </c>
      <c r="AV14" s="53">
        <f t="shared" si="17"/>
        <v>28</v>
      </c>
    </row>
    <row r="15" spans="1:48" s="20" customFormat="1" ht="17.25" customHeight="1" x14ac:dyDescent="0.45">
      <c r="B15" s="46" t="s">
        <v>8</v>
      </c>
      <c r="C15" s="19"/>
      <c r="D15" s="106">
        <f t="shared" ref="D15:AL15" si="31">SUM(D10:D14)+D9</f>
        <v>5684.8</v>
      </c>
      <c r="E15" s="106">
        <f t="shared" si="31"/>
        <v>5510.5</v>
      </c>
      <c r="F15" s="106">
        <f t="shared" si="31"/>
        <v>5777.6999999999989</v>
      </c>
      <c r="G15" s="106">
        <f t="shared" si="31"/>
        <v>5755.7</v>
      </c>
      <c r="H15" s="175">
        <f t="shared" si="31"/>
        <v>22728.699999999997</v>
      </c>
      <c r="I15" s="106">
        <f t="shared" si="31"/>
        <v>5951.2000000000007</v>
      </c>
      <c r="J15" s="106">
        <f t="shared" si="31"/>
        <v>5576.2000000000007</v>
      </c>
      <c r="K15" s="106">
        <f t="shared" si="31"/>
        <v>4994.3999999999996</v>
      </c>
      <c r="L15" s="54">
        <f t="shared" si="31"/>
        <v>5757</v>
      </c>
      <c r="M15" s="55">
        <f t="shared" si="31"/>
        <v>22278.799999999999</v>
      </c>
      <c r="N15" s="54">
        <f t="shared" si="31"/>
        <v>5918.6</v>
      </c>
      <c r="O15" s="106">
        <f t="shared" si="31"/>
        <v>5757.5</v>
      </c>
      <c r="P15" s="106">
        <f>SUM(P10:P14)+P9</f>
        <v>6113.3000000000011</v>
      </c>
      <c r="Q15" s="106">
        <f>SUM(Q10:Q14)+Q9</f>
        <v>6784.5</v>
      </c>
      <c r="R15" s="175">
        <f t="shared" si="31"/>
        <v>24573.9</v>
      </c>
      <c r="S15" s="54">
        <f t="shared" si="31"/>
        <v>6912.9</v>
      </c>
      <c r="T15" s="54">
        <f t="shared" si="31"/>
        <v>6735.7999999999993</v>
      </c>
      <c r="U15" s="54">
        <f t="shared" si="31"/>
        <v>6908.7000000000007</v>
      </c>
      <c r="V15" s="54">
        <f t="shared" si="31"/>
        <v>7309.3</v>
      </c>
      <c r="W15" s="175">
        <f t="shared" si="31"/>
        <v>27866.700000000004</v>
      </c>
      <c r="X15" s="106">
        <f>SUM(X10:X14)+X9</f>
        <v>7518.6</v>
      </c>
      <c r="Y15" s="106">
        <f>SUM(Y10:Y14)+Y9</f>
        <v>7443.6999999999989</v>
      </c>
      <c r="Z15" s="54">
        <f t="shared" si="31"/>
        <v>7870.2866592513346</v>
      </c>
      <c r="AA15" s="54">
        <f>SUM(AA10:AA14)+AA9</f>
        <v>7823.0422978909501</v>
      </c>
      <c r="AB15" s="55">
        <f>SUM(AB10:AB14)+AB9</f>
        <v>30655.628957142286</v>
      </c>
      <c r="AC15" s="54">
        <f t="shared" si="31"/>
        <v>8309.1350773856448</v>
      </c>
      <c r="AD15" s="54">
        <f t="shared" si="31"/>
        <v>8169.3288188740353</v>
      </c>
      <c r="AE15" s="54">
        <f t="shared" si="31"/>
        <v>8628.1070689476655</v>
      </c>
      <c r="AF15" s="54">
        <f t="shared" si="31"/>
        <v>8730.9417355495134</v>
      </c>
      <c r="AG15" s="55">
        <f t="shared" si="31"/>
        <v>33837.512700756866</v>
      </c>
      <c r="AH15" s="54">
        <f t="shared" si="31"/>
        <v>9177.3321298481715</v>
      </c>
      <c r="AI15" s="54">
        <f t="shared" si="31"/>
        <v>9009.1653262006948</v>
      </c>
      <c r="AJ15" s="54">
        <f t="shared" si="31"/>
        <v>9450.8051551167555</v>
      </c>
      <c r="AK15" s="54">
        <f t="shared" si="31"/>
        <v>9645.0576513414635</v>
      </c>
      <c r="AL15" s="55">
        <f t="shared" si="31"/>
        <v>37282.360262507078</v>
      </c>
      <c r="AM15" s="54">
        <f t="shared" ref="AM15:AQ15" si="32">SUM(AM10:AM14)+AM9</f>
        <v>10042.032181482369</v>
      </c>
      <c r="AN15" s="54">
        <f t="shared" si="32"/>
        <v>9820.3365960677602</v>
      </c>
      <c r="AO15" s="54">
        <f t="shared" si="32"/>
        <v>10277.426112243771</v>
      </c>
      <c r="AP15" s="54">
        <f t="shared" si="32"/>
        <v>10459.94065526439</v>
      </c>
      <c r="AQ15" s="55">
        <f t="shared" si="32"/>
        <v>40599.735545058284</v>
      </c>
      <c r="AR15" s="54">
        <f t="shared" ref="AR15:AV15" si="33">SUM(AR10:AR14)+AR9</f>
        <v>10690.870426543346</v>
      </c>
      <c r="AS15" s="54">
        <f t="shared" si="33"/>
        <v>10449.717741437376</v>
      </c>
      <c r="AT15" s="54">
        <f t="shared" si="33"/>
        <v>10934.538819054485</v>
      </c>
      <c r="AU15" s="54">
        <f t="shared" si="33"/>
        <v>11126.870683963367</v>
      </c>
      <c r="AV15" s="55">
        <f t="shared" si="33"/>
        <v>43201.997670998571</v>
      </c>
    </row>
    <row r="16" spans="1:48" s="23" customFormat="1" ht="17.25" customHeight="1" x14ac:dyDescent="0.45">
      <c r="B16" s="591" t="s">
        <v>36</v>
      </c>
      <c r="C16" s="592"/>
      <c r="D16" s="104">
        <v>67.8</v>
      </c>
      <c r="E16" s="104">
        <v>62.3</v>
      </c>
      <c r="F16" s="104">
        <v>76</v>
      </c>
      <c r="G16" s="104">
        <f t="shared" si="0"/>
        <v>91.899999999999991</v>
      </c>
      <c r="H16" s="173">
        <v>298</v>
      </c>
      <c r="I16" s="104">
        <v>73.900000000000006</v>
      </c>
      <c r="J16" s="104">
        <v>67.900000000000006</v>
      </c>
      <c r="K16" s="104">
        <v>68.400000000000006</v>
      </c>
      <c r="L16" s="52">
        <v>112.2</v>
      </c>
      <c r="M16" s="53">
        <f t="shared" ref="M16" si="34">SUM(I16:L16)</f>
        <v>322.40000000000003</v>
      </c>
      <c r="N16" s="52">
        <v>82.7</v>
      </c>
      <c r="O16" s="104">
        <v>77.099999999999994</v>
      </c>
      <c r="P16" s="104">
        <v>105.5</v>
      </c>
      <c r="Q16" s="104">
        <v>120</v>
      </c>
      <c r="R16" s="173">
        <f t="shared" ref="R16" si="35">SUM(N16:Q16)</f>
        <v>385.3</v>
      </c>
      <c r="S16" s="52">
        <v>40.299999999999997</v>
      </c>
      <c r="T16" s="52">
        <v>49.1</v>
      </c>
      <c r="U16" s="52">
        <v>54.1</v>
      </c>
      <c r="V16" s="52">
        <v>90.6</v>
      </c>
      <c r="W16" s="173">
        <f t="shared" ref="W16" si="36">SUM(S16:V16)</f>
        <v>234.1</v>
      </c>
      <c r="X16" s="104">
        <v>57.8</v>
      </c>
      <c r="Y16" s="104">
        <v>51.4</v>
      </c>
      <c r="Z16" s="52">
        <f>+Z104+Z119</f>
        <v>51.2</v>
      </c>
      <c r="AA16" s="52">
        <f>+AA104+AA119</f>
        <v>51.300000000000004</v>
      </c>
      <c r="AB16" s="53">
        <f t="shared" ref="AB16" si="37">SUM(X16:AA16)</f>
        <v>211.7</v>
      </c>
      <c r="AC16" s="52">
        <f>+AC104+AC119</f>
        <v>51.6</v>
      </c>
      <c r="AD16" s="52">
        <f>+AD104+AD119</f>
        <v>51.6</v>
      </c>
      <c r="AE16" s="52">
        <f>+AE104+AE119</f>
        <v>51.6</v>
      </c>
      <c r="AF16" s="52">
        <f>+AF104+AF119</f>
        <v>51.6</v>
      </c>
      <c r="AG16" s="53">
        <f t="shared" ref="AG16" si="38">SUM(AC16:AF16)</f>
        <v>206.4</v>
      </c>
      <c r="AH16" s="52">
        <f>+AH104+AH119</f>
        <v>51.6</v>
      </c>
      <c r="AI16" s="52">
        <f>+AI104+AI119</f>
        <v>51.6</v>
      </c>
      <c r="AJ16" s="52">
        <f>+AJ104+AJ119</f>
        <v>51.6</v>
      </c>
      <c r="AK16" s="52">
        <f>+AK104+AK119</f>
        <v>51.6</v>
      </c>
      <c r="AL16" s="53">
        <f t="shared" ref="AL16" si="39">SUM(AH16:AK16)</f>
        <v>206.4</v>
      </c>
      <c r="AM16" s="52">
        <f>+AM104+AM119</f>
        <v>51.6</v>
      </c>
      <c r="AN16" s="52">
        <f>+AN104+AN119</f>
        <v>51.6</v>
      </c>
      <c r="AO16" s="52">
        <f>+AO104+AO119</f>
        <v>51.6</v>
      </c>
      <c r="AP16" s="52">
        <f>+AP104+AP119</f>
        <v>51.6</v>
      </c>
      <c r="AQ16" s="53">
        <f t="shared" ref="AQ16" si="40">SUM(AM16:AP16)</f>
        <v>206.4</v>
      </c>
      <c r="AR16" s="52">
        <f>+AR104+AR119</f>
        <v>51.6</v>
      </c>
      <c r="AS16" s="52">
        <f>+AS104+AS119</f>
        <v>51.6</v>
      </c>
      <c r="AT16" s="52">
        <f>+AT104+AT119</f>
        <v>51.6</v>
      </c>
      <c r="AU16" s="52">
        <f>+AU104+AU119</f>
        <v>51.6</v>
      </c>
      <c r="AV16" s="53">
        <f t="shared" ref="AV16" si="41">SUM(AR16:AU16)</f>
        <v>206.4</v>
      </c>
    </row>
    <row r="17" spans="1:48" x14ac:dyDescent="0.3">
      <c r="B17" s="135" t="s">
        <v>10</v>
      </c>
      <c r="C17" s="136"/>
      <c r="D17" s="103">
        <f t="shared" ref="D17:AV17" si="42">D8-D15+D16</f>
        <v>1015.7000000000005</v>
      </c>
      <c r="E17" s="103">
        <f t="shared" si="42"/>
        <v>857.69999999999959</v>
      </c>
      <c r="F17" s="103">
        <f t="shared" si="42"/>
        <v>1121.3000000000011</v>
      </c>
      <c r="G17" s="103">
        <f t="shared" si="42"/>
        <v>1083.2000000000012</v>
      </c>
      <c r="H17" s="171">
        <f t="shared" si="42"/>
        <v>4077.9000000000051</v>
      </c>
      <c r="I17" s="103">
        <f t="shared" si="42"/>
        <v>1219.7999999999988</v>
      </c>
      <c r="J17" s="103">
        <f t="shared" si="42"/>
        <v>487.39999999999907</v>
      </c>
      <c r="K17" s="103">
        <f t="shared" si="42"/>
        <v>-703.8999999999993</v>
      </c>
      <c r="L17" s="50">
        <f t="shared" si="42"/>
        <v>558.30000000000041</v>
      </c>
      <c r="M17" s="51">
        <f t="shared" si="42"/>
        <v>1561.6000000000045</v>
      </c>
      <c r="N17" s="50">
        <f t="shared" si="42"/>
        <v>913.50000000000023</v>
      </c>
      <c r="O17" s="103">
        <f t="shared" si="42"/>
        <v>987.6</v>
      </c>
      <c r="P17" s="103">
        <f>P8-P15+P16</f>
        <v>1488.6999999999989</v>
      </c>
      <c r="Q17" s="103">
        <f>Q8-Q15+Q16</f>
        <v>1482.1999999999998</v>
      </c>
      <c r="R17" s="171">
        <f t="shared" si="42"/>
        <v>4871.9999999999973</v>
      </c>
      <c r="S17" s="50">
        <f t="shared" si="42"/>
        <v>1177.8</v>
      </c>
      <c r="T17" s="50">
        <f t="shared" si="42"/>
        <v>948.9000000000002</v>
      </c>
      <c r="U17" s="50">
        <f t="shared" si="42"/>
        <v>1295.4999999999995</v>
      </c>
      <c r="V17" s="50">
        <f t="shared" si="42"/>
        <v>1195.4999999999986</v>
      </c>
      <c r="W17" s="171">
        <f t="shared" si="42"/>
        <v>4617.6999999999953</v>
      </c>
      <c r="X17" s="103">
        <f t="shared" si="42"/>
        <v>1253.0999999999992</v>
      </c>
      <c r="Y17" s="103">
        <f>Y8-Y15+Y16</f>
        <v>1327.5000000000005</v>
      </c>
      <c r="Z17" s="50">
        <f t="shared" si="42"/>
        <v>1488.4863776059149</v>
      </c>
      <c r="AA17" s="50">
        <f t="shared" si="42"/>
        <v>1639.5154972319749</v>
      </c>
      <c r="AB17" s="51">
        <f>AB8-AB15+AB16</f>
        <v>5708.601874837891</v>
      </c>
      <c r="AC17" s="50">
        <f t="shared" si="42"/>
        <v>1505.0561673074039</v>
      </c>
      <c r="AD17" s="50">
        <f t="shared" si="42"/>
        <v>1492.4587977059959</v>
      </c>
      <c r="AE17" s="50">
        <f t="shared" si="42"/>
        <v>1680.9484367534637</v>
      </c>
      <c r="AF17" s="50">
        <f t="shared" si="42"/>
        <v>1689.5713268709201</v>
      </c>
      <c r="AG17" s="51">
        <f t="shared" si="42"/>
        <v>6368.034728637771</v>
      </c>
      <c r="AH17" s="50">
        <f t="shared" si="42"/>
        <v>1742.3377706735205</v>
      </c>
      <c r="AI17" s="50">
        <f t="shared" si="42"/>
        <v>1747.7747080335407</v>
      </c>
      <c r="AJ17" s="50">
        <f t="shared" si="42"/>
        <v>2034.5102108696969</v>
      </c>
      <c r="AK17" s="50">
        <f t="shared" si="42"/>
        <v>1986.5051662698638</v>
      </c>
      <c r="AL17" s="51">
        <f t="shared" si="42"/>
        <v>7511.1278558466202</v>
      </c>
      <c r="AM17" s="50">
        <f t="shared" si="42"/>
        <v>1942.1068462350227</v>
      </c>
      <c r="AN17" s="50">
        <f t="shared" si="42"/>
        <v>1942.3932069477537</v>
      </c>
      <c r="AO17" s="50">
        <f t="shared" si="42"/>
        <v>2238.8784052817477</v>
      </c>
      <c r="AP17" s="50">
        <f t="shared" si="42"/>
        <v>2174.5663505143089</v>
      </c>
      <c r="AQ17" s="51">
        <f t="shared" si="42"/>
        <v>8297.9448089788402</v>
      </c>
      <c r="AR17" s="50">
        <f t="shared" si="42"/>
        <v>2057.521900709356</v>
      </c>
      <c r="AS17" s="50">
        <f t="shared" si="42"/>
        <v>2060.9099781918535</v>
      </c>
      <c r="AT17" s="50">
        <f t="shared" si="42"/>
        <v>2376.2070704587018</v>
      </c>
      <c r="AU17" s="50">
        <f t="shared" si="42"/>
        <v>2309.0724698193458</v>
      </c>
      <c r="AV17" s="51">
        <f t="shared" si="42"/>
        <v>8803.7114191792625</v>
      </c>
    </row>
    <row r="18" spans="1:48" ht="16.2" x14ac:dyDescent="0.45">
      <c r="B18" s="123" t="s">
        <v>70</v>
      </c>
      <c r="C18" s="88"/>
      <c r="D18" s="107">
        <f>+D170</f>
        <v>138</v>
      </c>
      <c r="E18" s="107">
        <f>+E170</f>
        <v>141.4</v>
      </c>
      <c r="F18" s="107">
        <f>+F170</f>
        <v>125.30000000000001</v>
      </c>
      <c r="G18" s="107">
        <f>+G170</f>
        <v>77.399999999999991</v>
      </c>
      <c r="H18" s="176">
        <f>SUM(D18:G18)</f>
        <v>482.09999999999997</v>
      </c>
      <c r="I18" s="107">
        <f>+I170</f>
        <v>71.599999999999994</v>
      </c>
      <c r="J18" s="107">
        <f>+J170</f>
        <v>66.8</v>
      </c>
      <c r="K18" s="107">
        <f>+K170</f>
        <v>173.67999999999998</v>
      </c>
      <c r="L18" s="89">
        <f>+L170</f>
        <v>259.5</v>
      </c>
      <c r="M18" s="90">
        <f>SUM(I18:L18)</f>
        <v>571.57999999999993</v>
      </c>
      <c r="N18" s="107">
        <f>+N170</f>
        <v>134.9</v>
      </c>
      <c r="O18" s="107">
        <f>+O170</f>
        <v>88.2</v>
      </c>
      <c r="P18" s="107">
        <f>+P170</f>
        <v>51.7</v>
      </c>
      <c r="Q18" s="107">
        <f>+Q170</f>
        <v>115.2</v>
      </c>
      <c r="R18" s="176">
        <f>SUM(N18:Q18)</f>
        <v>390</v>
      </c>
      <c r="S18" s="89">
        <f>+S170</f>
        <v>35.199999999999996</v>
      </c>
      <c r="T18" s="89">
        <f>+T170</f>
        <v>47.5</v>
      </c>
      <c r="U18" s="89">
        <f>+U170</f>
        <v>77.5</v>
      </c>
      <c r="V18" s="89">
        <f>+V170</f>
        <v>77.099999999999994</v>
      </c>
      <c r="W18" s="176">
        <f>SUM(S18:V18)</f>
        <v>237.29999999999998</v>
      </c>
      <c r="X18" s="107">
        <f>+X170</f>
        <v>6.1</v>
      </c>
      <c r="Y18" s="107">
        <f>+Y170</f>
        <v>-82.399999999999991</v>
      </c>
      <c r="Z18" s="89">
        <f>+Z170</f>
        <v>7.1</v>
      </c>
      <c r="AA18" s="89">
        <f>+AA170</f>
        <v>7.1</v>
      </c>
      <c r="AB18" s="90">
        <f>SUM(X18:AA18)</f>
        <v>-62.1</v>
      </c>
      <c r="AC18" s="89">
        <f t="shared" ref="AC18:AF18" si="43">+AC170</f>
        <v>7.1</v>
      </c>
      <c r="AD18" s="89">
        <f t="shared" si="43"/>
        <v>7.1</v>
      </c>
      <c r="AE18" s="89">
        <f t="shared" si="43"/>
        <v>7.1</v>
      </c>
      <c r="AF18" s="89">
        <f t="shared" si="43"/>
        <v>7.1</v>
      </c>
      <c r="AG18" s="90">
        <f>SUM(AC18:AF18)</f>
        <v>28.4</v>
      </c>
      <c r="AH18" s="89">
        <f t="shared" ref="AH18:AK18" si="44">+AH170</f>
        <v>7.1</v>
      </c>
      <c r="AI18" s="89">
        <f t="shared" si="44"/>
        <v>7.1</v>
      </c>
      <c r="AJ18" s="89">
        <f t="shared" si="44"/>
        <v>7.1</v>
      </c>
      <c r="AK18" s="89">
        <f t="shared" si="44"/>
        <v>7.1</v>
      </c>
      <c r="AL18" s="90">
        <f>SUM(AH18:AK18)</f>
        <v>28.4</v>
      </c>
      <c r="AM18" s="89">
        <f t="shared" ref="AM18:AP18" si="45">+AM170</f>
        <v>7.1</v>
      </c>
      <c r="AN18" s="89">
        <f t="shared" si="45"/>
        <v>7.1</v>
      </c>
      <c r="AO18" s="89">
        <f t="shared" si="45"/>
        <v>7.1</v>
      </c>
      <c r="AP18" s="89">
        <f t="shared" si="45"/>
        <v>7.1</v>
      </c>
      <c r="AQ18" s="90">
        <f>SUM(AM18:AP18)</f>
        <v>28.4</v>
      </c>
      <c r="AR18" s="89">
        <f t="shared" ref="AR18:AU18" si="46">+AR170</f>
        <v>7.1</v>
      </c>
      <c r="AS18" s="89">
        <f t="shared" si="46"/>
        <v>7.1</v>
      </c>
      <c r="AT18" s="89">
        <f t="shared" si="46"/>
        <v>7.1</v>
      </c>
      <c r="AU18" s="89">
        <f t="shared" si="46"/>
        <v>7.1</v>
      </c>
      <c r="AV18" s="90">
        <f>SUM(AR18:AU18)</f>
        <v>28.4</v>
      </c>
    </row>
    <row r="19" spans="1:48" x14ac:dyDescent="0.3">
      <c r="B19" s="124" t="s">
        <v>71</v>
      </c>
      <c r="C19" s="79"/>
      <c r="D19" s="108">
        <f t="shared" ref="D19:AV19" si="47">+D17+D18</f>
        <v>1153.7000000000005</v>
      </c>
      <c r="E19" s="108">
        <f t="shared" si="47"/>
        <v>999.09999999999957</v>
      </c>
      <c r="F19" s="108">
        <f t="shared" si="47"/>
        <v>1246.600000000001</v>
      </c>
      <c r="G19" s="108">
        <f t="shared" si="47"/>
        <v>1160.6000000000013</v>
      </c>
      <c r="H19" s="177">
        <f t="shared" si="47"/>
        <v>4560.0000000000055</v>
      </c>
      <c r="I19" s="108">
        <f t="shared" si="47"/>
        <v>1291.3999999999987</v>
      </c>
      <c r="J19" s="108">
        <f t="shared" si="47"/>
        <v>554.19999999999902</v>
      </c>
      <c r="K19" s="108">
        <f t="shared" si="47"/>
        <v>-530.21999999999935</v>
      </c>
      <c r="L19" s="80">
        <f t="shared" si="47"/>
        <v>817.80000000000041</v>
      </c>
      <c r="M19" s="81">
        <f t="shared" si="47"/>
        <v>2133.1800000000044</v>
      </c>
      <c r="N19" s="108">
        <f t="shared" si="47"/>
        <v>1048.4000000000003</v>
      </c>
      <c r="O19" s="108">
        <f t="shared" si="47"/>
        <v>1075.8</v>
      </c>
      <c r="P19" s="108">
        <f t="shared" si="47"/>
        <v>1540.399999999999</v>
      </c>
      <c r="Q19" s="108">
        <f t="shared" si="47"/>
        <v>1597.3999999999999</v>
      </c>
      <c r="R19" s="177">
        <f t="shared" si="47"/>
        <v>5261.9999999999973</v>
      </c>
      <c r="S19" s="80">
        <f t="shared" si="47"/>
        <v>1213</v>
      </c>
      <c r="T19" s="80">
        <f t="shared" si="47"/>
        <v>996.4000000000002</v>
      </c>
      <c r="U19" s="80">
        <f t="shared" si="47"/>
        <v>1372.9999999999995</v>
      </c>
      <c r="V19" s="80">
        <f t="shared" si="47"/>
        <v>1272.5999999999985</v>
      </c>
      <c r="W19" s="177">
        <f t="shared" si="47"/>
        <v>4854.9999999999955</v>
      </c>
      <c r="X19" s="108">
        <f t="shared" si="47"/>
        <v>1259.1999999999991</v>
      </c>
      <c r="Y19" s="108">
        <f t="shared" si="47"/>
        <v>1245.1000000000004</v>
      </c>
      <c r="Z19" s="80">
        <f t="shared" si="47"/>
        <v>1495.5863776059148</v>
      </c>
      <c r="AA19" s="80">
        <f t="shared" si="47"/>
        <v>1646.6154972319748</v>
      </c>
      <c r="AB19" s="81">
        <f>+AB17+AB18</f>
        <v>5646.5018748378907</v>
      </c>
      <c r="AC19" s="80">
        <f t="shared" si="47"/>
        <v>1512.1561673074038</v>
      </c>
      <c r="AD19" s="80">
        <f t="shared" si="47"/>
        <v>1499.5587977059959</v>
      </c>
      <c r="AE19" s="80">
        <f t="shared" si="47"/>
        <v>1688.0484367534636</v>
      </c>
      <c r="AF19" s="80">
        <f t="shared" si="47"/>
        <v>1696.67132687092</v>
      </c>
      <c r="AG19" s="81">
        <f t="shared" si="47"/>
        <v>6396.4347286377706</v>
      </c>
      <c r="AH19" s="80">
        <f t="shared" si="47"/>
        <v>1749.4377706735204</v>
      </c>
      <c r="AI19" s="80">
        <f t="shared" si="47"/>
        <v>1754.8747080335406</v>
      </c>
      <c r="AJ19" s="80">
        <f t="shared" si="47"/>
        <v>2041.6102108696969</v>
      </c>
      <c r="AK19" s="80">
        <f t="shared" si="47"/>
        <v>1993.6051662698637</v>
      </c>
      <c r="AL19" s="81">
        <f t="shared" si="47"/>
        <v>7539.5278558466198</v>
      </c>
      <c r="AM19" s="80">
        <f t="shared" si="47"/>
        <v>1949.2068462350226</v>
      </c>
      <c r="AN19" s="80">
        <f t="shared" si="47"/>
        <v>1949.4932069477536</v>
      </c>
      <c r="AO19" s="80">
        <f t="shared" si="47"/>
        <v>2245.9784052817477</v>
      </c>
      <c r="AP19" s="80">
        <f t="shared" si="47"/>
        <v>2181.6663505143088</v>
      </c>
      <c r="AQ19" s="81">
        <f t="shared" si="47"/>
        <v>8326.3448089788399</v>
      </c>
      <c r="AR19" s="80">
        <f t="shared" si="47"/>
        <v>2064.6219007093559</v>
      </c>
      <c r="AS19" s="80">
        <f t="shared" si="47"/>
        <v>2068.0099781918534</v>
      </c>
      <c r="AT19" s="80">
        <f t="shared" si="47"/>
        <v>2383.3070704587017</v>
      </c>
      <c r="AU19" s="80">
        <f t="shared" si="47"/>
        <v>2316.1724698193457</v>
      </c>
      <c r="AV19" s="81">
        <f t="shared" si="47"/>
        <v>8832.1114191792622</v>
      </c>
    </row>
    <row r="20" spans="1:48" x14ac:dyDescent="0.3">
      <c r="B20" s="38" t="s">
        <v>63</v>
      </c>
      <c r="C20" s="18"/>
      <c r="D20" s="105">
        <v>0</v>
      </c>
      <c r="E20" s="105">
        <v>21</v>
      </c>
      <c r="F20" s="105">
        <v>601.79999999999995</v>
      </c>
      <c r="G20" s="105">
        <f t="shared" ref="G20:G22" si="48">H20-F20-E20-D20</f>
        <v>0</v>
      </c>
      <c r="H20" s="170">
        <v>622.79999999999995</v>
      </c>
      <c r="I20" s="105">
        <v>0</v>
      </c>
      <c r="J20" s="105">
        <v>0</v>
      </c>
      <c r="K20" s="105">
        <v>0</v>
      </c>
      <c r="L20" s="105">
        <v>0</v>
      </c>
      <c r="M20" s="170">
        <f>SUM(I20:L20)</f>
        <v>0</v>
      </c>
      <c r="N20" s="105">
        <v>0</v>
      </c>
      <c r="O20" s="105">
        <v>0</v>
      </c>
      <c r="P20" s="105">
        <v>0</v>
      </c>
      <c r="Q20" s="105">
        <v>864.5</v>
      </c>
      <c r="R20" s="170">
        <f>SUM(N20:Q20)</f>
        <v>864.5</v>
      </c>
      <c r="S20" s="105">
        <v>0</v>
      </c>
      <c r="T20" s="105">
        <v>0</v>
      </c>
      <c r="U20" s="105">
        <v>0</v>
      </c>
      <c r="V20" s="105">
        <v>0</v>
      </c>
      <c r="W20" s="170">
        <f>SUM(S20:V20)</f>
        <v>0</v>
      </c>
      <c r="X20" s="105">
        <v>0</v>
      </c>
      <c r="Y20" s="105">
        <v>0</v>
      </c>
      <c r="Z20" s="105">
        <v>0</v>
      </c>
      <c r="AA20" s="105">
        <v>0</v>
      </c>
      <c r="AB20" s="170">
        <f>SUM(X20:AA20)</f>
        <v>0</v>
      </c>
      <c r="AC20" s="105">
        <v>0</v>
      </c>
      <c r="AD20" s="105">
        <v>0</v>
      </c>
      <c r="AE20" s="105">
        <v>0</v>
      </c>
      <c r="AF20" s="105">
        <v>0</v>
      </c>
      <c r="AG20" s="170">
        <f>SUM(AC20:AF20)</f>
        <v>0</v>
      </c>
      <c r="AH20" s="105">
        <v>0</v>
      </c>
      <c r="AI20" s="105">
        <v>0</v>
      </c>
      <c r="AJ20" s="105">
        <v>0</v>
      </c>
      <c r="AK20" s="105">
        <v>0</v>
      </c>
      <c r="AL20" s="170">
        <f>SUM(AH20:AK20)</f>
        <v>0</v>
      </c>
      <c r="AM20" s="105">
        <v>0</v>
      </c>
      <c r="AN20" s="105">
        <v>0</v>
      </c>
      <c r="AO20" s="105">
        <v>0</v>
      </c>
      <c r="AP20" s="105">
        <v>0</v>
      </c>
      <c r="AQ20" s="170">
        <f>SUM(AM20:AP20)</f>
        <v>0</v>
      </c>
      <c r="AR20" s="105">
        <v>0</v>
      </c>
      <c r="AS20" s="105">
        <v>0</v>
      </c>
      <c r="AT20" s="105">
        <v>0</v>
      </c>
      <c r="AU20" s="105">
        <v>0</v>
      </c>
      <c r="AV20" s="170">
        <f>SUM(AR20:AU20)</f>
        <v>0</v>
      </c>
    </row>
    <row r="21" spans="1:48" x14ac:dyDescent="0.3">
      <c r="B21" s="38" t="s">
        <v>37</v>
      </c>
      <c r="C21" s="18"/>
      <c r="D21" s="105">
        <v>24.8</v>
      </c>
      <c r="E21" s="105">
        <v>15.2</v>
      </c>
      <c r="F21" s="102">
        <v>40.200000000000003</v>
      </c>
      <c r="G21" s="105">
        <f t="shared" si="48"/>
        <v>16.299999999999994</v>
      </c>
      <c r="H21" s="170">
        <v>96.5</v>
      </c>
      <c r="I21" s="105">
        <v>15.9</v>
      </c>
      <c r="J21" s="105">
        <v>2</v>
      </c>
      <c r="K21" s="105">
        <v>12.7</v>
      </c>
      <c r="L21" s="105">
        <v>9.1</v>
      </c>
      <c r="M21" s="170">
        <f t="shared" ref="M21:M22" si="49">SUM(I21:L21)</f>
        <v>39.699999999999996</v>
      </c>
      <c r="N21" s="105">
        <v>15.5</v>
      </c>
      <c r="O21" s="105">
        <v>17.3</v>
      </c>
      <c r="P21" s="105">
        <v>36</v>
      </c>
      <c r="Q21" s="105">
        <v>21.5</v>
      </c>
      <c r="R21" s="170">
        <f t="shared" ref="R21" si="50">SUM(N21:Q21)</f>
        <v>90.3</v>
      </c>
      <c r="S21" s="105">
        <v>-0.1</v>
      </c>
      <c r="T21" s="105">
        <v>46.3</v>
      </c>
      <c r="U21" s="105">
        <v>19.8</v>
      </c>
      <c r="V21" s="105">
        <v>31</v>
      </c>
      <c r="W21" s="170">
        <f t="shared" ref="W21:W22" si="51">SUM(S21:V21)</f>
        <v>97</v>
      </c>
      <c r="X21" s="105">
        <v>11.6</v>
      </c>
      <c r="Y21" s="105">
        <v>18.399999999999999</v>
      </c>
      <c r="Z21" s="105">
        <f>('BS (Base)'!Y6+'BS (Base)'!Y7+'BS (Base)'!Y12)*'IS (Base)'!Z144</f>
        <v>26.576831417786455</v>
      </c>
      <c r="AA21" s="105">
        <f>('BS (Base)'!Z6+'BS (Base)'!Z7+'BS (Base)'!Z12)*'IS (Base)'!AA144</f>
        <v>7.070520407149842</v>
      </c>
      <c r="AB21" s="170">
        <f t="shared" ref="AB21:AB22" si="52">SUM(X21:AA21)</f>
        <v>63.647351824936294</v>
      </c>
      <c r="AC21" s="105">
        <f>('BS (Base)'!AA6+'BS (Base)'!AA7+'BS (Base)'!AA12)*'IS (Base)'!AC144</f>
        <v>7.8871632179294338</v>
      </c>
      <c r="AD21" s="105">
        <f>('BS (Base)'!AC6+'BS (Base)'!AC7+'BS (Base)'!AC12)*'IS (Base)'!AD144</f>
        <v>9.0013695378964087</v>
      </c>
      <c r="AE21" s="105">
        <f>('BS (Base)'!AD6+'BS (Base)'!AD7+'BS (Base)'!AD12)*'IS (Base)'!AE144</f>
        <v>8.5301894542805137</v>
      </c>
      <c r="AF21" s="105">
        <f>('BS (Base)'!AE6+'BS (Base)'!AE7+'BS (Base)'!AE12)*'IS (Base)'!AF144</f>
        <v>8.5613088239211699</v>
      </c>
      <c r="AG21" s="170">
        <f t="shared" ref="AG21:AG22" si="53">SUM(AC21:AF21)</f>
        <v>33.980031034027526</v>
      </c>
      <c r="AH21" s="105">
        <f>('BS (Base)'!AF6+'BS (Base)'!AF7+'BS (Base)'!AF12)*'IS (Base)'!AH144</f>
        <v>9.2770105379636671</v>
      </c>
      <c r="AI21" s="105">
        <f>('BS (Base)'!AH6+'BS (Base)'!AH7+'BS (Base)'!AH12)*'IS (Base)'!AI144</f>
        <v>10.718984846308745</v>
      </c>
      <c r="AJ21" s="105">
        <f>('BS (Base)'!AI6+'BS (Base)'!AI7+'BS (Base)'!AI12)*'IS (Base)'!AJ144</f>
        <v>10.673604541413685</v>
      </c>
      <c r="AK21" s="105">
        <f>('BS (Base)'!AJ6+'BS (Base)'!AJ7+'BS (Base)'!AJ12)*'IS (Base)'!AK144</f>
        <v>12.612534191672763</v>
      </c>
      <c r="AL21" s="170">
        <f t="shared" ref="AL21:AL22" si="54">SUM(AH21:AK21)</f>
        <v>43.282134117358858</v>
      </c>
      <c r="AM21" s="105">
        <f>('BS (Base)'!AK6+'BS (Base)'!AK7+'BS (Base)'!AK12)*'IS (Base)'!AM144</f>
        <v>1.9915239003843592</v>
      </c>
      <c r="AN21" s="105">
        <f>('BS (Base)'!AM6+'BS (Base)'!AM7+'BS (Base)'!AM12)*'IS (Base)'!AN144</f>
        <v>3.4404434735528375</v>
      </c>
      <c r="AO21" s="105">
        <f>('BS (Base)'!AN6+'BS (Base)'!AN7+'BS (Base)'!AN12)*'IS (Base)'!AO144</f>
        <v>1.2188727192517825</v>
      </c>
      <c r="AP21" s="105">
        <f>('BS (Base)'!AO6+'BS (Base)'!AO7+'BS (Base)'!AO12)*'IS (Base)'!AP144</f>
        <v>1.2626380578520409</v>
      </c>
      <c r="AQ21" s="170">
        <f t="shared" ref="AQ21:AQ22" si="55">SUM(AM21:AP21)</f>
        <v>7.913478151041021</v>
      </c>
      <c r="AR21" s="105">
        <f>('BS (Base)'!AP6+'BS (Base)'!AP7+'BS (Base)'!AP12)*'IS (Base)'!AR144</f>
        <v>2.6140203782967273</v>
      </c>
      <c r="AS21" s="105">
        <f>('BS (Base)'!AR6+'BS (Base)'!AR7+'BS (Base)'!AR12)*'IS (Base)'!AS144</f>
        <v>4.5129062035631762</v>
      </c>
      <c r="AT21" s="105">
        <f>('BS (Base)'!AS6+'BS (Base)'!AS7+'BS (Base)'!AS12)*'IS (Base)'!AT144</f>
        <v>4.4908688131292722</v>
      </c>
      <c r="AU21" s="105">
        <f>('BS (Base)'!AT6+'BS (Base)'!AT7+'BS (Base)'!AT12)*'IS (Base)'!AU144</f>
        <v>4.8632295037489692</v>
      </c>
      <c r="AV21" s="170">
        <f t="shared" ref="AV21:AV22" si="56">SUM(AR21:AU21)</f>
        <v>16.481024898738145</v>
      </c>
    </row>
    <row r="22" spans="1:48" ht="16.2" x14ac:dyDescent="0.45">
      <c r="B22" s="38" t="s">
        <v>38</v>
      </c>
      <c r="C22" s="356"/>
      <c r="D22" s="104">
        <v>-75</v>
      </c>
      <c r="E22" s="104">
        <v>-73.900000000000006</v>
      </c>
      <c r="F22" s="104">
        <v>-86.4</v>
      </c>
      <c r="G22" s="104">
        <f t="shared" si="48"/>
        <v>-95.699999999999989</v>
      </c>
      <c r="H22" s="173">
        <v>-331</v>
      </c>
      <c r="I22" s="104">
        <v>-91.9</v>
      </c>
      <c r="J22" s="104">
        <v>-99.2</v>
      </c>
      <c r="K22" s="104">
        <v>-120.8</v>
      </c>
      <c r="L22" s="104">
        <v>-125</v>
      </c>
      <c r="M22" s="173">
        <f t="shared" si="49"/>
        <v>-436.90000000000003</v>
      </c>
      <c r="N22" s="104">
        <v>-120.7</v>
      </c>
      <c r="O22" s="104">
        <v>-115</v>
      </c>
      <c r="P22" s="104">
        <v>-113.4</v>
      </c>
      <c r="Q22" s="104">
        <v>-120.6</v>
      </c>
      <c r="R22" s="173">
        <f t="shared" ref="R22" si="57">SUM(N22:Q22)</f>
        <v>-469.70000000000005</v>
      </c>
      <c r="S22" s="104">
        <v>-115.3</v>
      </c>
      <c r="T22" s="104">
        <v>-119.1</v>
      </c>
      <c r="U22" s="104">
        <v>-123.1</v>
      </c>
      <c r="V22" s="104">
        <v>-125.3</v>
      </c>
      <c r="W22" s="173">
        <f t="shared" si="51"/>
        <v>-482.8</v>
      </c>
      <c r="X22" s="104">
        <v>-129.69999999999999</v>
      </c>
      <c r="Y22" s="104">
        <v>-136.30000000000001</v>
      </c>
      <c r="Z22" s="104">
        <f>-('BS (Base)'!Y28+'BS (Base)'!Y31)*Z145</f>
        <v>-145.35914712582067</v>
      </c>
      <c r="AA22" s="104">
        <f>-('BS (Base)'!Z28+'BS (Base)'!Z31)*AA145</f>
        <v>-145.35914712582067</v>
      </c>
      <c r="AB22" s="430">
        <f t="shared" si="52"/>
        <v>-556.71829425164128</v>
      </c>
      <c r="AC22" s="104">
        <f>-('BS (Base)'!AA28+'BS (Base)'!AA31)*AC145</f>
        <v>-146.90777712582067</v>
      </c>
      <c r="AD22" s="104">
        <f>-('BS (Base)'!AC28+'BS (Base)'!AC31)*AD145</f>
        <v>-148.45640712582065</v>
      </c>
      <c r="AE22" s="104">
        <f>-('BS (Base)'!AD28+'BS (Base)'!AD31)*AE145</f>
        <v>-150.00503712582065</v>
      </c>
      <c r="AF22" s="104">
        <f>-('BS (Base)'!AE28+'BS (Base)'!AE31)*AF145</f>
        <v>-151.55366712582062</v>
      </c>
      <c r="AG22" s="173">
        <f t="shared" si="53"/>
        <v>-596.92288850328259</v>
      </c>
      <c r="AH22" s="104">
        <f>-('BS (Base)'!AF28+'BS (Base)'!AF31)*AH145</f>
        <v>-153.10229712582063</v>
      </c>
      <c r="AI22" s="104">
        <f>-('BS (Base)'!AH28+'BS (Base)'!AH31)*AI145</f>
        <v>-154.6509271258206</v>
      </c>
      <c r="AJ22" s="104">
        <f>-('BS (Base)'!AI28+'BS (Base)'!AI31)*AJ145</f>
        <v>-156.1995571258206</v>
      </c>
      <c r="AK22" s="104">
        <f>-('BS (Base)'!AJ28+'BS (Base)'!AJ31)*AK145</f>
        <v>-221.52398026545356</v>
      </c>
      <c r="AL22" s="173">
        <f t="shared" si="54"/>
        <v>-685.47676164291533</v>
      </c>
      <c r="AM22" s="104">
        <f>-('BS (Base)'!AK28+'BS (Base)'!AK31)*AM145</f>
        <v>-221.52398026545356</v>
      </c>
      <c r="AN22" s="104">
        <f>-('BS (Base)'!AM28+'BS (Base)'!AM31)*AN145</f>
        <v>-221.52398026545356</v>
      </c>
      <c r="AO22" s="104">
        <f>-('BS (Base)'!AN28+'BS (Base)'!AN31)*AO145</f>
        <v>-211.33767449029611</v>
      </c>
      <c r="AP22" s="104">
        <f>-('BS (Base)'!AO28+'BS (Base)'!AO31)*AP145</f>
        <v>-211.33767449029611</v>
      </c>
      <c r="AQ22" s="173">
        <f t="shared" si="55"/>
        <v>-865.72330951149934</v>
      </c>
      <c r="AR22" s="104">
        <f>-('BS (Base)'!AP28+'BS (Base)'!AP31)*AR145</f>
        <v>-211.33767449029611</v>
      </c>
      <c r="AS22" s="104">
        <f>-('BS (Base)'!AR28+'BS (Base)'!AR31)*AS145</f>
        <v>-211.33767449029611</v>
      </c>
      <c r="AT22" s="104">
        <f>-('BS (Base)'!AS28+'BS (Base)'!AS31)*AT145</f>
        <v>-211.33767449029611</v>
      </c>
      <c r="AU22" s="104">
        <f>-('BS (Base)'!AT28+'BS (Base)'!AT31)*AU145</f>
        <v>-211.33767449029611</v>
      </c>
      <c r="AV22" s="173">
        <f t="shared" si="56"/>
        <v>-845.35069796118444</v>
      </c>
    </row>
    <row r="23" spans="1:48" x14ac:dyDescent="0.3">
      <c r="B23" s="593" t="s">
        <v>11</v>
      </c>
      <c r="C23" s="594"/>
      <c r="D23" s="103">
        <f t="shared" ref="D23:AV23" si="58">D17+D21+D22+D20</f>
        <v>965.50000000000045</v>
      </c>
      <c r="E23" s="103">
        <f t="shared" si="58"/>
        <v>819.99999999999966</v>
      </c>
      <c r="F23" s="103">
        <f t="shared" si="58"/>
        <v>1676.900000000001</v>
      </c>
      <c r="G23" s="103">
        <f t="shared" si="58"/>
        <v>1003.8000000000011</v>
      </c>
      <c r="H23" s="171">
        <f t="shared" si="58"/>
        <v>4466.2000000000053</v>
      </c>
      <c r="I23" s="103">
        <f t="shared" si="58"/>
        <v>1143.7999999999988</v>
      </c>
      <c r="J23" s="103">
        <f t="shared" si="58"/>
        <v>390.19999999999908</v>
      </c>
      <c r="K23" s="103">
        <f t="shared" si="58"/>
        <v>-811.9999999999992</v>
      </c>
      <c r="L23" s="50">
        <f t="shared" si="58"/>
        <v>442.40000000000043</v>
      </c>
      <c r="M23" s="51">
        <f t="shared" si="58"/>
        <v>1164.4000000000044</v>
      </c>
      <c r="N23" s="50">
        <f t="shared" si="58"/>
        <v>808.30000000000018</v>
      </c>
      <c r="O23" s="103">
        <f t="shared" si="58"/>
        <v>889.9</v>
      </c>
      <c r="P23" s="103">
        <f t="shared" si="58"/>
        <v>1411.2999999999988</v>
      </c>
      <c r="Q23" s="103">
        <f>Q17+Q21+Q22+Q20</f>
        <v>2247.6</v>
      </c>
      <c r="R23" s="171">
        <f t="shared" si="58"/>
        <v>5357.0999999999976</v>
      </c>
      <c r="S23" s="50">
        <f t="shared" si="58"/>
        <v>1062.4000000000001</v>
      </c>
      <c r="T23" s="50">
        <f t="shared" si="58"/>
        <v>876.10000000000014</v>
      </c>
      <c r="U23" s="50">
        <f t="shared" si="58"/>
        <v>1192.1999999999996</v>
      </c>
      <c r="V23" s="50">
        <f t="shared" si="58"/>
        <v>1101.1999999999987</v>
      </c>
      <c r="W23" s="171">
        <f t="shared" si="58"/>
        <v>4231.8999999999951</v>
      </c>
      <c r="X23" s="103">
        <f>X17+X21+X22+X20</f>
        <v>1134.9999999999991</v>
      </c>
      <c r="Y23" s="103">
        <f>Y17+Y21+Y22+Y20</f>
        <v>1209.6000000000006</v>
      </c>
      <c r="Z23" s="50">
        <f t="shared" si="58"/>
        <v>1369.7040618978806</v>
      </c>
      <c r="AA23" s="50">
        <f>AA17+AA21+AA22+AA20</f>
        <v>1501.226870513304</v>
      </c>
      <c r="AB23" s="51">
        <f>AB17+AB21+AB22+AB20</f>
        <v>5215.5309324111859</v>
      </c>
      <c r="AC23" s="50">
        <f t="shared" si="58"/>
        <v>1366.0355533995125</v>
      </c>
      <c r="AD23" s="50">
        <f t="shared" si="58"/>
        <v>1353.0037601180716</v>
      </c>
      <c r="AE23" s="50">
        <f t="shared" si="58"/>
        <v>1539.4735890819238</v>
      </c>
      <c r="AF23" s="50">
        <f t="shared" si="58"/>
        <v>1546.5789685690206</v>
      </c>
      <c r="AG23" s="51">
        <f t="shared" si="58"/>
        <v>5805.0918711685163</v>
      </c>
      <c r="AH23" s="50">
        <f t="shared" si="58"/>
        <v>1598.5124840856636</v>
      </c>
      <c r="AI23" s="50">
        <f t="shared" si="58"/>
        <v>1603.842765754029</v>
      </c>
      <c r="AJ23" s="50">
        <f t="shared" si="58"/>
        <v>1888.98425828529</v>
      </c>
      <c r="AK23" s="50">
        <f t="shared" si="58"/>
        <v>1777.593720196083</v>
      </c>
      <c r="AL23" s="51">
        <f t="shared" si="58"/>
        <v>6868.9332283210633</v>
      </c>
      <c r="AM23" s="50">
        <f t="shared" si="58"/>
        <v>1722.5743898699536</v>
      </c>
      <c r="AN23" s="50">
        <f t="shared" si="58"/>
        <v>1724.3096701558532</v>
      </c>
      <c r="AO23" s="50">
        <f t="shared" si="58"/>
        <v>2028.7596035107035</v>
      </c>
      <c r="AP23" s="50">
        <f t="shared" si="58"/>
        <v>1964.4913140818649</v>
      </c>
      <c r="AQ23" s="51">
        <f t="shared" si="58"/>
        <v>7440.1349776183815</v>
      </c>
      <c r="AR23" s="50">
        <f t="shared" si="58"/>
        <v>1848.7982465973564</v>
      </c>
      <c r="AS23" s="50">
        <f t="shared" si="58"/>
        <v>1854.0852099051203</v>
      </c>
      <c r="AT23" s="50">
        <f t="shared" si="58"/>
        <v>2169.3602647815346</v>
      </c>
      <c r="AU23" s="50">
        <f t="shared" si="58"/>
        <v>2102.5980248327987</v>
      </c>
      <c r="AV23" s="51">
        <f t="shared" si="58"/>
        <v>7974.8417461168156</v>
      </c>
    </row>
    <row r="24" spans="1:48" ht="16.2" x14ac:dyDescent="0.45">
      <c r="B24" s="595" t="s">
        <v>5</v>
      </c>
      <c r="C24" s="596"/>
      <c r="D24" s="104">
        <v>205.1</v>
      </c>
      <c r="E24" s="104">
        <v>161.19999999999999</v>
      </c>
      <c r="F24" s="104">
        <v>303.7</v>
      </c>
      <c r="G24" s="104">
        <f t="shared" ref="G24" si="59">H24-F24-E24-D24</f>
        <v>201.60000000000011</v>
      </c>
      <c r="H24" s="173">
        <v>871.6</v>
      </c>
      <c r="I24" s="104">
        <v>258.5</v>
      </c>
      <c r="J24" s="104">
        <v>65.400000000000006</v>
      </c>
      <c r="K24" s="104">
        <v>-133.9</v>
      </c>
      <c r="L24" s="52">
        <v>49.7</v>
      </c>
      <c r="M24" s="53">
        <f>SUM(I24:L24)</f>
        <v>239.7</v>
      </c>
      <c r="N24" s="52">
        <v>186.1</v>
      </c>
      <c r="O24" s="104">
        <v>230.5</v>
      </c>
      <c r="P24" s="104">
        <v>257.10000000000002</v>
      </c>
      <c r="Q24" s="104">
        <v>483</v>
      </c>
      <c r="R24" s="173">
        <f>SUM(N24:Q24)</f>
        <v>1156.7</v>
      </c>
      <c r="S24" s="52">
        <v>246.3</v>
      </c>
      <c r="T24" s="52">
        <v>201.1</v>
      </c>
      <c r="U24" s="52">
        <v>278.5</v>
      </c>
      <c r="V24" s="52">
        <v>222.7</v>
      </c>
      <c r="W24" s="173">
        <f>SUM(S24:V24)</f>
        <v>948.59999999999991</v>
      </c>
      <c r="X24" s="104">
        <v>279.8</v>
      </c>
      <c r="Y24" s="104">
        <v>301.3</v>
      </c>
      <c r="Z24" s="52">
        <f>+Z23*Z143</f>
        <v>342.42601547447015</v>
      </c>
      <c r="AA24" s="52">
        <f>+AA23*AA143</f>
        <v>375.306717628326</v>
      </c>
      <c r="AB24" s="53">
        <f>SUM(X24:AA24)</f>
        <v>1298.8327331027961</v>
      </c>
      <c r="AC24" s="52">
        <f>+AC23*AC143</f>
        <v>340.00981194865807</v>
      </c>
      <c r="AD24" s="52">
        <f>+AD23*AD143</f>
        <v>337.57214363406621</v>
      </c>
      <c r="AE24" s="52">
        <f>+AE23*AE143</f>
        <v>384.25295891019351</v>
      </c>
      <c r="AF24" s="52">
        <f>+AF23*AF143</f>
        <v>385.87189352762033</v>
      </c>
      <c r="AG24" s="53">
        <f>SUM(AC24:AF24)</f>
        <v>1447.7068080205381</v>
      </c>
      <c r="AH24" s="52">
        <f>+AH23*AH143</f>
        <v>398.62962031121197</v>
      </c>
      <c r="AI24" s="52">
        <f>+AI23*AI143</f>
        <v>400.1484146719722</v>
      </c>
      <c r="AJ24" s="52">
        <f>+AJ23*AJ143</f>
        <v>471.28712777099179</v>
      </c>
      <c r="AK24" s="52">
        <f>+AK23*AK143</f>
        <v>443.44810088778758</v>
      </c>
      <c r="AL24" s="53">
        <f>SUM(AH24:AK24)</f>
        <v>1713.5132636419637</v>
      </c>
      <c r="AM24" s="52">
        <f>+AM23*AM143</f>
        <v>429.70765278861302</v>
      </c>
      <c r="AN24" s="52">
        <f>+AN23*AN143</f>
        <v>430.17557791164012</v>
      </c>
      <c r="AO24" s="52">
        <f>+AO23*AO143</f>
        <v>506.12043121084315</v>
      </c>
      <c r="AP24" s="52">
        <f>+AP23*AP143</f>
        <v>490.07765750969162</v>
      </c>
      <c r="AQ24" s="53">
        <f>SUM(AM24:AP24)</f>
        <v>1856.0813194207878</v>
      </c>
      <c r="AR24" s="52">
        <f>+AR23*AR143</f>
        <v>461.21713736401063</v>
      </c>
      <c r="AS24" s="52">
        <f>+AS23*AS143</f>
        <v>462.54161031426622</v>
      </c>
      <c r="AT24" s="52">
        <f>+AT23*AT143</f>
        <v>541.19086512128501</v>
      </c>
      <c r="AU24" s="52">
        <f>+AU23*AU143</f>
        <v>524.53431179206029</v>
      </c>
      <c r="AV24" s="53">
        <f>SUM(AR24:AU24)</f>
        <v>1989.4839245916223</v>
      </c>
    </row>
    <row r="25" spans="1:48" x14ac:dyDescent="0.3">
      <c r="A25" s="23"/>
      <c r="B25" s="593" t="s">
        <v>39</v>
      </c>
      <c r="C25" s="594"/>
      <c r="D25" s="103">
        <f t="shared" ref="D25:AV25" si="60">+D23-D24</f>
        <v>760.40000000000043</v>
      </c>
      <c r="E25" s="103">
        <f t="shared" si="60"/>
        <v>658.79999999999973</v>
      </c>
      <c r="F25" s="103">
        <f t="shared" si="60"/>
        <v>1373.200000000001</v>
      </c>
      <c r="G25" s="103">
        <f t="shared" si="60"/>
        <v>802.20000000000095</v>
      </c>
      <c r="H25" s="171">
        <f t="shared" si="60"/>
        <v>3594.6000000000054</v>
      </c>
      <c r="I25" s="103">
        <f t="shared" si="60"/>
        <v>885.29999999999882</v>
      </c>
      <c r="J25" s="103">
        <f t="shared" si="60"/>
        <v>324.79999999999905</v>
      </c>
      <c r="K25" s="103">
        <f t="shared" si="60"/>
        <v>-678.09999999999923</v>
      </c>
      <c r="L25" s="50">
        <f t="shared" si="60"/>
        <v>392.70000000000044</v>
      </c>
      <c r="M25" s="51">
        <f t="shared" si="60"/>
        <v>924.70000000000437</v>
      </c>
      <c r="N25" s="50">
        <f t="shared" si="60"/>
        <v>622.20000000000016</v>
      </c>
      <c r="O25" s="103">
        <f t="shared" si="60"/>
        <v>659.4</v>
      </c>
      <c r="P25" s="103">
        <f t="shared" si="60"/>
        <v>1154.1999999999989</v>
      </c>
      <c r="Q25" s="103">
        <f>+Q23-Q24</f>
        <v>1764.6</v>
      </c>
      <c r="R25" s="171">
        <f t="shared" si="60"/>
        <v>4200.3999999999978</v>
      </c>
      <c r="S25" s="50">
        <f t="shared" si="60"/>
        <v>816.10000000000014</v>
      </c>
      <c r="T25" s="50">
        <f t="shared" si="60"/>
        <v>675.00000000000011</v>
      </c>
      <c r="U25" s="50">
        <f t="shared" si="60"/>
        <v>913.69999999999959</v>
      </c>
      <c r="V25" s="50">
        <f t="shared" si="60"/>
        <v>878.49999999999864</v>
      </c>
      <c r="W25" s="171">
        <f t="shared" si="60"/>
        <v>3283.2999999999952</v>
      </c>
      <c r="X25" s="103">
        <f>+X23-X24</f>
        <v>855.19999999999914</v>
      </c>
      <c r="Y25" s="103">
        <f>+Y23-Y24</f>
        <v>908.30000000000064</v>
      </c>
      <c r="Z25" s="50">
        <f t="shared" si="60"/>
        <v>1027.2780464234104</v>
      </c>
      <c r="AA25" s="50">
        <f>+AA23-AA24</f>
        <v>1125.9201528849781</v>
      </c>
      <c r="AB25" s="51">
        <f>+AB23-AB24</f>
        <v>3916.69819930839</v>
      </c>
      <c r="AC25" s="50">
        <f t="shared" si="60"/>
        <v>1026.0257414508544</v>
      </c>
      <c r="AD25" s="50">
        <f t="shared" si="60"/>
        <v>1015.4316164840054</v>
      </c>
      <c r="AE25" s="50">
        <f t="shared" si="60"/>
        <v>1155.2206301717304</v>
      </c>
      <c r="AF25" s="103">
        <f t="shared" si="60"/>
        <v>1160.7070750414002</v>
      </c>
      <c r="AG25" s="171">
        <f t="shared" si="60"/>
        <v>4357.3850631479781</v>
      </c>
      <c r="AH25" s="103">
        <f t="shared" si="60"/>
        <v>1199.8828637744516</v>
      </c>
      <c r="AI25" s="103">
        <f t="shared" si="60"/>
        <v>1203.6943510820568</v>
      </c>
      <c r="AJ25" s="103">
        <f t="shared" si="60"/>
        <v>1417.6971305142984</v>
      </c>
      <c r="AK25" s="103">
        <f t="shared" si="60"/>
        <v>1334.1456193082954</v>
      </c>
      <c r="AL25" s="51">
        <f t="shared" si="60"/>
        <v>5155.4199646790994</v>
      </c>
      <c r="AM25" s="103">
        <f t="shared" si="60"/>
        <v>1292.8667370813405</v>
      </c>
      <c r="AN25" s="103">
        <f t="shared" si="60"/>
        <v>1294.134092244213</v>
      </c>
      <c r="AO25" s="103">
        <f t="shared" si="60"/>
        <v>1522.6391722998603</v>
      </c>
      <c r="AP25" s="103">
        <f t="shared" si="60"/>
        <v>1474.4136565721733</v>
      </c>
      <c r="AQ25" s="51">
        <f t="shared" si="60"/>
        <v>5584.0536581975939</v>
      </c>
      <c r="AR25" s="103">
        <f t="shared" si="60"/>
        <v>1387.5811092333458</v>
      </c>
      <c r="AS25" s="103">
        <f t="shared" si="60"/>
        <v>1391.5435995908542</v>
      </c>
      <c r="AT25" s="103">
        <f t="shared" si="60"/>
        <v>1628.1693996602496</v>
      </c>
      <c r="AU25" s="103">
        <f t="shared" si="60"/>
        <v>1578.0637130407385</v>
      </c>
      <c r="AV25" s="51">
        <f t="shared" si="60"/>
        <v>5985.3578215251928</v>
      </c>
    </row>
    <row r="26" spans="1:48" ht="16.2" x14ac:dyDescent="0.45">
      <c r="A26" s="23"/>
      <c r="B26" s="210" t="s">
        <v>40</v>
      </c>
      <c r="C26" s="201"/>
      <c r="D26" s="104">
        <v>-0.2</v>
      </c>
      <c r="E26" s="104">
        <v>-4.4000000000000004</v>
      </c>
      <c r="F26" s="104">
        <v>0.4</v>
      </c>
      <c r="G26" s="104">
        <f t="shared" ref="G26" si="61">H26-F26-E26-D26</f>
        <v>-0.39999999999999963</v>
      </c>
      <c r="H26" s="173">
        <v>-4.5999999999999996</v>
      </c>
      <c r="I26" s="104">
        <v>-0.4</v>
      </c>
      <c r="J26" s="104">
        <v>-3.6</v>
      </c>
      <c r="K26" s="104">
        <v>0.3</v>
      </c>
      <c r="L26" s="104">
        <v>0.1</v>
      </c>
      <c r="M26" s="173">
        <f>SUM(I26:L26)</f>
        <v>-3.6</v>
      </c>
      <c r="N26" s="104">
        <v>0</v>
      </c>
      <c r="O26" s="104">
        <v>0</v>
      </c>
      <c r="P26" s="104">
        <v>0.8</v>
      </c>
      <c r="Q26" s="104">
        <v>0.2</v>
      </c>
      <c r="R26" s="173">
        <f>SUM(N26:Q26)</f>
        <v>1</v>
      </c>
      <c r="S26" s="104">
        <v>0.2</v>
      </c>
      <c r="T26" s="104">
        <f>AVERAGE(S26,Q26,P26,O26)</f>
        <v>0.30000000000000004</v>
      </c>
      <c r="U26" s="104">
        <v>0.8</v>
      </c>
      <c r="V26" s="104">
        <v>0.49999999999999983</v>
      </c>
      <c r="W26" s="173">
        <f>SUM(S26:V26)</f>
        <v>1.7999999999999998</v>
      </c>
      <c r="X26" s="104">
        <v>0</v>
      </c>
      <c r="Y26" s="104">
        <v>0.39999999999999997</v>
      </c>
      <c r="Z26" s="104">
        <f>AVERAGE(Y26,X26,V26,U26)</f>
        <v>0.42499999999999993</v>
      </c>
      <c r="AA26" s="104">
        <f>AVERAGE(Z26,Y26,X26,V26)</f>
        <v>0.33124999999999993</v>
      </c>
      <c r="AB26" s="173">
        <f>SUM(X26:AA26)</f>
        <v>1.15625</v>
      </c>
      <c r="AC26" s="104">
        <f>AVERAGE(AA26,Z26,Y26,X26)</f>
        <v>0.28906249999999994</v>
      </c>
      <c r="AD26" s="104">
        <f>AVERAGE(AC26,AA26,Z26,Y26)</f>
        <v>0.36132812499999989</v>
      </c>
      <c r="AE26" s="104">
        <f>AVERAGE(AD26,AC26,AA26,Z26)</f>
        <v>0.35166015624999991</v>
      </c>
      <c r="AF26" s="104">
        <f>AVERAGE(AE26,AD26,AC26,AA26)</f>
        <v>0.33332519531249993</v>
      </c>
      <c r="AG26" s="173">
        <f>SUM(AC26:AF26)</f>
        <v>1.3353759765624997</v>
      </c>
      <c r="AH26" s="104">
        <f>AVERAGE(AF26,AE26,AD26,AC26)</f>
        <v>0.33384399414062493</v>
      </c>
      <c r="AI26" s="104">
        <f>AVERAGE(AH26,AF26,AE26,AD26)</f>
        <v>0.34503936767578114</v>
      </c>
      <c r="AJ26" s="104">
        <f>AVERAGE(AI26,AH26,AF26,AE26)</f>
        <v>0.34096717834472645</v>
      </c>
      <c r="AK26" s="104">
        <f>AVERAGE(AJ26,AI26,AH26,AF26)</f>
        <v>0.33829393386840811</v>
      </c>
      <c r="AL26" s="53">
        <f>SUM(AH26:AK26)</f>
        <v>1.3581444740295407</v>
      </c>
      <c r="AM26" s="104">
        <f>AVERAGE(AK26,AJ26,AI26,AH26)</f>
        <v>0.33953611850738519</v>
      </c>
      <c r="AN26" s="104">
        <f>AVERAGE(AM26,AK26,AJ26,AI26)</f>
        <v>0.34095914959907525</v>
      </c>
      <c r="AO26" s="104">
        <f>AVERAGE(AN26,AM26,AK26,AJ26)</f>
        <v>0.33993909507989872</v>
      </c>
      <c r="AP26" s="104">
        <f>AVERAGE(AO26,AN26,AM26,AK26)</f>
        <v>0.33968207426369179</v>
      </c>
      <c r="AQ26" s="53">
        <f>SUM(AM26:AP26)</f>
        <v>1.360116437450051</v>
      </c>
      <c r="AR26" s="104">
        <f>AVERAGE(AP26,AO26,AN26,AM26)</f>
        <v>0.34002910936251274</v>
      </c>
      <c r="AS26" s="104">
        <f>AVERAGE(AR26,AP26,AO26,AN26)</f>
        <v>0.34015235707629465</v>
      </c>
      <c r="AT26" s="104">
        <f>AVERAGE(AS26,AR26,AP26,AO26)</f>
        <v>0.3399506589455995</v>
      </c>
      <c r="AU26" s="104">
        <f>AVERAGE(AT26,AS26,AR26,AP26)</f>
        <v>0.33995354991202464</v>
      </c>
      <c r="AV26" s="53">
        <f>SUM(AR26:AU26)</f>
        <v>1.3600856752964314</v>
      </c>
    </row>
    <row r="27" spans="1:48" s="8" customFormat="1" x14ac:dyDescent="0.3">
      <c r="A27" s="20"/>
      <c r="B27" s="209" t="s">
        <v>16</v>
      </c>
      <c r="C27" s="202"/>
      <c r="D27" s="103">
        <f t="shared" ref="D27:AV27" si="62">+D25-D26</f>
        <v>760.60000000000048</v>
      </c>
      <c r="E27" s="103">
        <f t="shared" si="62"/>
        <v>663.1999999999997</v>
      </c>
      <c r="F27" s="103">
        <f t="shared" si="62"/>
        <v>1372.8000000000009</v>
      </c>
      <c r="G27" s="103">
        <f t="shared" si="62"/>
        <v>802.60000000000093</v>
      </c>
      <c r="H27" s="171">
        <f t="shared" si="62"/>
        <v>3599.2000000000053</v>
      </c>
      <c r="I27" s="103">
        <f t="shared" si="62"/>
        <v>885.69999999999879</v>
      </c>
      <c r="J27" s="103">
        <f t="shared" si="62"/>
        <v>328.39999999999907</v>
      </c>
      <c r="K27" s="103">
        <f t="shared" si="62"/>
        <v>-678.39999999999918</v>
      </c>
      <c r="L27" s="50">
        <f t="shared" si="62"/>
        <v>392.60000000000042</v>
      </c>
      <c r="M27" s="51">
        <f t="shared" si="62"/>
        <v>928.30000000000439</v>
      </c>
      <c r="N27" s="50">
        <f t="shared" si="62"/>
        <v>622.20000000000016</v>
      </c>
      <c r="O27" s="103">
        <f t="shared" si="62"/>
        <v>659.4</v>
      </c>
      <c r="P27" s="103">
        <f t="shared" si="62"/>
        <v>1153.399999999999</v>
      </c>
      <c r="Q27" s="103">
        <f t="shared" si="62"/>
        <v>1764.3999999999999</v>
      </c>
      <c r="R27" s="171">
        <f t="shared" si="62"/>
        <v>4199.3999999999978</v>
      </c>
      <c r="S27" s="50">
        <f t="shared" si="62"/>
        <v>815.90000000000009</v>
      </c>
      <c r="T27" s="50">
        <f t="shared" si="62"/>
        <v>674.70000000000016</v>
      </c>
      <c r="U27" s="50">
        <f t="shared" si="62"/>
        <v>912.89999999999964</v>
      </c>
      <c r="V27" s="103">
        <f t="shared" si="62"/>
        <v>877.99999999999864</v>
      </c>
      <c r="W27" s="171">
        <f t="shared" si="62"/>
        <v>3281.499999999995</v>
      </c>
      <c r="X27" s="103">
        <f>+X25-X26</f>
        <v>855.19999999999914</v>
      </c>
      <c r="Y27" s="103">
        <f>+Y25-Y26</f>
        <v>907.90000000000066</v>
      </c>
      <c r="Z27" s="50">
        <f t="shared" si="62"/>
        <v>1026.8530464234104</v>
      </c>
      <c r="AA27" s="50">
        <f>+AA25-AA26</f>
        <v>1125.5889028849781</v>
      </c>
      <c r="AB27" s="51">
        <f>+AB25-AB26</f>
        <v>3915.54194930839</v>
      </c>
      <c r="AC27" s="50">
        <f t="shared" si="62"/>
        <v>1025.7366789508544</v>
      </c>
      <c r="AD27" s="50">
        <f t="shared" si="62"/>
        <v>1015.0702883590054</v>
      </c>
      <c r="AE27" s="50">
        <f t="shared" si="62"/>
        <v>1154.8689700154803</v>
      </c>
      <c r="AF27" s="50">
        <f t="shared" si="62"/>
        <v>1160.3737498460878</v>
      </c>
      <c r="AG27" s="51">
        <f t="shared" si="62"/>
        <v>4356.0496871714158</v>
      </c>
      <c r="AH27" s="50">
        <f t="shared" si="62"/>
        <v>1199.549019780311</v>
      </c>
      <c r="AI27" s="50">
        <f t="shared" si="62"/>
        <v>1203.349311714381</v>
      </c>
      <c r="AJ27" s="50">
        <f t="shared" si="62"/>
        <v>1417.3561633359536</v>
      </c>
      <c r="AK27" s="50">
        <f t="shared" si="62"/>
        <v>1333.8073253744269</v>
      </c>
      <c r="AL27" s="51">
        <f t="shared" si="62"/>
        <v>5154.06182020507</v>
      </c>
      <c r="AM27" s="50">
        <f t="shared" si="62"/>
        <v>1292.5272009628331</v>
      </c>
      <c r="AN27" s="50">
        <f t="shared" si="62"/>
        <v>1293.7931330946139</v>
      </c>
      <c r="AO27" s="50">
        <f t="shared" si="62"/>
        <v>1522.2992332047804</v>
      </c>
      <c r="AP27" s="50">
        <f t="shared" si="62"/>
        <v>1474.0739744979096</v>
      </c>
      <c r="AQ27" s="51">
        <f t="shared" si="62"/>
        <v>5582.6935417601435</v>
      </c>
      <c r="AR27" s="50">
        <f t="shared" si="62"/>
        <v>1387.2410801239832</v>
      </c>
      <c r="AS27" s="50">
        <f t="shared" si="62"/>
        <v>1391.203447233778</v>
      </c>
      <c r="AT27" s="50">
        <f t="shared" si="62"/>
        <v>1627.8294490013041</v>
      </c>
      <c r="AU27" s="50">
        <f t="shared" si="62"/>
        <v>1577.7237594908265</v>
      </c>
      <c r="AV27" s="51">
        <f t="shared" si="62"/>
        <v>5983.9977358498963</v>
      </c>
    </row>
    <row r="28" spans="1:48" s="8" customFormat="1" ht="16.2" x14ac:dyDescent="0.45">
      <c r="A28" s="20"/>
      <c r="B28" s="87" t="s">
        <v>72</v>
      </c>
      <c r="C28" s="84"/>
      <c r="D28" s="109">
        <f t="shared" ref="D28:AA28" si="63">-D171-D172</f>
        <v>41.449999999998646</v>
      </c>
      <c r="E28" s="109">
        <f t="shared" si="63"/>
        <v>-54.179999999999545</v>
      </c>
      <c r="F28" s="109">
        <f t="shared" si="63"/>
        <v>-544.16000000000076</v>
      </c>
      <c r="G28" s="109">
        <f t="shared" si="63"/>
        <v>-30</v>
      </c>
      <c r="H28" s="178">
        <f>SUM(D28:G28)</f>
        <v>-586.89000000000169</v>
      </c>
      <c r="I28" s="109">
        <f t="shared" si="63"/>
        <v>-11</v>
      </c>
      <c r="J28" s="109">
        <f t="shared" si="63"/>
        <v>-23</v>
      </c>
      <c r="K28" s="109">
        <f t="shared" si="63"/>
        <v>-35.055</v>
      </c>
      <c r="L28" s="91">
        <f>-L171-L172</f>
        <v>-50.810000000000372</v>
      </c>
      <c r="M28" s="92">
        <f>SUM(I28:L28)</f>
        <v>-119.86500000000038</v>
      </c>
      <c r="N28" s="109">
        <f t="shared" si="63"/>
        <v>-35.49</v>
      </c>
      <c r="O28" s="109">
        <f t="shared" si="63"/>
        <v>-11.847999999999999</v>
      </c>
      <c r="P28" s="109">
        <f t="shared" si="63"/>
        <v>-11.862</v>
      </c>
      <c r="Q28" s="109">
        <f t="shared" si="63"/>
        <v>-696.10940000000005</v>
      </c>
      <c r="R28" s="178">
        <f>SUM(N28:Q28)</f>
        <v>-755.3094000000001</v>
      </c>
      <c r="S28" s="91">
        <f t="shared" si="63"/>
        <v>-3.9480000000003299</v>
      </c>
      <c r="T28" s="91">
        <f t="shared" si="63"/>
        <v>-46.156000000000006</v>
      </c>
      <c r="U28" s="91">
        <f t="shared" si="63"/>
        <v>-23.02</v>
      </c>
      <c r="V28" s="109">
        <f t="shared" si="63"/>
        <v>-23.05</v>
      </c>
      <c r="W28" s="178">
        <f>SUM(S28:V28)</f>
        <v>-96.174000000000333</v>
      </c>
      <c r="X28" s="109">
        <f t="shared" si="63"/>
        <v>0</v>
      </c>
      <c r="Y28" s="109">
        <f t="shared" si="63"/>
        <v>23.054000000000002</v>
      </c>
      <c r="Z28" s="91">
        <f t="shared" si="63"/>
        <v>-1.986449029126214</v>
      </c>
      <c r="AA28" s="91">
        <f t="shared" si="63"/>
        <v>-1.986449029126214</v>
      </c>
      <c r="AB28" s="92">
        <f>SUM(X28:AA28)</f>
        <v>19.081101941747576</v>
      </c>
      <c r="AC28" s="91">
        <f t="shared" ref="AC28:AF28" si="64">-AC171-AC172</f>
        <v>-1.986449029126214</v>
      </c>
      <c r="AD28" s="91">
        <f t="shared" si="64"/>
        <v>-1.986449029126214</v>
      </c>
      <c r="AE28" s="91">
        <f t="shared" si="64"/>
        <v>-1.986449029126214</v>
      </c>
      <c r="AF28" s="91">
        <f t="shared" si="64"/>
        <v>-1.986449029126214</v>
      </c>
      <c r="AG28" s="92">
        <f>SUM(AC28:AF28)</f>
        <v>-7.9457961165048561</v>
      </c>
      <c r="AH28" s="91">
        <f t="shared" ref="AH28:AK28" si="65">-AH171-AH172</f>
        <v>-1.986449029126214</v>
      </c>
      <c r="AI28" s="91">
        <f t="shared" si="65"/>
        <v>-1.986449029126214</v>
      </c>
      <c r="AJ28" s="91">
        <f t="shared" si="65"/>
        <v>-1.986449029126214</v>
      </c>
      <c r="AK28" s="91">
        <f t="shared" si="65"/>
        <v>-1.986449029126214</v>
      </c>
      <c r="AL28" s="92">
        <f>SUM(AH28:AK28)</f>
        <v>-7.9457961165048561</v>
      </c>
      <c r="AM28" s="91">
        <f t="shared" ref="AM28:AP28" si="66">-AM171-AM172</f>
        <v>-1.986449029126214</v>
      </c>
      <c r="AN28" s="91">
        <f t="shared" si="66"/>
        <v>-1.986449029126214</v>
      </c>
      <c r="AO28" s="91">
        <f t="shared" si="66"/>
        <v>-1.986449029126214</v>
      </c>
      <c r="AP28" s="91">
        <f t="shared" si="66"/>
        <v>-1.986449029126214</v>
      </c>
      <c r="AQ28" s="92">
        <f>SUM(AM28:AP28)</f>
        <v>-7.9457961165048561</v>
      </c>
      <c r="AR28" s="91">
        <f t="shared" ref="AR28:AU28" si="67">-AR171-AR172</f>
        <v>-1.986449029126214</v>
      </c>
      <c r="AS28" s="91">
        <f t="shared" si="67"/>
        <v>-1.986449029126214</v>
      </c>
      <c r="AT28" s="91">
        <f t="shared" si="67"/>
        <v>-1.986449029126214</v>
      </c>
      <c r="AU28" s="91">
        <f t="shared" si="67"/>
        <v>-1.986449029126214</v>
      </c>
      <c r="AV28" s="92">
        <f>SUM(AR28:AU28)</f>
        <v>-7.9457961165048561</v>
      </c>
    </row>
    <row r="29" spans="1:48" s="8" customFormat="1" x14ac:dyDescent="0.3">
      <c r="A29" s="20"/>
      <c r="B29" s="85" t="s">
        <v>73</v>
      </c>
      <c r="C29" s="86"/>
      <c r="D29" s="108">
        <f t="shared" ref="D29:AV29" si="68">+D19+D20+D21+D22-D24-D26+D28</f>
        <v>940.04999999999916</v>
      </c>
      <c r="E29" s="108">
        <f t="shared" si="68"/>
        <v>750.42000000000007</v>
      </c>
      <c r="F29" s="108">
        <f t="shared" si="68"/>
        <v>953.94</v>
      </c>
      <c r="G29" s="108">
        <f t="shared" si="68"/>
        <v>850.00000000000102</v>
      </c>
      <c r="H29" s="177">
        <f t="shared" si="68"/>
        <v>3494.4100000000039</v>
      </c>
      <c r="I29" s="108">
        <f t="shared" si="68"/>
        <v>946.2999999999987</v>
      </c>
      <c r="J29" s="108">
        <f t="shared" si="68"/>
        <v>372.19999999999902</v>
      </c>
      <c r="K29" s="108">
        <f t="shared" si="68"/>
        <v>-539.7749999999993</v>
      </c>
      <c r="L29" s="80">
        <f>+L19+L20+L21+L22-L24-L26+L28</f>
        <v>601.29</v>
      </c>
      <c r="M29" s="81">
        <f t="shared" si="68"/>
        <v>1380.0150000000035</v>
      </c>
      <c r="N29" s="108">
        <f t="shared" si="68"/>
        <v>721.61000000000024</v>
      </c>
      <c r="O29" s="108">
        <f t="shared" si="68"/>
        <v>735.75199999999995</v>
      </c>
      <c r="P29" s="108">
        <f t="shared" si="68"/>
        <v>1193.2379999999987</v>
      </c>
      <c r="Q29" s="108">
        <f t="shared" si="68"/>
        <v>1183.4905999999996</v>
      </c>
      <c r="R29" s="177">
        <f t="shared" si="68"/>
        <v>3834.0905999999977</v>
      </c>
      <c r="S29" s="80">
        <f t="shared" si="68"/>
        <v>847.15199999999982</v>
      </c>
      <c r="T29" s="80">
        <f t="shared" si="68"/>
        <v>676.04400000000032</v>
      </c>
      <c r="U29" s="80">
        <f t="shared" si="68"/>
        <v>967.37999999999965</v>
      </c>
      <c r="V29" s="108">
        <f t="shared" si="68"/>
        <v>932.04999999999859</v>
      </c>
      <c r="W29" s="177">
        <f t="shared" si="68"/>
        <v>3422.6259999999947</v>
      </c>
      <c r="X29" s="108">
        <f t="shared" si="68"/>
        <v>861.29999999999905</v>
      </c>
      <c r="Y29" s="108">
        <f t="shared" si="68"/>
        <v>848.55400000000054</v>
      </c>
      <c r="Z29" s="80">
        <f t="shared" si="68"/>
        <v>1031.9665973942842</v>
      </c>
      <c r="AA29" s="80">
        <f t="shared" si="68"/>
        <v>1130.7024538558519</v>
      </c>
      <c r="AB29" s="81">
        <f t="shared" si="68"/>
        <v>3872.5230512501371</v>
      </c>
      <c r="AC29" s="80">
        <f t="shared" si="68"/>
        <v>1030.8502299217282</v>
      </c>
      <c r="AD29" s="80">
        <f t="shared" si="68"/>
        <v>1020.1838393298791</v>
      </c>
      <c r="AE29" s="80">
        <f t="shared" si="68"/>
        <v>1159.9825209863541</v>
      </c>
      <c r="AF29" s="80">
        <f t="shared" si="68"/>
        <v>1165.4873008169616</v>
      </c>
      <c r="AG29" s="81">
        <f t="shared" si="68"/>
        <v>4376.503891054911</v>
      </c>
      <c r="AH29" s="80">
        <f t="shared" si="68"/>
        <v>1204.6625707511848</v>
      </c>
      <c r="AI29" s="80">
        <f t="shared" si="68"/>
        <v>1208.4628626852548</v>
      </c>
      <c r="AJ29" s="80">
        <f t="shared" si="68"/>
        <v>1422.4697143068274</v>
      </c>
      <c r="AK29" s="80">
        <f t="shared" si="68"/>
        <v>1338.9208763453007</v>
      </c>
      <c r="AL29" s="81">
        <f t="shared" si="68"/>
        <v>5174.5160240885652</v>
      </c>
      <c r="AM29" s="80">
        <f t="shared" si="68"/>
        <v>1297.640751933707</v>
      </c>
      <c r="AN29" s="80">
        <f t="shared" si="68"/>
        <v>1298.9066840654878</v>
      </c>
      <c r="AO29" s="80">
        <f t="shared" si="68"/>
        <v>1527.4127841756542</v>
      </c>
      <c r="AP29" s="80">
        <f t="shared" si="68"/>
        <v>1479.1875254687834</v>
      </c>
      <c r="AQ29" s="81">
        <f t="shared" si="68"/>
        <v>5603.1477456436387</v>
      </c>
      <c r="AR29" s="80">
        <f t="shared" si="68"/>
        <v>1392.354631094857</v>
      </c>
      <c r="AS29" s="80">
        <f t="shared" si="68"/>
        <v>1396.3169982046518</v>
      </c>
      <c r="AT29" s="80">
        <f t="shared" si="68"/>
        <v>1632.9429999721779</v>
      </c>
      <c r="AU29" s="80">
        <f t="shared" si="68"/>
        <v>1582.8373104617003</v>
      </c>
      <c r="AV29" s="81">
        <f t="shared" si="68"/>
        <v>6004.4519397333916</v>
      </c>
    </row>
    <row r="30" spans="1:48" x14ac:dyDescent="0.3">
      <c r="B30" s="580" t="s">
        <v>0</v>
      </c>
      <c r="C30" s="581"/>
      <c r="D30" s="101">
        <v>1242</v>
      </c>
      <c r="E30" s="101">
        <v>1239.2</v>
      </c>
      <c r="F30" s="101">
        <v>1211</v>
      </c>
      <c r="G30" s="101">
        <v>1210.7904210526317</v>
      </c>
      <c r="H30" s="169">
        <v>1221.2</v>
      </c>
      <c r="I30" s="101">
        <v>1180.4000000000001</v>
      </c>
      <c r="J30" s="101">
        <v>1171.8</v>
      </c>
      <c r="K30" s="101">
        <v>1168.5</v>
      </c>
      <c r="L30" s="101">
        <v>1167.3874645009873</v>
      </c>
      <c r="M30" s="17">
        <f>+(I27/M27*I30)+(J27/M27*J30)+(K27/M27*K30)+(L27/M27*L30)</f>
        <v>1180.550811766758</v>
      </c>
      <c r="N30" s="101">
        <v>1175</v>
      </c>
      <c r="O30" s="101">
        <v>1177.5</v>
      </c>
      <c r="P30" s="101">
        <v>1178.5</v>
      </c>
      <c r="Q30" s="101">
        <v>1179.5008492569002</v>
      </c>
      <c r="R30" s="169">
        <f>+(N27/R27*N30)+(O27/R27*O30)+(P27/R27*P30)+(Q27/R27*Q30)</f>
        <v>1178.2449155662418</v>
      </c>
      <c r="S30" s="16">
        <v>1169.5999999999999</v>
      </c>
      <c r="T30" s="16">
        <v>1149.2</v>
      </c>
      <c r="U30" s="16">
        <v>1147</v>
      </c>
      <c r="V30" s="101">
        <v>1147.8558123647915</v>
      </c>
      <c r="W30" s="169">
        <f>+(S27/W27*S30)+(T27/W27*T30)+(U27/W27*U30)+(V27/W27*V30)</f>
        <v>1153.3004977163769</v>
      </c>
      <c r="X30" s="101">
        <v>1148.5</v>
      </c>
      <c r="Y30" s="101">
        <v>1148.5</v>
      </c>
      <c r="Z30" s="16">
        <f>Y30*(1+Z151)-Z155-Z158-Z161</f>
        <v>1149.797</v>
      </c>
      <c r="AA30" s="16">
        <f>Z30*(1+AA151)-AA155-AA158-AA161</f>
        <v>1151.0965940000001</v>
      </c>
      <c r="AB30" s="17">
        <f>+(X27/AB27*X30)+(Y27/AB27*Y30)+(Z27/AB27*Z30)+(AA27/AB27*AA30)</f>
        <v>1149.5865739271821</v>
      </c>
      <c r="AC30" s="16">
        <f>AA30*(1+AC151)-AC155-AC158-AC161</f>
        <v>1152.5114068456933</v>
      </c>
      <c r="AD30" s="16">
        <f>AC30*(1+AD151)-AD155-AD158-AD161</f>
        <v>1153.9290493170779</v>
      </c>
      <c r="AE30" s="16">
        <f>AD30*(1+AE151)-AE155-AE158-AE161</f>
        <v>1155.3495270734052</v>
      </c>
      <c r="AF30" s="16">
        <f>AE30*(1+AF151)-AF155-AF158-AF161</f>
        <v>1156.7728457852452</v>
      </c>
      <c r="AG30" s="17">
        <f>+(AC27/AG27*AC30)+(AD27/AG27*AD30)+(AE27/AG27*AE30)+(AF27/AG27*AF30)</f>
        <v>1154.7293626341389</v>
      </c>
      <c r="AH30" s="16">
        <f>AF30*(1+AH151)-AH155-AH158-AH161</f>
        <v>1158.2412673412853</v>
      </c>
      <c r="AI30" s="16">
        <f>AH30*(1+AI151)-AI155-AI158-AI161</f>
        <v>1159.7126257404375</v>
      </c>
      <c r="AJ30" s="16">
        <f>AI30*(1+AJ151)-AJ155-AJ158-AJ161</f>
        <v>1114.7747492425913</v>
      </c>
      <c r="AK30" s="16">
        <f>AJ30*(1+AK151)-AK155-AK158-AK161</f>
        <v>1069.7469969917493</v>
      </c>
      <c r="AL30" s="17">
        <f>+(AH27/AL27*AH30)+(AI27/AL27*AI30)+(AJ27/AL27*AJ30)+(AK27/AL27*AK30)</f>
        <v>1123.7303725441739</v>
      </c>
      <c r="AM30" s="16">
        <f>AK30*(1+AM151)-AM155-AM158-AM161</f>
        <v>1069.8592742427227</v>
      </c>
      <c r="AN30" s="16">
        <f>AM30*(1+AN151)-AN155-AN158-AN161</f>
        <v>1069.9717760481981</v>
      </c>
      <c r="AO30" s="16">
        <f>AN30*(1+AO151)-AO155-AO158-AO161</f>
        <v>1070.0845028572844</v>
      </c>
      <c r="AP30" s="16">
        <f>AO30*(1+AP151)-AP155-AP158-AP161</f>
        <v>1070.1974551199889</v>
      </c>
      <c r="AQ30" s="17">
        <f>+(AM27/AQ27*AM30)+(AN27/AQ27*AN30)+(AO27/AQ27*AO30)+(AP27/AQ27*AP30)</f>
        <v>1070.0360568357648</v>
      </c>
      <c r="AR30" s="16">
        <f>AP30*(1+AR151)-AR155-AR158-AR161</f>
        <v>1070.3503826351209</v>
      </c>
      <c r="AS30" s="16">
        <f>AR30*(1+AS151)-AS155-AS158-AS161</f>
        <v>1070.503616005283</v>
      </c>
      <c r="AT30" s="16">
        <f>AS30*(1+AT151)-AT155-AT158-AT161</f>
        <v>1070.6571558421856</v>
      </c>
      <c r="AU30" s="16">
        <f>AT30*(1+AU151)-AU155-AU158-AU161</f>
        <v>1070.811002758762</v>
      </c>
      <c r="AV30" s="17">
        <f>+(AR27/AV27*AR30)+(AS27/AV27*AS30)+(AT27/AV27*AT30)+(AU27/AV27*AU30)</f>
        <v>1070.5909048796341</v>
      </c>
    </row>
    <row r="31" spans="1:48" ht="15.75" customHeight="1" x14ac:dyDescent="0.3">
      <c r="B31" s="580" t="s">
        <v>1</v>
      </c>
      <c r="C31" s="581"/>
      <c r="D31" s="101">
        <v>1253.4000000000001</v>
      </c>
      <c r="E31" s="101">
        <v>1250.7</v>
      </c>
      <c r="F31" s="101">
        <v>1223</v>
      </c>
      <c r="G31" s="101">
        <v>1222.8144210526316</v>
      </c>
      <c r="H31" s="169">
        <v>1233.2</v>
      </c>
      <c r="I31" s="101">
        <v>1191</v>
      </c>
      <c r="J31" s="101">
        <v>1180.7</v>
      </c>
      <c r="K31" s="101">
        <v>1168.5</v>
      </c>
      <c r="L31" s="101">
        <v>1179</v>
      </c>
      <c r="M31" s="17">
        <f>+(I27/M27*I31)+(J27/M27*J31)+(K27/M27*K31)+(L27/M27*L31)</f>
        <v>1198.7240978132002</v>
      </c>
      <c r="N31" s="101">
        <v>1183</v>
      </c>
      <c r="O31" s="101">
        <v>1184.8</v>
      </c>
      <c r="P31" s="101">
        <v>1186.2</v>
      </c>
      <c r="Q31" s="101">
        <v>1187.9000000000001</v>
      </c>
      <c r="R31" s="169">
        <f>+(N27/R27*N31)+(O27/R27*O31)+(P27/R27*P31)+(Q27/R27*Q31)</f>
        <v>1186.2203076629999</v>
      </c>
      <c r="S31" s="16">
        <v>1176.5999999999999</v>
      </c>
      <c r="T31" s="16">
        <v>1153.9000000000001</v>
      </c>
      <c r="U31" s="16">
        <v>1151</v>
      </c>
      <c r="V31" s="16">
        <v>1152.5</v>
      </c>
      <c r="W31" s="169">
        <f>+(S27/W27*S31)+(T27/W27*T31)+(U27/W27*U31)+(V27/W27*V31)</f>
        <v>1158.3626908426036</v>
      </c>
      <c r="X31" s="101">
        <v>1152.9000000000001</v>
      </c>
      <c r="Y31" s="101">
        <v>1152.7</v>
      </c>
      <c r="Z31" s="16">
        <f>Y31*(1+Z152)-Z155-Z158-Z161</f>
        <v>1152.8526999999999</v>
      </c>
      <c r="AA31" s="16">
        <f>Z31*(1+AA152)-AA155-AA158-AA161</f>
        <v>1153.0055526999997</v>
      </c>
      <c r="AB31" s="17">
        <f>+(X27/AB27*X31)+(Y27/AB27*Y31)+(Z27/AB27*Z31)+(AA27/AB27*AA31)</f>
        <v>1152.8715642935895</v>
      </c>
      <c r="AC31" s="16">
        <f>AA31*(1+AC152)-AC155-AC158-AC161</f>
        <v>1153.2711779103927</v>
      </c>
      <c r="AD31" s="16">
        <f>AC31*(1+AD152)-AD155-AD158-AD161</f>
        <v>1153.5370687459961</v>
      </c>
      <c r="AE31" s="16">
        <f>AD31*(1+AE152)-AE155-AE158-AE161</f>
        <v>1153.8032254724351</v>
      </c>
      <c r="AF31" s="16">
        <f>AE31*(1+AF152)-AF155-AF158-AF161</f>
        <v>1154.0696483556005</v>
      </c>
      <c r="AG31" s="17">
        <f>+(AC27/AG27*AC31)+(AD27/AG27*AD31)+(AE27/AG27*AE31)+(AF27/AG27*AF31)</f>
        <v>1153.6868910867454</v>
      </c>
      <c r="AH31" s="16">
        <f>AF31*(1+AH152)-AH155-AH158-AH161</f>
        <v>1154.3785938684257</v>
      </c>
      <c r="AI31" s="16">
        <f>AH31*(1+AI152)-AI155-AI158-AI161</f>
        <v>1154.6878483267637</v>
      </c>
      <c r="AJ31" s="16">
        <f>AI31*(1+AJ152)-AJ155-AJ158-AJ161</f>
        <v>1108.5852344257632</v>
      </c>
      <c r="AK31" s="16">
        <f>AJ31*(1+AK152)-AK155-AK158-AK161</f>
        <v>1062.4365179108618</v>
      </c>
      <c r="AL31" s="17">
        <f>+(AH27/AL27*AH31)+(AI27/AL27*AI31)+(AJ27/AL27*AJ31)+(AK27/AL27*AK31)</f>
        <v>1118.0642499474964</v>
      </c>
      <c r="AM31" s="16">
        <f>AK31*(1+AM152)-AM155-AM158-AM161</f>
        <v>1061.4717376857625</v>
      </c>
      <c r="AN31" s="16">
        <f>AM31*(1+AN152)-AN155-AN158-AN161</f>
        <v>1060.5059926804381</v>
      </c>
      <c r="AO31" s="16">
        <f>AN31*(1+AO152)-AO155-AO158-AO161</f>
        <v>1059.5392819301085</v>
      </c>
      <c r="AP31" s="16">
        <f>AO31*(1+AP152)-AP155-AP158-AP161</f>
        <v>1058.5716044690284</v>
      </c>
      <c r="AQ31" s="17">
        <f>+(AM27/AQ27*AM31)+(AN27/AQ27*AN31)+(AO27/AQ27*AO31)+(AP27/AQ27*AP31)</f>
        <v>1059.9552186425292</v>
      </c>
      <c r="AR31" s="16">
        <f>AP31*(1+AR152)-AR155-AR158-AR161</f>
        <v>1057.6427086783892</v>
      </c>
      <c r="AS31" s="16">
        <f>AR31*(1+AS152)-AS155-AS158-AS161</f>
        <v>1056.7128839919594</v>
      </c>
      <c r="AT31" s="16">
        <f>AS31*(1+AT152)-AT155-AT158-AT161</f>
        <v>1055.7821294808432</v>
      </c>
      <c r="AU31" s="16">
        <f>AT31*(1+AU152)-AU155-AU158-AU161</f>
        <v>1054.8504442152159</v>
      </c>
      <c r="AV31" s="17">
        <f>+(AR27/AV27*AR31)+(AS27/AV27*AS31)+(AT27/AV27*AT31)+(AU27/AV27*AU31)</f>
        <v>1056.1842016249695</v>
      </c>
    </row>
    <row r="32" spans="1:48" ht="15.75" customHeight="1" x14ac:dyDescent="0.3">
      <c r="B32" s="587" t="s">
        <v>6</v>
      </c>
      <c r="C32" s="588"/>
      <c r="D32" s="110">
        <f t="shared" ref="D32:AV32" si="69">D27/D30</f>
        <v>0.61239935587761718</v>
      </c>
      <c r="E32" s="110">
        <f t="shared" si="69"/>
        <v>0.53518398967075509</v>
      </c>
      <c r="F32" s="110">
        <f t="shared" si="69"/>
        <v>1.1336085879438487</v>
      </c>
      <c r="G32" s="110">
        <f t="shared" si="69"/>
        <v>0.66287276975832043</v>
      </c>
      <c r="H32" s="174">
        <f t="shared" si="69"/>
        <v>2.947264985260404</v>
      </c>
      <c r="I32" s="110">
        <f t="shared" si="69"/>
        <v>0.75033886818027684</v>
      </c>
      <c r="J32" s="110">
        <f t="shared" si="69"/>
        <v>0.28025260283324721</v>
      </c>
      <c r="K32" s="110">
        <f t="shared" si="69"/>
        <v>-0.58057338468121455</v>
      </c>
      <c r="L32" s="110">
        <f t="shared" si="69"/>
        <v>0.3363065065700544</v>
      </c>
      <c r="M32" s="25">
        <f t="shared" si="69"/>
        <v>0.78632786555858059</v>
      </c>
      <c r="N32" s="110">
        <f t="shared" si="69"/>
        <v>0.52953191489361717</v>
      </c>
      <c r="O32" s="110">
        <f t="shared" si="69"/>
        <v>0.55999999999999994</v>
      </c>
      <c r="P32" s="110">
        <f t="shared" si="69"/>
        <v>0.97870173949936268</v>
      </c>
      <c r="Q32" s="110">
        <f t="shared" si="69"/>
        <v>1.495887011112873</v>
      </c>
      <c r="R32" s="174">
        <f t="shared" si="69"/>
        <v>3.5641146798260079</v>
      </c>
      <c r="S32" s="24">
        <f t="shared" si="69"/>
        <v>0.69758891928864586</v>
      </c>
      <c r="T32" s="24">
        <f t="shared" si="69"/>
        <v>0.58710407239819018</v>
      </c>
      <c r="U32" s="24">
        <f t="shared" si="69"/>
        <v>0.79590235396686981</v>
      </c>
      <c r="V32" s="24">
        <f t="shared" si="69"/>
        <v>0.76490443359010318</v>
      </c>
      <c r="W32" s="174">
        <f t="shared" si="69"/>
        <v>2.8453122204469832</v>
      </c>
      <c r="X32" s="110">
        <f t="shared" si="69"/>
        <v>0.74462342185459218</v>
      </c>
      <c r="Y32" s="110">
        <f t="shared" si="69"/>
        <v>0.79050936003482863</v>
      </c>
      <c r="Z32" s="24">
        <f t="shared" si="69"/>
        <v>0.89307333940113809</v>
      </c>
      <c r="AA32" s="24">
        <f t="shared" si="69"/>
        <v>0.97784052941518651</v>
      </c>
      <c r="AB32" s="25">
        <f t="shared" si="69"/>
        <v>3.4060435621931773</v>
      </c>
      <c r="AC32" s="24">
        <f t="shared" si="69"/>
        <v>0.89000132480961003</v>
      </c>
      <c r="AD32" s="24">
        <f t="shared" si="69"/>
        <v>0.8796643857434282</v>
      </c>
      <c r="AE32" s="24">
        <f t="shared" si="69"/>
        <v>0.99958405915555082</v>
      </c>
      <c r="AF32" s="24">
        <f t="shared" si="69"/>
        <v>1.0031128877842894</v>
      </c>
      <c r="AG32" s="25">
        <f t="shared" si="69"/>
        <v>3.7723555216735005</v>
      </c>
      <c r="AH32" s="24">
        <f t="shared" si="69"/>
        <v>1.0356642036540855</v>
      </c>
      <c r="AI32" s="24">
        <f t="shared" si="69"/>
        <v>1.0376271543530735</v>
      </c>
      <c r="AJ32" s="24">
        <f t="shared" si="69"/>
        <v>1.2714282991240557</v>
      </c>
      <c r="AK32" s="24">
        <f t="shared" si="69"/>
        <v>1.2468437201742519</v>
      </c>
      <c r="AL32" s="25">
        <f t="shared" si="69"/>
        <v>4.5865644874722502</v>
      </c>
      <c r="AM32" s="24">
        <f t="shared" si="69"/>
        <v>1.2081282389945363</v>
      </c>
      <c r="AN32" s="24">
        <f t="shared" si="69"/>
        <v>1.2091843561267299</v>
      </c>
      <c r="AO32" s="24">
        <f t="shared" si="69"/>
        <v>1.4225972146498858</v>
      </c>
      <c r="AP32" s="24">
        <f t="shared" si="69"/>
        <v>1.3773850493156319</v>
      </c>
      <c r="AQ32" s="25">
        <f t="shared" si="69"/>
        <v>5.2172947874942563</v>
      </c>
      <c r="AR32" s="24">
        <f t="shared" si="69"/>
        <v>1.2960625815900599</v>
      </c>
      <c r="AS32" s="24">
        <f t="shared" si="69"/>
        <v>1.2995784660917131</v>
      </c>
      <c r="AT32" s="24">
        <f t="shared" si="69"/>
        <v>1.5204021568611692</v>
      </c>
      <c r="AU32" s="24">
        <f t="shared" si="69"/>
        <v>1.4733914345538943</v>
      </c>
      <c r="AV32" s="25">
        <f t="shared" si="69"/>
        <v>5.5894344969450991</v>
      </c>
    </row>
    <row r="33" spans="2:48" x14ac:dyDescent="0.3">
      <c r="B33" s="587" t="s">
        <v>7</v>
      </c>
      <c r="C33" s="588"/>
      <c r="D33" s="110">
        <f t="shared" ref="D33:AV33" si="70">D27/D31</f>
        <v>0.60682942396681061</v>
      </c>
      <c r="E33" s="110">
        <f t="shared" si="70"/>
        <v>0.53026305269049312</v>
      </c>
      <c r="F33" s="110">
        <f t="shared" si="70"/>
        <v>1.1224856909239582</v>
      </c>
      <c r="G33" s="110">
        <f t="shared" si="70"/>
        <v>0.65635470614510849</v>
      </c>
      <c r="H33" s="174">
        <f t="shared" si="70"/>
        <v>2.9185857930587131</v>
      </c>
      <c r="I33" s="110">
        <f t="shared" si="70"/>
        <v>0.74366078925272783</v>
      </c>
      <c r="J33" s="110">
        <f t="shared" si="70"/>
        <v>0.27814008638942922</v>
      </c>
      <c r="K33" s="110">
        <f t="shared" si="70"/>
        <v>-0.58057338468121455</v>
      </c>
      <c r="L33" s="110">
        <f t="shared" si="70"/>
        <v>0.3329940627650555</v>
      </c>
      <c r="M33" s="174">
        <f t="shared" si="70"/>
        <v>0.7744067226924668</v>
      </c>
      <c r="N33" s="110">
        <f t="shared" si="70"/>
        <v>0.52595097210481845</v>
      </c>
      <c r="O33" s="110">
        <f t="shared" si="70"/>
        <v>0.55654962862930457</v>
      </c>
      <c r="P33" s="110">
        <f t="shared" si="70"/>
        <v>0.97234867644579237</v>
      </c>
      <c r="Q33" s="110">
        <f t="shared" si="70"/>
        <v>1.4853102112972469</v>
      </c>
      <c r="R33" s="174">
        <f t="shared" si="70"/>
        <v>3.5401518359379072</v>
      </c>
      <c r="S33" s="24">
        <f t="shared" si="70"/>
        <v>0.69343872174060861</v>
      </c>
      <c r="T33" s="24">
        <f t="shared" si="70"/>
        <v>0.58471271340670783</v>
      </c>
      <c r="U33" s="24">
        <f t="shared" si="70"/>
        <v>0.79313640312771472</v>
      </c>
      <c r="V33" s="24">
        <f t="shared" si="70"/>
        <v>0.76182212581344788</v>
      </c>
      <c r="W33" s="174">
        <f t="shared" si="70"/>
        <v>2.8328778420971088</v>
      </c>
      <c r="X33" s="110">
        <f>X27/X31</f>
        <v>0.74178159424060985</v>
      </c>
      <c r="Y33" s="110">
        <f t="shared" si="70"/>
        <v>0.78762904485121943</v>
      </c>
      <c r="Z33" s="24">
        <f t="shared" si="70"/>
        <v>0.89070619899958647</v>
      </c>
      <c r="AA33" s="24">
        <f>AA27/AA31</f>
        <v>0.97622158041579254</v>
      </c>
      <c r="AB33" s="25">
        <f>AB27/AB31</f>
        <v>3.3963383871885151</v>
      </c>
      <c r="AC33" s="24">
        <f t="shared" si="70"/>
        <v>0.88941499501390686</v>
      </c>
      <c r="AD33" s="24">
        <f t="shared" si="70"/>
        <v>0.87996330231717901</v>
      </c>
      <c r="AE33" s="24">
        <f t="shared" si="70"/>
        <v>1.0009236796357619</v>
      </c>
      <c r="AF33" s="24">
        <f t="shared" si="70"/>
        <v>1.0054624965654975</v>
      </c>
      <c r="AG33" s="25">
        <f t="shared" si="70"/>
        <v>3.7757642223602987</v>
      </c>
      <c r="AH33" s="24">
        <f t="shared" si="70"/>
        <v>1.0391296461592512</v>
      </c>
      <c r="AI33" s="24">
        <f t="shared" si="70"/>
        <v>1.0421425266214861</v>
      </c>
      <c r="AJ33" s="24">
        <f t="shared" si="70"/>
        <v>1.2785270084082716</v>
      </c>
      <c r="AK33" s="24">
        <f t="shared" si="70"/>
        <v>1.2554230797687369</v>
      </c>
      <c r="AL33" s="25">
        <f t="shared" si="70"/>
        <v>4.6098082649964898</v>
      </c>
      <c r="AM33" s="24">
        <f t="shared" si="70"/>
        <v>1.21767462578026</v>
      </c>
      <c r="AN33" s="24">
        <f t="shared" si="70"/>
        <v>1.2199772014720449</v>
      </c>
      <c r="AO33" s="24">
        <f t="shared" si="70"/>
        <v>1.4367558231835311</v>
      </c>
      <c r="AP33" s="24">
        <f t="shared" si="70"/>
        <v>1.3925122951293352</v>
      </c>
      <c r="AQ33" s="25">
        <f t="shared" si="70"/>
        <v>5.2669145295683588</v>
      </c>
      <c r="AR33" s="24">
        <f t="shared" si="70"/>
        <v>1.3116348921437317</v>
      </c>
      <c r="AS33" s="24">
        <f t="shared" si="70"/>
        <v>1.3165387384870417</v>
      </c>
      <c r="AT33" s="24">
        <f t="shared" si="70"/>
        <v>1.5418232640495175</v>
      </c>
      <c r="AU33" s="24">
        <f t="shared" si="70"/>
        <v>1.4956847846469989</v>
      </c>
      <c r="AV33" s="25">
        <f t="shared" si="70"/>
        <v>5.6656762396590903</v>
      </c>
    </row>
    <row r="34" spans="2:48" x14ac:dyDescent="0.3">
      <c r="B34" s="93" t="s">
        <v>74</v>
      </c>
      <c r="C34" s="100"/>
      <c r="D34" s="111">
        <f t="shared" ref="D34:AV34" si="71">+D29/D31</f>
        <v>0.74999999999999922</v>
      </c>
      <c r="E34" s="111">
        <f t="shared" si="71"/>
        <v>0.60000000000000009</v>
      </c>
      <c r="F34" s="111">
        <f t="shared" si="71"/>
        <v>0.78</v>
      </c>
      <c r="G34" s="111">
        <f t="shared" si="71"/>
        <v>0.69511774261567683</v>
      </c>
      <c r="H34" s="172">
        <f t="shared" si="71"/>
        <v>2.8336117418099285</v>
      </c>
      <c r="I34" s="111">
        <f t="shared" si="71"/>
        <v>0.79454240134340781</v>
      </c>
      <c r="J34" s="111">
        <f t="shared" si="71"/>
        <v>0.31523672397730074</v>
      </c>
      <c r="K34" s="111">
        <f t="shared" si="71"/>
        <v>-0.46193838254171954</v>
      </c>
      <c r="L34" s="111">
        <f t="shared" si="71"/>
        <v>0.51</v>
      </c>
      <c r="M34" s="172">
        <f t="shared" si="71"/>
        <v>1.1512365543643674</v>
      </c>
      <c r="N34" s="111">
        <f t="shared" si="71"/>
        <v>0.60998309382924787</v>
      </c>
      <c r="O34" s="111">
        <f t="shared" si="71"/>
        <v>0.62099257258609042</v>
      </c>
      <c r="P34" s="111">
        <f t="shared" si="71"/>
        <v>1.0059332321699532</v>
      </c>
      <c r="Q34" s="111">
        <f t="shared" si="71"/>
        <v>0.99628807138648001</v>
      </c>
      <c r="R34" s="172">
        <f>+R29/R31+0.01</f>
        <v>3.2421909979383412</v>
      </c>
      <c r="S34" s="111">
        <f t="shared" si="71"/>
        <v>0.71999999999999986</v>
      </c>
      <c r="T34" s="111">
        <f t="shared" si="71"/>
        <v>0.58587745905191113</v>
      </c>
      <c r="U34" s="111">
        <f t="shared" si="71"/>
        <v>0.84046915725456095</v>
      </c>
      <c r="V34" s="111">
        <f t="shared" si="71"/>
        <v>0.80872017353579051</v>
      </c>
      <c r="W34" s="172">
        <f t="shared" si="71"/>
        <v>2.95471014998795</v>
      </c>
      <c r="X34" s="111">
        <f t="shared" si="71"/>
        <v>0.74707259953161509</v>
      </c>
      <c r="Y34" s="111">
        <f t="shared" si="71"/>
        <v>0.73614470373904795</v>
      </c>
      <c r="Z34" s="82">
        <f t="shared" si="71"/>
        <v>0.89514176216465846</v>
      </c>
      <c r="AA34" s="82">
        <f t="shared" si="71"/>
        <v>0.98065655556304954</v>
      </c>
      <c r="AB34" s="415">
        <f t="shared" si="71"/>
        <v>3.3590238246729478</v>
      </c>
      <c r="AC34" s="82">
        <f t="shared" si="71"/>
        <v>0.89384894868310294</v>
      </c>
      <c r="AD34" s="82">
        <f t="shared" si="71"/>
        <v>0.88439623395797373</v>
      </c>
      <c r="AE34" s="82">
        <f t="shared" si="71"/>
        <v>1.0053555886978811</v>
      </c>
      <c r="AF34" s="82">
        <f t="shared" si="71"/>
        <v>1.0098933824987337</v>
      </c>
      <c r="AG34" s="83">
        <f t="shared" si="71"/>
        <v>3.7934936462113642</v>
      </c>
      <c r="AH34" s="82">
        <f t="shared" si="71"/>
        <v>1.0435593462576718</v>
      </c>
      <c r="AI34" s="82">
        <f t="shared" si="71"/>
        <v>1.046571040334767</v>
      </c>
      <c r="AJ34" s="82">
        <f t="shared" si="71"/>
        <v>1.2831396902410066</v>
      </c>
      <c r="AK34" s="82">
        <f t="shared" si="71"/>
        <v>1.2602361211925472</v>
      </c>
      <c r="AL34" s="415">
        <f t="shared" si="71"/>
        <v>4.6281025659585824</v>
      </c>
      <c r="AM34" s="82">
        <f t="shared" si="71"/>
        <v>1.2224920418162464</v>
      </c>
      <c r="AN34" s="82">
        <f t="shared" si="71"/>
        <v>1.2247990044662451</v>
      </c>
      <c r="AO34" s="82">
        <f t="shared" si="71"/>
        <v>1.4415820255321206</v>
      </c>
      <c r="AP34" s="82">
        <f t="shared" si="71"/>
        <v>1.3973429092788983</v>
      </c>
      <c r="AQ34" s="83">
        <f t="shared" si="71"/>
        <v>5.2862117635681978</v>
      </c>
      <c r="AR34" s="82">
        <f t="shared" si="71"/>
        <v>1.3164697488764592</v>
      </c>
      <c r="AS34" s="82">
        <f t="shared" si="71"/>
        <v>1.3213778495155326</v>
      </c>
      <c r="AT34" s="82">
        <f t="shared" si="71"/>
        <v>1.5466666411328067</v>
      </c>
      <c r="AU34" s="82">
        <f t="shared" si="71"/>
        <v>1.5005324395908031</v>
      </c>
      <c r="AV34" s="83">
        <f t="shared" si="71"/>
        <v>5.6850423728127826</v>
      </c>
    </row>
    <row r="35" spans="2:48" x14ac:dyDescent="0.3">
      <c r="B35" s="38" t="s">
        <v>41</v>
      </c>
      <c r="C35" s="207"/>
      <c r="D35" s="239">
        <v>0.36</v>
      </c>
      <c r="E35" s="239">
        <v>0.36</v>
      </c>
      <c r="F35" s="239">
        <v>0.36</v>
      </c>
      <c r="G35" s="239">
        <v>0.41</v>
      </c>
      <c r="H35" s="174">
        <f>+SUM(D35:G35)</f>
        <v>1.49</v>
      </c>
      <c r="I35" s="239">
        <v>0.41</v>
      </c>
      <c r="J35" s="239">
        <v>0.41</v>
      </c>
      <c r="K35" s="239">
        <v>0.41</v>
      </c>
      <c r="L35" s="239">
        <f>K35*1.1</f>
        <v>0.45100000000000001</v>
      </c>
      <c r="M35" s="25">
        <f>+SUM(I35:L35)</f>
        <v>1.681</v>
      </c>
      <c r="N35" s="239">
        <f>+L35</f>
        <v>0.45100000000000001</v>
      </c>
      <c r="O35" s="239">
        <v>0.45</v>
      </c>
      <c r="P35" s="239">
        <v>0.45</v>
      </c>
      <c r="Q35" s="239">
        <v>0.49</v>
      </c>
      <c r="R35" s="25">
        <f>+SUM(N35:Q35)</f>
        <v>1.841</v>
      </c>
      <c r="S35" s="239">
        <v>0.49</v>
      </c>
      <c r="T35" s="239">
        <v>0.49</v>
      </c>
      <c r="U35" s="239">
        <v>0.49</v>
      </c>
      <c r="V35" s="239">
        <v>0.53</v>
      </c>
      <c r="W35" s="25">
        <f>+SUM(S35:V35)</f>
        <v>2</v>
      </c>
      <c r="X35" s="239">
        <v>0.53</v>
      </c>
      <c r="Y35" s="239">
        <v>0.53</v>
      </c>
      <c r="Z35" s="240">
        <f>+Y35</f>
        <v>0.53</v>
      </c>
      <c r="AA35" s="240">
        <f>1.05*Z35</f>
        <v>0.55650000000000011</v>
      </c>
      <c r="AB35" s="25">
        <f>+SUM(X35:AA35)</f>
        <v>2.1465000000000001</v>
      </c>
      <c r="AC35" s="240">
        <f>+AA35</f>
        <v>0.55650000000000011</v>
      </c>
      <c r="AD35" s="240">
        <f>+AC35</f>
        <v>0.55650000000000011</v>
      </c>
      <c r="AE35" s="240">
        <f>+AD35</f>
        <v>0.55650000000000011</v>
      </c>
      <c r="AF35" s="240">
        <f>1.05*AE35</f>
        <v>0.58432500000000009</v>
      </c>
      <c r="AG35" s="25">
        <f>+SUM(AC35:AF35)</f>
        <v>2.2538250000000004</v>
      </c>
      <c r="AH35" s="240">
        <f>+AF35</f>
        <v>0.58432500000000009</v>
      </c>
      <c r="AI35" s="240">
        <f>+AH35</f>
        <v>0.58432500000000009</v>
      </c>
      <c r="AJ35" s="240">
        <f>+AI35</f>
        <v>0.58432500000000009</v>
      </c>
      <c r="AK35" s="240">
        <f>1.05*AJ35</f>
        <v>0.61354125000000015</v>
      </c>
      <c r="AL35" s="25">
        <f>+SUM(AH35:AK35)</f>
        <v>2.3665162500000001</v>
      </c>
      <c r="AM35" s="240">
        <f>+AK35</f>
        <v>0.61354125000000015</v>
      </c>
      <c r="AN35" s="240">
        <f>+AM35</f>
        <v>0.61354125000000015</v>
      </c>
      <c r="AO35" s="240">
        <f>+AN35</f>
        <v>0.61354125000000015</v>
      </c>
      <c r="AP35" s="240">
        <f>1.02*AO35</f>
        <v>0.62581207500000013</v>
      </c>
      <c r="AQ35" s="25">
        <f>+SUM(AM35:AP35)</f>
        <v>2.4664358250000005</v>
      </c>
      <c r="AR35" s="240">
        <f>+AP35</f>
        <v>0.62581207500000013</v>
      </c>
      <c r="AS35" s="240">
        <f>+AR35</f>
        <v>0.62581207500000013</v>
      </c>
      <c r="AT35" s="240">
        <f>+AS35</f>
        <v>0.62581207500000013</v>
      </c>
      <c r="AU35" s="240">
        <f>1.02*AT35</f>
        <v>0.6383283165000001</v>
      </c>
      <c r="AV35" s="25">
        <f>+SUM(AR35:AU35)</f>
        <v>2.5157645415000003</v>
      </c>
    </row>
    <row r="36" spans="2:48" s="241" customFormat="1" x14ac:dyDescent="0.3">
      <c r="B36" s="242" t="s">
        <v>170</v>
      </c>
      <c r="C36" s="243"/>
      <c r="D36" s="211"/>
      <c r="E36" s="211"/>
      <c r="F36" s="211"/>
      <c r="G36" s="211"/>
      <c r="H36" s="244">
        <f>H35/H33</f>
        <v>0.51052122693931912</v>
      </c>
      <c r="I36" s="211"/>
      <c r="J36" s="211"/>
      <c r="K36" s="211"/>
      <c r="L36" s="211"/>
      <c r="M36" s="244">
        <f>M35/M33</f>
        <v>2.1706939657696651</v>
      </c>
      <c r="N36" s="211"/>
      <c r="O36" s="211"/>
      <c r="P36" s="211"/>
      <c r="Q36" s="211"/>
      <c r="R36" s="244">
        <f>R35/R33</f>
        <v>0.52003419212449009</v>
      </c>
      <c r="S36" s="211"/>
      <c r="T36" s="211"/>
      <c r="U36" s="211"/>
      <c r="V36" s="211"/>
      <c r="W36" s="244">
        <f>W35/W33</f>
        <v>0.70599584997263765</v>
      </c>
      <c r="X36" s="211"/>
      <c r="Y36" s="211"/>
      <c r="Z36" s="211"/>
      <c r="AA36" s="211"/>
      <c r="AB36" s="244">
        <f>AB35/AB33</f>
        <v>0.63200416310015273</v>
      </c>
      <c r="AC36" s="211"/>
      <c r="AD36" s="211"/>
      <c r="AE36" s="211"/>
      <c r="AF36" s="211"/>
      <c r="AG36" s="244">
        <f>AG35/AG33</f>
        <v>0.59691889304229206</v>
      </c>
      <c r="AH36" s="211"/>
      <c r="AI36" s="211"/>
      <c r="AJ36" s="211"/>
      <c r="AK36" s="211"/>
      <c r="AL36" s="431">
        <f>AL35/AL33</f>
        <v>0.51336544037408072</v>
      </c>
      <c r="AM36" s="211"/>
      <c r="AN36" s="211"/>
      <c r="AO36" s="211"/>
      <c r="AP36" s="211"/>
      <c r="AQ36" s="244">
        <f>AQ35/AQ33</f>
        <v>0.46828856081743425</v>
      </c>
      <c r="AR36" s="211"/>
      <c r="AS36" s="211"/>
      <c r="AT36" s="211"/>
      <c r="AU36" s="211"/>
      <c r="AV36" s="244">
        <f>AV35/AV33</f>
        <v>0.44403605767126864</v>
      </c>
    </row>
    <row r="37" spans="2:48" s="63" customFormat="1" x14ac:dyDescent="0.3">
      <c r="B37" s="198"/>
      <c r="C37" s="371"/>
      <c r="D37" s="372"/>
      <c r="E37" s="196"/>
      <c r="F37" s="196"/>
      <c r="G37" s="196">
        <f>G35/F35-1</f>
        <v>0.13888888888888884</v>
      </c>
      <c r="H37" s="196"/>
      <c r="I37" s="196"/>
      <c r="J37" s="196"/>
      <c r="K37" s="196"/>
      <c r="L37" s="196">
        <f>L35/K35-1</f>
        <v>0.10000000000000009</v>
      </c>
      <c r="M37" s="196"/>
      <c r="N37" s="196"/>
      <c r="O37" s="196"/>
      <c r="P37" s="196"/>
      <c r="Q37" s="196">
        <f>Q35/P35-1</f>
        <v>8.8888888888888795E-2</v>
      </c>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583" t="s">
        <v>13</v>
      </c>
      <c r="C38" s="584"/>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3" t="s">
        <v>407</v>
      </c>
      <c r="Y38" s="13" t="s">
        <v>451</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85"/>
      <c r="C39" s="586"/>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4" t="s">
        <v>408</v>
      </c>
      <c r="Y39" s="14" t="s">
        <v>452</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99" t="s">
        <v>174</v>
      </c>
      <c r="C40" s="600"/>
      <c r="D40" s="14"/>
      <c r="E40" s="14"/>
      <c r="F40" s="14"/>
      <c r="G40" s="14"/>
      <c r="H40" s="40"/>
      <c r="I40" s="14"/>
      <c r="J40" s="14"/>
      <c r="K40" s="14"/>
      <c r="L40" s="14"/>
      <c r="M40" s="40"/>
      <c r="N40" s="14"/>
      <c r="O40" s="14"/>
      <c r="P40" s="14"/>
      <c r="Q40" s="14"/>
      <c r="R40" s="40"/>
      <c r="S40" s="14"/>
      <c r="T40" s="14"/>
      <c r="U40" s="14"/>
      <c r="V40" s="14"/>
      <c r="W40" s="40"/>
      <c r="X40" s="14"/>
      <c r="Y40" s="14"/>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601" t="s">
        <v>175</v>
      </c>
      <c r="C41" s="602"/>
      <c r="D41" s="21">
        <v>9777</v>
      </c>
      <c r="E41" s="21">
        <v>9776</v>
      </c>
      <c r="F41" s="116">
        <v>9857</v>
      </c>
      <c r="G41" s="21">
        <v>9974</v>
      </c>
      <c r="H41" s="57"/>
      <c r="I41" s="21">
        <v>10020</v>
      </c>
      <c r="J41" s="21">
        <v>10051</v>
      </c>
      <c r="K41" s="21">
        <v>10017</v>
      </c>
      <c r="L41" s="21">
        <v>10109</v>
      </c>
      <c r="M41" s="57"/>
      <c r="N41" s="21">
        <v>10029</v>
      </c>
      <c r="O41" s="21">
        <f>+N41+O42</f>
        <v>9820</v>
      </c>
      <c r="P41" s="21">
        <f>+O41+P42</f>
        <v>9860</v>
      </c>
      <c r="Q41" s="21">
        <f>+P41+Q42</f>
        <v>9861</v>
      </c>
      <c r="R41" s="191"/>
      <c r="S41" s="21">
        <f>+Q41+S42</f>
        <v>9900</v>
      </c>
      <c r="T41" s="21">
        <f>+S41+T42</f>
        <v>9954</v>
      </c>
      <c r="U41" s="21">
        <f>+T41+U42</f>
        <v>10050</v>
      </c>
      <c r="V41" s="21">
        <f>+U41+V42</f>
        <v>10216</v>
      </c>
      <c r="W41" s="191">
        <f>V41</f>
        <v>10216</v>
      </c>
      <c r="X41" s="21">
        <f>+V41+X42</f>
        <v>10256</v>
      </c>
      <c r="Y41" s="21">
        <f>+X41+Y42</f>
        <v>10347</v>
      </c>
      <c r="Z41" s="21">
        <f>+Y41+Z42</f>
        <v>10432</v>
      </c>
      <c r="AA41" s="21">
        <f>+Z41+AA42</f>
        <v>10522</v>
      </c>
      <c r="AB41" s="191">
        <f>AA41</f>
        <v>10522</v>
      </c>
      <c r="AC41" s="21">
        <f>+AA41+AC42</f>
        <v>10594</v>
      </c>
      <c r="AD41" s="21">
        <f>+AC41+AD42</f>
        <v>10666</v>
      </c>
      <c r="AE41" s="21">
        <f>+AD41+AE42</f>
        <v>10739</v>
      </c>
      <c r="AF41" s="21">
        <f>+AE41+AF42</f>
        <v>10812</v>
      </c>
      <c r="AG41" s="191">
        <f>AF41</f>
        <v>10812</v>
      </c>
      <c r="AH41" s="21">
        <f>+AF41+AH42</f>
        <v>10898</v>
      </c>
      <c r="AI41" s="21">
        <f>+AH41+AI42</f>
        <v>10984</v>
      </c>
      <c r="AJ41" s="21">
        <f>+AI41+AJ42</f>
        <v>11070</v>
      </c>
      <c r="AK41" s="21">
        <f>+AJ41+AK42</f>
        <v>11156</v>
      </c>
      <c r="AL41" s="191">
        <f>AK41</f>
        <v>11156</v>
      </c>
      <c r="AM41" s="21">
        <f>+AK41+AM42</f>
        <v>11252</v>
      </c>
      <c r="AN41" s="21">
        <f>+AM41+AN42</f>
        <v>11348</v>
      </c>
      <c r="AO41" s="21">
        <f>+AN41+AO42</f>
        <v>11444</v>
      </c>
      <c r="AP41" s="21">
        <f>+AO41+AP42</f>
        <v>11540</v>
      </c>
      <c r="AQ41" s="191">
        <f>AP41</f>
        <v>11540</v>
      </c>
      <c r="AR41" s="21">
        <f>+AP41+AR42</f>
        <v>11636</v>
      </c>
      <c r="AS41" s="21">
        <f>+AR41+AS42</f>
        <v>11732</v>
      </c>
      <c r="AT41" s="21">
        <f>+AS41+AT42</f>
        <v>11828</v>
      </c>
      <c r="AU41" s="21">
        <f>+AT41+AU42</f>
        <v>11924</v>
      </c>
      <c r="AV41" s="191">
        <f>AU41</f>
        <v>11924</v>
      </c>
    </row>
    <row r="42" spans="2:48" outlineLevel="1" x14ac:dyDescent="0.3">
      <c r="B42" s="180" t="s">
        <v>46</v>
      </c>
      <c r="C42" s="201"/>
      <c r="D42" s="101">
        <f>+D41-9690</f>
        <v>87</v>
      </c>
      <c r="E42" s="101">
        <f>E41-D41</f>
        <v>-1</v>
      </c>
      <c r="F42" s="101">
        <f>F41-E41</f>
        <v>81</v>
      </c>
      <c r="G42" s="101">
        <f>G41-F41</f>
        <v>117</v>
      </c>
      <c r="H42" s="122">
        <f>+SUM(D42:G42)</f>
        <v>284</v>
      </c>
      <c r="I42" s="101">
        <f>I41-G41</f>
        <v>46</v>
      </c>
      <c r="J42" s="101">
        <f>J41-I41</f>
        <v>31</v>
      </c>
      <c r="K42" s="101">
        <f>K41-J41</f>
        <v>-34</v>
      </c>
      <c r="L42" s="101">
        <f>L41-K41</f>
        <v>92</v>
      </c>
      <c r="M42" s="122"/>
      <c r="N42" s="101">
        <v>-80</v>
      </c>
      <c r="O42" s="101">
        <v>-209</v>
      </c>
      <c r="P42" s="101">
        <v>40</v>
      </c>
      <c r="Q42" s="101">
        <v>1</v>
      </c>
      <c r="R42" s="26"/>
      <c r="S42" s="101">
        <v>39</v>
      </c>
      <c r="T42" s="101">
        <v>54</v>
      </c>
      <c r="U42" s="101">
        <v>96</v>
      </c>
      <c r="V42" s="101">
        <v>166</v>
      </c>
      <c r="W42" s="122">
        <f>+SUM(S42:V42)</f>
        <v>355</v>
      </c>
      <c r="X42" s="101">
        <v>40</v>
      </c>
      <c r="Y42" s="101">
        <v>91</v>
      </c>
      <c r="Z42" s="33">
        <v>85</v>
      </c>
      <c r="AA42" s="33">
        <v>90</v>
      </c>
      <c r="AB42" s="26">
        <f>+SUM(X42:AA42)</f>
        <v>306</v>
      </c>
      <c r="AC42" s="33">
        <v>72</v>
      </c>
      <c r="AD42" s="33">
        <v>72</v>
      </c>
      <c r="AE42" s="33">
        <v>73</v>
      </c>
      <c r="AF42" s="33">
        <v>73</v>
      </c>
      <c r="AG42" s="26">
        <f>+SUM(AC42:AF42)</f>
        <v>290</v>
      </c>
      <c r="AH42" s="33">
        <v>86</v>
      </c>
      <c r="AI42" s="33">
        <v>86</v>
      </c>
      <c r="AJ42" s="33">
        <v>86</v>
      </c>
      <c r="AK42" s="33">
        <v>86</v>
      </c>
      <c r="AL42" s="26">
        <f>+SUM(AH42:AK42)</f>
        <v>344</v>
      </c>
      <c r="AM42" s="33">
        <v>96</v>
      </c>
      <c r="AN42" s="33">
        <v>96</v>
      </c>
      <c r="AO42" s="33">
        <v>96</v>
      </c>
      <c r="AP42" s="33">
        <v>96</v>
      </c>
      <c r="AQ42" s="26">
        <f>+SUM(AM42:AP42)</f>
        <v>384</v>
      </c>
      <c r="AR42" s="33">
        <v>96</v>
      </c>
      <c r="AS42" s="33">
        <v>96</v>
      </c>
      <c r="AT42" s="33">
        <v>96</v>
      </c>
      <c r="AU42" s="33">
        <v>96</v>
      </c>
      <c r="AV42" s="26">
        <f>+SUM(AR42:AU42)</f>
        <v>384</v>
      </c>
    </row>
    <row r="43" spans="2:48" outlineLevel="1" x14ac:dyDescent="0.3">
      <c r="B43" s="180" t="s">
        <v>201</v>
      </c>
      <c r="C43" s="201"/>
      <c r="D43" s="101">
        <f>D41</f>
        <v>9777</v>
      </c>
      <c r="E43" s="101">
        <f>AVERAGE(D41,E41)</f>
        <v>9776.5</v>
      </c>
      <c r="F43" s="101">
        <f t="shared" ref="F43:G43" si="72">AVERAGE(E41,F41)</f>
        <v>9816.5</v>
      </c>
      <c r="G43" s="101">
        <f t="shared" si="72"/>
        <v>9915.5</v>
      </c>
      <c r="H43" s="122"/>
      <c r="I43" s="101">
        <f>AVERAGE(G41,I41)</f>
        <v>9997</v>
      </c>
      <c r="J43" s="101">
        <f>AVERAGE(I41,J41)</f>
        <v>10035.5</v>
      </c>
      <c r="K43" s="101">
        <f t="shared" ref="K43:L43" si="73">AVERAGE(J41,K41)</f>
        <v>10034</v>
      </c>
      <c r="L43" s="101">
        <f t="shared" si="73"/>
        <v>10063</v>
      </c>
      <c r="M43" s="122"/>
      <c r="N43" s="101">
        <f>AVERAGE(L41,N41)</f>
        <v>10069</v>
      </c>
      <c r="O43" s="101">
        <f>AVERAGE(N41,O41)</f>
        <v>9924.5</v>
      </c>
      <c r="P43" s="101">
        <f t="shared" ref="P43:Q43" si="74">AVERAGE(O41,P41)</f>
        <v>9840</v>
      </c>
      <c r="Q43" s="101">
        <f t="shared" si="74"/>
        <v>9860.5</v>
      </c>
      <c r="R43" s="122"/>
      <c r="S43" s="101">
        <f>AVERAGE(Q41,S41)</f>
        <v>9880.5</v>
      </c>
      <c r="T43" s="101">
        <f>AVERAGE(S41,T41)</f>
        <v>9927</v>
      </c>
      <c r="U43" s="101">
        <f t="shared" ref="U43" si="75">AVERAGE(T41,U41)</f>
        <v>10002</v>
      </c>
      <c r="V43" s="101">
        <f>AVERAGE(U41,V41)</f>
        <v>10133</v>
      </c>
      <c r="W43" s="122"/>
      <c r="X43" s="101">
        <f>AVERAGE(V41,X41)</f>
        <v>10236</v>
      </c>
      <c r="Y43" s="101">
        <f>AVERAGE(X41,Y41)</f>
        <v>10301.5</v>
      </c>
      <c r="Z43" s="101">
        <f t="shared" ref="Z43:AA43" si="76">AVERAGE(Y41,Z41)</f>
        <v>10389.5</v>
      </c>
      <c r="AA43" s="101">
        <f t="shared" si="76"/>
        <v>10477</v>
      </c>
      <c r="AB43" s="122"/>
      <c r="AC43" s="101">
        <f>AVERAGE(AA41,AC41)</f>
        <v>10558</v>
      </c>
      <c r="AD43" s="101">
        <f>AVERAGE(AC41,AD41)</f>
        <v>10630</v>
      </c>
      <c r="AE43" s="101">
        <f t="shared" ref="AE43:AF43" si="77">AVERAGE(AD41,AE41)</f>
        <v>10702.5</v>
      </c>
      <c r="AF43" s="101">
        <f t="shared" si="77"/>
        <v>10775.5</v>
      </c>
      <c r="AG43" s="122"/>
      <c r="AH43" s="101">
        <f>AVERAGE(AF41,AH41)</f>
        <v>10855</v>
      </c>
      <c r="AI43" s="101">
        <f>AVERAGE(AH41,AI41)</f>
        <v>10941</v>
      </c>
      <c r="AJ43" s="101">
        <f t="shared" ref="AJ43:AK43" si="78">AVERAGE(AI41,AJ41)</f>
        <v>11027</v>
      </c>
      <c r="AK43" s="101">
        <f t="shared" si="78"/>
        <v>11113</v>
      </c>
      <c r="AL43" s="122"/>
      <c r="AM43" s="101">
        <f>AVERAGE(AK41,AM41)</f>
        <v>11204</v>
      </c>
      <c r="AN43" s="101">
        <f>AVERAGE(AM41,AN41)</f>
        <v>11300</v>
      </c>
      <c r="AO43" s="101">
        <f t="shared" ref="AO43:AP43" si="79">AVERAGE(AN41,AO41)</f>
        <v>11396</v>
      </c>
      <c r="AP43" s="101">
        <f t="shared" si="79"/>
        <v>11492</v>
      </c>
      <c r="AQ43" s="122"/>
      <c r="AR43" s="101">
        <f>AVERAGE(AP41,AR41)</f>
        <v>11588</v>
      </c>
      <c r="AS43" s="101">
        <f>AVERAGE(AR41,AS41)</f>
        <v>11684</v>
      </c>
      <c r="AT43" s="101">
        <f t="shared" ref="AT43:AU43" si="80">AVERAGE(AS41,AT41)</f>
        <v>11780</v>
      </c>
      <c r="AU43" s="101">
        <f t="shared" si="80"/>
        <v>11876</v>
      </c>
      <c r="AV43" s="122"/>
    </row>
    <row r="44" spans="2:48" s="8" customFormat="1" outlineLevel="1" x14ac:dyDescent="0.3">
      <c r="B44" s="180" t="s">
        <v>205</v>
      </c>
      <c r="C44" s="206"/>
      <c r="D44" s="472"/>
      <c r="E44" s="43">
        <f>+E45/E43</f>
        <v>0.39376054825346496</v>
      </c>
      <c r="F44" s="43">
        <f>+F45/F43</f>
        <v>0.42603779351092547</v>
      </c>
      <c r="G44" s="43">
        <f>+G45/G43</f>
        <v>0.4199687358176592</v>
      </c>
      <c r="H44" s="471"/>
      <c r="I44" s="43">
        <f>+I45/I43</f>
        <v>0.44723417025107531</v>
      </c>
      <c r="J44" s="43">
        <f>+J45/J43</f>
        <v>0.38499327387773402</v>
      </c>
      <c r="K44" s="43">
        <f>+K45/K43</f>
        <v>0.25601953358580826</v>
      </c>
      <c r="L44" s="43">
        <f>+L45/L43</f>
        <v>0.3851038457716387</v>
      </c>
      <c r="M44" s="471"/>
      <c r="N44" s="43">
        <f>+N45/N43</f>
        <v>0.42554374813784884</v>
      </c>
      <c r="O44" s="43">
        <f>+O45/O43</f>
        <v>0.43008715804322634</v>
      </c>
      <c r="P44" s="43">
        <f>+P45/P43</f>
        <v>0.50099593495934958</v>
      </c>
      <c r="Q44" s="43">
        <f>+Q45/Q43</f>
        <v>0.53286344505856698</v>
      </c>
      <c r="R44" s="97"/>
      <c r="S44" s="43">
        <f>+S45/S43</f>
        <v>0.52771620869389202</v>
      </c>
      <c r="T44" s="43">
        <f>+T45/T43</f>
        <v>0.49725999798529263</v>
      </c>
      <c r="U44" s="43">
        <f>+U45/U43</f>
        <v>0.55120975804839034</v>
      </c>
      <c r="V44" s="43">
        <f>+V45/V43</f>
        <v>0.54776472910293106</v>
      </c>
      <c r="W44" s="132"/>
      <c r="X44" s="114">
        <f>+X45/X43</f>
        <v>0.57352481438061742</v>
      </c>
      <c r="Y44" s="114">
        <f>+Y45/Y43</f>
        <v>0.55746250546036979</v>
      </c>
      <c r="Z44" s="219">
        <f>U44*1.07</f>
        <v>0.5897944411117777</v>
      </c>
      <c r="AA44" s="219">
        <f>V44*1.03</f>
        <v>0.56419767097601903</v>
      </c>
      <c r="AB44" s="97"/>
      <c r="AC44" s="219">
        <f>X44*1.05</f>
        <v>0.60220105509964827</v>
      </c>
      <c r="AD44" s="219">
        <f>Y44*1.05</f>
        <v>0.58533563073338835</v>
      </c>
      <c r="AE44" s="219">
        <f>Z44*1.05</f>
        <v>0.61928416316736656</v>
      </c>
      <c r="AF44" s="219">
        <f>AA44*1.05</f>
        <v>0.59240755452481997</v>
      </c>
      <c r="AG44" s="97"/>
      <c r="AH44" s="219">
        <f>AC44*1.07</f>
        <v>0.64435512895662372</v>
      </c>
      <c r="AI44" s="219">
        <f>AD44*1.07</f>
        <v>0.62630912488472557</v>
      </c>
      <c r="AJ44" s="219">
        <f>AE44*1.07</f>
        <v>0.66263405458908231</v>
      </c>
      <c r="AK44" s="219">
        <f>AF44*1.07</f>
        <v>0.63387608334155743</v>
      </c>
      <c r="AL44" s="97"/>
      <c r="AM44" s="477">
        <f>AH44*1.05</f>
        <v>0.67657288540445493</v>
      </c>
      <c r="AN44" s="477">
        <f>AI44*1.05</f>
        <v>0.65762458112896183</v>
      </c>
      <c r="AO44" s="477">
        <f>AJ44*1.05</f>
        <v>0.6957657573185364</v>
      </c>
      <c r="AP44" s="477">
        <f>AK44*1.05</f>
        <v>0.66556988750863533</v>
      </c>
      <c r="AQ44" s="97"/>
      <c r="AR44" s="477">
        <f>AM44*1.03</f>
        <v>0.69687007196658857</v>
      </c>
      <c r="AS44" s="477">
        <f>AN44*1.03</f>
        <v>0.67735331856283065</v>
      </c>
      <c r="AT44" s="477">
        <f>AO44*1.03</f>
        <v>0.71663873003809253</v>
      </c>
      <c r="AU44" s="477">
        <f>AP44*1.03</f>
        <v>0.68553698413389441</v>
      </c>
      <c r="AV44" s="97"/>
    </row>
    <row r="45" spans="2:48" s="8" customFormat="1" outlineLevel="1" x14ac:dyDescent="0.3">
      <c r="B45" s="587" t="s">
        <v>176</v>
      </c>
      <c r="C45" s="588"/>
      <c r="D45" s="50">
        <v>4092.2</v>
      </c>
      <c r="E45" s="50">
        <v>3849.6</v>
      </c>
      <c r="F45" s="50">
        <v>4182.2</v>
      </c>
      <c r="G45" s="50">
        <v>4164.2</v>
      </c>
      <c r="H45" s="97">
        <f>SUM(D45:G45)</f>
        <v>16288.2</v>
      </c>
      <c r="I45" s="50">
        <v>4471</v>
      </c>
      <c r="J45" s="50">
        <v>3863.6</v>
      </c>
      <c r="K45" s="103">
        <v>2568.9</v>
      </c>
      <c r="L45" s="50">
        <v>3875.3</v>
      </c>
      <c r="M45" s="132">
        <f>SUM(I45:L45)</f>
        <v>14778.8</v>
      </c>
      <c r="N45" s="50">
        <v>4284.8</v>
      </c>
      <c r="O45" s="50">
        <v>4268.3999999999996</v>
      </c>
      <c r="P45" s="50">
        <v>4929.8</v>
      </c>
      <c r="Q45" s="103">
        <v>5254.3</v>
      </c>
      <c r="R45" s="132">
        <f>SUM(N45:Q45)</f>
        <v>18737.3</v>
      </c>
      <c r="S45" s="50">
        <v>5214.1000000000004</v>
      </c>
      <c r="T45" s="50">
        <v>4936.3</v>
      </c>
      <c r="U45" s="50">
        <v>5513.2</v>
      </c>
      <c r="V45" s="50">
        <v>5550.5</v>
      </c>
      <c r="W45" s="132">
        <f>SUM(S45:V45)</f>
        <v>21214.100000000002</v>
      </c>
      <c r="X45" s="103">
        <v>5870.6</v>
      </c>
      <c r="Y45" s="103">
        <v>5742.7</v>
      </c>
      <c r="Z45" s="50">
        <f>Z44*Z43</f>
        <v>6127.6693459308144</v>
      </c>
      <c r="AA45" s="50">
        <f>AA44*AA43</f>
        <v>5911.0989988157517</v>
      </c>
      <c r="AB45" s="97">
        <f>SUM(X45:AA45)</f>
        <v>23652.068344746567</v>
      </c>
      <c r="AC45" s="50">
        <f>AC44*AC43</f>
        <v>6358.0387397420864</v>
      </c>
      <c r="AD45" s="50">
        <f>AD44*AD43</f>
        <v>6222.1177546959179</v>
      </c>
      <c r="AE45" s="50">
        <f>AE44*AE43</f>
        <v>6627.8887562987411</v>
      </c>
      <c r="AF45" s="50">
        <f>AF44*AF43</f>
        <v>6383.4876037821978</v>
      </c>
      <c r="AG45" s="97">
        <f>SUM(AC45:AF45)</f>
        <v>25591.53285451894</v>
      </c>
      <c r="AH45" s="50">
        <f>AH44*AH43</f>
        <v>6994.4749248241505</v>
      </c>
      <c r="AI45" s="50">
        <f>AI44*AI43</f>
        <v>6852.4481353637821</v>
      </c>
      <c r="AJ45" s="50">
        <f>AJ44*AJ43</f>
        <v>7306.8657199538111</v>
      </c>
      <c r="AK45" s="50">
        <f>AK44*AK43</f>
        <v>7044.2649141747279</v>
      </c>
      <c r="AL45" s="97">
        <f>SUM(AH45:AK45)</f>
        <v>28198.05369431647</v>
      </c>
      <c r="AM45" s="50">
        <f>AM44*AM43</f>
        <v>7580.3226080715131</v>
      </c>
      <c r="AN45" s="50">
        <f>AN44*AN43</f>
        <v>7431.1577667572683</v>
      </c>
      <c r="AO45" s="50">
        <f>AO44*AO43</f>
        <v>7928.9465704020413</v>
      </c>
      <c r="AP45" s="50">
        <f>AP44*AP43</f>
        <v>7648.729147249237</v>
      </c>
      <c r="AQ45" s="97">
        <f>SUM(AM45:AP45)</f>
        <v>30589.156092480058</v>
      </c>
      <c r="AR45" s="50">
        <f>AR44*AR43</f>
        <v>8075.3303939488287</v>
      </c>
      <c r="AS45" s="50">
        <f>AS44*AS43</f>
        <v>7914.1961740881134</v>
      </c>
      <c r="AT45" s="50">
        <f>AT44*AT43</f>
        <v>8442.0042398487294</v>
      </c>
      <c r="AU45" s="50">
        <f>AU44*AU43</f>
        <v>8141.4372235741303</v>
      </c>
      <c r="AV45" s="97">
        <f>SUM(AR45:AU45)</f>
        <v>32572.968031459801</v>
      </c>
    </row>
    <row r="46" spans="2:48" s="8" customFormat="1" outlineLevel="1" x14ac:dyDescent="0.3">
      <c r="B46" s="38" t="s">
        <v>200</v>
      </c>
      <c r="C46" s="206"/>
      <c r="D46" s="43"/>
      <c r="E46" s="43"/>
      <c r="F46" s="43"/>
      <c r="G46" s="43"/>
      <c r="H46" s="97"/>
      <c r="I46" s="27">
        <f>I45/D45-1</f>
        <v>9.2566345730902722E-2</v>
      </c>
      <c r="J46" s="27">
        <f>J45/E45-1</f>
        <v>3.6367414796343311E-3</v>
      </c>
      <c r="K46" s="27">
        <f>K45/F45-1</f>
        <v>-0.38575390942566112</v>
      </c>
      <c r="L46" s="27">
        <f>L45/G45-1</f>
        <v>-6.9377071226165765E-2</v>
      </c>
      <c r="M46" s="97"/>
      <c r="N46" s="27">
        <f>N45/I45-1</f>
        <v>-4.1646164169089617E-2</v>
      </c>
      <c r="O46" s="27">
        <f>O45/J45-1</f>
        <v>0.10477275080236037</v>
      </c>
      <c r="P46" s="27">
        <f>P45/K45-1</f>
        <v>0.91903149207832135</v>
      </c>
      <c r="Q46" s="27">
        <f>Q45/L45-1</f>
        <v>0.35584341857404578</v>
      </c>
      <c r="R46" s="97"/>
      <c r="S46" s="27">
        <f>S45/N45-1</f>
        <v>0.21688293502613898</v>
      </c>
      <c r="T46" s="27">
        <f>T45/O45-1</f>
        <v>0.15647549433042851</v>
      </c>
      <c r="U46" s="27">
        <f>U45/P45-1</f>
        <v>0.11834151486875721</v>
      </c>
      <c r="V46" s="27">
        <f>V45/Q45-1</f>
        <v>5.6372875549549839E-2</v>
      </c>
      <c r="W46" s="98">
        <f>W45/R45-1</f>
        <v>0.13218553366813812</v>
      </c>
      <c r="X46" s="113">
        <f t="shared" ref="X46:AV46" si="81">X45/S45-1</f>
        <v>0.12590859400471799</v>
      </c>
      <c r="Y46" s="113">
        <f t="shared" si="81"/>
        <v>0.16336122196787062</v>
      </c>
      <c r="Z46" s="27">
        <f t="shared" si="81"/>
        <v>0.1114542091581685</v>
      </c>
      <c r="AA46" s="27">
        <f t="shared" si="81"/>
        <v>6.4966939701964099E-2</v>
      </c>
      <c r="AB46" s="98">
        <f t="shared" si="81"/>
        <v>0.11492207280754618</v>
      </c>
      <c r="AC46" s="27">
        <f t="shared" si="81"/>
        <v>8.3030480656506311E-2</v>
      </c>
      <c r="AD46" s="27">
        <f t="shared" si="81"/>
        <v>8.3482987914381468E-2</v>
      </c>
      <c r="AE46" s="27">
        <f t="shared" si="81"/>
        <v>8.1632898599547588E-2</v>
      </c>
      <c r="AF46" s="27">
        <f t="shared" si="81"/>
        <v>7.9915529254557471E-2</v>
      </c>
      <c r="AG46" s="98">
        <f t="shared" si="81"/>
        <v>8.199978460670887E-2</v>
      </c>
      <c r="AH46" s="27">
        <f t="shared" si="81"/>
        <v>0.1000994506535331</v>
      </c>
      <c r="AI46" s="27">
        <f t="shared" si="81"/>
        <v>0.10130479774223899</v>
      </c>
      <c r="AJ46" s="27">
        <f t="shared" si="81"/>
        <v>0.10244241999532844</v>
      </c>
      <c r="AK46" s="27">
        <f t="shared" si="81"/>
        <v>0.1035135260544755</v>
      </c>
      <c r="AL46" s="98">
        <f t="shared" si="81"/>
        <v>0.1018509072752658</v>
      </c>
      <c r="AM46" s="27">
        <f t="shared" si="81"/>
        <v>8.3758636573007861E-2</v>
      </c>
      <c r="AN46" s="27">
        <f t="shared" si="81"/>
        <v>8.4452975047984546E-2</v>
      </c>
      <c r="AO46" s="27">
        <f t="shared" si="81"/>
        <v>8.5136483177654876E-2</v>
      </c>
      <c r="AP46" s="27">
        <f t="shared" si="81"/>
        <v>8.5809412399892038E-2</v>
      </c>
      <c r="AQ46" s="98">
        <f t="shared" si="81"/>
        <v>8.4796717677203759E-2</v>
      </c>
      <c r="AR46" s="27">
        <f t="shared" si="81"/>
        <v>6.5301677972152916E-2</v>
      </c>
      <c r="AS46" s="27">
        <f t="shared" si="81"/>
        <v>6.5001769911504415E-2</v>
      </c>
      <c r="AT46" s="27">
        <f t="shared" si="81"/>
        <v>6.4706914706914587E-2</v>
      </c>
      <c r="AU46" s="27">
        <f t="shared" si="81"/>
        <v>6.4416985729202958E-2</v>
      </c>
      <c r="AV46" s="98">
        <f t="shared" si="81"/>
        <v>6.4853438028237731E-2</v>
      </c>
    </row>
    <row r="47" spans="2:48" outlineLevel="1" x14ac:dyDescent="0.3">
      <c r="B47" s="220" t="s">
        <v>44</v>
      </c>
      <c r="C47" s="221"/>
      <c r="D47" s="222">
        <v>0.04</v>
      </c>
      <c r="E47" s="222">
        <v>0</v>
      </c>
      <c r="F47" s="222">
        <v>0.03</v>
      </c>
      <c r="G47" s="222">
        <v>0.03</v>
      </c>
      <c r="H47" s="223"/>
      <c r="I47" s="222">
        <v>0.02</v>
      </c>
      <c r="J47" s="222">
        <v>-7.0000000000000007E-2</v>
      </c>
      <c r="K47" s="222">
        <v>-0.53</v>
      </c>
      <c r="L47" s="224">
        <v>-0.25</v>
      </c>
      <c r="M47" s="223"/>
      <c r="N47" s="222">
        <v>-0.21</v>
      </c>
      <c r="O47" s="222">
        <v>-0.1</v>
      </c>
      <c r="P47" s="222">
        <v>0.82</v>
      </c>
      <c r="Q47" s="222">
        <v>0.18</v>
      </c>
      <c r="R47" s="225"/>
      <c r="S47" s="224">
        <v>0.12</v>
      </c>
      <c r="T47" s="224">
        <v>0.05</v>
      </c>
      <c r="U47" s="224">
        <v>0.01</v>
      </c>
      <c r="V47" s="224">
        <v>0.01</v>
      </c>
      <c r="W47" s="223"/>
      <c r="X47" s="222">
        <v>0.01</v>
      </c>
      <c r="Y47" s="222">
        <v>0.06</v>
      </c>
      <c r="Z47" s="224"/>
      <c r="AA47" s="224"/>
      <c r="AB47" s="376"/>
      <c r="AC47" s="224"/>
      <c r="AD47" s="224"/>
      <c r="AE47" s="224"/>
      <c r="AF47" s="224"/>
      <c r="AG47" s="225"/>
      <c r="AH47" s="224"/>
      <c r="AI47" s="224"/>
      <c r="AJ47" s="224"/>
      <c r="AK47" s="224"/>
      <c r="AL47" s="225"/>
      <c r="AM47" s="224"/>
      <c r="AN47" s="224"/>
      <c r="AO47" s="224"/>
      <c r="AP47" s="224"/>
      <c r="AQ47" s="225"/>
      <c r="AR47" s="224"/>
      <c r="AS47" s="224"/>
      <c r="AT47" s="224"/>
      <c r="AU47" s="224"/>
      <c r="AV47" s="225"/>
    </row>
    <row r="48" spans="2:48" outlineLevel="1" x14ac:dyDescent="0.3">
      <c r="B48" s="38" t="s">
        <v>43</v>
      </c>
      <c r="C48" s="207"/>
      <c r="D48" s="226">
        <v>0</v>
      </c>
      <c r="E48" s="226">
        <v>0.04</v>
      </c>
      <c r="F48" s="226">
        <v>0.04</v>
      </c>
      <c r="G48" s="226">
        <v>0.03</v>
      </c>
      <c r="H48" s="217"/>
      <c r="I48" s="226">
        <v>0.03</v>
      </c>
      <c r="J48" s="226">
        <v>0.05</v>
      </c>
      <c r="K48" s="226">
        <v>0.27</v>
      </c>
      <c r="L48" s="227">
        <v>0.21</v>
      </c>
      <c r="M48" s="217"/>
      <c r="N48" s="226">
        <v>0.2</v>
      </c>
      <c r="O48" s="226">
        <v>0.22</v>
      </c>
      <c r="P48" s="226">
        <v>0.01</v>
      </c>
      <c r="Q48" s="226">
        <v>0.03</v>
      </c>
      <c r="R48" s="218"/>
      <c r="S48" s="227">
        <v>0.06</v>
      </c>
      <c r="T48" s="227">
        <v>7.0000000000000007E-2</v>
      </c>
      <c r="U48" s="228">
        <v>0.08</v>
      </c>
      <c r="V48" s="228">
        <v>0.1</v>
      </c>
      <c r="W48" s="148"/>
      <c r="X48" s="226">
        <v>0.09</v>
      </c>
      <c r="Y48" s="577">
        <v>0.05</v>
      </c>
      <c r="Z48" s="228"/>
      <c r="AA48" s="228"/>
      <c r="AB48" s="362"/>
      <c r="AC48" s="228"/>
      <c r="AD48" s="228"/>
      <c r="AE48" s="228"/>
      <c r="AF48" s="228"/>
      <c r="AG48" s="60"/>
      <c r="AH48" s="228"/>
      <c r="AI48" s="228"/>
      <c r="AJ48" s="228"/>
      <c r="AK48" s="228"/>
      <c r="AL48" s="60"/>
      <c r="AM48" s="228"/>
      <c r="AN48" s="228"/>
      <c r="AO48" s="228"/>
      <c r="AP48" s="228"/>
      <c r="AQ48" s="60"/>
      <c r="AR48" s="228"/>
      <c r="AS48" s="228"/>
      <c r="AT48" s="228"/>
      <c r="AU48" s="228"/>
      <c r="AV48" s="60"/>
    </row>
    <row r="49" spans="2:48" s="8" customFormat="1" outlineLevel="1" x14ac:dyDescent="0.3">
      <c r="B49" s="229" t="s">
        <v>45</v>
      </c>
      <c r="C49" s="230"/>
      <c r="D49" s="231">
        <v>0.04</v>
      </c>
      <c r="E49" s="231">
        <v>4.2999999999999997E-2</v>
      </c>
      <c r="F49" s="231">
        <v>7.0000000000000007E-2</v>
      </c>
      <c r="G49" s="231">
        <v>0.06</v>
      </c>
      <c r="H49" s="232"/>
      <c r="I49" s="231">
        <v>0.06</v>
      </c>
      <c r="J49" s="231">
        <v>-0.03</v>
      </c>
      <c r="K49" s="231">
        <v>-0.41</v>
      </c>
      <c r="L49" s="233">
        <v>-0.09</v>
      </c>
      <c r="M49" s="234"/>
      <c r="N49" s="233">
        <v>-0.06</v>
      </c>
      <c r="O49" s="233">
        <v>0.09</v>
      </c>
      <c r="P49" s="231">
        <v>0.84</v>
      </c>
      <c r="Q49" s="231">
        <v>0.22</v>
      </c>
      <c r="R49" s="235"/>
      <c r="S49" s="233">
        <v>0.18</v>
      </c>
      <c r="T49" s="233">
        <v>0.12</v>
      </c>
      <c r="U49" s="231">
        <v>0.09</v>
      </c>
      <c r="V49" s="231">
        <v>0.11</v>
      </c>
      <c r="W49" s="232"/>
      <c r="X49" s="233">
        <v>0.1</v>
      </c>
      <c r="Y49" s="233">
        <v>0.12</v>
      </c>
      <c r="Z49" s="233"/>
      <c r="AA49" s="233"/>
      <c r="AB49" s="361"/>
      <c r="AC49" s="233"/>
      <c r="AD49" s="233"/>
      <c r="AE49" s="233"/>
      <c r="AF49" s="233"/>
      <c r="AG49" s="232"/>
      <c r="AH49" s="233"/>
      <c r="AI49" s="233"/>
      <c r="AJ49" s="233"/>
      <c r="AK49" s="233"/>
      <c r="AL49" s="232"/>
      <c r="AM49" s="233"/>
      <c r="AN49" s="233"/>
      <c r="AO49" s="233"/>
      <c r="AP49" s="233"/>
      <c r="AQ49" s="232"/>
      <c r="AR49" s="233"/>
      <c r="AS49" s="233"/>
      <c r="AT49" s="233"/>
      <c r="AU49" s="233"/>
      <c r="AV49" s="232"/>
    </row>
    <row r="50" spans="2:48" s="8" customFormat="1" outlineLevel="1" x14ac:dyDescent="0.3">
      <c r="B50" s="597" t="s">
        <v>177</v>
      </c>
      <c r="C50" s="598"/>
      <c r="D50" s="67">
        <v>7876</v>
      </c>
      <c r="E50" s="67">
        <v>7943</v>
      </c>
      <c r="F50" s="117">
        <v>7996</v>
      </c>
      <c r="G50" s="67">
        <v>8093</v>
      </c>
      <c r="H50" s="68"/>
      <c r="I50" s="67">
        <v>8183</v>
      </c>
      <c r="J50" s="67">
        <v>8220</v>
      </c>
      <c r="K50" s="67">
        <v>8218</v>
      </c>
      <c r="L50" s="67">
        <v>6831</v>
      </c>
      <c r="M50" s="68"/>
      <c r="N50" s="67">
        <v>8279</v>
      </c>
      <c r="O50" s="67">
        <f>+N50+O51</f>
        <v>8300</v>
      </c>
      <c r="P50" s="67">
        <f t="shared" ref="P50" si="82">+O50+P51</f>
        <v>8315</v>
      </c>
      <c r="Q50" s="67">
        <v>6965</v>
      </c>
      <c r="R50" s="192"/>
      <c r="S50" s="67">
        <f>+Q50+S51</f>
        <v>6988</v>
      </c>
      <c r="T50" s="67">
        <f>+S50+T51</f>
        <v>6972</v>
      </c>
      <c r="U50" s="67">
        <f t="shared" ref="U50:V50" si="83">+T50+U51</f>
        <v>7000</v>
      </c>
      <c r="V50" s="67">
        <f t="shared" si="83"/>
        <v>7079</v>
      </c>
      <c r="W50" s="253">
        <f>V50</f>
        <v>7079</v>
      </c>
      <c r="X50" s="117">
        <f>+V50+X51</f>
        <v>7125</v>
      </c>
      <c r="Y50" s="117">
        <f>+X50+Y51</f>
        <v>7135</v>
      </c>
      <c r="Z50" s="67">
        <f t="shared" ref="Z50:AA50" si="84">+Y50+Z51</f>
        <v>7210</v>
      </c>
      <c r="AA50" s="67">
        <f t="shared" si="84"/>
        <v>7285</v>
      </c>
      <c r="AB50" s="192">
        <f>AA50</f>
        <v>7285</v>
      </c>
      <c r="AC50" s="67">
        <f>+AA50+AC51</f>
        <v>7367</v>
      </c>
      <c r="AD50" s="67">
        <f>+AC50+AD51</f>
        <v>7449</v>
      </c>
      <c r="AE50" s="67">
        <f t="shared" ref="AE50:AF50" si="85">+AD50+AE51</f>
        <v>7531</v>
      </c>
      <c r="AF50" s="67">
        <f t="shared" si="85"/>
        <v>7614</v>
      </c>
      <c r="AG50" s="192">
        <f>AF50</f>
        <v>7614</v>
      </c>
      <c r="AH50" s="67">
        <f>+AF50+AH51</f>
        <v>7711</v>
      </c>
      <c r="AI50" s="67">
        <f>+AH50+AI51</f>
        <v>7808</v>
      </c>
      <c r="AJ50" s="67">
        <f t="shared" ref="AJ50:AK50" si="86">+AI50+AJ51</f>
        <v>7905</v>
      </c>
      <c r="AK50" s="67">
        <f t="shared" si="86"/>
        <v>8002</v>
      </c>
      <c r="AL50" s="192">
        <f>AK50</f>
        <v>8002</v>
      </c>
      <c r="AM50" s="67">
        <f>+AK50+AM51</f>
        <v>8030</v>
      </c>
      <c r="AN50" s="67">
        <f>+AM50+AN51</f>
        <v>8058</v>
      </c>
      <c r="AO50" s="67">
        <f t="shared" ref="AO50:AP50" si="87">+AN50+AO51</f>
        <v>8086</v>
      </c>
      <c r="AP50" s="67">
        <f t="shared" si="87"/>
        <v>8114</v>
      </c>
      <c r="AQ50" s="192">
        <f>AP50</f>
        <v>8114</v>
      </c>
      <c r="AR50" s="67">
        <f>+AP50+AR51</f>
        <v>8142</v>
      </c>
      <c r="AS50" s="67">
        <f>+AR50+AS51</f>
        <v>8170</v>
      </c>
      <c r="AT50" s="67">
        <f t="shared" ref="AT50:AU50" si="88">+AS50+AT51</f>
        <v>8198</v>
      </c>
      <c r="AU50" s="67">
        <f t="shared" si="88"/>
        <v>8226</v>
      </c>
      <c r="AV50" s="192">
        <f>AU50</f>
        <v>8226</v>
      </c>
    </row>
    <row r="51" spans="2:48" outlineLevel="1" x14ac:dyDescent="0.3">
      <c r="B51" s="180" t="s">
        <v>47</v>
      </c>
      <c r="C51" s="201"/>
      <c r="D51" s="101">
        <f>+D50-7770</f>
        <v>106</v>
      </c>
      <c r="E51" s="101">
        <f>E50-D50</f>
        <v>67</v>
      </c>
      <c r="F51" s="101">
        <f t="shared" ref="F51:G51" si="89">F50-E50</f>
        <v>53</v>
      </c>
      <c r="G51" s="101">
        <f t="shared" si="89"/>
        <v>97</v>
      </c>
      <c r="H51" s="122">
        <f>+SUM(D51:G51)</f>
        <v>323</v>
      </c>
      <c r="I51" s="101">
        <f>I50-G50</f>
        <v>90</v>
      </c>
      <c r="J51" s="101">
        <f t="shared" ref="J51:K51" si="90">J50-I50</f>
        <v>37</v>
      </c>
      <c r="K51" s="101">
        <f t="shared" si="90"/>
        <v>-2</v>
      </c>
      <c r="L51" s="101">
        <v>32</v>
      </c>
      <c r="M51" s="122"/>
      <c r="N51" s="101">
        <v>34</v>
      </c>
      <c r="O51" s="101">
        <v>21</v>
      </c>
      <c r="P51" s="101">
        <v>15</v>
      </c>
      <c r="Q51" s="101">
        <v>73</v>
      </c>
      <c r="R51" s="26"/>
      <c r="S51" s="101">
        <v>23</v>
      </c>
      <c r="T51" s="101">
        <v>-16</v>
      </c>
      <c r="U51" s="101">
        <v>28</v>
      </c>
      <c r="V51" s="101">
        <v>79</v>
      </c>
      <c r="W51" s="122">
        <f>+SUM(S51:V51)</f>
        <v>114</v>
      </c>
      <c r="X51" s="101">
        <v>46</v>
      </c>
      <c r="Y51" s="101">
        <v>10</v>
      </c>
      <c r="Z51" s="33">
        <v>75</v>
      </c>
      <c r="AA51" s="33">
        <v>75</v>
      </c>
      <c r="AB51" s="26">
        <f>+SUM(X51:AA51)</f>
        <v>206</v>
      </c>
      <c r="AC51" s="33">
        <v>82</v>
      </c>
      <c r="AD51" s="33">
        <v>82</v>
      </c>
      <c r="AE51" s="33">
        <v>82</v>
      </c>
      <c r="AF51" s="33">
        <v>83</v>
      </c>
      <c r="AG51" s="26">
        <f>+SUM(AC51:AF51)</f>
        <v>329</v>
      </c>
      <c r="AH51" s="33">
        <v>97</v>
      </c>
      <c r="AI51" s="33">
        <v>97</v>
      </c>
      <c r="AJ51" s="33">
        <v>97</v>
      </c>
      <c r="AK51" s="33">
        <v>97</v>
      </c>
      <c r="AL51" s="26">
        <f>+SUM(AH51:AK51)</f>
        <v>388</v>
      </c>
      <c r="AM51" s="33">
        <v>28</v>
      </c>
      <c r="AN51" s="33">
        <v>28</v>
      </c>
      <c r="AO51" s="33">
        <v>28</v>
      </c>
      <c r="AP51" s="33">
        <v>28</v>
      </c>
      <c r="AQ51" s="26">
        <f>+SUM(AM51:AP51)</f>
        <v>112</v>
      </c>
      <c r="AR51" s="33">
        <v>28</v>
      </c>
      <c r="AS51" s="33">
        <v>28</v>
      </c>
      <c r="AT51" s="33">
        <v>28</v>
      </c>
      <c r="AU51" s="33">
        <v>28</v>
      </c>
      <c r="AV51" s="26">
        <f>+SUM(AR51:AU51)</f>
        <v>112</v>
      </c>
    </row>
    <row r="52" spans="2:48" outlineLevel="1" x14ac:dyDescent="0.3">
      <c r="B52" s="180" t="s">
        <v>49</v>
      </c>
      <c r="C52" s="201"/>
      <c r="D52" s="16">
        <f>AVERAGE(D50,7770)</f>
        <v>7823</v>
      </c>
      <c r="E52" s="16">
        <f>AVERAGE(E50,D50)</f>
        <v>7909.5</v>
      </c>
      <c r="F52" s="16">
        <f t="shared" ref="F52:G52" si="91">AVERAGE(F50,E50)</f>
        <v>7969.5</v>
      </c>
      <c r="G52" s="16">
        <f t="shared" si="91"/>
        <v>8044.5</v>
      </c>
      <c r="H52" s="26"/>
      <c r="I52" s="16">
        <f>AVERAGE(I50,G50)</f>
        <v>8138</v>
      </c>
      <c r="J52" s="16">
        <f>AVERAGE(J50,I50)</f>
        <v>8201.5</v>
      </c>
      <c r="K52" s="16">
        <f t="shared" ref="K52:L52" si="92">AVERAGE(K50,J50)</f>
        <v>8219</v>
      </c>
      <c r="L52" s="16">
        <f t="shared" si="92"/>
        <v>7524.5</v>
      </c>
      <c r="M52" s="6"/>
      <c r="N52" s="16">
        <f>AVERAGE(N50,L50)</f>
        <v>7555</v>
      </c>
      <c r="O52" s="16">
        <f>AVERAGE(O50,N50)</f>
        <v>8289.5</v>
      </c>
      <c r="P52" s="16">
        <f t="shared" ref="P52:Q52" si="93">AVERAGE(P50,O50)</f>
        <v>8307.5</v>
      </c>
      <c r="Q52" s="16">
        <f t="shared" si="93"/>
        <v>7640</v>
      </c>
      <c r="R52" s="6"/>
      <c r="S52" s="16">
        <f>AVERAGE(S50,Q50)</f>
        <v>6976.5</v>
      </c>
      <c r="T52" s="16">
        <f>AVERAGE(T50,S50)</f>
        <v>6980</v>
      </c>
      <c r="U52" s="16">
        <f t="shared" ref="U52:V52" si="94">AVERAGE(U50,T50)</f>
        <v>6986</v>
      </c>
      <c r="V52" s="16">
        <f t="shared" si="94"/>
        <v>7039.5</v>
      </c>
      <c r="W52" s="130"/>
      <c r="X52" s="101">
        <f>AVERAGE(X50,V50)</f>
        <v>7102</v>
      </c>
      <c r="Y52" s="101">
        <f>AVERAGE(Y50,X50)</f>
        <v>7130</v>
      </c>
      <c r="Z52" s="16">
        <f t="shared" ref="Z52:AA52" si="95">AVERAGE(Z50,Y50)</f>
        <v>7172.5</v>
      </c>
      <c r="AA52" s="16">
        <f t="shared" si="95"/>
        <v>7247.5</v>
      </c>
      <c r="AB52" s="6"/>
      <c r="AC52" s="16">
        <f>AVERAGE(AC50,AA50)</f>
        <v>7326</v>
      </c>
      <c r="AD52" s="16">
        <f>AVERAGE(AD50,AC50)</f>
        <v>7408</v>
      </c>
      <c r="AE52" s="16">
        <f t="shared" ref="AE52:AF52" si="96">AVERAGE(AE50,AD50)</f>
        <v>7490</v>
      </c>
      <c r="AF52" s="16">
        <f t="shared" si="96"/>
        <v>7572.5</v>
      </c>
      <c r="AG52" s="6"/>
      <c r="AH52" s="16">
        <f>AVERAGE(AH50,AF50)</f>
        <v>7662.5</v>
      </c>
      <c r="AI52" s="16">
        <f>AVERAGE(AI50,AH50)</f>
        <v>7759.5</v>
      </c>
      <c r="AJ52" s="16">
        <f t="shared" ref="AJ52:AK52" si="97">AVERAGE(AJ50,AI50)</f>
        <v>7856.5</v>
      </c>
      <c r="AK52" s="16">
        <f t="shared" si="97"/>
        <v>7953.5</v>
      </c>
      <c r="AL52" s="6"/>
      <c r="AM52" s="16">
        <f>AVERAGE(AM50,AK50)</f>
        <v>8016</v>
      </c>
      <c r="AN52" s="16">
        <f>AVERAGE(AN50,AM50)</f>
        <v>8044</v>
      </c>
      <c r="AO52" s="16">
        <f t="shared" ref="AO52:AP52" si="98">AVERAGE(AO50,AN50)</f>
        <v>8072</v>
      </c>
      <c r="AP52" s="16">
        <f t="shared" si="98"/>
        <v>8100</v>
      </c>
      <c r="AQ52" s="6"/>
      <c r="AR52" s="16">
        <f>AVERAGE(AR50,AP50)</f>
        <v>8128</v>
      </c>
      <c r="AS52" s="16">
        <f>AVERAGE(AS50,AR50)</f>
        <v>8156</v>
      </c>
      <c r="AT52" s="16">
        <f t="shared" ref="AT52:AU52" si="99">AVERAGE(AT50,AS50)</f>
        <v>8184</v>
      </c>
      <c r="AU52" s="16">
        <f t="shared" si="99"/>
        <v>8212</v>
      </c>
      <c r="AV52" s="6"/>
    </row>
    <row r="53" spans="2:48" outlineLevel="1" x14ac:dyDescent="0.3">
      <c r="B53" s="180" t="s">
        <v>202</v>
      </c>
      <c r="C53" s="201"/>
      <c r="D53" s="43">
        <f>+D54/D52</f>
        <v>6.5780391154288645E-2</v>
      </c>
      <c r="E53" s="43">
        <f>+E54/E52</f>
        <v>5.8549845122953414E-2</v>
      </c>
      <c r="F53" s="43">
        <f>+F54/F52</f>
        <v>6.2274923144488362E-2</v>
      </c>
      <c r="G53" s="114">
        <f t="shared" ref="G53:S53" si="100">+G54/G52</f>
        <v>6.016533034992852E-2</v>
      </c>
      <c r="H53" s="127"/>
      <c r="I53" s="114">
        <f t="shared" si="100"/>
        <v>6.6023593020398133E-2</v>
      </c>
      <c r="J53" s="114">
        <f t="shared" si="100"/>
        <v>5.6599402548314331E-2</v>
      </c>
      <c r="K53" s="114">
        <f t="shared" si="100"/>
        <v>2.8653120817617714E-2</v>
      </c>
      <c r="L53" s="114">
        <f t="shared" si="100"/>
        <v>4.4773739118878331E-2</v>
      </c>
      <c r="M53" s="6"/>
      <c r="N53" s="114">
        <f t="shared" si="100"/>
        <v>5.5089344804765052E-2</v>
      </c>
      <c r="O53" s="114">
        <f t="shared" si="100"/>
        <v>4.7554134748778572E-2</v>
      </c>
      <c r="P53" s="114">
        <f t="shared" si="100"/>
        <v>5.6394823954258204E-2</v>
      </c>
      <c r="Q53" s="114">
        <f t="shared" si="100"/>
        <v>6.6295811518324602E-2</v>
      </c>
      <c r="R53" s="6"/>
      <c r="S53" s="114">
        <f t="shared" si="100"/>
        <v>7.3948254855586606E-2</v>
      </c>
      <c r="T53" s="114">
        <f>+T54/T52</f>
        <v>7.2636103151862461E-2</v>
      </c>
      <c r="U53" s="114">
        <f>+U54/U52</f>
        <v>7.7898654451760668E-2</v>
      </c>
      <c r="V53" s="114">
        <f>+V54/V52</f>
        <v>8.2875204204844094E-2</v>
      </c>
      <c r="W53" s="130"/>
      <c r="X53" s="114">
        <f t="shared" ref="X53:Y53" si="101">+X54/X52</f>
        <v>9.5747676710785698E-2</v>
      </c>
      <c r="Y53" s="114">
        <f t="shared" si="101"/>
        <v>8.9396914446002798E-2</v>
      </c>
      <c r="Z53" s="62">
        <f>U53*1.05</f>
        <v>8.1793587174348703E-2</v>
      </c>
      <c r="AA53" s="62">
        <f>V53*1.05</f>
        <v>8.7018964415086303E-2</v>
      </c>
      <c r="AB53" s="378"/>
      <c r="AC53" s="62">
        <f>X53*1.05</f>
        <v>0.10053506054632498</v>
      </c>
      <c r="AD53" s="62">
        <f>Y53*1.05</f>
        <v>9.3866760168302948E-2</v>
      </c>
      <c r="AE53" s="62">
        <f>Z53*1.05</f>
        <v>8.5883266533066147E-2</v>
      </c>
      <c r="AF53" s="62">
        <f>AA53*1.05</f>
        <v>9.1369912635840628E-2</v>
      </c>
      <c r="AG53" s="378"/>
      <c r="AH53" s="62">
        <f>AC53*1.07</f>
        <v>0.10757251478456774</v>
      </c>
      <c r="AI53" s="62">
        <f>AD53*1.07</f>
        <v>0.10043743338008417</v>
      </c>
      <c r="AJ53" s="62">
        <f>AE53*1.07</f>
        <v>9.1895095190380777E-2</v>
      </c>
      <c r="AK53" s="62">
        <f>AF53*1.07</f>
        <v>9.7765806520349482E-2</v>
      </c>
      <c r="AL53" s="379"/>
      <c r="AM53" s="477">
        <f>AH53*1.05</f>
        <v>0.11295114052379612</v>
      </c>
      <c r="AN53" s="477">
        <f>AI53*1.05</f>
        <v>0.10545930504908838</v>
      </c>
      <c r="AO53" s="477">
        <f>AJ53*1.05</f>
        <v>9.6489849949899814E-2</v>
      </c>
      <c r="AP53" s="477">
        <f>AK53*1.05</f>
        <v>0.10265409684636696</v>
      </c>
      <c r="AQ53" s="97"/>
      <c r="AR53" s="477">
        <f>AM53*1.03</f>
        <v>0.11633967473951001</v>
      </c>
      <c r="AS53" s="477">
        <f>AN53*1.03</f>
        <v>0.10862308420056103</v>
      </c>
      <c r="AT53" s="477">
        <f>AO53*1.03</f>
        <v>9.938454544839681E-2</v>
      </c>
      <c r="AU53" s="477">
        <f>AP53*1.03</f>
        <v>0.10573371975175798</v>
      </c>
      <c r="AV53" s="6"/>
    </row>
    <row r="54" spans="2:48" s="8" customFormat="1" outlineLevel="1" x14ac:dyDescent="0.3">
      <c r="B54" s="603" t="s">
        <v>178</v>
      </c>
      <c r="C54" s="604"/>
      <c r="D54" s="115">
        <v>514.6</v>
      </c>
      <c r="E54" s="115">
        <v>463.1</v>
      </c>
      <c r="F54" s="115">
        <v>496.3</v>
      </c>
      <c r="G54" s="115">
        <v>484</v>
      </c>
      <c r="H54" s="153"/>
      <c r="I54" s="115">
        <v>537.29999999999995</v>
      </c>
      <c r="J54" s="115">
        <v>464.2</v>
      </c>
      <c r="K54" s="115">
        <v>235.5</v>
      </c>
      <c r="L54" s="72">
        <v>336.9</v>
      </c>
      <c r="M54" s="73"/>
      <c r="N54" s="72">
        <v>416.2</v>
      </c>
      <c r="O54" s="72">
        <v>394.2</v>
      </c>
      <c r="P54" s="72">
        <v>468.5</v>
      </c>
      <c r="Q54" s="115">
        <v>506.5</v>
      </c>
      <c r="R54" s="73"/>
      <c r="S54" s="72">
        <v>515.9</v>
      </c>
      <c r="T54" s="72">
        <v>507</v>
      </c>
      <c r="U54" s="72">
        <v>544.20000000000005</v>
      </c>
      <c r="V54" s="72">
        <v>583.4</v>
      </c>
      <c r="W54" s="213">
        <f>SUM(S54:V54)</f>
        <v>2150.5</v>
      </c>
      <c r="X54" s="115">
        <v>680</v>
      </c>
      <c r="Y54" s="115">
        <v>637.4</v>
      </c>
      <c r="Z54" s="72">
        <f t="shared" ref="Z54:AA54" si="102">+Z52*Z53</f>
        <v>586.66450400801602</v>
      </c>
      <c r="AA54" s="72">
        <f t="shared" si="102"/>
        <v>630.66994459833802</v>
      </c>
      <c r="AB54" s="73">
        <f>SUM(X54:AA54)</f>
        <v>2534.7344486063544</v>
      </c>
      <c r="AC54" s="72">
        <f>+AC52*AC53</f>
        <v>736.51985356237685</v>
      </c>
      <c r="AD54" s="72">
        <f>+AD52*AD53</f>
        <v>695.36495932678827</v>
      </c>
      <c r="AE54" s="72">
        <f t="shared" ref="AE54:AF54" si="103">+AE52*AE53</f>
        <v>643.26566633266543</v>
      </c>
      <c r="AF54" s="72">
        <f t="shared" si="103"/>
        <v>691.89866343490314</v>
      </c>
      <c r="AG54" s="73">
        <f>SUM(AC54:AF54)</f>
        <v>2767.0491426567332</v>
      </c>
      <c r="AH54" s="72">
        <f>+AH52*AH53</f>
        <v>824.27439453675026</v>
      </c>
      <c r="AI54" s="72">
        <f>+AI52*AI53</f>
        <v>779.34426431276313</v>
      </c>
      <c r="AJ54" s="72">
        <f t="shared" ref="AJ54:AK54" si="104">+AJ52*AJ53</f>
        <v>721.97381536322655</v>
      </c>
      <c r="AK54" s="72">
        <f t="shared" si="104"/>
        <v>777.58034215959958</v>
      </c>
      <c r="AL54" s="73">
        <f>SUM(AH54:AK54)</f>
        <v>3103.1728163723396</v>
      </c>
      <c r="AM54" s="72">
        <f>+AM52*AM53</f>
        <v>905.41634243874967</v>
      </c>
      <c r="AN54" s="72">
        <f>+AN52*AN53</f>
        <v>848.31464981486693</v>
      </c>
      <c r="AO54" s="72">
        <f t="shared" ref="AO54:AP54" si="105">+AO52*AO53</f>
        <v>778.86606879559133</v>
      </c>
      <c r="AP54" s="72">
        <f t="shared" si="105"/>
        <v>831.49818445557241</v>
      </c>
      <c r="AQ54" s="73">
        <f>SUM(AM54:AP54)</f>
        <v>3364.09524550478</v>
      </c>
      <c r="AR54" s="72">
        <f>+AR52*AR53</f>
        <v>945.60887628273736</v>
      </c>
      <c r="AS54" s="72">
        <f>+AS52*AS53</f>
        <v>885.92987473977576</v>
      </c>
      <c r="AT54" s="72">
        <f t="shared" ref="AT54:AU54" si="106">+AT52*AT53</f>
        <v>813.36311994967946</v>
      </c>
      <c r="AU54" s="72">
        <f t="shared" si="106"/>
        <v>868.28530660143656</v>
      </c>
      <c r="AV54" s="73">
        <f>SUM(AR54:AU54)</f>
        <v>3513.187177573629</v>
      </c>
    </row>
    <row r="55" spans="2:48" s="8" customFormat="1" outlineLevel="1" x14ac:dyDescent="0.3">
      <c r="B55" s="587" t="s">
        <v>179</v>
      </c>
      <c r="C55" s="588"/>
      <c r="D55" s="103">
        <v>5.7</v>
      </c>
      <c r="E55" s="103">
        <v>1.4</v>
      </c>
      <c r="F55" s="103">
        <v>2.6</v>
      </c>
      <c r="G55" s="103">
        <v>3.2</v>
      </c>
      <c r="H55" s="154"/>
      <c r="I55" s="103">
        <v>2.6</v>
      </c>
      <c r="J55" s="103">
        <v>2.2000000000000002</v>
      </c>
      <c r="K55" s="103">
        <v>1.1000000000000001</v>
      </c>
      <c r="L55" s="50">
        <v>1.7</v>
      </c>
      <c r="M55" s="97"/>
      <c r="N55" s="50">
        <v>2.2000000000000002</v>
      </c>
      <c r="O55" s="50">
        <v>2</v>
      </c>
      <c r="P55" s="50">
        <v>2</v>
      </c>
      <c r="Q55" s="103">
        <v>2.2000000000000002</v>
      </c>
      <c r="R55" s="191"/>
      <c r="S55" s="50">
        <v>2.2999999999999998</v>
      </c>
      <c r="T55" s="50">
        <v>2.4</v>
      </c>
      <c r="U55" s="50">
        <v>1</v>
      </c>
      <c r="V55" s="50">
        <v>0.5</v>
      </c>
      <c r="W55" s="166">
        <f>SUM(S55:V55)</f>
        <v>6.1999999999999993</v>
      </c>
      <c r="X55" s="103">
        <v>0.7</v>
      </c>
      <c r="Y55" s="103">
        <v>0.5</v>
      </c>
      <c r="Z55" s="50">
        <f>+U55*(1+Z56)</f>
        <v>1.95</v>
      </c>
      <c r="AA55" s="50">
        <f t="shared" ref="AA55" si="107">+V55*(1+AA56)</f>
        <v>0.5</v>
      </c>
      <c r="AB55" s="191">
        <f>SUM(X55:AA55)</f>
        <v>3.65</v>
      </c>
      <c r="AC55" s="50">
        <f>+X55*(1+AC56)</f>
        <v>0.7</v>
      </c>
      <c r="AD55" s="50">
        <f>+Y55*(1+AD56)</f>
        <v>0.5</v>
      </c>
      <c r="AE55" s="50">
        <f>+Z55*(1+AE56)</f>
        <v>1.95</v>
      </c>
      <c r="AF55" s="50">
        <f t="shared" ref="AF55" si="108">+AA55*(1+AF56)</f>
        <v>0.5</v>
      </c>
      <c r="AG55" s="191">
        <f>SUM(AC55:AF55)</f>
        <v>3.65</v>
      </c>
      <c r="AH55" s="50">
        <f>+AC55*(1+AH56)</f>
        <v>0.7</v>
      </c>
      <c r="AI55" s="50">
        <f>+AD55*(1+AI56)</f>
        <v>0.5</v>
      </c>
      <c r="AJ55" s="50">
        <f>+AE55*(1+AJ56)</f>
        <v>1.95</v>
      </c>
      <c r="AK55" s="50">
        <f t="shared" ref="AK55" si="109">+AF55*(1+AK56)</f>
        <v>0.5</v>
      </c>
      <c r="AL55" s="191">
        <f>SUM(AH55:AK55)</f>
        <v>3.65</v>
      </c>
      <c r="AM55" s="50">
        <f>+AH55*(1+AM56)</f>
        <v>0.7</v>
      </c>
      <c r="AN55" s="50">
        <f>+AI55*(1+AN56)</f>
        <v>0.5</v>
      </c>
      <c r="AO55" s="50">
        <f>+AJ55*(1+AO56)</f>
        <v>1.95</v>
      </c>
      <c r="AP55" s="50">
        <f t="shared" ref="AP55" si="110">+AK55*(1+AP56)</f>
        <v>0.5</v>
      </c>
      <c r="AQ55" s="191">
        <f>SUM(AM55:AP55)</f>
        <v>3.65</v>
      </c>
      <c r="AR55" s="50">
        <f>+AM55*(1+AR56)</f>
        <v>0.7</v>
      </c>
      <c r="AS55" s="50">
        <f>+AN55*(1+AS56)</f>
        <v>0.5</v>
      </c>
      <c r="AT55" s="50">
        <f>+AO55*(1+AT56)</f>
        <v>1.95</v>
      </c>
      <c r="AU55" s="50">
        <f t="shared" ref="AU55" si="111">+AP55*(1+AU56)</f>
        <v>0.5</v>
      </c>
      <c r="AV55" s="191">
        <f>SUM(AR55:AU55)</f>
        <v>3.65</v>
      </c>
    </row>
    <row r="56" spans="2:48" outlineLevel="1" x14ac:dyDescent="0.3">
      <c r="B56" s="69" t="s">
        <v>50</v>
      </c>
      <c r="C56" s="70"/>
      <c r="D56" s="120"/>
      <c r="E56" s="120"/>
      <c r="F56" s="120"/>
      <c r="G56" s="120"/>
      <c r="H56" s="155"/>
      <c r="I56" s="120">
        <f>I55/D55-1</f>
        <v>-0.54385964912280704</v>
      </c>
      <c r="J56" s="120">
        <f t="shared" ref="J56" si="112">J55/E55-1</f>
        <v>0.57142857142857162</v>
      </c>
      <c r="K56" s="120">
        <f>K55/F55-1</f>
        <v>-0.57692307692307687</v>
      </c>
      <c r="L56" s="120">
        <f>L55/G55-1</f>
        <v>-0.46875</v>
      </c>
      <c r="M56" s="58"/>
      <c r="N56" s="120">
        <f>N55/I55-1</f>
        <v>-0.15384615384615385</v>
      </c>
      <c r="O56" s="120">
        <f t="shared" ref="O56" si="113">O55/J55-1</f>
        <v>-9.0909090909090939E-2</v>
      </c>
      <c r="P56" s="120">
        <f>P55/K55-1</f>
        <v>0.81818181818181812</v>
      </c>
      <c r="Q56" s="120">
        <f>Q55/L55-1</f>
        <v>0.29411764705882359</v>
      </c>
      <c r="R56" s="58"/>
      <c r="S56" s="120">
        <f>S55/N55-1</f>
        <v>4.5454545454545192E-2</v>
      </c>
      <c r="T56" s="120">
        <f t="shared" ref="T56:U56" si="114">T55/O55-1</f>
        <v>0.19999999999999996</v>
      </c>
      <c r="U56" s="120">
        <f t="shared" si="114"/>
        <v>-0.5</v>
      </c>
      <c r="V56" s="120">
        <f>V55/Q55-1</f>
        <v>-0.77272727272727271</v>
      </c>
      <c r="W56" s="155"/>
      <c r="X56" s="120">
        <f>X55/S55-1</f>
        <v>-0.69565217391304346</v>
      </c>
      <c r="Y56" s="120">
        <f>Y55/T55-1</f>
        <v>-0.79166666666666663</v>
      </c>
      <c r="Z56" s="71">
        <v>0.95</v>
      </c>
      <c r="AA56" s="71">
        <v>0</v>
      </c>
      <c r="AB56" s="374"/>
      <c r="AC56" s="71">
        <v>0</v>
      </c>
      <c r="AD56" s="71">
        <v>0</v>
      </c>
      <c r="AE56" s="71">
        <v>0</v>
      </c>
      <c r="AF56" s="71">
        <v>0</v>
      </c>
      <c r="AG56" s="58"/>
      <c r="AH56" s="71">
        <v>0</v>
      </c>
      <c r="AI56" s="71">
        <v>0</v>
      </c>
      <c r="AJ56" s="71">
        <v>0</v>
      </c>
      <c r="AK56" s="71">
        <v>0</v>
      </c>
      <c r="AL56" s="58"/>
      <c r="AM56" s="71">
        <v>0</v>
      </c>
      <c r="AN56" s="71">
        <v>0</v>
      </c>
      <c r="AO56" s="71">
        <v>0</v>
      </c>
      <c r="AP56" s="71">
        <v>0</v>
      </c>
      <c r="AQ56" s="58"/>
      <c r="AR56" s="71">
        <v>0</v>
      </c>
      <c r="AS56" s="71">
        <v>0</v>
      </c>
      <c r="AT56" s="71">
        <v>0</v>
      </c>
      <c r="AU56" s="71">
        <v>0</v>
      </c>
      <c r="AV56" s="58"/>
    </row>
    <row r="57" spans="2:48" outlineLevel="1" x14ac:dyDescent="0.3">
      <c r="B57" s="180" t="s">
        <v>180</v>
      </c>
      <c r="C57" s="207"/>
      <c r="D57" s="101">
        <f t="shared" ref="D57:G58" si="115">+D50+D41</f>
        <v>17653</v>
      </c>
      <c r="E57" s="101">
        <f t="shared" si="115"/>
        <v>17719</v>
      </c>
      <c r="F57" s="101">
        <f t="shared" si="115"/>
        <v>17853</v>
      </c>
      <c r="G57" s="101">
        <f t="shared" si="115"/>
        <v>18067</v>
      </c>
      <c r="H57" s="122"/>
      <c r="I57" s="101">
        <f t="shared" ref="I57:L58" si="116">+I50+I41</f>
        <v>18203</v>
      </c>
      <c r="J57" s="101">
        <f t="shared" si="116"/>
        <v>18271</v>
      </c>
      <c r="K57" s="101">
        <f t="shared" si="116"/>
        <v>18235</v>
      </c>
      <c r="L57" s="16">
        <f t="shared" si="116"/>
        <v>16940</v>
      </c>
      <c r="M57" s="6"/>
      <c r="N57" s="16">
        <f t="shared" ref="N57:Q58" si="117">+N50+N41</f>
        <v>18308</v>
      </c>
      <c r="O57" s="16">
        <f t="shared" si="117"/>
        <v>18120</v>
      </c>
      <c r="P57" s="16">
        <f t="shared" si="117"/>
        <v>18175</v>
      </c>
      <c r="Q57" s="101">
        <f t="shared" si="117"/>
        <v>16826</v>
      </c>
      <c r="R57" s="6"/>
      <c r="S57" s="16">
        <f t="shared" ref="S57:V58" si="118">+S50+S41</f>
        <v>16888</v>
      </c>
      <c r="T57" s="16">
        <f t="shared" si="118"/>
        <v>16926</v>
      </c>
      <c r="U57" s="16">
        <f t="shared" si="118"/>
        <v>17050</v>
      </c>
      <c r="V57" s="16">
        <f t="shared" si="118"/>
        <v>17295</v>
      </c>
      <c r="W57" s="254">
        <f>W58/Q57</f>
        <v>2.7873529062165697E-2</v>
      </c>
      <c r="X57" s="101">
        <f t="shared" ref="X57:AA58" si="119">+X50+X41</f>
        <v>17381</v>
      </c>
      <c r="Y57" s="101">
        <f t="shared" si="119"/>
        <v>17482</v>
      </c>
      <c r="Z57" s="16">
        <f t="shared" si="119"/>
        <v>17642</v>
      </c>
      <c r="AA57" s="16">
        <f t="shared" si="119"/>
        <v>17807</v>
      </c>
      <c r="AB57" s="574">
        <f>AB58/V57</f>
        <v>2.9603931772188494E-2</v>
      </c>
      <c r="AC57" s="16">
        <f t="shared" ref="AC57:AF58" si="120">+AC50+AC41</f>
        <v>17961</v>
      </c>
      <c r="AD57" s="16">
        <f t="shared" si="120"/>
        <v>18115</v>
      </c>
      <c r="AE57" s="16">
        <f t="shared" si="120"/>
        <v>18270</v>
      </c>
      <c r="AF57" s="16">
        <f t="shared" si="120"/>
        <v>18426</v>
      </c>
      <c r="AG57" s="254">
        <f>AG58/AA57</f>
        <v>3.4761610602572025E-2</v>
      </c>
      <c r="AH57" s="16">
        <f t="shared" ref="AH57:AK58" si="121">+AH50+AH41</f>
        <v>18609</v>
      </c>
      <c r="AI57" s="16">
        <f t="shared" si="121"/>
        <v>18792</v>
      </c>
      <c r="AJ57" s="16">
        <f t="shared" si="121"/>
        <v>18975</v>
      </c>
      <c r="AK57" s="16">
        <f t="shared" si="121"/>
        <v>19158</v>
      </c>
      <c r="AL57" s="254">
        <f>AL58/AF57</f>
        <v>3.9726473461413218E-2</v>
      </c>
      <c r="AM57" s="16">
        <f t="shared" ref="AM57:AP58" si="122">+AM50+AM41</f>
        <v>19282</v>
      </c>
      <c r="AN57" s="16">
        <f t="shared" si="122"/>
        <v>19406</v>
      </c>
      <c r="AO57" s="16">
        <f t="shared" si="122"/>
        <v>19530</v>
      </c>
      <c r="AP57" s="16">
        <f t="shared" si="122"/>
        <v>19654</v>
      </c>
      <c r="AQ57" s="254">
        <f>AQ58/AK57</f>
        <v>2.5889967637540454E-2</v>
      </c>
      <c r="AR57" s="16">
        <f t="shared" ref="AR57:AU58" si="123">+AR50+AR41</f>
        <v>19778</v>
      </c>
      <c r="AS57" s="16">
        <f t="shared" si="123"/>
        <v>19902</v>
      </c>
      <c r="AT57" s="16">
        <f t="shared" si="123"/>
        <v>20026</v>
      </c>
      <c r="AU57" s="16">
        <f t="shared" si="123"/>
        <v>20150</v>
      </c>
      <c r="AV57" s="254">
        <f>AV58/AP57</f>
        <v>2.5236593059936908E-2</v>
      </c>
    </row>
    <row r="58" spans="2:48" outlineLevel="1" x14ac:dyDescent="0.3">
      <c r="B58" s="180" t="s">
        <v>181</v>
      </c>
      <c r="C58" s="207"/>
      <c r="D58" s="101">
        <f t="shared" si="115"/>
        <v>193</v>
      </c>
      <c r="E58" s="101">
        <f t="shared" si="115"/>
        <v>66</v>
      </c>
      <c r="F58" s="101">
        <f t="shared" si="115"/>
        <v>134</v>
      </c>
      <c r="G58" s="101">
        <f t="shared" si="115"/>
        <v>214</v>
      </c>
      <c r="H58" s="122">
        <f>+H51+H42</f>
        <v>607</v>
      </c>
      <c r="I58" s="101">
        <f t="shared" si="116"/>
        <v>136</v>
      </c>
      <c r="J58" s="101">
        <f t="shared" si="116"/>
        <v>68</v>
      </c>
      <c r="K58" s="101">
        <f t="shared" si="116"/>
        <v>-36</v>
      </c>
      <c r="L58" s="16">
        <f t="shared" si="116"/>
        <v>124</v>
      </c>
      <c r="M58" s="122"/>
      <c r="N58" s="16">
        <f t="shared" si="117"/>
        <v>-46</v>
      </c>
      <c r="O58" s="16">
        <f t="shared" si="117"/>
        <v>-188</v>
      </c>
      <c r="P58" s="16">
        <f t="shared" si="117"/>
        <v>55</v>
      </c>
      <c r="Q58" s="101">
        <f t="shared" si="117"/>
        <v>74</v>
      </c>
      <c r="R58" s="122"/>
      <c r="S58" s="16">
        <f t="shared" si="118"/>
        <v>62</v>
      </c>
      <c r="T58" s="16">
        <f t="shared" si="118"/>
        <v>38</v>
      </c>
      <c r="U58" s="16">
        <f t="shared" si="118"/>
        <v>124</v>
      </c>
      <c r="V58" s="16">
        <f t="shared" si="118"/>
        <v>245</v>
      </c>
      <c r="W58" s="122">
        <f>+W51+W42</f>
        <v>469</v>
      </c>
      <c r="X58" s="101">
        <f t="shared" si="119"/>
        <v>86</v>
      </c>
      <c r="Y58" s="101">
        <f t="shared" si="119"/>
        <v>101</v>
      </c>
      <c r="Z58" s="16">
        <f t="shared" si="119"/>
        <v>160</v>
      </c>
      <c r="AA58" s="16">
        <f t="shared" si="119"/>
        <v>165</v>
      </c>
      <c r="AB58" s="122">
        <f>+AB51+AB42</f>
        <v>512</v>
      </c>
      <c r="AC58" s="16">
        <f t="shared" si="120"/>
        <v>154</v>
      </c>
      <c r="AD58" s="16">
        <f t="shared" si="120"/>
        <v>154</v>
      </c>
      <c r="AE58" s="16">
        <f t="shared" si="120"/>
        <v>155</v>
      </c>
      <c r="AF58" s="16">
        <f t="shared" si="120"/>
        <v>156</v>
      </c>
      <c r="AG58" s="122">
        <f>+AG51+AG42</f>
        <v>619</v>
      </c>
      <c r="AH58" s="16">
        <f t="shared" si="121"/>
        <v>183</v>
      </c>
      <c r="AI58" s="16">
        <f t="shared" si="121"/>
        <v>183</v>
      </c>
      <c r="AJ58" s="16">
        <f t="shared" si="121"/>
        <v>183</v>
      </c>
      <c r="AK58" s="16">
        <f t="shared" si="121"/>
        <v>183</v>
      </c>
      <c r="AL58" s="122">
        <f>+AL51+AL42</f>
        <v>732</v>
      </c>
      <c r="AM58" s="16">
        <f t="shared" si="122"/>
        <v>124</v>
      </c>
      <c r="AN58" s="16">
        <f t="shared" si="122"/>
        <v>124</v>
      </c>
      <c r="AO58" s="16">
        <f t="shared" si="122"/>
        <v>124</v>
      </c>
      <c r="AP58" s="16">
        <f t="shared" si="122"/>
        <v>124</v>
      </c>
      <c r="AQ58" s="122">
        <f>+AQ51+AQ42</f>
        <v>496</v>
      </c>
      <c r="AR58" s="16">
        <f t="shared" si="123"/>
        <v>124</v>
      </c>
      <c r="AS58" s="16">
        <f t="shared" si="123"/>
        <v>124</v>
      </c>
      <c r="AT58" s="16">
        <f t="shared" si="123"/>
        <v>124</v>
      </c>
      <c r="AU58" s="16">
        <f t="shared" si="123"/>
        <v>124</v>
      </c>
      <c r="AV58" s="122">
        <f>+AV51+AV42</f>
        <v>496</v>
      </c>
    </row>
    <row r="59" spans="2:48" outlineLevel="1" x14ac:dyDescent="0.3">
      <c r="B59" s="605" t="s">
        <v>182</v>
      </c>
      <c r="C59" s="606"/>
      <c r="D59" s="115">
        <f>+D55+D54+D45</f>
        <v>4612.5</v>
      </c>
      <c r="E59" s="115">
        <f>+E55+E54+E45</f>
        <v>4314.1000000000004</v>
      </c>
      <c r="F59" s="115">
        <f>+F55+F54+F45</f>
        <v>4681.0999999999995</v>
      </c>
      <c r="G59" s="115">
        <f>+G55+G54+G45</f>
        <v>4651.3999999999996</v>
      </c>
      <c r="H59" s="132">
        <f>SUM(D59:G59)</f>
        <v>18259.099999999999</v>
      </c>
      <c r="I59" s="115">
        <f>+I55+I54+I45</f>
        <v>5010.8999999999996</v>
      </c>
      <c r="J59" s="115">
        <f>+J55+J54+J45</f>
        <v>4330</v>
      </c>
      <c r="K59" s="115">
        <f>+K55+K54+K45</f>
        <v>2805.5</v>
      </c>
      <c r="L59" s="72">
        <f>+L55+L54+L45</f>
        <v>4213.9000000000005</v>
      </c>
      <c r="M59" s="97"/>
      <c r="N59" s="72">
        <f>+N55+N54+N45</f>
        <v>4703.2</v>
      </c>
      <c r="O59" s="72">
        <f>+O55+O54+O45</f>
        <v>4664.5999999999995</v>
      </c>
      <c r="P59" s="72">
        <f>+P55+P54+P45</f>
        <v>5400.3</v>
      </c>
      <c r="Q59" s="115">
        <f>+Q55+Q54+Q45</f>
        <v>5763</v>
      </c>
      <c r="R59" s="97"/>
      <c r="S59" s="72">
        <f>+S55+S54+S45</f>
        <v>5732.3</v>
      </c>
      <c r="T59" s="72">
        <f>+T55+T54+T45</f>
        <v>5445.7</v>
      </c>
      <c r="U59" s="72">
        <f>+U55+U54+U45</f>
        <v>6058.4</v>
      </c>
      <c r="V59" s="72">
        <f>+V55+V54+V45</f>
        <v>6134.4</v>
      </c>
      <c r="W59" s="97">
        <f>SUM(S59:V59)</f>
        <v>23370.800000000003</v>
      </c>
      <c r="X59" s="115">
        <f>+X55+X54+X45</f>
        <v>6551.3</v>
      </c>
      <c r="Y59" s="115">
        <f>+Y55+Y54+Y45</f>
        <v>6380.5999999999995</v>
      </c>
      <c r="Z59" s="72">
        <f>+Z55+Z54+Z45</f>
        <v>6716.2838499388308</v>
      </c>
      <c r="AA59" s="72">
        <f>+AA55+AA54+AA45</f>
        <v>6542.2689434140893</v>
      </c>
      <c r="AB59" s="97">
        <f>SUM(X59:AA59)</f>
        <v>26190.452793352921</v>
      </c>
      <c r="AC59" s="72">
        <f>+AC55+AC54+AC45</f>
        <v>7095.2585933044629</v>
      </c>
      <c r="AD59" s="72">
        <f>+AD55+AD54+AD45</f>
        <v>6917.9827140227062</v>
      </c>
      <c r="AE59" s="72">
        <f>+AE55+AE54+AE45</f>
        <v>7273.1044226314061</v>
      </c>
      <c r="AF59" s="72">
        <f>+AF55+AF54+AF45</f>
        <v>7075.8862672171008</v>
      </c>
      <c r="AG59" s="97">
        <f>SUM(AC59:AF59)</f>
        <v>28362.231997175677</v>
      </c>
      <c r="AH59" s="72">
        <f>+AH55+AH54+AH45</f>
        <v>7819.4493193609005</v>
      </c>
      <c r="AI59" s="72">
        <f>+AI55+AI54+AI45</f>
        <v>7632.2923996765448</v>
      </c>
      <c r="AJ59" s="72">
        <f>+AJ55+AJ54+AJ45</f>
        <v>8030.7895353170379</v>
      </c>
      <c r="AK59" s="72">
        <f>+AK55+AK54+AK45</f>
        <v>7822.3452563343271</v>
      </c>
      <c r="AL59" s="97">
        <f>SUM(AH59:AK59)</f>
        <v>31304.87651068881</v>
      </c>
      <c r="AM59" s="72">
        <f>+AM55+AM54+AM45</f>
        <v>8486.4389505102627</v>
      </c>
      <c r="AN59" s="72">
        <f>+AN55+AN54+AN45</f>
        <v>8279.9724165721345</v>
      </c>
      <c r="AO59" s="72">
        <f>+AO55+AO54+AO45</f>
        <v>8709.7626391976319</v>
      </c>
      <c r="AP59" s="72">
        <f>+AP55+AP54+AP45</f>
        <v>8480.7273317048093</v>
      </c>
      <c r="AQ59" s="97">
        <f>SUM(AM59:AP59)</f>
        <v>33956.90133798484</v>
      </c>
      <c r="AR59" s="72">
        <f>+AR55+AR54+AR45</f>
        <v>9021.6392702315661</v>
      </c>
      <c r="AS59" s="72">
        <f>+AS55+AS54+AS45</f>
        <v>8800.6260488278895</v>
      </c>
      <c r="AT59" s="72">
        <f>+AT55+AT54+AT45</f>
        <v>9257.3173597984096</v>
      </c>
      <c r="AU59" s="72">
        <f>+AU55+AU54+AU45</f>
        <v>9010.2225301755661</v>
      </c>
      <c r="AV59" s="97">
        <f>SUM(AR59:AU59)</f>
        <v>36089.805209033431</v>
      </c>
    </row>
    <row r="60" spans="2:48" outlineLevel="1" x14ac:dyDescent="0.3">
      <c r="B60" s="607" t="s">
        <v>100</v>
      </c>
      <c r="C60" s="608"/>
      <c r="D60" s="105">
        <v>1351.3</v>
      </c>
      <c r="E60" s="105">
        <v>1220.5</v>
      </c>
      <c r="F60" s="105">
        <v>1324</v>
      </c>
      <c r="G60" s="105">
        <v>1278.9000000000001</v>
      </c>
      <c r="H60" s="129"/>
      <c r="I60" s="105">
        <v>1388.4</v>
      </c>
      <c r="J60" s="105">
        <v>1248.2</v>
      </c>
      <c r="K60" s="105">
        <v>805.6</v>
      </c>
      <c r="L60" s="48">
        <v>1158.3</v>
      </c>
      <c r="M60" s="76"/>
      <c r="N60" s="48">
        <v>1276.2</v>
      </c>
      <c r="O60" s="48">
        <v>1227.5999999999999</v>
      </c>
      <c r="P60" s="48">
        <v>1416.2</v>
      </c>
      <c r="Q60" s="105">
        <v>1580.3</v>
      </c>
      <c r="R60" s="76"/>
      <c r="S60" s="48">
        <v>1629.4</v>
      </c>
      <c r="T60" s="48">
        <v>1564</v>
      </c>
      <c r="U60" s="48">
        <v>1713.2</v>
      </c>
      <c r="V60" s="48">
        <v>1770.6</v>
      </c>
      <c r="W60" s="76">
        <f>SUM(S60:V60)</f>
        <v>6677.2000000000007</v>
      </c>
      <c r="X60" s="105">
        <v>1917.6</v>
      </c>
      <c r="Y60" s="105">
        <v>1821.7</v>
      </c>
      <c r="Z60" s="48">
        <f t="shared" ref="Z60:AA60" si="124">Z61*Z59</f>
        <v>1918.2293784881085</v>
      </c>
      <c r="AA60" s="48">
        <f t="shared" si="124"/>
        <v>1806.546721542122</v>
      </c>
      <c r="AB60" s="76">
        <f>SUM(X60:AA60)</f>
        <v>7464.0761000302309</v>
      </c>
      <c r="AC60" s="48">
        <f t="shared" ref="AC60:AF60" si="125">AC61*AC59</f>
        <v>2005.8669580537423</v>
      </c>
      <c r="AD60" s="48">
        <f t="shared" si="125"/>
        <v>1940.5361106494213</v>
      </c>
      <c r="AE60" s="48">
        <f t="shared" si="125"/>
        <v>2040.8966794286109</v>
      </c>
      <c r="AF60" s="48">
        <f t="shared" si="125"/>
        <v>2024.6557826259384</v>
      </c>
      <c r="AG60" s="76">
        <f>SUM(AC60:AF60)</f>
        <v>8011.9555307577129</v>
      </c>
      <c r="AH60" s="48">
        <f t="shared" ref="AH60:AK60" si="126">AH61*AH59</f>
        <v>2202.7800395679092</v>
      </c>
      <c r="AI60" s="48">
        <f t="shared" si="126"/>
        <v>2133.2720175498393</v>
      </c>
      <c r="AJ60" s="48">
        <f t="shared" si="126"/>
        <v>2245.4789558793764</v>
      </c>
      <c r="AK60" s="48">
        <f t="shared" si="126"/>
        <v>2230.4211706562919</v>
      </c>
      <c r="AL60" s="76">
        <f>SUM(AH60:AK60)</f>
        <v>8811.9521836534168</v>
      </c>
      <c r="AM60" s="48">
        <f t="shared" ref="AM60:AP60" si="127">AM61*AM59</f>
        <v>2390.6745300989455</v>
      </c>
      <c r="AN60" s="48">
        <f t="shared" si="127"/>
        <v>2314.3025106200635</v>
      </c>
      <c r="AO60" s="48">
        <f t="shared" si="127"/>
        <v>2435.3257710234102</v>
      </c>
      <c r="AP60" s="48">
        <f t="shared" si="127"/>
        <v>2418.1486706791047</v>
      </c>
      <c r="AQ60" s="76">
        <f>SUM(AM60:AP60)</f>
        <v>9558.4514824215239</v>
      </c>
      <c r="AR60" s="48">
        <f t="shared" ref="AR60:AU60" si="128">AR61*AR59</f>
        <v>2541.4432777821658</v>
      </c>
      <c r="AS60" s="48">
        <f t="shared" si="128"/>
        <v>2459.8283587353631</v>
      </c>
      <c r="AT60" s="48">
        <f t="shared" si="128"/>
        <v>2588.426857397842</v>
      </c>
      <c r="AU60" s="48">
        <f t="shared" si="128"/>
        <v>2569.1260645078532</v>
      </c>
      <c r="AV60" s="76">
        <f>SUM(AR60:AU60)</f>
        <v>10158.824558423225</v>
      </c>
    </row>
    <row r="61" spans="2:48" s="184" customFormat="1" outlineLevel="1" x14ac:dyDescent="0.3">
      <c r="B61" s="181" t="s">
        <v>151</v>
      </c>
      <c r="C61" s="185"/>
      <c r="D61" s="167">
        <f>D60/D59</f>
        <v>0.29296476964769647</v>
      </c>
      <c r="E61" s="167">
        <f t="shared" ref="E61:X61" si="129">E60/E59</f>
        <v>0.28290952921814511</v>
      </c>
      <c r="F61" s="167">
        <f t="shared" si="129"/>
        <v>0.28283950353549381</v>
      </c>
      <c r="G61" s="167">
        <f t="shared" si="129"/>
        <v>0.27494947757664362</v>
      </c>
      <c r="H61" s="186"/>
      <c r="I61" s="167">
        <f t="shared" si="129"/>
        <v>0.27707597437586068</v>
      </c>
      <c r="J61" s="167">
        <f t="shared" si="129"/>
        <v>0.28826789838337186</v>
      </c>
      <c r="K61" s="167">
        <f t="shared" si="129"/>
        <v>0.28715024059882377</v>
      </c>
      <c r="L61" s="187">
        <f t="shared" si="129"/>
        <v>0.27487600560051256</v>
      </c>
      <c r="M61" s="188"/>
      <c r="N61" s="187">
        <f t="shared" si="129"/>
        <v>0.27134716788569485</v>
      </c>
      <c r="O61" s="167">
        <f t="shared" si="129"/>
        <v>0.26317369120610556</v>
      </c>
      <c r="P61" s="167">
        <f t="shared" si="129"/>
        <v>0.26224469010980872</v>
      </c>
      <c r="Q61" s="167">
        <f t="shared" si="129"/>
        <v>0.27421481867083114</v>
      </c>
      <c r="R61" s="188"/>
      <c r="S61" s="187">
        <f t="shared" si="129"/>
        <v>0.28424890532595992</v>
      </c>
      <c r="T61" s="167">
        <f t="shared" si="129"/>
        <v>0.28719907449914611</v>
      </c>
      <c r="U61" s="167">
        <f t="shared" si="129"/>
        <v>0.28278093225934242</v>
      </c>
      <c r="V61" s="167">
        <f t="shared" si="129"/>
        <v>0.28863458528951486</v>
      </c>
      <c r="W61" s="188">
        <f t="shared" si="129"/>
        <v>0.28570695055368239</v>
      </c>
      <c r="X61" s="167">
        <f t="shared" si="129"/>
        <v>0.29270526460397173</v>
      </c>
      <c r="Y61" s="167">
        <f>Y60/Y59</f>
        <v>0.28550606526032035</v>
      </c>
      <c r="Z61" s="189">
        <v>0.28560874158193583</v>
      </c>
      <c r="AA61" s="189">
        <f>V61-1%-0.25%</f>
        <v>0.27613458528951484</v>
      </c>
      <c r="AB61" s="188">
        <f t="shared" ref="AB61" si="130">AB60/AB59</f>
        <v>0.28499225114292781</v>
      </c>
      <c r="AC61" s="189">
        <f>X61-1%</f>
        <v>0.28270526460397172</v>
      </c>
      <c r="AD61" s="189">
        <f>Y61-0.5%</f>
        <v>0.28050606526032035</v>
      </c>
      <c r="AE61" s="189">
        <f>Z61-0.5%</f>
        <v>0.28060874158193583</v>
      </c>
      <c r="AF61" s="189">
        <f>AA61+1%</f>
        <v>0.28613458528951485</v>
      </c>
      <c r="AG61" s="188">
        <f t="shared" ref="AG61" si="131">AG60/AG59</f>
        <v>0.28248677789376897</v>
      </c>
      <c r="AH61" s="189">
        <f t="shared" ref="AH61:AK61" si="132">AC61-0.1%</f>
        <v>0.28170526460397172</v>
      </c>
      <c r="AI61" s="189">
        <f t="shared" si="132"/>
        <v>0.27950606526032035</v>
      </c>
      <c r="AJ61" s="189">
        <f t="shared" si="132"/>
        <v>0.27960874158193583</v>
      </c>
      <c r="AK61" s="189">
        <f t="shared" si="132"/>
        <v>0.28513458528951485</v>
      </c>
      <c r="AL61" s="188">
        <f t="shared" ref="AL61" si="133">AL60/AL59</f>
        <v>0.2814881630548724</v>
      </c>
      <c r="AM61" s="189">
        <f>AH61</f>
        <v>0.28170526460397172</v>
      </c>
      <c r="AN61" s="189">
        <f t="shared" ref="AN61:AP61" si="134">AI61</f>
        <v>0.27950606526032035</v>
      </c>
      <c r="AO61" s="189">
        <f t="shared" si="134"/>
        <v>0.27960874158193583</v>
      </c>
      <c r="AP61" s="189">
        <f t="shared" si="134"/>
        <v>0.28513458528951485</v>
      </c>
      <c r="AQ61" s="188">
        <f t="shared" ref="AQ61" si="135">AQ60/AQ59</f>
        <v>0.28148774198455079</v>
      </c>
      <c r="AR61" s="189">
        <f>AM61</f>
        <v>0.28170526460397172</v>
      </c>
      <c r="AS61" s="189">
        <f t="shared" ref="AS61:AU61" si="136">AN61</f>
        <v>0.27950606526032035</v>
      </c>
      <c r="AT61" s="189">
        <f t="shared" si="136"/>
        <v>0.27960874158193583</v>
      </c>
      <c r="AU61" s="189">
        <f t="shared" si="136"/>
        <v>0.28513458528951485</v>
      </c>
      <c r="AV61" s="188">
        <f t="shared" ref="AV61" si="137">AV60/AV59</f>
        <v>0.28148737571685278</v>
      </c>
    </row>
    <row r="62" spans="2:48" outlineLevel="1" x14ac:dyDescent="0.3">
      <c r="B62" s="180" t="s">
        <v>32</v>
      </c>
      <c r="C62" s="18"/>
      <c r="D62" s="48">
        <v>1983.1</v>
      </c>
      <c r="E62" s="48">
        <v>1935.7</v>
      </c>
      <c r="F62" s="48">
        <v>2034</v>
      </c>
      <c r="G62" s="48">
        <v>2112.1</v>
      </c>
      <c r="H62" s="49"/>
      <c r="I62" s="48">
        <v>2214.4</v>
      </c>
      <c r="J62" s="48">
        <v>2158.6</v>
      </c>
      <c r="K62" s="48">
        <v>2054.4</v>
      </c>
      <c r="L62" s="48">
        <v>2060.6999999999998</v>
      </c>
      <c r="M62" s="165"/>
      <c r="N62" s="48">
        <v>2238.8000000000002</v>
      </c>
      <c r="O62" s="48">
        <v>2203.1</v>
      </c>
      <c r="P62" s="48">
        <v>2346.8000000000002</v>
      </c>
      <c r="Q62" s="105">
        <v>2570.8000000000002</v>
      </c>
      <c r="R62" s="49"/>
      <c r="S62" s="48">
        <v>2702.4</v>
      </c>
      <c r="T62" s="48">
        <v>2625.4</v>
      </c>
      <c r="U62" s="48">
        <v>2670</v>
      </c>
      <c r="V62" s="48">
        <v>2862.2</v>
      </c>
      <c r="W62" s="49">
        <f>SUM(S62:V62)</f>
        <v>10860</v>
      </c>
      <c r="X62" s="105">
        <v>3031.4</v>
      </c>
      <c r="Y62" s="105">
        <v>2951.6</v>
      </c>
      <c r="Z62" s="48">
        <f>Z63*Z45</f>
        <v>3028.8594319116182</v>
      </c>
      <c r="AA62" s="48">
        <f>AA63*AA45</f>
        <v>3048.1483748149612</v>
      </c>
      <c r="AB62" s="49">
        <f>SUM(X62:AA62)</f>
        <v>12060.007806726579</v>
      </c>
      <c r="AC62" s="48">
        <f>AC63*AC45</f>
        <v>3219.5182116647129</v>
      </c>
      <c r="AD62" s="48">
        <f>AD63*AD45</f>
        <v>3191.7862693733923</v>
      </c>
      <c r="AE62" s="48">
        <f>AE63*AE45</f>
        <v>3269.4861180328439</v>
      </c>
      <c r="AF62" s="48">
        <f>AF63*AF45</f>
        <v>3355.5776414725406</v>
      </c>
      <c r="AG62" s="49">
        <f>SUM(AC62:AF62)</f>
        <v>13036.36824054349</v>
      </c>
      <c r="AH62" s="48">
        <f>AH63*AH45</f>
        <v>3534.7957410965714</v>
      </c>
      <c r="AI62" s="48">
        <f>AI63*AI45</f>
        <v>3508.2770836933555</v>
      </c>
      <c r="AJ62" s="48">
        <f>AJ63*AJ45</f>
        <v>3597.1133223853067</v>
      </c>
      <c r="AK62" s="48">
        <f>AK63*AK45</f>
        <v>3695.8810501767493</v>
      </c>
      <c r="AL62" s="49">
        <f>SUM(AH62:AK62)</f>
        <v>14336.067197351984</v>
      </c>
      <c r="AM62" s="48">
        <f>AM63*AM45</f>
        <v>3830.8654129348952</v>
      </c>
      <c r="AN62" s="48">
        <f>AN63*AN45</f>
        <v>3804.5615207039268</v>
      </c>
      <c r="AO62" s="48">
        <f>AO63*AO45</f>
        <v>3903.3589002446811</v>
      </c>
      <c r="AP62" s="48">
        <f>AP63*AP45</f>
        <v>4013.0224313923118</v>
      </c>
      <c r="AQ62" s="49">
        <f>SUM(AM62:AP62)</f>
        <v>15551.808265275815</v>
      </c>
      <c r="AR62" s="48">
        <f>AR63*AR45</f>
        <v>4081.0273524850277</v>
      </c>
      <c r="AS62" s="48">
        <f>AS63*AS45</f>
        <v>4051.8647532868868</v>
      </c>
      <c r="AT62" s="48">
        <f>AT63*AT45</f>
        <v>4155.9332116732894</v>
      </c>
      <c r="AU62" s="48">
        <f>AU63*AU45</f>
        <v>4271.5292400862818</v>
      </c>
      <c r="AV62" s="49">
        <f>SUM(AR62:AU62)</f>
        <v>16560.354557531486</v>
      </c>
    </row>
    <row r="63" spans="2:48" s="184" customFormat="1" outlineLevel="1" x14ac:dyDescent="0.3">
      <c r="B63" s="181" t="s">
        <v>150</v>
      </c>
      <c r="C63" s="190"/>
      <c r="D63" s="187">
        <f>D62/D45</f>
        <v>0.48460485802257952</v>
      </c>
      <c r="E63" s="187">
        <f>E62/E45</f>
        <v>0.50283146300914383</v>
      </c>
      <c r="F63" s="187">
        <f>F62/F45</f>
        <v>0.48634689876141746</v>
      </c>
      <c r="G63" s="187">
        <f>G62/G45</f>
        <v>0.5072042649248355</v>
      </c>
      <c r="H63" s="188"/>
      <c r="I63" s="187">
        <f>I62/I45</f>
        <v>0.49528069783046302</v>
      </c>
      <c r="J63" s="187">
        <f>J62/J45</f>
        <v>0.55870172895744896</v>
      </c>
      <c r="K63" s="187">
        <f>K62/K45</f>
        <v>0.79971972439565575</v>
      </c>
      <c r="L63" s="187">
        <f>L62/L45</f>
        <v>0.53175238046086748</v>
      </c>
      <c r="M63" s="188"/>
      <c r="N63" s="187">
        <f>N62/N45</f>
        <v>0.52249813293502612</v>
      </c>
      <c r="O63" s="187">
        <f>O62/O45</f>
        <v>0.51614187986130633</v>
      </c>
      <c r="P63" s="187">
        <f>P62/P45</f>
        <v>0.47604365288652684</v>
      </c>
      <c r="Q63" s="167">
        <f>Q62/Q45</f>
        <v>0.48927545058333177</v>
      </c>
      <c r="R63" s="188"/>
      <c r="S63" s="187">
        <f t="shared" ref="S63:Y63" si="138">S62/S45</f>
        <v>0.51828695268598601</v>
      </c>
      <c r="T63" s="187">
        <f t="shared" si="138"/>
        <v>0.53185584344549564</v>
      </c>
      <c r="U63" s="187">
        <f t="shared" si="138"/>
        <v>0.48429224406878041</v>
      </c>
      <c r="V63" s="187">
        <f t="shared" si="138"/>
        <v>0.51566525538239794</v>
      </c>
      <c r="W63" s="188">
        <f t="shared" si="138"/>
        <v>0.51192367340589506</v>
      </c>
      <c r="X63" s="167">
        <f t="shared" si="138"/>
        <v>0.51636970667393456</v>
      </c>
      <c r="Y63" s="167">
        <f t="shared" si="138"/>
        <v>0.51397426297734516</v>
      </c>
      <c r="Z63" s="189">
        <f>U63+1%</f>
        <v>0.49429224406878042</v>
      </c>
      <c r="AA63" s="189">
        <f>V63</f>
        <v>0.51566525538239794</v>
      </c>
      <c r="AB63" s="188">
        <f>AB62/AB45</f>
        <v>0.50989231178191075</v>
      </c>
      <c r="AC63" s="189">
        <f>X63-1%</f>
        <v>0.50636970667393455</v>
      </c>
      <c r="AD63" s="189">
        <f>Y63-0.1%</f>
        <v>0.51297426297734516</v>
      </c>
      <c r="AE63" s="189">
        <f>Z63-0.1%</f>
        <v>0.49329224406878042</v>
      </c>
      <c r="AF63" s="189">
        <f>AA63+1%</f>
        <v>0.52566525538239794</v>
      </c>
      <c r="AG63" s="188">
        <f>AG62/AG45</f>
        <v>0.50940161789650418</v>
      </c>
      <c r="AH63" s="189">
        <f t="shared" ref="AH63:AK63" si="139">AC63-0.1%</f>
        <v>0.50536970667393455</v>
      </c>
      <c r="AI63" s="189">
        <f t="shared" si="139"/>
        <v>0.51197426297734516</v>
      </c>
      <c r="AJ63" s="189">
        <f t="shared" si="139"/>
        <v>0.49229224406878042</v>
      </c>
      <c r="AK63" s="189">
        <f t="shared" si="139"/>
        <v>0.52466525538239794</v>
      </c>
      <c r="AL63" s="188">
        <f>AL62/AL45</f>
        <v>0.5084062663602037</v>
      </c>
      <c r="AM63" s="189">
        <f>AH63</f>
        <v>0.50536970667393455</v>
      </c>
      <c r="AN63" s="189">
        <f t="shared" ref="AN63:AP63" si="140">AI63</f>
        <v>0.51197426297734516</v>
      </c>
      <c r="AO63" s="189">
        <f t="shared" si="140"/>
        <v>0.49229224406878042</v>
      </c>
      <c r="AP63" s="189">
        <f t="shared" si="140"/>
        <v>0.52466525538239794</v>
      </c>
      <c r="AQ63" s="188">
        <f>AQ62/AQ45</f>
        <v>0.50840919632624393</v>
      </c>
      <c r="AR63" s="189">
        <f>AM63</f>
        <v>0.50536970667393455</v>
      </c>
      <c r="AS63" s="189">
        <f t="shared" ref="AS63:AU63" si="141">AN63</f>
        <v>0.51197426297734516</v>
      </c>
      <c r="AT63" s="189">
        <f t="shared" si="141"/>
        <v>0.49229224406878042</v>
      </c>
      <c r="AU63" s="189">
        <f t="shared" si="141"/>
        <v>0.52466525538239794</v>
      </c>
      <c r="AV63" s="188">
        <f>AV62/AV45</f>
        <v>0.50840790871550523</v>
      </c>
    </row>
    <row r="64" spans="2:48" outlineLevel="1" x14ac:dyDescent="0.3">
      <c r="B64" s="180" t="s">
        <v>33</v>
      </c>
      <c r="C64" s="18"/>
      <c r="D64" s="48">
        <v>44.5</v>
      </c>
      <c r="E64" s="48">
        <v>39.4</v>
      </c>
      <c r="F64" s="48">
        <v>41.7</v>
      </c>
      <c r="G64" s="48">
        <v>34.200000000000003</v>
      </c>
      <c r="H64" s="49"/>
      <c r="I64" s="48">
        <v>42.5</v>
      </c>
      <c r="J64" s="48">
        <v>41.8</v>
      </c>
      <c r="K64" s="48">
        <v>40.700000000000003</v>
      </c>
      <c r="L64" s="48">
        <v>38</v>
      </c>
      <c r="M64" s="49"/>
      <c r="N64" s="48">
        <v>42.8</v>
      </c>
      <c r="O64" s="48">
        <v>41.9</v>
      </c>
      <c r="P64" s="48">
        <v>39.700000000000003</v>
      </c>
      <c r="Q64" s="105">
        <v>47.3</v>
      </c>
      <c r="R64" s="49"/>
      <c r="S64" s="48">
        <v>48.2</v>
      </c>
      <c r="T64" s="48">
        <v>47.1</v>
      </c>
      <c r="U64" s="48">
        <v>55.4</v>
      </c>
      <c r="V64" s="48">
        <v>51.4</v>
      </c>
      <c r="W64" s="49">
        <f>SUM(S64:V64)</f>
        <v>202.10000000000002</v>
      </c>
      <c r="X64" s="105">
        <v>65.599999999999994</v>
      </c>
      <c r="Y64" s="105">
        <v>63.4</v>
      </c>
      <c r="Z64" s="48">
        <f t="shared" ref="Z64:AA64" si="142">Z59*Z65</f>
        <v>61.415906062097456</v>
      </c>
      <c r="AA64" s="48">
        <f t="shared" si="142"/>
        <v>54.817524728006688</v>
      </c>
      <c r="AB64" s="49">
        <f>SUM(X64:AA64)</f>
        <v>245.23343079010414</v>
      </c>
      <c r="AC64" s="48">
        <f>AC59*AC65</f>
        <v>71.046809598212974</v>
      </c>
      <c r="AD64" s="48">
        <f>AD59*AD65</f>
        <v>68.739633274149696</v>
      </c>
      <c r="AE64" s="48">
        <f t="shared" ref="AE64:AF64" si="143">AE59*AE65</f>
        <v>66.507656314172038</v>
      </c>
      <c r="AF64" s="48">
        <f t="shared" si="143"/>
        <v>59.288692314645118</v>
      </c>
      <c r="AG64" s="49">
        <f>SUM(AC64:AF64)</f>
        <v>265.58279150117983</v>
      </c>
      <c r="AH64" s="48">
        <f>AH59*AH65</f>
        <v>78.298333971894891</v>
      </c>
      <c r="AI64" s="48">
        <f>AI59*AI65</f>
        <v>75.837278334246463</v>
      </c>
      <c r="AJ64" s="48">
        <f t="shared" ref="AJ64:AK64" si="144">AJ59*AJ65</f>
        <v>73.436177911092685</v>
      </c>
      <c r="AK64" s="48">
        <f t="shared" si="144"/>
        <v>65.543255440725162</v>
      </c>
      <c r="AL64" s="49">
        <f>SUM(AH64:AK64)</f>
        <v>293.11504565795917</v>
      </c>
      <c r="AM64" s="48">
        <f>AM59*AM65</f>
        <v>84.977087777001984</v>
      </c>
      <c r="AN64" s="48">
        <f>AN59*AN65</f>
        <v>82.272866377875644</v>
      </c>
      <c r="AO64" s="48">
        <f t="shared" ref="AO64:AP64" si="145">AO59*AO65</f>
        <v>79.644931039804035</v>
      </c>
      <c r="AP64" s="48">
        <f t="shared" si="145"/>
        <v>71.05982408216407</v>
      </c>
      <c r="AQ64" s="49">
        <f>SUM(AM64:AP64)</f>
        <v>317.95470927684573</v>
      </c>
      <c r="AR64" s="48">
        <f>AR59*AR65</f>
        <v>90.336198331200009</v>
      </c>
      <c r="AS64" s="48">
        <f>AS59*AS65</f>
        <v>87.446273312178818</v>
      </c>
      <c r="AT64" s="48">
        <f t="shared" ref="AT64:AU64" si="146">AT59*AT65</f>
        <v>84.651951296189068</v>
      </c>
      <c r="AU64" s="48">
        <f t="shared" si="146"/>
        <v>75.496452473106444</v>
      </c>
      <c r="AV64" s="49">
        <f>SUM(AR64:AU64)</f>
        <v>337.93087541267431</v>
      </c>
    </row>
    <row r="65" spans="2:48" s="184" customFormat="1" outlineLevel="1" x14ac:dyDescent="0.3">
      <c r="B65" s="181" t="s">
        <v>152</v>
      </c>
      <c r="C65" s="190"/>
      <c r="D65" s="187">
        <f>D64/D59</f>
        <v>9.6476964769647705E-3</v>
      </c>
      <c r="E65" s="187">
        <f t="shared" ref="E65:Y65" si="147">E64/E59</f>
        <v>9.1328434667717479E-3</v>
      </c>
      <c r="F65" s="187">
        <f t="shared" si="147"/>
        <v>8.908162611352034E-3</v>
      </c>
      <c r="G65" s="187">
        <f t="shared" si="147"/>
        <v>7.352625016124179E-3</v>
      </c>
      <c r="H65" s="188"/>
      <c r="I65" s="187">
        <f t="shared" si="147"/>
        <v>8.4815103075295863E-3</v>
      </c>
      <c r="J65" s="187">
        <f t="shared" si="147"/>
        <v>9.6535796766743648E-3</v>
      </c>
      <c r="K65" s="187">
        <f t="shared" si="147"/>
        <v>1.4507217964712174E-2</v>
      </c>
      <c r="L65" s="187">
        <f t="shared" si="147"/>
        <v>9.017774508175324E-3</v>
      </c>
      <c r="M65" s="188"/>
      <c r="N65" s="187">
        <f t="shared" si="147"/>
        <v>9.1001871066507915E-3</v>
      </c>
      <c r="O65" s="187">
        <f t="shared" si="147"/>
        <v>8.982549414740814E-3</v>
      </c>
      <c r="P65" s="187">
        <f t="shared" si="147"/>
        <v>7.3514434383275002E-3</v>
      </c>
      <c r="Q65" s="167">
        <f t="shared" si="147"/>
        <v>8.2075307999305916E-3</v>
      </c>
      <c r="R65" s="188"/>
      <c r="S65" s="187">
        <f t="shared" si="147"/>
        <v>8.4084922282504412E-3</v>
      </c>
      <c r="T65" s="187">
        <f t="shared" si="147"/>
        <v>8.6490258368988378E-3</v>
      </c>
      <c r="U65" s="187">
        <f t="shared" si="147"/>
        <v>9.1443285355869534E-3</v>
      </c>
      <c r="V65" s="187">
        <f t="shared" si="147"/>
        <v>8.3789775691184148E-3</v>
      </c>
      <c r="W65" s="188">
        <f t="shared" si="147"/>
        <v>8.6475430879559105E-3</v>
      </c>
      <c r="X65" s="167">
        <f t="shared" si="147"/>
        <v>1.0013279807061192E-2</v>
      </c>
      <c r="Y65" s="167">
        <f t="shared" si="147"/>
        <v>9.9363696204118734E-3</v>
      </c>
      <c r="Z65" s="189">
        <f t="shared" ref="Z65:AA65" si="148">U65</f>
        <v>9.1443285355869534E-3</v>
      </c>
      <c r="AA65" s="189">
        <f t="shared" si="148"/>
        <v>8.3789775691184148E-3</v>
      </c>
      <c r="AB65" s="188">
        <f t="shared" ref="AB65" si="149">AB64/AB59</f>
        <v>9.3634666313346E-3</v>
      </c>
      <c r="AC65" s="189">
        <f>X65</f>
        <v>1.0013279807061192E-2</v>
      </c>
      <c r="AD65" s="189">
        <f t="shared" ref="AD65:AF65" si="150">Y65</f>
        <v>9.9363696204118734E-3</v>
      </c>
      <c r="AE65" s="189">
        <f t="shared" si="150"/>
        <v>9.1443285355869534E-3</v>
      </c>
      <c r="AF65" s="189">
        <f t="shared" si="150"/>
        <v>8.3789775691184148E-3</v>
      </c>
      <c r="AG65" s="188">
        <f t="shared" ref="AG65" si="151">AG64/AG59</f>
        <v>9.3639594911862599E-3</v>
      </c>
      <c r="AH65" s="189">
        <f>AC65</f>
        <v>1.0013279807061192E-2</v>
      </c>
      <c r="AI65" s="189">
        <f t="shared" ref="AI65:AK65" si="152">AD65</f>
        <v>9.9363696204118734E-3</v>
      </c>
      <c r="AJ65" s="189">
        <f t="shared" si="152"/>
        <v>9.1443285355869534E-3</v>
      </c>
      <c r="AK65" s="189">
        <f t="shared" si="152"/>
        <v>8.3789775691184148E-3</v>
      </c>
      <c r="AL65" s="188">
        <f t="shared" ref="AL65" si="153">AL64/AL59</f>
        <v>9.3632391604508425E-3</v>
      </c>
      <c r="AM65" s="189">
        <f>AH65</f>
        <v>1.0013279807061192E-2</v>
      </c>
      <c r="AN65" s="189">
        <f t="shared" ref="AN65:AP65" si="154">AI65</f>
        <v>9.9363696204118734E-3</v>
      </c>
      <c r="AO65" s="189">
        <f t="shared" si="154"/>
        <v>9.1443285355869534E-3</v>
      </c>
      <c r="AP65" s="189">
        <f t="shared" si="154"/>
        <v>8.3789775691184148E-3</v>
      </c>
      <c r="AQ65" s="188">
        <f t="shared" ref="AQ65" si="155">AQ64/AQ59</f>
        <v>9.3634783136462302E-3</v>
      </c>
      <c r="AR65" s="189">
        <f>AM65</f>
        <v>1.0013279807061192E-2</v>
      </c>
      <c r="AS65" s="189">
        <f t="shared" ref="AS65:AU65" si="156">AN65</f>
        <v>9.9363696204118734E-3</v>
      </c>
      <c r="AT65" s="189">
        <f t="shared" si="156"/>
        <v>9.1443285355869534E-3</v>
      </c>
      <c r="AU65" s="189">
        <f t="shared" si="156"/>
        <v>8.3789775691184148E-3</v>
      </c>
      <c r="AV65" s="188">
        <f t="shared" ref="AV65" si="157">AV64/AV59</f>
        <v>9.3636104006482365E-3</v>
      </c>
    </row>
    <row r="66" spans="2:48" outlineLevel="1" x14ac:dyDescent="0.3">
      <c r="B66" s="180" t="s">
        <v>34</v>
      </c>
      <c r="C66" s="18"/>
      <c r="D66" s="358">
        <v>166.9</v>
      </c>
      <c r="E66" s="358">
        <v>173</v>
      </c>
      <c r="F66" s="358">
        <v>175.6</v>
      </c>
      <c r="G66" s="358">
        <v>180.6</v>
      </c>
      <c r="H66" s="130"/>
      <c r="I66" s="358">
        <v>189.2</v>
      </c>
      <c r="J66" s="358">
        <v>191.5</v>
      </c>
      <c r="K66" s="358">
        <v>191.3</v>
      </c>
      <c r="L66" s="358">
        <v>190.1</v>
      </c>
      <c r="M66" s="359"/>
      <c r="N66" s="358">
        <v>188.9</v>
      </c>
      <c r="O66" s="358">
        <v>186</v>
      </c>
      <c r="P66" s="358">
        <v>188.9</v>
      </c>
      <c r="Q66" s="358">
        <v>189.9</v>
      </c>
      <c r="R66" s="170"/>
      <c r="S66" s="358">
        <v>200</v>
      </c>
      <c r="T66" s="358">
        <v>202</v>
      </c>
      <c r="U66" s="358">
        <v>201.2</v>
      </c>
      <c r="V66" s="358">
        <v>205.2</v>
      </c>
      <c r="W66" s="170">
        <f t="shared" ref="W66:W67" si="158">SUM(S66:V66)</f>
        <v>808.40000000000009</v>
      </c>
      <c r="X66" s="358">
        <v>216.9</v>
      </c>
      <c r="Y66" s="358">
        <v>226.3</v>
      </c>
      <c r="Z66" s="358">
        <f>(Y66/(Y66+Y99+Y114+Y127))*'CFS (Base)'!Z7*0.95</f>
        <v>237.60416581154917</v>
      </c>
      <c r="AA66" s="358">
        <f>(Z66/(Z66+Z99+Z114+Z127))*'CFS (Base)'!AA7*0.95</f>
        <v>244.34817887982251</v>
      </c>
      <c r="AB66" s="170">
        <f t="shared" ref="AB66:AB67" si="159">SUM(X66:AA66)</f>
        <v>925.1523446913717</v>
      </c>
      <c r="AC66" s="358">
        <f>(AA66/(AA66+AA99+AA114+AA127))*'CFS (Base)'!AC7*0.95</f>
        <v>254.99903287712411</v>
      </c>
      <c r="AD66" s="358">
        <f>(AC66/(AC66+AC99+AC114+AC127))*'CFS (Base)'!AD7*0.95</f>
        <v>266.62738596063303</v>
      </c>
      <c r="AE66" s="358">
        <f>(AD66/(AD66+AD99+AD114+AD127))*'CFS (Base)'!AE7*0.95</f>
        <v>275.58809672236924</v>
      </c>
      <c r="AF66" s="358">
        <f>(AE66/(AE66+AE99+AE114+AE127))*'CFS (Base)'!AF7*0.95</f>
        <v>283.47330182143872</v>
      </c>
      <c r="AG66" s="170">
        <f t="shared" ref="AG66:AG67" si="160">SUM(AC66:AF66)</f>
        <v>1080.6878173815651</v>
      </c>
      <c r="AH66" s="358">
        <f>(AF66/(AF66+AF99+AF114+AF127))*'CFS (Base)'!AH7*0.95</f>
        <v>292.56479766018134</v>
      </c>
      <c r="AI66" s="358">
        <f>(AH66/(AH66+AH99+AH114+AH127))*'CFS (Base)'!AI7*0.95</f>
        <v>300.22445629100071</v>
      </c>
      <c r="AJ66" s="358">
        <f>(AI66/(AI66+AI99+AI114+AI127))*'CFS (Base)'!AJ7*0.95</f>
        <v>306.56691272680069</v>
      </c>
      <c r="AK66" s="358">
        <f>(AJ66/(AJ66+AJ99+AJ114+AJ127))*'CFS (Base)'!AK7*0.95</f>
        <v>313.88530725373903</v>
      </c>
      <c r="AL66" s="170">
        <f t="shared" ref="AL66:AL67" si="161">SUM(AH66:AK66)</f>
        <v>1213.2414739317217</v>
      </c>
      <c r="AM66" s="358">
        <f>(AK66/(AK66+AK99+AK114+AK127))*'CFS (Base)'!AM7*0.95</f>
        <v>321.43731673214654</v>
      </c>
      <c r="AN66" s="358">
        <f>(AM66/(AM66+AM99+AM114+AM127))*'CFS (Base)'!AN7*0.95</f>
        <v>329.34468147280205</v>
      </c>
      <c r="AO66" s="358">
        <f>(AN66/(AN66+AN99+AN114+AN127))*'CFS (Base)'!AO7*0.95</f>
        <v>336.23238396420464</v>
      </c>
      <c r="AP66" s="358">
        <f>(AO66/(AO66+AO99+AO114+AO127))*'CFS (Base)'!AP7*0.95</f>
        <v>344.338990329875</v>
      </c>
      <c r="AQ66" s="170">
        <f t="shared" ref="AQ66:AQ67" si="162">SUM(AM66:AP66)</f>
        <v>1331.3533724990284</v>
      </c>
      <c r="AR66" s="358">
        <f>(AP66/(AP66+AP99+AP114+AP127))*'CFS (Base)'!AR7*0.95</f>
        <v>352.31697507748333</v>
      </c>
      <c r="AS66" s="358">
        <f>(AR66/(AR66+AR99+AR114+AR127))*'CFS (Base)'!AS7*0.95</f>
        <v>360.09100152945535</v>
      </c>
      <c r="AT66" s="358">
        <f>(AS66/(AS66+AS99+AS114+AS127))*'CFS (Base)'!AT7*0.95</f>
        <v>366.91999761892902</v>
      </c>
      <c r="AU66" s="358">
        <f>(AT66/(AT66+AT99+AT114+AT127))*'CFS (Base)'!AU7*0.95</f>
        <v>375.07758165688404</v>
      </c>
      <c r="AV66" s="170">
        <f t="shared" ref="AV66:AV67" si="163">SUM(AR66:AU66)</f>
        <v>1454.4055558827517</v>
      </c>
    </row>
    <row r="67" spans="2:48" outlineLevel="1" x14ac:dyDescent="0.3">
      <c r="B67" s="180" t="s">
        <v>35</v>
      </c>
      <c r="C67" s="18"/>
      <c r="D67" s="48">
        <v>75.099999999999994</v>
      </c>
      <c r="E67" s="48">
        <v>70.900000000000006</v>
      </c>
      <c r="F67" s="48">
        <v>72</v>
      </c>
      <c r="G67" s="48">
        <v>106</v>
      </c>
      <c r="H67" s="49"/>
      <c r="I67" s="48">
        <v>72.400000000000006</v>
      </c>
      <c r="J67" s="48">
        <v>68.2</v>
      </c>
      <c r="K67" s="48">
        <v>62.2</v>
      </c>
      <c r="L67" s="48">
        <v>65.2</v>
      </c>
      <c r="M67" s="165"/>
      <c r="N67" s="48">
        <v>70.8</v>
      </c>
      <c r="O67" s="48">
        <v>77.7</v>
      </c>
      <c r="P67" s="48">
        <v>73.2</v>
      </c>
      <c r="Q67" s="105">
        <v>78.400000000000006</v>
      </c>
      <c r="R67" s="49"/>
      <c r="S67" s="48">
        <v>76.7</v>
      </c>
      <c r="T67" s="48">
        <v>71.3</v>
      </c>
      <c r="U67" s="48">
        <v>76.5</v>
      </c>
      <c r="V67" s="48">
        <v>78.8</v>
      </c>
      <c r="W67" s="49">
        <f t="shared" si="158"/>
        <v>303.3</v>
      </c>
      <c r="X67" s="105">
        <v>102.3</v>
      </c>
      <c r="Y67" s="105">
        <v>91.2</v>
      </c>
      <c r="Z67" s="48">
        <f t="shared" ref="Z67:AA67" si="164">Z68*Z59</f>
        <v>101.59787232792389</v>
      </c>
      <c r="AA67" s="48">
        <f t="shared" si="164"/>
        <v>18.616628631363515</v>
      </c>
      <c r="AB67" s="49">
        <f t="shared" si="159"/>
        <v>313.71450095928742</v>
      </c>
      <c r="AC67" s="48">
        <f>AC68*AC59</f>
        <v>89.508258090470591</v>
      </c>
      <c r="AD67" s="48">
        <f>AD68*AD59</f>
        <v>112.71695209369925</v>
      </c>
      <c r="AE67" s="48">
        <f t="shared" ref="AE67:AF67" si="165">AE68*AE59</f>
        <v>102.74784630965401</v>
      </c>
      <c r="AF67" s="48">
        <f t="shared" si="165"/>
        <v>13.05919958967872</v>
      </c>
      <c r="AG67" s="49">
        <f t="shared" si="160"/>
        <v>318.03225608350255</v>
      </c>
      <c r="AH67" s="48">
        <f>AH68*AH59</f>
        <v>90.824635120801034</v>
      </c>
      <c r="AI67" s="48">
        <f>AI68*AI59</f>
        <v>116.72314072906576</v>
      </c>
      <c r="AJ67" s="48">
        <f t="shared" ref="AJ67:AK67" si="166">AJ68*AJ59</f>
        <v>105.42094729831899</v>
      </c>
      <c r="AK67" s="48">
        <f t="shared" si="166"/>
        <v>6.6145131249441551</v>
      </c>
      <c r="AL67" s="49">
        <f t="shared" si="161"/>
        <v>319.58323627312996</v>
      </c>
      <c r="AM67" s="48">
        <f>AM68*AM59</f>
        <v>98.571867362399573</v>
      </c>
      <c r="AN67" s="48">
        <f>AN68*AN59</f>
        <v>126.62832278979388</v>
      </c>
      <c r="AO67" s="48">
        <f t="shared" ref="AO67:AP67" si="167">AO68*AO59</f>
        <v>114.33389259297444</v>
      </c>
      <c r="AP67" s="48">
        <f t="shared" si="167"/>
        <v>7.171235787529211</v>
      </c>
      <c r="AQ67" s="49">
        <f t="shared" si="162"/>
        <v>346.70531853269711</v>
      </c>
      <c r="AR67" s="48">
        <f>AR68*AR59</f>
        <v>104.78833757275913</v>
      </c>
      <c r="AS67" s="48">
        <f>AS68*AS59</f>
        <v>134.59084885751415</v>
      </c>
      <c r="AT67" s="48">
        <f t="shared" ref="AT67:AU67" si="168">AT68*AT59</f>
        <v>121.52169611958269</v>
      </c>
      <c r="AU67" s="48">
        <f t="shared" si="168"/>
        <v>7.6189727289590996</v>
      </c>
      <c r="AV67" s="49">
        <f t="shared" si="163"/>
        <v>368.51985527881504</v>
      </c>
    </row>
    <row r="68" spans="2:48" s="184" customFormat="1" outlineLevel="1" x14ac:dyDescent="0.3">
      <c r="B68" s="181" t="s">
        <v>153</v>
      </c>
      <c r="C68" s="190"/>
      <c r="D68" s="187">
        <f>D67/D59</f>
        <v>1.6281842818428184E-2</v>
      </c>
      <c r="E68" s="187">
        <f t="shared" ref="E68:Q68" si="169">E67/E59</f>
        <v>1.6434482279038501E-2</v>
      </c>
      <c r="F68" s="187">
        <f t="shared" si="169"/>
        <v>1.5381000192262503E-2</v>
      </c>
      <c r="G68" s="187">
        <f t="shared" si="169"/>
        <v>2.2788837769273769E-2</v>
      </c>
      <c r="H68" s="188"/>
      <c r="I68" s="187">
        <f t="shared" si="169"/>
        <v>1.4448502265062167E-2</v>
      </c>
      <c r="J68" s="187">
        <f t="shared" si="169"/>
        <v>1.5750577367205542E-2</v>
      </c>
      <c r="K68" s="187">
        <f t="shared" si="169"/>
        <v>2.2170736054179293E-2</v>
      </c>
      <c r="L68" s="187">
        <f t="shared" si="169"/>
        <v>1.5472602577185029E-2</v>
      </c>
      <c r="M68" s="188"/>
      <c r="N68" s="187">
        <f t="shared" si="169"/>
        <v>1.5053580540908319E-2</v>
      </c>
      <c r="O68" s="187">
        <f t="shared" si="169"/>
        <v>1.6657376838314114E-2</v>
      </c>
      <c r="P68" s="187">
        <f t="shared" si="169"/>
        <v>1.3554802510971613E-2</v>
      </c>
      <c r="Q68" s="167">
        <f t="shared" si="169"/>
        <v>1.3604025681068889E-2</v>
      </c>
      <c r="R68" s="188"/>
      <c r="S68" s="187">
        <f t="shared" ref="S68:Y68" si="170">S67/S59</f>
        <v>1.3380318545784415E-2</v>
      </c>
      <c r="T68" s="187">
        <f t="shared" si="170"/>
        <v>1.3092898984519897E-2</v>
      </c>
      <c r="U68" s="187">
        <f t="shared" si="170"/>
        <v>1.2627096263039747E-2</v>
      </c>
      <c r="V68" s="187">
        <f t="shared" si="170"/>
        <v>1.2845592070944184E-2</v>
      </c>
      <c r="W68" s="188">
        <f t="shared" si="170"/>
        <v>1.2977732897461789E-2</v>
      </c>
      <c r="X68" s="167">
        <f t="shared" si="170"/>
        <v>1.5615221406438416E-2</v>
      </c>
      <c r="Y68" s="167">
        <f t="shared" si="170"/>
        <v>1.4293326646396893E-2</v>
      </c>
      <c r="Z68" s="189">
        <f>U68+0.25%</f>
        <v>1.5127096263039748E-2</v>
      </c>
      <c r="AA68" s="189">
        <f>V68-1%</f>
        <v>2.8455920709441838E-3</v>
      </c>
      <c r="AB68" s="188">
        <f t="shared" ref="AB68" si="171">AB67/AB59</f>
        <v>1.1978200737289562E-2</v>
      </c>
      <c r="AC68" s="189">
        <f>X68-0.3%</f>
        <v>1.2615221406438417E-2</v>
      </c>
      <c r="AD68" s="189">
        <f>Y68+0.2%</f>
        <v>1.6293326646396891E-2</v>
      </c>
      <c r="AE68" s="189">
        <f>Z68-0.1%</f>
        <v>1.4127096263039748E-2</v>
      </c>
      <c r="AF68" s="189">
        <f>AA68-0.1%</f>
        <v>1.8455920709441838E-3</v>
      </c>
      <c r="AG68" s="188">
        <f t="shared" ref="AG68" si="172">AG67/AG59</f>
        <v>1.1213230895056931E-2</v>
      </c>
      <c r="AH68" s="189">
        <f t="shared" ref="AH68:AK68" si="173">AC68-0.1%</f>
        <v>1.1615221406438416E-2</v>
      </c>
      <c r="AI68" s="189">
        <f t="shared" si="173"/>
        <v>1.529332664639689E-2</v>
      </c>
      <c r="AJ68" s="189">
        <f t="shared" si="173"/>
        <v>1.3127096263039748E-2</v>
      </c>
      <c r="AK68" s="189">
        <f t="shared" si="173"/>
        <v>8.4559207094418373E-4</v>
      </c>
      <c r="AL68" s="188">
        <f t="shared" ref="AL68" si="174">AL67/AL59</f>
        <v>1.0208736525889528E-2</v>
      </c>
      <c r="AM68" s="189">
        <f>AH68</f>
        <v>1.1615221406438416E-2</v>
      </c>
      <c r="AN68" s="189">
        <f t="shared" ref="AN68:AP68" si="175">AI68</f>
        <v>1.529332664639689E-2</v>
      </c>
      <c r="AO68" s="189">
        <f t="shared" si="175"/>
        <v>1.3127096263039748E-2</v>
      </c>
      <c r="AP68" s="189">
        <f t="shared" si="175"/>
        <v>8.4559207094418373E-4</v>
      </c>
      <c r="AQ68" s="188">
        <f t="shared" ref="AQ68" si="176">AQ67/AQ59</f>
        <v>1.0210157725577448E-2</v>
      </c>
      <c r="AR68" s="189">
        <f>AM68</f>
        <v>1.1615221406438416E-2</v>
      </c>
      <c r="AS68" s="189">
        <f t="shared" ref="AS68:AU68" si="177">AN68</f>
        <v>1.529332664639689E-2</v>
      </c>
      <c r="AT68" s="189">
        <f t="shared" si="177"/>
        <v>1.3127096263039748E-2</v>
      </c>
      <c r="AU68" s="189">
        <f t="shared" si="177"/>
        <v>8.4559207094418373E-4</v>
      </c>
      <c r="AV68" s="188">
        <f t="shared" ref="AV68" si="178">AV67/AV59</f>
        <v>1.0211189923146855E-2</v>
      </c>
    </row>
    <row r="69" spans="2:48" ht="16.2" outlineLevel="1" x14ac:dyDescent="0.45">
      <c r="B69" s="180" t="s">
        <v>42</v>
      </c>
      <c r="C69" s="18"/>
      <c r="D69" s="119">
        <v>22.9</v>
      </c>
      <c r="E69" s="119">
        <v>18.2</v>
      </c>
      <c r="F69" s="119">
        <v>15.1</v>
      </c>
      <c r="G69" s="119">
        <v>0.7</v>
      </c>
      <c r="H69" s="131"/>
      <c r="I69" s="119">
        <v>5.2</v>
      </c>
      <c r="J69" s="119">
        <v>0.5</v>
      </c>
      <c r="K69" s="119">
        <v>56.2</v>
      </c>
      <c r="L69" s="119">
        <v>195.6</v>
      </c>
      <c r="M69" s="357"/>
      <c r="N69" s="119">
        <v>72.2</v>
      </c>
      <c r="O69" s="119">
        <v>23</v>
      </c>
      <c r="P69" s="119">
        <v>19.8</v>
      </c>
      <c r="Q69" s="119">
        <v>40.5</v>
      </c>
      <c r="R69" s="173"/>
      <c r="S69" s="119">
        <v>-7.5</v>
      </c>
      <c r="T69" s="119">
        <v>4.4000000000000004</v>
      </c>
      <c r="U69" s="119">
        <v>12</v>
      </c>
      <c r="V69" s="119">
        <v>24.4</v>
      </c>
      <c r="W69" s="173">
        <f>SUM(S69:V69)</f>
        <v>33.299999999999997</v>
      </c>
      <c r="X69" s="119">
        <v>5.0999999999999996</v>
      </c>
      <c r="Y69" s="119">
        <v>8.5</v>
      </c>
      <c r="Z69" s="119">
        <f>IFERROR((Z163*(X69/X163)),0)</f>
        <v>6.1551724137931032</v>
      </c>
      <c r="AA69" s="119">
        <f t="shared" ref="AA69" si="179">IFERROR((AA163*(Z69/Z163)),0)</f>
        <v>6.1551724137931032</v>
      </c>
      <c r="AB69" s="173">
        <f>SUM(X69:AA69)</f>
        <v>25.910344827586208</v>
      </c>
      <c r="AC69" s="119">
        <f>IFERROR((AC163*(AA69/AA163)),0)</f>
        <v>6.1551724137931032</v>
      </c>
      <c r="AD69" s="119">
        <f t="shared" ref="AD69:AF69" si="180">IFERROR((AD163*(AC69/AC163)),0)</f>
        <v>6.1551724137931032</v>
      </c>
      <c r="AE69" s="119">
        <f t="shared" si="180"/>
        <v>6.1551724137931032</v>
      </c>
      <c r="AF69" s="119">
        <f t="shared" si="180"/>
        <v>6.1551724137931032</v>
      </c>
      <c r="AG69" s="173">
        <f>SUM(AC69:AF69)</f>
        <v>24.620689655172413</v>
      </c>
      <c r="AH69" s="119">
        <f>IFERROR((AH163*(AF69/AF163)),0)</f>
        <v>6.1551724137931032</v>
      </c>
      <c r="AI69" s="119">
        <f t="shared" ref="AI69:AK69" si="181">IFERROR((AI163*(AH69/AH163)),0)</f>
        <v>6.1551724137931032</v>
      </c>
      <c r="AJ69" s="119">
        <f t="shared" si="181"/>
        <v>6.1551724137931032</v>
      </c>
      <c r="AK69" s="119">
        <f t="shared" si="181"/>
        <v>6.1551724137931032</v>
      </c>
      <c r="AL69" s="173">
        <f>SUM(AH69:AK69)</f>
        <v>24.620689655172413</v>
      </c>
      <c r="AM69" s="119">
        <f>IFERROR((AM163*(AK69/AK163)),0)</f>
        <v>6.1551724137931032</v>
      </c>
      <c r="AN69" s="119">
        <f t="shared" ref="AN69:AP69" si="182">IFERROR((AN163*(AM69/AM163)),0)</f>
        <v>6.1551724137931032</v>
      </c>
      <c r="AO69" s="119">
        <f t="shared" si="182"/>
        <v>6.1551724137931032</v>
      </c>
      <c r="AP69" s="119">
        <f t="shared" si="182"/>
        <v>6.1551724137931032</v>
      </c>
      <c r="AQ69" s="173">
        <f>SUM(AM69:AP69)</f>
        <v>24.620689655172413</v>
      </c>
      <c r="AR69" s="119">
        <f>IFERROR((AR163*(AP69/AP163)),0)</f>
        <v>6.1551724137931032</v>
      </c>
      <c r="AS69" s="119">
        <f t="shared" ref="AS69:AU69" si="183">IFERROR((AS163*(AR69/AR163)),0)</f>
        <v>6.1551724137931032</v>
      </c>
      <c r="AT69" s="119">
        <f t="shared" si="183"/>
        <v>6.1551724137931032</v>
      </c>
      <c r="AU69" s="119">
        <f t="shared" si="183"/>
        <v>6.1551724137931032</v>
      </c>
      <c r="AV69" s="173">
        <f>SUM(AR69:AU69)</f>
        <v>24.620689655172413</v>
      </c>
    </row>
    <row r="70" spans="2:48" outlineLevel="1" x14ac:dyDescent="0.3">
      <c r="B70" s="46" t="s">
        <v>183</v>
      </c>
      <c r="C70" s="19"/>
      <c r="D70" s="103">
        <f>+D60+D62+D64+D66+D67+D69</f>
        <v>3643.7999999999997</v>
      </c>
      <c r="E70" s="103">
        <f t="shared" ref="E70:G70" si="184">+E60+E62+E64+E66+E67+E69</f>
        <v>3457.7</v>
      </c>
      <c r="F70" s="103">
        <f t="shared" si="184"/>
        <v>3662.3999999999996</v>
      </c>
      <c r="G70" s="103">
        <f t="shared" si="184"/>
        <v>3712.4999999999995</v>
      </c>
      <c r="H70" s="166">
        <f>+H60+H62+H64+H66+H67+H69</f>
        <v>0</v>
      </c>
      <c r="I70" s="103">
        <f t="shared" ref="I70:L70" si="185">+I60+I62+I64+I66+I67+I69</f>
        <v>3912.1</v>
      </c>
      <c r="J70" s="103">
        <f t="shared" si="185"/>
        <v>3708.8</v>
      </c>
      <c r="K70" s="103">
        <f t="shared" si="185"/>
        <v>3210.3999999999996</v>
      </c>
      <c r="L70" s="50">
        <f t="shared" si="185"/>
        <v>3707.8999999999996</v>
      </c>
      <c r="M70" s="191"/>
      <c r="N70" s="50">
        <f t="shared" ref="N70:Q70" si="186">+N60+N62+N64+N66+N67+N69</f>
        <v>3889.7000000000003</v>
      </c>
      <c r="O70" s="50">
        <f t="shared" si="186"/>
        <v>3759.2999999999997</v>
      </c>
      <c r="P70" s="50">
        <f t="shared" si="186"/>
        <v>4084.6</v>
      </c>
      <c r="Q70" s="103">
        <f t="shared" si="186"/>
        <v>4507.2</v>
      </c>
      <c r="R70" s="191"/>
      <c r="S70" s="50">
        <f>+S60+S62+S64+S66+S67+S69</f>
        <v>4649.2</v>
      </c>
      <c r="T70" s="50">
        <f t="shared" ref="T70:AK70" si="187">+T60+T62+T64+T66+T67+T69</f>
        <v>4514.2</v>
      </c>
      <c r="U70" s="50">
        <f t="shared" si="187"/>
        <v>4728.2999999999993</v>
      </c>
      <c r="V70" s="50">
        <f>+V60+V62+V64+V66+V67+V69</f>
        <v>4992.5999999999985</v>
      </c>
      <c r="W70" s="191">
        <f>+W60+W62+W64+W66+W67+W69</f>
        <v>18884.3</v>
      </c>
      <c r="X70" s="103">
        <f t="shared" si="187"/>
        <v>5338.9000000000005</v>
      </c>
      <c r="Y70" s="103">
        <f t="shared" si="187"/>
        <v>5162.7</v>
      </c>
      <c r="Z70" s="50">
        <f t="shared" si="187"/>
        <v>5353.8619270150912</v>
      </c>
      <c r="AA70" s="50">
        <f t="shared" si="187"/>
        <v>5178.6326010100702</v>
      </c>
      <c r="AB70" s="191">
        <f>+AB60+AB62+AB64+AB66+AB67+AB69</f>
        <v>21034.094528025154</v>
      </c>
      <c r="AC70" s="50">
        <f t="shared" si="187"/>
        <v>5647.0944426980568</v>
      </c>
      <c r="AD70" s="50">
        <f t="shared" si="187"/>
        <v>5586.5615237650891</v>
      </c>
      <c r="AE70" s="50">
        <f t="shared" si="187"/>
        <v>5761.3815692214439</v>
      </c>
      <c r="AF70" s="50">
        <f t="shared" si="187"/>
        <v>5742.2097902380347</v>
      </c>
      <c r="AG70" s="191">
        <f>+AG60+AG62+AG64+AG66+AG67+AG69</f>
        <v>22737.247325922621</v>
      </c>
      <c r="AH70" s="50">
        <f t="shared" si="187"/>
        <v>6205.4187198311511</v>
      </c>
      <c r="AI70" s="50">
        <f t="shared" si="187"/>
        <v>6140.4891490113014</v>
      </c>
      <c r="AJ70" s="50">
        <f t="shared" si="187"/>
        <v>6334.1714886146892</v>
      </c>
      <c r="AK70" s="50">
        <f t="shared" si="187"/>
        <v>6318.5004690662436</v>
      </c>
      <c r="AL70" s="191">
        <f>+AL60+AL62+AL64+AL66+AL67+AL69</f>
        <v>24998.579826523386</v>
      </c>
      <c r="AM70" s="50">
        <f t="shared" ref="AM70:AP70" si="188">+AM60+AM62+AM64+AM66+AM67+AM69</f>
        <v>6732.6813873191813</v>
      </c>
      <c r="AN70" s="50">
        <f t="shared" si="188"/>
        <v>6663.2650743782551</v>
      </c>
      <c r="AO70" s="50">
        <f t="shared" si="188"/>
        <v>6875.0510512788678</v>
      </c>
      <c r="AP70" s="50">
        <f t="shared" si="188"/>
        <v>6859.8963246847779</v>
      </c>
      <c r="AQ70" s="191">
        <f>+AQ60+AQ62+AQ64+AQ66+AQ67+AQ69</f>
        <v>27130.893837661086</v>
      </c>
      <c r="AR70" s="50">
        <f t="shared" ref="AR70:AU70" si="189">+AR60+AR62+AR64+AR66+AR67+AR69</f>
        <v>7176.0673136624282</v>
      </c>
      <c r="AS70" s="50">
        <f t="shared" si="189"/>
        <v>7099.9764081351923</v>
      </c>
      <c r="AT70" s="50">
        <f t="shared" si="189"/>
        <v>7323.608886519627</v>
      </c>
      <c r="AU70" s="50">
        <f t="shared" si="189"/>
        <v>7305.003483866878</v>
      </c>
      <c r="AV70" s="191">
        <f>+AV60+AV62+AV64+AV66+AV67+AV69</f>
        <v>28904.656092184126</v>
      </c>
    </row>
    <row r="71" spans="2:48" outlineLevel="1" x14ac:dyDescent="0.3">
      <c r="B71" s="46" t="s">
        <v>184</v>
      </c>
      <c r="C71" s="44"/>
      <c r="D71" s="156">
        <f t="shared" ref="D71:G71" si="190">+D59-D70</f>
        <v>968.70000000000027</v>
      </c>
      <c r="E71" s="156">
        <f t="shared" si="190"/>
        <v>856.40000000000055</v>
      </c>
      <c r="F71" s="156">
        <f t="shared" si="190"/>
        <v>1018.6999999999998</v>
      </c>
      <c r="G71" s="156">
        <f t="shared" si="190"/>
        <v>938.90000000000009</v>
      </c>
      <c r="H71" s="132">
        <f>SUM(D71:G71)</f>
        <v>3782.7000000000007</v>
      </c>
      <c r="I71" s="156">
        <f t="shared" ref="I71:L71" si="191">+I59-I70</f>
        <v>1098.7999999999997</v>
      </c>
      <c r="J71" s="156">
        <f t="shared" si="191"/>
        <v>621.19999999999982</v>
      </c>
      <c r="K71" s="156">
        <f t="shared" si="191"/>
        <v>-404.89999999999964</v>
      </c>
      <c r="L71" s="74">
        <f t="shared" si="191"/>
        <v>506.00000000000091</v>
      </c>
      <c r="M71" s="97"/>
      <c r="N71" s="74">
        <f>+N59-N70</f>
        <v>813.49999999999955</v>
      </c>
      <c r="O71" s="74">
        <f t="shared" ref="O71:Q71" si="192">+O59-O70</f>
        <v>905.29999999999973</v>
      </c>
      <c r="P71" s="74">
        <f t="shared" si="192"/>
        <v>1315.7000000000003</v>
      </c>
      <c r="Q71" s="74">
        <f t="shared" si="192"/>
        <v>1255.8000000000002</v>
      </c>
      <c r="R71" s="97"/>
      <c r="S71" s="74">
        <f t="shared" ref="S71:U71" si="193">+S59-S70</f>
        <v>1083.1000000000004</v>
      </c>
      <c r="T71" s="74">
        <f t="shared" si="193"/>
        <v>931.5</v>
      </c>
      <c r="U71" s="74">
        <f t="shared" si="193"/>
        <v>1330.1000000000004</v>
      </c>
      <c r="V71" s="156">
        <f>+V59-V70</f>
        <v>1141.8000000000011</v>
      </c>
      <c r="W71" s="97">
        <f>SUM(S71:V71)</f>
        <v>4486.5000000000018</v>
      </c>
      <c r="X71" s="156">
        <f t="shared" ref="X71:AA71" si="194">+X59-X70</f>
        <v>1212.3999999999996</v>
      </c>
      <c r="Y71" s="156">
        <f t="shared" si="194"/>
        <v>1217.8999999999996</v>
      </c>
      <c r="Z71" s="74">
        <f t="shared" si="194"/>
        <v>1362.4219229237397</v>
      </c>
      <c r="AA71" s="74">
        <f t="shared" si="194"/>
        <v>1363.6363424040192</v>
      </c>
      <c r="AB71" s="97">
        <f>SUM(X71:AA71)</f>
        <v>5156.3582653277581</v>
      </c>
      <c r="AC71" s="74">
        <f t="shared" ref="AC71:AF71" si="195">+AC59-AC70</f>
        <v>1448.1641506064061</v>
      </c>
      <c r="AD71" s="74">
        <f t="shared" si="195"/>
        <v>1331.4211902576171</v>
      </c>
      <c r="AE71" s="74">
        <f t="shared" si="195"/>
        <v>1511.7228534099622</v>
      </c>
      <c r="AF71" s="74">
        <f t="shared" si="195"/>
        <v>1333.6764769790661</v>
      </c>
      <c r="AG71" s="97">
        <f>SUM(AC71:AF71)</f>
        <v>5624.9846712530516</v>
      </c>
      <c r="AH71" s="74">
        <f t="shared" ref="AH71:AK71" si="196">+AH59-AH70</f>
        <v>1614.0305995297495</v>
      </c>
      <c r="AI71" s="74">
        <f t="shared" si="196"/>
        <v>1491.8032506652435</v>
      </c>
      <c r="AJ71" s="74">
        <f t="shared" si="196"/>
        <v>1696.6180467023487</v>
      </c>
      <c r="AK71" s="74">
        <f t="shared" si="196"/>
        <v>1503.8447872680836</v>
      </c>
      <c r="AL71" s="97">
        <f>SUM(AH71:AK71)</f>
        <v>6306.2966841654252</v>
      </c>
      <c r="AM71" s="74">
        <f t="shared" ref="AM71:AP71" si="197">+AM59-AM70</f>
        <v>1753.7575631910813</v>
      </c>
      <c r="AN71" s="74">
        <f t="shared" si="197"/>
        <v>1616.7073421938794</v>
      </c>
      <c r="AO71" s="74">
        <f t="shared" si="197"/>
        <v>1834.7115879187641</v>
      </c>
      <c r="AP71" s="74">
        <f t="shared" si="197"/>
        <v>1620.8310070200314</v>
      </c>
      <c r="AQ71" s="97">
        <f>SUM(AM71:AP71)</f>
        <v>6826.0075003237562</v>
      </c>
      <c r="AR71" s="74">
        <f t="shared" ref="AR71:AU71" si="198">+AR59-AR70</f>
        <v>1845.5719565691379</v>
      </c>
      <c r="AS71" s="74">
        <f t="shared" si="198"/>
        <v>1700.6496406926972</v>
      </c>
      <c r="AT71" s="74">
        <f t="shared" si="198"/>
        <v>1933.7084732787825</v>
      </c>
      <c r="AU71" s="74">
        <f t="shared" si="198"/>
        <v>1705.2190463086881</v>
      </c>
      <c r="AV71" s="97">
        <f>SUM(AR71:AU71)</f>
        <v>7185.1491168493058</v>
      </c>
    </row>
    <row r="72" spans="2:48" outlineLevel="1" x14ac:dyDescent="0.3">
      <c r="B72" s="46" t="s">
        <v>185</v>
      </c>
      <c r="C72" s="44"/>
      <c r="D72" s="157">
        <f t="shared" ref="D72:G72" si="199">+D71/D59</f>
        <v>0.21001626016260169</v>
      </c>
      <c r="E72" s="157">
        <f t="shared" si="199"/>
        <v>0.19851185647064287</v>
      </c>
      <c r="F72" s="157">
        <f t="shared" si="199"/>
        <v>0.21761979022024736</v>
      </c>
      <c r="G72" s="157">
        <f t="shared" si="199"/>
        <v>0.20185320548652022</v>
      </c>
      <c r="H72" s="133">
        <f>H71/H59</f>
        <v>0.20716793270205</v>
      </c>
      <c r="I72" s="157">
        <f t="shared" ref="I72:L72" si="200">+I71/I59</f>
        <v>0.21928196531561192</v>
      </c>
      <c r="J72" s="157">
        <f t="shared" si="200"/>
        <v>0.14346420323325632</v>
      </c>
      <c r="K72" s="157">
        <f t="shared" si="200"/>
        <v>-0.14432364997326666</v>
      </c>
      <c r="L72" s="75">
        <f t="shared" si="200"/>
        <v>0.12007878687201899</v>
      </c>
      <c r="M72" s="98"/>
      <c r="N72" s="75">
        <f>+N71/N59</f>
        <v>0.17296734138458913</v>
      </c>
      <c r="O72" s="75">
        <f t="shared" ref="O72:Q72" si="201">+O71/O59</f>
        <v>0.19407880632851687</v>
      </c>
      <c r="P72" s="75">
        <f t="shared" si="201"/>
        <v>0.24363461289187641</v>
      </c>
      <c r="Q72" s="75">
        <f t="shared" si="201"/>
        <v>0.21790733992712133</v>
      </c>
      <c r="R72" s="98"/>
      <c r="S72" s="75">
        <f t="shared" ref="S72:V72" si="202">+S71/S59</f>
        <v>0.188946845070914</v>
      </c>
      <c r="T72" s="75">
        <f t="shared" si="202"/>
        <v>0.17105238995905026</v>
      </c>
      <c r="U72" s="75">
        <f t="shared" si="202"/>
        <v>0.21954641489502186</v>
      </c>
      <c r="V72" s="75">
        <f t="shared" si="202"/>
        <v>0.18613067292644778</v>
      </c>
      <c r="W72" s="98">
        <f>W71/W59</f>
        <v>0.19197032194019895</v>
      </c>
      <c r="X72" s="157">
        <f t="shared" ref="X72:AA72" si="203">+X71/X59</f>
        <v>0.18506250667806384</v>
      </c>
      <c r="Y72" s="157">
        <f t="shared" si="203"/>
        <v>0.19087546625709176</v>
      </c>
      <c r="Z72" s="75">
        <f t="shared" si="203"/>
        <v>0.20285353528293001</v>
      </c>
      <c r="AA72" s="75">
        <f t="shared" si="203"/>
        <v>0.20843477304257751</v>
      </c>
      <c r="AB72" s="98">
        <f>AB71/AB59</f>
        <v>0.19687930964814898</v>
      </c>
      <c r="AC72" s="75">
        <f t="shared" ref="AC72:AF72" si="204">+AC71/AC59</f>
        <v>0.20410308258151239</v>
      </c>
      <c r="AD72" s="75">
        <f t="shared" si="204"/>
        <v>0.19245801056409623</v>
      </c>
      <c r="AE72" s="75">
        <f t="shared" si="204"/>
        <v>0.20785111357758032</v>
      </c>
      <c r="AF72" s="75">
        <f t="shared" si="204"/>
        <v>0.18848189846663438</v>
      </c>
      <c r="AG72" s="98">
        <f>AG71/AG59</f>
        <v>0.1983265869841693</v>
      </c>
      <c r="AH72" s="75">
        <f t="shared" ref="AH72:AK72" si="205">+AH71/AH59</f>
        <v>0.20641231033154997</v>
      </c>
      <c r="AI72" s="75">
        <f t="shared" si="205"/>
        <v>0.19545939444464494</v>
      </c>
      <c r="AJ72" s="75">
        <f t="shared" si="205"/>
        <v>0.21126416515351626</v>
      </c>
      <c r="AK72" s="75">
        <f t="shared" si="205"/>
        <v>0.19224986087776041</v>
      </c>
      <c r="AL72" s="98">
        <f>AL71/AL59</f>
        <v>0.20144774192008674</v>
      </c>
      <c r="AM72" s="75">
        <f t="shared" ref="AM72:AP72" si="206">+AM71/AM59</f>
        <v>0.20665411881453921</v>
      </c>
      <c r="AN72" s="75">
        <f t="shared" si="206"/>
        <v>0.19525516038653518</v>
      </c>
      <c r="AO72" s="75">
        <f t="shared" si="206"/>
        <v>0.21065001010036513</v>
      </c>
      <c r="AP72" s="75">
        <f t="shared" si="206"/>
        <v>0.19111933960671382</v>
      </c>
      <c r="AQ72" s="98">
        <f>AQ71/AQ59</f>
        <v>0.20101974065248568</v>
      </c>
      <c r="AR72" s="75">
        <f t="shared" ref="AR72:AU72" si="207">+AR71/AR59</f>
        <v>0.2045716860636311</v>
      </c>
      <c r="AS72" s="75">
        <f t="shared" si="207"/>
        <v>0.19324189338998196</v>
      </c>
      <c r="AT72" s="75">
        <f t="shared" si="207"/>
        <v>0.20888432340844926</v>
      </c>
      <c r="AU72" s="75">
        <f t="shared" si="207"/>
        <v>0.1892538214897409</v>
      </c>
      <c r="AV72" s="98">
        <f>AV71/AV59</f>
        <v>0.19909082565651623</v>
      </c>
    </row>
    <row r="73" spans="2:48" ht="17.399999999999999" x14ac:dyDescent="0.45">
      <c r="B73" s="599" t="s">
        <v>114</v>
      </c>
      <c r="C73" s="600"/>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4" t="s">
        <v>408</v>
      </c>
      <c r="Y73" s="14" t="s">
        <v>452</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601" t="s">
        <v>115</v>
      </c>
      <c r="C74" s="602"/>
      <c r="D74" s="21">
        <v>5839</v>
      </c>
      <c r="E74" s="21">
        <v>5879</v>
      </c>
      <c r="F74" s="116">
        <v>5646</v>
      </c>
      <c r="G74" s="21">
        <v>5860</v>
      </c>
      <c r="H74" s="191">
        <f>G74</f>
        <v>5860</v>
      </c>
      <c r="I74" s="21">
        <v>6059</v>
      </c>
      <c r="J74" s="21">
        <v>6137</v>
      </c>
      <c r="K74" s="21">
        <v>6254</v>
      </c>
      <c r="L74" s="21">
        <v>6528</v>
      </c>
      <c r="M74" s="191">
        <f>L74</f>
        <v>6528</v>
      </c>
      <c r="N74" s="21">
        <v>6713</v>
      </c>
      <c r="O74" s="21">
        <f>+N74+O75</f>
        <v>6836</v>
      </c>
      <c r="P74" s="21">
        <f t="shared" ref="P74:Q74" si="208">+O74+P75</f>
        <v>7013</v>
      </c>
      <c r="Q74" s="21">
        <f t="shared" si="208"/>
        <v>7272</v>
      </c>
      <c r="R74" s="191">
        <f>Q74</f>
        <v>7272</v>
      </c>
      <c r="S74" s="21">
        <f>+Q74+S75</f>
        <v>7485</v>
      </c>
      <c r="T74" s="21">
        <f>+S74+T75</f>
        <v>7587</v>
      </c>
      <c r="U74" s="21">
        <f t="shared" ref="U74:V74" si="209">+T74+U75</f>
        <v>7717</v>
      </c>
      <c r="V74" s="21">
        <f t="shared" si="209"/>
        <v>8037</v>
      </c>
      <c r="W74" s="191">
        <f>V74</f>
        <v>8037</v>
      </c>
      <c r="X74" s="21">
        <f>+V74+X75</f>
        <v>8134</v>
      </c>
      <c r="Y74" s="21">
        <f>+X74+Y75</f>
        <v>8308</v>
      </c>
      <c r="Z74" s="21">
        <f t="shared" ref="Z74:AA74" si="210">+Y74+Z75</f>
        <v>8608</v>
      </c>
      <c r="AA74" s="21">
        <f t="shared" si="210"/>
        <v>8908</v>
      </c>
      <c r="AB74" s="191">
        <f>AA74</f>
        <v>8908</v>
      </c>
      <c r="AC74" s="21">
        <f>+AA74+AC75</f>
        <v>9172</v>
      </c>
      <c r="AD74" s="21">
        <f>+AC74+AD75</f>
        <v>9436</v>
      </c>
      <c r="AE74" s="21">
        <f t="shared" ref="AE74:AF74" si="211">+AD74+AE75</f>
        <v>9700</v>
      </c>
      <c r="AF74" s="21">
        <f t="shared" si="211"/>
        <v>9968</v>
      </c>
      <c r="AG74" s="191">
        <f>AF74</f>
        <v>9968</v>
      </c>
      <c r="AH74" s="21">
        <f>+AF74+AH75</f>
        <v>10242</v>
      </c>
      <c r="AI74" s="21">
        <f>+AH74+AI75</f>
        <v>10516</v>
      </c>
      <c r="AJ74" s="21">
        <f t="shared" ref="AJ74:AK74" si="212">+AI74+AJ75</f>
        <v>10790</v>
      </c>
      <c r="AK74" s="21">
        <f t="shared" si="212"/>
        <v>11066</v>
      </c>
      <c r="AL74" s="191">
        <f>AK74</f>
        <v>11066</v>
      </c>
      <c r="AM74" s="21">
        <f>+AK74+AM75</f>
        <v>11196</v>
      </c>
      <c r="AN74" s="21">
        <f>+AM74+AN75</f>
        <v>11326</v>
      </c>
      <c r="AO74" s="21">
        <f t="shared" ref="AO74:AP74" si="213">+AN74+AO75</f>
        <v>11456</v>
      </c>
      <c r="AP74" s="21">
        <f t="shared" si="213"/>
        <v>11586</v>
      </c>
      <c r="AQ74" s="191">
        <f>AP74</f>
        <v>11586</v>
      </c>
      <c r="AR74" s="21">
        <f>+AP74+AR75</f>
        <v>11716</v>
      </c>
      <c r="AS74" s="21">
        <f>+AR74+AS75</f>
        <v>11846</v>
      </c>
      <c r="AT74" s="21">
        <f t="shared" ref="AT74:AU74" si="214">+AS74+AT75</f>
        <v>11976</v>
      </c>
      <c r="AU74" s="21">
        <f t="shared" si="214"/>
        <v>12106</v>
      </c>
      <c r="AV74" s="191">
        <f>AU74</f>
        <v>12106</v>
      </c>
    </row>
    <row r="75" spans="2:48" outlineLevel="1" x14ac:dyDescent="0.3">
      <c r="B75" s="180" t="s">
        <v>46</v>
      </c>
      <c r="C75" s="201"/>
      <c r="D75" s="101">
        <f>+D74-5651</f>
        <v>188</v>
      </c>
      <c r="E75" s="101">
        <f>+E74-D74</f>
        <v>40</v>
      </c>
      <c r="F75" s="101">
        <f t="shared" ref="F75:G75" si="215">+F74-E74</f>
        <v>-233</v>
      </c>
      <c r="G75" s="101">
        <f t="shared" si="215"/>
        <v>214</v>
      </c>
      <c r="H75" s="26">
        <f>+SUM(D75:G75)</f>
        <v>209</v>
      </c>
      <c r="I75" s="101">
        <f>+I74-G74</f>
        <v>199</v>
      </c>
      <c r="J75" s="101">
        <f t="shared" ref="J75:L75" si="216">+J74-I74</f>
        <v>78</v>
      </c>
      <c r="K75" s="101">
        <f t="shared" si="216"/>
        <v>117</v>
      </c>
      <c r="L75" s="101">
        <f t="shared" si="216"/>
        <v>274</v>
      </c>
      <c r="M75" s="26">
        <f>+SUM(I75:L75)</f>
        <v>668</v>
      </c>
      <c r="N75" s="101">
        <v>185</v>
      </c>
      <c r="O75" s="101">
        <v>123</v>
      </c>
      <c r="P75" s="101">
        <v>177</v>
      </c>
      <c r="Q75" s="101">
        <v>259</v>
      </c>
      <c r="R75" s="26">
        <f>+SUM(N75:Q75)</f>
        <v>744</v>
      </c>
      <c r="S75" s="101">
        <v>213</v>
      </c>
      <c r="T75" s="101">
        <v>102</v>
      </c>
      <c r="U75" s="101">
        <v>130</v>
      </c>
      <c r="V75" s="101">
        <v>320</v>
      </c>
      <c r="W75" s="122">
        <f>+SUM(S75:V75)</f>
        <v>765</v>
      </c>
      <c r="X75" s="101">
        <v>97</v>
      </c>
      <c r="Y75" s="101">
        <v>174</v>
      </c>
      <c r="Z75" s="33">
        <v>300</v>
      </c>
      <c r="AA75" s="33">
        <v>300</v>
      </c>
      <c r="AB75" s="26">
        <f>+SUM(X75:AA75)</f>
        <v>871</v>
      </c>
      <c r="AC75" s="33">
        <v>264</v>
      </c>
      <c r="AD75" s="33">
        <v>264</v>
      </c>
      <c r="AE75" s="33">
        <v>264</v>
      </c>
      <c r="AF75" s="33">
        <v>268</v>
      </c>
      <c r="AG75" s="26">
        <f>+SUM(AC75:AF75)</f>
        <v>1060</v>
      </c>
      <c r="AH75" s="95">
        <v>274</v>
      </c>
      <c r="AI75" s="33">
        <v>274</v>
      </c>
      <c r="AJ75" s="33">
        <v>274</v>
      </c>
      <c r="AK75" s="33">
        <v>276</v>
      </c>
      <c r="AL75" s="26">
        <f>+SUM(AH75:AK75)</f>
        <v>1098</v>
      </c>
      <c r="AM75" s="33">
        <v>130</v>
      </c>
      <c r="AN75" s="33">
        <v>130</v>
      </c>
      <c r="AO75" s="33">
        <v>130</v>
      </c>
      <c r="AP75" s="33">
        <v>130</v>
      </c>
      <c r="AQ75" s="26">
        <f>+SUM(AM75:AP75)</f>
        <v>520</v>
      </c>
      <c r="AR75" s="33">
        <v>130</v>
      </c>
      <c r="AS75" s="33">
        <v>130</v>
      </c>
      <c r="AT75" s="33">
        <v>130</v>
      </c>
      <c r="AU75" s="33">
        <v>130</v>
      </c>
      <c r="AV75" s="26">
        <f>+SUM(AR75:AU75)</f>
        <v>520</v>
      </c>
    </row>
    <row r="76" spans="2:48" outlineLevel="1" x14ac:dyDescent="0.3">
      <c r="B76" s="180" t="s">
        <v>201</v>
      </c>
      <c r="C76" s="201"/>
      <c r="D76" s="101"/>
      <c r="E76" s="101">
        <f>AVERAGE(D74,E74)</f>
        <v>5859</v>
      </c>
      <c r="F76" s="101">
        <f t="shared" ref="F76:G76" si="217">AVERAGE(E74,F74)</f>
        <v>5762.5</v>
      </c>
      <c r="G76" s="101">
        <f t="shared" si="217"/>
        <v>5753</v>
      </c>
      <c r="H76" s="26"/>
      <c r="I76" s="101">
        <f>AVERAGE(G74,I74)</f>
        <v>5959.5</v>
      </c>
      <c r="J76" s="101">
        <f t="shared" ref="J76:L76" si="218">AVERAGE(I74,J74)</f>
        <v>6098</v>
      </c>
      <c r="K76" s="101">
        <f t="shared" si="218"/>
        <v>6195.5</v>
      </c>
      <c r="L76" s="101">
        <f t="shared" si="218"/>
        <v>6391</v>
      </c>
      <c r="M76" s="26"/>
      <c r="N76" s="101">
        <f>AVERAGE(L74,N74)</f>
        <v>6620.5</v>
      </c>
      <c r="O76" s="101">
        <f t="shared" ref="O76:Q76" si="219">AVERAGE(N74,O74)</f>
        <v>6774.5</v>
      </c>
      <c r="P76" s="101">
        <f t="shared" si="219"/>
        <v>6924.5</v>
      </c>
      <c r="Q76" s="101">
        <f t="shared" si="219"/>
        <v>7142.5</v>
      </c>
      <c r="R76" s="26"/>
      <c r="S76" s="101">
        <f>AVERAGE(Q74,S74)</f>
        <v>7378.5</v>
      </c>
      <c r="T76" s="101">
        <f>AVERAGE(S74,T74)</f>
        <v>7536</v>
      </c>
      <c r="U76" s="101">
        <f t="shared" ref="U76:V76" si="220">AVERAGE(T74,U74)</f>
        <v>7652</v>
      </c>
      <c r="V76" s="101">
        <f t="shared" si="220"/>
        <v>7877</v>
      </c>
      <c r="W76" s="122"/>
      <c r="X76" s="101">
        <f>AVERAGE(V74,X74)</f>
        <v>8085.5</v>
      </c>
      <c r="Y76" s="101">
        <f t="shared" ref="Y76:AA76" si="221">AVERAGE(X74,Y74)</f>
        <v>8221</v>
      </c>
      <c r="Z76" s="101">
        <f t="shared" si="221"/>
        <v>8458</v>
      </c>
      <c r="AA76" s="101">
        <f t="shared" si="221"/>
        <v>8758</v>
      </c>
      <c r="AB76" s="26"/>
      <c r="AC76" s="101">
        <f>AVERAGE(AA74,AC74)</f>
        <v>9040</v>
      </c>
      <c r="AD76" s="101">
        <f t="shared" ref="AD76:AF76" si="222">AVERAGE(AC74,AD74)</f>
        <v>9304</v>
      </c>
      <c r="AE76" s="101">
        <f t="shared" si="222"/>
        <v>9568</v>
      </c>
      <c r="AF76" s="101">
        <f t="shared" si="222"/>
        <v>9834</v>
      </c>
      <c r="AG76" s="26"/>
      <c r="AH76" s="101">
        <f>AVERAGE(AF74,AH74)</f>
        <v>10105</v>
      </c>
      <c r="AI76" s="101">
        <f t="shared" ref="AI76:AK76" si="223">AVERAGE(AH74,AI74)</f>
        <v>10379</v>
      </c>
      <c r="AJ76" s="101">
        <f t="shared" si="223"/>
        <v>10653</v>
      </c>
      <c r="AK76" s="101">
        <f t="shared" si="223"/>
        <v>10928</v>
      </c>
      <c r="AL76" s="26"/>
      <c r="AM76" s="101">
        <f>AVERAGE(AK74,AM74)</f>
        <v>11131</v>
      </c>
      <c r="AN76" s="101">
        <f t="shared" ref="AN76:AP76" si="224">AVERAGE(AM74,AN74)</f>
        <v>11261</v>
      </c>
      <c r="AO76" s="101">
        <f t="shared" si="224"/>
        <v>11391</v>
      </c>
      <c r="AP76" s="101">
        <f t="shared" si="224"/>
        <v>11521</v>
      </c>
      <c r="AQ76" s="26"/>
      <c r="AR76" s="101">
        <f>AVERAGE(AP74,AR74)</f>
        <v>11651</v>
      </c>
      <c r="AS76" s="101">
        <f t="shared" ref="AS76:AU76" si="225">AVERAGE(AR74,AS74)</f>
        <v>11781</v>
      </c>
      <c r="AT76" s="101">
        <f t="shared" si="225"/>
        <v>11911</v>
      </c>
      <c r="AU76" s="101">
        <f t="shared" si="225"/>
        <v>12041</v>
      </c>
      <c r="AV76" s="26"/>
    </row>
    <row r="77" spans="2:48" s="20" customFormat="1" outlineLevel="1" x14ac:dyDescent="0.3">
      <c r="B77" s="180" t="s">
        <v>206</v>
      </c>
      <c r="C77" s="206"/>
      <c r="D77" s="43"/>
      <c r="E77" s="43">
        <f>+E78/E76</f>
        <v>0.22348523638846221</v>
      </c>
      <c r="F77" s="114">
        <f>+F78/F76</f>
        <v>0.2347592190889371</v>
      </c>
      <c r="G77" s="43">
        <f>+G78/G76</f>
        <v>0.22873283504258649</v>
      </c>
      <c r="H77" s="97"/>
      <c r="I77" s="43">
        <f>+I78/I76</f>
        <v>0.21976675895628828</v>
      </c>
      <c r="J77" s="43">
        <f>+J78/J76</f>
        <v>0.14798294522794359</v>
      </c>
      <c r="K77" s="43">
        <f>+K78/K76</f>
        <v>0.14131224275683965</v>
      </c>
      <c r="L77" s="43">
        <f>+L78/L76</f>
        <v>0.20314504772336098</v>
      </c>
      <c r="M77" s="97"/>
      <c r="N77" s="43">
        <f>+N78/N76</f>
        <v>0.21776300883619062</v>
      </c>
      <c r="O77" s="43">
        <f>+O78/O76</f>
        <v>0.20439884862351465</v>
      </c>
      <c r="P77" s="43">
        <f>+P78/P76</f>
        <v>0.20698967434471802</v>
      </c>
      <c r="Q77" s="43">
        <f>+Q78/Q76</f>
        <v>0.22541127056352817</v>
      </c>
      <c r="R77" s="97"/>
      <c r="S77" s="43">
        <f>+S78/S76</f>
        <v>0.20441824219014704</v>
      </c>
      <c r="T77" s="43">
        <f>+T78/T76</f>
        <v>0.17786624203821658</v>
      </c>
      <c r="U77" s="43">
        <f>+U78/U76</f>
        <v>0.15189492943021432</v>
      </c>
      <c r="V77" s="43">
        <f>+V78/V76</f>
        <v>0.17149930176463121</v>
      </c>
      <c r="W77" s="132"/>
      <c r="X77" s="114">
        <f>+X78/X76</f>
        <v>0.15000927586420135</v>
      </c>
      <c r="Y77" s="114">
        <f>+Y78/Y76</f>
        <v>0.17024692859749421</v>
      </c>
      <c r="Z77" s="62">
        <f>U77*1.2</f>
        <v>0.18227391531625717</v>
      </c>
      <c r="AA77" s="62">
        <f>V77*1.2</f>
        <v>0.20579916211755744</v>
      </c>
      <c r="AB77" s="97"/>
      <c r="AC77" s="62">
        <f>X77*1.2</f>
        <v>0.18001113103704161</v>
      </c>
      <c r="AD77" s="62">
        <f>Y77*1.05</f>
        <v>0.17875927502736894</v>
      </c>
      <c r="AE77" s="62">
        <f>Z77*1.05</f>
        <v>0.19138761108207003</v>
      </c>
      <c r="AF77" s="62">
        <f>AA77*1.05</f>
        <v>0.21608912022343532</v>
      </c>
      <c r="AG77" s="97"/>
      <c r="AH77" s="62">
        <f>AC77*1.05</f>
        <v>0.1890116875888937</v>
      </c>
      <c r="AI77" s="62">
        <f t="shared" ref="AI77:AK77" si="226">AD77*1.05</f>
        <v>0.1876972387787374</v>
      </c>
      <c r="AJ77" s="62">
        <f t="shared" si="226"/>
        <v>0.20095699163617353</v>
      </c>
      <c r="AK77" s="62">
        <f t="shared" si="226"/>
        <v>0.2268935762346071</v>
      </c>
      <c r="AL77" s="97"/>
      <c r="AM77" s="477">
        <f>AH77*1.05</f>
        <v>0.19846227196833838</v>
      </c>
      <c r="AN77" s="477">
        <f>AI77*1.05</f>
        <v>0.19708210071767426</v>
      </c>
      <c r="AO77" s="477">
        <f>AJ77*1.05</f>
        <v>0.21100484121798221</v>
      </c>
      <c r="AP77" s="477">
        <f>AK77*1.05</f>
        <v>0.23823825504633747</v>
      </c>
      <c r="AQ77" s="97"/>
      <c r="AR77" s="477">
        <f>AM77*1.03</f>
        <v>0.20441614012738854</v>
      </c>
      <c r="AS77" s="477">
        <f>AN77*1.03</f>
        <v>0.20299456373920449</v>
      </c>
      <c r="AT77" s="477">
        <f>AO77*1.03</f>
        <v>0.21733498645452168</v>
      </c>
      <c r="AU77" s="477">
        <f>AP77*1.03</f>
        <v>0.2453854026977276</v>
      </c>
      <c r="AV77" s="97"/>
    </row>
    <row r="78" spans="2:48" s="8" customFormat="1" outlineLevel="1" x14ac:dyDescent="0.3">
      <c r="B78" s="587" t="s">
        <v>116</v>
      </c>
      <c r="C78" s="588"/>
      <c r="D78" s="50">
        <v>1278.0999999999999</v>
      </c>
      <c r="E78" s="50">
        <v>1309.4000000000001</v>
      </c>
      <c r="F78" s="103">
        <v>1352.8</v>
      </c>
      <c r="G78" s="50">
        <v>1315.9</v>
      </c>
      <c r="H78" s="97">
        <f>SUM(D78:G78)</f>
        <v>5256.2000000000007</v>
      </c>
      <c r="I78" s="50">
        <v>1309.7</v>
      </c>
      <c r="J78" s="50">
        <v>902.4</v>
      </c>
      <c r="K78" s="103">
        <v>875.5</v>
      </c>
      <c r="L78" s="50">
        <v>1298.3</v>
      </c>
      <c r="M78" s="97">
        <f>SUM(I78:L78)</f>
        <v>4385.8999999999996</v>
      </c>
      <c r="N78" s="50">
        <v>1441.7</v>
      </c>
      <c r="O78" s="50">
        <v>1384.7</v>
      </c>
      <c r="P78" s="50">
        <v>1433.3</v>
      </c>
      <c r="Q78" s="103">
        <v>1610</v>
      </c>
      <c r="R78" s="97">
        <f>SUM(N78:Q78)</f>
        <v>5869.7</v>
      </c>
      <c r="S78" s="50">
        <v>1508.3</v>
      </c>
      <c r="T78" s="50">
        <v>1340.4</v>
      </c>
      <c r="U78" s="50">
        <v>1162.3</v>
      </c>
      <c r="V78" s="50">
        <v>1350.9</v>
      </c>
      <c r="W78" s="132">
        <f>SUM(S78:V78)</f>
        <v>5361.9</v>
      </c>
      <c r="X78" s="103">
        <v>1212.9000000000001</v>
      </c>
      <c r="Y78" s="103">
        <v>1399.6</v>
      </c>
      <c r="Z78" s="50">
        <f>Z77*Z76</f>
        <v>1541.6727757449032</v>
      </c>
      <c r="AA78" s="50">
        <f>AA77*AA76</f>
        <v>1802.3890618255682</v>
      </c>
      <c r="AB78" s="97">
        <f>SUM(X78:AA78)</f>
        <v>5956.5618375704717</v>
      </c>
      <c r="AC78" s="50">
        <f>AC77*AC76</f>
        <v>1627.3006245748561</v>
      </c>
      <c r="AD78" s="50">
        <f>AD77*AD76</f>
        <v>1663.1762948546407</v>
      </c>
      <c r="AE78" s="50">
        <f>AE77*AE76</f>
        <v>1831.1966628332461</v>
      </c>
      <c r="AF78" s="50">
        <f>AF77*AF76</f>
        <v>2125.020408277263</v>
      </c>
      <c r="AG78" s="97">
        <f>SUM(AC78:AF78)</f>
        <v>7246.6939905400068</v>
      </c>
      <c r="AH78" s="50">
        <f>AH77*AH76</f>
        <v>1909.9631030857709</v>
      </c>
      <c r="AI78" s="50">
        <f>AI77*AI76</f>
        <v>1948.1096412845154</v>
      </c>
      <c r="AJ78" s="50">
        <f>AJ77*AJ76</f>
        <v>2140.7948319001566</v>
      </c>
      <c r="AK78" s="50">
        <f>AK77*AK76</f>
        <v>2479.4930010917865</v>
      </c>
      <c r="AL78" s="97">
        <f>SUM(AH78:AK78)</f>
        <v>8478.3605773622294</v>
      </c>
      <c r="AM78" s="50">
        <f>AM77*AM76</f>
        <v>2209.0835492795745</v>
      </c>
      <c r="AN78" s="50">
        <f>AN77*AN76</f>
        <v>2219.3415361817297</v>
      </c>
      <c r="AO78" s="50">
        <f>AO77*AO76</f>
        <v>2403.5561463140352</v>
      </c>
      <c r="AP78" s="50">
        <f>AP77*AP76</f>
        <v>2744.7429363888541</v>
      </c>
      <c r="AQ78" s="97">
        <f>SUM(AM78:AP78)</f>
        <v>9576.7241681641935</v>
      </c>
      <c r="AR78" s="50">
        <f>AR77*AR76</f>
        <v>2381.6524486242038</v>
      </c>
      <c r="AS78" s="50">
        <f>AS77*AS76</f>
        <v>2391.4789554115682</v>
      </c>
      <c r="AT78" s="50">
        <f>AT77*AT76</f>
        <v>2588.6770236598077</v>
      </c>
      <c r="AU78" s="50">
        <f>AU77*AU76</f>
        <v>2954.6856338833381</v>
      </c>
      <c r="AV78" s="97">
        <f>SUM(AR78:AU78)</f>
        <v>10316.494061578918</v>
      </c>
    </row>
    <row r="79" spans="2:48" s="8" customFormat="1" outlineLevel="1" x14ac:dyDescent="0.3">
      <c r="B79" s="38" t="s">
        <v>200</v>
      </c>
      <c r="C79" s="206"/>
      <c r="D79" s="43"/>
      <c r="E79" s="43"/>
      <c r="F79" s="43"/>
      <c r="G79" s="43"/>
      <c r="H79" s="97"/>
      <c r="I79" s="27">
        <f>I78/D78-1</f>
        <v>2.4724199984351936E-2</v>
      </c>
      <c r="J79" s="27">
        <f>J78/E78-1</f>
        <v>-0.31082938750572786</v>
      </c>
      <c r="K79" s="27">
        <f>K78/F78-1</f>
        <v>-0.35282377291543465</v>
      </c>
      <c r="L79" s="27">
        <f>L78/G78-1</f>
        <v>-1.3374876510373279E-2</v>
      </c>
      <c r="M79" s="97"/>
      <c r="N79" s="27">
        <f>N78/I78-1</f>
        <v>0.10078643964266631</v>
      </c>
      <c r="O79" s="27">
        <f>O78/J78-1</f>
        <v>0.53446365248226968</v>
      </c>
      <c r="P79" s="27">
        <f>P78/K78-1</f>
        <v>0.63712164477441457</v>
      </c>
      <c r="Q79" s="27">
        <f>Q78/L78-1</f>
        <v>0.24008318570438281</v>
      </c>
      <c r="R79" s="97"/>
      <c r="S79" s="27">
        <f t="shared" ref="S79:AP79" si="227">S78/N78-1</f>
        <v>4.6195463688700755E-2</v>
      </c>
      <c r="T79" s="27">
        <f t="shared" si="227"/>
        <v>-3.1992489347873132E-2</v>
      </c>
      <c r="U79" s="27">
        <f t="shared" si="227"/>
        <v>-0.18907416451545389</v>
      </c>
      <c r="V79" s="27">
        <f t="shared" si="227"/>
        <v>-0.16093167701863353</v>
      </c>
      <c r="W79" s="375">
        <f t="shared" si="227"/>
        <v>-8.6512087500212997E-2</v>
      </c>
      <c r="X79" s="113">
        <f t="shared" si="227"/>
        <v>-0.19584963203606698</v>
      </c>
      <c r="Y79" s="113">
        <f t="shared" si="227"/>
        <v>4.416592062071012E-2</v>
      </c>
      <c r="Z79" s="27">
        <f t="shared" si="227"/>
        <v>0.32639832723470996</v>
      </c>
      <c r="AA79" s="27">
        <f t="shared" si="227"/>
        <v>0.33421353307096613</v>
      </c>
      <c r="AB79" s="375">
        <f t="shared" si="227"/>
        <v>0.11090505932047812</v>
      </c>
      <c r="AC79" s="27">
        <f t="shared" si="227"/>
        <v>0.34166099808298789</v>
      </c>
      <c r="AD79" s="27">
        <f t="shared" si="227"/>
        <v>0.1883225884928843</v>
      </c>
      <c r="AE79" s="27">
        <f t="shared" si="227"/>
        <v>0.18779853393237178</v>
      </c>
      <c r="AF79" s="27">
        <f t="shared" si="227"/>
        <v>0.17900205526375879</v>
      </c>
      <c r="AG79" s="375">
        <f t="shared" si="227"/>
        <v>0.21659007127772001</v>
      </c>
      <c r="AH79" s="27">
        <f t="shared" si="227"/>
        <v>0.17370022123893825</v>
      </c>
      <c r="AI79" s="27">
        <f t="shared" si="227"/>
        <v>0.17131878761822872</v>
      </c>
      <c r="AJ79" s="27">
        <f t="shared" si="227"/>
        <v>0.16906877090300987</v>
      </c>
      <c r="AK79" s="27">
        <f t="shared" si="227"/>
        <v>0.16680902989627833</v>
      </c>
      <c r="AL79" s="375">
        <f t="shared" si="227"/>
        <v>0.16996254960262802</v>
      </c>
      <c r="AM79" s="27">
        <f t="shared" si="227"/>
        <v>0.15661058881741718</v>
      </c>
      <c r="AN79" s="27">
        <f t="shared" si="227"/>
        <v>0.13922824934964817</v>
      </c>
      <c r="AO79" s="27">
        <f t="shared" si="227"/>
        <v>0.12274007321881153</v>
      </c>
      <c r="AP79" s="27">
        <f t="shared" si="227"/>
        <v>0.10697748901903381</v>
      </c>
      <c r="AQ79" s="97"/>
      <c r="AR79" s="27">
        <f>AR78/AM78-1</f>
        <v>7.8117869014464159E-2</v>
      </c>
      <c r="AS79" s="27">
        <f>AS78/AN78-1</f>
        <v>7.7562383447296046E-2</v>
      </c>
      <c r="AT79" s="27">
        <f>AT78/AO78-1</f>
        <v>7.7019576858923688E-2</v>
      </c>
      <c r="AU79" s="27">
        <f>AU78/AP78-1</f>
        <v>7.6489020050342971E-2</v>
      </c>
      <c r="AV79" s="97"/>
    </row>
    <row r="80" spans="2:48" outlineLevel="1" x14ac:dyDescent="0.3">
      <c r="B80" s="236" t="s">
        <v>44</v>
      </c>
      <c r="C80" s="221"/>
      <c r="D80" s="222">
        <v>0.01</v>
      </c>
      <c r="E80" s="222">
        <v>0</v>
      </c>
      <c r="F80" s="222">
        <v>0.01</v>
      </c>
      <c r="G80" s="222">
        <v>0.01</v>
      </c>
      <c r="H80" s="223"/>
      <c r="I80" s="222">
        <v>-0.01</v>
      </c>
      <c r="J80" s="222">
        <v>-0.32</v>
      </c>
      <c r="K80" s="222">
        <v>-0.44</v>
      </c>
      <c r="L80" s="224">
        <v>-0.15</v>
      </c>
      <c r="M80" s="223"/>
      <c r="N80" s="222">
        <v>-0.03</v>
      </c>
      <c r="O80" s="222">
        <v>0.26</v>
      </c>
      <c r="P80" s="222">
        <v>0.55000000000000004</v>
      </c>
      <c r="Q80" s="222">
        <v>0.06</v>
      </c>
      <c r="R80" s="225"/>
      <c r="S80" s="224">
        <v>0.02</v>
      </c>
      <c r="T80" s="224">
        <v>-0.03</v>
      </c>
      <c r="U80" s="224">
        <v>-0.18</v>
      </c>
      <c r="V80" s="224">
        <v>-0.05</v>
      </c>
      <c r="W80" s="223"/>
      <c r="X80" s="222">
        <v>-0.12</v>
      </c>
      <c r="Y80" s="222">
        <v>7.0000000000000007E-2</v>
      </c>
      <c r="Z80" s="224"/>
      <c r="AA80" s="224"/>
      <c r="AB80" s="225"/>
      <c r="AC80" s="224"/>
      <c r="AD80" s="224"/>
      <c r="AE80" s="224"/>
      <c r="AF80" s="224"/>
      <c r="AG80" s="225"/>
      <c r="AH80" s="224"/>
      <c r="AI80" s="224"/>
      <c r="AJ80" s="224"/>
      <c r="AK80" s="224"/>
      <c r="AL80" s="225"/>
      <c r="AM80" s="224"/>
      <c r="AN80" s="224"/>
      <c r="AO80" s="224"/>
      <c r="AP80" s="224"/>
      <c r="AQ80" s="225"/>
      <c r="AR80" s="224"/>
      <c r="AS80" s="224"/>
      <c r="AT80" s="224"/>
      <c r="AU80" s="224"/>
      <c r="AV80" s="225"/>
    </row>
    <row r="81" spans="1:48" outlineLevel="1" x14ac:dyDescent="0.3">
      <c r="B81" s="180" t="s">
        <v>43</v>
      </c>
      <c r="C81" s="207"/>
      <c r="D81" s="151">
        <v>0.01</v>
      </c>
      <c r="E81" s="151">
        <v>0.02</v>
      </c>
      <c r="F81" s="151">
        <v>0.03</v>
      </c>
      <c r="G81" s="151">
        <v>0.03</v>
      </c>
      <c r="H81" s="60"/>
      <c r="I81" s="151">
        <v>0.02</v>
      </c>
      <c r="J81" s="151">
        <v>0.01</v>
      </c>
      <c r="K81" s="151">
        <v>0.13</v>
      </c>
      <c r="L81" s="59">
        <v>7.0000000000000007E-2</v>
      </c>
      <c r="M81" s="60"/>
      <c r="N81" s="151">
        <v>-0.1</v>
      </c>
      <c r="O81" s="59">
        <v>7.0000000000000007E-2</v>
      </c>
      <c r="P81" s="59">
        <v>-0.09</v>
      </c>
      <c r="Q81" s="151">
        <v>-0.02</v>
      </c>
      <c r="R81" s="60"/>
      <c r="S81" s="59">
        <v>-0.05</v>
      </c>
      <c r="T81" s="59">
        <v>-0.05</v>
      </c>
      <c r="U81" s="59">
        <v>-0.15</v>
      </c>
      <c r="V81" s="59">
        <v>-0.01</v>
      </c>
      <c r="W81" s="148"/>
      <c r="X81" s="151">
        <v>-0.01</v>
      </c>
      <c r="Y81" s="151">
        <v>0</v>
      </c>
      <c r="Z81" s="59"/>
      <c r="AA81" s="59"/>
      <c r="AB81" s="60"/>
      <c r="AC81" s="59"/>
      <c r="AD81" s="59"/>
      <c r="AE81" s="59"/>
      <c r="AF81" s="59"/>
      <c r="AG81" s="60"/>
      <c r="AH81" s="59"/>
      <c r="AI81" s="59"/>
      <c r="AJ81" s="59"/>
      <c r="AK81" s="59"/>
      <c r="AL81" s="60"/>
      <c r="AM81" s="59"/>
      <c r="AN81" s="59"/>
      <c r="AO81" s="59"/>
      <c r="AP81" s="59"/>
      <c r="AQ81" s="60"/>
      <c r="AR81" s="59"/>
      <c r="AS81" s="59"/>
      <c r="AT81" s="59"/>
      <c r="AU81" s="59"/>
      <c r="AV81" s="60"/>
    </row>
    <row r="82" spans="1:48" s="8" customFormat="1" outlineLevel="1" x14ac:dyDescent="0.3">
      <c r="B82" s="208" t="s">
        <v>45</v>
      </c>
      <c r="C82" s="206"/>
      <c r="D82" s="152">
        <v>0.02</v>
      </c>
      <c r="E82" s="152">
        <v>0.02</v>
      </c>
      <c r="F82" s="152">
        <v>0.05</v>
      </c>
      <c r="G82" s="152">
        <v>0.03</v>
      </c>
      <c r="H82" s="61"/>
      <c r="I82" s="152">
        <v>0.01</v>
      </c>
      <c r="J82" s="152">
        <v>-0.31</v>
      </c>
      <c r="K82" s="152">
        <v>-0.37</v>
      </c>
      <c r="L82" s="157">
        <v>-0.1</v>
      </c>
      <c r="M82" s="61"/>
      <c r="N82" s="152">
        <v>0.08</v>
      </c>
      <c r="O82" s="152">
        <v>0.35</v>
      </c>
      <c r="P82" s="152">
        <v>0.41</v>
      </c>
      <c r="Q82" s="152">
        <v>0.03</v>
      </c>
      <c r="R82" s="377">
        <f>R92/M92-1</f>
        <v>0.32353965857623956</v>
      </c>
      <c r="S82" s="152">
        <v>-0.03</v>
      </c>
      <c r="T82" s="152">
        <v>-0.08</v>
      </c>
      <c r="U82" s="152">
        <v>-0.04</v>
      </c>
      <c r="V82" s="152">
        <v>-0.05</v>
      </c>
      <c r="W82" s="377">
        <f>W92/R92-1</f>
        <v>1.4886958556345364E-2</v>
      </c>
      <c r="X82" s="152">
        <v>-0.13</v>
      </c>
      <c r="Y82" s="157">
        <v>7.0000000000000007E-2</v>
      </c>
      <c r="Z82" s="157"/>
      <c r="AA82" s="157"/>
      <c r="AB82" s="377">
        <f>AB92/W92-1</f>
        <v>0.15048588452842293</v>
      </c>
      <c r="AC82" s="157"/>
      <c r="AD82" s="157"/>
      <c r="AE82" s="157"/>
      <c r="AF82" s="157"/>
      <c r="AG82" s="377">
        <f>AG92/AB92-1</f>
        <v>0.19972979038009497</v>
      </c>
      <c r="AH82" s="157"/>
      <c r="AI82" s="157"/>
      <c r="AJ82" s="157"/>
      <c r="AK82" s="157"/>
      <c r="AL82" s="377">
        <f>AL92/AG92-1</f>
        <v>0.16304992041671484</v>
      </c>
      <c r="AM82" s="157"/>
      <c r="AN82" s="157"/>
      <c r="AO82" s="157"/>
      <c r="AP82" s="157">
        <v>0.04</v>
      </c>
      <c r="AQ82" s="134"/>
      <c r="AR82" s="157"/>
      <c r="AS82" s="157"/>
      <c r="AT82" s="157"/>
      <c r="AU82" s="157">
        <v>0.04</v>
      </c>
      <c r="AV82" s="61"/>
    </row>
    <row r="83" spans="1:48" s="8" customFormat="1" outlineLevel="1" x14ac:dyDescent="0.3">
      <c r="B83" s="597" t="s">
        <v>117</v>
      </c>
      <c r="C83" s="598"/>
      <c r="D83" s="117">
        <v>6373</v>
      </c>
      <c r="E83" s="117">
        <v>6586</v>
      </c>
      <c r="F83" s="117">
        <v>7127</v>
      </c>
      <c r="G83" s="117">
        <v>7329</v>
      </c>
      <c r="H83" s="192">
        <f>G83</f>
        <v>7329</v>
      </c>
      <c r="I83" s="117">
        <v>7533</v>
      </c>
      <c r="J83" s="117">
        <v>7642</v>
      </c>
      <c r="K83" s="117">
        <v>7691</v>
      </c>
      <c r="L83" s="117">
        <v>9735</v>
      </c>
      <c r="M83" s="192">
        <f>L83</f>
        <v>9735</v>
      </c>
      <c r="N83" s="117">
        <v>7917</v>
      </c>
      <c r="O83" s="67">
        <f>+N83+O84</f>
        <v>7987</v>
      </c>
      <c r="P83" s="67">
        <f t="shared" ref="P83" si="228">+O83+P84</f>
        <v>8107</v>
      </c>
      <c r="Q83" s="67">
        <v>9735</v>
      </c>
      <c r="R83" s="192">
        <f>Q83</f>
        <v>9735</v>
      </c>
      <c r="S83" s="67">
        <f>+Q83+S84</f>
        <v>9944</v>
      </c>
      <c r="T83" s="67">
        <f>+S83+T84</f>
        <v>10117</v>
      </c>
      <c r="U83" s="67">
        <f t="shared" ref="U83:V83" si="229">+T83+U84</f>
        <v>10181</v>
      </c>
      <c r="V83" s="67">
        <f t="shared" si="229"/>
        <v>10379</v>
      </c>
      <c r="W83" s="253">
        <f>V83</f>
        <v>10379</v>
      </c>
      <c r="X83" s="117">
        <f>+V83+X84</f>
        <v>10655</v>
      </c>
      <c r="Y83" s="117">
        <f>+X83+Y84</f>
        <v>10844</v>
      </c>
      <c r="Z83" s="67">
        <f t="shared" ref="Z83:AA83" si="230">+Y83+Z84</f>
        <v>11144</v>
      </c>
      <c r="AA83" s="67">
        <f t="shared" si="230"/>
        <v>11444</v>
      </c>
      <c r="AB83" s="192">
        <f>AA83</f>
        <v>11444</v>
      </c>
      <c r="AC83" s="67">
        <f>+AA83+AC84</f>
        <v>11688</v>
      </c>
      <c r="AD83" s="67">
        <f>+AC83+AD84</f>
        <v>11932</v>
      </c>
      <c r="AE83" s="67">
        <f t="shared" ref="AE83:AF83" si="231">+AD83+AE84</f>
        <v>12176</v>
      </c>
      <c r="AF83" s="67">
        <f t="shared" si="231"/>
        <v>12422</v>
      </c>
      <c r="AG83" s="192">
        <f>AF83</f>
        <v>12422</v>
      </c>
      <c r="AH83" s="67">
        <f>+AF83+AH84</f>
        <v>12675</v>
      </c>
      <c r="AI83" s="67">
        <f>+AH83+AI84</f>
        <v>12928</v>
      </c>
      <c r="AJ83" s="67">
        <f t="shared" ref="AJ83:AK83" si="232">+AI83+AJ84</f>
        <v>13181</v>
      </c>
      <c r="AK83" s="67">
        <f t="shared" si="232"/>
        <v>13435</v>
      </c>
      <c r="AL83" s="192">
        <f>AK83</f>
        <v>13435</v>
      </c>
      <c r="AM83" s="67">
        <f>+AK83+AM84</f>
        <v>13499</v>
      </c>
      <c r="AN83" s="67">
        <f>+AM83+AN84</f>
        <v>13563</v>
      </c>
      <c r="AO83" s="67">
        <f t="shared" ref="AO83:AP83" si="233">+AN83+AO84</f>
        <v>13627</v>
      </c>
      <c r="AP83" s="67">
        <f t="shared" si="233"/>
        <v>13691</v>
      </c>
      <c r="AQ83" s="192">
        <f>AP83</f>
        <v>13691</v>
      </c>
      <c r="AR83" s="67">
        <f>+AP83+AR84</f>
        <v>13755</v>
      </c>
      <c r="AS83" s="67">
        <f>+AR83+AS84</f>
        <v>13819</v>
      </c>
      <c r="AT83" s="67">
        <f t="shared" ref="AT83:AU83" si="234">+AS83+AT84</f>
        <v>13883</v>
      </c>
      <c r="AU83" s="67">
        <f t="shared" si="234"/>
        <v>13947</v>
      </c>
      <c r="AV83" s="192">
        <f>AU83</f>
        <v>13947</v>
      </c>
    </row>
    <row r="84" spans="1:48" outlineLevel="1" x14ac:dyDescent="0.3">
      <c r="B84" s="180" t="s">
        <v>47</v>
      </c>
      <c r="C84" s="201"/>
      <c r="D84" s="101">
        <f>+D83-6201</f>
        <v>172</v>
      </c>
      <c r="E84" s="101">
        <f>+E83-D83</f>
        <v>213</v>
      </c>
      <c r="F84" s="101">
        <f t="shared" ref="F84:G84" si="235">+F83-E83</f>
        <v>541</v>
      </c>
      <c r="G84" s="101">
        <f t="shared" si="235"/>
        <v>202</v>
      </c>
      <c r="H84" s="122">
        <f>+SUM(D84:G84)</f>
        <v>1128</v>
      </c>
      <c r="I84" s="101">
        <f>+I83-G83</f>
        <v>204</v>
      </c>
      <c r="J84" s="101">
        <f t="shared" ref="J84:K84" si="236">+J83-I83</f>
        <v>109</v>
      </c>
      <c r="K84" s="101">
        <f t="shared" si="236"/>
        <v>49</v>
      </c>
      <c r="L84" s="101">
        <v>82</v>
      </c>
      <c r="M84" s="122">
        <f>+SUM(I84:L84)</f>
        <v>444</v>
      </c>
      <c r="N84" s="101">
        <v>139</v>
      </c>
      <c r="O84" s="101">
        <v>70</v>
      </c>
      <c r="P84" s="101">
        <v>120</v>
      </c>
      <c r="Q84" s="101">
        <v>205</v>
      </c>
      <c r="R84" s="122">
        <f>+SUM(N84:Q84)</f>
        <v>534</v>
      </c>
      <c r="S84" s="101">
        <v>209</v>
      </c>
      <c r="T84" s="101">
        <v>173</v>
      </c>
      <c r="U84" s="101">
        <v>64</v>
      </c>
      <c r="V84" s="101">
        <v>198</v>
      </c>
      <c r="W84" s="122">
        <f>+SUM(S84:V84)</f>
        <v>644</v>
      </c>
      <c r="X84" s="101">
        <v>276</v>
      </c>
      <c r="Y84" s="101">
        <v>189</v>
      </c>
      <c r="Z84" s="33">
        <v>300</v>
      </c>
      <c r="AA84" s="33">
        <v>300</v>
      </c>
      <c r="AB84" s="122">
        <f>+SUM(X84:AA84)</f>
        <v>1065</v>
      </c>
      <c r="AC84" s="33">
        <v>244</v>
      </c>
      <c r="AD84" s="33">
        <v>244</v>
      </c>
      <c r="AE84" s="33">
        <v>244</v>
      </c>
      <c r="AF84" s="33">
        <v>246</v>
      </c>
      <c r="AG84" s="122">
        <f>+SUM(AC84:AF84)</f>
        <v>978</v>
      </c>
      <c r="AH84" s="33">
        <v>253</v>
      </c>
      <c r="AI84" s="33">
        <v>253</v>
      </c>
      <c r="AJ84" s="33">
        <v>253</v>
      </c>
      <c r="AK84" s="33">
        <v>254</v>
      </c>
      <c r="AL84" s="122">
        <f>+SUM(AH84:AK84)</f>
        <v>1013</v>
      </c>
      <c r="AM84" s="33">
        <v>64</v>
      </c>
      <c r="AN84" s="33">
        <v>64</v>
      </c>
      <c r="AO84" s="33">
        <v>64</v>
      </c>
      <c r="AP84" s="33">
        <v>64</v>
      </c>
      <c r="AQ84" s="122">
        <f>+SUM(AM84:AP84)</f>
        <v>256</v>
      </c>
      <c r="AR84" s="33">
        <v>64</v>
      </c>
      <c r="AS84" s="33">
        <v>64</v>
      </c>
      <c r="AT84" s="33">
        <v>64</v>
      </c>
      <c r="AU84" s="33">
        <v>64</v>
      </c>
      <c r="AV84" s="122">
        <f>+SUM(AR84:AU84)</f>
        <v>256</v>
      </c>
    </row>
    <row r="85" spans="1:48" outlineLevel="1" x14ac:dyDescent="0.3">
      <c r="B85" s="180" t="s">
        <v>49</v>
      </c>
      <c r="C85" s="201"/>
      <c r="D85" s="16">
        <f>AVERAGE(D83,6201)</f>
        <v>6287</v>
      </c>
      <c r="E85" s="16">
        <f>AVERAGE(E83,D83)</f>
        <v>6479.5</v>
      </c>
      <c r="F85" s="16">
        <f t="shared" ref="F85:G85" si="237">AVERAGE(F83,E83)</f>
        <v>6856.5</v>
      </c>
      <c r="G85" s="16">
        <f t="shared" si="237"/>
        <v>7228</v>
      </c>
      <c r="H85" s="26"/>
      <c r="I85" s="16">
        <f>AVERAGE(I83,G83)</f>
        <v>7431</v>
      </c>
      <c r="J85" s="16">
        <f>AVERAGE(J83,I83)</f>
        <v>7587.5</v>
      </c>
      <c r="K85" s="16">
        <f t="shared" ref="K85:L85" si="238">AVERAGE(K83,J83)</f>
        <v>7666.5</v>
      </c>
      <c r="L85" s="16">
        <f t="shared" si="238"/>
        <v>8713</v>
      </c>
      <c r="M85" s="6"/>
      <c r="N85" s="16">
        <f>AVERAGE(N83,L83)</f>
        <v>8826</v>
      </c>
      <c r="O85" s="16">
        <f>AVERAGE(O83,N83)</f>
        <v>7952</v>
      </c>
      <c r="P85" s="16">
        <f t="shared" ref="P85:Q85" si="239">AVERAGE(P83,O83)</f>
        <v>8047</v>
      </c>
      <c r="Q85" s="16">
        <f t="shared" si="239"/>
        <v>8921</v>
      </c>
      <c r="R85" s="6"/>
      <c r="S85" s="16">
        <f>AVERAGE(S83,Q83)</f>
        <v>9839.5</v>
      </c>
      <c r="T85" s="16">
        <f>AVERAGE(T83,S83)</f>
        <v>10030.5</v>
      </c>
      <c r="U85" s="16">
        <f t="shared" ref="U85:V85" si="240">AVERAGE(U83,T83)</f>
        <v>10149</v>
      </c>
      <c r="V85" s="16">
        <f t="shared" si="240"/>
        <v>10280</v>
      </c>
      <c r="W85" s="130"/>
      <c r="X85" s="101">
        <f>AVERAGE(X83,V83)</f>
        <v>10517</v>
      </c>
      <c r="Y85" s="101">
        <f>AVERAGE(Y83,X83)</f>
        <v>10749.5</v>
      </c>
      <c r="Z85" s="16">
        <f t="shared" ref="Z85:AA85" si="241">AVERAGE(Z83,Y83)</f>
        <v>10994</v>
      </c>
      <c r="AA85" s="16">
        <f t="shared" si="241"/>
        <v>11294</v>
      </c>
      <c r="AB85" s="6"/>
      <c r="AC85" s="16">
        <f>AVERAGE(AC83,AA83)</f>
        <v>11566</v>
      </c>
      <c r="AD85" s="16">
        <f>AVERAGE(AD83,AC83)</f>
        <v>11810</v>
      </c>
      <c r="AE85" s="16">
        <f t="shared" ref="AE85:AF85" si="242">AVERAGE(AE83,AD83)</f>
        <v>12054</v>
      </c>
      <c r="AF85" s="16">
        <f t="shared" si="242"/>
        <v>12299</v>
      </c>
      <c r="AG85" s="6"/>
      <c r="AH85" s="16">
        <f>AVERAGE(AH83,AF83)</f>
        <v>12548.5</v>
      </c>
      <c r="AI85" s="16">
        <f>AVERAGE(AI83,AH83)</f>
        <v>12801.5</v>
      </c>
      <c r="AJ85" s="16">
        <f t="shared" ref="AJ85:AK85" si="243">AVERAGE(AJ83,AI83)</f>
        <v>13054.5</v>
      </c>
      <c r="AK85" s="16">
        <f t="shared" si="243"/>
        <v>13308</v>
      </c>
      <c r="AL85" s="6"/>
      <c r="AM85" s="16">
        <f>AVERAGE(AM83,AK83)</f>
        <v>13467</v>
      </c>
      <c r="AN85" s="16">
        <f>AVERAGE(AN83,AM83)</f>
        <v>13531</v>
      </c>
      <c r="AO85" s="16">
        <f t="shared" ref="AO85:AP85" si="244">AVERAGE(AO83,AN83)</f>
        <v>13595</v>
      </c>
      <c r="AP85" s="16">
        <f t="shared" si="244"/>
        <v>13659</v>
      </c>
      <c r="AQ85" s="6"/>
      <c r="AR85" s="16">
        <f>AVERAGE(AR83,AP83)</f>
        <v>13723</v>
      </c>
      <c r="AS85" s="16">
        <f>AVERAGE(AS83,AR83)</f>
        <v>13787</v>
      </c>
      <c r="AT85" s="16">
        <f t="shared" ref="AT85:AU85" si="245">AVERAGE(AT83,AS83)</f>
        <v>13851</v>
      </c>
      <c r="AU85" s="16">
        <f t="shared" si="245"/>
        <v>13915</v>
      </c>
      <c r="AV85" s="6"/>
    </row>
    <row r="86" spans="1:48" outlineLevel="1" x14ac:dyDescent="0.3">
      <c r="B86" s="180" t="s">
        <v>48</v>
      </c>
      <c r="C86" s="201"/>
      <c r="D86" s="43">
        <f>+D87/D85</f>
        <v>3.5390488309209482E-2</v>
      </c>
      <c r="E86" s="114">
        <f>+E87/E85</f>
        <v>3.3197005941816495E-2</v>
      </c>
      <c r="F86" s="114">
        <f>+F87/F85</f>
        <v>3.335521038430686E-2</v>
      </c>
      <c r="G86" s="114">
        <f>+G87/G85</f>
        <v>3.468456004427227E-2</v>
      </c>
      <c r="H86" s="26"/>
      <c r="I86" s="114">
        <f t="shared" ref="I86:S86" si="246">+I87/I85</f>
        <v>3.4275333064190554E-2</v>
      </c>
      <c r="J86" s="114">
        <f t="shared" si="246"/>
        <v>2.97331136738056E-2</v>
      </c>
      <c r="K86" s="114">
        <f t="shared" si="246"/>
        <v>8.4784451835909474E-3</v>
      </c>
      <c r="L86" s="114">
        <f t="shared" si="246"/>
        <v>2.3837943303110294E-2</v>
      </c>
      <c r="M86" s="6"/>
      <c r="N86" s="114">
        <f t="shared" si="246"/>
        <v>2.2388397915250397E-2</v>
      </c>
      <c r="O86" s="114">
        <f t="shared" si="246"/>
        <v>2.5251509054325959E-2</v>
      </c>
      <c r="P86" s="114">
        <f t="shared" si="246"/>
        <v>2.6307940847520812E-2</v>
      </c>
      <c r="Q86" s="114">
        <f t="shared" si="246"/>
        <v>3.228337630310503E-2</v>
      </c>
      <c r="R86" s="6"/>
      <c r="S86" s="114">
        <f t="shared" si="246"/>
        <v>3.4036282331419275E-2</v>
      </c>
      <c r="T86" s="114">
        <f>+T87/T85</f>
        <v>3.4145855141817456E-2</v>
      </c>
      <c r="U86" s="114">
        <f>+U87/U85</f>
        <v>4.065425165040891E-2</v>
      </c>
      <c r="V86" s="114">
        <f>+V87/V85</f>
        <v>4.0369649805447473E-2</v>
      </c>
      <c r="W86" s="130"/>
      <c r="X86" s="114">
        <f t="shared" ref="X86:Y86" si="247">+X87/X85</f>
        <v>4.1789483693068369E-2</v>
      </c>
      <c r="Y86" s="114">
        <f t="shared" si="247"/>
        <v>4.0197218475277921E-2</v>
      </c>
      <c r="Z86" s="62">
        <f>U86*1.2</f>
        <v>4.8785101980490693E-2</v>
      </c>
      <c r="AA86" s="62">
        <f>V86*1.2</f>
        <v>4.8443579766536966E-2</v>
      </c>
      <c r="AB86" s="6"/>
      <c r="AC86" s="62">
        <f>X86*1.05</f>
        <v>4.3878957877721787E-2</v>
      </c>
      <c r="AD86" s="62">
        <f>Y86*1.05</f>
        <v>4.2207079399041822E-2</v>
      </c>
      <c r="AE86" s="62">
        <f>Z86*1.05</f>
        <v>5.1224357079515233E-2</v>
      </c>
      <c r="AF86" s="62">
        <f>AA86*1.05</f>
        <v>5.0865758754863814E-2</v>
      </c>
      <c r="AG86" s="6"/>
      <c r="AH86" s="62">
        <f>AC86*1.05</f>
        <v>4.6072905771607879E-2</v>
      </c>
      <c r="AI86" s="62">
        <f t="shared" ref="AI86:AK86" si="248">AD86*1.05</f>
        <v>4.4317433368993915E-2</v>
      </c>
      <c r="AJ86" s="62">
        <f t="shared" si="248"/>
        <v>5.3785574933490995E-2</v>
      </c>
      <c r="AK86" s="62">
        <f t="shared" si="248"/>
        <v>5.3409046692607008E-2</v>
      </c>
      <c r="AL86" s="6"/>
      <c r="AM86" s="477">
        <f>AH86*1.05</f>
        <v>4.8376551060188275E-2</v>
      </c>
      <c r="AN86" s="477">
        <f>AI86*1.05</f>
        <v>4.6533305037443615E-2</v>
      </c>
      <c r="AO86" s="477">
        <f>AJ86*1.05</f>
        <v>5.6474853680165547E-2</v>
      </c>
      <c r="AP86" s="477">
        <f>AK86*1.05</f>
        <v>5.6079499027237363E-2</v>
      </c>
      <c r="AQ86" s="97"/>
      <c r="AR86" s="477">
        <f>AM86*1.03</f>
        <v>4.9827847591993928E-2</v>
      </c>
      <c r="AS86" s="477">
        <f>AN86*1.03</f>
        <v>4.7929304188566925E-2</v>
      </c>
      <c r="AT86" s="477">
        <f>AO86*1.03</f>
        <v>5.8169099290570514E-2</v>
      </c>
      <c r="AU86" s="477">
        <f>AP86*1.03</f>
        <v>5.7761883998054486E-2</v>
      </c>
      <c r="AV86" s="6"/>
    </row>
    <row r="87" spans="1:48" s="8" customFormat="1" outlineLevel="1" x14ac:dyDescent="0.3">
      <c r="B87" s="603" t="s">
        <v>118</v>
      </c>
      <c r="C87" s="604"/>
      <c r="D87" s="115">
        <v>222.5</v>
      </c>
      <c r="E87" s="115">
        <v>215.1</v>
      </c>
      <c r="F87" s="115">
        <v>228.7</v>
      </c>
      <c r="G87" s="115">
        <v>250.7</v>
      </c>
      <c r="H87" s="73">
        <f>SUM(D87:G87)</f>
        <v>917</v>
      </c>
      <c r="I87" s="115">
        <v>254.7</v>
      </c>
      <c r="J87" s="115">
        <v>225.6</v>
      </c>
      <c r="K87" s="115">
        <v>65</v>
      </c>
      <c r="L87" s="72">
        <v>207.7</v>
      </c>
      <c r="M87" s="73">
        <f>SUM(I87:L87)</f>
        <v>753</v>
      </c>
      <c r="N87" s="72">
        <v>197.6</v>
      </c>
      <c r="O87" s="72">
        <v>200.8</v>
      </c>
      <c r="P87" s="72">
        <v>211.7</v>
      </c>
      <c r="Q87" s="115">
        <v>288</v>
      </c>
      <c r="R87" s="73">
        <f>SUM(N87:Q87)</f>
        <v>898.09999999999991</v>
      </c>
      <c r="S87" s="72">
        <v>334.9</v>
      </c>
      <c r="T87" s="72">
        <v>342.5</v>
      </c>
      <c r="U87" s="72">
        <v>412.6</v>
      </c>
      <c r="V87" s="72">
        <v>415</v>
      </c>
      <c r="W87" s="213">
        <f>SUM(S87:V87)</f>
        <v>1505</v>
      </c>
      <c r="X87" s="115">
        <v>439.5</v>
      </c>
      <c r="Y87" s="115">
        <v>432.1</v>
      </c>
      <c r="Z87" s="72">
        <f t="shared" ref="Z87:AA87" si="249">+Z85*Z86</f>
        <v>536.34341117351471</v>
      </c>
      <c r="AA87" s="72">
        <f t="shared" si="249"/>
        <v>547.12178988326855</v>
      </c>
      <c r="AB87" s="73">
        <f>SUM(X87:AA87)</f>
        <v>1955.0652010567833</v>
      </c>
      <c r="AC87" s="72">
        <f>+AC85*AC86</f>
        <v>507.50402681373021</v>
      </c>
      <c r="AD87" s="72">
        <f>+AD85*AD86</f>
        <v>498.46560770268394</v>
      </c>
      <c r="AE87" s="72">
        <f t="shared" ref="AE87:AF87" si="250">+AE85*AE86</f>
        <v>617.45840023647656</v>
      </c>
      <c r="AF87" s="72">
        <f t="shared" si="250"/>
        <v>625.59796692607006</v>
      </c>
      <c r="AG87" s="73">
        <f>SUM(AC87:AF87)</f>
        <v>2249.0260016789607</v>
      </c>
      <c r="AH87" s="72">
        <f>+AH85*AH86</f>
        <v>578.14585807502147</v>
      </c>
      <c r="AI87" s="72">
        <f>+AI85*AI86</f>
        <v>567.32962327317557</v>
      </c>
      <c r="AJ87" s="72">
        <f t="shared" ref="AJ87:AK87" si="251">+AJ85*AJ86</f>
        <v>702.14378796925826</v>
      </c>
      <c r="AK87" s="72">
        <f t="shared" si="251"/>
        <v>710.76759338521401</v>
      </c>
      <c r="AL87" s="73">
        <f>SUM(AH87:AK87)</f>
        <v>2558.3868627026695</v>
      </c>
      <c r="AM87" s="72">
        <f>+AM85*AM86</f>
        <v>651.48701312755554</v>
      </c>
      <c r="AN87" s="72">
        <f>+AN85*AN86</f>
        <v>629.64215046164952</v>
      </c>
      <c r="AO87" s="72">
        <f t="shared" ref="AO87:AP87" si="252">+AO85*AO86</f>
        <v>767.77563578185061</v>
      </c>
      <c r="AP87" s="72">
        <f t="shared" si="252"/>
        <v>765.98987721303513</v>
      </c>
      <c r="AQ87" s="73">
        <f>SUM(AM87:AP87)</f>
        <v>2814.8946765840906</v>
      </c>
      <c r="AR87" s="72">
        <f>+AR85*AR86</f>
        <v>683.78755250493271</v>
      </c>
      <c r="AS87" s="72">
        <f>+AS85*AS86</f>
        <v>660.80131684777223</v>
      </c>
      <c r="AT87" s="72">
        <f t="shared" ref="AT87:AU87" si="253">+AT85*AT86</f>
        <v>805.7001942736922</v>
      </c>
      <c r="AU87" s="72">
        <f t="shared" si="253"/>
        <v>803.75661583292822</v>
      </c>
      <c r="AV87" s="73">
        <f>SUM(AR87:AU87)</f>
        <v>2954.0456794593256</v>
      </c>
    </row>
    <row r="88" spans="1:48" s="8" customFormat="1" outlineLevel="1" x14ac:dyDescent="0.3">
      <c r="B88" s="587" t="s">
        <v>119</v>
      </c>
      <c r="C88" s="588"/>
      <c r="D88" s="103">
        <v>3.4</v>
      </c>
      <c r="E88" s="103">
        <v>4.9000000000000004</v>
      </c>
      <c r="F88" s="103">
        <v>3.8</v>
      </c>
      <c r="G88" s="103">
        <v>5.5</v>
      </c>
      <c r="H88" s="97">
        <f>SUM(D88:G88)</f>
        <v>17.600000000000001</v>
      </c>
      <c r="I88" s="103">
        <v>6.7</v>
      </c>
      <c r="J88" s="103">
        <v>6.6</v>
      </c>
      <c r="K88" s="103">
        <v>9.1</v>
      </c>
      <c r="L88" s="50">
        <v>5.3</v>
      </c>
      <c r="M88" s="97">
        <f>SUM(I88:L88)</f>
        <v>27.7</v>
      </c>
      <c r="N88" s="50">
        <v>15</v>
      </c>
      <c r="O88" s="50">
        <v>25.4</v>
      </c>
      <c r="P88" s="50">
        <v>13.4</v>
      </c>
      <c r="Q88" s="103">
        <v>16.600000000000001</v>
      </c>
      <c r="R88" s="97">
        <f>SUM(N88:Q88)</f>
        <v>70.400000000000006</v>
      </c>
      <c r="S88" s="50">
        <v>32.700000000000003</v>
      </c>
      <c r="T88" s="50">
        <v>19.5</v>
      </c>
      <c r="U88" s="50">
        <v>9.8000000000000007</v>
      </c>
      <c r="V88" s="50">
        <v>11.1</v>
      </c>
      <c r="W88" s="132">
        <f>SUM(S88:V88)</f>
        <v>73.099999999999994</v>
      </c>
      <c r="X88" s="103">
        <v>27.7</v>
      </c>
      <c r="Y88" s="103">
        <v>23.1</v>
      </c>
      <c r="Z88" s="50">
        <f>+U88*(1+Z89)</f>
        <v>10.290000000000001</v>
      </c>
      <c r="AA88" s="50">
        <f t="shared" ref="AA88" si="254">+V88*(1+AA89)</f>
        <v>11.654999999999999</v>
      </c>
      <c r="AB88" s="97">
        <f>SUM(X88:AA88)</f>
        <v>72.74499999999999</v>
      </c>
      <c r="AC88" s="50">
        <f>+X88*(1+AC89)</f>
        <v>30.470000000000002</v>
      </c>
      <c r="AD88" s="50">
        <f>+Y88*(1+AD89)</f>
        <v>26.565000000000001</v>
      </c>
      <c r="AE88" s="50">
        <f>+Z88*(1+AE89)</f>
        <v>12.348000000000001</v>
      </c>
      <c r="AF88" s="50">
        <f t="shared" ref="AF88" si="255">+AA88*(1+AF89)</f>
        <v>13.985999999999999</v>
      </c>
      <c r="AG88" s="97">
        <f>SUM(AC88:AF88)</f>
        <v>83.369000000000014</v>
      </c>
      <c r="AH88" s="50">
        <f>+AC88*(1+AH89)</f>
        <v>38.087500000000006</v>
      </c>
      <c r="AI88" s="50">
        <f>+AD88*(1+AI89)</f>
        <v>33.206250000000004</v>
      </c>
      <c r="AJ88" s="50">
        <f>+AE88*(1+AJ89)</f>
        <v>15.435</v>
      </c>
      <c r="AK88" s="50">
        <f t="shared" ref="AK88" si="256">+AF88*(1+AK89)</f>
        <v>17.482499999999998</v>
      </c>
      <c r="AL88" s="97">
        <f>SUM(AH88:AK88)</f>
        <v>104.21125000000002</v>
      </c>
      <c r="AM88" s="50">
        <f>+AH88*(1+AM89)</f>
        <v>41.896250000000009</v>
      </c>
      <c r="AN88" s="50">
        <f>+AI88*(1+AN89)</f>
        <v>36.526875000000011</v>
      </c>
      <c r="AO88" s="50">
        <f>+AJ88*(1+AO89)</f>
        <v>16.9785</v>
      </c>
      <c r="AP88" s="50">
        <f t="shared" ref="AP88" si="257">+AK88*(1+AP89)</f>
        <v>19.23075</v>
      </c>
      <c r="AQ88" s="97">
        <f>SUM(AM88:AP88)</f>
        <v>114.63237500000002</v>
      </c>
      <c r="AR88" s="50">
        <f>+AM88*(1+AR89)</f>
        <v>43.991062500000012</v>
      </c>
      <c r="AS88" s="50">
        <f>+AN88*(1+AS89)</f>
        <v>38.353218750000011</v>
      </c>
      <c r="AT88" s="50">
        <f>+AO88*(1+AT89)</f>
        <v>17.827425000000002</v>
      </c>
      <c r="AU88" s="50">
        <f t="shared" ref="AU88" si="258">+AP88*(1+AU89)</f>
        <v>20.192287500000003</v>
      </c>
      <c r="AV88" s="97">
        <f>SUM(AR88:AU88)</f>
        <v>120.36399375000003</v>
      </c>
    </row>
    <row r="89" spans="1:48" outlineLevel="1" x14ac:dyDescent="0.3">
      <c r="B89" s="69" t="s">
        <v>50</v>
      </c>
      <c r="C89" s="70"/>
      <c r="D89" s="120"/>
      <c r="E89" s="120"/>
      <c r="F89" s="120"/>
      <c r="G89" s="120"/>
      <c r="H89" s="58"/>
      <c r="I89" s="120">
        <f>I88/D88-1</f>
        <v>0.97058823529411775</v>
      </c>
      <c r="J89" s="120">
        <f t="shared" ref="J89:L89" si="259">J88/E88-1</f>
        <v>0.3469387755102038</v>
      </c>
      <c r="K89" s="120">
        <f t="shared" si="259"/>
        <v>1.3947368421052633</v>
      </c>
      <c r="L89" s="120">
        <f t="shared" si="259"/>
        <v>-3.6363636363636376E-2</v>
      </c>
      <c r="M89" s="58"/>
      <c r="N89" s="120">
        <f>N88/I88-1</f>
        <v>1.2388059701492535</v>
      </c>
      <c r="O89" s="120">
        <f t="shared" ref="O89:Q89" si="260">O88/J88-1</f>
        <v>2.8484848484848486</v>
      </c>
      <c r="P89" s="120">
        <f t="shared" si="260"/>
        <v>0.47252747252747263</v>
      </c>
      <c r="Q89" s="120">
        <f t="shared" si="260"/>
        <v>2.1320754716981134</v>
      </c>
      <c r="R89" s="58"/>
      <c r="S89" s="120">
        <f>S88/N88-1</f>
        <v>1.1800000000000002</v>
      </c>
      <c r="T89" s="120">
        <f t="shared" ref="T89:U89" si="261">T88/O88-1</f>
        <v>-0.23228346456692905</v>
      </c>
      <c r="U89" s="120">
        <f t="shared" si="261"/>
        <v>-0.26865671641791045</v>
      </c>
      <c r="V89" s="120">
        <f>V88/Q88-1</f>
        <v>-0.3313253012048194</v>
      </c>
      <c r="W89" s="155"/>
      <c r="X89" s="120">
        <f>X88/S88-1</f>
        <v>-0.15290519877675846</v>
      </c>
      <c r="Y89" s="120">
        <f>Y88/T88-1</f>
        <v>0.18461538461538463</v>
      </c>
      <c r="Z89" s="71">
        <v>0.05</v>
      </c>
      <c r="AA89" s="71">
        <v>0.05</v>
      </c>
      <c r="AB89" s="58"/>
      <c r="AC89" s="71">
        <v>0.1</v>
      </c>
      <c r="AD89" s="71">
        <v>0.15</v>
      </c>
      <c r="AE89" s="71">
        <v>0.2</v>
      </c>
      <c r="AF89" s="71">
        <v>0.2</v>
      </c>
      <c r="AG89" s="58"/>
      <c r="AH89" s="71">
        <v>0.25</v>
      </c>
      <c r="AI89" s="71">
        <v>0.25</v>
      </c>
      <c r="AJ89" s="71">
        <v>0.25</v>
      </c>
      <c r="AK89" s="71">
        <v>0.25</v>
      </c>
      <c r="AL89" s="58"/>
      <c r="AM89" s="71">
        <v>0.1</v>
      </c>
      <c r="AN89" s="71">
        <v>0.1</v>
      </c>
      <c r="AO89" s="71">
        <v>0.1</v>
      </c>
      <c r="AP89" s="71">
        <v>0.1</v>
      </c>
      <c r="AQ89" s="58"/>
      <c r="AR89" s="71">
        <v>0.05</v>
      </c>
      <c r="AS89" s="71">
        <v>0.05</v>
      </c>
      <c r="AT89" s="71">
        <v>0.05</v>
      </c>
      <c r="AU89" s="71">
        <v>0.05</v>
      </c>
      <c r="AV89" s="58"/>
    </row>
    <row r="90" spans="1:48" outlineLevel="1" x14ac:dyDescent="0.3">
      <c r="B90" s="180" t="s">
        <v>120</v>
      </c>
      <c r="C90" s="207"/>
      <c r="D90" s="101">
        <f t="shared" ref="D90:G91" si="262">+D83+D74</f>
        <v>12212</v>
      </c>
      <c r="E90" s="101">
        <f t="shared" si="262"/>
        <v>12465</v>
      </c>
      <c r="F90" s="101">
        <f t="shared" si="262"/>
        <v>12773</v>
      </c>
      <c r="G90" s="101">
        <f t="shared" si="262"/>
        <v>13189</v>
      </c>
      <c r="H90" s="6"/>
      <c r="I90" s="101">
        <f t="shared" ref="I90:L91" si="263">+I83+I74</f>
        <v>13592</v>
      </c>
      <c r="J90" s="101">
        <f t="shared" si="263"/>
        <v>13779</v>
      </c>
      <c r="K90" s="101">
        <f t="shared" si="263"/>
        <v>13945</v>
      </c>
      <c r="L90" s="16">
        <f t="shared" si="263"/>
        <v>16263</v>
      </c>
      <c r="M90" s="6"/>
      <c r="N90" s="16">
        <f t="shared" ref="N90:Q91" si="264">+N83+N74</f>
        <v>14630</v>
      </c>
      <c r="O90" s="16">
        <f t="shared" si="264"/>
        <v>14823</v>
      </c>
      <c r="P90" s="16">
        <f t="shared" si="264"/>
        <v>15120</v>
      </c>
      <c r="Q90" s="16">
        <f t="shared" si="264"/>
        <v>17007</v>
      </c>
      <c r="R90" s="6"/>
      <c r="S90" s="16">
        <f t="shared" ref="S90:V91" si="265">+S83+S74</f>
        <v>17429</v>
      </c>
      <c r="T90" s="16">
        <f t="shared" si="265"/>
        <v>17704</v>
      </c>
      <c r="U90" s="16">
        <f t="shared" si="265"/>
        <v>17898</v>
      </c>
      <c r="V90" s="16">
        <f t="shared" si="265"/>
        <v>18416</v>
      </c>
      <c r="W90" s="254">
        <f>W91/Q90</f>
        <v>8.2848238960428061E-2</v>
      </c>
      <c r="X90" s="101">
        <f t="shared" ref="X90:AA91" si="266">+X83+X74</f>
        <v>18789</v>
      </c>
      <c r="Y90" s="101">
        <f t="shared" si="266"/>
        <v>19152</v>
      </c>
      <c r="Z90" s="16">
        <f t="shared" si="266"/>
        <v>19752</v>
      </c>
      <c r="AA90" s="16">
        <f t="shared" si="266"/>
        <v>20352</v>
      </c>
      <c r="AB90" s="254">
        <f>AB91/V90</f>
        <v>0.10512597741094701</v>
      </c>
      <c r="AC90" s="16">
        <f t="shared" ref="AC90:AF91" si="267">+AC83+AC74</f>
        <v>20860</v>
      </c>
      <c r="AD90" s="16">
        <f t="shared" si="267"/>
        <v>21368</v>
      </c>
      <c r="AE90" s="16">
        <f t="shared" si="267"/>
        <v>21876</v>
      </c>
      <c r="AF90" s="16">
        <f t="shared" si="267"/>
        <v>22390</v>
      </c>
      <c r="AG90" s="254">
        <f>AG91/AA90</f>
        <v>0.1001375786163522</v>
      </c>
      <c r="AH90" s="16">
        <f t="shared" ref="AH90:AK91" si="268">+AH83+AH74</f>
        <v>22917</v>
      </c>
      <c r="AI90" s="16">
        <f t="shared" si="268"/>
        <v>23444</v>
      </c>
      <c r="AJ90" s="16">
        <f t="shared" si="268"/>
        <v>23971</v>
      </c>
      <c r="AK90" s="16">
        <f t="shared" si="268"/>
        <v>24501</v>
      </c>
      <c r="AL90" s="254">
        <f>AL91/AF90</f>
        <v>9.4283162125949088E-2</v>
      </c>
      <c r="AM90" s="16">
        <f t="shared" ref="AM90:AP91" si="269">+AM83+AM74</f>
        <v>24695</v>
      </c>
      <c r="AN90" s="16">
        <f t="shared" si="269"/>
        <v>24889</v>
      </c>
      <c r="AO90" s="16">
        <f t="shared" si="269"/>
        <v>25083</v>
      </c>
      <c r="AP90" s="16">
        <f t="shared" si="269"/>
        <v>25277</v>
      </c>
      <c r="AQ90" s="254">
        <f>AQ91/AK90</f>
        <v>3.1672176645851188E-2</v>
      </c>
      <c r="AR90" s="16">
        <f t="shared" ref="AR90:AU91" si="270">+AR83+AR74</f>
        <v>25471</v>
      </c>
      <c r="AS90" s="16">
        <f t="shared" si="270"/>
        <v>25665</v>
      </c>
      <c r="AT90" s="16">
        <f t="shared" si="270"/>
        <v>25859</v>
      </c>
      <c r="AU90" s="16">
        <f t="shared" si="270"/>
        <v>26053</v>
      </c>
      <c r="AV90" s="254">
        <f>AV91/AP90</f>
        <v>3.0699845709538317E-2</v>
      </c>
    </row>
    <row r="91" spans="1:48" outlineLevel="1" x14ac:dyDescent="0.3">
      <c r="B91" s="180" t="s">
        <v>121</v>
      </c>
      <c r="C91" s="207"/>
      <c r="D91" s="101">
        <f t="shared" si="262"/>
        <v>360</v>
      </c>
      <c r="E91" s="101">
        <f t="shared" si="262"/>
        <v>253</v>
      </c>
      <c r="F91" s="101">
        <f t="shared" si="262"/>
        <v>308</v>
      </c>
      <c r="G91" s="101">
        <f t="shared" si="262"/>
        <v>416</v>
      </c>
      <c r="H91" s="122">
        <f>+H84+H75</f>
        <v>1337</v>
      </c>
      <c r="I91" s="101">
        <f t="shared" si="263"/>
        <v>403</v>
      </c>
      <c r="J91" s="101">
        <f t="shared" si="263"/>
        <v>187</v>
      </c>
      <c r="K91" s="101">
        <f t="shared" si="263"/>
        <v>166</v>
      </c>
      <c r="L91" s="101">
        <f t="shared" si="263"/>
        <v>356</v>
      </c>
      <c r="M91" s="122">
        <f>+M84+M75</f>
        <v>1112</v>
      </c>
      <c r="N91" s="101">
        <f t="shared" si="264"/>
        <v>324</v>
      </c>
      <c r="O91" s="101">
        <f t="shared" si="264"/>
        <v>193</v>
      </c>
      <c r="P91" s="101">
        <f t="shared" si="264"/>
        <v>297</v>
      </c>
      <c r="Q91" s="101">
        <f t="shared" si="264"/>
        <v>464</v>
      </c>
      <c r="R91" s="122">
        <f>+R84+R75</f>
        <v>1278</v>
      </c>
      <c r="S91" s="16">
        <f t="shared" si="265"/>
        <v>422</v>
      </c>
      <c r="T91" s="16">
        <f t="shared" si="265"/>
        <v>275</v>
      </c>
      <c r="U91" s="16">
        <f t="shared" si="265"/>
        <v>194</v>
      </c>
      <c r="V91" s="16">
        <f t="shared" si="265"/>
        <v>518</v>
      </c>
      <c r="W91" s="122">
        <f>+W84+W75</f>
        <v>1409</v>
      </c>
      <c r="X91" s="101">
        <f t="shared" si="266"/>
        <v>373</v>
      </c>
      <c r="Y91" s="101">
        <f t="shared" si="266"/>
        <v>363</v>
      </c>
      <c r="Z91" s="16">
        <f t="shared" si="266"/>
        <v>600</v>
      </c>
      <c r="AA91" s="16">
        <f t="shared" si="266"/>
        <v>600</v>
      </c>
      <c r="AB91" s="26">
        <f>+AB84+AB75</f>
        <v>1936</v>
      </c>
      <c r="AC91" s="16">
        <f t="shared" si="267"/>
        <v>508</v>
      </c>
      <c r="AD91" s="16">
        <f t="shared" si="267"/>
        <v>508</v>
      </c>
      <c r="AE91" s="16">
        <f t="shared" si="267"/>
        <v>508</v>
      </c>
      <c r="AF91" s="16">
        <f t="shared" si="267"/>
        <v>514</v>
      </c>
      <c r="AG91" s="26">
        <f>+AG84+AG75</f>
        <v>2038</v>
      </c>
      <c r="AH91" s="16">
        <f t="shared" si="268"/>
        <v>527</v>
      </c>
      <c r="AI91" s="16">
        <f t="shared" si="268"/>
        <v>527</v>
      </c>
      <c r="AJ91" s="16">
        <f t="shared" si="268"/>
        <v>527</v>
      </c>
      <c r="AK91" s="16">
        <f t="shared" si="268"/>
        <v>530</v>
      </c>
      <c r="AL91" s="26">
        <f>+AL84+AL75</f>
        <v>2111</v>
      </c>
      <c r="AM91" s="16">
        <f t="shared" si="269"/>
        <v>194</v>
      </c>
      <c r="AN91" s="16">
        <f t="shared" si="269"/>
        <v>194</v>
      </c>
      <c r="AO91" s="16">
        <f t="shared" si="269"/>
        <v>194</v>
      </c>
      <c r="AP91" s="16">
        <f t="shared" si="269"/>
        <v>194</v>
      </c>
      <c r="AQ91" s="26">
        <f>+AQ84+AQ75</f>
        <v>776</v>
      </c>
      <c r="AR91" s="16">
        <f t="shared" si="270"/>
        <v>194</v>
      </c>
      <c r="AS91" s="16">
        <f t="shared" si="270"/>
        <v>194</v>
      </c>
      <c r="AT91" s="16">
        <f t="shared" si="270"/>
        <v>194</v>
      </c>
      <c r="AU91" s="16">
        <f t="shared" si="270"/>
        <v>194</v>
      </c>
      <c r="AV91" s="26">
        <f>+AV84+AV75</f>
        <v>776</v>
      </c>
    </row>
    <row r="92" spans="1:48" outlineLevel="1" x14ac:dyDescent="0.3">
      <c r="B92" s="605" t="s">
        <v>122</v>
      </c>
      <c r="C92" s="606"/>
      <c r="D92" s="115">
        <f>+D88+D87+D78</f>
        <v>1504</v>
      </c>
      <c r="E92" s="115">
        <f>+E88+E87+E78</f>
        <v>1529.4</v>
      </c>
      <c r="F92" s="115">
        <f>+F88+F87+F78</f>
        <v>1585.3</v>
      </c>
      <c r="G92" s="115">
        <f>+G88+G87+G78</f>
        <v>1572.1000000000001</v>
      </c>
      <c r="H92" s="213">
        <f>SUM(D92:G92)</f>
        <v>6190.8</v>
      </c>
      <c r="I92" s="115">
        <f>+I88+I87+I78</f>
        <v>1571.1</v>
      </c>
      <c r="J92" s="115">
        <f>+J88+J87+J78</f>
        <v>1134.5999999999999</v>
      </c>
      <c r="K92" s="115">
        <f>+K88+K87+K78</f>
        <v>949.6</v>
      </c>
      <c r="L92" s="115">
        <f>+L88+L87+L78</f>
        <v>1511.3</v>
      </c>
      <c r="M92" s="213">
        <f>SUM(I92:L92)</f>
        <v>5166.5999999999995</v>
      </c>
      <c r="N92" s="115">
        <f>+N88+N87+N78</f>
        <v>1654.3</v>
      </c>
      <c r="O92" s="115">
        <f>+O88+O87+O78</f>
        <v>1610.9</v>
      </c>
      <c r="P92" s="115">
        <f>+P88+P87+P78</f>
        <v>1658.3999999999999</v>
      </c>
      <c r="Q92" s="115">
        <f>+Q88+Q87+Q78</f>
        <v>1914.6</v>
      </c>
      <c r="R92" s="73">
        <f>SUM(N92:Q92)</f>
        <v>6838.1999999999989</v>
      </c>
      <c r="S92" s="72">
        <f>+S88+S87+S78</f>
        <v>1875.8999999999999</v>
      </c>
      <c r="T92" s="72">
        <f>+T88+T87+T78</f>
        <v>1702.4</v>
      </c>
      <c r="U92" s="72">
        <f>+U88+U87+U78</f>
        <v>1584.7</v>
      </c>
      <c r="V92" s="72">
        <f>+V88+V87+V78</f>
        <v>1777</v>
      </c>
      <c r="W92" s="213">
        <f>SUM(S92:V92)</f>
        <v>6940</v>
      </c>
      <c r="X92" s="115">
        <f>+X88+X87+X78</f>
        <v>1680.1000000000001</v>
      </c>
      <c r="Y92" s="115">
        <f>+Y88+Y87+Y78</f>
        <v>1854.8</v>
      </c>
      <c r="Z92" s="72">
        <f>+Z88+Z87+Z78</f>
        <v>2088.306186918418</v>
      </c>
      <c r="AA92" s="72">
        <f>+AA88+AA87+AA78</f>
        <v>2361.1658517088367</v>
      </c>
      <c r="AB92" s="73">
        <f>SUM(X92:AA92)</f>
        <v>7984.3720386272544</v>
      </c>
      <c r="AC92" s="72">
        <f>+AC88+AC87+AC78</f>
        <v>2165.2746513885863</v>
      </c>
      <c r="AD92" s="72">
        <f>+AD88+AD87+AD78</f>
        <v>2188.2069025573246</v>
      </c>
      <c r="AE92" s="72">
        <f>+AE88+AE87+AE78</f>
        <v>2461.0030630697229</v>
      </c>
      <c r="AF92" s="72">
        <f>+AF88+AF87+AF78</f>
        <v>2764.6043752033329</v>
      </c>
      <c r="AG92" s="73">
        <f>SUM(AC92:AF92)</f>
        <v>9579.0889922189672</v>
      </c>
      <c r="AH92" s="72">
        <f>+AH88+AH87+AH78</f>
        <v>2526.1964611607923</v>
      </c>
      <c r="AI92" s="72">
        <f>+AI88+AI87+AI78</f>
        <v>2548.6455145576911</v>
      </c>
      <c r="AJ92" s="72">
        <f>+AJ88+AJ87+AJ78</f>
        <v>2858.3736198694151</v>
      </c>
      <c r="AK92" s="72">
        <f>+AK88+AK87+AK78</f>
        <v>3207.7430944770003</v>
      </c>
      <c r="AL92" s="73">
        <f>SUM(AH92:AK92)</f>
        <v>11140.958690064899</v>
      </c>
      <c r="AM92" s="72">
        <f>+AM88+AM87+AM78</f>
        <v>2902.46681240713</v>
      </c>
      <c r="AN92" s="72">
        <f>+AN88+AN87+AN78</f>
        <v>2885.5105616433793</v>
      </c>
      <c r="AO92" s="72">
        <f>+AO88+AO87+AO78</f>
        <v>3188.3102820958857</v>
      </c>
      <c r="AP92" s="72">
        <f>+AP88+AP87+AP78</f>
        <v>3529.9635636018893</v>
      </c>
      <c r="AQ92" s="73">
        <f>SUM(AM92:AP92)</f>
        <v>12506.251219748287</v>
      </c>
      <c r="AR92" s="72">
        <f>+AR88+AR87+AR78</f>
        <v>3109.4310636291366</v>
      </c>
      <c r="AS92" s="72">
        <f>+AS88+AS87+AS78</f>
        <v>3090.6334910093406</v>
      </c>
      <c r="AT92" s="72">
        <f>+AT88+AT87+AT78</f>
        <v>3412.2046429334996</v>
      </c>
      <c r="AU92" s="72">
        <f>+AU88+AU87+AU78</f>
        <v>3778.6345372162664</v>
      </c>
      <c r="AV92" s="73">
        <f>SUM(AR92:AU92)</f>
        <v>13390.903734788242</v>
      </c>
    </row>
    <row r="93" spans="1:48" outlineLevel="1" x14ac:dyDescent="0.3">
      <c r="B93" s="607" t="s">
        <v>100</v>
      </c>
      <c r="C93" s="608"/>
      <c r="D93" s="105">
        <v>462.7</v>
      </c>
      <c r="E93" s="105">
        <v>470.2</v>
      </c>
      <c r="F93" s="105">
        <v>476.1</v>
      </c>
      <c r="G93" s="105">
        <v>486.1</v>
      </c>
      <c r="H93" s="129">
        <f>SUM(D93:G93)</f>
        <v>1895.1</v>
      </c>
      <c r="I93" s="105">
        <v>488.5</v>
      </c>
      <c r="J93" s="105">
        <v>387.7</v>
      </c>
      <c r="K93" s="105">
        <v>337.7</v>
      </c>
      <c r="L93" s="105">
        <v>479.2</v>
      </c>
      <c r="M93" s="129">
        <f>SUM(I93:L93)</f>
        <v>1693.1000000000001</v>
      </c>
      <c r="N93" s="105">
        <v>520.4</v>
      </c>
      <c r="O93" s="105">
        <v>513.5</v>
      </c>
      <c r="P93" s="105">
        <v>501.7</v>
      </c>
      <c r="Q93" s="105">
        <v>605.1</v>
      </c>
      <c r="R93" s="76">
        <f>SUM(N93:Q93)</f>
        <v>2140.7000000000003</v>
      </c>
      <c r="S93" s="48">
        <v>615.79999999999995</v>
      </c>
      <c r="T93" s="48">
        <v>580.5</v>
      </c>
      <c r="U93" s="48">
        <v>550.29999999999995</v>
      </c>
      <c r="V93" s="48">
        <v>611</v>
      </c>
      <c r="W93" s="76">
        <f>SUM(S93:V93)</f>
        <v>2357.6</v>
      </c>
      <c r="X93" s="105">
        <v>593.6</v>
      </c>
      <c r="Y93" s="105">
        <v>632.9</v>
      </c>
      <c r="Z93" s="48">
        <f t="shared" ref="Z93:AA93" si="271">Z94*Z92</f>
        <v>662.5321702712921</v>
      </c>
      <c r="AA93" s="48">
        <f t="shared" si="271"/>
        <v>705.60591337208893</v>
      </c>
      <c r="AB93" s="76">
        <f>SUM(X93:AA93)</f>
        <v>2594.6380836433809</v>
      </c>
      <c r="AC93" s="48">
        <f>AC94*AC92</f>
        <v>721.71268033349531</v>
      </c>
      <c r="AD93" s="48">
        <f>AD94*AD92</f>
        <v>702.901889891775</v>
      </c>
      <c r="AE93" s="48">
        <f t="shared" ref="AE93:AF93" si="272">AE94*AE92</f>
        <v>780.77329398994789</v>
      </c>
      <c r="AF93" s="48">
        <f t="shared" si="272"/>
        <v>826.16864624991661</v>
      </c>
      <c r="AG93" s="76">
        <f>SUM(AC93:AF93)</f>
        <v>3031.5565104651346</v>
      </c>
      <c r="AH93" s="48">
        <f>AH94*AH92</f>
        <v>836.95996697120927</v>
      </c>
      <c r="AI93" s="48">
        <f>AI94*AI92</f>
        <v>813.58568942998022</v>
      </c>
      <c r="AJ93" s="48">
        <f t="shared" ref="AJ93:AK93" si="273">AJ94*AJ92</f>
        <v>878.25860793705817</v>
      </c>
      <c r="AK93" s="48">
        <f t="shared" si="273"/>
        <v>952.17981723006335</v>
      </c>
      <c r="AL93" s="76">
        <f>SUM(AH93:AK93)</f>
        <v>3480.984081568311</v>
      </c>
      <c r="AM93" s="48">
        <f>AM94*AM92</f>
        <v>961.62296353271665</v>
      </c>
      <c r="AN93" s="48">
        <f>AN94*AN92</f>
        <v>921.12068400361204</v>
      </c>
      <c r="AO93" s="48">
        <f t="shared" ref="AO93:AP93" si="274">AO94*AO92</f>
        <v>979.63433840845039</v>
      </c>
      <c r="AP93" s="48">
        <f t="shared" si="274"/>
        <v>1047.8270739967857</v>
      </c>
      <c r="AQ93" s="76">
        <f>SUM(AM93:AP93)</f>
        <v>3910.2050599415647</v>
      </c>
      <c r="AR93" s="48">
        <f>AR94*AR92</f>
        <v>1030.1927662104531</v>
      </c>
      <c r="AS93" s="48">
        <f>AS94*AS92</f>
        <v>986.60059439243093</v>
      </c>
      <c r="AT93" s="48">
        <f t="shared" ref="AT93:AU93" si="275">AT94*AT92</f>
        <v>1048.4277068846063</v>
      </c>
      <c r="AU93" s="48">
        <f t="shared" si="275"/>
        <v>1121.6420508302608</v>
      </c>
      <c r="AV93" s="76">
        <f>SUM(AR93:AU93)</f>
        <v>4186.8631183177513</v>
      </c>
    </row>
    <row r="94" spans="1:48" s="183" customFormat="1" outlineLevel="1" x14ac:dyDescent="0.3">
      <c r="A94" s="238"/>
      <c r="B94" s="181" t="s">
        <v>151</v>
      </c>
      <c r="C94" s="182"/>
      <c r="D94" s="167">
        <f>D93/D92</f>
        <v>0.30764627659574467</v>
      </c>
      <c r="E94" s="167">
        <f t="shared" ref="E94:Y94" si="276">E93/E92</f>
        <v>0.30744082646789589</v>
      </c>
      <c r="F94" s="167">
        <f t="shared" si="276"/>
        <v>0.30032170567085098</v>
      </c>
      <c r="G94" s="167">
        <f t="shared" si="276"/>
        <v>0.30920424909356908</v>
      </c>
      <c r="H94" s="186">
        <f>H93/H92</f>
        <v>0.30611552626477995</v>
      </c>
      <c r="I94" s="167">
        <f t="shared" si="276"/>
        <v>0.31092864871745912</v>
      </c>
      <c r="J94" s="167">
        <f t="shared" si="276"/>
        <v>0.34170632822139962</v>
      </c>
      <c r="K94" s="167">
        <f t="shared" si="276"/>
        <v>0.35562342038753159</v>
      </c>
      <c r="L94" s="167">
        <f t="shared" si="276"/>
        <v>0.31707801230728511</v>
      </c>
      <c r="M94" s="186">
        <f>M93/M92</f>
        <v>0.32770100259358192</v>
      </c>
      <c r="N94" s="167">
        <f t="shared" si="276"/>
        <v>0.31457414011968809</v>
      </c>
      <c r="O94" s="167">
        <f t="shared" si="276"/>
        <v>0.31876590725681292</v>
      </c>
      <c r="P94" s="167">
        <f t="shared" si="276"/>
        <v>0.30252050168837435</v>
      </c>
      <c r="Q94" s="167">
        <f t="shared" si="276"/>
        <v>0.31604512691946102</v>
      </c>
      <c r="R94" s="188">
        <f>R93/R92</f>
        <v>0.31305021789359783</v>
      </c>
      <c r="S94" s="167">
        <f t="shared" si="276"/>
        <v>0.32826909749986671</v>
      </c>
      <c r="T94" s="167">
        <f t="shared" si="276"/>
        <v>0.34098919172932329</v>
      </c>
      <c r="U94" s="167">
        <f t="shared" si="276"/>
        <v>0.34725815611787714</v>
      </c>
      <c r="V94" s="167">
        <f t="shared" si="276"/>
        <v>0.34383792909397859</v>
      </c>
      <c r="W94" s="188">
        <f>W93/W92</f>
        <v>0.33971181556195962</v>
      </c>
      <c r="X94" s="167">
        <f t="shared" si="276"/>
        <v>0.35331230283911669</v>
      </c>
      <c r="Y94" s="167">
        <f t="shared" si="276"/>
        <v>0.34122277334483503</v>
      </c>
      <c r="Z94" s="189">
        <f>U94-0.5%-2.5%</f>
        <v>0.31725815611787711</v>
      </c>
      <c r="AA94" s="189">
        <f>V94-0.5%-4%</f>
        <v>0.2988379290939786</v>
      </c>
      <c r="AB94" s="188">
        <f>AB93/AB92</f>
        <v>0.32496457718789801</v>
      </c>
      <c r="AC94" s="189">
        <f>X94-2%</f>
        <v>0.33331230283911667</v>
      </c>
      <c r="AD94" s="189">
        <f>Y94-2%</f>
        <v>0.32122277334483501</v>
      </c>
      <c r="AE94" s="189">
        <f t="shared" ref="AE94:AF94" si="277">Z94</f>
        <v>0.31725815611787711</v>
      </c>
      <c r="AF94" s="189">
        <f t="shared" si="277"/>
        <v>0.2988379290939786</v>
      </c>
      <c r="AG94" s="188">
        <f>AG93/AG92</f>
        <v>0.31647649509547815</v>
      </c>
      <c r="AH94" s="189">
        <f>AC94-0.2%</f>
        <v>0.33131230283911667</v>
      </c>
      <c r="AI94" s="189">
        <f>AD94-0.2%</f>
        <v>0.31922277334483501</v>
      </c>
      <c r="AJ94" s="189">
        <f>AE94-1%</f>
        <v>0.3072581561178771</v>
      </c>
      <c r="AK94" s="189">
        <f>AF94-0.2%</f>
        <v>0.2968379290939786</v>
      </c>
      <c r="AL94" s="188">
        <f>AL93/AL92</f>
        <v>0.31244924053730905</v>
      </c>
      <c r="AM94" s="189">
        <f>AH94</f>
        <v>0.33131230283911667</v>
      </c>
      <c r="AN94" s="189">
        <f t="shared" ref="AN94:AP94" si="278">AI94</f>
        <v>0.31922277334483501</v>
      </c>
      <c r="AO94" s="189">
        <f t="shared" si="278"/>
        <v>0.3072581561178771</v>
      </c>
      <c r="AP94" s="189">
        <f t="shared" si="278"/>
        <v>0.2968379290939786</v>
      </c>
      <c r="AQ94" s="188">
        <f>AQ93/AQ92</f>
        <v>0.31266004426386901</v>
      </c>
      <c r="AR94" s="189">
        <f>AM94</f>
        <v>0.33131230283911667</v>
      </c>
      <c r="AS94" s="189">
        <f t="shared" ref="AS94:AU94" si="279">AN94</f>
        <v>0.31922277334483501</v>
      </c>
      <c r="AT94" s="189">
        <f t="shared" si="279"/>
        <v>0.3072581561178771</v>
      </c>
      <c r="AU94" s="189">
        <f t="shared" si="279"/>
        <v>0.2968379290939786</v>
      </c>
      <c r="AV94" s="188">
        <f>AV93/AV92</f>
        <v>0.31266471638062004</v>
      </c>
    </row>
    <row r="95" spans="1:48" outlineLevel="1" x14ac:dyDescent="0.3">
      <c r="B95" s="180" t="s">
        <v>32</v>
      </c>
      <c r="C95" s="18"/>
      <c r="D95" s="105">
        <v>603.70000000000005</v>
      </c>
      <c r="E95" s="105">
        <v>618.4</v>
      </c>
      <c r="F95" s="105">
        <v>609.20000000000005</v>
      </c>
      <c r="G95" s="105">
        <v>597.29999999999995</v>
      </c>
      <c r="H95" s="170">
        <f>SUM(D95:G95)</f>
        <v>2428.6</v>
      </c>
      <c r="I95" s="105">
        <v>607.1</v>
      </c>
      <c r="J95" s="105">
        <v>562.79999999999995</v>
      </c>
      <c r="K95" s="105">
        <v>483.4</v>
      </c>
      <c r="L95" s="105">
        <v>622.70000000000005</v>
      </c>
      <c r="M95" s="170">
        <f>SUM(I95:L95)</f>
        <v>2276</v>
      </c>
      <c r="N95" s="105">
        <v>628.5</v>
      </c>
      <c r="O95" s="105">
        <v>620.20000000000005</v>
      </c>
      <c r="P95" s="105">
        <v>620.1</v>
      </c>
      <c r="Q95" s="105">
        <v>702.6</v>
      </c>
      <c r="R95" s="49">
        <f>SUM(N95:Q95)</f>
        <v>2571.4</v>
      </c>
      <c r="S95" s="48">
        <v>697.6</v>
      </c>
      <c r="T95" s="48">
        <v>689.3</v>
      </c>
      <c r="U95" s="48">
        <v>632.5</v>
      </c>
      <c r="V95" s="48">
        <v>682.5</v>
      </c>
      <c r="W95" s="49">
        <f>SUM(S95:V95)</f>
        <v>2701.9</v>
      </c>
      <c r="X95" s="105">
        <v>633.9</v>
      </c>
      <c r="Y95" s="105">
        <v>684.4</v>
      </c>
      <c r="Z95" s="48">
        <f>Z96*Z78</f>
        <v>792.69675870360697</v>
      </c>
      <c r="AA95" s="48">
        <f>AA96*AA78</f>
        <v>829.49322853878391</v>
      </c>
      <c r="AB95" s="49">
        <f>SUM(X95:AA95)</f>
        <v>2940.4899872423912</v>
      </c>
      <c r="AC95" s="48">
        <f>AC96*AC78</f>
        <v>850.47890668480602</v>
      </c>
      <c r="AD95" s="48">
        <f>AD96*AD78</f>
        <v>780.02445366743711</v>
      </c>
      <c r="AE95" s="48">
        <f>AE96*AE78</f>
        <v>941.56404784108736</v>
      </c>
      <c r="AF95" s="48">
        <f>AF96*AF78</f>
        <v>977.97422127459697</v>
      </c>
      <c r="AG95" s="49">
        <f>SUM(AC95:AF95)</f>
        <v>3550.0416294679271</v>
      </c>
      <c r="AH95" s="48">
        <f>AH96*AH78</f>
        <v>994.38735472883548</v>
      </c>
      <c r="AI95" s="48">
        <f>AI96*AI78</f>
        <v>909.76107809974462</v>
      </c>
      <c r="AJ95" s="48">
        <f>AJ96*AJ78</f>
        <v>1057.9372274980396</v>
      </c>
      <c r="AK95" s="48">
        <f>AK96*AK78</f>
        <v>1136.1501663867971</v>
      </c>
      <c r="AL95" s="49">
        <f>SUM(AH95:AK95)</f>
        <v>4098.2358267134168</v>
      </c>
      <c r="AM95" s="48">
        <f>AM96*AM78</f>
        <v>1150.1189438655122</v>
      </c>
      <c r="AN95" s="48">
        <f>AN96*AN78</f>
        <v>1036.4255203300206</v>
      </c>
      <c r="AO95" s="48">
        <f>AO96*AO78</f>
        <v>1187.7885202620555</v>
      </c>
      <c r="AP95" s="48">
        <f>AP96*AP78</f>
        <v>1257.6926583354141</v>
      </c>
      <c r="AQ95" s="49">
        <f>SUM(AM95:AP95)</f>
        <v>4632.0256427930026</v>
      </c>
      <c r="AR95" s="48">
        <f>AR96*AR78</f>
        <v>1239.9637848734521</v>
      </c>
      <c r="AS95" s="48">
        <f>AS96*AS78</f>
        <v>1116.8131539524211</v>
      </c>
      <c r="AT95" s="48">
        <f>AT96*AT78</f>
        <v>1279.2714894905262</v>
      </c>
      <c r="AU95" s="48">
        <f>AU96*AU78</f>
        <v>1353.8923372960007</v>
      </c>
      <c r="AV95" s="49">
        <f>SUM(AR95:AU95)</f>
        <v>4989.9407656124004</v>
      </c>
    </row>
    <row r="96" spans="1:48" s="184" customFormat="1" outlineLevel="1" x14ac:dyDescent="0.3">
      <c r="B96" s="181" t="s">
        <v>150</v>
      </c>
      <c r="C96" s="190"/>
      <c r="D96" s="167">
        <f t="shared" ref="D96:Y96" si="280">D95/D78</f>
        <v>0.47234175729598632</v>
      </c>
      <c r="E96" s="167">
        <f t="shared" si="280"/>
        <v>0.4722773789521918</v>
      </c>
      <c r="F96" s="167">
        <f t="shared" si="280"/>
        <v>0.45032525133057366</v>
      </c>
      <c r="G96" s="167">
        <f t="shared" si="280"/>
        <v>0.45390987157078799</v>
      </c>
      <c r="H96" s="186">
        <f t="shared" si="280"/>
        <v>0.46204482325634483</v>
      </c>
      <c r="I96" s="167">
        <f t="shared" si="280"/>
        <v>0.46354126899289916</v>
      </c>
      <c r="J96" s="167">
        <f t="shared" si="280"/>
        <v>0.62367021276595747</v>
      </c>
      <c r="K96" s="167">
        <f t="shared" si="280"/>
        <v>0.5521416333523701</v>
      </c>
      <c r="L96" s="167">
        <f t="shared" si="280"/>
        <v>0.47962720480628518</v>
      </c>
      <c r="M96" s="186">
        <f t="shared" si="280"/>
        <v>0.51893568024806769</v>
      </c>
      <c r="N96" s="167">
        <f t="shared" si="280"/>
        <v>0.43594367760282998</v>
      </c>
      <c r="O96" s="167">
        <f t="shared" si="280"/>
        <v>0.44789485087022463</v>
      </c>
      <c r="P96" s="167">
        <f t="shared" si="280"/>
        <v>0.4326379683248448</v>
      </c>
      <c r="Q96" s="167">
        <f t="shared" si="280"/>
        <v>0.43639751552795031</v>
      </c>
      <c r="R96" s="188">
        <f t="shared" si="280"/>
        <v>0.43808031074841985</v>
      </c>
      <c r="S96" s="167">
        <f t="shared" si="280"/>
        <v>0.46250745872836974</v>
      </c>
      <c r="T96" s="167">
        <f t="shared" si="280"/>
        <v>0.51424947776783048</v>
      </c>
      <c r="U96" s="167">
        <f t="shared" si="280"/>
        <v>0.54417964380968775</v>
      </c>
      <c r="V96" s="167">
        <f t="shared" si="280"/>
        <v>0.50521874306018211</v>
      </c>
      <c r="W96" s="188">
        <f>W95/W78</f>
        <v>0.50390719707566356</v>
      </c>
      <c r="X96" s="167">
        <f t="shared" si="280"/>
        <v>0.52263170912688595</v>
      </c>
      <c r="Y96" s="167">
        <f t="shared" si="280"/>
        <v>0.48899685624464134</v>
      </c>
      <c r="Z96" s="189">
        <f>U96-0.5%-2.5%</f>
        <v>0.51417964380968773</v>
      </c>
      <c r="AA96" s="189">
        <f>V96-0.5%-4%</f>
        <v>0.46021874306018212</v>
      </c>
      <c r="AB96" s="188">
        <f>AB95/AB78</f>
        <v>0.49365557974996888</v>
      </c>
      <c r="AC96" s="189">
        <f>X96</f>
        <v>0.52263170912688595</v>
      </c>
      <c r="AD96" s="189">
        <f>Y96-2%</f>
        <v>0.46899685624464132</v>
      </c>
      <c r="AE96" s="189">
        <f t="shared" ref="AE96:AF96" si="281">Z96</f>
        <v>0.51417964380968773</v>
      </c>
      <c r="AF96" s="189">
        <f t="shared" si="281"/>
        <v>0.46021874306018212</v>
      </c>
      <c r="AG96" s="188">
        <f>AG95/AG78</f>
        <v>0.48988430229042779</v>
      </c>
      <c r="AH96" s="189">
        <f>AC96-0.2%</f>
        <v>0.52063170912688594</v>
      </c>
      <c r="AI96" s="189">
        <f>AD96-0.2%</f>
        <v>0.46699685624464132</v>
      </c>
      <c r="AJ96" s="189">
        <f>AE96-2%</f>
        <v>0.49417964380968771</v>
      </c>
      <c r="AK96" s="189">
        <f>AF96-0.2%</f>
        <v>0.45821874306018212</v>
      </c>
      <c r="AL96" s="188">
        <f>AL95/AL78</f>
        <v>0.4833759769142128</v>
      </c>
      <c r="AM96" s="189">
        <f>AH96</f>
        <v>0.52063170912688594</v>
      </c>
      <c r="AN96" s="189">
        <f t="shared" ref="AN96:AP96" si="282">AI96</f>
        <v>0.46699685624464132</v>
      </c>
      <c r="AO96" s="189">
        <f t="shared" si="282"/>
        <v>0.49417964380968771</v>
      </c>
      <c r="AP96" s="189">
        <f t="shared" si="282"/>
        <v>0.45821874306018212</v>
      </c>
      <c r="AQ96" s="188">
        <f>AQ95/AQ78</f>
        <v>0.48367537390198606</v>
      </c>
      <c r="AR96" s="189">
        <f>AM96</f>
        <v>0.52063170912688594</v>
      </c>
      <c r="AS96" s="189">
        <f t="shared" ref="AS96:AU96" si="283">AN96</f>
        <v>0.46699685624464132</v>
      </c>
      <c r="AT96" s="189">
        <f t="shared" si="283"/>
        <v>0.49417964380968771</v>
      </c>
      <c r="AU96" s="189">
        <f t="shared" si="283"/>
        <v>0.45821874306018212</v>
      </c>
      <c r="AV96" s="188">
        <f>AV95/AV78</f>
        <v>0.48368571103977354</v>
      </c>
    </row>
    <row r="97" spans="1:48" outlineLevel="1" x14ac:dyDescent="0.3">
      <c r="B97" s="180" t="s">
        <v>33</v>
      </c>
      <c r="C97" s="18"/>
      <c r="D97" s="105">
        <v>31.3</v>
      </c>
      <c r="E97" s="105">
        <v>26.3</v>
      </c>
      <c r="F97" s="105">
        <v>26.7</v>
      </c>
      <c r="G97" s="105">
        <v>31.9</v>
      </c>
      <c r="H97" s="170">
        <f>SUM(D97:G97)</f>
        <v>116.19999999999999</v>
      </c>
      <c r="I97" s="105">
        <v>35.9</v>
      </c>
      <c r="J97" s="105">
        <v>31.8</v>
      </c>
      <c r="K97" s="105">
        <v>37.5</v>
      </c>
      <c r="L97" s="105">
        <v>39.9</v>
      </c>
      <c r="M97" s="170">
        <f>SUM(I97:L97)</f>
        <v>145.1</v>
      </c>
      <c r="N97" s="105">
        <v>34.299999999999997</v>
      </c>
      <c r="O97" s="105">
        <v>29.3</v>
      </c>
      <c r="P97" s="105">
        <v>38.299999999999997</v>
      </c>
      <c r="Q97" s="105">
        <v>39.799999999999997</v>
      </c>
      <c r="R97" s="49">
        <f>SUM(N97:Q97)</f>
        <v>141.69999999999999</v>
      </c>
      <c r="S97" s="48">
        <v>39.200000000000003</v>
      </c>
      <c r="T97" s="48">
        <v>39.5</v>
      </c>
      <c r="U97" s="48">
        <v>60.2</v>
      </c>
      <c r="V97" s="48">
        <v>52.4</v>
      </c>
      <c r="W97" s="49">
        <f>SUM(S97:V97)</f>
        <v>191.3</v>
      </c>
      <c r="X97" s="105">
        <v>50.7</v>
      </c>
      <c r="Y97" s="105">
        <v>49.9</v>
      </c>
      <c r="Z97" s="48">
        <f t="shared" ref="Z97:AA97" si="284">Z98*Z92</f>
        <v>68.889593222970078</v>
      </c>
      <c r="AA97" s="48">
        <f t="shared" si="284"/>
        <v>69.625824777458092</v>
      </c>
      <c r="AB97" s="49">
        <f>SUM(X97:AA97)</f>
        <v>239.11541800042818</v>
      </c>
      <c r="AC97" s="48">
        <f>AC98*AC92</f>
        <v>65.341006383787473</v>
      </c>
      <c r="AD97" s="48">
        <f>AD98*AD92</f>
        <v>58.86970262972315</v>
      </c>
      <c r="AE97" s="48">
        <f t="shared" ref="AE97:AF97" si="285">AE98*AE92</f>
        <v>68.87920038892625</v>
      </c>
      <c r="AF97" s="48">
        <f t="shared" si="285"/>
        <v>81.522380000368386</v>
      </c>
      <c r="AG97" s="49">
        <f>SUM(AC97:AF97)</f>
        <v>274.61228940280529</v>
      </c>
      <c r="AH97" s="48">
        <f>AH98*AH92</f>
        <v>71.180069776834515</v>
      </c>
      <c r="AI97" s="48">
        <f>AI98*AI92</f>
        <v>63.469352909006666</v>
      </c>
      <c r="AJ97" s="48">
        <f t="shared" ref="AJ97:AK97" si="286">AJ98*AJ92</f>
        <v>62.850670227567235</v>
      </c>
      <c r="AK97" s="48">
        <f t="shared" si="286"/>
        <v>88.174124475421237</v>
      </c>
      <c r="AL97" s="49">
        <f>SUM(AH97:AK97)</f>
        <v>285.67421738882967</v>
      </c>
      <c r="AM97" s="48">
        <f>AM98*AM92</f>
        <v>81.78215487529971</v>
      </c>
      <c r="AN97" s="48">
        <f>AN98*AN92</f>
        <v>71.858360495219074</v>
      </c>
      <c r="AO97" s="48">
        <f t="shared" ref="AO97:AP97" si="287">AO98*AO92</f>
        <v>70.105404251640508</v>
      </c>
      <c r="AP97" s="48">
        <f t="shared" si="287"/>
        <v>97.031288816937462</v>
      </c>
      <c r="AQ97" s="49">
        <f>SUM(AM97:AP97)</f>
        <v>320.77720843909674</v>
      </c>
      <c r="AR97" s="48">
        <f>AR98*AR92</f>
        <v>87.613740054753038</v>
      </c>
      <c r="AS97" s="48">
        <f>AS98*AS92</f>
        <v>76.966571707525247</v>
      </c>
      <c r="AT97" s="48">
        <f t="shared" ref="AT97:AU97" si="288">AT98*AT92</f>
        <v>75.028452288817576</v>
      </c>
      <c r="AU97" s="48">
        <f t="shared" si="288"/>
        <v>103.86673191044778</v>
      </c>
      <c r="AV97" s="49">
        <f>SUM(AR97:AU97)</f>
        <v>343.47549596154363</v>
      </c>
    </row>
    <row r="98" spans="1:48" s="184" customFormat="1" outlineLevel="1" x14ac:dyDescent="0.3">
      <c r="B98" s="181" t="s">
        <v>152</v>
      </c>
      <c r="C98" s="190"/>
      <c r="D98" s="167">
        <f>D97/D92</f>
        <v>2.0811170212765958E-2</v>
      </c>
      <c r="E98" s="167">
        <f t="shared" ref="E98:Y98" si="289">E97/E92</f>
        <v>1.7196286125277887E-2</v>
      </c>
      <c r="F98" s="167">
        <f t="shared" si="289"/>
        <v>1.6842238062196431E-2</v>
      </c>
      <c r="G98" s="167">
        <f t="shared" si="289"/>
        <v>2.0291330068061827E-2</v>
      </c>
      <c r="H98" s="186">
        <f t="shared" si="289"/>
        <v>1.8769787426503842E-2</v>
      </c>
      <c r="I98" s="167">
        <f t="shared" si="289"/>
        <v>2.2850232321303544E-2</v>
      </c>
      <c r="J98" s="167">
        <f t="shared" si="289"/>
        <v>2.8027498677948178E-2</v>
      </c>
      <c r="K98" s="167">
        <f t="shared" si="289"/>
        <v>3.9490311710193765E-2</v>
      </c>
      <c r="L98" s="167">
        <f t="shared" si="289"/>
        <v>2.6401111625752663E-2</v>
      </c>
      <c r="M98" s="186">
        <f t="shared" si="289"/>
        <v>2.8084233344946388E-2</v>
      </c>
      <c r="N98" s="167">
        <f t="shared" si="289"/>
        <v>2.0733845130871061E-2</v>
      </c>
      <c r="O98" s="167">
        <f t="shared" si="289"/>
        <v>1.8188590229064498E-2</v>
      </c>
      <c r="P98" s="167">
        <f t="shared" si="289"/>
        <v>2.3094548962855763E-2</v>
      </c>
      <c r="Q98" s="167">
        <f t="shared" si="289"/>
        <v>2.0787631881332914E-2</v>
      </c>
      <c r="R98" s="188">
        <f t="shared" si="289"/>
        <v>2.0721827381474659E-2</v>
      </c>
      <c r="S98" s="167">
        <f t="shared" si="289"/>
        <v>2.0896636281251667E-2</v>
      </c>
      <c r="T98" s="167">
        <f t="shared" si="289"/>
        <v>2.3202537593984961E-2</v>
      </c>
      <c r="U98" s="167">
        <f t="shared" si="289"/>
        <v>3.7988262762668014E-2</v>
      </c>
      <c r="V98" s="167">
        <f t="shared" si="289"/>
        <v>2.948790095666854E-2</v>
      </c>
      <c r="W98" s="188">
        <f t="shared" si="289"/>
        <v>2.7564841498559079E-2</v>
      </c>
      <c r="X98" s="167">
        <f t="shared" si="289"/>
        <v>3.0176775191952859E-2</v>
      </c>
      <c r="Y98" s="167">
        <f t="shared" si="289"/>
        <v>2.6903170153116239E-2</v>
      </c>
      <c r="Z98" s="189">
        <f>U98-0.5%</f>
        <v>3.2988262762668016E-2</v>
      </c>
      <c r="AA98" s="189">
        <f t="shared" ref="AA98" si="290">V98</f>
        <v>2.948790095666854E-2</v>
      </c>
      <c r="AB98" s="188">
        <f t="shared" ref="AB98" si="291">AB97/AB92</f>
        <v>2.9947930387464645E-2</v>
      </c>
      <c r="AC98" s="189">
        <f>X98</f>
        <v>3.0176775191952859E-2</v>
      </c>
      <c r="AD98" s="189">
        <f t="shared" ref="AD98" si="292">Y98</f>
        <v>2.6903170153116239E-2</v>
      </c>
      <c r="AE98" s="189">
        <f>Z98-0.5%</f>
        <v>2.7988262762668015E-2</v>
      </c>
      <c r="AF98" s="189">
        <f t="shared" ref="AF98" si="293">AA98</f>
        <v>2.948790095666854E-2</v>
      </c>
      <c r="AG98" s="188">
        <f t="shared" ref="AG98" si="294">AG97/AG92</f>
        <v>2.8667892074692187E-2</v>
      </c>
      <c r="AH98" s="189">
        <f>AC98-0.2%</f>
        <v>2.8176775191952858E-2</v>
      </c>
      <c r="AI98" s="189">
        <f>AD98-0.2%</f>
        <v>2.4903170153116237E-2</v>
      </c>
      <c r="AJ98" s="189">
        <f>AE98-0.6%</f>
        <v>2.1988262762668014E-2</v>
      </c>
      <c r="AK98" s="189">
        <f>AF98-0.2%</f>
        <v>2.7487900956668539E-2</v>
      </c>
      <c r="AL98" s="188">
        <f t="shared" ref="AL98" si="295">AL97/AL92</f>
        <v>2.5641798460628307E-2</v>
      </c>
      <c r="AM98" s="189">
        <f>AH98</f>
        <v>2.8176775191952858E-2</v>
      </c>
      <c r="AN98" s="189">
        <f t="shared" ref="AN98:AP98" si="296">AI98</f>
        <v>2.4903170153116237E-2</v>
      </c>
      <c r="AO98" s="189">
        <f t="shared" si="296"/>
        <v>2.1988262762668014E-2</v>
      </c>
      <c r="AP98" s="189">
        <f t="shared" si="296"/>
        <v>2.7487900956668539E-2</v>
      </c>
      <c r="AQ98" s="188">
        <f t="shared" ref="AQ98" si="297">AQ97/AQ92</f>
        <v>2.5649349497518972E-2</v>
      </c>
      <c r="AR98" s="189">
        <f>AM98</f>
        <v>2.8176775191952858E-2</v>
      </c>
      <c r="AS98" s="189">
        <f t="shared" ref="AS98:AU98" si="298">AN98</f>
        <v>2.4903170153116237E-2</v>
      </c>
      <c r="AT98" s="189">
        <f t="shared" si="298"/>
        <v>2.1988262762668014E-2</v>
      </c>
      <c r="AU98" s="189">
        <f t="shared" si="298"/>
        <v>2.7487900956668539E-2</v>
      </c>
      <c r="AV98" s="188">
        <f t="shared" ref="AV98" si="299">AV97/AV92</f>
        <v>2.5649911519356854E-2</v>
      </c>
    </row>
    <row r="99" spans="1:48" outlineLevel="1" x14ac:dyDescent="0.3">
      <c r="B99" s="180" t="s">
        <v>34</v>
      </c>
      <c r="C99" s="18"/>
      <c r="D99" s="358">
        <v>127</v>
      </c>
      <c r="E99" s="358">
        <v>130.4</v>
      </c>
      <c r="F99" s="358">
        <v>127.7</v>
      </c>
      <c r="G99" s="358">
        <v>126.5</v>
      </c>
      <c r="H99" s="126">
        <f>SUM(D99:G99)</f>
        <v>511.59999999999997</v>
      </c>
      <c r="I99" s="358">
        <v>126.6</v>
      </c>
      <c r="J99" s="358">
        <v>130</v>
      </c>
      <c r="K99" s="358">
        <v>128.5</v>
      </c>
      <c r="L99" s="358">
        <v>133.1</v>
      </c>
      <c r="M99" s="126">
        <f>SUM(I99:L99)</f>
        <v>518.20000000000005</v>
      </c>
      <c r="N99" s="358">
        <v>140</v>
      </c>
      <c r="O99" s="358">
        <v>143.4</v>
      </c>
      <c r="P99" s="358">
        <v>129.69999999999999</v>
      </c>
      <c r="Q99" s="358">
        <v>131.6</v>
      </c>
      <c r="R99" s="126">
        <f>SUM(N99:Q99)</f>
        <v>544.69999999999993</v>
      </c>
      <c r="S99" s="358">
        <v>133.1</v>
      </c>
      <c r="T99" s="358">
        <v>133.4</v>
      </c>
      <c r="U99" s="358">
        <v>125</v>
      </c>
      <c r="V99" s="358">
        <v>121.5</v>
      </c>
      <c r="W99" s="126">
        <f>SUM(S99:V99)</f>
        <v>513</v>
      </c>
      <c r="X99" s="358">
        <v>81.5</v>
      </c>
      <c r="Y99" s="358">
        <v>86.3</v>
      </c>
      <c r="Z99" s="358">
        <f>(Y99/(Y66+Y99+Y114+Y127))*'CFS (Base)'!Z7*0.95</f>
        <v>90.610868358535981</v>
      </c>
      <c r="AA99" s="358">
        <f>(Z99/(Z66+Z99+Z114+Z127))*'CFS (Base)'!AA7*0.95</f>
        <v>93.182712493719322</v>
      </c>
      <c r="AB99" s="126">
        <f>SUM(X99:AA99)</f>
        <v>351.59358085225529</v>
      </c>
      <c r="AC99" s="358">
        <f>(AA99/(AA66+AA99+AA114+AA127))*'CFS (Base)'!AC7*0.95</f>
        <v>97.244438962862603</v>
      </c>
      <c r="AD99" s="358">
        <f>(AC99/(AC66+AC99+AC114+AC127))*'CFS (Base)'!AD7*0.95</f>
        <v>101.67893684667533</v>
      </c>
      <c r="AE99" s="358">
        <f>(AD99/(AD66+AD99+AD114+AD127))*'CFS (Base)'!AE7*0.95</f>
        <v>105.09612349598081</v>
      </c>
      <c r="AF99" s="358">
        <f>(AE99/(AE66+AE99+AE114+AE127))*'CFS (Base)'!AF7*0.95</f>
        <v>108.10316370830823</v>
      </c>
      <c r="AG99" s="126">
        <f>SUM(AC99:AF99)</f>
        <v>412.12266301382692</v>
      </c>
      <c r="AH99" s="358">
        <f>(AF99/(AF66+AF99+AF114+AF127))*'CFS (Base)'!AH7*0.95</f>
        <v>111.57022553280441</v>
      </c>
      <c r="AI99" s="358">
        <f>(AH99/(AH66+AH99+AH114+AH127))*'CFS (Base)'!AI7*0.95</f>
        <v>114.49125310611291</v>
      </c>
      <c r="AJ99" s="358">
        <f>(AI99/(AI66+AI99+AI114+AI127))*'CFS (Base)'!AJ7*0.95</f>
        <v>116.90996274115282</v>
      </c>
      <c r="AK99" s="358">
        <f>(AJ99/(AJ66+AJ99+AJ114+AJ127))*'CFS (Base)'!AK7*0.95</f>
        <v>119.70084850197817</v>
      </c>
      <c r="AL99" s="126">
        <f>SUM(AH99:AK99)</f>
        <v>462.67228988204829</v>
      </c>
      <c r="AM99" s="358">
        <f>(AK99/(AK66+AK99+AK114+AK127))*'CFS (Base)'!AM7*0.95</f>
        <v>122.58082383554677</v>
      </c>
      <c r="AN99" s="358">
        <f>(AM99/(AM66+AM99+AM114+AM127))*'CFS (Base)'!AN7*0.95</f>
        <v>125.59631467566417</v>
      </c>
      <c r="AO99" s="358">
        <f>(AN99/(AN66+AN99+AN114+AN127))*'CFS (Base)'!AO7*0.95</f>
        <v>128.2229550866586</v>
      </c>
      <c r="AP99" s="358">
        <f>(AO99/(AO66+AO99+AO114+AO127))*'CFS (Base)'!AP7*0.95</f>
        <v>131.31442715628896</v>
      </c>
      <c r="AQ99" s="126">
        <f>SUM(AM99:AP99)</f>
        <v>507.71452075415851</v>
      </c>
      <c r="AR99" s="358">
        <f>(AP99/(AP66+AP99+AP114+AP127))*'CFS (Base)'!AR7*0.95</f>
        <v>134.35684909052935</v>
      </c>
      <c r="AS99" s="358">
        <f>(AR99/(AR66+AR99+AR114+AR127))*'CFS (Base)'!AS7*0.95</f>
        <v>137.32149108259821</v>
      </c>
      <c r="AT99" s="358">
        <f>(AS99/(AS66+AS99+AS114+AS127))*'CFS (Base)'!AT7*0.95</f>
        <v>139.92574367880491</v>
      </c>
      <c r="AU99" s="358">
        <f>(AT99/(AT66+AT99+AT114+AT127))*'CFS (Base)'!AU7*0.95</f>
        <v>143.03665619526762</v>
      </c>
      <c r="AV99" s="126">
        <f>SUM(AR99:AU99)</f>
        <v>554.6407400472001</v>
      </c>
    </row>
    <row r="100" spans="1:48" outlineLevel="1" x14ac:dyDescent="0.3">
      <c r="B100" s="180" t="s">
        <v>35</v>
      </c>
      <c r="C100" s="18"/>
      <c r="D100" s="105">
        <v>69.3</v>
      </c>
      <c r="E100" s="105">
        <v>80.2</v>
      </c>
      <c r="F100" s="105">
        <v>86</v>
      </c>
      <c r="G100" s="105">
        <v>82.4</v>
      </c>
      <c r="H100" s="170">
        <f>SUM(D100:G100)</f>
        <v>317.89999999999998</v>
      </c>
      <c r="I100" s="105">
        <v>67.2</v>
      </c>
      <c r="J100" s="105">
        <v>63.7</v>
      </c>
      <c r="K100" s="105">
        <v>66.099999999999994</v>
      </c>
      <c r="L100" s="105">
        <v>84.5</v>
      </c>
      <c r="M100" s="170">
        <f>SUM(I100:L100)</f>
        <v>281.5</v>
      </c>
      <c r="N100" s="105">
        <v>82.6</v>
      </c>
      <c r="O100" s="105">
        <v>79.8</v>
      </c>
      <c r="P100" s="105">
        <v>92.3</v>
      </c>
      <c r="Q100" s="105">
        <v>98.4</v>
      </c>
      <c r="R100" s="49">
        <f>SUM(N100:Q100)</f>
        <v>353.1</v>
      </c>
      <c r="S100" s="48">
        <v>91.3</v>
      </c>
      <c r="T100" s="48">
        <v>79.599999999999994</v>
      </c>
      <c r="U100" s="48">
        <v>81.8</v>
      </c>
      <c r="V100" s="48">
        <v>92.6</v>
      </c>
      <c r="W100" s="49">
        <f>SUM(S100:V100)</f>
        <v>345.29999999999995</v>
      </c>
      <c r="X100" s="105">
        <v>80.5</v>
      </c>
      <c r="Y100" s="105">
        <v>87.4</v>
      </c>
      <c r="Z100" s="48">
        <f t="shared" ref="Z100:AA100" si="300">Z101*Z92</f>
        <v>97.353916840965795</v>
      </c>
      <c r="AA100" s="48">
        <f t="shared" si="300"/>
        <v>111.23522750467374</v>
      </c>
      <c r="AB100" s="49">
        <f>SUM(X100:AA100)</f>
        <v>376.48914434563955</v>
      </c>
      <c r="AC100" s="48">
        <f>AC101*AC92</f>
        <v>97.250744367232471</v>
      </c>
      <c r="AD100" s="48">
        <f>AD101*AD92</f>
        <v>103.11046111899407</v>
      </c>
      <c r="AE100" s="48">
        <f t="shared" ref="AE100:AF100" si="301">AE101*AE92</f>
        <v>114.72852450865803</v>
      </c>
      <c r="AF100" s="48">
        <f t="shared" si="301"/>
        <v>130.24133667425266</v>
      </c>
      <c r="AG100" s="49">
        <f>SUM(AC100:AF100)</f>
        <v>445.33106666913727</v>
      </c>
      <c r="AH100" s="48">
        <f>AH101*AH92</f>
        <v>108.40872671356615</v>
      </c>
      <c r="AI100" s="48">
        <f>AI101*AI92</f>
        <v>114.99739194066153</v>
      </c>
      <c r="AJ100" s="48">
        <f t="shared" ref="AJ100:AK100" si="302">AJ101*AJ92</f>
        <v>127.53663745659664</v>
      </c>
      <c r="AK100" s="48">
        <f t="shared" si="302"/>
        <v>144.70224771883557</v>
      </c>
      <c r="AL100" s="49">
        <f>SUM(AH100:AK100)</f>
        <v>495.64500382965986</v>
      </c>
      <c r="AM100" s="48">
        <f>AM101*AM92</f>
        <v>124.55592282670544</v>
      </c>
      <c r="AN100" s="48">
        <f>AN101*AN92</f>
        <v>130.19707413638079</v>
      </c>
      <c r="AO100" s="48">
        <f t="shared" ref="AO100:AP100" si="303">AO101*AO92</f>
        <v>142.25795036737676</v>
      </c>
      <c r="AP100" s="48">
        <f t="shared" si="303"/>
        <v>159.23770918508217</v>
      </c>
      <c r="AQ100" s="49">
        <f>SUM(AM100:AP100)</f>
        <v>556.24865651554512</v>
      </c>
      <c r="AR100" s="48">
        <f>AR101*AR92</f>
        <v>133.4375483436277</v>
      </c>
      <c r="AS100" s="48">
        <f>AS101*AS92</f>
        <v>139.45242242612042</v>
      </c>
      <c r="AT100" s="48">
        <f t="shared" ref="AT100:AU100" si="304">AT101*AT92</f>
        <v>152.24780394293128</v>
      </c>
      <c r="AU100" s="48">
        <f t="shared" si="304"/>
        <v>170.45533097230901</v>
      </c>
      <c r="AV100" s="49">
        <f>SUM(AR100:AU100)</f>
        <v>595.59310568498836</v>
      </c>
    </row>
    <row r="101" spans="1:48" s="184" customFormat="1" outlineLevel="1" x14ac:dyDescent="0.3">
      <c r="B101" s="181" t="s">
        <v>153</v>
      </c>
      <c r="C101" s="190"/>
      <c r="D101" s="167">
        <f>D100/D92</f>
        <v>4.6077127659574467E-2</v>
      </c>
      <c r="E101" s="167">
        <f t="shared" ref="E101:Y101" si="305">E100/E92</f>
        <v>5.2438864914345497E-2</v>
      </c>
      <c r="F101" s="167">
        <f t="shared" si="305"/>
        <v>5.4248407241531571E-2</v>
      </c>
      <c r="G101" s="167">
        <f t="shared" si="305"/>
        <v>5.2413968577062528E-2</v>
      </c>
      <c r="H101" s="186">
        <f t="shared" si="305"/>
        <v>5.1350390902629703E-2</v>
      </c>
      <c r="I101" s="167">
        <f t="shared" si="305"/>
        <v>4.277257972121444E-2</v>
      </c>
      <c r="J101" s="167">
        <f t="shared" si="305"/>
        <v>5.6143134144191795E-2</v>
      </c>
      <c r="K101" s="167">
        <f t="shared" si="305"/>
        <v>6.9608256107834873E-2</v>
      </c>
      <c r="L101" s="167">
        <f t="shared" si="305"/>
        <v>5.5912128630979954E-2</v>
      </c>
      <c r="M101" s="186">
        <f t="shared" si="305"/>
        <v>5.4484573994503162E-2</v>
      </c>
      <c r="N101" s="167">
        <f t="shared" si="305"/>
        <v>4.9930484192709908E-2</v>
      </c>
      <c r="O101" s="167">
        <f t="shared" si="305"/>
        <v>4.9537525606803648E-2</v>
      </c>
      <c r="P101" s="167">
        <f t="shared" si="305"/>
        <v>5.5656054027978775E-2</v>
      </c>
      <c r="Q101" s="167">
        <f t="shared" si="305"/>
        <v>5.139454716389847E-2</v>
      </c>
      <c r="R101" s="188">
        <f t="shared" si="305"/>
        <v>5.1636395542686682E-2</v>
      </c>
      <c r="S101" s="167">
        <f t="shared" si="305"/>
        <v>4.8669971746894823E-2</v>
      </c>
      <c r="T101" s="167">
        <f t="shared" si="305"/>
        <v>4.6757518796992477E-2</v>
      </c>
      <c r="U101" s="167">
        <f t="shared" si="305"/>
        <v>5.1618602890136929E-2</v>
      </c>
      <c r="V101" s="167">
        <f t="shared" si="305"/>
        <v>5.211029825548677E-2</v>
      </c>
      <c r="W101" s="188">
        <f t="shared" si="305"/>
        <v>4.9755043227665698E-2</v>
      </c>
      <c r="X101" s="167">
        <f t="shared" si="305"/>
        <v>4.7913814653889643E-2</v>
      </c>
      <c r="Y101" s="167">
        <f t="shared" si="305"/>
        <v>4.7120983394436065E-2</v>
      </c>
      <c r="Z101" s="189">
        <f>U101-0.5%</f>
        <v>4.6618602890136931E-2</v>
      </c>
      <c r="AA101" s="189">
        <f>V101-0.5%</f>
        <v>4.7110298255486772E-2</v>
      </c>
      <c r="AB101" s="188">
        <f t="shared" ref="AB101" si="306">AB100/AB92</f>
        <v>4.7153256702498168E-2</v>
      </c>
      <c r="AC101" s="189">
        <f>X101-0.3%</f>
        <v>4.491381465388964E-2</v>
      </c>
      <c r="AD101" s="189">
        <f t="shared" ref="AD101:AF101" si="307">Y101</f>
        <v>4.7120983394436065E-2</v>
      </c>
      <c r="AE101" s="189">
        <f t="shared" si="307"/>
        <v>4.6618602890136931E-2</v>
      </c>
      <c r="AF101" s="189">
        <f t="shared" si="307"/>
        <v>4.7110298255486772E-2</v>
      </c>
      <c r="AG101" s="188">
        <f t="shared" ref="AG101" si="308">AG100/AG92</f>
        <v>4.6489918512175515E-2</v>
      </c>
      <c r="AH101" s="189">
        <f>AC101-0.2%</f>
        <v>4.2913814653889638E-2</v>
      </c>
      <c r="AI101" s="189">
        <f>AD101-0.2%</f>
        <v>4.5120983394436064E-2</v>
      </c>
      <c r="AJ101" s="189">
        <f>AE101-0.2%</f>
        <v>4.461860289013693E-2</v>
      </c>
      <c r="AK101" s="189">
        <f>AF101-0.2%</f>
        <v>4.5110298255486771E-2</v>
      </c>
      <c r="AL101" s="188">
        <f t="shared" ref="AL101" si="309">AL100/AL92</f>
        <v>4.4488541571530822E-2</v>
      </c>
      <c r="AM101" s="189">
        <f>AH101</f>
        <v>4.2913814653889638E-2</v>
      </c>
      <c r="AN101" s="189">
        <f t="shared" ref="AN101:AP101" si="310">AI101</f>
        <v>4.5120983394436064E-2</v>
      </c>
      <c r="AO101" s="189">
        <f t="shared" si="310"/>
        <v>4.461860289013693E-2</v>
      </c>
      <c r="AP101" s="189">
        <f t="shared" si="310"/>
        <v>4.5110298255486771E-2</v>
      </c>
      <c r="AQ101" s="188">
        <f t="shared" ref="AQ101" si="311">AQ100/AQ92</f>
        <v>4.447764935644246E-2</v>
      </c>
      <c r="AR101" s="189">
        <f>AM101</f>
        <v>4.2913814653889638E-2</v>
      </c>
      <c r="AS101" s="189">
        <f t="shared" ref="AS101:AU101" si="312">AN101</f>
        <v>4.5120983394436064E-2</v>
      </c>
      <c r="AT101" s="189">
        <f t="shared" si="312"/>
        <v>4.461860289013693E-2</v>
      </c>
      <c r="AU101" s="189">
        <f t="shared" si="312"/>
        <v>4.5110298255486771E-2</v>
      </c>
      <c r="AV101" s="188">
        <f t="shared" ref="AV101" si="313">AV100/AV92</f>
        <v>4.4477439124418199E-2</v>
      </c>
    </row>
    <row r="102" spans="1:48" ht="16.2" outlineLevel="1" x14ac:dyDescent="0.45">
      <c r="B102" s="180" t="s">
        <v>42</v>
      </c>
      <c r="C102" s="18"/>
      <c r="D102" s="119">
        <v>6.4</v>
      </c>
      <c r="E102" s="119">
        <v>24.2</v>
      </c>
      <c r="F102" s="119">
        <v>16.600000000000001</v>
      </c>
      <c r="G102" s="119">
        <v>12</v>
      </c>
      <c r="H102" s="131">
        <f>SUM(D102:G102)</f>
        <v>59.2</v>
      </c>
      <c r="I102" s="119">
        <v>0.8</v>
      </c>
      <c r="J102" s="119">
        <v>-1.2</v>
      </c>
      <c r="K102" s="119">
        <v>-0.2</v>
      </c>
      <c r="L102" s="119">
        <v>-0.6</v>
      </c>
      <c r="M102" s="131">
        <f>SUM(I102:L102)</f>
        <v>-1.1999999999999997</v>
      </c>
      <c r="N102" s="119">
        <v>0</v>
      </c>
      <c r="O102" s="119">
        <v>0</v>
      </c>
      <c r="P102" s="119">
        <v>0</v>
      </c>
      <c r="Q102" s="119">
        <v>0</v>
      </c>
      <c r="R102" s="131">
        <f>SUM(N102:Q102)</f>
        <v>0</v>
      </c>
      <c r="S102" s="119">
        <v>0</v>
      </c>
      <c r="T102" s="119">
        <v>0</v>
      </c>
      <c r="U102" s="119">
        <v>0</v>
      </c>
      <c r="V102" s="119">
        <f>IFERROR((V163*(U102/U163)),0)</f>
        <v>0</v>
      </c>
      <c r="W102" s="131">
        <f>SUM(S102:V102)</f>
        <v>0</v>
      </c>
      <c r="X102" s="119">
        <f>IFERROR((X163*(V102/V163)),0)</f>
        <v>0</v>
      </c>
      <c r="Y102" s="119">
        <f t="shared" ref="Y102:AA102" si="314">IFERROR((Y163*(X102/X163)),0)</f>
        <v>0</v>
      </c>
      <c r="Z102" s="119">
        <f>IFERROR((Z163*(X102/X163)),0)</f>
        <v>0</v>
      </c>
      <c r="AA102" s="119">
        <f t="shared" si="314"/>
        <v>0</v>
      </c>
      <c r="AB102" s="131">
        <f>SUM(X102:AA102)</f>
        <v>0</v>
      </c>
      <c r="AC102" s="119">
        <f>IFERROR((AC163*(AA102/AA163)),0)</f>
        <v>0</v>
      </c>
      <c r="AD102" s="119">
        <f t="shared" ref="AD102:AF102" si="315">IFERROR((AD163*(AC102/AC163)),0)</f>
        <v>0</v>
      </c>
      <c r="AE102" s="119">
        <f t="shared" si="315"/>
        <v>0</v>
      </c>
      <c r="AF102" s="119">
        <f t="shared" si="315"/>
        <v>0</v>
      </c>
      <c r="AG102" s="131">
        <f>SUM(AC102:AF102)</f>
        <v>0</v>
      </c>
      <c r="AH102" s="119">
        <f>IFERROR((AH163*(AF102/AF163)),0)</f>
        <v>0</v>
      </c>
      <c r="AI102" s="119">
        <f t="shared" ref="AI102:AK102" si="316">IFERROR((AI163*(AH102/AH163)),0)</f>
        <v>0</v>
      </c>
      <c r="AJ102" s="119">
        <f t="shared" si="316"/>
        <v>0</v>
      </c>
      <c r="AK102" s="119">
        <f t="shared" si="316"/>
        <v>0</v>
      </c>
      <c r="AL102" s="131">
        <f>SUM(AH102:AK102)</f>
        <v>0</v>
      </c>
      <c r="AM102" s="119">
        <f>IFERROR((AM163*(AK102/AK163)),0)</f>
        <v>0</v>
      </c>
      <c r="AN102" s="119">
        <f t="shared" ref="AN102:AP102" si="317">IFERROR((AN163*(AM102/AM163)),0)</f>
        <v>0</v>
      </c>
      <c r="AO102" s="119">
        <f t="shared" si="317"/>
        <v>0</v>
      </c>
      <c r="AP102" s="119">
        <f t="shared" si="317"/>
        <v>0</v>
      </c>
      <c r="AQ102" s="131">
        <f>SUM(AM102:AP102)</f>
        <v>0</v>
      </c>
      <c r="AR102" s="119">
        <f>IFERROR((AR163*(AP102/AP163)),0)</f>
        <v>0</v>
      </c>
      <c r="AS102" s="119">
        <f t="shared" ref="AS102:AU102" si="318">IFERROR((AS163*(AR102/AR163)),0)</f>
        <v>0</v>
      </c>
      <c r="AT102" s="119">
        <f t="shared" si="318"/>
        <v>0</v>
      </c>
      <c r="AU102" s="119">
        <f t="shared" si="318"/>
        <v>0</v>
      </c>
      <c r="AV102" s="131">
        <f>SUM(AR102:AU102)</f>
        <v>0</v>
      </c>
    </row>
    <row r="103" spans="1:48" outlineLevel="1" x14ac:dyDescent="0.3">
      <c r="B103" s="46" t="s">
        <v>123</v>
      </c>
      <c r="C103" s="19"/>
      <c r="D103" s="103">
        <f>D93+D95+D97+D99+D100+D102</f>
        <v>1300.4000000000001</v>
      </c>
      <c r="E103" s="103">
        <f t="shared" ref="E103:G103" si="319">E93+E95+E97+E99+E100+E102</f>
        <v>1349.7</v>
      </c>
      <c r="F103" s="103">
        <f t="shared" si="319"/>
        <v>1342.3000000000002</v>
      </c>
      <c r="G103" s="103">
        <f t="shared" si="319"/>
        <v>1336.2000000000003</v>
      </c>
      <c r="H103" s="171">
        <f>H93+H95+H97+H99+H100+H102</f>
        <v>5328.5999999999995</v>
      </c>
      <c r="I103" s="103">
        <f>I93+I95+I97+I99+I100+I102</f>
        <v>1326.1</v>
      </c>
      <c r="J103" s="103">
        <f t="shared" ref="J103:L103" si="320">J93+J95+J97+J99+J100+J102</f>
        <v>1174.8</v>
      </c>
      <c r="K103" s="103">
        <f t="shared" si="320"/>
        <v>1052.9999999999998</v>
      </c>
      <c r="L103" s="103">
        <f t="shared" si="320"/>
        <v>1358.8000000000002</v>
      </c>
      <c r="M103" s="171">
        <f>M93+M95+M97+M99+M100+M102</f>
        <v>4912.7000000000007</v>
      </c>
      <c r="N103" s="103">
        <f>N93+N95+N97+N99+N100+N102</f>
        <v>1405.8</v>
      </c>
      <c r="O103" s="103">
        <f t="shared" ref="O103:P103" si="321">O93+O95+O97+O99+O100+O102</f>
        <v>1386.2</v>
      </c>
      <c r="P103" s="103">
        <f t="shared" si="321"/>
        <v>1382.1</v>
      </c>
      <c r="Q103" s="103">
        <f>Q93+Q95+Q97+Q99+Q100+Q102</f>
        <v>1577.5</v>
      </c>
      <c r="R103" s="171">
        <f>R93+R95+R97+R99+R100+R102</f>
        <v>5751.6</v>
      </c>
      <c r="S103" s="103">
        <f>S93+S95+S97+S99+S100+S102</f>
        <v>1577</v>
      </c>
      <c r="T103" s="103">
        <f t="shared" ref="T103:V103" si="322">T93+T95+T97+T99+T100+T102</f>
        <v>1522.3</v>
      </c>
      <c r="U103" s="103">
        <f t="shared" si="322"/>
        <v>1449.8</v>
      </c>
      <c r="V103" s="103">
        <f t="shared" si="322"/>
        <v>1560</v>
      </c>
      <c r="W103" s="171">
        <f>W93+W95+W97+W99+W100+W102</f>
        <v>6109.1</v>
      </c>
      <c r="X103" s="103">
        <f>X93+X95+X97+X99+X100+X102</f>
        <v>1440.2</v>
      </c>
      <c r="Y103" s="103">
        <f t="shared" ref="Y103:AA103" si="323">Y93+Y95+Y97+Y99+Y100+Y102</f>
        <v>1540.9</v>
      </c>
      <c r="Z103" s="103">
        <f t="shared" si="323"/>
        <v>1712.0833073973711</v>
      </c>
      <c r="AA103" s="103">
        <f t="shared" si="323"/>
        <v>1809.1429066867238</v>
      </c>
      <c r="AB103" s="171">
        <f>AB93+AB95+AB97+AB99+AB100+AB102</f>
        <v>6502.3262140840952</v>
      </c>
      <c r="AC103" s="103">
        <f>AC93+AC95+AC97+AC99+AC100+AC102</f>
        <v>1832.0277767321841</v>
      </c>
      <c r="AD103" s="103">
        <f t="shared" ref="AD103:AF103" si="324">AD93+AD95+AD97+AD99+AD100+AD102</f>
        <v>1746.5854441546044</v>
      </c>
      <c r="AE103" s="103">
        <f t="shared" si="324"/>
        <v>2011.0411902246003</v>
      </c>
      <c r="AF103" s="103">
        <f t="shared" si="324"/>
        <v>2124.0097479074429</v>
      </c>
      <c r="AG103" s="171">
        <f>AG93+AG95+AG97+AG99+AG100+AG102</f>
        <v>7713.6641590188301</v>
      </c>
      <c r="AH103" s="103">
        <f>AH93+AH95+AH97+AH99+AH100+AH102</f>
        <v>2122.5063437232498</v>
      </c>
      <c r="AI103" s="103">
        <f t="shared" ref="AI103:AK103" si="325">AI93+AI95+AI97+AI99+AI100+AI102</f>
        <v>2016.3047654855059</v>
      </c>
      <c r="AJ103" s="103">
        <f t="shared" si="325"/>
        <v>2243.4931058604143</v>
      </c>
      <c r="AK103" s="103">
        <f t="shared" si="325"/>
        <v>2440.9072043130955</v>
      </c>
      <c r="AL103" s="171">
        <f>AL93+AL95+AL97+AL99+AL100+AL102</f>
        <v>8823.2114193822672</v>
      </c>
      <c r="AM103" s="103">
        <f>AM93+AM95+AM97+AM99+AM100+AM102</f>
        <v>2440.6608089357801</v>
      </c>
      <c r="AN103" s="103">
        <f t="shared" ref="AN103:AP103" si="326">AN93+AN95+AN97+AN99+AN100+AN102</f>
        <v>2285.1979536408967</v>
      </c>
      <c r="AO103" s="103">
        <f t="shared" si="326"/>
        <v>2508.0091683761821</v>
      </c>
      <c r="AP103" s="103">
        <f t="shared" si="326"/>
        <v>2693.1031574905082</v>
      </c>
      <c r="AQ103" s="171">
        <f>AQ93+AQ95+AQ97+AQ99+AQ100+AQ102</f>
        <v>9926.9710884433662</v>
      </c>
      <c r="AR103" s="103">
        <f>AR93+AR95+AR97+AR99+AR100+AR102</f>
        <v>2625.5646885728161</v>
      </c>
      <c r="AS103" s="103">
        <f t="shared" ref="AS103:AU103" si="327">AS93+AS95+AS97+AS99+AS100+AS102</f>
        <v>2457.1542335610961</v>
      </c>
      <c r="AT103" s="103">
        <f t="shared" si="327"/>
        <v>2694.9011962856862</v>
      </c>
      <c r="AU103" s="103">
        <f t="shared" si="327"/>
        <v>2892.8931072042865</v>
      </c>
      <c r="AV103" s="171">
        <f>AV93+AV95+AV97+AV99+AV100+AV102</f>
        <v>10670.513225623883</v>
      </c>
    </row>
    <row r="104" spans="1:48" ht="16.2" outlineLevel="1" x14ac:dyDescent="0.45">
      <c r="B104" s="180" t="s">
        <v>36</v>
      </c>
      <c r="C104" s="18"/>
      <c r="D104" s="119">
        <v>26.4</v>
      </c>
      <c r="E104" s="104">
        <v>22.1</v>
      </c>
      <c r="F104" s="104">
        <v>27.2</v>
      </c>
      <c r="G104" s="104">
        <v>26.8</v>
      </c>
      <c r="H104" s="214">
        <f>SUM(D104:G104)</f>
        <v>102.5</v>
      </c>
      <c r="I104" s="104">
        <v>30.9</v>
      </c>
      <c r="J104" s="104">
        <v>24.8</v>
      </c>
      <c r="K104" s="104">
        <v>17.399999999999999</v>
      </c>
      <c r="L104" s="104">
        <v>29.2</v>
      </c>
      <c r="M104" s="214">
        <f>SUM(I104:L104)</f>
        <v>102.3</v>
      </c>
      <c r="N104" s="104">
        <v>26.3</v>
      </c>
      <c r="O104" s="104">
        <v>26.8</v>
      </c>
      <c r="P104" s="104">
        <v>42</v>
      </c>
      <c r="Q104" s="104">
        <v>40.299999999999997</v>
      </c>
      <c r="R104" s="193">
        <f>SUM(N104:Q104)</f>
        <v>135.39999999999998</v>
      </c>
      <c r="S104" s="104">
        <v>0.7</v>
      </c>
      <c r="T104" s="104">
        <v>0.6</v>
      </c>
      <c r="U104" s="104">
        <v>0.4</v>
      </c>
      <c r="V104" s="104">
        <v>0.6</v>
      </c>
      <c r="W104" s="193">
        <f>SUM(S104:V104)</f>
        <v>2.2999999999999998</v>
      </c>
      <c r="X104" s="104">
        <v>0.5</v>
      </c>
      <c r="Y104" s="104">
        <v>0.8</v>
      </c>
      <c r="Z104" s="56">
        <v>0.6</v>
      </c>
      <c r="AA104" s="56">
        <v>0.7</v>
      </c>
      <c r="AB104" s="193">
        <f>SUM(X104:AA104)</f>
        <v>2.5999999999999996</v>
      </c>
      <c r="AC104" s="56">
        <v>1</v>
      </c>
      <c r="AD104" s="56">
        <v>1</v>
      </c>
      <c r="AE104" s="56">
        <v>1</v>
      </c>
      <c r="AF104" s="56">
        <v>1</v>
      </c>
      <c r="AG104" s="193">
        <f>SUM(AC104:AF104)</f>
        <v>4</v>
      </c>
      <c r="AH104" s="56">
        <v>1</v>
      </c>
      <c r="AI104" s="56">
        <v>1</v>
      </c>
      <c r="AJ104" s="56">
        <v>1</v>
      </c>
      <c r="AK104" s="56">
        <v>1</v>
      </c>
      <c r="AL104" s="193">
        <f>SUM(AH104:AK104)</f>
        <v>4</v>
      </c>
      <c r="AM104" s="56">
        <v>1</v>
      </c>
      <c r="AN104" s="56">
        <v>1</v>
      </c>
      <c r="AO104" s="56">
        <v>1</v>
      </c>
      <c r="AP104" s="56">
        <v>1</v>
      </c>
      <c r="AQ104" s="193">
        <f>SUM(AM104:AP104)</f>
        <v>4</v>
      </c>
      <c r="AR104" s="56">
        <v>1</v>
      </c>
      <c r="AS104" s="56">
        <v>1</v>
      </c>
      <c r="AT104" s="56">
        <v>1</v>
      </c>
      <c r="AU104" s="56">
        <v>1</v>
      </c>
      <c r="AV104" s="193">
        <f>SUM(AR104:AU104)</f>
        <v>4</v>
      </c>
    </row>
    <row r="105" spans="1:48" outlineLevel="1" x14ac:dyDescent="0.3">
      <c r="B105" s="46" t="s">
        <v>124</v>
      </c>
      <c r="C105" s="44"/>
      <c r="D105" s="156">
        <f>+D92-D103+D104</f>
        <v>229.99999999999991</v>
      </c>
      <c r="E105" s="156">
        <f t="shared" ref="E105:V105" si="328">+E92-E103+E104</f>
        <v>201.80000000000004</v>
      </c>
      <c r="F105" s="156">
        <f t="shared" si="328"/>
        <v>270.19999999999976</v>
      </c>
      <c r="G105" s="156">
        <f t="shared" si="328"/>
        <v>262.69999999999987</v>
      </c>
      <c r="H105" s="132">
        <f>SUM(D105:G105)</f>
        <v>964.69999999999959</v>
      </c>
      <c r="I105" s="156">
        <f t="shared" si="328"/>
        <v>275.89999999999998</v>
      </c>
      <c r="J105" s="156">
        <f t="shared" si="328"/>
        <v>-15.400000000000045</v>
      </c>
      <c r="K105" s="156">
        <f>+K92-K103+K104</f>
        <v>-85.999999999999744</v>
      </c>
      <c r="L105" s="156">
        <f t="shared" si="328"/>
        <v>181.69999999999976</v>
      </c>
      <c r="M105" s="132">
        <f>SUM(I105:L105)</f>
        <v>356.19999999999993</v>
      </c>
      <c r="N105" s="156">
        <f t="shared" si="328"/>
        <v>274.8</v>
      </c>
      <c r="O105" s="156">
        <f t="shared" si="328"/>
        <v>251.50000000000006</v>
      </c>
      <c r="P105" s="156">
        <f t="shared" si="328"/>
        <v>318.29999999999995</v>
      </c>
      <c r="Q105" s="156">
        <f t="shared" si="328"/>
        <v>377.39999999999992</v>
      </c>
      <c r="R105" s="97">
        <f>SUM(N105:Q105)</f>
        <v>1222</v>
      </c>
      <c r="S105" s="74">
        <f t="shared" si="328"/>
        <v>299.59999999999985</v>
      </c>
      <c r="T105" s="74">
        <f t="shared" si="328"/>
        <v>180.70000000000013</v>
      </c>
      <c r="U105" s="74">
        <f t="shared" si="328"/>
        <v>135.3000000000001</v>
      </c>
      <c r="V105" s="74">
        <f t="shared" si="328"/>
        <v>217.6</v>
      </c>
      <c r="W105" s="97">
        <f>SUM(S105:V105)</f>
        <v>833.2</v>
      </c>
      <c r="X105" s="156">
        <f t="shared" ref="X105:AA105" si="329">+X92-X103+X104</f>
        <v>240.40000000000009</v>
      </c>
      <c r="Y105" s="156">
        <f t="shared" si="329"/>
        <v>314.69999999999987</v>
      </c>
      <c r="Z105" s="74">
        <f t="shared" si="329"/>
        <v>376.82287952104696</v>
      </c>
      <c r="AA105" s="74">
        <f t="shared" si="329"/>
        <v>552.72294502211298</v>
      </c>
      <c r="AB105" s="97">
        <f>SUM(X105:AA105)</f>
        <v>1484.64582454316</v>
      </c>
      <c r="AC105" s="74">
        <f t="shared" ref="AC105:AF105" si="330">+AC92-AC103+AC104</f>
        <v>334.24687465640227</v>
      </c>
      <c r="AD105" s="74">
        <f t="shared" si="330"/>
        <v>442.62145840272024</v>
      </c>
      <c r="AE105" s="74">
        <f t="shared" si="330"/>
        <v>450.96187284512257</v>
      </c>
      <c r="AF105" s="74">
        <f t="shared" si="330"/>
        <v>641.59462729588995</v>
      </c>
      <c r="AG105" s="97">
        <f>SUM(AC105:AF105)</f>
        <v>1869.424833200135</v>
      </c>
      <c r="AH105" s="74">
        <f t="shared" ref="AH105:AK105" si="331">+AH92-AH103+AH104</f>
        <v>404.69011743754254</v>
      </c>
      <c r="AI105" s="74">
        <f t="shared" si="331"/>
        <v>533.34074907218519</v>
      </c>
      <c r="AJ105" s="74">
        <f t="shared" si="331"/>
        <v>615.88051400900076</v>
      </c>
      <c r="AK105" s="74">
        <f t="shared" si="331"/>
        <v>767.83589016390488</v>
      </c>
      <c r="AL105" s="97">
        <f>SUM(AH105:AK105)</f>
        <v>2321.7472706826334</v>
      </c>
      <c r="AM105" s="74">
        <f t="shared" ref="AM105:AP105" si="332">+AM92-AM103+AM104</f>
        <v>462.80600347134987</v>
      </c>
      <c r="AN105" s="74">
        <f t="shared" si="332"/>
        <v>601.31260800248265</v>
      </c>
      <c r="AO105" s="74">
        <f t="shared" si="332"/>
        <v>681.30111371970361</v>
      </c>
      <c r="AP105" s="74">
        <f t="shared" si="332"/>
        <v>837.86040611138105</v>
      </c>
      <c r="AQ105" s="97">
        <f>SUM(AM105:AP105)</f>
        <v>2583.2801313049172</v>
      </c>
      <c r="AR105" s="74">
        <f t="shared" ref="AR105:AU105" si="333">+AR92-AR103+AR104</f>
        <v>484.86637505632052</v>
      </c>
      <c r="AS105" s="74">
        <f t="shared" si="333"/>
        <v>634.47925744824443</v>
      </c>
      <c r="AT105" s="74">
        <f t="shared" si="333"/>
        <v>718.30344664781342</v>
      </c>
      <c r="AU105" s="74">
        <f t="shared" si="333"/>
        <v>886.7414300119799</v>
      </c>
      <c r="AV105" s="97">
        <f>SUM(AR105:AU105)</f>
        <v>2724.3905091643583</v>
      </c>
    </row>
    <row r="106" spans="1:48" outlineLevel="1" x14ac:dyDescent="0.3">
      <c r="B106" s="46" t="s">
        <v>125</v>
      </c>
      <c r="C106" s="44"/>
      <c r="D106" s="157">
        <f t="shared" ref="D106:G106" si="334">+D105/D92</f>
        <v>0.15292553191489355</v>
      </c>
      <c r="E106" s="157">
        <f t="shared" si="334"/>
        <v>0.1319471688243756</v>
      </c>
      <c r="F106" s="157">
        <f t="shared" si="334"/>
        <v>0.17044092600769556</v>
      </c>
      <c r="G106" s="157">
        <f t="shared" si="334"/>
        <v>0.16710132943196987</v>
      </c>
      <c r="H106" s="133">
        <f>H105/H92</f>
        <v>0.15582800284292814</v>
      </c>
      <c r="I106" s="157">
        <f t="shared" ref="I106:L106" si="335">+I105/I92</f>
        <v>0.17560944561135511</v>
      </c>
      <c r="J106" s="157">
        <f t="shared" si="335"/>
        <v>-1.3573065397496956E-2</v>
      </c>
      <c r="K106" s="157">
        <f t="shared" si="335"/>
        <v>-9.0564448188710761E-2</v>
      </c>
      <c r="L106" s="157">
        <f t="shared" si="335"/>
        <v>0.12022761860649757</v>
      </c>
      <c r="M106" s="133">
        <f>M105/M92</f>
        <v>6.8942825068710564E-2</v>
      </c>
      <c r="N106" s="157">
        <f t="shared" ref="N106:Q106" si="336">+N105/N92</f>
        <v>0.16611255515928189</v>
      </c>
      <c r="O106" s="157">
        <f t="shared" si="336"/>
        <v>0.1561239058911168</v>
      </c>
      <c r="P106" s="157">
        <f t="shared" si="336"/>
        <v>0.19193198263386396</v>
      </c>
      <c r="Q106" s="157">
        <f t="shared" si="336"/>
        <v>0.19711689125665932</v>
      </c>
      <c r="R106" s="98">
        <f>R105/R92</f>
        <v>0.17870199760170807</v>
      </c>
      <c r="S106" s="75">
        <f t="shared" ref="S106:V106" si="337">+S105/S92</f>
        <v>0.15971000586385195</v>
      </c>
      <c r="T106" s="75">
        <f t="shared" si="337"/>
        <v>0.1061442669172933</v>
      </c>
      <c r="U106" s="75">
        <f t="shared" si="337"/>
        <v>8.5378936076228998E-2</v>
      </c>
      <c r="V106" s="75">
        <f t="shared" si="337"/>
        <v>0.12245357343837929</v>
      </c>
      <c r="W106" s="98">
        <f>W105/W92</f>
        <v>0.12005763688760808</v>
      </c>
      <c r="X106" s="157">
        <f t="shared" ref="X106:AA106" si="338">+X105/X92</f>
        <v>0.14308672102851025</v>
      </c>
      <c r="Y106" s="75">
        <f t="shared" si="338"/>
        <v>0.16966788872115585</v>
      </c>
      <c r="Z106" s="75">
        <f t="shared" si="338"/>
        <v>0.18044426716807307</v>
      </c>
      <c r="AA106" s="75">
        <f t="shared" si="338"/>
        <v>0.23408899659551366</v>
      </c>
      <c r="AB106" s="98">
        <f>AB105/AB92</f>
        <v>0.18594396871296265</v>
      </c>
      <c r="AC106" s="75">
        <f t="shared" ref="AC106:AF106" si="339">+AC105/AC92</f>
        <v>0.15436696422878751</v>
      </c>
      <c r="AD106" s="75">
        <f t="shared" si="339"/>
        <v>0.20227587157568838</v>
      </c>
      <c r="AE106" s="75">
        <f t="shared" si="339"/>
        <v>0.18324311725261203</v>
      </c>
      <c r="AF106" s="75">
        <f t="shared" si="339"/>
        <v>0.23207466249079547</v>
      </c>
      <c r="AG106" s="98">
        <f>AG105/AG92</f>
        <v>0.19515684995918264</v>
      </c>
      <c r="AH106" s="75">
        <f t="shared" ref="AH106:AK106" si="340">+AH105/AH92</f>
        <v>0.16019740493642629</v>
      </c>
      <c r="AI106" s="75">
        <f t="shared" si="340"/>
        <v>0.20926439005572914</v>
      </c>
      <c r="AJ106" s="75">
        <f t="shared" si="340"/>
        <v>0.2154653645443094</v>
      </c>
      <c r="AK106" s="75">
        <f t="shared" si="340"/>
        <v>0.23936950919976807</v>
      </c>
      <c r="AL106" s="98">
        <f>AL105/AL92</f>
        <v>0.20839744004733479</v>
      </c>
      <c r="AM106" s="75">
        <f t="shared" ref="AM106:AP106" si="341">+AM105/AM92</f>
        <v>0.15945264266002981</v>
      </c>
      <c r="AN106" s="75">
        <f t="shared" si="341"/>
        <v>0.20839036806713965</v>
      </c>
      <c r="AO106" s="75">
        <f t="shared" si="341"/>
        <v>0.21368720527157717</v>
      </c>
      <c r="AP106" s="75">
        <f t="shared" si="341"/>
        <v>0.23735667267240815</v>
      </c>
      <c r="AQ106" s="98">
        <f>AQ105/AQ92</f>
        <v>0.20655911079298717</v>
      </c>
      <c r="AR106" s="75">
        <f t="shared" ref="AR106:AU106" si="342">+AR105/AR92</f>
        <v>0.1559341130690366</v>
      </c>
      <c r="AS106" s="75">
        <f t="shared" si="342"/>
        <v>0.20529100564461814</v>
      </c>
      <c r="AT106" s="75">
        <f t="shared" si="342"/>
        <v>0.21051007246455247</v>
      </c>
      <c r="AU106" s="75">
        <f t="shared" si="342"/>
        <v>0.23467245145788709</v>
      </c>
      <c r="AV106" s="98">
        <f>AV105/AV92</f>
        <v>0.20345083223073746</v>
      </c>
    </row>
    <row r="107" spans="1:48" ht="17.399999999999999" x14ac:dyDescent="0.45">
      <c r="B107" s="583" t="s">
        <v>51</v>
      </c>
      <c r="C107" s="584"/>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4" t="s">
        <v>408</v>
      </c>
      <c r="Y107" s="14" t="s">
        <v>452</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87" t="s">
        <v>126</v>
      </c>
      <c r="C108" s="588"/>
      <c r="D108" s="50">
        <v>504.6</v>
      </c>
      <c r="E108" s="50">
        <v>446.6</v>
      </c>
      <c r="F108" s="103">
        <v>533.29999999999995</v>
      </c>
      <c r="G108" s="50">
        <v>508.1</v>
      </c>
      <c r="H108" s="31">
        <f>SUM(D108:G108)</f>
        <v>1992.6</v>
      </c>
      <c r="I108" s="50">
        <v>494.6</v>
      </c>
      <c r="J108" s="50">
        <v>519.1</v>
      </c>
      <c r="K108" s="50">
        <v>447.3</v>
      </c>
      <c r="L108" s="50">
        <v>464</v>
      </c>
      <c r="M108" s="31">
        <f>SUM(I108:L108)</f>
        <v>1925</v>
      </c>
      <c r="N108" s="50">
        <v>371.4</v>
      </c>
      <c r="O108" s="50">
        <v>369.9</v>
      </c>
      <c r="P108" s="50">
        <v>414</v>
      </c>
      <c r="Q108" s="103">
        <v>438.3</v>
      </c>
      <c r="R108" s="126">
        <f>SUM(N108:Q108)</f>
        <v>1593.6</v>
      </c>
      <c r="S108" s="50">
        <v>417.1</v>
      </c>
      <c r="T108" s="50">
        <v>463.1</v>
      </c>
      <c r="U108" s="50">
        <v>479.7</v>
      </c>
      <c r="V108" s="103">
        <v>483.7</v>
      </c>
      <c r="W108" s="126">
        <f>SUM(S108:V108)</f>
        <v>1843.6000000000001</v>
      </c>
      <c r="X108" s="103">
        <v>478.2</v>
      </c>
      <c r="Y108" s="103">
        <v>480.7</v>
      </c>
      <c r="Z108" s="50">
        <f>+U108*(1+Z109)</f>
        <v>498.88800000000003</v>
      </c>
      <c r="AA108" s="50">
        <f t="shared" ref="AA108" si="343">+V108*(1+AA109)</f>
        <v>503.048</v>
      </c>
      <c r="AB108" s="31">
        <f>SUM(X108:AA108)</f>
        <v>1960.836</v>
      </c>
      <c r="AC108" s="50">
        <f>+X108*(1+AC109)</f>
        <v>497.32800000000003</v>
      </c>
      <c r="AD108" s="50">
        <f>+Y108*(1+AD109)</f>
        <v>499.928</v>
      </c>
      <c r="AE108" s="50">
        <f>+Z108*(1+AE109)</f>
        <v>518.84352000000001</v>
      </c>
      <c r="AF108" s="50">
        <f t="shared" ref="AF108" si="344">+AA108*(1+AF109)</f>
        <v>523.16992000000005</v>
      </c>
      <c r="AG108" s="31">
        <f>SUM(AC108:AF108)</f>
        <v>2039.2694400000003</v>
      </c>
      <c r="AH108" s="50">
        <f>+AC108*(1+AH109)</f>
        <v>517.22112000000004</v>
      </c>
      <c r="AI108" s="50">
        <f>+AD108*(1+AI109)</f>
        <v>519.92511999999999</v>
      </c>
      <c r="AJ108" s="50">
        <f>+AE108*(1+AJ109)</f>
        <v>539.59726080000007</v>
      </c>
      <c r="AK108" s="50">
        <f t="shared" ref="AK108" si="345">+AF108*(1+AK109)</f>
        <v>544.09671680000008</v>
      </c>
      <c r="AL108" s="31">
        <f>SUM(AH108:AK108)</f>
        <v>2120.8402176000004</v>
      </c>
      <c r="AM108" s="50">
        <f>+AH108*(1+AM109)</f>
        <v>537.90996480000001</v>
      </c>
      <c r="AN108" s="50">
        <f>+AI108*(1+AN109)</f>
        <v>540.72212479999996</v>
      </c>
      <c r="AO108" s="50">
        <f>+AJ108*(1+AO109)</f>
        <v>561.18115123200005</v>
      </c>
      <c r="AP108" s="50">
        <f t="shared" ref="AP108" si="346">+AK108*(1+AP109)</f>
        <v>565.86058547200014</v>
      </c>
      <c r="AQ108" s="31">
        <f>SUM(AM108:AP108)</f>
        <v>2205.6738263040002</v>
      </c>
      <c r="AR108" s="50">
        <f>+AM108*(1+AR109)</f>
        <v>559.42636339199998</v>
      </c>
      <c r="AS108" s="50">
        <f>+AN108*(1+AS109)</f>
        <v>562.35100979200001</v>
      </c>
      <c r="AT108" s="50">
        <f>+AO108*(1+AT109)</f>
        <v>583.62839728128006</v>
      </c>
      <c r="AU108" s="50">
        <f t="shared" ref="AU108" si="347">+AP108*(1+AU109)</f>
        <v>588.49500889088017</v>
      </c>
      <c r="AV108" s="31">
        <f>SUM(AR108:AU108)</f>
        <v>2293.9007793561605</v>
      </c>
    </row>
    <row r="109" spans="1:48" outlineLevel="1" x14ac:dyDescent="0.3">
      <c r="B109" s="69" t="s">
        <v>58</v>
      </c>
      <c r="C109" s="70"/>
      <c r="D109" s="120"/>
      <c r="E109" s="120"/>
      <c r="F109" s="120"/>
      <c r="G109" s="120"/>
      <c r="H109" s="58"/>
      <c r="I109" s="120">
        <f>I108/D108-1</f>
        <v>-1.9817677368212494E-2</v>
      </c>
      <c r="J109" s="120">
        <f t="shared" ref="J109" si="348">J108/E108-1</f>
        <v>0.16233766233766223</v>
      </c>
      <c r="K109" s="120">
        <f>K108/F108-1</f>
        <v>-0.1612600787549221</v>
      </c>
      <c r="L109" s="120">
        <f>L108/G108-1</f>
        <v>-8.6793938201141563E-2</v>
      </c>
      <c r="M109" s="168">
        <f>M108/H108-1</f>
        <v>-3.3925524440429511E-2</v>
      </c>
      <c r="N109" s="120">
        <f>N108/I108-1</f>
        <v>-0.24909017387788124</v>
      </c>
      <c r="O109" s="120">
        <f t="shared" ref="O109" si="349">O108/J108-1</f>
        <v>-0.28742053554228475</v>
      </c>
      <c r="P109" s="120">
        <f>P108/K108-1</f>
        <v>-7.4446680080482941E-2</v>
      </c>
      <c r="Q109" s="120">
        <f>Q108/L108-1</f>
        <v>-5.5387931034482696E-2</v>
      </c>
      <c r="R109" s="168">
        <f>R108/M108-1</f>
        <v>-0.17215584415584417</v>
      </c>
      <c r="S109" s="120">
        <f>S108/N108-1</f>
        <v>0.12304792676359733</v>
      </c>
      <c r="T109" s="120">
        <f t="shared" ref="T109:U109" si="350">T108/O108-1</f>
        <v>0.25195998918626672</v>
      </c>
      <c r="U109" s="120">
        <f t="shared" si="350"/>
        <v>0.15869565217391313</v>
      </c>
      <c r="V109" s="120">
        <f>V108/Q108-1</f>
        <v>0.10358202144649775</v>
      </c>
      <c r="W109" s="168">
        <f>W108/R108-1</f>
        <v>0.15687751004016071</v>
      </c>
      <c r="X109" s="120">
        <f>X108/S108-1</f>
        <v>0.14648765284104526</v>
      </c>
      <c r="Y109" s="120">
        <f>Y108/T108-1</f>
        <v>3.8004750593824133E-2</v>
      </c>
      <c r="Z109" s="197">
        <v>0.04</v>
      </c>
      <c r="AA109" s="197">
        <v>0.04</v>
      </c>
      <c r="AB109" s="168">
        <f>AB108/W108-1</f>
        <v>6.3590800607506992E-2</v>
      </c>
      <c r="AC109" s="197">
        <v>0.04</v>
      </c>
      <c r="AD109" s="197">
        <v>0.04</v>
      </c>
      <c r="AE109" s="197">
        <v>0.04</v>
      </c>
      <c r="AF109" s="197">
        <v>0.04</v>
      </c>
      <c r="AG109" s="168">
        <f>AG108/AB108-1</f>
        <v>4.0000000000000036E-2</v>
      </c>
      <c r="AH109" s="197">
        <v>0.04</v>
      </c>
      <c r="AI109" s="197">
        <v>0.04</v>
      </c>
      <c r="AJ109" s="197">
        <v>0.04</v>
      </c>
      <c r="AK109" s="197">
        <v>0.04</v>
      </c>
      <c r="AL109" s="168">
        <f>AL108/AG108-1</f>
        <v>4.0000000000000036E-2</v>
      </c>
      <c r="AM109" s="197">
        <v>0.04</v>
      </c>
      <c r="AN109" s="197">
        <v>0.04</v>
      </c>
      <c r="AO109" s="197">
        <v>0.04</v>
      </c>
      <c r="AP109" s="197">
        <v>0.04</v>
      </c>
      <c r="AQ109" s="168">
        <f>AQ108/AL108-1</f>
        <v>3.9999999999999813E-2</v>
      </c>
      <c r="AR109" s="197">
        <v>0.04</v>
      </c>
      <c r="AS109" s="197">
        <v>0.04</v>
      </c>
      <c r="AT109" s="197">
        <v>0.04</v>
      </c>
      <c r="AU109" s="197">
        <v>0.04</v>
      </c>
      <c r="AV109" s="168">
        <f>AV108/AQ108-1</f>
        <v>4.0000000000000036E-2</v>
      </c>
    </row>
    <row r="110" spans="1:48" outlineLevel="1" x14ac:dyDescent="0.3">
      <c r="B110" s="607" t="s">
        <v>100</v>
      </c>
      <c r="C110" s="608"/>
      <c r="D110" s="48">
        <v>348.4</v>
      </c>
      <c r="E110" s="48">
        <v>305.39999999999998</v>
      </c>
      <c r="F110" s="48">
        <v>377.1</v>
      </c>
      <c r="G110" s="48">
        <v>359.1</v>
      </c>
      <c r="H110" s="76">
        <f>SUM(D110:G110)</f>
        <v>1390</v>
      </c>
      <c r="I110" s="48">
        <v>338.8</v>
      </c>
      <c r="J110" s="48">
        <v>351.6</v>
      </c>
      <c r="K110" s="48">
        <v>319.89999999999998</v>
      </c>
      <c r="L110" s="48">
        <v>327.8</v>
      </c>
      <c r="M110" s="76">
        <f>SUM(I110:L110)</f>
        <v>1338.1000000000001</v>
      </c>
      <c r="N110" s="48">
        <v>233.5</v>
      </c>
      <c r="O110" s="48">
        <v>231.9</v>
      </c>
      <c r="P110" s="48">
        <v>268.3</v>
      </c>
      <c r="Q110" s="105">
        <v>277.5</v>
      </c>
      <c r="R110" s="76">
        <f>SUM(N110:Q110)</f>
        <v>1011.2</v>
      </c>
      <c r="S110" s="48">
        <v>258.8</v>
      </c>
      <c r="T110" s="48">
        <v>300.5</v>
      </c>
      <c r="U110" s="48">
        <v>325.8</v>
      </c>
      <c r="V110" s="105">
        <v>309</v>
      </c>
      <c r="W110" s="129">
        <f>SUM(S110:V110)</f>
        <v>1194.0999999999999</v>
      </c>
      <c r="X110" s="105">
        <v>294.2</v>
      </c>
      <c r="Y110" s="105">
        <v>345.6</v>
      </c>
      <c r="Z110" s="48">
        <f t="shared" ref="Z110:AA110" si="351">Z111*Z108</f>
        <v>359.19936000000001</v>
      </c>
      <c r="AA110" s="48">
        <f t="shared" si="351"/>
        <v>377.286</v>
      </c>
      <c r="AB110" s="76">
        <f>SUM(X110:AA110)</f>
        <v>1376.2853600000001</v>
      </c>
      <c r="AC110" s="48">
        <f t="shared" ref="AC110:AF110" si="352">AC111*AC108</f>
        <v>368.02271999999999</v>
      </c>
      <c r="AD110" s="48">
        <f t="shared" si="352"/>
        <v>369.94671999999997</v>
      </c>
      <c r="AE110" s="48">
        <f t="shared" si="352"/>
        <v>394.3210752</v>
      </c>
      <c r="AF110" s="48">
        <f t="shared" si="352"/>
        <v>397.60913920000002</v>
      </c>
      <c r="AG110" s="76">
        <f>SUM(AC110:AF110)</f>
        <v>1529.8996543999999</v>
      </c>
      <c r="AH110" s="48">
        <f t="shared" ref="AH110:AK110" si="353">AH111*AH108</f>
        <v>382.74362880000001</v>
      </c>
      <c r="AI110" s="48">
        <f t="shared" si="353"/>
        <v>384.74458879999997</v>
      </c>
      <c r="AJ110" s="48">
        <f t="shared" si="353"/>
        <v>404.69794560000003</v>
      </c>
      <c r="AK110" s="48">
        <f t="shared" si="353"/>
        <v>413.51350476800008</v>
      </c>
      <c r="AL110" s="76">
        <f>SUM(AH110:AK110)</f>
        <v>1585.6996679680001</v>
      </c>
      <c r="AM110" s="48">
        <f t="shared" ref="AM110:AP110" si="354">AM111*AM108</f>
        <v>398.05337395200002</v>
      </c>
      <c r="AN110" s="48">
        <f t="shared" si="354"/>
        <v>400.13437235199996</v>
      </c>
      <c r="AO110" s="48">
        <f t="shared" si="354"/>
        <v>420.88586342400004</v>
      </c>
      <c r="AP110" s="48">
        <f t="shared" si="354"/>
        <v>430.05404495872011</v>
      </c>
      <c r="AQ110" s="76">
        <f>SUM(AM110:AP110)</f>
        <v>1649.1276546867202</v>
      </c>
      <c r="AR110" s="48">
        <f t="shared" ref="AR110:AU110" si="355">AR111*AR108</f>
        <v>413.97550891008001</v>
      </c>
      <c r="AS110" s="48">
        <f t="shared" si="355"/>
        <v>416.13974724607999</v>
      </c>
      <c r="AT110" s="48">
        <f t="shared" si="355"/>
        <v>437.72129796096004</v>
      </c>
      <c r="AU110" s="48">
        <f t="shared" si="355"/>
        <v>447.25620675706892</v>
      </c>
      <c r="AV110" s="76">
        <f>SUM(AR110:AU110)</f>
        <v>1715.092760874189</v>
      </c>
    </row>
    <row r="111" spans="1:48" s="183" customFormat="1" outlineLevel="1" x14ac:dyDescent="0.3">
      <c r="A111" s="238"/>
      <c r="B111" s="181" t="s">
        <v>151</v>
      </c>
      <c r="C111" s="182"/>
      <c r="D111" s="167">
        <f>D110/D108</f>
        <v>0.69044787950852149</v>
      </c>
      <c r="E111" s="167">
        <f t="shared" ref="E111:Y111" si="356">E110/E108</f>
        <v>0.68383340797133896</v>
      </c>
      <c r="F111" s="167">
        <f t="shared" si="356"/>
        <v>0.70710669416838567</v>
      </c>
      <c r="G111" s="167">
        <f t="shared" si="356"/>
        <v>0.70675063963786655</v>
      </c>
      <c r="H111" s="188">
        <f t="shared" si="356"/>
        <v>0.69758104988457292</v>
      </c>
      <c r="I111" s="167">
        <f t="shared" si="356"/>
        <v>0.68499797816417307</v>
      </c>
      <c r="J111" s="167">
        <f t="shared" si="356"/>
        <v>0.6773261413985745</v>
      </c>
      <c r="K111" s="167">
        <f t="shared" si="356"/>
        <v>0.71517996870109535</v>
      </c>
      <c r="L111" s="187">
        <f t="shared" si="356"/>
        <v>0.70646551724137929</v>
      </c>
      <c r="M111" s="188">
        <f t="shared" si="356"/>
        <v>0.69511688311688313</v>
      </c>
      <c r="N111" s="187">
        <f t="shared" si="356"/>
        <v>0.62870220786214326</v>
      </c>
      <c r="O111" s="167">
        <f t="shared" si="356"/>
        <v>0.62692619626926205</v>
      </c>
      <c r="P111" s="167">
        <f t="shared" si="356"/>
        <v>0.6480676328502416</v>
      </c>
      <c r="Q111" s="167">
        <f t="shared" si="356"/>
        <v>0.63312799452429835</v>
      </c>
      <c r="R111" s="188">
        <f t="shared" si="356"/>
        <v>0.63453815261044189</v>
      </c>
      <c r="S111" s="187">
        <f t="shared" si="356"/>
        <v>0.62047470630544233</v>
      </c>
      <c r="T111" s="167">
        <f t="shared" si="356"/>
        <v>0.64888792917296478</v>
      </c>
      <c r="U111" s="167">
        <f t="shared" si="356"/>
        <v>0.67917448405253289</v>
      </c>
      <c r="V111" s="167">
        <f t="shared" si="356"/>
        <v>0.63882571842050861</v>
      </c>
      <c r="W111" s="186">
        <f t="shared" si="356"/>
        <v>0.64770015187676278</v>
      </c>
      <c r="X111" s="167">
        <f t="shared" si="356"/>
        <v>0.61522375575073185</v>
      </c>
      <c r="Y111" s="167">
        <f t="shared" si="356"/>
        <v>0.718951529020179</v>
      </c>
      <c r="Z111" s="189">
        <v>0.72</v>
      </c>
      <c r="AA111" s="189">
        <v>0.75</v>
      </c>
      <c r="AB111" s="188">
        <f t="shared" ref="AB111" si="357">AB110/AB108</f>
        <v>0.70188703185784029</v>
      </c>
      <c r="AC111" s="189">
        <v>0.74</v>
      </c>
      <c r="AD111" s="189">
        <v>0.74</v>
      </c>
      <c r="AE111" s="189">
        <v>0.76</v>
      </c>
      <c r="AF111" s="189">
        <v>0.76</v>
      </c>
      <c r="AG111" s="188">
        <f t="shared" ref="AG111" si="358">AG110/AG108</f>
        <v>0.75021947781456466</v>
      </c>
      <c r="AH111" s="189">
        <f t="shared" ref="AH111:AI111" si="359">AC111</f>
        <v>0.74</v>
      </c>
      <c r="AI111" s="189">
        <f t="shared" si="359"/>
        <v>0.74</v>
      </c>
      <c r="AJ111" s="189">
        <f>AE111-1%</f>
        <v>0.75</v>
      </c>
      <c r="AK111" s="189">
        <f t="shared" ref="AK111" si="360">AF111</f>
        <v>0.76</v>
      </c>
      <c r="AL111" s="188">
        <f t="shared" ref="AL111" si="361">AL110/AL108</f>
        <v>0.74767521608130394</v>
      </c>
      <c r="AM111" s="189">
        <f t="shared" ref="AM111:AP111" si="362">AH111</f>
        <v>0.74</v>
      </c>
      <c r="AN111" s="189">
        <f t="shared" si="362"/>
        <v>0.74</v>
      </c>
      <c r="AO111" s="189">
        <f t="shared" si="362"/>
        <v>0.75</v>
      </c>
      <c r="AP111" s="189">
        <f t="shared" si="362"/>
        <v>0.76</v>
      </c>
      <c r="AQ111" s="188">
        <f t="shared" ref="AQ111" si="363">AQ110/AQ108</f>
        <v>0.74767521608130416</v>
      </c>
      <c r="AR111" s="189">
        <f t="shared" ref="AR111:AU111" si="364">AM111</f>
        <v>0.74</v>
      </c>
      <c r="AS111" s="189">
        <f t="shared" si="364"/>
        <v>0.74</v>
      </c>
      <c r="AT111" s="189">
        <f t="shared" si="364"/>
        <v>0.75</v>
      </c>
      <c r="AU111" s="189">
        <f t="shared" si="364"/>
        <v>0.76</v>
      </c>
      <c r="AV111" s="188">
        <f t="shared" ref="AV111" si="365">AV110/AV108</f>
        <v>0.74767521608130405</v>
      </c>
    </row>
    <row r="112" spans="1:48" outlineLevel="1" x14ac:dyDescent="0.3">
      <c r="B112" s="180" t="s">
        <v>33</v>
      </c>
      <c r="C112" s="18"/>
      <c r="D112" s="48">
        <v>18.600000000000001</v>
      </c>
      <c r="E112" s="48">
        <v>17.100000000000001</v>
      </c>
      <c r="F112" s="48">
        <v>20.2</v>
      </c>
      <c r="G112" s="48">
        <v>20.3</v>
      </c>
      <c r="H112" s="49">
        <f>SUM(D112:G112)</f>
        <v>76.2</v>
      </c>
      <c r="I112" s="48">
        <v>20.6</v>
      </c>
      <c r="J112" s="48">
        <v>17.7</v>
      </c>
      <c r="K112" s="48">
        <v>51.4</v>
      </c>
      <c r="L112" s="48">
        <v>18.5</v>
      </c>
      <c r="M112" s="49">
        <f>SUM(I112:L112)</f>
        <v>108.19999999999999</v>
      </c>
      <c r="N112" s="48">
        <v>11.1</v>
      </c>
      <c r="O112" s="48">
        <v>13.1</v>
      </c>
      <c r="P112" s="48">
        <v>-9.9</v>
      </c>
      <c r="Q112" s="105">
        <v>17</v>
      </c>
      <c r="R112" s="49">
        <f>SUM(N112:Q112)</f>
        <v>31.299999999999997</v>
      </c>
      <c r="S112" s="48">
        <v>11.4</v>
      </c>
      <c r="T112" s="48">
        <v>10.7</v>
      </c>
      <c r="U112" s="48">
        <v>13.6</v>
      </c>
      <c r="V112" s="105">
        <v>16</v>
      </c>
      <c r="W112" s="170">
        <f>SUM(S112:V112)</f>
        <v>51.7</v>
      </c>
      <c r="X112" s="105">
        <v>13</v>
      </c>
      <c r="Y112" s="105">
        <v>12.8</v>
      </c>
      <c r="Z112" s="48">
        <f t="shared" ref="Z112:AA112" si="366">Z113*Z108</f>
        <v>14.96664</v>
      </c>
      <c r="AA112" s="48">
        <f t="shared" si="366"/>
        <v>15.091439999999999</v>
      </c>
      <c r="AB112" s="49">
        <f>SUM(X112:AA112)</f>
        <v>55.858080000000001</v>
      </c>
      <c r="AC112" s="48">
        <f t="shared" ref="AC112:AF112" si="367">AC113*AC108</f>
        <v>14.919840000000001</v>
      </c>
      <c r="AD112" s="48">
        <f t="shared" si="367"/>
        <v>14.99784</v>
      </c>
      <c r="AE112" s="48">
        <f t="shared" si="367"/>
        <v>15.5653056</v>
      </c>
      <c r="AF112" s="48">
        <f t="shared" si="367"/>
        <v>15.6950976</v>
      </c>
      <c r="AG112" s="49">
        <f>SUM(AC112:AF112)</f>
        <v>61.178083200000003</v>
      </c>
      <c r="AH112" s="48">
        <f t="shared" ref="AH112:AK112" si="368">AH113*AH108</f>
        <v>15.5166336</v>
      </c>
      <c r="AI112" s="48">
        <f t="shared" si="368"/>
        <v>15.597753599999999</v>
      </c>
      <c r="AJ112" s="48">
        <f t="shared" si="368"/>
        <v>16.187917824000003</v>
      </c>
      <c r="AK112" s="48">
        <f t="shared" si="368"/>
        <v>16.322901504000001</v>
      </c>
      <c r="AL112" s="49">
        <f>SUM(AH112:AK112)</f>
        <v>63.625206528000007</v>
      </c>
      <c r="AM112" s="48">
        <f t="shared" ref="AM112:AP112" si="369">AM113*AM108</f>
        <v>16.137298944000001</v>
      </c>
      <c r="AN112" s="48">
        <f t="shared" si="369"/>
        <v>16.221663743999997</v>
      </c>
      <c r="AO112" s="48">
        <f t="shared" si="369"/>
        <v>16.835434536960001</v>
      </c>
      <c r="AP112" s="48">
        <f t="shared" si="369"/>
        <v>16.975817564160003</v>
      </c>
      <c r="AQ112" s="49">
        <f>SUM(AM112:AP112)</f>
        <v>66.170214789119996</v>
      </c>
      <c r="AR112" s="48">
        <f t="shared" ref="AR112:AU112" si="370">AR113*AR108</f>
        <v>16.782790901759999</v>
      </c>
      <c r="AS112" s="48">
        <f t="shared" si="370"/>
        <v>16.870530293759998</v>
      </c>
      <c r="AT112" s="48">
        <f t="shared" si="370"/>
        <v>17.508851918438403</v>
      </c>
      <c r="AU112" s="48">
        <f t="shared" si="370"/>
        <v>17.654850266726406</v>
      </c>
      <c r="AV112" s="49">
        <f>SUM(AR112:AU112)</f>
        <v>68.817023380684802</v>
      </c>
    </row>
    <row r="113" spans="2:48" s="184" customFormat="1" outlineLevel="1" x14ac:dyDescent="0.3">
      <c r="B113" s="181" t="s">
        <v>154</v>
      </c>
      <c r="C113" s="190"/>
      <c r="D113" s="187">
        <f>D112/D108</f>
        <v>3.6860879904875153E-2</v>
      </c>
      <c r="E113" s="187">
        <f t="shared" ref="E113:X113" si="371">E112/E108</f>
        <v>3.8289296909986566E-2</v>
      </c>
      <c r="F113" s="187">
        <f t="shared" si="371"/>
        <v>3.7877367335458469E-2</v>
      </c>
      <c r="G113" s="187">
        <f t="shared" si="371"/>
        <v>3.9952765203700058E-2</v>
      </c>
      <c r="H113" s="188">
        <f t="shared" si="371"/>
        <v>3.8241493526046375E-2</v>
      </c>
      <c r="I113" s="187">
        <f t="shared" si="371"/>
        <v>4.1649818034775576E-2</v>
      </c>
      <c r="J113" s="187">
        <f t="shared" si="371"/>
        <v>3.4097476401464072E-2</v>
      </c>
      <c r="K113" s="187">
        <f t="shared" si="371"/>
        <v>0.11491169237648111</v>
      </c>
      <c r="L113" s="187">
        <f t="shared" si="371"/>
        <v>3.9870689655172417E-2</v>
      </c>
      <c r="M113" s="188">
        <f t="shared" si="371"/>
        <v>5.62077922077922E-2</v>
      </c>
      <c r="N113" s="187">
        <f t="shared" si="371"/>
        <v>2.9886914378029081E-2</v>
      </c>
      <c r="O113" s="187">
        <f t="shared" si="371"/>
        <v>3.5414977020816439E-2</v>
      </c>
      <c r="P113" s="187">
        <f t="shared" si="371"/>
        <v>-2.391304347826087E-2</v>
      </c>
      <c r="Q113" s="167">
        <f t="shared" si="371"/>
        <v>3.8786219484371436E-2</v>
      </c>
      <c r="R113" s="188">
        <f t="shared" si="371"/>
        <v>1.964106425702811E-2</v>
      </c>
      <c r="S113" s="187">
        <f t="shared" si="371"/>
        <v>2.7331575161831694E-2</v>
      </c>
      <c r="T113" s="187">
        <f t="shared" si="371"/>
        <v>2.3105160872381774E-2</v>
      </c>
      <c r="U113" s="187">
        <f t="shared" si="371"/>
        <v>2.8351052741296644E-2</v>
      </c>
      <c r="V113" s="167">
        <f t="shared" si="371"/>
        <v>3.3078354351870995E-2</v>
      </c>
      <c r="W113" s="186">
        <f t="shared" si="371"/>
        <v>2.8042959427207637E-2</v>
      </c>
      <c r="X113" s="167">
        <f t="shared" si="371"/>
        <v>2.7185278126306986E-2</v>
      </c>
      <c r="Y113" s="167">
        <f>Y112/Y108</f>
        <v>2.6627834408154777E-2</v>
      </c>
      <c r="Z113" s="189">
        <v>0.03</v>
      </c>
      <c r="AA113" s="189">
        <v>0.03</v>
      </c>
      <c r="AB113" s="188">
        <f t="shared" ref="AB113" si="372">AB112/AB108</f>
        <v>2.8486869886109802E-2</v>
      </c>
      <c r="AC113" s="189">
        <v>0.03</v>
      </c>
      <c r="AD113" s="189">
        <v>0.03</v>
      </c>
      <c r="AE113" s="189">
        <v>0.03</v>
      </c>
      <c r="AF113" s="189">
        <v>0.03</v>
      </c>
      <c r="AG113" s="188">
        <f t="shared" ref="AG113" si="373">AG112/AG108</f>
        <v>0.03</v>
      </c>
      <c r="AH113" s="189">
        <v>0.03</v>
      </c>
      <c r="AI113" s="189">
        <v>0.03</v>
      </c>
      <c r="AJ113" s="189">
        <v>0.03</v>
      </c>
      <c r="AK113" s="189">
        <v>0.03</v>
      </c>
      <c r="AL113" s="188">
        <f t="shared" ref="AL113" si="374">AL112/AL108</f>
        <v>0.03</v>
      </c>
      <c r="AM113" s="189">
        <f t="shared" ref="AM113:AP113" si="375">AH113</f>
        <v>0.03</v>
      </c>
      <c r="AN113" s="189">
        <f t="shared" si="375"/>
        <v>0.03</v>
      </c>
      <c r="AO113" s="189">
        <f t="shared" si="375"/>
        <v>0.03</v>
      </c>
      <c r="AP113" s="189">
        <f t="shared" si="375"/>
        <v>0.03</v>
      </c>
      <c r="AQ113" s="188">
        <f t="shared" ref="AQ113" si="376">AQ112/AQ108</f>
        <v>2.9999999999999995E-2</v>
      </c>
      <c r="AR113" s="189">
        <f t="shared" ref="AR113:AU113" si="377">AM113</f>
        <v>0.03</v>
      </c>
      <c r="AS113" s="189">
        <f t="shared" si="377"/>
        <v>0.03</v>
      </c>
      <c r="AT113" s="189">
        <f t="shared" si="377"/>
        <v>0.03</v>
      </c>
      <c r="AU113" s="189">
        <f t="shared" si="377"/>
        <v>0.03</v>
      </c>
      <c r="AV113" s="188">
        <f t="shared" ref="AV113" si="378">AV112/AV108</f>
        <v>2.9999999999999995E-2</v>
      </c>
    </row>
    <row r="114" spans="2:48" outlineLevel="1" x14ac:dyDescent="0.3">
      <c r="B114" s="180" t="s">
        <v>34</v>
      </c>
      <c r="C114" s="18"/>
      <c r="D114" s="358">
        <v>0</v>
      </c>
      <c r="E114" s="358">
        <v>12.3</v>
      </c>
      <c r="F114" s="358">
        <v>0.2</v>
      </c>
      <c r="G114" s="358">
        <v>0.3</v>
      </c>
      <c r="H114" s="126">
        <f>SUM(D114:G114)</f>
        <v>12.8</v>
      </c>
      <c r="I114" s="358">
        <v>0.3</v>
      </c>
      <c r="J114" s="358">
        <v>0.3</v>
      </c>
      <c r="K114" s="358">
        <v>0.3</v>
      </c>
      <c r="L114" s="358">
        <v>0.3</v>
      </c>
      <c r="M114" s="126">
        <f>SUM(I114:L114)</f>
        <v>1.2</v>
      </c>
      <c r="N114" s="358">
        <v>0.2</v>
      </c>
      <c r="O114" s="358">
        <v>0.3</v>
      </c>
      <c r="P114" s="358">
        <v>0.2</v>
      </c>
      <c r="Q114" s="358">
        <v>0.3</v>
      </c>
      <c r="R114" s="126">
        <f>SUM(N114:Q114)</f>
        <v>1</v>
      </c>
      <c r="S114" s="358">
        <v>0</v>
      </c>
      <c r="T114" s="358">
        <v>0</v>
      </c>
      <c r="U114" s="358">
        <v>0</v>
      </c>
      <c r="V114" s="358">
        <v>0</v>
      </c>
      <c r="W114" s="126">
        <f>SUM(S114:V114)</f>
        <v>0</v>
      </c>
      <c r="X114" s="358">
        <v>0</v>
      </c>
      <c r="Y114" s="358">
        <v>0</v>
      </c>
      <c r="Z114" s="360">
        <v>0</v>
      </c>
      <c r="AA114" s="360">
        <v>0</v>
      </c>
      <c r="AB114" s="126">
        <f>SUM(X114:AA114)</f>
        <v>0</v>
      </c>
      <c r="AC114" s="360">
        <v>0</v>
      </c>
      <c r="AD114" s="360">
        <v>0</v>
      </c>
      <c r="AE114" s="360">
        <v>0</v>
      </c>
      <c r="AF114" s="360">
        <v>0</v>
      </c>
      <c r="AG114" s="126">
        <f>SUM(AC114:AF114)</f>
        <v>0</v>
      </c>
      <c r="AH114" s="360">
        <v>0</v>
      </c>
      <c r="AI114" s="360">
        <v>0</v>
      </c>
      <c r="AJ114" s="360">
        <v>0</v>
      </c>
      <c r="AK114" s="360">
        <v>0</v>
      </c>
      <c r="AL114" s="126">
        <f>SUM(AH114:AK114)</f>
        <v>0</v>
      </c>
      <c r="AM114" s="360">
        <v>0</v>
      </c>
      <c r="AN114" s="360">
        <v>0</v>
      </c>
      <c r="AO114" s="360">
        <v>0</v>
      </c>
      <c r="AP114" s="360">
        <v>0</v>
      </c>
      <c r="AQ114" s="126">
        <f>SUM(AM114:AP114)</f>
        <v>0</v>
      </c>
      <c r="AR114" s="360">
        <v>0</v>
      </c>
      <c r="AS114" s="360">
        <v>0</v>
      </c>
      <c r="AT114" s="360">
        <v>0</v>
      </c>
      <c r="AU114" s="360">
        <v>0</v>
      </c>
      <c r="AV114" s="126">
        <f>SUM(AR114:AU114)</f>
        <v>0</v>
      </c>
    </row>
    <row r="115" spans="2:48" outlineLevel="1" x14ac:dyDescent="0.3">
      <c r="B115" s="180" t="s">
        <v>35</v>
      </c>
      <c r="C115" s="18"/>
      <c r="D115" s="48">
        <v>3.2</v>
      </c>
      <c r="E115" s="48">
        <v>3.1</v>
      </c>
      <c r="F115" s="48">
        <v>2.7</v>
      </c>
      <c r="G115" s="48">
        <v>2.6</v>
      </c>
      <c r="H115" s="49">
        <f>SUM(D115:G115)</f>
        <v>11.6</v>
      </c>
      <c r="I115" s="48">
        <v>2.4</v>
      </c>
      <c r="J115" s="48">
        <v>3</v>
      </c>
      <c r="K115" s="48">
        <v>2.5</v>
      </c>
      <c r="L115" s="48">
        <v>2.5</v>
      </c>
      <c r="M115" s="49">
        <f>SUM(I115:L115)</f>
        <v>10.4</v>
      </c>
      <c r="N115" s="48">
        <v>2.2000000000000002</v>
      </c>
      <c r="O115" s="48">
        <v>2.2999999999999998</v>
      </c>
      <c r="P115" s="48">
        <v>2.9</v>
      </c>
      <c r="Q115" s="105">
        <v>3.4</v>
      </c>
      <c r="R115" s="49">
        <f>SUM(N115:Q115)</f>
        <v>10.8</v>
      </c>
      <c r="S115" s="48">
        <v>3.3</v>
      </c>
      <c r="T115" s="48">
        <v>2.5</v>
      </c>
      <c r="U115" s="48">
        <v>2.2999999999999998</v>
      </c>
      <c r="V115" s="105">
        <v>4.0999999999999996</v>
      </c>
      <c r="W115" s="170">
        <f>SUM(S115:V115)</f>
        <v>12.2</v>
      </c>
      <c r="X115" s="105">
        <v>2</v>
      </c>
      <c r="Y115" s="105">
        <v>2.1</v>
      </c>
      <c r="Z115" s="48">
        <f t="shared" ref="Z115:AA115" si="379">Z116*Z108</f>
        <v>2.3920000000000003</v>
      </c>
      <c r="AA115" s="48">
        <f t="shared" si="379"/>
        <v>4.2639999999999993</v>
      </c>
      <c r="AB115" s="49">
        <f>SUM(X115:AA115)</f>
        <v>10.756</v>
      </c>
      <c r="AC115" s="48">
        <f t="shared" ref="AC115:AF115" si="380">AC116*AC108</f>
        <v>2.0800000000000005</v>
      </c>
      <c r="AD115" s="48">
        <f t="shared" si="380"/>
        <v>2.1840000000000002</v>
      </c>
      <c r="AE115" s="48">
        <f t="shared" si="380"/>
        <v>2.4876800000000001</v>
      </c>
      <c r="AF115" s="48">
        <f t="shared" si="380"/>
        <v>4.4345600000000003</v>
      </c>
      <c r="AG115" s="49">
        <f>SUM(AC115:AF115)</f>
        <v>11.186240000000002</v>
      </c>
      <c r="AH115" s="48">
        <f t="shared" ref="AH115:AK115" si="381">AH116*AH108</f>
        <v>2.1632000000000002</v>
      </c>
      <c r="AI115" s="48">
        <f t="shared" si="381"/>
        <v>2.27136</v>
      </c>
      <c r="AJ115" s="48">
        <f t="shared" si="381"/>
        <v>2.5871872000000002</v>
      </c>
      <c r="AK115" s="48">
        <f t="shared" si="381"/>
        <v>4.6119424000000002</v>
      </c>
      <c r="AL115" s="49">
        <f>SUM(AH115:AK115)</f>
        <v>11.6336896</v>
      </c>
      <c r="AM115" s="48">
        <f t="shared" ref="AM115:AP115" si="382">AM116*AM108</f>
        <v>2.2497280000000002</v>
      </c>
      <c r="AN115" s="48">
        <f t="shared" si="382"/>
        <v>2.3622144</v>
      </c>
      <c r="AO115" s="48">
        <f t="shared" si="382"/>
        <v>2.6906746880000001</v>
      </c>
      <c r="AP115" s="48">
        <f t="shared" si="382"/>
        <v>4.7964200960000012</v>
      </c>
      <c r="AQ115" s="49">
        <f>SUM(AM115:AP115)</f>
        <v>12.099037184</v>
      </c>
      <c r="AR115" s="48">
        <f t="shared" ref="AR115:AU115" si="383">AR116*AR108</f>
        <v>2.33971712</v>
      </c>
      <c r="AS115" s="48">
        <f t="shared" si="383"/>
        <v>2.4567029760000003</v>
      </c>
      <c r="AT115" s="48">
        <f t="shared" si="383"/>
        <v>2.7983016755200003</v>
      </c>
      <c r="AU115" s="48">
        <f t="shared" si="383"/>
        <v>4.9882768998400016</v>
      </c>
      <c r="AV115" s="49">
        <f>SUM(AR115:AU115)</f>
        <v>12.582998671360002</v>
      </c>
    </row>
    <row r="116" spans="2:48" s="184" customFormat="1" outlineLevel="1" x14ac:dyDescent="0.3">
      <c r="B116" s="181" t="s">
        <v>153</v>
      </c>
      <c r="C116" s="190"/>
      <c r="D116" s="187">
        <f>D115/D108</f>
        <v>6.3416567578279829E-3</v>
      </c>
      <c r="E116" s="187">
        <f t="shared" ref="E116:Y116" si="384">E115/E108</f>
        <v>6.9413345275414241E-3</v>
      </c>
      <c r="F116" s="187">
        <f t="shared" si="384"/>
        <v>5.0628164260266275E-3</v>
      </c>
      <c r="G116" s="187">
        <f t="shared" si="384"/>
        <v>5.1171029324936033E-3</v>
      </c>
      <c r="H116" s="188">
        <f t="shared" si="384"/>
        <v>5.8215396968784505E-3</v>
      </c>
      <c r="I116" s="187">
        <f t="shared" si="384"/>
        <v>4.8524059846340476E-3</v>
      </c>
      <c r="J116" s="187">
        <f t="shared" si="384"/>
        <v>5.7792332883837404E-3</v>
      </c>
      <c r="K116" s="187">
        <f t="shared" si="384"/>
        <v>5.5890900961323492E-3</v>
      </c>
      <c r="L116" s="187">
        <f t="shared" si="384"/>
        <v>5.387931034482759E-3</v>
      </c>
      <c r="M116" s="188">
        <f t="shared" si="384"/>
        <v>5.4025974025974028E-3</v>
      </c>
      <c r="N116" s="187">
        <f t="shared" si="384"/>
        <v>5.9235325794291874E-3</v>
      </c>
      <c r="O116" s="187">
        <f t="shared" si="384"/>
        <v>6.2178967288456337E-3</v>
      </c>
      <c r="P116" s="187">
        <f t="shared" si="384"/>
        <v>7.0048309178743955E-3</v>
      </c>
      <c r="Q116" s="167">
        <f t="shared" si="384"/>
        <v>7.7572438968742862E-3</v>
      </c>
      <c r="R116" s="188">
        <f t="shared" si="384"/>
        <v>6.7771084337349408E-3</v>
      </c>
      <c r="S116" s="187">
        <f t="shared" si="384"/>
        <v>7.9117717573723313E-3</v>
      </c>
      <c r="T116" s="187">
        <f t="shared" si="384"/>
        <v>5.3984020729863956E-3</v>
      </c>
      <c r="U116" s="187">
        <f t="shared" si="384"/>
        <v>4.7946633312486971E-3</v>
      </c>
      <c r="V116" s="167">
        <f t="shared" si="384"/>
        <v>8.4763283026669418E-3</v>
      </c>
      <c r="W116" s="186">
        <f t="shared" si="384"/>
        <v>6.6174875244087647E-3</v>
      </c>
      <c r="X116" s="167">
        <f t="shared" si="384"/>
        <v>4.1823504809703057E-3</v>
      </c>
      <c r="Y116" s="167">
        <f t="shared" si="384"/>
        <v>4.3686290825878929E-3</v>
      </c>
      <c r="Z116" s="189">
        <f t="shared" ref="Z116:AA116" si="385">U116</f>
        <v>4.7946633312486971E-3</v>
      </c>
      <c r="AA116" s="189">
        <f t="shared" si="385"/>
        <v>8.4763283026669418E-3</v>
      </c>
      <c r="AB116" s="188">
        <f t="shared" ref="AB116" si="386">AB115/AB108</f>
        <v>5.4854154044499384E-3</v>
      </c>
      <c r="AC116" s="189">
        <f t="shared" ref="AC116:AF116" si="387">X116</f>
        <v>4.1823504809703057E-3</v>
      </c>
      <c r="AD116" s="189">
        <f t="shared" si="387"/>
        <v>4.3686290825878929E-3</v>
      </c>
      <c r="AE116" s="189">
        <f t="shared" si="387"/>
        <v>4.7946633312486971E-3</v>
      </c>
      <c r="AF116" s="189">
        <f t="shared" si="387"/>
        <v>8.4763283026669418E-3</v>
      </c>
      <c r="AG116" s="188">
        <f t="shared" ref="AG116" si="388">AG115/AG108</f>
        <v>5.4854154044499384E-3</v>
      </c>
      <c r="AH116" s="189">
        <f t="shared" ref="AH116:AK116" si="389">AC116</f>
        <v>4.1823504809703057E-3</v>
      </c>
      <c r="AI116" s="189">
        <f t="shared" si="389"/>
        <v>4.3686290825878929E-3</v>
      </c>
      <c r="AJ116" s="189">
        <f t="shared" si="389"/>
        <v>4.7946633312486971E-3</v>
      </c>
      <c r="AK116" s="189">
        <f t="shared" si="389"/>
        <v>8.4763283026669418E-3</v>
      </c>
      <c r="AL116" s="188">
        <f t="shared" ref="AL116" si="390">AL115/AL108</f>
        <v>5.4854154044499375E-3</v>
      </c>
      <c r="AM116" s="189">
        <f t="shared" ref="AM116:AP116" si="391">AH116</f>
        <v>4.1823504809703057E-3</v>
      </c>
      <c r="AN116" s="189">
        <f t="shared" si="391"/>
        <v>4.3686290825878929E-3</v>
      </c>
      <c r="AO116" s="189">
        <f t="shared" si="391"/>
        <v>4.7946633312486971E-3</v>
      </c>
      <c r="AP116" s="189">
        <f t="shared" si="391"/>
        <v>8.4763283026669418E-3</v>
      </c>
      <c r="AQ116" s="188">
        <f t="shared" ref="AQ116" si="392">AQ115/AQ108</f>
        <v>5.4854154044499384E-3</v>
      </c>
      <c r="AR116" s="189">
        <f t="shared" ref="AR116:AU116" si="393">AM116</f>
        <v>4.1823504809703057E-3</v>
      </c>
      <c r="AS116" s="189">
        <f t="shared" si="393"/>
        <v>4.3686290825878929E-3</v>
      </c>
      <c r="AT116" s="189">
        <f t="shared" si="393"/>
        <v>4.7946633312486971E-3</v>
      </c>
      <c r="AU116" s="189">
        <f t="shared" si="393"/>
        <v>8.4763283026669418E-3</v>
      </c>
      <c r="AV116" s="188">
        <f t="shared" ref="AV116" si="394">AV115/AV108</f>
        <v>5.4854154044499384E-3</v>
      </c>
    </row>
    <row r="117" spans="2:48" ht="16.2" outlineLevel="1" x14ac:dyDescent="0.45">
      <c r="B117" s="180" t="s">
        <v>456</v>
      </c>
      <c r="C117" s="18"/>
      <c r="D117" s="119">
        <v>0</v>
      </c>
      <c r="E117" s="119">
        <v>0</v>
      </c>
      <c r="F117" s="119">
        <v>0</v>
      </c>
      <c r="G117" s="119">
        <v>0</v>
      </c>
      <c r="H117" s="131">
        <f>SUM(D117:G117)</f>
        <v>0</v>
      </c>
      <c r="I117" s="119">
        <v>0</v>
      </c>
      <c r="J117" s="119">
        <v>0</v>
      </c>
      <c r="K117" s="119">
        <v>0</v>
      </c>
      <c r="L117" s="119">
        <v>0</v>
      </c>
      <c r="M117" s="131">
        <f>SUM(I117:L117)</f>
        <v>0</v>
      </c>
      <c r="N117" s="119">
        <v>0</v>
      </c>
      <c r="O117" s="119">
        <v>0</v>
      </c>
      <c r="P117" s="119">
        <v>0</v>
      </c>
      <c r="Q117" s="119">
        <v>0</v>
      </c>
      <c r="R117" s="131">
        <f>SUM(N117:Q117)</f>
        <v>0</v>
      </c>
      <c r="S117" s="119">
        <v>0</v>
      </c>
      <c r="T117" s="119">
        <v>0</v>
      </c>
      <c r="U117" s="119">
        <v>0</v>
      </c>
      <c r="V117" s="119">
        <f>IFERROR((V163*(U117/U163)),0)</f>
        <v>0</v>
      </c>
      <c r="W117" s="131">
        <f>SUM(S117:V117)</f>
        <v>0</v>
      </c>
      <c r="X117" s="119">
        <f>IFERROR((X163*(V117/V163)),0)</f>
        <v>0</v>
      </c>
      <c r="Y117" s="119">
        <f>IFERROR((Y163*(X117/X163)),0)-91.3</f>
        <v>-91.3</v>
      </c>
      <c r="Z117" s="119">
        <f>IFERROR((Z163*(X117/X163)),0)</f>
        <v>0</v>
      </c>
      <c r="AA117" s="119">
        <f t="shared" ref="AA117" si="395">IFERROR((AA163*(Z117/Z163)),0)</f>
        <v>0</v>
      </c>
      <c r="AB117" s="131">
        <f>SUM(X117:AA117)</f>
        <v>-91.3</v>
      </c>
      <c r="AC117" s="119">
        <f>IFERROR((AC163*(AA117/AA163)),0)</f>
        <v>0</v>
      </c>
      <c r="AD117" s="119">
        <f t="shared" ref="AD117:AF117" si="396">IFERROR((AD163*(AC117/AC163)),0)</f>
        <v>0</v>
      </c>
      <c r="AE117" s="119">
        <f t="shared" si="396"/>
        <v>0</v>
      </c>
      <c r="AF117" s="119">
        <f t="shared" si="396"/>
        <v>0</v>
      </c>
      <c r="AG117" s="131">
        <f>SUM(AC117:AF117)</f>
        <v>0</v>
      </c>
      <c r="AH117" s="119">
        <f>IFERROR((AH163*(AF117/AF163)),0)</f>
        <v>0</v>
      </c>
      <c r="AI117" s="119">
        <f t="shared" ref="AI117:AK117" si="397">IFERROR((AI163*(AH117/AH163)),0)</f>
        <v>0</v>
      </c>
      <c r="AJ117" s="119">
        <f t="shared" si="397"/>
        <v>0</v>
      </c>
      <c r="AK117" s="119">
        <f t="shared" si="397"/>
        <v>0</v>
      </c>
      <c r="AL117" s="131">
        <f>SUM(AH117:AK117)</f>
        <v>0</v>
      </c>
      <c r="AM117" s="119">
        <f>IFERROR((AM163*(AK117/AK163)),0)</f>
        <v>0</v>
      </c>
      <c r="AN117" s="119">
        <f t="shared" ref="AN117:AP117" si="398">IFERROR((AN163*(AM117/AM163)),0)</f>
        <v>0</v>
      </c>
      <c r="AO117" s="119">
        <f t="shared" si="398"/>
        <v>0</v>
      </c>
      <c r="AP117" s="119">
        <f t="shared" si="398"/>
        <v>0</v>
      </c>
      <c r="AQ117" s="131">
        <f>SUM(AM117:AP117)</f>
        <v>0</v>
      </c>
      <c r="AR117" s="119">
        <f>IFERROR((AR163*(AP117/AP163)),0)</f>
        <v>0</v>
      </c>
      <c r="AS117" s="119">
        <f t="shared" ref="AS117:AU117" si="399">IFERROR((AS163*(AR117/AR163)),0)</f>
        <v>0</v>
      </c>
      <c r="AT117" s="119">
        <f t="shared" si="399"/>
        <v>0</v>
      </c>
      <c r="AU117" s="119">
        <f t="shared" si="399"/>
        <v>0</v>
      </c>
      <c r="AV117" s="131">
        <f>SUM(AR117:AU117)</f>
        <v>0</v>
      </c>
    </row>
    <row r="118" spans="2:48" outlineLevel="1" x14ac:dyDescent="0.3">
      <c r="B118" s="46" t="s">
        <v>52</v>
      </c>
      <c r="C118" s="19"/>
      <c r="D118" s="50">
        <f>D110+D112+D114+D115+D117</f>
        <v>370.2</v>
      </c>
      <c r="E118" s="50">
        <f t="shared" ref="E118:AV118" si="400">E110+E112+E114+E115+E117</f>
        <v>337.90000000000003</v>
      </c>
      <c r="F118" s="50">
        <f t="shared" si="400"/>
        <v>400.2</v>
      </c>
      <c r="G118" s="50">
        <f t="shared" si="400"/>
        <v>382.30000000000007</v>
      </c>
      <c r="H118" s="26">
        <f t="shared" si="400"/>
        <v>1490.6</v>
      </c>
      <c r="I118" s="50">
        <f t="shared" si="400"/>
        <v>362.1</v>
      </c>
      <c r="J118" s="50">
        <f t="shared" si="400"/>
        <v>372.6</v>
      </c>
      <c r="K118" s="50">
        <f t="shared" si="400"/>
        <v>374.09999999999997</v>
      </c>
      <c r="L118" s="50">
        <f t="shared" si="400"/>
        <v>349.1</v>
      </c>
      <c r="M118" s="26">
        <f t="shared" si="400"/>
        <v>1457.9000000000003</v>
      </c>
      <c r="N118" s="50">
        <f t="shared" si="400"/>
        <v>246.99999999999997</v>
      </c>
      <c r="O118" s="50">
        <f t="shared" si="400"/>
        <v>247.60000000000002</v>
      </c>
      <c r="P118" s="50">
        <f t="shared" si="400"/>
        <v>261.5</v>
      </c>
      <c r="Q118" s="103">
        <f t="shared" si="400"/>
        <v>298.2</v>
      </c>
      <c r="R118" s="26">
        <f t="shared" si="400"/>
        <v>1054.3</v>
      </c>
      <c r="S118" s="50">
        <f t="shared" si="400"/>
        <v>273.5</v>
      </c>
      <c r="T118" s="50">
        <f t="shared" si="400"/>
        <v>313.7</v>
      </c>
      <c r="U118" s="50">
        <f t="shared" si="400"/>
        <v>341.70000000000005</v>
      </c>
      <c r="V118" s="103">
        <f t="shared" si="400"/>
        <v>329.1</v>
      </c>
      <c r="W118" s="122">
        <f t="shared" si="400"/>
        <v>1258</v>
      </c>
      <c r="X118" s="103">
        <f t="shared" si="400"/>
        <v>309.2</v>
      </c>
      <c r="Y118" s="103">
        <f>Y110+Y112+Y114+Y115+Y117</f>
        <v>269.20000000000005</v>
      </c>
      <c r="Z118" s="50">
        <f t="shared" si="400"/>
        <v>376.55799999999999</v>
      </c>
      <c r="AA118" s="50">
        <f t="shared" si="400"/>
        <v>396.64143999999999</v>
      </c>
      <c r="AB118" s="26">
        <f t="shared" si="400"/>
        <v>1351.5994400000002</v>
      </c>
      <c r="AC118" s="50">
        <f t="shared" si="400"/>
        <v>385.02256</v>
      </c>
      <c r="AD118" s="50">
        <f t="shared" si="400"/>
        <v>387.12855999999999</v>
      </c>
      <c r="AE118" s="50">
        <f t="shared" si="400"/>
        <v>412.3740608</v>
      </c>
      <c r="AF118" s="50">
        <f t="shared" si="400"/>
        <v>417.73879679999999</v>
      </c>
      <c r="AG118" s="26">
        <f t="shared" si="400"/>
        <v>1602.2639775999999</v>
      </c>
      <c r="AH118" s="50">
        <f t="shared" si="400"/>
        <v>400.42346240000001</v>
      </c>
      <c r="AI118" s="50">
        <f t="shared" si="400"/>
        <v>402.61370239999997</v>
      </c>
      <c r="AJ118" s="50">
        <f t="shared" si="400"/>
        <v>423.47305062400005</v>
      </c>
      <c r="AK118" s="50">
        <f t="shared" si="400"/>
        <v>434.44834867200007</v>
      </c>
      <c r="AL118" s="26">
        <f t="shared" si="400"/>
        <v>1660.9585640960001</v>
      </c>
      <c r="AM118" s="50">
        <f t="shared" si="400"/>
        <v>416.44040089600003</v>
      </c>
      <c r="AN118" s="50">
        <f t="shared" si="400"/>
        <v>418.718250496</v>
      </c>
      <c r="AO118" s="50">
        <f t="shared" si="400"/>
        <v>440.41197264896005</v>
      </c>
      <c r="AP118" s="50">
        <f t="shared" si="400"/>
        <v>451.82628261888016</v>
      </c>
      <c r="AQ118" s="26">
        <f t="shared" si="400"/>
        <v>1727.3969066598404</v>
      </c>
      <c r="AR118" s="50">
        <f t="shared" si="400"/>
        <v>433.09801693183999</v>
      </c>
      <c r="AS118" s="50">
        <f t="shared" si="400"/>
        <v>435.46698051583996</v>
      </c>
      <c r="AT118" s="50">
        <f t="shared" si="400"/>
        <v>458.02845155491843</v>
      </c>
      <c r="AU118" s="50">
        <f t="shared" si="400"/>
        <v>469.89933392363531</v>
      </c>
      <c r="AV118" s="26">
        <f t="shared" si="400"/>
        <v>1796.4927829262338</v>
      </c>
    </row>
    <row r="119" spans="2:48" ht="16.2" outlineLevel="1" x14ac:dyDescent="0.45">
      <c r="B119" s="47" t="s">
        <v>36</v>
      </c>
      <c r="C119" s="44"/>
      <c r="D119" s="52">
        <v>41.4</v>
      </c>
      <c r="E119" s="104">
        <v>40.200000000000003</v>
      </c>
      <c r="F119" s="104">
        <v>48.8</v>
      </c>
      <c r="G119" s="104">
        <v>65.099999999999994</v>
      </c>
      <c r="H119" s="193">
        <f>SUM(D119:G119)</f>
        <v>195.49999999999997</v>
      </c>
      <c r="I119" s="104">
        <v>43</v>
      </c>
      <c r="J119" s="104">
        <v>43.1</v>
      </c>
      <c r="K119" s="104">
        <v>51</v>
      </c>
      <c r="L119" s="104">
        <v>83</v>
      </c>
      <c r="M119" s="193">
        <f>SUM(I119:L119)</f>
        <v>220.1</v>
      </c>
      <c r="N119" s="104">
        <v>56.4</v>
      </c>
      <c r="O119" s="104">
        <v>50.3</v>
      </c>
      <c r="P119" s="104">
        <v>63.5</v>
      </c>
      <c r="Q119" s="104">
        <v>79.7</v>
      </c>
      <c r="R119" s="193">
        <f>SUM(N119:Q119)</f>
        <v>249.89999999999998</v>
      </c>
      <c r="S119" s="104">
        <v>39.6</v>
      </c>
      <c r="T119" s="104">
        <v>48.5</v>
      </c>
      <c r="U119" s="104">
        <v>53.7</v>
      </c>
      <c r="V119" s="104">
        <v>90</v>
      </c>
      <c r="W119" s="214">
        <f>SUM(S119:V119)</f>
        <v>231.8</v>
      </c>
      <c r="X119" s="104">
        <v>57.3</v>
      </c>
      <c r="Y119" s="104">
        <v>50.6</v>
      </c>
      <c r="Z119" s="56">
        <f>Y119</f>
        <v>50.6</v>
      </c>
      <c r="AA119" s="56">
        <f>Z119</f>
        <v>50.6</v>
      </c>
      <c r="AB119" s="193">
        <f>SUM(X119:AA119)</f>
        <v>209.1</v>
      </c>
      <c r="AC119" s="56">
        <f>AA119</f>
        <v>50.6</v>
      </c>
      <c r="AD119" s="56">
        <f>AC119</f>
        <v>50.6</v>
      </c>
      <c r="AE119" s="56">
        <f>AD119</f>
        <v>50.6</v>
      </c>
      <c r="AF119" s="56">
        <f>AE119</f>
        <v>50.6</v>
      </c>
      <c r="AG119" s="193">
        <f>SUM(AC119:AF119)</f>
        <v>202.4</v>
      </c>
      <c r="AH119" s="56">
        <f>AF119</f>
        <v>50.6</v>
      </c>
      <c r="AI119" s="56">
        <f>AH119</f>
        <v>50.6</v>
      </c>
      <c r="AJ119" s="56">
        <f>AI119</f>
        <v>50.6</v>
      </c>
      <c r="AK119" s="56">
        <f>AJ119</f>
        <v>50.6</v>
      </c>
      <c r="AL119" s="193">
        <f>SUM(AH119:AK119)</f>
        <v>202.4</v>
      </c>
      <c r="AM119" s="56">
        <f>AK119</f>
        <v>50.6</v>
      </c>
      <c r="AN119" s="56">
        <f>AM119</f>
        <v>50.6</v>
      </c>
      <c r="AO119" s="56">
        <f>AN119</f>
        <v>50.6</v>
      </c>
      <c r="AP119" s="56">
        <f>AO119</f>
        <v>50.6</v>
      </c>
      <c r="AQ119" s="193">
        <f>SUM(AM119:AP119)</f>
        <v>202.4</v>
      </c>
      <c r="AR119" s="56">
        <f>AP119</f>
        <v>50.6</v>
      </c>
      <c r="AS119" s="56">
        <f>AR119</f>
        <v>50.6</v>
      </c>
      <c r="AT119" s="56">
        <f>AS119</f>
        <v>50.6</v>
      </c>
      <c r="AU119" s="56">
        <f>AT119</f>
        <v>50.6</v>
      </c>
      <c r="AV119" s="193">
        <f>SUM(AR119:AU119)</f>
        <v>202.4</v>
      </c>
    </row>
    <row r="120" spans="2:48" outlineLevel="1" x14ac:dyDescent="0.3">
      <c r="B120" s="46" t="s">
        <v>53</v>
      </c>
      <c r="C120" s="44"/>
      <c r="D120" s="156">
        <f t="shared" ref="D120:AV120" si="401">D108-D118+D119</f>
        <v>175.80000000000004</v>
      </c>
      <c r="E120" s="156">
        <f t="shared" si="401"/>
        <v>148.89999999999998</v>
      </c>
      <c r="F120" s="156">
        <f t="shared" si="401"/>
        <v>181.89999999999998</v>
      </c>
      <c r="G120" s="156">
        <f t="shared" si="401"/>
        <v>190.89999999999995</v>
      </c>
      <c r="H120" s="97">
        <f t="shared" si="401"/>
        <v>697.5</v>
      </c>
      <c r="I120" s="156">
        <f t="shared" si="401"/>
        <v>175.5</v>
      </c>
      <c r="J120" s="156">
        <f t="shared" si="401"/>
        <v>189.6</v>
      </c>
      <c r="K120" s="156">
        <f t="shared" si="401"/>
        <v>124.20000000000005</v>
      </c>
      <c r="L120" s="74">
        <f t="shared" si="401"/>
        <v>197.89999999999998</v>
      </c>
      <c r="M120" s="97">
        <f t="shared" si="401"/>
        <v>687.1999999999997</v>
      </c>
      <c r="N120" s="74">
        <f t="shared" si="401"/>
        <v>180.8</v>
      </c>
      <c r="O120" s="74">
        <f t="shared" si="401"/>
        <v>172.59999999999997</v>
      </c>
      <c r="P120" s="74">
        <f t="shared" si="401"/>
        <v>216</v>
      </c>
      <c r="Q120" s="74">
        <f t="shared" si="401"/>
        <v>219.8</v>
      </c>
      <c r="R120" s="97">
        <f t="shared" si="401"/>
        <v>789.19999999999993</v>
      </c>
      <c r="S120" s="74">
        <f t="shared" si="401"/>
        <v>183.20000000000002</v>
      </c>
      <c r="T120" s="74">
        <f t="shared" si="401"/>
        <v>197.90000000000003</v>
      </c>
      <c r="U120" s="74">
        <f t="shared" si="401"/>
        <v>191.69999999999993</v>
      </c>
      <c r="V120" s="156">
        <f t="shared" si="401"/>
        <v>244.59999999999997</v>
      </c>
      <c r="W120" s="132">
        <f t="shared" si="401"/>
        <v>817.40000000000009</v>
      </c>
      <c r="X120" s="156">
        <f t="shared" si="401"/>
        <v>226.3</v>
      </c>
      <c r="Y120" s="156">
        <f t="shared" si="401"/>
        <v>262.09999999999997</v>
      </c>
      <c r="Z120" s="74">
        <f t="shared" si="401"/>
        <v>172.93000000000004</v>
      </c>
      <c r="AA120" s="74">
        <f t="shared" si="401"/>
        <v>157.00656000000001</v>
      </c>
      <c r="AB120" s="97">
        <f t="shared" si="401"/>
        <v>818.33655999999985</v>
      </c>
      <c r="AC120" s="74">
        <f t="shared" si="401"/>
        <v>162.90544000000003</v>
      </c>
      <c r="AD120" s="74">
        <f t="shared" si="401"/>
        <v>163.39944</v>
      </c>
      <c r="AE120" s="74">
        <f t="shared" si="401"/>
        <v>157.06945920000001</v>
      </c>
      <c r="AF120" s="74">
        <f t="shared" si="401"/>
        <v>156.03112320000005</v>
      </c>
      <c r="AG120" s="97">
        <f t="shared" si="401"/>
        <v>639.40546240000037</v>
      </c>
      <c r="AH120" s="74">
        <f t="shared" si="401"/>
        <v>167.39765760000003</v>
      </c>
      <c r="AI120" s="74">
        <f t="shared" si="401"/>
        <v>167.91141760000002</v>
      </c>
      <c r="AJ120" s="74">
        <f t="shared" si="401"/>
        <v>166.72421017600001</v>
      </c>
      <c r="AK120" s="74">
        <f t="shared" si="401"/>
        <v>160.24836812800001</v>
      </c>
      <c r="AL120" s="97">
        <f t="shared" si="401"/>
        <v>662.28165350400025</v>
      </c>
      <c r="AM120" s="74">
        <f t="shared" si="401"/>
        <v>172.06956390399998</v>
      </c>
      <c r="AN120" s="74">
        <f t="shared" si="401"/>
        <v>172.60387430399996</v>
      </c>
      <c r="AO120" s="74">
        <f t="shared" si="401"/>
        <v>171.36917858304</v>
      </c>
      <c r="AP120" s="74">
        <f t="shared" si="401"/>
        <v>164.63430285311998</v>
      </c>
      <c r="AQ120" s="97">
        <f t="shared" si="401"/>
        <v>680.67691964415974</v>
      </c>
      <c r="AR120" s="74">
        <f t="shared" si="401"/>
        <v>176.92834646015999</v>
      </c>
      <c r="AS120" s="74">
        <f t="shared" si="401"/>
        <v>177.48402927616004</v>
      </c>
      <c r="AT120" s="74">
        <f t="shared" si="401"/>
        <v>176.19994572636162</v>
      </c>
      <c r="AU120" s="74">
        <f t="shared" si="401"/>
        <v>169.19567496724486</v>
      </c>
      <c r="AV120" s="97">
        <f t="shared" si="401"/>
        <v>699.80799642992667</v>
      </c>
    </row>
    <row r="121" spans="2:48" outlineLevel="1" x14ac:dyDescent="0.3">
      <c r="B121" s="46" t="s">
        <v>54</v>
      </c>
      <c r="C121" s="44"/>
      <c r="D121" s="157">
        <f>+D120/D108</f>
        <v>0.34839476813317488</v>
      </c>
      <c r="E121" s="157">
        <f>+E120/E108</f>
        <v>0.33340797133900574</v>
      </c>
      <c r="F121" s="157">
        <f>+F120/F108</f>
        <v>0.34108381773860863</v>
      </c>
      <c r="G121" s="157">
        <f>+G120/G108</f>
        <v>0.37571344223578024</v>
      </c>
      <c r="H121" s="125">
        <f>H120/H108</f>
        <v>0.35004516711833789</v>
      </c>
      <c r="I121" s="157">
        <f t="shared" ref="I121:AV121" si="402">+I120/I108</f>
        <v>0.3548321876263647</v>
      </c>
      <c r="J121" s="157">
        <f t="shared" si="402"/>
        <v>0.36524754382585239</v>
      </c>
      <c r="K121" s="157">
        <f t="shared" si="402"/>
        <v>0.27766599597585523</v>
      </c>
      <c r="L121" s="75">
        <f t="shared" si="402"/>
        <v>0.42650862068965512</v>
      </c>
      <c r="M121" s="98">
        <f t="shared" si="402"/>
        <v>0.35698701298701285</v>
      </c>
      <c r="N121" s="75">
        <f t="shared" si="402"/>
        <v>0.48680667743672595</v>
      </c>
      <c r="O121" s="75">
        <f t="shared" si="402"/>
        <v>0.46661259799945926</v>
      </c>
      <c r="P121" s="75">
        <f t="shared" si="402"/>
        <v>0.52173913043478259</v>
      </c>
      <c r="Q121" s="75">
        <f t="shared" si="402"/>
        <v>0.50148300250969657</v>
      </c>
      <c r="R121" s="98">
        <f t="shared" si="402"/>
        <v>0.49523092369477911</v>
      </c>
      <c r="S121" s="75">
        <f t="shared" si="402"/>
        <v>0.43922320786382163</v>
      </c>
      <c r="T121" s="75">
        <f t="shared" si="402"/>
        <v>0.42733750809760318</v>
      </c>
      <c r="U121" s="75">
        <f t="shared" si="402"/>
        <v>0.3996247654784239</v>
      </c>
      <c r="V121" s="157">
        <f t="shared" si="402"/>
        <v>0.50568534215422778</v>
      </c>
      <c r="W121" s="133">
        <f t="shared" si="402"/>
        <v>0.44337166413538731</v>
      </c>
      <c r="X121" s="157">
        <f t="shared" si="402"/>
        <v>0.47323295692179007</v>
      </c>
      <c r="Y121" s="75">
        <f>+Y120/Y108</f>
        <v>0.54524651549823167</v>
      </c>
      <c r="Z121" s="75">
        <f t="shared" si="402"/>
        <v>0.3466309071374738</v>
      </c>
      <c r="AA121" s="75">
        <f t="shared" si="402"/>
        <v>0.31211049442597927</v>
      </c>
      <c r="AB121" s="98">
        <f t="shared" si="402"/>
        <v>0.41734064450061087</v>
      </c>
      <c r="AC121" s="75">
        <f t="shared" si="402"/>
        <v>0.32756136795032659</v>
      </c>
      <c r="AD121" s="75">
        <f t="shared" si="402"/>
        <v>0.32684594581619753</v>
      </c>
      <c r="AE121" s="75">
        <f t="shared" si="402"/>
        <v>0.30272992365790752</v>
      </c>
      <c r="AF121" s="75">
        <f t="shared" si="402"/>
        <v>0.29824177047487754</v>
      </c>
      <c r="AG121" s="98">
        <f t="shared" si="402"/>
        <v>0.31354633667241161</v>
      </c>
      <c r="AH121" s="75">
        <f t="shared" si="402"/>
        <v>0.32364814801066133</v>
      </c>
      <c r="AI121" s="75">
        <f t="shared" si="402"/>
        <v>0.32295307755085967</v>
      </c>
      <c r="AJ121" s="75">
        <f t="shared" si="402"/>
        <v>0.30897897800447838</v>
      </c>
      <c r="AK121" s="75">
        <f t="shared" si="402"/>
        <v>0.29452184359881806</v>
      </c>
      <c r="AL121" s="98">
        <f t="shared" si="402"/>
        <v>0.31227324340984813</v>
      </c>
      <c r="AM121" s="75">
        <f t="shared" si="402"/>
        <v>0.31988543653021384</v>
      </c>
      <c r="AN121" s="75">
        <f t="shared" si="402"/>
        <v>0.31920993498803468</v>
      </c>
      <c r="AO121" s="75">
        <f t="shared" si="402"/>
        <v>0.3053722994915658</v>
      </c>
      <c r="AP121" s="75">
        <f t="shared" si="402"/>
        <v>0.29094499083337622</v>
      </c>
      <c r="AQ121" s="98">
        <f t="shared" si="402"/>
        <v>0.30860270976001708</v>
      </c>
      <c r="AR121" s="75">
        <f t="shared" si="402"/>
        <v>0.31626744472209145</v>
      </c>
      <c r="AS121" s="75">
        <f t="shared" si="402"/>
        <v>0.31561075944685701</v>
      </c>
      <c r="AT121" s="75">
        <f t="shared" si="402"/>
        <v>0.30190433938299605</v>
      </c>
      <c r="AU121" s="75">
        <f t="shared" si="402"/>
        <v>0.2875057093281439</v>
      </c>
      <c r="AV121" s="98">
        <f t="shared" si="402"/>
        <v>0.30507335048133377</v>
      </c>
    </row>
    <row r="122" spans="2:48" ht="17.399999999999999" x14ac:dyDescent="0.45">
      <c r="B122" s="583" t="s">
        <v>55</v>
      </c>
      <c r="C122" s="584"/>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4" t="s">
        <v>408</v>
      </c>
      <c r="Y122" s="14" t="s">
        <v>452</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580" t="s">
        <v>127</v>
      </c>
      <c r="C123" s="581"/>
      <c r="D123" s="48">
        <v>11.6</v>
      </c>
      <c r="E123" s="48">
        <v>15.8</v>
      </c>
      <c r="F123" s="48">
        <v>23.3</v>
      </c>
      <c r="G123" s="48">
        <v>15.4</v>
      </c>
      <c r="H123" s="31">
        <f>SUM(D123:G123)</f>
        <v>66.100000000000009</v>
      </c>
      <c r="I123" s="48">
        <v>20.5</v>
      </c>
      <c r="J123" s="48">
        <v>12</v>
      </c>
      <c r="K123" s="48">
        <v>19.7</v>
      </c>
      <c r="L123" s="48">
        <v>13.9</v>
      </c>
      <c r="M123" s="31">
        <f>SUM(I123:L123)</f>
        <v>66.100000000000009</v>
      </c>
      <c r="N123" s="48">
        <v>20.5</v>
      </c>
      <c r="O123" s="48">
        <v>22.6</v>
      </c>
      <c r="P123" s="48">
        <v>23.8</v>
      </c>
      <c r="Q123" s="105">
        <v>30.8</v>
      </c>
      <c r="R123" s="31">
        <f>SUM(N123:Q123)</f>
        <v>97.7</v>
      </c>
      <c r="S123" s="48">
        <v>25.1</v>
      </c>
      <c r="T123" s="48">
        <v>24.4</v>
      </c>
      <c r="U123" s="48">
        <v>27.3</v>
      </c>
      <c r="V123" s="48">
        <v>19.100000000000001</v>
      </c>
      <c r="W123" s="31">
        <f>SUM(S123:V123)</f>
        <v>95.9</v>
      </c>
      <c r="X123" s="105">
        <v>4.3</v>
      </c>
      <c r="Y123" s="105">
        <v>3.7</v>
      </c>
      <c r="Z123" s="48">
        <f>+U123*(1+Z124)</f>
        <v>4.0950000000000006</v>
      </c>
      <c r="AA123" s="48">
        <f t="shared" ref="AA123" si="403">+V123*(1+AA124)</f>
        <v>4.7750000000000004</v>
      </c>
      <c r="AB123" s="31">
        <f>SUM(X123:AA123)</f>
        <v>16.87</v>
      </c>
      <c r="AC123" s="48">
        <f>+X123*(1+AC124)</f>
        <v>4.7300000000000004</v>
      </c>
      <c r="AD123" s="48">
        <f>+Y123*(1+AD124)</f>
        <v>4.07</v>
      </c>
      <c r="AE123" s="48">
        <f>+Z123*(1+AE124)</f>
        <v>4.5045000000000011</v>
      </c>
      <c r="AF123" s="48">
        <f t="shared" ref="AF123" si="404">+AA123*(1+AF124)</f>
        <v>5.2525000000000004</v>
      </c>
      <c r="AG123" s="31">
        <f>SUM(AC123:AF123)</f>
        <v>18.557000000000002</v>
      </c>
      <c r="AH123" s="48">
        <f>+AC123*(1+AH124)</f>
        <v>5.2030000000000012</v>
      </c>
      <c r="AI123" s="48">
        <f>+AD123*(1+AI124)</f>
        <v>4.4770000000000003</v>
      </c>
      <c r="AJ123" s="48">
        <f>+AE123*(1+AJ124)</f>
        <v>4.954950000000002</v>
      </c>
      <c r="AK123" s="48">
        <f t="shared" ref="AK123" si="405">+AF123*(1+AK124)</f>
        <v>5.7777500000000011</v>
      </c>
      <c r="AL123" s="31">
        <f>SUM(AH123:AK123)</f>
        <v>20.412700000000005</v>
      </c>
      <c r="AM123" s="48">
        <f>+AH123*(1+AM124)</f>
        <v>5.7233000000000018</v>
      </c>
      <c r="AN123" s="48">
        <f>+AI123*(1+AN124)</f>
        <v>4.9247000000000005</v>
      </c>
      <c r="AO123" s="48">
        <f>+AJ123*(1+AO124)</f>
        <v>5.4504450000000029</v>
      </c>
      <c r="AP123" s="48">
        <f t="shared" ref="AP123" si="406">+AK123*(1+AP124)</f>
        <v>6.3555250000000019</v>
      </c>
      <c r="AQ123" s="31">
        <f>SUM(AM123:AP123)</f>
        <v>22.453970000000005</v>
      </c>
      <c r="AR123" s="48">
        <f>+AM123*(1+AR124)</f>
        <v>6.2956300000000027</v>
      </c>
      <c r="AS123" s="48">
        <f>+AN123*(1+AS124)</f>
        <v>5.4171700000000014</v>
      </c>
      <c r="AT123" s="48">
        <f>+AO123*(1+AT124)</f>
        <v>5.9954895000000032</v>
      </c>
      <c r="AU123" s="48">
        <f t="shared" ref="AU123" si="407">+AP123*(1+AU124)</f>
        <v>6.9910775000000029</v>
      </c>
      <c r="AV123" s="31">
        <f>SUM(AR123:AU123)</f>
        <v>24.699367000000009</v>
      </c>
    </row>
    <row r="124" spans="2:48" s="8" customFormat="1" outlineLevel="1" x14ac:dyDescent="0.3">
      <c r="B124" s="38" t="s">
        <v>128</v>
      </c>
      <c r="C124" s="201"/>
      <c r="D124" s="30"/>
      <c r="E124" s="30"/>
      <c r="F124" s="30"/>
      <c r="G124" s="118"/>
      <c r="H124" s="130"/>
      <c r="I124" s="118">
        <f t="shared" ref="I124:J124" si="408">I123/D123-1</f>
        <v>0.76724137931034497</v>
      </c>
      <c r="J124" s="118">
        <f t="shared" si="408"/>
        <v>-0.24050632911392411</v>
      </c>
      <c r="K124" s="118">
        <f>K123/F123-1</f>
        <v>-0.15450643776824036</v>
      </c>
      <c r="L124" s="118">
        <f>L123/G123-1</f>
        <v>-9.740259740259738E-2</v>
      </c>
      <c r="M124" s="128">
        <f>M123/H123-1</f>
        <v>0</v>
      </c>
      <c r="N124" s="118">
        <f t="shared" ref="N124:Q124" si="409">N123/I123-1</f>
        <v>0</v>
      </c>
      <c r="O124" s="118">
        <f t="shared" si="409"/>
        <v>0.88333333333333353</v>
      </c>
      <c r="P124" s="118">
        <f t="shared" si="409"/>
        <v>0.20812182741116758</v>
      </c>
      <c r="Q124" s="118">
        <f t="shared" si="409"/>
        <v>1.2158273381294964</v>
      </c>
      <c r="R124" s="128">
        <f>R123/M123-1</f>
        <v>0.47806354009077134</v>
      </c>
      <c r="S124" s="118">
        <f t="shared" ref="S124:X124" si="410">S123/N123-1</f>
        <v>0.224390243902439</v>
      </c>
      <c r="T124" s="118">
        <f t="shared" si="410"/>
        <v>7.9646017699114946E-2</v>
      </c>
      <c r="U124" s="118">
        <f t="shared" si="410"/>
        <v>0.14705882352941169</v>
      </c>
      <c r="V124" s="118">
        <f t="shared" si="410"/>
        <v>-0.3798701298701298</v>
      </c>
      <c r="W124" s="128">
        <f>W123/R123-1</f>
        <v>-1.842374616171949E-2</v>
      </c>
      <c r="X124" s="118">
        <f t="shared" si="410"/>
        <v>-0.82868525896414347</v>
      </c>
      <c r="Y124" s="118">
        <f>Y123/T123-1</f>
        <v>-0.84836065573770492</v>
      </c>
      <c r="Z124" s="34">
        <v>-0.85</v>
      </c>
      <c r="AA124" s="34">
        <v>-0.75</v>
      </c>
      <c r="AB124" s="128">
        <f>AB123/W123-1</f>
        <v>-0.82408759124087594</v>
      </c>
      <c r="AC124" s="34">
        <v>0.1</v>
      </c>
      <c r="AD124" s="34">
        <v>0.1</v>
      </c>
      <c r="AE124" s="34">
        <v>0.1</v>
      </c>
      <c r="AF124" s="34">
        <v>0.1</v>
      </c>
      <c r="AG124" s="128">
        <f>AG123/AB123-1</f>
        <v>0.10000000000000009</v>
      </c>
      <c r="AH124" s="34">
        <v>0.1</v>
      </c>
      <c r="AI124" s="34">
        <v>0.1</v>
      </c>
      <c r="AJ124" s="34">
        <v>0.1</v>
      </c>
      <c r="AK124" s="34">
        <v>0.1</v>
      </c>
      <c r="AL124" s="128">
        <f>AL123/AG123-1</f>
        <v>0.10000000000000009</v>
      </c>
      <c r="AM124" s="34">
        <v>0.1</v>
      </c>
      <c r="AN124" s="34">
        <v>0.1</v>
      </c>
      <c r="AO124" s="34">
        <v>0.1</v>
      </c>
      <c r="AP124" s="34">
        <v>0.1</v>
      </c>
      <c r="AQ124" s="128">
        <f>AQ123/AL123-1</f>
        <v>0.10000000000000009</v>
      </c>
      <c r="AR124" s="34">
        <v>0.1</v>
      </c>
      <c r="AS124" s="34">
        <v>0.1</v>
      </c>
      <c r="AT124" s="34">
        <v>0.1</v>
      </c>
      <c r="AU124" s="34">
        <v>0.1</v>
      </c>
      <c r="AV124" s="128">
        <f>AV123/AQ123-1</f>
        <v>0.10000000000000009</v>
      </c>
    </row>
    <row r="125" spans="2:48" outlineLevel="1" x14ac:dyDescent="0.3">
      <c r="B125" s="607" t="s">
        <v>100</v>
      </c>
      <c r="C125" s="608"/>
      <c r="D125" s="48">
        <v>13.4</v>
      </c>
      <c r="E125" s="48">
        <v>15.9</v>
      </c>
      <c r="F125" s="48">
        <v>22.4</v>
      </c>
      <c r="G125" s="105">
        <v>15.5</v>
      </c>
      <c r="H125" s="170"/>
      <c r="I125" s="105">
        <v>20.7</v>
      </c>
      <c r="J125" s="105">
        <v>10.199999999999999</v>
      </c>
      <c r="K125" s="105">
        <v>20.8</v>
      </c>
      <c r="L125" s="105">
        <v>11.6</v>
      </c>
      <c r="M125" s="31">
        <f>SUM(I125:L125)</f>
        <v>63.300000000000004</v>
      </c>
      <c r="N125" s="105">
        <v>19</v>
      </c>
      <c r="O125" s="105">
        <v>19.399999999999999</v>
      </c>
      <c r="P125" s="105">
        <v>19.8</v>
      </c>
      <c r="Q125" s="105">
        <v>28.2</v>
      </c>
      <c r="R125" s="31">
        <f>SUM(N125:Q125)</f>
        <v>86.4</v>
      </c>
      <c r="S125" s="105">
        <v>22.9</v>
      </c>
      <c r="T125" s="105">
        <v>20.8</v>
      </c>
      <c r="U125" s="105">
        <v>24.3</v>
      </c>
      <c r="V125" s="105">
        <v>20.399999999999999</v>
      </c>
      <c r="W125" s="31">
        <f>SUM(S125:V125)</f>
        <v>88.4</v>
      </c>
      <c r="X125" s="105">
        <v>4.8</v>
      </c>
      <c r="Y125" s="105">
        <v>1.5</v>
      </c>
      <c r="Z125" s="105">
        <f>AVERAGE(Y125,X125,V125,U125)</f>
        <v>12.75</v>
      </c>
      <c r="AA125" s="105">
        <f>AVERAGE(Z125,Y125,X125,V125)</f>
        <v>9.8625000000000007</v>
      </c>
      <c r="AB125" s="126">
        <f>SUM(X125:AA125)</f>
        <v>28.912500000000001</v>
      </c>
      <c r="AC125" s="105">
        <f>AVERAGE(X125,AA125,Z125,Y125)</f>
        <v>7.2281250000000004</v>
      </c>
      <c r="AD125" s="105">
        <f>AVERAGE(AC125,AA125,Z125,Y125)</f>
        <v>7.8351562500000007</v>
      </c>
      <c r="AE125" s="105">
        <f>AVERAGE(AD125,AC125,AA125,Z125)</f>
        <v>9.4189453125</v>
      </c>
      <c r="AF125" s="105">
        <f>AVERAGE(AE125,AD125,AC125,AA125)</f>
        <v>8.586181640625</v>
      </c>
      <c r="AG125" s="31">
        <f>SUM(AC125:AF125)</f>
        <v>33.068408203125003</v>
      </c>
      <c r="AH125" s="105">
        <f>AVERAGE(AC125,AF125,AE125,AD125)</f>
        <v>8.2671020507812507</v>
      </c>
      <c r="AI125" s="105">
        <f>AVERAGE(AH125,AF125,AE125,AD125)</f>
        <v>8.5268463134765629</v>
      </c>
      <c r="AJ125" s="105">
        <f>AVERAGE(AI125,AH125,AF125,AE125)</f>
        <v>8.6997688293457038</v>
      </c>
      <c r="AK125" s="105">
        <f>AVERAGE(AJ125,AI125,AH125,AF125)</f>
        <v>8.5199747085571289</v>
      </c>
      <c r="AL125" s="31">
        <f>SUM(AH125:AK125)</f>
        <v>34.013691902160645</v>
      </c>
      <c r="AM125" s="105">
        <f>AVERAGE(AH125,AK125,AJ125,AI125)</f>
        <v>8.5034229755401611</v>
      </c>
      <c r="AN125" s="105">
        <f>AVERAGE(AM125,AK125,AJ125,AI125)</f>
        <v>8.5625032067298896</v>
      </c>
      <c r="AO125" s="105">
        <f>AVERAGE(AN125,AM125,AK125,AJ125)</f>
        <v>8.5714174300432209</v>
      </c>
      <c r="AP125" s="105">
        <f>AVERAGE(AO125,AN125,AM125,AK125)</f>
        <v>8.5393295802176006</v>
      </c>
      <c r="AQ125" s="31">
        <f>SUM(AM125:AP125)</f>
        <v>34.17667319253087</v>
      </c>
      <c r="AR125" s="105">
        <f>AVERAGE(AM125,AP125,AO125,AN125)</f>
        <v>8.5441682981327176</v>
      </c>
      <c r="AS125" s="105">
        <f>AVERAGE(AR125,AP125,AO125,AN125)</f>
        <v>8.5543546287808567</v>
      </c>
      <c r="AT125" s="105">
        <f>AVERAGE(AS125,AR125,AP125,AO125)</f>
        <v>8.5523174842935994</v>
      </c>
      <c r="AU125" s="105">
        <f>AVERAGE(AT125,AS125,AR125,AP125)</f>
        <v>8.5475424978561936</v>
      </c>
      <c r="AV125" s="31">
        <f>SUM(AR125:AU125)</f>
        <v>34.198382909063369</v>
      </c>
    </row>
    <row r="126" spans="2:48" outlineLevel="1" x14ac:dyDescent="0.3">
      <c r="B126" s="180" t="s">
        <v>33</v>
      </c>
      <c r="C126" s="18"/>
      <c r="D126" s="48">
        <v>3.2</v>
      </c>
      <c r="E126" s="48">
        <v>4.3</v>
      </c>
      <c r="F126" s="48">
        <v>5.8</v>
      </c>
      <c r="G126" s="105">
        <f>5.2+0.1</f>
        <v>5.3</v>
      </c>
      <c r="H126" s="170"/>
      <c r="I126" s="105">
        <v>2.8</v>
      </c>
      <c r="J126" s="105">
        <v>3.7</v>
      </c>
      <c r="K126" s="105">
        <v>4</v>
      </c>
      <c r="L126" s="105">
        <v>3.4</v>
      </c>
      <c r="M126" s="31">
        <f t="shared" ref="M126:M129" si="411">SUM(I126:L126)</f>
        <v>13.9</v>
      </c>
      <c r="N126" s="105">
        <v>3.6</v>
      </c>
      <c r="O126" s="105">
        <v>3.4</v>
      </c>
      <c r="P126" s="105">
        <v>3.3</v>
      </c>
      <c r="Q126" s="105">
        <v>4.5</v>
      </c>
      <c r="R126" s="31">
        <f t="shared" ref="R126:R129" si="412">SUM(N126:Q126)</f>
        <v>14.8</v>
      </c>
      <c r="S126" s="105">
        <v>2.9</v>
      </c>
      <c r="T126" s="105">
        <v>4.4000000000000004</v>
      </c>
      <c r="U126" s="105">
        <v>5.9</v>
      </c>
      <c r="V126" s="105">
        <v>3.3</v>
      </c>
      <c r="W126" s="31">
        <f t="shared" ref="W126:W129" si="413">SUM(S126:V126)</f>
        <v>16.5</v>
      </c>
      <c r="X126" s="105">
        <v>0</v>
      </c>
      <c r="Y126" s="105">
        <v>0.1</v>
      </c>
      <c r="Z126" s="105">
        <f>AVERAGE(Y126,X126,V126,U126)</f>
        <v>2.3250000000000002</v>
      </c>
      <c r="AA126" s="105">
        <f>AVERAGE(Z126,Y126,X126,V126)</f>
        <v>1.4312499999999999</v>
      </c>
      <c r="AB126" s="31">
        <f t="shared" ref="AB126:AB129" si="414">SUM(X126:AA126)</f>
        <v>3.8562500000000002</v>
      </c>
      <c r="AC126" s="105">
        <f>AVERAGE(X126,AA126,Z126,Y126)</f>
        <v>0.96406250000000004</v>
      </c>
      <c r="AD126" s="105">
        <f>AVERAGE(AC126,AA126,Z126,Y126)</f>
        <v>1.205078125</v>
      </c>
      <c r="AE126" s="105">
        <f>AVERAGE(AD126,AC126,AA126,Z126)</f>
        <v>1.4813476562500001</v>
      </c>
      <c r="AF126" s="105">
        <f>AVERAGE(AE126,AD126,AC126,AA126)</f>
        <v>1.2704345703125002</v>
      </c>
      <c r="AG126" s="31">
        <f t="shared" ref="AG126:AG129" si="415">SUM(AC126:AF126)</f>
        <v>4.9209228515624996</v>
      </c>
      <c r="AH126" s="105">
        <f>AVERAGE(AC126,AF126,AE126,AD126)</f>
        <v>1.2302307128906249</v>
      </c>
      <c r="AI126" s="105">
        <f>AVERAGE(AH126,AF126,AE126,AD126)</f>
        <v>1.2967727661132813</v>
      </c>
      <c r="AJ126" s="105">
        <f>AVERAGE(AI126,AH126,AF126,AE126)</f>
        <v>1.3196964263916016</v>
      </c>
      <c r="AK126" s="105">
        <f>AVERAGE(AJ126,AI126,AH126,AF126)</f>
        <v>1.279283618927002</v>
      </c>
      <c r="AL126" s="31">
        <f t="shared" ref="AL126:AL129" si="416">SUM(AH126:AK126)</f>
        <v>5.1259835243225105</v>
      </c>
      <c r="AM126" s="105">
        <f>AVERAGE(AH126,AK126,AJ126,AI126)</f>
        <v>1.2814958810806274</v>
      </c>
      <c r="AN126" s="105">
        <f>AVERAGE(AM126,AK126,AJ126,AI126)</f>
        <v>1.294312173128128</v>
      </c>
      <c r="AO126" s="105">
        <f>AVERAGE(AN126,AM126,AK126,AJ126)</f>
        <v>1.2936970248818396</v>
      </c>
      <c r="AP126" s="105">
        <f>AVERAGE(AO126,AN126,AM126,AK126)</f>
        <v>1.2871971745043993</v>
      </c>
      <c r="AQ126" s="31">
        <f t="shared" ref="AQ126:AQ129" si="417">SUM(AM126:AP126)</f>
        <v>5.156702253594994</v>
      </c>
      <c r="AR126" s="105">
        <f>AVERAGE(AM126,AP126,AO126,AN126)</f>
        <v>1.2891755633987487</v>
      </c>
      <c r="AS126" s="105">
        <f>AVERAGE(AR126,AP126,AO126,AN126)</f>
        <v>1.2910954839782789</v>
      </c>
      <c r="AT126" s="105">
        <f>AVERAGE(AS126,AR126,AP126,AO126)</f>
        <v>1.2902913116908166</v>
      </c>
      <c r="AU126" s="105">
        <f>AVERAGE(AT126,AS126,AR126,AP126)</f>
        <v>1.2894398833930607</v>
      </c>
      <c r="AV126" s="31">
        <f t="shared" ref="AV126:AV129" si="418">SUM(AR126:AU126)</f>
        <v>5.1600022424609051</v>
      </c>
    </row>
    <row r="127" spans="2:48" outlineLevel="1" x14ac:dyDescent="0.3">
      <c r="B127" s="180" t="s">
        <v>34</v>
      </c>
      <c r="C127" s="18"/>
      <c r="D127" s="358">
        <v>39.5</v>
      </c>
      <c r="E127" s="358">
        <v>40.5</v>
      </c>
      <c r="F127" s="358">
        <v>39.6</v>
      </c>
      <c r="G127" s="358">
        <v>37.299999999999997</v>
      </c>
      <c r="H127" s="130"/>
      <c r="I127" s="358">
        <v>34.9</v>
      </c>
      <c r="J127" s="358">
        <v>34.5</v>
      </c>
      <c r="K127" s="358">
        <v>40.9</v>
      </c>
      <c r="L127" s="358">
        <v>39.5</v>
      </c>
      <c r="M127" s="126">
        <f t="shared" si="411"/>
        <v>149.80000000000001</v>
      </c>
      <c r="N127" s="358">
        <v>37</v>
      </c>
      <c r="O127" s="358">
        <v>37</v>
      </c>
      <c r="P127" s="358">
        <v>35.5</v>
      </c>
      <c r="Q127" s="358">
        <v>32.9</v>
      </c>
      <c r="R127" s="126">
        <f t="shared" si="412"/>
        <v>142.4</v>
      </c>
      <c r="S127" s="358">
        <v>32.9</v>
      </c>
      <c r="T127" s="358">
        <v>32.299999999999997</v>
      </c>
      <c r="U127" s="358">
        <v>30.6</v>
      </c>
      <c r="V127" s="358">
        <v>30.7</v>
      </c>
      <c r="W127" s="126">
        <f t="shared" si="413"/>
        <v>126.49999999999999</v>
      </c>
      <c r="X127" s="358">
        <v>28.7</v>
      </c>
      <c r="Y127" s="358">
        <v>29.3</v>
      </c>
      <c r="Z127" s="358">
        <f>(Y127/(Y66+Y99+Y114+Y127))*'CFS (Base)'!Z7*0.95</f>
        <v>30.763597252666329</v>
      </c>
      <c r="AA127" s="358">
        <f>(Z127/(Z66+Z99+Z114+Z127))*'CFS (Base)'!AA7*0.95</f>
        <v>31.636772607948739</v>
      </c>
      <c r="AB127" s="126">
        <f t="shared" si="414"/>
        <v>120.40036986061507</v>
      </c>
      <c r="AC127" s="358">
        <f>(AA127/(AA66+AA99+AA114+AA127))*'CFS (Base)'!AC7*0.95</f>
        <v>33.015782869199015</v>
      </c>
      <c r="AD127" s="358">
        <f>(AC127/(AC66+AC99+AC114+AC127))*'CFS (Base)'!AD7*0.95</f>
        <v>34.521353993135435</v>
      </c>
      <c r="AE127" s="358">
        <f>(AD127/(AD66+AD99+AD114+AD127))*'CFS (Base)'!AE7*0.95</f>
        <v>35.681534396665569</v>
      </c>
      <c r="AF127" s="358">
        <f>(AE127/(AE66+AE99+AE114+AE127))*'CFS (Base)'!AF7*0.95</f>
        <v>36.702464619390874</v>
      </c>
      <c r="AG127" s="126">
        <f t="shared" si="415"/>
        <v>139.92113587839088</v>
      </c>
      <c r="AH127" s="358">
        <f>(AF127/(AF66+AF99+AF114+AF127))*'CFS (Base)'!AH7*0.95</f>
        <v>37.879578309515303</v>
      </c>
      <c r="AI127" s="358">
        <f>(AH127/(AH66+AH99+AH114+AH127))*'CFS (Base)'!AI7*0.95</f>
        <v>38.871306095122932</v>
      </c>
      <c r="AJ127" s="358">
        <f>(AI127/(AI66+AI99+AI114+AI127))*'CFS (Base)'!AJ7*0.95</f>
        <v>39.692490246996286</v>
      </c>
      <c r="AK127" s="358">
        <f>(AJ127/(AJ66+AJ99+AJ114+AJ127))*'CFS (Base)'!AK7*0.95</f>
        <v>40.640033153047071</v>
      </c>
      <c r="AL127" s="126">
        <f t="shared" si="416"/>
        <v>157.0834078046816</v>
      </c>
      <c r="AM127" s="358">
        <f>(AK127/(AK66+AK99+AK114+AK127))*'CFS (Base)'!AM7*0.95</f>
        <v>41.617823156216936</v>
      </c>
      <c r="AN127" s="358">
        <f>(AM127/(AM66+AM99+AM114+AM127))*'CFS (Base)'!AN7*0.95</f>
        <v>42.641622479686689</v>
      </c>
      <c r="AO127" s="358">
        <f>(AN127/(AN66+AN99+AN114+AN127))*'CFS (Base)'!AO7*0.95</f>
        <v>43.533401900800676</v>
      </c>
      <c r="AP127" s="358">
        <f>(AO127/(AO66+AO99+AO114+AO127))*'CFS (Base)'!AP7*0.95</f>
        <v>44.582997864186197</v>
      </c>
      <c r="AQ127" s="126">
        <f t="shared" si="417"/>
        <v>172.37584540089051</v>
      </c>
      <c r="AR127" s="358">
        <f>(AP127/(AP66+AP99+AP114+AP127))*'CFS (Base)'!AR7*0.95</f>
        <v>45.615940652983916</v>
      </c>
      <c r="AS127" s="358">
        <f>(AR127/(AR66+AR99+AR114+AR127))*'CFS (Base)'!AS7*0.95</f>
        <v>46.622476114949357</v>
      </c>
      <c r="AT127" s="358">
        <f>(AS127/(AS66+AS99+AS114+AS127))*'CFS (Base)'!AT7*0.95</f>
        <v>47.506654574611652</v>
      </c>
      <c r="AU127" s="358">
        <f>(AT127/(AT66+AT99+AT114+AT127))*'CFS (Base)'!AU7*0.95</f>
        <v>48.562850828752524</v>
      </c>
      <c r="AV127" s="126">
        <f t="shared" si="418"/>
        <v>188.30792217129743</v>
      </c>
    </row>
    <row r="128" spans="2:48" outlineLevel="1" x14ac:dyDescent="0.3">
      <c r="B128" s="180" t="s">
        <v>35</v>
      </c>
      <c r="C128" s="18"/>
      <c r="D128" s="48">
        <v>300.39999999999998</v>
      </c>
      <c r="E128" s="48">
        <v>303.89999999999998</v>
      </c>
      <c r="F128" s="48">
        <v>299</v>
      </c>
      <c r="G128" s="105">
        <v>267.39999999999998</v>
      </c>
      <c r="H128" s="170"/>
      <c r="I128" s="105">
        <v>292.2</v>
      </c>
      <c r="J128" s="105">
        <v>271.60000000000002</v>
      </c>
      <c r="K128" s="105">
        <v>269.10000000000002</v>
      </c>
      <c r="L128" s="105">
        <v>288.8</v>
      </c>
      <c r="M128" s="31">
        <f t="shared" si="411"/>
        <v>1121.7</v>
      </c>
      <c r="N128" s="105">
        <v>316.5</v>
      </c>
      <c r="O128" s="105">
        <v>304.60000000000002</v>
      </c>
      <c r="P128" s="105">
        <v>326.5</v>
      </c>
      <c r="Q128" s="105">
        <v>321</v>
      </c>
      <c r="R128" s="31">
        <f t="shared" si="412"/>
        <v>1268.5999999999999</v>
      </c>
      <c r="S128" s="105">
        <v>354.5</v>
      </c>
      <c r="T128" s="105">
        <v>328.1</v>
      </c>
      <c r="U128" s="105">
        <v>326.10000000000002</v>
      </c>
      <c r="V128" s="105">
        <v>362.5</v>
      </c>
      <c r="W128" s="31">
        <f t="shared" si="413"/>
        <v>1371.2</v>
      </c>
      <c r="X128" s="105">
        <v>396.1</v>
      </c>
      <c r="Y128" s="105">
        <v>439.7</v>
      </c>
      <c r="Z128" s="105">
        <f>AVERAGE(Y128,X128,V128,U128)</f>
        <v>381.1</v>
      </c>
      <c r="AA128" s="105">
        <f>AVERAGE(Z128,Y128,X128,V128)</f>
        <v>394.85</v>
      </c>
      <c r="AB128" s="31">
        <f t="shared" si="414"/>
        <v>1611.75</v>
      </c>
      <c r="AC128" s="105">
        <f>AVERAGE(X128,AA128,Z128,Y128)</f>
        <v>402.93750000000006</v>
      </c>
      <c r="AD128" s="105">
        <f>AVERAGE(AC128,AA128,Z128,Y128)</f>
        <v>404.64687500000008</v>
      </c>
      <c r="AE128" s="105">
        <f>AVERAGE(AD128,AC128,AA128,Z128)</f>
        <v>395.88359375000005</v>
      </c>
      <c r="AF128" s="105">
        <f>AVERAGE(AE128,AD128,AC128,AA128)</f>
        <v>399.57949218750002</v>
      </c>
      <c r="AG128" s="31">
        <f t="shared" si="415"/>
        <v>1603.0474609375001</v>
      </c>
      <c r="AH128" s="105">
        <f>AVERAGE(AC128,AF128,AE128,AD128)</f>
        <v>400.76186523437508</v>
      </c>
      <c r="AI128" s="105">
        <f>AVERAGE(AH128,AF128,AE128,AD128)</f>
        <v>400.21795654296881</v>
      </c>
      <c r="AJ128" s="105">
        <f>AVERAGE(AI128,AH128,AF128,AE128)</f>
        <v>399.11072692871102</v>
      </c>
      <c r="AK128" s="105">
        <f>AVERAGE(AJ128,AI128,AH128,AF128)</f>
        <v>399.91751022338872</v>
      </c>
      <c r="AL128" s="31">
        <f t="shared" si="416"/>
        <v>1600.0080589294437</v>
      </c>
      <c r="AM128" s="105">
        <f>AVERAGE(AH128,AK128,AJ128,AI128)</f>
        <v>400.00201473236092</v>
      </c>
      <c r="AN128" s="105">
        <f>AVERAGE(AM128,AK128,AJ128,AI128)</f>
        <v>399.81205210685738</v>
      </c>
      <c r="AO128" s="105">
        <f>AVERAGE(AN128,AM128,AK128,AJ128)</f>
        <v>399.71057599782949</v>
      </c>
      <c r="AP128" s="105">
        <f>AVERAGE(AO128,AN128,AM128,AK128)</f>
        <v>399.86053826510914</v>
      </c>
      <c r="AQ128" s="31">
        <f t="shared" si="417"/>
        <v>1599.385181102157</v>
      </c>
      <c r="AR128" s="105">
        <f>AVERAGE(AM128,AP128,AO128,AN128)</f>
        <v>399.84629527553926</v>
      </c>
      <c r="AS128" s="105">
        <f>AVERAGE(AR128,AP128,AO128,AN128)</f>
        <v>399.80736541133382</v>
      </c>
      <c r="AT128" s="105">
        <f>AVERAGE(AS128,AR128,AP128,AO128)</f>
        <v>399.80619373745293</v>
      </c>
      <c r="AU128" s="105">
        <f>AVERAGE(AT128,AS128,AR128,AP128)</f>
        <v>399.83009817235882</v>
      </c>
      <c r="AV128" s="31">
        <f t="shared" si="418"/>
        <v>1599.289952596685</v>
      </c>
    </row>
    <row r="129" spans="2:48" ht="16.2" outlineLevel="1" x14ac:dyDescent="0.45">
      <c r="B129" s="180" t="s">
        <v>42</v>
      </c>
      <c r="C129" s="18"/>
      <c r="D129" s="119">
        <v>13.9</v>
      </c>
      <c r="E129" s="119">
        <v>0.6</v>
      </c>
      <c r="F129" s="119">
        <v>6</v>
      </c>
      <c r="G129" s="119">
        <v>-0.9</v>
      </c>
      <c r="H129" s="131"/>
      <c r="I129" s="119">
        <v>0.3</v>
      </c>
      <c r="J129" s="119">
        <v>0</v>
      </c>
      <c r="K129" s="119">
        <v>22.1</v>
      </c>
      <c r="L129" s="119">
        <v>0</v>
      </c>
      <c r="M129" s="193">
        <f t="shared" si="411"/>
        <v>22.400000000000002</v>
      </c>
      <c r="N129" s="119">
        <v>0</v>
      </c>
      <c r="O129" s="119">
        <v>0</v>
      </c>
      <c r="P129" s="119">
        <v>0</v>
      </c>
      <c r="Q129" s="119">
        <v>15</v>
      </c>
      <c r="R129" s="193">
        <f t="shared" si="412"/>
        <v>15</v>
      </c>
      <c r="S129" s="119">
        <v>0</v>
      </c>
      <c r="T129" s="119">
        <v>0</v>
      </c>
      <c r="U129" s="119">
        <v>2</v>
      </c>
      <c r="V129" s="119">
        <v>10.7</v>
      </c>
      <c r="W129" s="193">
        <f t="shared" si="413"/>
        <v>12.7</v>
      </c>
      <c r="X129" s="119">
        <v>0.7</v>
      </c>
      <c r="Y129" s="119">
        <v>0.3</v>
      </c>
      <c r="Z129" s="119">
        <f>IFERROR((Z163*(X129/X163)),0)</f>
        <v>0.84482758620689646</v>
      </c>
      <c r="AA129" s="119">
        <f t="shared" ref="AA129" si="419">IFERROR((AA163*(Z129/Z163)),0)</f>
        <v>0.84482758620689646</v>
      </c>
      <c r="AB129" s="193">
        <f t="shared" si="414"/>
        <v>2.6896551724137927</v>
      </c>
      <c r="AC129" s="119">
        <f>IFERROR((AC163*(AA129/AA163)),0)</f>
        <v>0.84482758620689646</v>
      </c>
      <c r="AD129" s="119">
        <f t="shared" ref="AD129:AF129" si="420">IFERROR((AD163*(AC129/AC163)),0)</f>
        <v>0.84482758620689646</v>
      </c>
      <c r="AE129" s="119">
        <f t="shared" si="420"/>
        <v>0.84482758620689646</v>
      </c>
      <c r="AF129" s="119">
        <f t="shared" si="420"/>
        <v>0.84482758620689646</v>
      </c>
      <c r="AG129" s="193">
        <f t="shared" si="415"/>
        <v>3.3793103448275859</v>
      </c>
      <c r="AH129" s="119">
        <f>IFERROR((AH163*(AF129/AF163)),0)</f>
        <v>0.84482758620689646</v>
      </c>
      <c r="AI129" s="119">
        <f t="shared" ref="AI129:AK129" si="421">IFERROR((AI163*(AH129/AH163)),0)</f>
        <v>0.84482758620689646</v>
      </c>
      <c r="AJ129" s="119">
        <f t="shared" si="421"/>
        <v>0.84482758620689646</v>
      </c>
      <c r="AK129" s="119">
        <f t="shared" si="421"/>
        <v>0.84482758620689646</v>
      </c>
      <c r="AL129" s="193">
        <f t="shared" si="416"/>
        <v>3.3793103448275859</v>
      </c>
      <c r="AM129" s="119">
        <f>IFERROR((AM163*(AK129/AK163)),0)</f>
        <v>0.84482758620689646</v>
      </c>
      <c r="AN129" s="119">
        <f t="shared" ref="AN129:AP129" si="422">IFERROR((AN163*(AM129/AM163)),0)</f>
        <v>0.84482758620689646</v>
      </c>
      <c r="AO129" s="119">
        <f t="shared" si="422"/>
        <v>0.84482758620689646</v>
      </c>
      <c r="AP129" s="119">
        <f t="shared" si="422"/>
        <v>0.84482758620689646</v>
      </c>
      <c r="AQ129" s="193">
        <f t="shared" si="417"/>
        <v>3.3793103448275859</v>
      </c>
      <c r="AR129" s="119">
        <f>IFERROR((AR163*(AP129/AP163)),0)</f>
        <v>0.84482758620689646</v>
      </c>
      <c r="AS129" s="119">
        <f t="shared" ref="AS129:AU129" si="423">IFERROR((AS163*(AR129/AR163)),0)</f>
        <v>0.84482758620689646</v>
      </c>
      <c r="AT129" s="119">
        <f t="shared" si="423"/>
        <v>0.84482758620689646</v>
      </c>
      <c r="AU129" s="119">
        <f t="shared" si="423"/>
        <v>0.84482758620689646</v>
      </c>
      <c r="AV129" s="193">
        <f t="shared" si="418"/>
        <v>3.3793103448275859</v>
      </c>
    </row>
    <row r="130" spans="2:48" outlineLevel="1" x14ac:dyDescent="0.3">
      <c r="B130" s="46" t="s">
        <v>56</v>
      </c>
      <c r="C130" s="19"/>
      <c r="D130" s="103">
        <f>SUM(D125:D129)</f>
        <v>370.4</v>
      </c>
      <c r="E130" s="103">
        <f>SUM(E125:E129)</f>
        <v>365.2</v>
      </c>
      <c r="F130" s="103">
        <f>SUM(F125:F129)</f>
        <v>372.8</v>
      </c>
      <c r="G130" s="103">
        <f>SUM(G125:G129)</f>
        <v>324.60000000000002</v>
      </c>
      <c r="H130" s="130"/>
      <c r="I130" s="103">
        <f t="shared" ref="I130:AV130" si="424">SUM(I125:I129)</f>
        <v>350.9</v>
      </c>
      <c r="J130" s="103">
        <f t="shared" si="424"/>
        <v>320</v>
      </c>
      <c r="K130" s="103">
        <f t="shared" si="424"/>
        <v>356.90000000000003</v>
      </c>
      <c r="L130" s="50">
        <f t="shared" si="424"/>
        <v>343.3</v>
      </c>
      <c r="M130" s="51">
        <f t="shared" si="424"/>
        <v>1371.1000000000001</v>
      </c>
      <c r="N130" s="50">
        <f t="shared" si="424"/>
        <v>376.1</v>
      </c>
      <c r="O130" s="50">
        <f t="shared" si="424"/>
        <v>364.40000000000003</v>
      </c>
      <c r="P130" s="50">
        <f t="shared" si="424"/>
        <v>385.1</v>
      </c>
      <c r="Q130" s="50">
        <f t="shared" si="424"/>
        <v>401.6</v>
      </c>
      <c r="R130" s="51">
        <f t="shared" si="424"/>
        <v>1527.1999999999998</v>
      </c>
      <c r="S130" s="50">
        <f t="shared" si="424"/>
        <v>413.2</v>
      </c>
      <c r="T130" s="50">
        <f t="shared" si="424"/>
        <v>385.6</v>
      </c>
      <c r="U130" s="50">
        <f t="shared" si="424"/>
        <v>388.90000000000003</v>
      </c>
      <c r="V130" s="50">
        <f t="shared" si="424"/>
        <v>427.59999999999997</v>
      </c>
      <c r="W130" s="51">
        <f t="shared" si="424"/>
        <v>1615.3</v>
      </c>
      <c r="X130" s="103">
        <f t="shared" si="424"/>
        <v>430.3</v>
      </c>
      <c r="Y130" s="103">
        <f t="shared" si="424"/>
        <v>470.9</v>
      </c>
      <c r="Z130" s="50">
        <f t="shared" si="424"/>
        <v>427.78342483887326</v>
      </c>
      <c r="AA130" s="50">
        <f t="shared" si="424"/>
        <v>438.62535019415566</v>
      </c>
      <c r="AB130" s="51">
        <f t="shared" si="424"/>
        <v>1767.6087750330287</v>
      </c>
      <c r="AC130" s="50">
        <f t="shared" si="424"/>
        <v>444.99029795540599</v>
      </c>
      <c r="AD130" s="50">
        <f t="shared" si="424"/>
        <v>449.05329095434246</v>
      </c>
      <c r="AE130" s="50">
        <f t="shared" si="424"/>
        <v>443.31024870162253</v>
      </c>
      <c r="AF130" s="50">
        <f t="shared" si="424"/>
        <v>446.9834006040353</v>
      </c>
      <c r="AG130" s="51">
        <f t="shared" si="424"/>
        <v>1784.3372382154062</v>
      </c>
      <c r="AH130" s="50">
        <f t="shared" si="424"/>
        <v>448.98360389376916</v>
      </c>
      <c r="AI130" s="50">
        <f t="shared" si="424"/>
        <v>449.75770930388848</v>
      </c>
      <c r="AJ130" s="50">
        <f t="shared" si="424"/>
        <v>449.66751001765152</v>
      </c>
      <c r="AK130" s="50">
        <f t="shared" si="424"/>
        <v>451.20162929012685</v>
      </c>
      <c r="AL130" s="51">
        <f t="shared" si="424"/>
        <v>1799.6104525054361</v>
      </c>
      <c r="AM130" s="50">
        <f t="shared" si="424"/>
        <v>452.24958433140557</v>
      </c>
      <c r="AN130" s="50">
        <f t="shared" si="424"/>
        <v>453.15531755260901</v>
      </c>
      <c r="AO130" s="50">
        <f t="shared" si="424"/>
        <v>453.95391993976216</v>
      </c>
      <c r="AP130" s="50">
        <f t="shared" si="424"/>
        <v>455.11489047022422</v>
      </c>
      <c r="AQ130" s="51">
        <f t="shared" si="424"/>
        <v>1814.4737122940012</v>
      </c>
      <c r="AR130" s="50">
        <f t="shared" si="424"/>
        <v>456.14040737626158</v>
      </c>
      <c r="AS130" s="50">
        <f t="shared" si="424"/>
        <v>457.1201192252492</v>
      </c>
      <c r="AT130" s="50">
        <f t="shared" si="424"/>
        <v>458.00028469425592</v>
      </c>
      <c r="AU130" s="50">
        <f t="shared" si="424"/>
        <v>459.07475896856749</v>
      </c>
      <c r="AV130" s="51">
        <f t="shared" si="424"/>
        <v>1830.3355702643344</v>
      </c>
    </row>
    <row r="131" spans="2:48" outlineLevel="1" x14ac:dyDescent="0.3">
      <c r="B131" s="46" t="s">
        <v>57</v>
      </c>
      <c r="C131" s="44"/>
      <c r="D131" s="156">
        <f>D123-D130</f>
        <v>-358.79999999999995</v>
      </c>
      <c r="E131" s="156">
        <f>E123-E130</f>
        <v>-349.4</v>
      </c>
      <c r="F131" s="156">
        <f>F123-F130</f>
        <v>-349.5</v>
      </c>
      <c r="G131" s="156">
        <f>G123-G130</f>
        <v>-309.20000000000005</v>
      </c>
      <c r="H131" s="158"/>
      <c r="I131" s="156">
        <f t="shared" ref="I131:AV131" si="425">I123-I130</f>
        <v>-330.4</v>
      </c>
      <c r="J131" s="156">
        <f t="shared" si="425"/>
        <v>-308</v>
      </c>
      <c r="K131" s="156">
        <f t="shared" si="425"/>
        <v>-337.20000000000005</v>
      </c>
      <c r="L131" s="74">
        <f t="shared" si="425"/>
        <v>-329.40000000000003</v>
      </c>
      <c r="M131" s="194">
        <f t="shared" si="425"/>
        <v>-1305.0000000000002</v>
      </c>
      <c r="N131" s="74">
        <f t="shared" si="425"/>
        <v>-355.6</v>
      </c>
      <c r="O131" s="74">
        <f t="shared" si="425"/>
        <v>-341.8</v>
      </c>
      <c r="P131" s="74">
        <f t="shared" si="425"/>
        <v>-361.3</v>
      </c>
      <c r="Q131" s="74">
        <f t="shared" si="425"/>
        <v>-370.8</v>
      </c>
      <c r="R131" s="194">
        <f t="shared" si="425"/>
        <v>-1429.4999999999998</v>
      </c>
      <c r="S131" s="74">
        <f t="shared" si="425"/>
        <v>-388.09999999999997</v>
      </c>
      <c r="T131" s="74">
        <f t="shared" si="425"/>
        <v>-361.20000000000005</v>
      </c>
      <c r="U131" s="74">
        <f t="shared" si="425"/>
        <v>-361.6</v>
      </c>
      <c r="V131" s="74">
        <f t="shared" si="425"/>
        <v>-408.49999999999994</v>
      </c>
      <c r="W131" s="194">
        <f t="shared" si="425"/>
        <v>-1519.3999999999999</v>
      </c>
      <c r="X131" s="156">
        <f t="shared" si="425"/>
        <v>-426</v>
      </c>
      <c r="Y131" s="156">
        <f t="shared" si="425"/>
        <v>-467.2</v>
      </c>
      <c r="Z131" s="74">
        <f t="shared" si="425"/>
        <v>-423.68842483887323</v>
      </c>
      <c r="AA131" s="74">
        <f t="shared" si="425"/>
        <v>-433.85035019415568</v>
      </c>
      <c r="AB131" s="194">
        <f t="shared" si="425"/>
        <v>-1750.7387750330288</v>
      </c>
      <c r="AC131" s="74">
        <f t="shared" si="425"/>
        <v>-440.26029795540597</v>
      </c>
      <c r="AD131" s="74">
        <f t="shared" si="425"/>
        <v>-444.98329095434246</v>
      </c>
      <c r="AE131" s="74">
        <f t="shared" si="425"/>
        <v>-438.80574870162252</v>
      </c>
      <c r="AF131" s="74">
        <f t="shared" si="425"/>
        <v>-441.7309006040353</v>
      </c>
      <c r="AG131" s="194">
        <f t="shared" si="425"/>
        <v>-1765.7802382154061</v>
      </c>
      <c r="AH131" s="74">
        <f t="shared" si="425"/>
        <v>-443.78060389376918</v>
      </c>
      <c r="AI131" s="74">
        <f t="shared" si="425"/>
        <v>-445.2807093038885</v>
      </c>
      <c r="AJ131" s="74">
        <f t="shared" si="425"/>
        <v>-444.71256001765153</v>
      </c>
      <c r="AK131" s="74">
        <f t="shared" si="425"/>
        <v>-445.42387929012682</v>
      </c>
      <c r="AL131" s="194">
        <f t="shared" si="425"/>
        <v>-1779.197752505436</v>
      </c>
      <c r="AM131" s="74">
        <f t="shared" si="425"/>
        <v>-446.52628433140558</v>
      </c>
      <c r="AN131" s="74">
        <f t="shared" si="425"/>
        <v>-448.23061755260903</v>
      </c>
      <c r="AO131" s="74">
        <f t="shared" si="425"/>
        <v>-448.50347493976216</v>
      </c>
      <c r="AP131" s="74">
        <f t="shared" si="425"/>
        <v>-448.75936547022422</v>
      </c>
      <c r="AQ131" s="194">
        <f t="shared" si="425"/>
        <v>-1792.0197422940012</v>
      </c>
      <c r="AR131" s="74">
        <f t="shared" si="425"/>
        <v>-449.84477737626156</v>
      </c>
      <c r="AS131" s="74">
        <f t="shared" si="425"/>
        <v>-451.7029492252492</v>
      </c>
      <c r="AT131" s="74">
        <f t="shared" si="425"/>
        <v>-452.00479519425591</v>
      </c>
      <c r="AU131" s="74">
        <f t="shared" si="425"/>
        <v>-452.08368146856748</v>
      </c>
      <c r="AV131" s="194">
        <f t="shared" si="425"/>
        <v>-1805.6362032643344</v>
      </c>
    </row>
    <row r="132" spans="2:48" ht="17.399999999999999" x14ac:dyDescent="0.45">
      <c r="B132" s="583" t="s">
        <v>14</v>
      </c>
      <c r="C132" s="584"/>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4" t="s">
        <v>408</v>
      </c>
      <c r="Y132" s="14" t="s">
        <v>452</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0</v>
      </c>
      <c r="W133" s="66"/>
      <c r="X133" s="65">
        <f>+X45+X78-X5</f>
        <v>0</v>
      </c>
      <c r="Y133" s="65">
        <f>+Y45+Y78-Y5</f>
        <v>0</v>
      </c>
      <c r="Z133" s="121">
        <f>+Z45+Z78-Z5</f>
        <v>0</v>
      </c>
      <c r="AA133" s="65">
        <f>+AA45+AA78-AA5</f>
        <v>0</v>
      </c>
      <c r="AB133" s="66"/>
      <c r="AC133" s="65">
        <f>+AC45+AC78-AC5</f>
        <v>0</v>
      </c>
      <c r="AD133" s="65">
        <f>+AD45+AD78-AD5</f>
        <v>0</v>
      </c>
      <c r="AE133" s="121">
        <f>+AE45+AE78-AE5</f>
        <v>0</v>
      </c>
      <c r="AF133" s="65">
        <f>+AF45+AF78-AF5</f>
        <v>0</v>
      </c>
      <c r="AG133" s="66"/>
      <c r="AH133" s="65">
        <f>+AH45+AH78-AH5</f>
        <v>0</v>
      </c>
      <c r="AI133" s="65">
        <f>+AI45+AI78-AI5</f>
        <v>0</v>
      </c>
      <c r="AJ133" s="121">
        <f>+AJ45+AJ78-AJ5</f>
        <v>0</v>
      </c>
      <c r="AK133" s="65">
        <f>+AK45+AK78-AK5</f>
        <v>0</v>
      </c>
      <c r="AL133" s="66"/>
      <c r="AM133" s="65">
        <f>+AM45+AM78-AM5</f>
        <v>0</v>
      </c>
      <c r="AN133" s="65">
        <f>+AN45+AN78-AN5</f>
        <v>0</v>
      </c>
      <c r="AO133" s="121">
        <f>+AO45+AO78-AO5</f>
        <v>0</v>
      </c>
      <c r="AP133" s="65">
        <f>+AP45+AP78-AP5</f>
        <v>0</v>
      </c>
      <c r="AQ133" s="66"/>
      <c r="AR133" s="65">
        <f>+AR45+AR78-AR5</f>
        <v>0</v>
      </c>
      <c r="AS133" s="65">
        <f>+AS45+AS78-AS5</f>
        <v>0</v>
      </c>
      <c r="AT133" s="121">
        <f>+AT45+AT78-AT5</f>
        <v>0</v>
      </c>
      <c r="AU133" s="65">
        <f>+AU45+AU78-AU5</f>
        <v>0</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0</v>
      </c>
      <c r="Z134" s="121">
        <f>+Z54+Z87-Z6</f>
        <v>0</v>
      </c>
      <c r="AA134" s="65">
        <f>+AA54+AA87-AA6</f>
        <v>0</v>
      </c>
      <c r="AB134" s="66"/>
      <c r="AC134" s="65">
        <f>+AC54+AC87-AC6</f>
        <v>0</v>
      </c>
      <c r="AD134" s="65">
        <f>+AD54+AD87-AD6</f>
        <v>0</v>
      </c>
      <c r="AE134" s="121">
        <f>+AE54+AE87-AE6</f>
        <v>0</v>
      </c>
      <c r="AF134" s="65">
        <f>+AF54+AF87-AF6</f>
        <v>0</v>
      </c>
      <c r="AG134" s="66"/>
      <c r="AH134" s="65">
        <f>+AH54+AH87-AH6</f>
        <v>0</v>
      </c>
      <c r="AI134" s="65">
        <f>+AI54+AI87-AI6</f>
        <v>0</v>
      </c>
      <c r="AJ134" s="121">
        <f>+AJ54+AJ87-AJ6</f>
        <v>0</v>
      </c>
      <c r="AK134" s="65">
        <f>+AK54+AK87-AK6</f>
        <v>0</v>
      </c>
      <c r="AL134" s="66"/>
      <c r="AM134" s="65">
        <f>+AM54+AM87-AM6</f>
        <v>0</v>
      </c>
      <c r="AN134" s="65">
        <f>+AN54+AN87-AN6</f>
        <v>0</v>
      </c>
      <c r="AO134" s="121">
        <f>+AO54+AO87-AO6</f>
        <v>0</v>
      </c>
      <c r="AP134" s="65">
        <f>+AP54+AP87-AP6</f>
        <v>0</v>
      </c>
      <c r="AQ134" s="66"/>
      <c r="AR134" s="65">
        <f>+AR54+AR87-AR6</f>
        <v>0</v>
      </c>
      <c r="AS134" s="65">
        <f>+AS54+AS87-AS6</f>
        <v>0</v>
      </c>
      <c r="AT134" s="121">
        <f>+AT54+AT87-AT6</f>
        <v>0</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0</v>
      </c>
      <c r="W135" s="66"/>
      <c r="X135" s="65">
        <f>+X55+X88+X108+X123-X7</f>
        <v>0</v>
      </c>
      <c r="Y135" s="65">
        <f>+Y55+Y88+Y108+Y123-Y7</f>
        <v>0</v>
      </c>
      <c r="Z135" s="121">
        <f>+Z55+Z88+Z108+Z123-Z7</f>
        <v>0</v>
      </c>
      <c r="AA135" s="65">
        <f>+AA55+AA88+AA108+AA123-AA7</f>
        <v>0</v>
      </c>
      <c r="AB135" s="66"/>
      <c r="AC135" s="65">
        <f>+AC55+AC88+AC108+AC123-AC7</f>
        <v>0</v>
      </c>
      <c r="AD135" s="65">
        <f>+AD55+AD88+AD108+AD123-AD7</f>
        <v>0</v>
      </c>
      <c r="AE135" s="121">
        <f>+AE55+AE88+AE108+AE123-AE7</f>
        <v>0</v>
      </c>
      <c r="AF135" s="65">
        <f>+AF55+AF88+AF108+AF123-AF7</f>
        <v>0</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0</v>
      </c>
      <c r="AQ135" s="66"/>
      <c r="AR135" s="65">
        <f>+AR55+AR88+AR108+AR123-AR7</f>
        <v>0</v>
      </c>
      <c r="AS135" s="65">
        <f>+AS55+AS88+AS108+AS123-AS7</f>
        <v>0</v>
      </c>
      <c r="AT135" s="121">
        <f>+AT55+AT88+AT108+AT123-AT7</f>
        <v>0</v>
      </c>
      <c r="AU135" s="65">
        <f>+AU55+AU88+AU108+AU123-AU7</f>
        <v>0</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9.9999999998544808E-2</v>
      </c>
      <c r="H137" s="66"/>
      <c r="I137" s="65">
        <f>+I71+I105+I120+I131-I17</f>
        <v>0</v>
      </c>
      <c r="J137" s="65">
        <f>+J71+J105+J120+J131-J17</f>
        <v>6.8212102632969618E-13</v>
      </c>
      <c r="K137" s="121">
        <f>+K71+K105+K120+K131-K17</f>
        <v>0</v>
      </c>
      <c r="L137" s="65">
        <f>+L71+L105+L120+L131-L17</f>
        <v>-2.0999999999996817</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2.2737367544323206E-12</v>
      </c>
      <c r="W137" s="66"/>
      <c r="X137" s="65">
        <f>+X71+X105+X120+X131-X17</f>
        <v>0</v>
      </c>
      <c r="Y137" s="65">
        <f>+Y71+Y105+Y120+Y131-Y17</f>
        <v>0</v>
      </c>
      <c r="Z137" s="121">
        <f>+Z71+Z105+Z120+Z131-Z17</f>
        <v>0</v>
      </c>
      <c r="AA137" s="65">
        <f>+AA71+AA105+AA120+AA131-AA17</f>
        <v>0</v>
      </c>
      <c r="AB137" s="66"/>
      <c r="AC137" s="65">
        <f>+AC71+AC105+AC120+AC131-AC17</f>
        <v>0</v>
      </c>
      <c r="AD137" s="65">
        <f>+AD71+AD105+AD120+AD131-AD17</f>
        <v>0</v>
      </c>
      <c r="AE137" s="121">
        <f>+AE71+AE105+AE120+AE131-AE17</f>
        <v>0</v>
      </c>
      <c r="AF137" s="65">
        <f>+AF71+AF105+AF120+AF131-AF17</f>
        <v>0</v>
      </c>
      <c r="AG137" s="66"/>
      <c r="AH137" s="65">
        <f>+AH71+AH105+AH120+AH131-AH17</f>
        <v>2.2737367544323206E-12</v>
      </c>
      <c r="AI137" s="65">
        <f>+AI71+AI105+AI120+AI131-AI17</f>
        <v>0</v>
      </c>
      <c r="AJ137" s="121">
        <f>+AJ71+AJ105+AJ120+AJ131-AJ17</f>
        <v>0</v>
      </c>
      <c r="AK137" s="65">
        <f>+AK71+AK105+AK120+AK131-AK17</f>
        <v>-2.2737367544323206E-12</v>
      </c>
      <c r="AL137" s="66"/>
      <c r="AM137" s="65">
        <f>+AM71+AM105+AM120+AM131-AM17</f>
        <v>2.9558577807620168E-12</v>
      </c>
      <c r="AN137" s="65">
        <f>+AN71+AN105+AN120+AN131-AN17</f>
        <v>0</v>
      </c>
      <c r="AO137" s="121">
        <f>+AO71+AO105+AO120+AO131-AO17</f>
        <v>0</v>
      </c>
      <c r="AP137" s="65">
        <f>+AP71+AP105+AP120+AP131-AP17</f>
        <v>0</v>
      </c>
      <c r="AQ137" s="66"/>
      <c r="AR137" s="65">
        <f>+AR71+AR105+AR120+AR131-AR17</f>
        <v>0</v>
      </c>
      <c r="AS137" s="65">
        <f>+AS71+AS105+AS120+AS131-AS17</f>
        <v>0</v>
      </c>
      <c r="AT137" s="121">
        <f>+AT71+AT105+AT120+AT131-AT17</f>
        <v>0</v>
      </c>
      <c r="AU137" s="65">
        <f>+AU71+AU105+AU120+AU131-AU17</f>
        <v>0</v>
      </c>
      <c r="AV137" s="66"/>
    </row>
    <row r="138" spans="2:48" ht="15" customHeight="1" x14ac:dyDescent="0.45">
      <c r="B138" s="583" t="s">
        <v>9</v>
      </c>
      <c r="C138" s="584"/>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4" t="s">
        <v>408</v>
      </c>
      <c r="Y138" s="14" t="s">
        <v>452</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c r="E139" s="27"/>
      <c r="F139" s="27"/>
      <c r="G139" s="27"/>
      <c r="H139" s="29"/>
      <c r="I139" s="27"/>
      <c r="J139" s="27"/>
      <c r="K139" s="27"/>
      <c r="L139" s="113"/>
      <c r="M139" s="137"/>
      <c r="N139" s="113"/>
      <c r="O139" s="113"/>
      <c r="P139" s="113"/>
      <c r="Q139" s="113"/>
      <c r="R139" s="29"/>
      <c r="S139" s="113"/>
      <c r="T139" s="113"/>
      <c r="U139" s="113"/>
      <c r="V139" s="113"/>
      <c r="W139" s="137"/>
      <c r="X139" s="113"/>
      <c r="Y139" s="113"/>
      <c r="Z139" s="113"/>
      <c r="AA139" s="113"/>
      <c r="AB139" s="406">
        <f>(AB91+AB58)/(W83+W74+W50+W41)</f>
        <v>6.8550306628209795E-2</v>
      </c>
      <c r="AC139" s="113"/>
      <c r="AD139" s="113"/>
      <c r="AE139" s="113"/>
      <c r="AF139" s="113"/>
      <c r="AG139" s="137">
        <f>(AG91+AG58)/(AB83+AB74+AB50+AB41)</f>
        <v>6.9629707277444372E-2</v>
      </c>
      <c r="AH139" s="113"/>
      <c r="AI139" s="113"/>
      <c r="AJ139" s="113"/>
      <c r="AK139" s="113"/>
      <c r="AL139" s="406">
        <f>(AL91+AL58)/(AG83+AG74+AG50+AG41)</f>
        <v>6.9654057232457864E-2</v>
      </c>
      <c r="AM139" s="113"/>
      <c r="AN139" s="113"/>
      <c r="AO139" s="113"/>
      <c r="AP139" s="113"/>
      <c r="AQ139" s="137">
        <f>(AQ91+AQ58)/(AL83+AL74+AL50+AL41)</f>
        <v>2.9134886277743421E-2</v>
      </c>
      <c r="AR139" s="113"/>
      <c r="AS139" s="113"/>
      <c r="AT139" s="113"/>
      <c r="AU139" s="113"/>
      <c r="AV139" s="137">
        <f>(AV91+AV58)/(AQ83+AQ74+AQ50+AQ41)</f>
        <v>2.8310075449021834E-2</v>
      </c>
    </row>
    <row r="140" spans="2:48" s="23" customFormat="1" outlineLevel="1" x14ac:dyDescent="0.3">
      <c r="B140" s="580" t="s">
        <v>17</v>
      </c>
      <c r="C140" s="581"/>
      <c r="D140" s="30"/>
      <c r="E140" s="30"/>
      <c r="F140" s="30"/>
      <c r="G140" s="30"/>
      <c r="H140" s="137"/>
      <c r="I140" s="30">
        <f t="shared" ref="I140:AV140" si="426">I8/D8-1</f>
        <v>7.0016735266180907E-2</v>
      </c>
      <c r="J140" s="30">
        <f t="shared" si="426"/>
        <v>-4.9192026514851106E-2</v>
      </c>
      <c r="K140" s="30">
        <f t="shared" si="426"/>
        <v>-0.38119595485856661</v>
      </c>
      <c r="L140" s="113">
        <f t="shared" si="426"/>
        <v>-8.061360604713208E-2</v>
      </c>
      <c r="M140" s="128">
        <f t="shared" si="426"/>
        <v>-0.11281621813298315</v>
      </c>
      <c r="N140" s="30">
        <f t="shared" si="426"/>
        <v>-4.8991841738174613E-2</v>
      </c>
      <c r="O140" s="30">
        <f t="shared" si="426"/>
        <v>0.11213036009139876</v>
      </c>
      <c r="P140" s="30">
        <f t="shared" si="426"/>
        <v>0.77553823926482068</v>
      </c>
      <c r="Q140" s="30">
        <f t="shared" si="426"/>
        <v>0.31332720736405983</v>
      </c>
      <c r="R140" s="128">
        <f t="shared" si="426"/>
        <v>0.23567480227910509</v>
      </c>
      <c r="S140" s="30">
        <f t="shared" si="426"/>
        <v>0.19275787477405393</v>
      </c>
      <c r="T140" s="30">
        <f t="shared" si="426"/>
        <v>0.14511097780443905</v>
      </c>
      <c r="U140" s="30">
        <f t="shared" si="426"/>
        <v>8.7187354098579473E-2</v>
      </c>
      <c r="V140" s="30">
        <f t="shared" si="426"/>
        <v>3.2835381197294566E-2</v>
      </c>
      <c r="W140" s="28">
        <f t="shared" si="426"/>
        <v>0.10976029400631782</v>
      </c>
      <c r="X140" s="30">
        <f t="shared" si="426"/>
        <v>8.241826493093507E-2</v>
      </c>
      <c r="Y140" s="30">
        <f t="shared" si="426"/>
        <v>0.14199277070564187</v>
      </c>
      <c r="Z140" s="30">
        <f t="shared" si="426"/>
        <v>0.1420194889458104</v>
      </c>
      <c r="AA140" s="30">
        <f t="shared" si="426"/>
        <v>0.11849704013725915</v>
      </c>
      <c r="AB140" s="406">
        <f t="shared" si="426"/>
        <v>0.1209982800774001</v>
      </c>
      <c r="AC140" s="30">
        <f t="shared" si="426"/>
        <v>0.12034694507545973</v>
      </c>
      <c r="AD140" s="30">
        <f t="shared" si="426"/>
        <v>0.10211101362187569</v>
      </c>
      <c r="AE140" s="30">
        <f t="shared" si="426"/>
        <v>0.10205479614099411</v>
      </c>
      <c r="AF140" s="30">
        <f t="shared" si="426"/>
        <v>0.10175635267304894</v>
      </c>
      <c r="AG140" s="137">
        <f t="shared" si="426"/>
        <v>0.10639964917786005</v>
      </c>
      <c r="AH140" s="30">
        <f t="shared" si="426"/>
        <v>0.11323619192082668</v>
      </c>
      <c r="AI140" s="30">
        <f t="shared" si="426"/>
        <v>0.11395744405289099</v>
      </c>
      <c r="AJ140" s="30">
        <f t="shared" si="426"/>
        <v>0.11467364977908545</v>
      </c>
      <c r="AK140" s="30">
        <f t="shared" si="426"/>
        <v>0.11679621074074231</v>
      </c>
      <c r="AL140" s="406">
        <f t="shared" si="426"/>
        <v>0.11470096199069157</v>
      </c>
      <c r="AM140" s="30">
        <f t="shared" si="426"/>
        <v>9.7944633862228292E-2</v>
      </c>
      <c r="AN140" s="30">
        <f t="shared" si="426"/>
        <v>9.3952155238871349E-2</v>
      </c>
      <c r="AO140" s="30">
        <f t="shared" si="426"/>
        <v>9.0170965301978878E-2</v>
      </c>
      <c r="AP140" s="30">
        <f t="shared" si="426"/>
        <v>8.6610311618794622E-2</v>
      </c>
      <c r="AQ140" s="28">
        <f t="shared" si="426"/>
        <v>9.2048895967126176E-2</v>
      </c>
      <c r="AR140" s="30">
        <f t="shared" si="426"/>
        <v>6.404783573387629E-2</v>
      </c>
      <c r="AS140" s="30">
        <f t="shared" si="426"/>
        <v>6.3862149014960012E-2</v>
      </c>
      <c r="AT140" s="30">
        <f t="shared" si="426"/>
        <v>6.3735275141955761E-2</v>
      </c>
      <c r="AU140" s="30">
        <f t="shared" si="426"/>
        <v>6.3692447829102994E-2</v>
      </c>
      <c r="AV140" s="28">
        <f t="shared" si="426"/>
        <v>6.3831320793827029E-2</v>
      </c>
    </row>
    <row r="141" spans="2:48" s="23" customFormat="1" outlineLevel="1" x14ac:dyDescent="0.3">
      <c r="B141" s="580" t="s">
        <v>4</v>
      </c>
      <c r="C141" s="581"/>
      <c r="D141" s="27">
        <f t="shared" ref="D141:AV141" si="427">D17/D8</f>
        <v>0.15313522396610738</v>
      </c>
      <c r="E141" s="27">
        <f t="shared" si="427"/>
        <v>0.13601547756862614</v>
      </c>
      <c r="F141" s="27">
        <f t="shared" si="427"/>
        <v>0.16434119888612064</v>
      </c>
      <c r="G141" s="27">
        <f t="shared" si="427"/>
        <v>0.16054542759745088</v>
      </c>
      <c r="H141" s="29">
        <f t="shared" si="427"/>
        <v>0.15383309567461143</v>
      </c>
      <c r="I141" s="27">
        <f t="shared" si="427"/>
        <v>0.1718730185568752</v>
      </c>
      <c r="J141" s="27">
        <f t="shared" si="427"/>
        <v>8.1291592307820446E-2</v>
      </c>
      <c r="K141" s="27">
        <f t="shared" si="427"/>
        <v>-0.16671798394164022</v>
      </c>
      <c r="L141" s="113">
        <f t="shared" si="427"/>
        <v>9.0003385404072211E-2</v>
      </c>
      <c r="M141" s="137">
        <f t="shared" si="427"/>
        <v>6.6400204098988183E-2</v>
      </c>
      <c r="N141" s="27">
        <f t="shared" si="427"/>
        <v>0.13534536403235845</v>
      </c>
      <c r="O141" s="27">
        <f t="shared" si="427"/>
        <v>0.14811037792441512</v>
      </c>
      <c r="P141" s="27">
        <f t="shared" si="427"/>
        <v>0.19858600680317468</v>
      </c>
      <c r="Q141" s="27">
        <f t="shared" si="427"/>
        <v>0.18193869910515911</v>
      </c>
      <c r="R141" s="137">
        <f t="shared" si="427"/>
        <v>0.16764966999993108</v>
      </c>
      <c r="S141" s="27">
        <f t="shared" si="427"/>
        <v>0.14630328927755143</v>
      </c>
      <c r="T141" s="27">
        <f t="shared" si="427"/>
        <v>0.12427314159987431</v>
      </c>
      <c r="U141" s="27">
        <f t="shared" si="427"/>
        <v>0.15895510484533926</v>
      </c>
      <c r="V141" s="27">
        <f t="shared" si="427"/>
        <v>0.14208124361198912</v>
      </c>
      <c r="W141" s="137">
        <f t="shared" si="427"/>
        <v>0.14318316418761981</v>
      </c>
      <c r="X141" s="27">
        <f t="shared" si="427"/>
        <v>0.1438047257829444</v>
      </c>
      <c r="Y141" s="27">
        <f t="shared" si="427"/>
        <v>0.15223973026904294</v>
      </c>
      <c r="Z141" s="27">
        <f t="shared" si="427"/>
        <v>0.15992207331724684</v>
      </c>
      <c r="AA141" s="27">
        <f t="shared" si="427"/>
        <v>0.17420790429113522</v>
      </c>
      <c r="AB141" s="137">
        <f t="shared" si="427"/>
        <v>0.15790324338201289</v>
      </c>
      <c r="AC141" s="27">
        <f t="shared" si="427"/>
        <v>0.1541656440983897</v>
      </c>
      <c r="AD141" s="27">
        <f t="shared" si="427"/>
        <v>0.15529965254071865</v>
      </c>
      <c r="AE141" s="27">
        <f t="shared" si="427"/>
        <v>0.16387577170763126</v>
      </c>
      <c r="AF141" s="27">
        <f t="shared" si="427"/>
        <v>0.16294584752517161</v>
      </c>
      <c r="AG141" s="137">
        <f t="shared" si="427"/>
        <v>0.15920426153778516</v>
      </c>
      <c r="AH141" s="27">
        <f t="shared" si="427"/>
        <v>0.16031712959353384</v>
      </c>
      <c r="AI141" s="27">
        <f t="shared" si="427"/>
        <v>0.16326195174038308</v>
      </c>
      <c r="AJ141" s="27">
        <f t="shared" si="427"/>
        <v>0.17793955383234852</v>
      </c>
      <c r="AK141" s="27">
        <f t="shared" si="427"/>
        <v>0.17154676552576642</v>
      </c>
      <c r="AL141" s="29">
        <f t="shared" si="427"/>
        <v>0.16845970824353432</v>
      </c>
      <c r="AM141" s="27">
        <f t="shared" si="427"/>
        <v>0.16275721719609021</v>
      </c>
      <c r="AN141" s="27">
        <f t="shared" si="427"/>
        <v>0.16585873776649665</v>
      </c>
      <c r="AO141" s="27">
        <f t="shared" si="427"/>
        <v>0.17961744717926195</v>
      </c>
      <c r="AP141" s="27">
        <f t="shared" si="427"/>
        <v>0.17281907507666069</v>
      </c>
      <c r="AQ141" s="29">
        <f t="shared" si="427"/>
        <v>0.1704195237554651</v>
      </c>
      <c r="AR141" s="27">
        <f t="shared" si="427"/>
        <v>0.16205052801352363</v>
      </c>
      <c r="AS141" s="27">
        <f t="shared" si="427"/>
        <v>0.16541499261173362</v>
      </c>
      <c r="AT141" s="27">
        <f t="shared" si="427"/>
        <v>0.17921268008206107</v>
      </c>
      <c r="AU141" s="27">
        <f t="shared" si="427"/>
        <v>0.17252041757213543</v>
      </c>
      <c r="AV141" s="29">
        <f t="shared" si="427"/>
        <v>0.16995808580868926</v>
      </c>
    </row>
    <row r="142" spans="2:48" s="23" customFormat="1" outlineLevel="1" x14ac:dyDescent="0.3">
      <c r="B142" s="580" t="s">
        <v>77</v>
      </c>
      <c r="C142" s="581"/>
      <c r="D142" s="27">
        <f t="shared" ref="D142:AV142" si="428">+D19/D8</f>
        <v>0.17394123056975294</v>
      </c>
      <c r="E142" s="27">
        <f t="shared" si="428"/>
        <v>0.15843892227913536</v>
      </c>
      <c r="F142" s="27">
        <f t="shared" si="428"/>
        <v>0.18270555474131628</v>
      </c>
      <c r="G142" s="27">
        <f t="shared" si="428"/>
        <v>0.17201719282644154</v>
      </c>
      <c r="H142" s="29">
        <f t="shared" si="428"/>
        <v>0.17201964645435841</v>
      </c>
      <c r="I142" s="27">
        <f t="shared" si="428"/>
        <v>0.1819616463062376</v>
      </c>
      <c r="J142" s="27">
        <f t="shared" si="428"/>
        <v>9.2432910252347358E-2</v>
      </c>
      <c r="K142" s="27">
        <f t="shared" si="428"/>
        <v>-0.12558205632268285</v>
      </c>
      <c r="L142" s="113">
        <f t="shared" si="428"/>
        <v>0.13183730715287523</v>
      </c>
      <c r="M142" s="137">
        <f t="shared" si="428"/>
        <v>9.0704141508631861E-2</v>
      </c>
      <c r="N142" s="27">
        <f t="shared" si="428"/>
        <v>0.15533232583637069</v>
      </c>
      <c r="O142" s="27">
        <f t="shared" si="428"/>
        <v>0.1613377324535093</v>
      </c>
      <c r="P142" s="27">
        <f t="shared" si="428"/>
        <v>0.20548255852731262</v>
      </c>
      <c r="Q142" s="27">
        <f t="shared" si="428"/>
        <v>0.19607939411049871</v>
      </c>
      <c r="R142" s="137">
        <f t="shared" si="428"/>
        <v>0.18106990220435909</v>
      </c>
      <c r="S142" s="27">
        <f t="shared" si="428"/>
        <v>0.15067574282023255</v>
      </c>
      <c r="T142" s="27">
        <f t="shared" si="428"/>
        <v>0.13049400178113052</v>
      </c>
      <c r="U142" s="27">
        <f t="shared" si="428"/>
        <v>0.16846419062342788</v>
      </c>
      <c r="V142" s="27">
        <f t="shared" si="428"/>
        <v>0.15124432506952518</v>
      </c>
      <c r="W142" s="137">
        <f t="shared" si="428"/>
        <v>0.15054123527533064</v>
      </c>
      <c r="X142" s="27">
        <f t="shared" si="428"/>
        <v>0.14450475676792243</v>
      </c>
      <c r="Y142" s="27">
        <f t="shared" si="428"/>
        <v>0.14278997224706994</v>
      </c>
      <c r="Z142" s="420">
        <f t="shared" si="428"/>
        <v>0.16068489300954306</v>
      </c>
      <c r="AA142" s="420">
        <f t="shared" si="428"/>
        <v>0.17496231992340908</v>
      </c>
      <c r="AB142" s="137">
        <f t="shared" si="428"/>
        <v>0.15618552131468069</v>
      </c>
      <c r="AC142" s="27">
        <f t="shared" si="428"/>
        <v>0.15489291002830965</v>
      </c>
      <c r="AD142" s="27">
        <f t="shared" si="428"/>
        <v>0.15603845185278936</v>
      </c>
      <c r="AE142" s="27">
        <f t="shared" si="428"/>
        <v>0.16456795116637263</v>
      </c>
      <c r="AF142" s="27">
        <f t="shared" si="428"/>
        <v>0.16363058660604327</v>
      </c>
      <c r="AG142" s="137">
        <f t="shared" si="428"/>
        <v>0.15991427667123595</v>
      </c>
      <c r="AH142" s="27">
        <f t="shared" si="428"/>
        <v>0.1609704194660676</v>
      </c>
      <c r="AI142" s="27">
        <f t="shared" si="428"/>
        <v>0.16392517214975774</v>
      </c>
      <c r="AJ142" s="27">
        <f t="shared" si="428"/>
        <v>0.17856052433692496</v>
      </c>
      <c r="AK142" s="27">
        <f t="shared" si="428"/>
        <v>0.1721598935739154</v>
      </c>
      <c r="AL142" s="406">
        <f t="shared" si="428"/>
        <v>0.16909666394525258</v>
      </c>
      <c r="AM142" s="27">
        <f t="shared" si="428"/>
        <v>0.16335222886825049</v>
      </c>
      <c r="AN142" s="27">
        <f t="shared" si="428"/>
        <v>0.16646499865843653</v>
      </c>
      <c r="AO142" s="27">
        <f t="shared" si="428"/>
        <v>0.18018705554743605</v>
      </c>
      <c r="AP142" s="27">
        <f t="shared" si="428"/>
        <v>0.17338333260449104</v>
      </c>
      <c r="AQ142" s="29">
        <f t="shared" si="428"/>
        <v>0.17100279040595162</v>
      </c>
      <c r="AR142" s="27">
        <f t="shared" si="428"/>
        <v>0.1626097243693434</v>
      </c>
      <c r="AS142" s="27">
        <f t="shared" si="428"/>
        <v>0.1659848605147333</v>
      </c>
      <c r="AT142" s="27">
        <f t="shared" si="428"/>
        <v>0.17974815952086981</v>
      </c>
      <c r="AU142" s="27">
        <f t="shared" si="428"/>
        <v>0.17305088813153627</v>
      </c>
      <c r="AV142" s="29">
        <f t="shared" si="428"/>
        <v>0.17050635566979028</v>
      </c>
    </row>
    <row r="143" spans="2:48" s="23" customFormat="1" outlineLevel="1" x14ac:dyDescent="0.3">
      <c r="B143" s="580" t="s">
        <v>2</v>
      </c>
      <c r="C143" s="581"/>
      <c r="D143" s="27">
        <f t="shared" ref="D143:K143" si="429">D24/D23</f>
        <v>0.2124287933713101</v>
      </c>
      <c r="E143" s="27">
        <f t="shared" si="429"/>
        <v>0.1965853658536586</v>
      </c>
      <c r="F143" s="27">
        <f t="shared" si="429"/>
        <v>0.18110799689903978</v>
      </c>
      <c r="G143" s="118">
        <f t="shared" si="429"/>
        <v>0.20083682008368189</v>
      </c>
      <c r="H143" s="137">
        <f t="shared" si="429"/>
        <v>0.19515471765706843</v>
      </c>
      <c r="I143" s="118">
        <f t="shared" si="429"/>
        <v>0.22600104913446431</v>
      </c>
      <c r="J143" s="118">
        <f t="shared" si="429"/>
        <v>0.16760635571501836</v>
      </c>
      <c r="K143" s="118">
        <f t="shared" si="429"/>
        <v>0.16490147783251249</v>
      </c>
      <c r="L143" s="118">
        <v>0.25</v>
      </c>
      <c r="M143" s="137">
        <f t="shared" ref="M143:V143" si="430">M24/M23</f>
        <v>0.20585709378220463</v>
      </c>
      <c r="N143" s="118">
        <f t="shared" si="430"/>
        <v>0.23023629840405785</v>
      </c>
      <c r="O143" s="118">
        <f t="shared" si="430"/>
        <v>0.25901786717608721</v>
      </c>
      <c r="P143" s="118">
        <f t="shared" si="430"/>
        <v>0.18217246510309659</v>
      </c>
      <c r="Q143" s="118">
        <f t="shared" si="430"/>
        <v>0.21489588894821143</v>
      </c>
      <c r="R143" s="137">
        <f t="shared" si="430"/>
        <v>0.21591906068581893</v>
      </c>
      <c r="S143" s="118">
        <f>S24/S23</f>
        <v>0.23183358433734938</v>
      </c>
      <c r="T143" s="118">
        <f t="shared" si="430"/>
        <v>0.22954000684853323</v>
      </c>
      <c r="U143" s="118">
        <f t="shared" si="430"/>
        <v>0.23360174467371256</v>
      </c>
      <c r="V143" s="118">
        <f t="shared" si="430"/>
        <v>0.20223392662549969</v>
      </c>
      <c r="W143" s="137">
        <f>W24/W23</f>
        <v>0.22415463503390937</v>
      </c>
      <c r="X143" s="113">
        <f>X24/X23</f>
        <v>0.24651982378854645</v>
      </c>
      <c r="Y143" s="113">
        <f>Y24/Y23</f>
        <v>0.24909060846560835</v>
      </c>
      <c r="Z143" s="35">
        <v>0.25</v>
      </c>
      <c r="AA143" s="35">
        <v>0.25</v>
      </c>
      <c r="AB143" s="406">
        <f>AB24/AB23</f>
        <v>0.24903173807893308</v>
      </c>
      <c r="AC143" s="34">
        <f>AVERAGE(X143,Y143,Z143,AA143)</f>
        <v>0.2489026080635387</v>
      </c>
      <c r="AD143" s="34">
        <f>AVERAGE(Y143,Z143,AA143,AC143)</f>
        <v>0.24949830413228677</v>
      </c>
      <c r="AE143" s="34">
        <f>AVERAGE(Z143,AA143,AC143,AD143)</f>
        <v>0.24960022804895637</v>
      </c>
      <c r="AF143" s="34">
        <f>AVERAGE(AA143,AC143,AD143,AE143)</f>
        <v>0.24950028506119548</v>
      </c>
      <c r="AG143" s="29">
        <f>AG24/AG23</f>
        <v>0.24938568418024484</v>
      </c>
      <c r="AH143" s="34">
        <f>AVERAGE(AC143,AD143,AE143,AF143)</f>
        <v>0.24937535632649435</v>
      </c>
      <c r="AI143" s="34">
        <f>AVERAGE(AD143,AE143,AF143,AH143)</f>
        <v>0.24949354339223323</v>
      </c>
      <c r="AJ143" s="34">
        <f>AVERAGE(AE143,AF143,AH143,AI143)</f>
        <v>0.24949235320721985</v>
      </c>
      <c r="AK143" s="34">
        <f>AVERAGE(AF143,AH143,AI143,AJ143)</f>
        <v>0.24946538449678571</v>
      </c>
      <c r="AL143" s="29">
        <f>AL24/AL23</f>
        <v>0.24945842486531036</v>
      </c>
      <c r="AM143" s="34">
        <f>AVERAGE(AH143,AI143,AJ143,AK143)</f>
        <v>0.24945665935568329</v>
      </c>
      <c r="AN143" s="34">
        <f>AVERAGE(AI143,AJ143,AK143,AM143)</f>
        <v>0.24947698511298053</v>
      </c>
      <c r="AO143" s="34">
        <f>AVERAGE(AJ143,AK143,AM143,AN143)</f>
        <v>0.24947284554316734</v>
      </c>
      <c r="AP143" s="34">
        <f>AVERAGE(AK143,AM143,AN143,AO143)</f>
        <v>0.2494679686271542</v>
      </c>
      <c r="AQ143" s="29">
        <f>AQ24/AQ23</f>
        <v>0.24946876972048257</v>
      </c>
      <c r="AR143" s="34">
        <f>AVERAGE(AM143,AN143,AO143,AP143)</f>
        <v>0.24946861465974635</v>
      </c>
      <c r="AS143" s="34">
        <f>AVERAGE(AN143,AO143,AP143,AR143)</f>
        <v>0.24947160348576211</v>
      </c>
      <c r="AT143" s="34">
        <f>AVERAGE(AO143,AP143,AR143,AS143)</f>
        <v>0.24947025807895751</v>
      </c>
      <c r="AU143" s="34">
        <f>AVERAGE(AP143,AR143,AS143,AT143)</f>
        <v>0.24946961121290503</v>
      </c>
      <c r="AV143" s="29">
        <f>AV24/AV23</f>
        <v>0.24947001933428464</v>
      </c>
    </row>
    <row r="144" spans="2:48" s="23" customFormat="1" outlineLevel="1" x14ac:dyDescent="0.3">
      <c r="B144" s="580" t="s">
        <v>78</v>
      </c>
      <c r="C144" s="581"/>
      <c r="D144" s="27"/>
      <c r="E144" s="27">
        <f>+E21/(('BS (Base)'!E6+'BS (Base)'!E7+'BS (Base)'!E12)+('BS (Base)'!D6+'BS (Base)'!D7+'BS (Base)'!D12)/2)</f>
        <v>3.0327214684756584E-3</v>
      </c>
      <c r="F144" s="27">
        <f>+F21/(('BS (Base)'!F6+'BS (Base)'!F7+'BS (Base)'!F12)+('BS (Base)'!E6+'BS (Base)'!E7+'BS (Base)'!E12)/2)</f>
        <v>6.4321029136466161E-3</v>
      </c>
      <c r="G144" s="27">
        <f>+G21/(('BS (Base)'!G6+'BS (Base)'!G7+'BS (Base)'!G12)+('BS (Base)'!F6+'BS (Base)'!F7+'BS (Base)'!F12)/2)</f>
        <v>2.9603261807251862E-3</v>
      </c>
      <c r="H144" s="29"/>
      <c r="I144" s="27">
        <f>+I21/(('BS (Base)'!I6+'BS (Base)'!I7+'BS (Base)'!I12)+('BS (Base)'!G6+'BS (Base)'!G7+'BS (Base)'!G12)/2)</f>
        <v>3.3143988743550958E-3</v>
      </c>
      <c r="J144" s="27">
        <f>+J21/(('BS (Base)'!J6+'BS (Base)'!J7+'BS (Base)'!J12)+('BS (Base)'!I6+'BS (Base)'!I7+'BS (Base)'!I12)/2)</f>
        <v>4.4659305324505627E-4</v>
      </c>
      <c r="K144" s="27">
        <f>+K21/(('BS (Base)'!K6+'BS (Base)'!K7+'BS (Base)'!K12)+('BS (Base)'!J6+'BS (Base)'!J7+'BS (Base)'!J12)/2)</f>
        <v>2.1779393606804753E-3</v>
      </c>
      <c r="L144" s="27">
        <f>+L21/(('BS (Base)'!L6+'BS (Base)'!L7+'BS (Base)'!L12)+('BS (Base)'!K6+'BS (Base)'!K7+'BS (Base)'!K12)/2)</f>
        <v>1.2911830642186198E-3</v>
      </c>
      <c r="M144" s="29"/>
      <c r="N144" s="27">
        <f>+N21/(('BS (Base)'!N6+'BS (Base)'!N7+'BS (Base)'!N12)+('BS (Base)'!L6+'BS (Base)'!L7+'BS (Base)'!L12)/2)</f>
        <v>1.9686289451959073E-3</v>
      </c>
      <c r="O144" s="27">
        <f>+O21/(('BS (Base)'!O6+'BS (Base)'!O7+'BS (Base)'!O12)+('BS (Base)'!N6+'BS (Base)'!N7+'BS (Base)'!N12)/2)</f>
        <v>2.465933063458573E-3</v>
      </c>
      <c r="P144" s="27">
        <f>+P21/(('BS (Base)'!P6+'BS (Base)'!P7+'BS (Base)'!P12)+('BS (Base)'!O6+'BS (Base)'!O7+'BS (Base)'!O12)/2)</f>
        <v>4.9067713444553383E-3</v>
      </c>
      <c r="Q144" s="27">
        <f>+Q21/(('BS (Base)'!Q6+'BS (Base)'!Q7+'BS (Base)'!Q12)+('BS (Base)'!P6+'BS (Base)'!P7+'BS (Base)'!P12)/2)</f>
        <v>2.2641350477574504E-3</v>
      </c>
      <c r="R144" s="137"/>
      <c r="S144" s="27">
        <f>+S21/(('BS (Base)'!S6+'BS (Base)'!S7+'BS (Base)'!S12)+('BS (Base)'!Q6+'BS (Base)'!Q7+'BS (Base)'!Q12)/2)</f>
        <v>-1.2810330250313835E-5</v>
      </c>
      <c r="T144" s="27">
        <f>+T21/(('BS (Base)'!T6+'BS (Base)'!T7+'BS (Base)'!T12)+('BS (Base)'!S6+'BS (Base)'!S7+'BS (Base)'!S12)/2)</f>
        <v>7.1679593764030023E-3</v>
      </c>
      <c r="U144" s="27">
        <f>+U21/(('BS (Base)'!U6+'BS (Base)'!U7+'BS (Base)'!U12)+('BS (Base)'!T6+'BS (Base)'!T7+'BS (Base)'!T12)/2)</f>
        <v>3.4813492865871276E-3</v>
      </c>
      <c r="V144" s="27">
        <f>+V21/(('BS (Base)'!V6+'BS (Base)'!V7+'BS (Base)'!V12)+('BS (Base)'!U6+'BS (Base)'!U7+'BS (Base)'!U12)/2)</f>
        <v>5.9212851098780295E-3</v>
      </c>
      <c r="W144" s="137"/>
      <c r="X144" s="27">
        <f>+X21/(('BS (Base)'!X6+'BS (Base)'!X7+'BS (Base)'!X12)+('BS (Base)'!V6+'BS (Base)'!V7+'BS (Base)'!V12)/2)</f>
        <v>2.1784651210832182E-3</v>
      </c>
      <c r="Y144" s="27">
        <f>+Y21/(('BS (Base)'!Y6+'BS (Base)'!Y7+'BS (Base)'!Y12)+('BS (Base)'!X6+'BS (Base)'!X7+'BS (Base)'!X12)/2)</f>
        <v>3.3459108060189952E-3</v>
      </c>
      <c r="Z144" s="35">
        <v>7.1784651210832183E-3</v>
      </c>
      <c r="AA144" s="35">
        <f>Z144-0.5%</f>
        <v>2.1784651210832182E-3</v>
      </c>
      <c r="AB144" s="137"/>
      <c r="AC144" s="35">
        <f>AA144</f>
        <v>2.1784651210832182E-3</v>
      </c>
      <c r="AD144" s="35">
        <f>AC144</f>
        <v>2.1784651210832182E-3</v>
      </c>
      <c r="AE144" s="35">
        <f>AD144</f>
        <v>2.1784651210832182E-3</v>
      </c>
      <c r="AF144" s="35">
        <f>AE144</f>
        <v>2.1784651210832182E-3</v>
      </c>
      <c r="AG144" s="29"/>
      <c r="AH144" s="35">
        <f>AF144</f>
        <v>2.1784651210832182E-3</v>
      </c>
      <c r="AI144" s="35">
        <f>AH144</f>
        <v>2.1784651210832182E-3</v>
      </c>
      <c r="AJ144" s="35">
        <f>AI144</f>
        <v>2.1784651210832182E-3</v>
      </c>
      <c r="AK144" s="35">
        <f>AJ144</f>
        <v>2.1784651210832182E-3</v>
      </c>
      <c r="AL144" s="29"/>
      <c r="AM144" s="35">
        <f>AK144</f>
        <v>2.1784651210832182E-3</v>
      </c>
      <c r="AN144" s="35">
        <f t="shared" ref="AN144:AP145" si="431">AM144</f>
        <v>2.1784651210832182E-3</v>
      </c>
      <c r="AO144" s="35">
        <f t="shared" si="431"/>
        <v>2.1784651210832182E-3</v>
      </c>
      <c r="AP144" s="35">
        <f t="shared" si="431"/>
        <v>2.1784651210832182E-3</v>
      </c>
      <c r="AQ144" s="29"/>
      <c r="AR144" s="35">
        <f>AP144</f>
        <v>2.1784651210832182E-3</v>
      </c>
      <c r="AS144" s="35">
        <f t="shared" ref="AS144:AU145" si="432">AR144</f>
        <v>2.1784651210832182E-3</v>
      </c>
      <c r="AT144" s="35">
        <f t="shared" si="432"/>
        <v>2.1784651210832182E-3</v>
      </c>
      <c r="AU144" s="35">
        <f t="shared" si="432"/>
        <v>2.1784651210832182E-3</v>
      </c>
      <c r="AV144" s="29"/>
    </row>
    <row r="145" spans="2:48" s="23" customFormat="1" outlineLevel="1" x14ac:dyDescent="0.3">
      <c r="B145" s="580" t="s">
        <v>79</v>
      </c>
      <c r="C145" s="581"/>
      <c r="D145" s="27"/>
      <c r="E145" s="215">
        <f>-E22/(((('BS (Base)'!E28+'BS (Base)'!E31)+('BS (Base)'!D28+'BS (Base)'!D31))/2))</f>
        <v>8.0557251242696429E-3</v>
      </c>
      <c r="F145" s="215">
        <f>-F22/(((('BS (Base)'!F28+'BS (Base)'!F31)+('BS (Base)'!E28+'BS (Base)'!E31))/2))</f>
        <v>8.4807318557490342E-3</v>
      </c>
      <c r="G145" s="215">
        <f>-G22/(((('BS (Base)'!G28+'BS (Base)'!G31)+('BS (Base)'!F28+'BS (Base)'!F31))/2))</f>
        <v>8.572925858076421E-3</v>
      </c>
      <c r="H145" s="29"/>
      <c r="I145" s="215">
        <f>-I22/(((('BS (Base)'!I28+'BS (Base)'!I31)+('BS (Base)'!G28+'BS (Base)'!G31))/2))</f>
        <v>8.0554679008449908E-3</v>
      </c>
      <c r="J145" s="215">
        <f>-J22/(((('BS (Base)'!J28+'BS (Base)'!J31)+('BS (Base)'!I28+'BS (Base)'!I31))/2))</f>
        <v>7.730372102084551E-3</v>
      </c>
      <c r="K145" s="215">
        <f>-K22/(((('BS (Base)'!K28+'BS (Base)'!K31)+('BS (Base)'!J28+'BS (Base)'!J31))/2))</f>
        <v>7.8322294946980078E-3</v>
      </c>
      <c r="L145" s="215">
        <f>-L22/(((('BS (Base)'!L28+'BS (Base)'!L31)+('BS (Base)'!K28+'BS (Base)'!K31))/2))</f>
        <v>7.5346594333936109E-3</v>
      </c>
      <c r="M145" s="29"/>
      <c r="N145" s="215">
        <f>-N22/(((('BS (Base)'!N28+'BS (Base)'!N31)+('BS (Base)'!L28+'BS (Base)'!L31))/2))</f>
        <v>7.481930548840208E-3</v>
      </c>
      <c r="O145" s="215">
        <f>-O22/(((('BS (Base)'!O28+'BS (Base)'!O31)+('BS (Base)'!N28+'BS (Base)'!N31))/2))</f>
        <v>7.5250206938069089E-3</v>
      </c>
      <c r="P145" s="215">
        <f>-P22/(((('BS (Base)'!P28+'BS (Base)'!P31)+('BS (Base)'!O28+'BS (Base)'!O31))/2))</f>
        <v>7.7494216976973845E-3</v>
      </c>
      <c r="Q145" s="215">
        <f>-Q22/(((('BS (Base)'!Q28+'BS (Base)'!Q31)+('BS (Base)'!P28+'BS (Base)'!P31))/2))</f>
        <v>8.2506952544819535E-3</v>
      </c>
      <c r="R145" s="29"/>
      <c r="S145" s="215">
        <f>-S22/(((('BS (Base)'!S28+'BS (Base)'!S31)+('BS (Base)'!Q28+'BS (Base)'!Q31))/2))</f>
        <v>7.8431639309692741E-3</v>
      </c>
      <c r="T145" s="215">
        <f>-T22/(((('BS (Base)'!T28+'BS (Base)'!T31)+('BS (Base)'!S28+'BS (Base)'!S31))/2))</f>
        <v>7.7341177845746236E-3</v>
      </c>
      <c r="U145" s="215">
        <f>-U22/(((('BS (Base)'!U28+'BS (Base)'!U31)+('BS (Base)'!T28+'BS (Base)'!T31))/2))</f>
        <v>7.9054937080361813E-3</v>
      </c>
      <c r="V145" s="215">
        <f>-V22/(((('BS (Base)'!V28+'BS (Base)'!V31)+('BS (Base)'!U28+'BS (Base)'!U31))/2))</f>
        <v>8.3052184345359225E-3</v>
      </c>
      <c r="W145" s="137"/>
      <c r="X145" s="215">
        <f>-X22/(((('BS (Base)'!X28+'BS (Base)'!X31)+('BS (Base)'!V28+'BS (Base)'!V31))/2))</f>
        <v>8.6553508687049335E-3</v>
      </c>
      <c r="Y145" s="215">
        <f>-Y22/(((('BS (Base)'!Y28+'BS (Base)'!Y31)+('BS (Base)'!X28+'BS (Base)'!X31))/2))</f>
        <v>8.9634785925431504E-3</v>
      </c>
      <c r="Z145" s="35">
        <v>9.386305775157441E-3</v>
      </c>
      <c r="AA145" s="35">
        <f>Z145</f>
        <v>9.386305775157441E-3</v>
      </c>
      <c r="AB145" s="137"/>
      <c r="AC145" s="35">
        <f>AA145+0.01%</f>
        <v>9.4863057751574404E-3</v>
      </c>
      <c r="AD145" s="35">
        <f>AC145+0.01%</f>
        <v>9.5863057751574398E-3</v>
      </c>
      <c r="AE145" s="35">
        <f t="shared" ref="AE145:AF145" si="433">AD145+0.01%</f>
        <v>9.6863057751574392E-3</v>
      </c>
      <c r="AF145" s="35">
        <f t="shared" si="433"/>
        <v>9.7863057751574386E-3</v>
      </c>
      <c r="AG145" s="29"/>
      <c r="AH145" s="35">
        <f>AF145+0.01%</f>
        <v>9.886305775157438E-3</v>
      </c>
      <c r="AI145" s="35">
        <f>AH145+0.01%</f>
        <v>9.9863057751574374E-3</v>
      </c>
      <c r="AJ145" s="35">
        <f t="shared" ref="AJ145:AK145" si="434">AI145+0.01%</f>
        <v>1.0086305775157437E-2</v>
      </c>
      <c r="AK145" s="35">
        <f t="shared" si="434"/>
        <v>1.0186305775157436E-2</v>
      </c>
      <c r="AL145" s="29"/>
      <c r="AM145" s="35">
        <f>AK145</f>
        <v>1.0186305775157436E-2</v>
      </c>
      <c r="AN145" s="35">
        <f t="shared" si="431"/>
        <v>1.0186305775157436E-2</v>
      </c>
      <c r="AO145" s="35">
        <f t="shared" si="431"/>
        <v>1.0186305775157436E-2</v>
      </c>
      <c r="AP145" s="35">
        <f t="shared" si="431"/>
        <v>1.0186305775157436E-2</v>
      </c>
      <c r="AQ145" s="29"/>
      <c r="AR145" s="35">
        <f>AP145</f>
        <v>1.0186305775157436E-2</v>
      </c>
      <c r="AS145" s="35">
        <f t="shared" si="432"/>
        <v>1.0186305775157436E-2</v>
      </c>
      <c r="AT145" s="35">
        <f t="shared" si="432"/>
        <v>1.0186305775157436E-2</v>
      </c>
      <c r="AU145" s="35">
        <f t="shared" si="432"/>
        <v>1.0186305775157436E-2</v>
      </c>
      <c r="AV145" s="29"/>
    </row>
    <row r="146" spans="2:48" s="23" customFormat="1" outlineLevel="1" x14ac:dyDescent="0.3">
      <c r="B146" s="200" t="s">
        <v>186</v>
      </c>
      <c r="C146" s="201"/>
      <c r="D146" s="113"/>
      <c r="E146" s="113"/>
      <c r="F146" s="113"/>
      <c r="G146" s="113"/>
      <c r="H146" s="137"/>
      <c r="I146" s="113">
        <f>I33/D33-1</f>
        <v>0.2254857129231771</v>
      </c>
      <c r="J146" s="113">
        <f t="shared" ref="J146:AV147" si="435">J33/E33-1</f>
        <v>-0.47546772308917484</v>
      </c>
      <c r="K146" s="113">
        <f t="shared" si="435"/>
        <v>-1.5172211898784418</v>
      </c>
      <c r="L146" s="113">
        <f t="shared" si="435"/>
        <v>-0.49266142278343572</v>
      </c>
      <c r="M146" s="137">
        <f t="shared" si="435"/>
        <v>-0.73466371126240593</v>
      </c>
      <c r="N146" s="113">
        <f t="shared" si="435"/>
        <v>-0.292754196932551</v>
      </c>
      <c r="O146" s="113">
        <f t="shared" si="435"/>
        <v>1.0009687774744878</v>
      </c>
      <c r="P146" s="113">
        <f t="shared" si="435"/>
        <v>-2.6748075301104208</v>
      </c>
      <c r="Q146" s="113">
        <f t="shared" si="435"/>
        <v>3.4604705530296798</v>
      </c>
      <c r="R146" s="137">
        <f t="shared" si="435"/>
        <v>3.5714373754781779</v>
      </c>
      <c r="S146" s="113">
        <f t="shared" si="435"/>
        <v>0.31844745711851452</v>
      </c>
      <c r="T146" s="113">
        <f t="shared" si="435"/>
        <v>5.0603007043171555E-2</v>
      </c>
      <c r="U146" s="113">
        <f t="shared" si="435"/>
        <v>-0.18430865147381992</v>
      </c>
      <c r="V146" s="113">
        <f t="shared" si="435"/>
        <v>-0.4870956113954914</v>
      </c>
      <c r="W146" s="137">
        <f t="shared" si="435"/>
        <v>-0.199786344376785</v>
      </c>
      <c r="X146" s="113">
        <f t="shared" si="435"/>
        <v>6.9714700065573565E-2</v>
      </c>
      <c r="Y146" s="113">
        <f t="shared" si="435"/>
        <v>0.34703594909414837</v>
      </c>
      <c r="Z146" s="113">
        <f t="shared" si="435"/>
        <v>0.12301767449723355</v>
      </c>
      <c r="AA146" s="113">
        <f t="shared" si="435"/>
        <v>0.28142980800592543</v>
      </c>
      <c r="AB146" s="137">
        <f>AB33/W33-1</f>
        <v>0.19890040322892655</v>
      </c>
      <c r="AC146" s="113">
        <f t="shared" si="435"/>
        <v>0.19902543001816442</v>
      </c>
      <c r="AD146" s="113">
        <f t="shared" si="435"/>
        <v>0.11723064057827015</v>
      </c>
      <c r="AE146" s="113">
        <f t="shared" si="435"/>
        <v>0.12374167908561584</v>
      </c>
      <c r="AF146" s="113">
        <f t="shared" si="435"/>
        <v>2.9953154833199491E-2</v>
      </c>
      <c r="AG146" s="137">
        <f t="shared" si="435"/>
        <v>0.11171614601272761</v>
      </c>
      <c r="AH146" s="113">
        <f t="shared" si="435"/>
        <v>0.16832935354660106</v>
      </c>
      <c r="AI146" s="113">
        <f t="shared" si="435"/>
        <v>0.18430225882971008</v>
      </c>
      <c r="AJ146" s="113">
        <f t="shared" si="435"/>
        <v>0.27734714885907197</v>
      </c>
      <c r="AK146" s="113">
        <f t="shared" si="435"/>
        <v>0.24860259239610194</v>
      </c>
      <c r="AL146" s="137">
        <f t="shared" si="435"/>
        <v>0.22089410077486638</v>
      </c>
      <c r="AM146" s="113">
        <f t="shared" si="435"/>
        <v>0.17182165890553946</v>
      </c>
      <c r="AN146" s="113">
        <f t="shared" si="435"/>
        <v>0.17064333362067052</v>
      </c>
      <c r="AO146" s="113">
        <f t="shared" si="435"/>
        <v>0.12375867989855749</v>
      </c>
      <c r="AP146" s="113">
        <f t="shared" si="435"/>
        <v>0.10919762235520758</v>
      </c>
      <c r="AQ146" s="137">
        <f t="shared" si="435"/>
        <v>0.1425452484784353</v>
      </c>
      <c r="AR146" s="113">
        <f t="shared" si="435"/>
        <v>7.7163689194282181E-2</v>
      </c>
      <c r="AS146" s="113">
        <f t="shared" si="435"/>
        <v>7.9150279938415169E-2</v>
      </c>
      <c r="AT146" s="113">
        <f t="shared" si="435"/>
        <v>7.3128251280151657E-2</v>
      </c>
      <c r="AU146" s="113">
        <f t="shared" si="435"/>
        <v>7.4090900222953726E-2</v>
      </c>
      <c r="AV146" s="137">
        <f t="shared" si="435"/>
        <v>7.5710685611488637E-2</v>
      </c>
    </row>
    <row r="147" spans="2:48" s="23" customFormat="1" outlineLevel="1" x14ac:dyDescent="0.3">
      <c r="B147" s="200" t="s">
        <v>139</v>
      </c>
      <c r="C147" s="201"/>
      <c r="D147" s="27"/>
      <c r="E147" s="27"/>
      <c r="F147" s="27"/>
      <c r="G147" s="27"/>
      <c r="H147" s="29"/>
      <c r="I147" s="27">
        <f t="shared" ref="I147:V147" si="436">I34/D34-1</f>
        <v>5.9389868457878192E-2</v>
      </c>
      <c r="J147" s="27">
        <f t="shared" si="436"/>
        <v>-0.47460546003783222</v>
      </c>
      <c r="K147" s="27">
        <f t="shared" si="436"/>
        <v>-1.5922286955663072</v>
      </c>
      <c r="L147" s="113">
        <f t="shared" si="436"/>
        <v>-0.26631134736842188</v>
      </c>
      <c r="M147" s="137">
        <f t="shared" si="436"/>
        <v>-0.59372113780519853</v>
      </c>
      <c r="N147" s="113">
        <f t="shared" si="436"/>
        <v>-0.23228377390823718</v>
      </c>
      <c r="O147" s="113">
        <f t="shared" si="436"/>
        <v>0.96992458477270005</v>
      </c>
      <c r="P147" s="113">
        <f t="shared" si="436"/>
        <v>-3.1776350920116565</v>
      </c>
      <c r="Q147" s="113">
        <f t="shared" si="436"/>
        <v>0.95350602232643134</v>
      </c>
      <c r="R147" s="29">
        <f t="shared" si="436"/>
        <v>1.8162682861720394</v>
      </c>
      <c r="S147" s="113">
        <f t="shared" si="436"/>
        <v>0.18036058258616094</v>
      </c>
      <c r="T147" s="113">
        <f t="shared" si="436"/>
        <v>-5.6546752866856842E-2</v>
      </c>
      <c r="U147" s="113">
        <f t="shared" si="436"/>
        <v>-0.16448812865885809</v>
      </c>
      <c r="V147" s="113">
        <f t="shared" si="436"/>
        <v>-0.1882667305146607</v>
      </c>
      <c r="W147" s="137">
        <f>W34/(R34-0.1-0.04)-1</f>
        <v>-4.7540866454839237E-2</v>
      </c>
      <c r="X147" s="113">
        <f t="shared" si="435"/>
        <v>3.7600832682799012E-2</v>
      </c>
      <c r="Y147" s="113">
        <f t="shared" si="435"/>
        <v>0.25648237931922635</v>
      </c>
      <c r="Z147" s="113">
        <f t="shared" si="435"/>
        <v>6.5050102598278148E-2</v>
      </c>
      <c r="AA147" s="113">
        <f t="shared" si="435"/>
        <v>0.21260305808316748</v>
      </c>
      <c r="AB147" s="406">
        <f t="shared" si="435"/>
        <v>0.13683700064002791</v>
      </c>
      <c r="AC147" s="113">
        <f t="shared" si="435"/>
        <v>0.19646865544728964</v>
      </c>
      <c r="AD147" s="113">
        <f t="shared" si="435"/>
        <v>0.20138911475681653</v>
      </c>
      <c r="AE147" s="113">
        <f t="shared" si="435"/>
        <v>0.12312443815234397</v>
      </c>
      <c r="AF147" s="113">
        <f t="shared" si="435"/>
        <v>2.9813523164486266E-2</v>
      </c>
      <c r="AG147" s="137">
        <f t="shared" si="435"/>
        <v>0.12934407262821912</v>
      </c>
      <c r="AH147" s="113">
        <f t="shared" si="435"/>
        <v>0.16748959406970876</v>
      </c>
      <c r="AI147" s="113">
        <f t="shared" si="435"/>
        <v>0.18337347011418847</v>
      </c>
      <c r="AJ147" s="113">
        <f t="shared" si="435"/>
        <v>0.27630432920048387</v>
      </c>
      <c r="AK147" s="113">
        <f t="shared" si="435"/>
        <v>0.24789026547971016</v>
      </c>
      <c r="AL147" s="137">
        <f t="shared" si="435"/>
        <v>0.22001062808705596</v>
      </c>
      <c r="AM147" s="113">
        <f t="shared" si="435"/>
        <v>0.17146384266524817</v>
      </c>
      <c r="AN147" s="113">
        <f t="shared" si="435"/>
        <v>0.17029705319809763</v>
      </c>
      <c r="AO147" s="113">
        <f t="shared" si="435"/>
        <v>0.1234801919823354</v>
      </c>
      <c r="AP147" s="113">
        <f t="shared" si="435"/>
        <v>0.10879452332838113</v>
      </c>
      <c r="AQ147" s="29">
        <f t="shared" si="435"/>
        <v>0.1421984902517619</v>
      </c>
      <c r="AR147" s="113">
        <f t="shared" si="435"/>
        <v>7.6873880439001452E-2</v>
      </c>
      <c r="AS147" s="113">
        <f t="shared" si="435"/>
        <v>7.8852811520185417E-2</v>
      </c>
      <c r="AT147" s="113">
        <f t="shared" si="435"/>
        <v>7.2895342574694766E-2</v>
      </c>
      <c r="AU147" s="113">
        <f t="shared" si="435"/>
        <v>7.3846963137456312E-2</v>
      </c>
      <c r="AV147" s="29">
        <f t="shared" si="435"/>
        <v>7.5447338677059328E-2</v>
      </c>
    </row>
    <row r="148" spans="2:48" s="23" customFormat="1" outlineLevel="1" x14ac:dyDescent="0.3">
      <c r="B148" s="200" t="s">
        <v>140</v>
      </c>
      <c r="C148" s="201"/>
      <c r="D148" s="27"/>
      <c r="E148" s="27"/>
      <c r="F148" s="27"/>
      <c r="G148" s="27"/>
      <c r="H148" s="29"/>
      <c r="I148" s="27">
        <f>'CFS (Base)'!I55</f>
        <v>-0.22820512820512895</v>
      </c>
      <c r="J148" s="27">
        <f>'CFS (Base)'!J55</f>
        <v>-4.4869364754098413</v>
      </c>
      <c r="K148" s="27">
        <f>'CFS (Base)'!K55</f>
        <v>-1.314434752864716</v>
      </c>
      <c r="L148" s="113">
        <f>'CFS (Base)'!L55</f>
        <v>0.34527569713924766</v>
      </c>
      <c r="M148" s="137">
        <f>'CFS (Base)'!M55</f>
        <v>-0.68340961778517451</v>
      </c>
      <c r="N148" s="113">
        <f>'CFS (Base)'!N55</f>
        <v>-2.1785305811139466E-4</v>
      </c>
      <c r="O148" s="113">
        <f>'CFS (Base)'!O55</f>
        <v>-1.649232351428781</v>
      </c>
      <c r="P148" s="113">
        <f>'CFS (Base)'!P55</f>
        <v>-5.7565950503127619</v>
      </c>
      <c r="Q148" s="113">
        <f>'CFS (Base)'!Q55</f>
        <v>2.012477359629572E-2</v>
      </c>
      <c r="R148" s="29">
        <f>'CFS (Base)'!R55</f>
        <v>2.7484040555764064</v>
      </c>
      <c r="S148" s="113">
        <f>'CFS (Base)'!S55</f>
        <v>1.9175246499972598E-2</v>
      </c>
      <c r="T148" s="113">
        <f>'CFS (Base)'!T55</f>
        <v>-0.81681375876895213</v>
      </c>
      <c r="U148" s="113">
        <f>'CFS (Base)'!U55</f>
        <v>-0.27684391080617499</v>
      </c>
      <c r="V148" s="113">
        <f>'CFS (Base)'!V55</f>
        <v>-0.27691194844479561</v>
      </c>
      <c r="W148" s="137">
        <f>'CFS (Base)'!W55</f>
        <v>-0.26581179456354764</v>
      </c>
      <c r="X148" s="113">
        <f>'CFS (Base)'!X55</f>
        <v>-0.14843123630338328</v>
      </c>
      <c r="Y148" s="113">
        <f>'CFS (Base)'!Y55</f>
        <v>3.7411982705373639</v>
      </c>
      <c r="Z148" s="113">
        <f>'CFS (Base)'!Z55</f>
        <v>-0.21066714082938087</v>
      </c>
      <c r="AA148" s="113">
        <f>'CFS (Base)'!AA55</f>
        <v>0.69618112415729061</v>
      </c>
      <c r="AB148" s="137">
        <f>'CFS (Base)'!AB55</f>
        <v>0.18808991276320275</v>
      </c>
      <c r="AC148" s="113">
        <f>'CFS (Base)'!AC55</f>
        <v>0.19598301185548772</v>
      </c>
      <c r="AD148" s="113">
        <f>'CFS (Base)'!AD55</f>
        <v>0.49870520027343423</v>
      </c>
      <c r="AE148" s="113">
        <f>'CFS (Base)'!AE55</f>
        <v>0.44098897298319018</v>
      </c>
      <c r="AF148" s="113">
        <f>'CFS (Base)'!AF55</f>
        <v>-4.1872156592324128E-2</v>
      </c>
      <c r="AG148" s="137">
        <f>'CFS (Base)'!AG55</f>
        <v>0.20236518683158544</v>
      </c>
      <c r="AH148" s="113">
        <f>'CFS (Base)'!AH55</f>
        <v>9.8526646396736917E-2</v>
      </c>
      <c r="AI148" s="113">
        <f>'CFS (Base)'!AI55</f>
        <v>0.20321933512985657</v>
      </c>
      <c r="AJ148" s="113">
        <f>'CFS (Base)'!AJ55</f>
        <v>0.11234926440868698</v>
      </c>
      <c r="AK148" s="113">
        <f>'CFS (Base)'!AK55</f>
        <v>0.127582157946871</v>
      </c>
      <c r="AL148" s="29">
        <f>'CFS (Base)'!AL55</f>
        <v>0.12913207301792928</v>
      </c>
      <c r="AM148" s="113">
        <f>'CFS (Base)'!AM55</f>
        <v>0.1218777548968828</v>
      </c>
      <c r="AN148" s="113">
        <f>'CFS (Base)'!AN55</f>
        <v>0.16639617737231616</v>
      </c>
      <c r="AO148" s="113">
        <f>'CFS (Base)'!AO55</f>
        <v>6.7923130300308054E-2</v>
      </c>
      <c r="AP148" s="113">
        <f>'CFS (Base)'!AP55</f>
        <v>0.14864350006635907</v>
      </c>
      <c r="AQ148" s="29">
        <f>'CFS (Base)'!AQ55</f>
        <v>0.125996869659732</v>
      </c>
      <c r="AR148" s="113">
        <f>'CFS (Base)'!AR55</f>
        <v>0.10149077852851818</v>
      </c>
      <c r="AS148" s="113">
        <f>'CFS (Base)'!AS55</f>
        <v>3.4925709543647709E-2</v>
      </c>
      <c r="AT148" s="113">
        <f>'CFS (Base)'!AT55</f>
        <v>0.12207419678139764</v>
      </c>
      <c r="AU148" s="113">
        <f>'CFS (Base)'!AU55</f>
        <v>5.0708346583476782E-2</v>
      </c>
      <c r="AV148" s="29">
        <f>'CFS (Base)'!AV55</f>
        <v>7.7720918324596155E-2</v>
      </c>
    </row>
    <row r="149" spans="2:48" s="23" customFormat="1" outlineLevel="1" x14ac:dyDescent="0.3">
      <c r="B149" s="200" t="s">
        <v>334</v>
      </c>
      <c r="C149" s="201"/>
      <c r="D149" s="27"/>
      <c r="E149" s="27"/>
      <c r="F149" s="27"/>
      <c r="G149" s="27"/>
      <c r="H149" s="29"/>
      <c r="I149" s="27"/>
      <c r="J149" s="27"/>
      <c r="K149" s="27"/>
      <c r="L149" s="113"/>
      <c r="M149" s="137"/>
      <c r="N149" s="113"/>
      <c r="O149" s="113"/>
      <c r="P149" s="113"/>
      <c r="Q149" s="113"/>
      <c r="R149" s="29"/>
      <c r="S149" s="113"/>
      <c r="T149" s="113"/>
      <c r="U149" s="113"/>
      <c r="V149" s="113"/>
      <c r="W149" s="137"/>
      <c r="X149" s="113"/>
      <c r="Y149" s="113"/>
      <c r="Z149" s="113"/>
      <c r="AA149" s="113"/>
      <c r="AB149" s="137"/>
      <c r="AC149" s="113"/>
      <c r="AD149" s="113"/>
      <c r="AE149" s="113"/>
      <c r="AF149" s="113"/>
      <c r="AG149" s="137"/>
      <c r="AH149" s="113"/>
      <c r="AI149" s="113"/>
      <c r="AJ149" s="113"/>
      <c r="AK149" s="113"/>
      <c r="AL149" s="406">
        <f>(AL34/W34)^(1/3)-1</f>
        <v>0.16134885740981186</v>
      </c>
      <c r="AM149" s="113"/>
      <c r="AN149" s="113"/>
      <c r="AO149" s="113"/>
      <c r="AP149" s="113"/>
      <c r="AQ149" s="29"/>
      <c r="AR149" s="113"/>
      <c r="AS149" s="113"/>
      <c r="AT149" s="113"/>
      <c r="AU149" s="113"/>
      <c r="AV149" s="29"/>
    </row>
    <row r="150" spans="2:48" ht="17.399999999999999" x14ac:dyDescent="0.45">
      <c r="B150" s="583" t="s">
        <v>130</v>
      </c>
      <c r="C150" s="584"/>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4" t="s">
        <v>408</v>
      </c>
      <c r="Y150" s="14" t="s">
        <v>452</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580" t="s">
        <v>208</v>
      </c>
      <c r="C151" s="581"/>
      <c r="D151" s="27"/>
      <c r="E151" s="27">
        <f t="shared" ref="E151:G151" si="437">(E30+E155+E158+E161)/D30-1</f>
        <v>2.777764747303535E-2</v>
      </c>
      <c r="F151" s="27">
        <f t="shared" si="437"/>
        <v>-1.7269004124131682E-2</v>
      </c>
      <c r="G151" s="27">
        <f t="shared" si="437"/>
        <v>1.9258933156590885E-2</v>
      </c>
      <c r="H151" s="9"/>
      <c r="I151" s="27">
        <f>(I30+I155+I158+I161)/G30-1</f>
        <v>-1.436336111538794E-2</v>
      </c>
      <c r="J151" s="27">
        <f t="shared" ref="J151:L151" si="438">(J30+J155+J158+J161)/I30-1</f>
        <v>-1.1333810572689007E-3</v>
      </c>
      <c r="K151" s="27">
        <f t="shared" si="438"/>
        <v>-2.8161802355349819E-3</v>
      </c>
      <c r="L151" s="27">
        <f t="shared" si="438"/>
        <v>-9.5210569021197955E-4</v>
      </c>
      <c r="M151" s="9"/>
      <c r="N151" s="27">
        <f>(N30+N155+N158+N161)/L30-1</f>
        <v>6.5210015787404707E-3</v>
      </c>
      <c r="O151" s="27">
        <f t="shared" ref="O151:Q151" si="439">(O30+O155+O158+O161)/N30-1</f>
        <v>2.1276595744681437E-3</v>
      </c>
      <c r="P151" s="27">
        <f t="shared" si="439"/>
        <v>8.4925690021231404E-4</v>
      </c>
      <c r="Q151" s="27">
        <f t="shared" si="439"/>
        <v>8.4925690021231404E-4</v>
      </c>
      <c r="R151" s="9"/>
      <c r="S151" s="27">
        <f>(S30+S155+S158+S161)/Q30-1</f>
        <v>1.7994180128374726E-2</v>
      </c>
      <c r="T151" s="27">
        <f>(T30+T155+T158+T161)/S30-1</f>
        <v>-1.2989686217510177E-2</v>
      </c>
      <c r="U151" s="27">
        <f>(U30+U155+U158+U161)/T30-1</f>
        <v>-1.9143752175426743E-3</v>
      </c>
      <c r="V151" s="27">
        <f>(V30+V155+V158+V161)/U30-1</f>
        <v>7.4613109397692057E-4</v>
      </c>
      <c r="W151" s="256"/>
      <c r="X151" s="27">
        <f>(X30+X155+X158+X161)/V30-1</f>
        <v>2.2460199068061737E-3</v>
      </c>
      <c r="Y151" s="27">
        <f>(Y30+Y155+Y158+Y161)/W30-1</f>
        <v>-1.5932506055578166E-3</v>
      </c>
      <c r="Z151" s="35">
        <v>2E-3</v>
      </c>
      <c r="AA151" s="35">
        <v>2E-3</v>
      </c>
      <c r="AB151" s="9"/>
      <c r="AC151" s="35">
        <v>2E-3</v>
      </c>
      <c r="AD151" s="35">
        <v>2E-3</v>
      </c>
      <c r="AE151" s="35">
        <v>2E-3</v>
      </c>
      <c r="AF151" s="35">
        <v>2E-3</v>
      </c>
      <c r="AG151" s="9"/>
      <c r="AH151" s="35">
        <v>2E-3</v>
      </c>
      <c r="AI151" s="35">
        <v>2E-3</v>
      </c>
      <c r="AJ151" s="35">
        <v>2E-3</v>
      </c>
      <c r="AK151" s="35">
        <v>2E-3</v>
      </c>
      <c r="AL151" s="9"/>
      <c r="AM151" s="35">
        <v>2E-3</v>
      </c>
      <c r="AN151" s="35">
        <v>2E-3</v>
      </c>
      <c r="AO151" s="35">
        <v>2E-3</v>
      </c>
      <c r="AP151" s="35">
        <v>2E-3</v>
      </c>
      <c r="AQ151" s="9"/>
      <c r="AR151" s="35">
        <v>2E-3</v>
      </c>
      <c r="AS151" s="35">
        <v>2E-3</v>
      </c>
      <c r="AT151" s="35">
        <v>2E-3</v>
      </c>
      <c r="AU151" s="35">
        <v>2E-3</v>
      </c>
      <c r="AV151" s="9"/>
    </row>
    <row r="152" spans="2:48" outlineLevel="1" x14ac:dyDescent="0.3">
      <c r="B152" s="580" t="s">
        <v>209</v>
      </c>
      <c r="C152" s="581"/>
      <c r="D152" s="27"/>
      <c r="E152" s="27">
        <f t="shared" ref="E152:G152" si="440">(E31+E155+E158+E161)/D31-1</f>
        <v>2.7604785512613583E-2</v>
      </c>
      <c r="F152" s="27">
        <f t="shared" si="440"/>
        <v>-1.6710442080933863E-2</v>
      </c>
      <c r="G152" s="27">
        <f t="shared" si="440"/>
        <v>1.9089589576967603E-2</v>
      </c>
      <c r="H152" s="9"/>
      <c r="I152" s="27">
        <f>(I31+I155+I158+I161)/G31-1</f>
        <v>-1.5386652077945762E-2</v>
      </c>
      <c r="J152" s="27">
        <f t="shared" ref="J152:L152" si="441">(J31+J155+J158+J161)/I31-1</f>
        <v>-2.5506658270361138E-3</v>
      </c>
      <c r="K152" s="27">
        <f t="shared" si="441"/>
        <v>-1.0332853392055585E-2</v>
      </c>
      <c r="L152" s="27">
        <f t="shared" si="441"/>
        <v>8.9858793324775199E-3</v>
      </c>
      <c r="M152" s="9"/>
      <c r="N152" s="27">
        <f>(N31+N155+N158+N161)/L31-1</f>
        <v>3.392705682782049E-3</v>
      </c>
      <c r="O152" s="27">
        <f t="shared" ref="O152:Q152" si="442">(O31+O155+O158+O161)/N31-1</f>
        <v>1.5215553677092597E-3</v>
      </c>
      <c r="P152" s="27">
        <f t="shared" si="442"/>
        <v>1.1816340310601969E-3</v>
      </c>
      <c r="Q152" s="27">
        <f t="shared" si="442"/>
        <v>1.4331478671387732E-3</v>
      </c>
      <c r="R152" s="9"/>
      <c r="S152" s="27">
        <f>(S31+S155+S158+S161)/Q31-1</f>
        <v>1.6689115245390962E-2</v>
      </c>
      <c r="T152" s="27">
        <f>(T31+T155+T158+T161)/S31-1</f>
        <v>-1.4867191058983376E-2</v>
      </c>
      <c r="U152" s="27">
        <f>(U31+U155+U158+U161)/T31-1</f>
        <v>-2.5132160499177214E-3</v>
      </c>
      <c r="V152" s="27">
        <f t="shared" ref="V152" si="443">(V31+V155+V158+V161)/U31-1</f>
        <v>1.3032145960034658E-3</v>
      </c>
      <c r="W152" s="256"/>
      <c r="X152" s="27">
        <f>(X31+X155+X158+X161)/V31-1</f>
        <v>2.0250927284217735E-3</v>
      </c>
      <c r="Y152" s="113">
        <f>(Y31+Y155+Y158+Y161)/W31-1</f>
        <v>-2.3306084216504486E-3</v>
      </c>
      <c r="Z152" s="35">
        <v>1E-3</v>
      </c>
      <c r="AA152" s="35">
        <v>1E-3</v>
      </c>
      <c r="AB152" s="9"/>
      <c r="AC152" s="35">
        <v>1E-3</v>
      </c>
      <c r="AD152" s="35">
        <v>1E-3</v>
      </c>
      <c r="AE152" s="35">
        <v>1E-3</v>
      </c>
      <c r="AF152" s="35">
        <v>1E-3</v>
      </c>
      <c r="AG152" s="9"/>
      <c r="AH152" s="35">
        <v>1E-3</v>
      </c>
      <c r="AI152" s="35">
        <v>1E-3</v>
      </c>
      <c r="AJ152" s="35">
        <v>1E-3</v>
      </c>
      <c r="AK152" s="35">
        <v>1E-3</v>
      </c>
      <c r="AL152" s="9"/>
      <c r="AM152" s="35">
        <v>1E-3</v>
      </c>
      <c r="AN152" s="35">
        <v>1E-3</v>
      </c>
      <c r="AO152" s="35">
        <v>1E-3</v>
      </c>
      <c r="AP152" s="35">
        <v>1E-3</v>
      </c>
      <c r="AQ152" s="9"/>
      <c r="AR152" s="35">
        <v>1E-3</v>
      </c>
      <c r="AS152" s="35">
        <v>1E-3</v>
      </c>
      <c r="AT152" s="35">
        <v>1E-3</v>
      </c>
      <c r="AU152" s="35">
        <v>1E-3</v>
      </c>
      <c r="AV152" s="9"/>
    </row>
    <row r="153" spans="2:48" outlineLevel="1" x14ac:dyDescent="0.3">
      <c r="B153" s="609" t="s">
        <v>137</v>
      </c>
      <c r="C153" s="610"/>
      <c r="D153" s="245"/>
      <c r="E153" s="144">
        <v>69.922678056926543</v>
      </c>
      <c r="F153" s="144">
        <v>83.13076202744692</v>
      </c>
      <c r="G153" s="144">
        <v>92.52</v>
      </c>
      <c r="H153" s="246"/>
      <c r="I153" s="144">
        <v>85.23</v>
      </c>
      <c r="J153" s="144">
        <v>78.08</v>
      </c>
      <c r="K153" s="144">
        <v>0</v>
      </c>
      <c r="L153" s="144">
        <v>0</v>
      </c>
      <c r="M153" s="246"/>
      <c r="N153" s="144">
        <v>0</v>
      </c>
      <c r="O153" s="144">
        <v>0</v>
      </c>
      <c r="P153" s="144">
        <v>0</v>
      </c>
      <c r="Q153" s="144">
        <v>0</v>
      </c>
      <c r="R153" s="246"/>
      <c r="S153" s="144">
        <v>113.12</v>
      </c>
      <c r="T153" s="144">
        <v>94.51</v>
      </c>
      <c r="U153" s="144">
        <v>0</v>
      </c>
      <c r="V153" s="144">
        <f>+U153</f>
        <v>0</v>
      </c>
      <c r="W153" s="257"/>
      <c r="X153" s="144">
        <v>98.97</v>
      </c>
      <c r="Y153" s="144">
        <v>102.57</v>
      </c>
      <c r="Z153" s="247">
        <v>100</v>
      </c>
      <c r="AA153" s="247">
        <v>100</v>
      </c>
      <c r="AB153" s="246"/>
      <c r="AC153" s="393">
        <f>AG35/0.02</f>
        <v>112.69125000000003</v>
      </c>
      <c r="AD153" s="247">
        <f>+AC153</f>
        <v>112.69125000000003</v>
      </c>
      <c r="AE153" s="247">
        <f>+AD153</f>
        <v>112.69125000000003</v>
      </c>
      <c r="AF153" s="247">
        <f>+AE153</f>
        <v>112.69125000000003</v>
      </c>
      <c r="AG153" s="390"/>
      <c r="AH153" s="393">
        <f>AL35/0.02</f>
        <v>118.3258125</v>
      </c>
      <c r="AI153" s="247">
        <f>AH153</f>
        <v>118.3258125</v>
      </c>
      <c r="AJ153" s="247">
        <f>AI153</f>
        <v>118.3258125</v>
      </c>
      <c r="AK153" s="247">
        <f>AJ153</f>
        <v>118.3258125</v>
      </c>
      <c r="AL153" s="390"/>
      <c r="AM153" s="247">
        <f>AQ35/0.02</f>
        <v>123.32179125000002</v>
      </c>
      <c r="AN153" s="247">
        <f>AM153</f>
        <v>123.32179125000002</v>
      </c>
      <c r="AO153" s="247">
        <f>AN153</f>
        <v>123.32179125000002</v>
      </c>
      <c r="AP153" s="247">
        <f>AO153</f>
        <v>123.32179125000002</v>
      </c>
      <c r="AQ153" s="246"/>
      <c r="AR153" s="247">
        <f>AV35/0.02</f>
        <v>125.78822707500001</v>
      </c>
      <c r="AS153" s="247">
        <f>AR153</f>
        <v>125.78822707500001</v>
      </c>
      <c r="AT153" s="247">
        <f>AS153</f>
        <v>125.78822707500001</v>
      </c>
      <c r="AU153" s="247">
        <f>AT153</f>
        <v>125.78822707500001</v>
      </c>
      <c r="AV153" s="246"/>
    </row>
    <row r="154" spans="2:48" outlineLevel="1" x14ac:dyDescent="0.3">
      <c r="B154" s="580" t="s">
        <v>138</v>
      </c>
      <c r="C154" s="581"/>
      <c r="D154" s="16"/>
      <c r="E154" s="105">
        <v>713.2</v>
      </c>
      <c r="F154" s="105">
        <f>954.3-713.2</f>
        <v>241.09999999999991</v>
      </c>
      <c r="G154" s="101">
        <v>2177.1942404399997</v>
      </c>
      <c r="H154" s="17">
        <f>+SUM(D154:G154)</f>
        <v>3131.4942404399999</v>
      </c>
      <c r="I154" s="101">
        <v>1107.9389472300002</v>
      </c>
      <c r="J154" s="101">
        <v>567.02921856000012</v>
      </c>
      <c r="K154" s="101">
        <v>0</v>
      </c>
      <c r="L154" s="101">
        <v>0</v>
      </c>
      <c r="M154" s="17">
        <f>+SUM(I154:L154)</f>
        <v>1674.9681657900003</v>
      </c>
      <c r="N154" s="101">
        <v>0</v>
      </c>
      <c r="O154" s="101">
        <v>0</v>
      </c>
      <c r="P154" s="101">
        <v>0</v>
      </c>
      <c r="Q154" s="101">
        <v>0</v>
      </c>
      <c r="R154" s="17">
        <f>+SUM(N154:Q154)</f>
        <v>0</v>
      </c>
      <c r="S154" s="101">
        <f>S155*S153</f>
        <v>3520.86</v>
      </c>
      <c r="T154" s="101">
        <f>T155*T153</f>
        <v>492.13842613000003</v>
      </c>
      <c r="U154" s="101">
        <v>0</v>
      </c>
      <c r="V154" s="101">
        <f>U154</f>
        <v>0</v>
      </c>
      <c r="W154" s="169">
        <f>+SUM(S154:V154)</f>
        <v>4012.9984261300001</v>
      </c>
      <c r="X154" s="101">
        <v>191.4</v>
      </c>
      <c r="Y154" s="101">
        <v>303.91501256999999</v>
      </c>
      <c r="Z154" s="33">
        <v>100</v>
      </c>
      <c r="AA154" s="33">
        <v>100</v>
      </c>
      <c r="AB154" s="17">
        <f>+SUM(X154:AA154)</f>
        <v>695.31501257000002</v>
      </c>
      <c r="AC154" s="33">
        <v>100</v>
      </c>
      <c r="AD154" s="33">
        <v>100</v>
      </c>
      <c r="AE154" s="33">
        <v>100</v>
      </c>
      <c r="AF154" s="33">
        <v>100</v>
      </c>
      <c r="AG154" s="17">
        <f>+SUM(AC154:AF154)</f>
        <v>400</v>
      </c>
      <c r="AH154" s="33">
        <v>100</v>
      </c>
      <c r="AI154" s="33">
        <v>100</v>
      </c>
      <c r="AJ154" s="576">
        <v>5591.7586260468015</v>
      </c>
      <c r="AK154" s="576">
        <f>AJ154</f>
        <v>5591.7586260468015</v>
      </c>
      <c r="AL154" s="17">
        <f>+SUM(AH154:AK154)</f>
        <v>11383.517252093603</v>
      </c>
      <c r="AM154" s="33">
        <v>250</v>
      </c>
      <c r="AN154" s="33">
        <v>250</v>
      </c>
      <c r="AO154" s="33">
        <v>250</v>
      </c>
      <c r="AP154" s="33">
        <v>250</v>
      </c>
      <c r="AQ154" s="17">
        <f>+SUM(AM154:AP154)</f>
        <v>1000</v>
      </c>
      <c r="AR154" s="33">
        <v>250</v>
      </c>
      <c r="AS154" s="33">
        <v>250</v>
      </c>
      <c r="AT154" s="33">
        <v>250</v>
      </c>
      <c r="AU154" s="33">
        <v>250</v>
      </c>
      <c r="AV154" s="17">
        <f>+SUM(AR154:AU154)</f>
        <v>1000</v>
      </c>
    </row>
    <row r="155" spans="2:48" outlineLevel="1" x14ac:dyDescent="0.3">
      <c r="B155" s="580" t="s">
        <v>207</v>
      </c>
      <c r="C155" s="581"/>
      <c r="D155" s="139"/>
      <c r="E155" s="139">
        <f>IF((E154)&gt;0,(E154/E153),0)</f>
        <v>10.199838161509755</v>
      </c>
      <c r="F155" s="142">
        <f>IF((F154)&gt;0,(F154/F153),0)</f>
        <v>2.9002500893760241</v>
      </c>
      <c r="G155" s="142">
        <f>IF((G154)&gt;0,(G154/G153),0)</f>
        <v>23.532146999999998</v>
      </c>
      <c r="H155" s="49">
        <f>+SUM(D155:G155)</f>
        <v>36.632235250885778</v>
      </c>
      <c r="I155" s="139">
        <f>IF((I154)&gt;0,(I154/I153),0)</f>
        <v>12.999401000000001</v>
      </c>
      <c r="J155" s="142">
        <f>IF((J154)&gt;0,(J154/J153),0)</f>
        <v>7.262157000000002</v>
      </c>
      <c r="K155" s="139">
        <f>IF((K154)&gt;0,(K154/K153),0)</f>
        <v>0</v>
      </c>
      <c r="L155" s="139">
        <f>IF((L154)&gt;0,(L154/L153),0)</f>
        <v>0</v>
      </c>
      <c r="M155" s="49">
        <f>+SUM(I155:L155)</f>
        <v>20.261558000000001</v>
      </c>
      <c r="N155" s="139">
        <f>IF((N154)&gt;0,(N154/N153),0)</f>
        <v>0</v>
      </c>
      <c r="O155" s="139">
        <f>IF((O154)&gt;0,(O154/O153),0)</f>
        <v>0</v>
      </c>
      <c r="P155" s="139">
        <f>IF((P154)&gt;0,(P154/P153),0)</f>
        <v>0</v>
      </c>
      <c r="Q155" s="139">
        <f>IF((Q154)&gt;0,(Q154/Q153),0)</f>
        <v>0</v>
      </c>
      <c r="R155" s="49">
        <f>+SUM(N155:Q155)</f>
        <v>0</v>
      </c>
      <c r="S155" s="139">
        <v>31.125</v>
      </c>
      <c r="T155" s="142">
        <v>5.2072630000000002</v>
      </c>
      <c r="U155" s="142">
        <f>IF((U154)&gt;0,(U154/U153),0)</f>
        <v>0</v>
      </c>
      <c r="V155" s="139">
        <f>IF((V154)&gt;0,(V154/V153),0)</f>
        <v>0</v>
      </c>
      <c r="W155" s="49">
        <f>+SUM(S155:V155)</f>
        <v>36.332262999999998</v>
      </c>
      <c r="X155" s="139">
        <f>IF((X154)&gt;0,(X154/X153),0)</f>
        <v>1.9339193695059109</v>
      </c>
      <c r="Y155" s="578">
        <f>IF((Y154)&gt;0,(Y154/Y153),0)</f>
        <v>2.9630010000000002</v>
      </c>
      <c r="Z155" s="139">
        <f>IF((Z154)&gt;0,(Z154/Z153),0)</f>
        <v>1</v>
      </c>
      <c r="AA155" s="139">
        <f>IF((AA154)&gt;0,(AA154/AA153),0)</f>
        <v>1</v>
      </c>
      <c r="AB155" s="49">
        <f>+SUM(X155:AA155)</f>
        <v>6.8969203695059109</v>
      </c>
      <c r="AC155" s="139">
        <f>IF((AC154)&gt;0,(AC154/AC153),0)</f>
        <v>0.88738034230696683</v>
      </c>
      <c r="AD155" s="139">
        <f>IF((AD154)&gt;0,(AD154/AD153),0)</f>
        <v>0.88738034230696683</v>
      </c>
      <c r="AE155" s="139">
        <f>IF((AE154)&gt;0,(AE154/AE153),0)</f>
        <v>0.88738034230696683</v>
      </c>
      <c r="AF155" s="139">
        <f>IF((AF154)&gt;0,(AF154/AF153),0)</f>
        <v>0.88738034230696683</v>
      </c>
      <c r="AG155" s="49">
        <f>+SUM(AC155:AF155)</f>
        <v>3.5495213692278673</v>
      </c>
      <c r="AH155" s="139">
        <f>IF((AH154)&gt;0,(AH154/AH153),0)</f>
        <v>0.84512413553044485</v>
      </c>
      <c r="AI155" s="139">
        <f>IF((AI154)&gt;0,(AI154/AI153),0)</f>
        <v>0.84512413553044485</v>
      </c>
      <c r="AJ155" s="139">
        <f>IF((AJ154)&gt;0,(AJ154/AJ153),0)</f>
        <v>47.257301749327112</v>
      </c>
      <c r="AK155" s="139">
        <f>IF((AK154)&gt;0,(AK154/AK153),0)</f>
        <v>47.257301749327112</v>
      </c>
      <c r="AL155" s="49">
        <f>+SUM(AH155:AK155)</f>
        <v>96.204851769715106</v>
      </c>
      <c r="AM155" s="139">
        <f>IF((AM154)&gt;0,(AM154/AM153),0)</f>
        <v>2.0272167430101287</v>
      </c>
      <c r="AN155" s="139">
        <f>IF((AN154)&gt;0,(AN154/AN153),0)</f>
        <v>2.0272167430101287</v>
      </c>
      <c r="AO155" s="139">
        <f>IF((AO154)&gt;0,(AO154/AO153),0)</f>
        <v>2.0272167430101287</v>
      </c>
      <c r="AP155" s="139">
        <f>IF((AP154)&gt;0,(AP154/AP153),0)</f>
        <v>2.0272167430101287</v>
      </c>
      <c r="AQ155" s="49">
        <f>+SUM(AM155:AP155)</f>
        <v>8.1088669720405147</v>
      </c>
      <c r="AR155" s="139">
        <f>IF((AR154)&gt;0,(AR154/AR153),0)</f>
        <v>1.9874673951079693</v>
      </c>
      <c r="AS155" s="139">
        <f>IF((AS154)&gt;0,(AS154/AS153),0)</f>
        <v>1.9874673951079693</v>
      </c>
      <c r="AT155" s="139">
        <f>IF((AT154)&gt;0,(AT154/AT153),0)</f>
        <v>1.9874673951079693</v>
      </c>
      <c r="AU155" s="139">
        <f>IF((AU154)&gt;0,(AU154/AU153),0)</f>
        <v>1.9874673951079693</v>
      </c>
      <c r="AV155" s="49">
        <f>+SUM(AR155:AU155)</f>
        <v>7.9498695804318773</v>
      </c>
    </row>
    <row r="156" spans="2:48" outlineLevel="1" x14ac:dyDescent="0.3">
      <c r="B156" s="611" t="s">
        <v>131</v>
      </c>
      <c r="C156" s="612"/>
      <c r="D156" s="143">
        <v>55.58</v>
      </c>
      <c r="E156" s="144">
        <v>65.03</v>
      </c>
      <c r="F156" s="96"/>
      <c r="G156" s="96"/>
      <c r="H156" s="76"/>
      <c r="I156" s="96"/>
      <c r="J156" s="96"/>
      <c r="K156" s="96"/>
      <c r="L156" s="96"/>
      <c r="M156" s="76"/>
      <c r="N156" s="96"/>
      <c r="O156" s="96"/>
      <c r="P156" s="96"/>
      <c r="Q156" s="96"/>
      <c r="R156" s="76"/>
      <c r="S156" s="96"/>
      <c r="T156" s="96"/>
      <c r="U156" s="96"/>
      <c r="V156" s="96"/>
      <c r="W156" s="76"/>
      <c r="X156" s="96"/>
      <c r="Y156" s="96"/>
      <c r="Z156" s="96"/>
      <c r="AA156" s="96"/>
      <c r="AB156" s="76"/>
      <c r="AC156" s="96"/>
      <c r="AD156" s="96"/>
      <c r="AE156" s="96"/>
      <c r="AF156" s="96"/>
      <c r="AG156" s="76"/>
      <c r="AH156" s="96"/>
      <c r="AI156" s="96"/>
      <c r="AJ156" s="96"/>
      <c r="AK156" s="96"/>
      <c r="AL156" s="76"/>
      <c r="AM156" s="96"/>
      <c r="AN156" s="96"/>
      <c r="AO156" s="96"/>
      <c r="AP156" s="96"/>
      <c r="AQ156" s="76"/>
      <c r="AR156" s="96"/>
      <c r="AS156" s="96"/>
      <c r="AT156" s="96"/>
      <c r="AU156" s="96"/>
      <c r="AV156" s="76"/>
    </row>
    <row r="157" spans="2:48" outlineLevel="1" x14ac:dyDescent="0.3">
      <c r="B157" s="613" t="s">
        <v>132</v>
      </c>
      <c r="C157" s="614"/>
      <c r="D157" s="145">
        <f>71.968334*55.58</f>
        <v>4000.0000037199998</v>
      </c>
      <c r="E157" s="146">
        <v>318.64700000000005</v>
      </c>
      <c r="F157" s="139"/>
      <c r="G157" s="139"/>
      <c r="H157" s="49"/>
      <c r="I157" s="139"/>
      <c r="J157" s="139"/>
      <c r="K157" s="139"/>
      <c r="L157" s="139"/>
      <c r="M157" s="49"/>
      <c r="N157" s="139"/>
      <c r="O157" s="139"/>
      <c r="P157" s="139"/>
      <c r="Q157" s="139"/>
      <c r="R157" s="49"/>
      <c r="S157" s="139"/>
      <c r="T157" s="139"/>
      <c r="U157" s="142"/>
      <c r="V157" s="139"/>
      <c r="W157" s="137"/>
      <c r="X157" s="139"/>
      <c r="Y157" s="139"/>
      <c r="Z157" s="139"/>
      <c r="AA157" s="139"/>
      <c r="AB157" s="49"/>
      <c r="AC157" s="139"/>
      <c r="AD157" s="139"/>
      <c r="AE157" s="139"/>
      <c r="AF157" s="139"/>
      <c r="AG157" s="49"/>
      <c r="AH157" s="139"/>
      <c r="AI157" s="139"/>
      <c r="AJ157" s="139"/>
      <c r="AK157" s="139"/>
      <c r="AL157" s="49"/>
      <c r="AM157" s="139"/>
      <c r="AN157" s="139"/>
      <c r="AO157" s="139"/>
      <c r="AP157" s="139"/>
      <c r="AQ157" s="49"/>
      <c r="AR157" s="139"/>
      <c r="AS157" s="139"/>
      <c r="AT157" s="139"/>
      <c r="AU157" s="139"/>
      <c r="AV157" s="49"/>
    </row>
    <row r="158" spans="2:48" outlineLevel="1" x14ac:dyDescent="0.3">
      <c r="B158" s="615" t="s">
        <v>133</v>
      </c>
      <c r="C158" s="616"/>
      <c r="D158" s="147">
        <f>IF((D157)&gt;0,(D157/D156),0)</f>
        <v>71.968333999999999</v>
      </c>
      <c r="E158" s="140">
        <f>IF((E157)&gt;0,(E157/E156),0)</f>
        <v>4.9000000000000004</v>
      </c>
      <c r="F158" s="140"/>
      <c r="G158" s="140"/>
      <c r="H158" s="141"/>
      <c r="I158" s="140"/>
      <c r="J158" s="140"/>
      <c r="K158" s="140"/>
      <c r="L158" s="140"/>
      <c r="M158" s="141"/>
      <c r="N158" s="140"/>
      <c r="O158" s="140"/>
      <c r="P158" s="140"/>
      <c r="Q158" s="140"/>
      <c r="R158" s="141"/>
      <c r="S158" s="140"/>
      <c r="T158" s="140"/>
      <c r="U158" s="140"/>
      <c r="V158" s="140"/>
      <c r="W158" s="199"/>
      <c r="X158" s="140"/>
      <c r="Y158" s="140"/>
      <c r="Z158" s="140"/>
      <c r="AA158" s="140"/>
      <c r="AB158" s="141"/>
      <c r="AC158" s="140"/>
      <c r="AD158" s="140"/>
      <c r="AE158" s="140"/>
      <c r="AF158" s="140"/>
      <c r="AG158" s="141"/>
      <c r="AH158" s="140"/>
      <c r="AI158" s="140"/>
      <c r="AJ158" s="140"/>
      <c r="AK158" s="140"/>
      <c r="AL158" s="141"/>
      <c r="AM158" s="140"/>
      <c r="AN158" s="140"/>
      <c r="AO158" s="140"/>
      <c r="AP158" s="140"/>
      <c r="AQ158" s="141"/>
      <c r="AR158" s="140"/>
      <c r="AS158" s="140"/>
      <c r="AT158" s="140"/>
      <c r="AU158" s="140"/>
      <c r="AV158" s="141"/>
    </row>
    <row r="159" spans="2:48" outlineLevel="1" x14ac:dyDescent="0.3">
      <c r="B159" s="200" t="s">
        <v>134</v>
      </c>
      <c r="C159" s="201"/>
      <c r="D159" s="139"/>
      <c r="E159" s="36">
        <v>71.959999999999994</v>
      </c>
      <c r="F159" s="36">
        <v>76.5</v>
      </c>
      <c r="G159" s="139"/>
      <c r="H159" s="49"/>
      <c r="I159" s="139"/>
      <c r="J159" s="139"/>
      <c r="K159" s="139"/>
      <c r="L159" s="139"/>
      <c r="M159" s="49"/>
      <c r="N159" s="139"/>
      <c r="O159" s="139"/>
      <c r="P159" s="139"/>
      <c r="Q159" s="139"/>
      <c r="R159" s="49"/>
      <c r="S159" s="139"/>
      <c r="T159" s="139"/>
      <c r="U159" s="139"/>
      <c r="V159" s="139"/>
      <c r="W159" s="49"/>
      <c r="X159" s="139"/>
      <c r="Y159" s="139"/>
      <c r="Z159" s="139"/>
      <c r="AA159" s="139"/>
      <c r="AB159" s="49"/>
      <c r="AC159" s="139"/>
      <c r="AD159" s="139"/>
      <c r="AE159" s="139"/>
      <c r="AF159" s="139"/>
      <c r="AG159" s="49"/>
      <c r="AH159" s="139"/>
      <c r="AI159" s="139"/>
      <c r="AJ159" s="139"/>
      <c r="AK159" s="139"/>
      <c r="AL159" s="49"/>
      <c r="AM159" s="139"/>
      <c r="AN159" s="139"/>
      <c r="AO159" s="139"/>
      <c r="AP159" s="139"/>
      <c r="AQ159" s="49"/>
      <c r="AR159" s="139"/>
      <c r="AS159" s="139"/>
      <c r="AT159" s="139"/>
      <c r="AU159" s="139"/>
      <c r="AV159" s="49"/>
    </row>
    <row r="160" spans="2:48" outlineLevel="1" x14ac:dyDescent="0.3">
      <c r="B160" s="200" t="s">
        <v>135</v>
      </c>
      <c r="C160" s="201"/>
      <c r="D160" s="139"/>
      <c r="E160" s="16">
        <v>1597.5119999999997</v>
      </c>
      <c r="F160" s="16">
        <v>298.35000000000002</v>
      </c>
      <c r="G160" s="139"/>
      <c r="H160" s="49"/>
      <c r="I160" s="139"/>
      <c r="J160" s="139"/>
      <c r="K160" s="139"/>
      <c r="L160" s="139"/>
      <c r="M160" s="49"/>
      <c r="N160" s="179"/>
      <c r="O160" s="139"/>
      <c r="P160" s="139"/>
      <c r="Q160" s="139"/>
      <c r="R160" s="49"/>
      <c r="S160" s="139"/>
      <c r="T160" s="139"/>
      <c r="U160" s="139"/>
      <c r="V160" s="139"/>
      <c r="W160" s="49"/>
      <c r="X160" s="139"/>
      <c r="Y160" s="139"/>
      <c r="Z160" s="139"/>
      <c r="AA160" s="139"/>
      <c r="AB160" s="49"/>
      <c r="AC160" s="139"/>
      <c r="AD160" s="139"/>
      <c r="AE160" s="139"/>
      <c r="AF160" s="139"/>
      <c r="AG160" s="49"/>
      <c r="AH160" s="139"/>
      <c r="AI160" s="139"/>
      <c r="AJ160" s="139"/>
      <c r="AK160" s="139"/>
      <c r="AL160" s="49"/>
      <c r="AM160" s="139"/>
      <c r="AN160" s="139"/>
      <c r="AO160" s="139"/>
      <c r="AP160" s="139"/>
      <c r="AQ160" s="49"/>
      <c r="AR160" s="139"/>
      <c r="AS160" s="139"/>
      <c r="AT160" s="139"/>
      <c r="AU160" s="139"/>
      <c r="AV160" s="49"/>
    </row>
    <row r="161" spans="2:48" outlineLevel="1" x14ac:dyDescent="0.3">
      <c r="B161" s="200" t="s">
        <v>136</v>
      </c>
      <c r="C161" s="201"/>
      <c r="D161" s="139"/>
      <c r="E161" s="139">
        <f>IF((E160)&gt;0,(E160/E159),0)</f>
        <v>22.2</v>
      </c>
      <c r="F161" s="139">
        <f>IF((F160)&gt;0,(F160/F159),0)</f>
        <v>3.9000000000000004</v>
      </c>
      <c r="G161" s="139"/>
      <c r="H161" s="49"/>
      <c r="I161" s="139"/>
      <c r="J161" s="139"/>
      <c r="K161" s="139"/>
      <c r="L161" s="139"/>
      <c r="M161" s="49"/>
      <c r="N161" s="139"/>
      <c r="O161" s="139"/>
      <c r="P161" s="139"/>
      <c r="Q161" s="139"/>
      <c r="R161" s="49"/>
      <c r="S161" s="139"/>
      <c r="T161" s="139"/>
      <c r="U161" s="139"/>
      <c r="V161" s="139"/>
      <c r="W161" s="49"/>
      <c r="X161" s="139"/>
      <c r="Y161" s="139"/>
      <c r="Z161" s="139"/>
      <c r="AA161" s="139"/>
      <c r="AB161" s="49"/>
      <c r="AC161" s="139"/>
      <c r="AD161" s="139"/>
      <c r="AE161" s="139"/>
      <c r="AF161" s="139"/>
      <c r="AG161" s="49"/>
      <c r="AH161" s="139"/>
      <c r="AI161" s="139"/>
      <c r="AJ161" s="139"/>
      <c r="AK161" s="139"/>
      <c r="AL161" s="49"/>
      <c r="AM161" s="139"/>
      <c r="AN161" s="139"/>
      <c r="AO161" s="139"/>
      <c r="AP161" s="139"/>
      <c r="AQ161" s="49"/>
      <c r="AR161" s="139"/>
      <c r="AS161" s="139"/>
      <c r="AT161" s="139"/>
      <c r="AU161" s="139"/>
      <c r="AV161" s="49"/>
    </row>
    <row r="162" spans="2:48" ht="17.399999999999999" x14ac:dyDescent="0.45">
      <c r="B162" s="583" t="s">
        <v>12</v>
      </c>
      <c r="C162" s="584"/>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4" t="s">
        <v>408</v>
      </c>
      <c r="Y162" s="14" t="s">
        <v>452</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580" t="s">
        <v>65</v>
      </c>
      <c r="C163" s="581"/>
      <c r="D163" s="102">
        <f>-(22+5.3+0.6+20.9)</f>
        <v>-48.8</v>
      </c>
      <c r="E163" s="102">
        <v>-45.1</v>
      </c>
      <c r="F163" s="102">
        <v>-39.6</v>
      </c>
      <c r="G163" s="102">
        <f>-146.2+133.5</f>
        <v>-12.699999999999989</v>
      </c>
      <c r="H163" s="159">
        <f>SUM(D163:G163)</f>
        <v>-146.19999999999999</v>
      </c>
      <c r="I163" s="102">
        <v>-7.1</v>
      </c>
      <c r="J163" s="102">
        <v>0.1</v>
      </c>
      <c r="K163" s="105">
        <f>-K14</f>
        <v>-78.099999999999994</v>
      </c>
      <c r="L163" s="101">
        <v>-195.5</v>
      </c>
      <c r="M163" s="169"/>
      <c r="N163" s="101">
        <v>-72.2</v>
      </c>
      <c r="O163" s="101">
        <v>-23</v>
      </c>
      <c r="P163" s="101">
        <v>-19.8</v>
      </c>
      <c r="Q163" s="101">
        <v>-55.5</v>
      </c>
      <c r="R163" s="17"/>
      <c r="S163" s="16">
        <v>7.5</v>
      </c>
      <c r="T163" s="16">
        <v>-4.4000000000000004</v>
      </c>
      <c r="U163" s="16">
        <v>-14</v>
      </c>
      <c r="V163" s="101">
        <v>-35.1</v>
      </c>
      <c r="W163" s="17"/>
      <c r="X163" s="101">
        <v>-5.8</v>
      </c>
      <c r="Y163" s="101">
        <v>-8.8000000000000007</v>
      </c>
      <c r="Z163" s="33">
        <v>-7</v>
      </c>
      <c r="AA163" s="33">
        <v>-7</v>
      </c>
      <c r="AB163" s="17"/>
      <c r="AC163" s="33">
        <f>AA163</f>
        <v>-7</v>
      </c>
      <c r="AD163" s="33">
        <f t="shared" ref="AD163:AF163" si="444">AC163</f>
        <v>-7</v>
      </c>
      <c r="AE163" s="33">
        <f t="shared" si="444"/>
        <v>-7</v>
      </c>
      <c r="AF163" s="33">
        <f t="shared" si="444"/>
        <v>-7</v>
      </c>
      <c r="AG163" s="17"/>
      <c r="AH163" s="33">
        <f>AF163</f>
        <v>-7</v>
      </c>
      <c r="AI163" s="33">
        <f t="shared" ref="AI163:AK163" si="445">AH163</f>
        <v>-7</v>
      </c>
      <c r="AJ163" s="33">
        <f t="shared" si="445"/>
        <v>-7</v>
      </c>
      <c r="AK163" s="33">
        <f t="shared" si="445"/>
        <v>-7</v>
      </c>
      <c r="AL163" s="17"/>
      <c r="AM163" s="33">
        <f>AK163</f>
        <v>-7</v>
      </c>
      <c r="AN163" s="33">
        <f t="shared" ref="AN163:AP163" si="446">AM163</f>
        <v>-7</v>
      </c>
      <c r="AO163" s="33">
        <f t="shared" si="446"/>
        <v>-7</v>
      </c>
      <c r="AP163" s="33">
        <f t="shared" si="446"/>
        <v>-7</v>
      </c>
      <c r="AQ163" s="17"/>
      <c r="AR163" s="33">
        <f>AP163</f>
        <v>-7</v>
      </c>
      <c r="AS163" s="33">
        <f t="shared" ref="AS163:AU163" si="447">AR163</f>
        <v>-7</v>
      </c>
      <c r="AT163" s="33">
        <f t="shared" si="447"/>
        <v>-7</v>
      </c>
      <c r="AU163" s="33">
        <f t="shared" si="447"/>
        <v>-7</v>
      </c>
      <c r="AV163" s="17"/>
    </row>
    <row r="164" spans="2:48" outlineLevel="1" x14ac:dyDescent="0.3">
      <c r="B164" s="200" t="s">
        <v>64</v>
      </c>
      <c r="C164" s="201"/>
      <c r="D164" s="102">
        <f>-(5.3+0.5)</f>
        <v>-5.8</v>
      </c>
      <c r="E164" s="102">
        <v>-4.3</v>
      </c>
      <c r="F164" s="102">
        <v>-2.2999999999999998</v>
      </c>
      <c r="G164" s="102">
        <v>-0.2</v>
      </c>
      <c r="H164" s="159">
        <f t="shared" ref="H164:H167" si="448">SUM(D164:G164)</f>
        <v>-12.599999999999998</v>
      </c>
      <c r="I164" s="102">
        <v>-5.6</v>
      </c>
      <c r="J164" s="102">
        <v>-6.8</v>
      </c>
      <c r="K164" s="105">
        <v>-35.04</v>
      </c>
      <c r="L164" s="101">
        <v>0</v>
      </c>
      <c r="M164" s="169"/>
      <c r="N164" s="101">
        <v>0</v>
      </c>
      <c r="O164" s="101">
        <v>0</v>
      </c>
      <c r="P164" s="101">
        <v>22.8</v>
      </c>
      <c r="Q164" s="101">
        <v>-0.1</v>
      </c>
      <c r="R164" s="17"/>
      <c r="S164" s="16"/>
      <c r="T164" s="16"/>
      <c r="U164" s="16"/>
      <c r="V164" s="101"/>
      <c r="W164" s="17"/>
      <c r="X164" s="101">
        <v>0</v>
      </c>
      <c r="Y164" s="101"/>
      <c r="Z164" s="33"/>
      <c r="AA164" s="33"/>
      <c r="AB164" s="17"/>
      <c r="AC164" s="33">
        <f t="shared" ref="AC164:AC167" si="449">AA164</f>
        <v>0</v>
      </c>
      <c r="AD164" s="33"/>
      <c r="AE164" s="33"/>
      <c r="AF164" s="33"/>
      <c r="AG164" s="17"/>
      <c r="AH164" s="33">
        <f t="shared" ref="AH164:AH167" si="450">AF164</f>
        <v>0</v>
      </c>
      <c r="AI164" s="33"/>
      <c r="AJ164" s="33"/>
      <c r="AK164" s="33"/>
      <c r="AL164" s="17"/>
      <c r="AM164" s="33">
        <f t="shared" ref="AM164:AM167" si="451">AK164</f>
        <v>0</v>
      </c>
      <c r="AN164" s="33"/>
      <c r="AO164" s="33"/>
      <c r="AP164" s="33"/>
      <c r="AQ164" s="17"/>
      <c r="AR164" s="33">
        <f t="shared" ref="AR164:AR167" si="452">AP164</f>
        <v>0</v>
      </c>
      <c r="AS164" s="33"/>
      <c r="AT164" s="33"/>
      <c r="AU164" s="33"/>
      <c r="AV164" s="17"/>
    </row>
    <row r="165" spans="2:48" outlineLevel="1" x14ac:dyDescent="0.3">
      <c r="B165" s="580" t="s">
        <v>129</v>
      </c>
      <c r="C165" s="581"/>
      <c r="D165" s="102">
        <f>-(60.6-0.3)</f>
        <v>-60.300000000000004</v>
      </c>
      <c r="E165" s="102">
        <v>-68.2</v>
      </c>
      <c r="F165" s="102">
        <v>-69</v>
      </c>
      <c r="G165" s="102">
        <f>-262+197.5</f>
        <v>-64.5</v>
      </c>
      <c r="H165" s="159">
        <f>SUM(D165:G165)</f>
        <v>-262</v>
      </c>
      <c r="I165" s="102">
        <v>-58.9</v>
      </c>
      <c r="J165" s="102">
        <v>-60.1</v>
      </c>
      <c r="K165" s="105">
        <v>-60.54</v>
      </c>
      <c r="L165" s="101">
        <v>-64</v>
      </c>
      <c r="M165" s="169"/>
      <c r="N165" s="101">
        <v>-62.7</v>
      </c>
      <c r="O165" s="101">
        <v>-65.2</v>
      </c>
      <c r="P165" s="101">
        <v>-54.7</v>
      </c>
      <c r="Q165" s="101">
        <v>-59.6</v>
      </c>
      <c r="R165" s="17"/>
      <c r="S165" s="16">
        <f>0.1-42.8</f>
        <v>-42.699999999999996</v>
      </c>
      <c r="T165" s="16">
        <v>-43.1</v>
      </c>
      <c r="U165" s="16">
        <v>-63.5</v>
      </c>
      <c r="V165" s="101">
        <v>-42</v>
      </c>
      <c r="W165" s="17"/>
      <c r="X165" s="101">
        <v>-0.3</v>
      </c>
      <c r="Y165" s="101">
        <v>-0.1</v>
      </c>
      <c r="Z165" s="33">
        <f t="shared" ref="Z165:AA165" si="453">Y165</f>
        <v>-0.1</v>
      </c>
      <c r="AA165" s="33">
        <f t="shared" si="453"/>
        <v>-0.1</v>
      </c>
      <c r="AB165" s="17"/>
      <c r="AC165" s="33">
        <f t="shared" si="449"/>
        <v>-0.1</v>
      </c>
      <c r="AD165" s="33">
        <f t="shared" ref="AD165:AF165" si="454">AC165</f>
        <v>-0.1</v>
      </c>
      <c r="AE165" s="33">
        <f t="shared" si="454"/>
        <v>-0.1</v>
      </c>
      <c r="AF165" s="33">
        <f t="shared" si="454"/>
        <v>-0.1</v>
      </c>
      <c r="AG165" s="17"/>
      <c r="AH165" s="33">
        <f t="shared" si="450"/>
        <v>-0.1</v>
      </c>
      <c r="AI165" s="33">
        <f t="shared" ref="AI165:AK165" si="455">AH165</f>
        <v>-0.1</v>
      </c>
      <c r="AJ165" s="33">
        <f t="shared" si="455"/>
        <v>-0.1</v>
      </c>
      <c r="AK165" s="33">
        <f t="shared" si="455"/>
        <v>-0.1</v>
      </c>
      <c r="AL165" s="17"/>
      <c r="AM165" s="33">
        <f t="shared" si="451"/>
        <v>-0.1</v>
      </c>
      <c r="AN165" s="33">
        <f t="shared" ref="AN165:AP165" si="456">AM165</f>
        <v>-0.1</v>
      </c>
      <c r="AO165" s="33">
        <f t="shared" si="456"/>
        <v>-0.1</v>
      </c>
      <c r="AP165" s="33">
        <f t="shared" si="456"/>
        <v>-0.1</v>
      </c>
      <c r="AQ165" s="17"/>
      <c r="AR165" s="33">
        <f t="shared" si="452"/>
        <v>-0.1</v>
      </c>
      <c r="AS165" s="33">
        <f t="shared" ref="AS165:AU165" si="457">AR165</f>
        <v>-0.1</v>
      </c>
      <c r="AT165" s="33">
        <f t="shared" si="457"/>
        <v>-0.1</v>
      </c>
      <c r="AU165" s="33">
        <f t="shared" si="457"/>
        <v>-0.1</v>
      </c>
      <c r="AV165" s="17"/>
    </row>
    <row r="166" spans="2:48" outlineLevel="1" x14ac:dyDescent="0.3">
      <c r="B166" s="200" t="s">
        <v>66</v>
      </c>
      <c r="C166" s="201"/>
      <c r="D166" s="102">
        <v>-23.1</v>
      </c>
      <c r="E166" s="102">
        <v>-23.8</v>
      </c>
      <c r="F166" s="102">
        <v>-14.4</v>
      </c>
      <c r="G166" s="102">
        <v>0</v>
      </c>
      <c r="H166" s="159">
        <f t="shared" si="448"/>
        <v>-61.300000000000004</v>
      </c>
      <c r="I166" s="102"/>
      <c r="J166" s="102"/>
      <c r="K166" s="101"/>
      <c r="L166" s="101"/>
      <c r="M166" s="169"/>
      <c r="N166" s="101"/>
      <c r="O166" s="101"/>
      <c r="P166" s="101"/>
      <c r="Q166" s="101"/>
      <c r="R166" s="17"/>
      <c r="S166" s="16"/>
      <c r="T166" s="16"/>
      <c r="U166" s="16"/>
      <c r="V166" s="101"/>
      <c r="W166" s="17"/>
      <c r="X166" s="101">
        <v>0</v>
      </c>
      <c r="Y166" s="101"/>
      <c r="Z166" s="33"/>
      <c r="AA166" s="33"/>
      <c r="AB166" s="17"/>
      <c r="AC166" s="33">
        <f t="shared" si="449"/>
        <v>0</v>
      </c>
      <c r="AD166" s="33"/>
      <c r="AE166" s="33"/>
      <c r="AF166" s="33"/>
      <c r="AG166" s="17"/>
      <c r="AH166" s="33">
        <f t="shared" si="450"/>
        <v>0</v>
      </c>
      <c r="AI166" s="33"/>
      <c r="AJ166" s="33"/>
      <c r="AK166" s="33"/>
      <c r="AL166" s="17"/>
      <c r="AM166" s="33">
        <f t="shared" si="451"/>
        <v>0</v>
      </c>
      <c r="AN166" s="33"/>
      <c r="AO166" s="33"/>
      <c r="AP166" s="33"/>
      <c r="AQ166" s="17"/>
      <c r="AR166" s="33">
        <f t="shared" si="452"/>
        <v>0</v>
      </c>
      <c r="AS166" s="33"/>
      <c r="AT166" s="33"/>
      <c r="AU166" s="33"/>
      <c r="AV166" s="17"/>
    </row>
    <row r="167" spans="2:48" ht="16.2" outlineLevel="1" x14ac:dyDescent="0.45">
      <c r="B167" s="200" t="s">
        <v>80</v>
      </c>
      <c r="C167" s="201"/>
      <c r="D167" s="138">
        <v>0</v>
      </c>
      <c r="E167" s="138">
        <v>0</v>
      </c>
      <c r="F167" s="138">
        <v>0</v>
      </c>
      <c r="G167" s="138">
        <v>0</v>
      </c>
      <c r="H167" s="160">
        <f t="shared" si="448"/>
        <v>0</v>
      </c>
      <c r="I167" s="138">
        <v>0</v>
      </c>
      <c r="J167" s="138">
        <v>0</v>
      </c>
      <c r="K167" s="112">
        <v>0</v>
      </c>
      <c r="L167" s="112">
        <v>0</v>
      </c>
      <c r="M167" s="169"/>
      <c r="N167" s="112">
        <v>0</v>
      </c>
      <c r="O167" s="112">
        <v>0</v>
      </c>
      <c r="P167" s="112">
        <v>0</v>
      </c>
      <c r="Q167" s="112">
        <v>0</v>
      </c>
      <c r="R167" s="17"/>
      <c r="S167" s="112">
        <v>0</v>
      </c>
      <c r="T167" s="112">
        <v>0</v>
      </c>
      <c r="U167" s="112">
        <v>0</v>
      </c>
      <c r="V167" s="112">
        <v>0</v>
      </c>
      <c r="W167" s="17"/>
      <c r="X167" s="112">
        <v>0</v>
      </c>
      <c r="Y167" s="112">
        <v>91.3</v>
      </c>
      <c r="Z167" s="32">
        <v>0</v>
      </c>
      <c r="AA167" s="32">
        <f>Z167</f>
        <v>0</v>
      </c>
      <c r="AB167" s="17"/>
      <c r="AC167" s="32">
        <f t="shared" si="449"/>
        <v>0</v>
      </c>
      <c r="AD167" s="32">
        <v>0</v>
      </c>
      <c r="AE167" s="32">
        <v>0</v>
      </c>
      <c r="AF167" s="32">
        <v>0</v>
      </c>
      <c r="AG167" s="17"/>
      <c r="AH167" s="32">
        <f t="shared" si="450"/>
        <v>0</v>
      </c>
      <c r="AI167" s="32">
        <v>0</v>
      </c>
      <c r="AJ167" s="32">
        <v>0</v>
      </c>
      <c r="AK167" s="32">
        <v>0</v>
      </c>
      <c r="AL167" s="17"/>
      <c r="AM167" s="32">
        <f t="shared" si="451"/>
        <v>0</v>
      </c>
      <c r="AN167" s="32">
        <v>0</v>
      </c>
      <c r="AO167" s="32">
        <v>0</v>
      </c>
      <c r="AP167" s="32">
        <v>0</v>
      </c>
      <c r="AQ167" s="17"/>
      <c r="AR167" s="32">
        <f t="shared" si="452"/>
        <v>0</v>
      </c>
      <c r="AS167" s="32">
        <v>0</v>
      </c>
      <c r="AT167" s="32">
        <v>0</v>
      </c>
      <c r="AU167" s="32">
        <v>0</v>
      </c>
      <c r="AV167" s="17"/>
    </row>
    <row r="168" spans="2:48" s="8" customFormat="1" outlineLevel="1" x14ac:dyDescent="0.3">
      <c r="B168" s="205" t="s">
        <v>67</v>
      </c>
      <c r="C168" s="202"/>
      <c r="D168" s="103">
        <f t="shared" ref="D168:L168" si="458">SUM(D163:D167)</f>
        <v>-138</v>
      </c>
      <c r="E168" s="103">
        <f t="shared" si="458"/>
        <v>-141.4</v>
      </c>
      <c r="F168" s="103">
        <f t="shared" si="458"/>
        <v>-125.30000000000001</v>
      </c>
      <c r="G168" s="103">
        <f t="shared" si="458"/>
        <v>-77.399999999999991</v>
      </c>
      <c r="H168" s="171">
        <f t="shared" si="458"/>
        <v>-482.09999999999997</v>
      </c>
      <c r="I168" s="103">
        <f t="shared" si="458"/>
        <v>-71.599999999999994</v>
      </c>
      <c r="J168" s="103">
        <f t="shared" si="458"/>
        <v>-66.8</v>
      </c>
      <c r="K168" s="103">
        <f t="shared" si="458"/>
        <v>-173.67999999999998</v>
      </c>
      <c r="L168" s="103">
        <f t="shared" si="458"/>
        <v>-259.5</v>
      </c>
      <c r="M168" s="150"/>
      <c r="N168" s="103">
        <f>SUM(N163:N167)</f>
        <v>-134.9</v>
      </c>
      <c r="O168" s="103">
        <f>SUM(O163:O167)</f>
        <v>-88.2</v>
      </c>
      <c r="P168" s="103">
        <f>SUM(P163:P167)</f>
        <v>-51.7</v>
      </c>
      <c r="Q168" s="103">
        <f>SUM(Q163:Q167)</f>
        <v>-115.2</v>
      </c>
      <c r="R168" s="22"/>
      <c r="S168" s="103">
        <f>SUM(S163:S167)</f>
        <v>-35.199999999999996</v>
      </c>
      <c r="T168" s="50">
        <f>SUM(T163:T167)</f>
        <v>-47.5</v>
      </c>
      <c r="U168" s="50">
        <f>SUM(U163:U167)</f>
        <v>-77.5</v>
      </c>
      <c r="V168" s="50">
        <f>SUM(V163:V167)</f>
        <v>-77.099999999999994</v>
      </c>
      <c r="W168" s="22"/>
      <c r="X168" s="103">
        <f>SUM(X163:X167)</f>
        <v>-6.1</v>
      </c>
      <c r="Y168" s="103">
        <f>SUM(Y163:Y167)</f>
        <v>82.399999999999991</v>
      </c>
      <c r="Z168" s="50">
        <f>SUM(Z163:Z167)</f>
        <v>-7.1</v>
      </c>
      <c r="AA168" s="50">
        <f>SUM(AA163:AA167)</f>
        <v>-7.1</v>
      </c>
      <c r="AB168" s="22"/>
      <c r="AC168" s="50">
        <f>SUM(AC163:AC167)</f>
        <v>-7.1</v>
      </c>
      <c r="AD168" s="50">
        <f>SUM(AD163:AD167)</f>
        <v>-7.1</v>
      </c>
      <c r="AE168" s="50">
        <f>SUM(AE163:AE167)</f>
        <v>-7.1</v>
      </c>
      <c r="AF168" s="50">
        <f>SUM(AF163:AF167)</f>
        <v>-7.1</v>
      </c>
      <c r="AG168" s="22"/>
      <c r="AH168" s="50">
        <f>SUM(AH163:AH167)</f>
        <v>-7.1</v>
      </c>
      <c r="AI168" s="50">
        <f>SUM(AI163:AI167)</f>
        <v>-7.1</v>
      </c>
      <c r="AJ168" s="50">
        <f>SUM(AJ163:AJ167)</f>
        <v>-7.1</v>
      </c>
      <c r="AK168" s="50">
        <f>SUM(AK163:AK167)</f>
        <v>-7.1</v>
      </c>
      <c r="AL168" s="22"/>
      <c r="AM168" s="50">
        <f>SUM(AM163:AM167)</f>
        <v>-7.1</v>
      </c>
      <c r="AN168" s="50">
        <f>SUM(AN163:AN167)</f>
        <v>-7.1</v>
      </c>
      <c r="AO168" s="50">
        <f>SUM(AO163:AO167)</f>
        <v>-7.1</v>
      </c>
      <c r="AP168" s="50">
        <f>SUM(AP163:AP167)</f>
        <v>-7.1</v>
      </c>
      <c r="AQ168" s="22"/>
      <c r="AR168" s="50">
        <f>SUM(AR163:AR167)</f>
        <v>-7.1</v>
      </c>
      <c r="AS168" s="50">
        <f>SUM(AS163:AS167)</f>
        <v>-7.1</v>
      </c>
      <c r="AT168" s="50">
        <f>SUM(AT163:AT167)</f>
        <v>-7.1</v>
      </c>
      <c r="AU168" s="50">
        <f>SUM(AU163:AU167)</f>
        <v>-7.1</v>
      </c>
      <c r="AV168" s="22"/>
    </row>
    <row r="169" spans="2:48" ht="16.2" outlineLevel="1" x14ac:dyDescent="0.45">
      <c r="B169" s="200" t="s">
        <v>155</v>
      </c>
      <c r="C169" s="201"/>
      <c r="D169" s="104">
        <v>0</v>
      </c>
      <c r="E169" s="104">
        <v>0</v>
      </c>
      <c r="F169" s="104">
        <v>0</v>
      </c>
      <c r="G169" s="104">
        <v>0</v>
      </c>
      <c r="H169" s="169"/>
      <c r="I169" s="104">
        <v>0</v>
      </c>
      <c r="J169" s="104">
        <v>0</v>
      </c>
      <c r="K169" s="104">
        <v>0</v>
      </c>
      <c r="L169" s="104">
        <v>0</v>
      </c>
      <c r="M169" s="169"/>
      <c r="N169" s="104">
        <v>0</v>
      </c>
      <c r="O169" s="104">
        <v>0</v>
      </c>
      <c r="P169" s="104">
        <v>0</v>
      </c>
      <c r="Q169" s="104">
        <v>0</v>
      </c>
      <c r="R169" s="17"/>
      <c r="S169" s="104">
        <v>0</v>
      </c>
      <c r="T169" s="52">
        <v>0</v>
      </c>
      <c r="U169" s="52">
        <v>0</v>
      </c>
      <c r="V169" s="52">
        <v>0</v>
      </c>
      <c r="W169" s="17"/>
      <c r="X169" s="104">
        <v>0</v>
      </c>
      <c r="Y169" s="104">
        <v>0</v>
      </c>
      <c r="Z169" s="52">
        <v>0</v>
      </c>
      <c r="AA169" s="52">
        <v>0</v>
      </c>
      <c r="AB169" s="17"/>
      <c r="AC169" s="52">
        <v>0</v>
      </c>
      <c r="AD169" s="52">
        <v>0</v>
      </c>
      <c r="AE169" s="52">
        <v>0</v>
      </c>
      <c r="AF169" s="52">
        <v>0</v>
      </c>
      <c r="AG169" s="17"/>
      <c r="AH169" s="52">
        <v>0</v>
      </c>
      <c r="AI169" s="52">
        <v>0</v>
      </c>
      <c r="AJ169" s="52">
        <v>0</v>
      </c>
      <c r="AK169" s="52">
        <v>0</v>
      </c>
      <c r="AL169" s="17"/>
      <c r="AM169" s="52">
        <v>0</v>
      </c>
      <c r="AN169" s="52">
        <v>0</v>
      </c>
      <c r="AO169" s="52">
        <v>0</v>
      </c>
      <c r="AP169" s="52">
        <v>0</v>
      </c>
      <c r="AQ169" s="17"/>
      <c r="AR169" s="52">
        <v>0</v>
      </c>
      <c r="AS169" s="52">
        <v>0</v>
      </c>
      <c r="AT169" s="52">
        <v>0</v>
      </c>
      <c r="AU169" s="52">
        <v>0</v>
      </c>
      <c r="AV169" s="17"/>
    </row>
    <row r="170" spans="2:48" s="8" customFormat="1" outlineLevel="1" x14ac:dyDescent="0.3">
      <c r="B170" s="205" t="s">
        <v>68</v>
      </c>
      <c r="C170" s="202"/>
      <c r="D170" s="103">
        <f t="shared" ref="D170:G170" si="459">-D168+D169</f>
        <v>138</v>
      </c>
      <c r="E170" s="103">
        <f t="shared" si="459"/>
        <v>141.4</v>
      </c>
      <c r="F170" s="103">
        <f t="shared" si="459"/>
        <v>125.30000000000001</v>
      </c>
      <c r="G170" s="103">
        <f t="shared" si="459"/>
        <v>77.399999999999991</v>
      </c>
      <c r="H170" s="150"/>
      <c r="I170" s="103">
        <f t="shared" ref="I170:L170" si="460">-I168+I169</f>
        <v>71.599999999999994</v>
      </c>
      <c r="J170" s="103">
        <f t="shared" si="460"/>
        <v>66.8</v>
      </c>
      <c r="K170" s="103">
        <f t="shared" si="460"/>
        <v>173.67999999999998</v>
      </c>
      <c r="L170" s="103">
        <f t="shared" si="460"/>
        <v>259.5</v>
      </c>
      <c r="M170" s="150"/>
      <c r="N170" s="103">
        <f t="shared" ref="N170:P170" si="461">-N168+N169</f>
        <v>134.9</v>
      </c>
      <c r="O170" s="103">
        <f t="shared" si="461"/>
        <v>88.2</v>
      </c>
      <c r="P170" s="103">
        <f t="shared" si="461"/>
        <v>51.7</v>
      </c>
      <c r="Q170" s="103">
        <f>-Q168+Q169</f>
        <v>115.2</v>
      </c>
      <c r="R170" s="22"/>
      <c r="S170" s="103">
        <f t="shared" ref="S170:V170" si="462">-S168+S169</f>
        <v>35.199999999999996</v>
      </c>
      <c r="T170" s="50">
        <f t="shared" si="462"/>
        <v>47.5</v>
      </c>
      <c r="U170" s="50">
        <f t="shared" si="462"/>
        <v>77.5</v>
      </c>
      <c r="V170" s="50">
        <f t="shared" si="462"/>
        <v>77.099999999999994</v>
      </c>
      <c r="W170" s="22"/>
      <c r="X170" s="103">
        <f t="shared" ref="X170:AA170" si="463">-X168+X169</f>
        <v>6.1</v>
      </c>
      <c r="Y170" s="103">
        <f t="shared" si="463"/>
        <v>-82.399999999999991</v>
      </c>
      <c r="Z170" s="50">
        <f t="shared" si="463"/>
        <v>7.1</v>
      </c>
      <c r="AA170" s="50">
        <f t="shared" si="463"/>
        <v>7.1</v>
      </c>
      <c r="AB170" s="22"/>
      <c r="AC170" s="50">
        <f t="shared" ref="AC170:AF170" si="464">-AC168+AC169</f>
        <v>7.1</v>
      </c>
      <c r="AD170" s="50">
        <f t="shared" si="464"/>
        <v>7.1</v>
      </c>
      <c r="AE170" s="50">
        <f t="shared" si="464"/>
        <v>7.1</v>
      </c>
      <c r="AF170" s="50">
        <f t="shared" si="464"/>
        <v>7.1</v>
      </c>
      <c r="AG170" s="22"/>
      <c r="AH170" s="50">
        <f t="shared" ref="AH170:AK170" si="465">-AH168+AH169</f>
        <v>7.1</v>
      </c>
      <c r="AI170" s="50">
        <f t="shared" si="465"/>
        <v>7.1</v>
      </c>
      <c r="AJ170" s="50">
        <f t="shared" si="465"/>
        <v>7.1</v>
      </c>
      <c r="AK170" s="50">
        <f t="shared" si="465"/>
        <v>7.1</v>
      </c>
      <c r="AL170" s="22"/>
      <c r="AM170" s="50">
        <f t="shared" ref="AM170:AP170" si="466">-AM168+AM169</f>
        <v>7.1</v>
      </c>
      <c r="AN170" s="50">
        <f t="shared" si="466"/>
        <v>7.1</v>
      </c>
      <c r="AO170" s="50">
        <f t="shared" si="466"/>
        <v>7.1</v>
      </c>
      <c r="AP170" s="50">
        <f t="shared" si="466"/>
        <v>7.1</v>
      </c>
      <c r="AQ170" s="22"/>
      <c r="AR170" s="50">
        <f t="shared" ref="AR170:AU170" si="467">-AR168+AR169</f>
        <v>7.1</v>
      </c>
      <c r="AS170" s="50">
        <f t="shared" si="467"/>
        <v>7.1</v>
      </c>
      <c r="AT170" s="50">
        <f t="shared" si="467"/>
        <v>7.1</v>
      </c>
      <c r="AU170" s="50">
        <f t="shared" si="467"/>
        <v>7.1</v>
      </c>
      <c r="AV170" s="22"/>
    </row>
    <row r="171" spans="2:48" outlineLevel="1" x14ac:dyDescent="0.3">
      <c r="B171" s="200" t="s">
        <v>69</v>
      </c>
      <c r="C171" s="201"/>
      <c r="D171" s="105">
        <v>0</v>
      </c>
      <c r="E171" s="101">
        <f>-0.02*E31</f>
        <v>-25.014000000000003</v>
      </c>
      <c r="F171" s="101">
        <f>0.49*F31</f>
        <v>599.27</v>
      </c>
      <c r="G171" s="101">
        <v>0</v>
      </c>
      <c r="H171" s="169"/>
      <c r="I171" s="101">
        <v>0</v>
      </c>
      <c r="J171" s="101">
        <v>0</v>
      </c>
      <c r="K171" s="101">
        <v>0</v>
      </c>
      <c r="L171" s="101">
        <v>0</v>
      </c>
      <c r="M171" s="169"/>
      <c r="N171" s="101">
        <v>0</v>
      </c>
      <c r="O171" s="101">
        <v>0</v>
      </c>
      <c r="P171" s="101">
        <v>0</v>
      </c>
      <c r="Q171" s="101">
        <f>0.73*Q31</f>
        <v>867.16700000000003</v>
      </c>
      <c r="R171" s="17"/>
      <c r="S171" s="101">
        <v>0</v>
      </c>
      <c r="T171" s="101">
        <f>0.03*T31</f>
        <v>34.617000000000004</v>
      </c>
      <c r="U171" s="101">
        <v>0</v>
      </c>
      <c r="V171" s="101">
        <v>0</v>
      </c>
      <c r="W171" s="17"/>
      <c r="X171" s="101">
        <v>0</v>
      </c>
      <c r="Y171" s="101">
        <v>0</v>
      </c>
      <c r="Z171" s="33">
        <v>0</v>
      </c>
      <c r="AA171" s="33">
        <v>0</v>
      </c>
      <c r="AB171" s="17"/>
      <c r="AC171" s="33">
        <v>0</v>
      </c>
      <c r="AD171" s="33">
        <v>0</v>
      </c>
      <c r="AE171" s="33">
        <v>0</v>
      </c>
      <c r="AF171" s="33">
        <v>0</v>
      </c>
      <c r="AG171" s="17"/>
      <c r="AH171" s="33">
        <v>0</v>
      </c>
      <c r="AI171" s="33">
        <v>0</v>
      </c>
      <c r="AJ171" s="33">
        <v>0</v>
      </c>
      <c r="AK171" s="33">
        <v>0</v>
      </c>
      <c r="AL171" s="17"/>
      <c r="AM171" s="33">
        <v>0</v>
      </c>
      <c r="AN171" s="33">
        <v>0</v>
      </c>
      <c r="AO171" s="33">
        <v>0</v>
      </c>
      <c r="AP171" s="33">
        <v>0</v>
      </c>
      <c r="AQ171" s="17"/>
      <c r="AR171" s="33">
        <v>0</v>
      </c>
      <c r="AS171" s="33">
        <v>0</v>
      </c>
      <c r="AT171" s="33">
        <v>0</v>
      </c>
      <c r="AU171" s="33">
        <v>0</v>
      </c>
      <c r="AV171" s="17"/>
    </row>
    <row r="172" spans="2:48" outlineLevel="1" x14ac:dyDescent="0.3">
      <c r="B172" s="580" t="s">
        <v>75</v>
      </c>
      <c r="C172" s="581"/>
      <c r="D172" s="105">
        <v>-41.449999999998646</v>
      </c>
      <c r="E172" s="101">
        <v>79.193999999999548</v>
      </c>
      <c r="F172" s="101">
        <v>-55.109999999999197</v>
      </c>
      <c r="G172" s="101">
        <v>30</v>
      </c>
      <c r="H172" s="169"/>
      <c r="I172" s="101">
        <v>11</v>
      </c>
      <c r="J172" s="101">
        <v>23</v>
      </c>
      <c r="K172" s="101">
        <f>0.03*K31</f>
        <v>35.055</v>
      </c>
      <c r="L172" s="101">
        <v>50.810000000000372</v>
      </c>
      <c r="M172" s="169"/>
      <c r="N172" s="101">
        <f>0.03*N31</f>
        <v>35.49</v>
      </c>
      <c r="O172" s="101">
        <f>0.01*O31</f>
        <v>11.847999999999999</v>
      </c>
      <c r="P172" s="101">
        <f>0.01*P31</f>
        <v>11.862</v>
      </c>
      <c r="Q172" s="101">
        <f>-0.144*Q31</f>
        <v>-171.05760000000001</v>
      </c>
      <c r="R172" s="17"/>
      <c r="S172" s="101">
        <v>3.9480000000003299</v>
      </c>
      <c r="T172" s="16">
        <f>0.01*T31</f>
        <v>11.539000000000001</v>
      </c>
      <c r="U172" s="16">
        <f>0.02*U31</f>
        <v>23.02</v>
      </c>
      <c r="V172" s="16">
        <f>0.02*V31</f>
        <v>23.05</v>
      </c>
      <c r="W172" s="17"/>
      <c r="X172" s="101">
        <f>0*X31</f>
        <v>0</v>
      </c>
      <c r="Y172" s="101">
        <f>-0.02*Y31</f>
        <v>-23.054000000000002</v>
      </c>
      <c r="Z172" s="16">
        <f t="shared" ref="Z172:AA172" si="468">+Z170*Z173</f>
        <v>1.986449029126214</v>
      </c>
      <c r="AA172" s="16">
        <f t="shared" si="468"/>
        <v>1.986449029126214</v>
      </c>
      <c r="AB172" s="17"/>
      <c r="AC172" s="16">
        <f>+AC170*AC173</f>
        <v>1.986449029126214</v>
      </c>
      <c r="AD172" s="16">
        <f>+AD170*AD173</f>
        <v>1.986449029126214</v>
      </c>
      <c r="AE172" s="16">
        <f t="shared" ref="AE172:AF172" si="469">+AE170*AE173</f>
        <v>1.986449029126214</v>
      </c>
      <c r="AF172" s="16">
        <f t="shared" si="469"/>
        <v>1.986449029126214</v>
      </c>
      <c r="AG172" s="17"/>
      <c r="AH172" s="16">
        <f>+AH170*AH173</f>
        <v>1.986449029126214</v>
      </c>
      <c r="AI172" s="16">
        <f>+AI170*AI173</f>
        <v>1.986449029126214</v>
      </c>
      <c r="AJ172" s="16">
        <f t="shared" ref="AJ172:AK172" si="470">+AJ170*AJ173</f>
        <v>1.986449029126214</v>
      </c>
      <c r="AK172" s="16">
        <f t="shared" si="470"/>
        <v>1.986449029126214</v>
      </c>
      <c r="AL172" s="17"/>
      <c r="AM172" s="16">
        <f>+AM170*AM173</f>
        <v>1.986449029126214</v>
      </c>
      <c r="AN172" s="16">
        <f>+AN170*AN173</f>
        <v>1.986449029126214</v>
      </c>
      <c r="AO172" s="16">
        <f t="shared" ref="AO172:AP172" si="471">+AO170*AO173</f>
        <v>1.986449029126214</v>
      </c>
      <c r="AP172" s="16">
        <f t="shared" si="471"/>
        <v>1.986449029126214</v>
      </c>
      <c r="AQ172" s="17"/>
      <c r="AR172" s="16">
        <f>+AR170*AR173</f>
        <v>1.986449029126214</v>
      </c>
      <c r="AS172" s="16">
        <f>+AS170*AS173</f>
        <v>1.986449029126214</v>
      </c>
      <c r="AT172" s="16">
        <f t="shared" ref="AT172:AU172" si="472">+AT170*AT173</f>
        <v>1.986449029126214</v>
      </c>
      <c r="AU172" s="16">
        <f t="shared" si="472"/>
        <v>1.986449029126214</v>
      </c>
      <c r="AV172" s="17"/>
    </row>
    <row r="173" spans="2:48" outlineLevel="1" x14ac:dyDescent="0.3">
      <c r="B173" s="203" t="s">
        <v>76</v>
      </c>
      <c r="C173" s="204"/>
      <c r="D173" s="211">
        <f t="shared" ref="D173:G173" si="473">D172/D170</f>
        <v>-0.30036231884056991</v>
      </c>
      <c r="E173" s="211">
        <f t="shared" si="473"/>
        <v>0.56007072135784686</v>
      </c>
      <c r="F173" s="211">
        <f t="shared" si="473"/>
        <v>-0.43982442138866074</v>
      </c>
      <c r="G173" s="211">
        <f t="shared" si="473"/>
        <v>0.38759689922480622</v>
      </c>
      <c r="H173" s="212"/>
      <c r="I173" s="211">
        <f t="shared" ref="I173:Y173" si="474">I172/I170</f>
        <v>0.15363128491620112</v>
      </c>
      <c r="J173" s="211">
        <f t="shared" si="474"/>
        <v>0.34431137724550898</v>
      </c>
      <c r="K173" s="211">
        <f t="shared" si="474"/>
        <v>0.20183671119299865</v>
      </c>
      <c r="L173" s="211">
        <f t="shared" si="474"/>
        <v>0.1957996146435467</v>
      </c>
      <c r="M173" s="212"/>
      <c r="N173" s="211">
        <f t="shared" si="474"/>
        <v>0.26308376575240922</v>
      </c>
      <c r="O173" s="211">
        <f t="shared" si="474"/>
        <v>0.13433106575963719</v>
      </c>
      <c r="P173" s="211">
        <f t="shared" si="474"/>
        <v>0.22943907156673113</v>
      </c>
      <c r="Q173" s="211">
        <f t="shared" si="474"/>
        <v>-1.4848749999999999</v>
      </c>
      <c r="R173" s="37"/>
      <c r="S173" s="211">
        <f t="shared" si="474"/>
        <v>0.1121590909091003</v>
      </c>
      <c r="T173" s="211">
        <f t="shared" si="474"/>
        <v>0.24292631578947371</v>
      </c>
      <c r="U173" s="211">
        <f t="shared" si="474"/>
        <v>0.29703225806451611</v>
      </c>
      <c r="V173" s="211">
        <f t="shared" si="474"/>
        <v>0.29896238651102469</v>
      </c>
      <c r="W173" s="37"/>
      <c r="X173" s="211">
        <f t="shared" si="474"/>
        <v>0</v>
      </c>
      <c r="Y173" s="211">
        <f t="shared" si="474"/>
        <v>0.27978155339805832</v>
      </c>
      <c r="Z173" s="94">
        <f>Y173</f>
        <v>0.27978155339805832</v>
      </c>
      <c r="AA173" s="94">
        <f>Z173</f>
        <v>0.27978155339805832</v>
      </c>
      <c r="AB173" s="37"/>
      <c r="AC173" s="94">
        <f>AA173</f>
        <v>0.27978155339805832</v>
      </c>
      <c r="AD173" s="94">
        <f>AC173</f>
        <v>0.27978155339805832</v>
      </c>
      <c r="AE173" s="94">
        <f>AD173</f>
        <v>0.27978155339805832</v>
      </c>
      <c r="AF173" s="94">
        <f>AE173</f>
        <v>0.27978155339805832</v>
      </c>
      <c r="AG173" s="37"/>
      <c r="AH173" s="94">
        <f>AF173</f>
        <v>0.27978155339805832</v>
      </c>
      <c r="AI173" s="94">
        <f>AH173</f>
        <v>0.27978155339805832</v>
      </c>
      <c r="AJ173" s="94">
        <f>AI173</f>
        <v>0.27978155339805832</v>
      </c>
      <c r="AK173" s="94">
        <f>AJ173</f>
        <v>0.27978155339805832</v>
      </c>
      <c r="AL173" s="37"/>
      <c r="AM173" s="94">
        <f>AK173</f>
        <v>0.27978155339805832</v>
      </c>
      <c r="AN173" s="94">
        <f>AM173</f>
        <v>0.27978155339805832</v>
      </c>
      <c r="AO173" s="94">
        <f>AN173</f>
        <v>0.27978155339805832</v>
      </c>
      <c r="AP173" s="94">
        <f>AO173</f>
        <v>0.27978155339805832</v>
      </c>
      <c r="AQ173" s="37"/>
      <c r="AR173" s="94">
        <f>AP173</f>
        <v>0.27978155339805832</v>
      </c>
      <c r="AS173" s="94">
        <f>AR173</f>
        <v>0.27978155339805832</v>
      </c>
      <c r="AT173" s="94">
        <f>AS173</f>
        <v>0.27978155339805832</v>
      </c>
      <c r="AU173" s="94">
        <f>AT173</f>
        <v>0.27978155339805832</v>
      </c>
      <c r="AV173" s="37"/>
    </row>
    <row r="175" spans="2:48" x14ac:dyDescent="0.3">
      <c r="B175" s="382" t="s">
        <v>314</v>
      </c>
      <c r="Q175" s="383">
        <f>Q61-L61</f>
        <v>-6.6118692968142323E-4</v>
      </c>
      <c r="R175" s="383"/>
      <c r="S175" s="383">
        <f>S61-N61</f>
        <v>1.2901737440265071E-2</v>
      </c>
      <c r="T175" s="383">
        <f t="shared" ref="T175" si="475">T61-O61</f>
        <v>2.4025383293040548E-2</v>
      </c>
      <c r="U175" s="383">
        <f>U61-P61</f>
        <v>2.0536242149533701E-2</v>
      </c>
      <c r="V175" s="383">
        <f>V61-Q61</f>
        <v>1.4419766618683716E-2</v>
      </c>
      <c r="W175" s="383"/>
      <c r="X175" s="383">
        <f t="shared" ref="X175:AA175" si="476">X61-S61</f>
        <v>8.4563592780118046E-3</v>
      </c>
      <c r="Y175" s="383">
        <f t="shared" si="476"/>
        <v>-1.69300923882576E-3</v>
      </c>
      <c r="Z175" s="383">
        <f t="shared" si="476"/>
        <v>2.8278093225934109E-3</v>
      </c>
      <c r="AA175" s="383">
        <f t="shared" si="476"/>
        <v>-1.2500000000000011E-2</v>
      </c>
      <c r="AB175" s="383"/>
      <c r="AC175" s="383">
        <f t="shared" ref="AC175:AF175" si="477">AC61-X61</f>
        <v>-1.0000000000000009E-2</v>
      </c>
      <c r="AD175" s="383">
        <f t="shared" si="477"/>
        <v>-5.0000000000000044E-3</v>
      </c>
      <c r="AE175" s="383">
        <f t="shared" si="477"/>
        <v>-5.0000000000000044E-3</v>
      </c>
      <c r="AF175" s="383">
        <f t="shared" si="477"/>
        <v>1.0000000000000009E-2</v>
      </c>
      <c r="AH175" s="383">
        <f t="shared" ref="AH175:AK175" si="478">AH61-AC61</f>
        <v>-1.0000000000000009E-3</v>
      </c>
      <c r="AI175" s="383">
        <f t="shared" si="478"/>
        <v>-1.0000000000000009E-3</v>
      </c>
      <c r="AJ175" s="383">
        <f t="shared" si="478"/>
        <v>-1.0000000000000009E-3</v>
      </c>
      <c r="AK175" s="383">
        <f t="shared" si="478"/>
        <v>-1.0000000000000009E-3</v>
      </c>
    </row>
    <row r="176" spans="2:48" ht="14.55" customHeight="1" x14ac:dyDescent="0.3">
      <c r="B176" s="382" t="s">
        <v>315</v>
      </c>
      <c r="Q176" s="383">
        <f t="shared" ref="Q176:T176" si="479">Q63-L63</f>
        <v>-4.2476929877535707E-2</v>
      </c>
      <c r="R176" s="383"/>
      <c r="S176" s="383">
        <f t="shared" si="479"/>
        <v>-4.2111802490401029E-3</v>
      </c>
      <c r="T176" s="383">
        <f t="shared" si="479"/>
        <v>1.5713963584189306E-2</v>
      </c>
      <c r="U176" s="383">
        <f>U63-P63</f>
        <v>8.2485911822535729E-3</v>
      </c>
      <c r="V176" s="383">
        <f>V63-Q63</f>
        <v>2.6389804799066163E-2</v>
      </c>
      <c r="W176" s="383"/>
      <c r="X176" s="383">
        <f t="shared" ref="X176:AA176" si="480">X63-S63</f>
        <v>-1.9172460120514545E-3</v>
      </c>
      <c r="Y176" s="383">
        <f>Y63-T63</f>
        <v>-1.7881580468150471E-2</v>
      </c>
      <c r="Z176" s="383">
        <f t="shared" si="480"/>
        <v>1.0000000000000009E-2</v>
      </c>
      <c r="AA176" s="383">
        <f t="shared" si="480"/>
        <v>0</v>
      </c>
      <c r="AB176" s="383"/>
      <c r="AC176" s="383">
        <f t="shared" ref="AC176:AF176" si="481">AC63-X63</f>
        <v>-1.0000000000000009E-2</v>
      </c>
      <c r="AD176" s="383">
        <f t="shared" si="481"/>
        <v>-1.0000000000000009E-3</v>
      </c>
      <c r="AE176" s="383">
        <f t="shared" si="481"/>
        <v>-1.0000000000000009E-3</v>
      </c>
      <c r="AF176" s="383">
        <f t="shared" si="481"/>
        <v>1.0000000000000009E-2</v>
      </c>
      <c r="AH176" s="383">
        <f t="shared" ref="AH176:AK176" si="482">AH63-AC63</f>
        <v>-1.0000000000000009E-3</v>
      </c>
      <c r="AI176" s="383">
        <f t="shared" si="482"/>
        <v>-1.0000000000000009E-3</v>
      </c>
      <c r="AJ176" s="383">
        <f t="shared" si="482"/>
        <v>-1.0000000000000009E-3</v>
      </c>
      <c r="AK176" s="383">
        <f t="shared" si="482"/>
        <v>-1.0000000000000009E-3</v>
      </c>
    </row>
    <row r="177" spans="1:48" ht="14.55" customHeight="1" x14ac:dyDescent="0.3">
      <c r="B177" s="382" t="s">
        <v>316</v>
      </c>
      <c r="Q177" s="383">
        <f t="shared" ref="Q177:T177" si="483">Q65-L65</f>
        <v>-8.1024370824473238E-4</v>
      </c>
      <c r="R177" s="383"/>
      <c r="S177" s="383">
        <f t="shared" si="483"/>
        <v>-6.9169487840035036E-4</v>
      </c>
      <c r="T177" s="383">
        <f t="shared" si="483"/>
        <v>-3.3352357784197616E-4</v>
      </c>
      <c r="U177" s="383">
        <f>U65-P65</f>
        <v>1.7928850972594532E-3</v>
      </c>
      <c r="V177" s="383">
        <f t="shared" ref="V177:AA177" si="484">V65-Q65</f>
        <v>1.7144676918782326E-4</v>
      </c>
      <c r="W177" s="383"/>
      <c r="X177" s="383">
        <f t="shared" si="484"/>
        <v>1.6047875788107509E-3</v>
      </c>
      <c r="Y177" s="383">
        <f t="shared" si="484"/>
        <v>1.2873437835130355E-3</v>
      </c>
      <c r="Z177" s="383">
        <f t="shared" si="484"/>
        <v>0</v>
      </c>
      <c r="AA177" s="383">
        <f t="shared" si="484"/>
        <v>0</v>
      </c>
      <c r="AB177" s="383"/>
      <c r="AC177" s="383">
        <f t="shared" ref="AC177:AF177" si="485">AC65-X65</f>
        <v>0</v>
      </c>
      <c r="AD177" s="383">
        <f t="shared" si="485"/>
        <v>0</v>
      </c>
      <c r="AE177" s="383">
        <f t="shared" si="485"/>
        <v>0</v>
      </c>
      <c r="AF177" s="383">
        <f t="shared" si="485"/>
        <v>0</v>
      </c>
      <c r="AH177" s="383">
        <f t="shared" ref="AH177:AK177" si="486">AH65-AC65</f>
        <v>0</v>
      </c>
      <c r="AI177" s="383">
        <f t="shared" si="486"/>
        <v>0</v>
      </c>
      <c r="AJ177" s="383">
        <f t="shared" si="486"/>
        <v>0</v>
      </c>
      <c r="AK177" s="383">
        <f t="shared" si="486"/>
        <v>0</v>
      </c>
    </row>
    <row r="178" spans="1:48" ht="14.55" customHeight="1" x14ac:dyDescent="0.3">
      <c r="A178" s="161"/>
      <c r="B178" s="382" t="s">
        <v>317</v>
      </c>
      <c r="Q178" s="383">
        <f t="shared" ref="Q178:T178" si="487">Q68-L68</f>
        <v>-1.8685768961161399E-3</v>
      </c>
      <c r="R178" s="383"/>
      <c r="S178" s="383">
        <f t="shared" si="487"/>
        <v>-1.673261995123904E-3</v>
      </c>
      <c r="T178" s="383">
        <f t="shared" si="487"/>
        <v>-3.5644778537942175E-3</v>
      </c>
      <c r="U178" s="383">
        <f>U68-P68</f>
        <v>-9.2770624793186637E-4</v>
      </c>
      <c r="V178" s="383">
        <f t="shared" ref="V178:AA178" si="488">V68-Q68</f>
        <v>-7.584336101247053E-4</v>
      </c>
      <c r="W178" s="383"/>
      <c r="X178" s="383">
        <f t="shared" si="488"/>
        <v>2.2349028606540016E-3</v>
      </c>
      <c r="Y178" s="383">
        <f t="shared" si="488"/>
        <v>1.2004276618769964E-3</v>
      </c>
      <c r="Z178" s="383">
        <f t="shared" si="488"/>
        <v>2.5000000000000005E-3</v>
      </c>
      <c r="AA178" s="383">
        <f t="shared" si="488"/>
        <v>-0.01</v>
      </c>
      <c r="AB178" s="383"/>
      <c r="AC178" s="383">
        <f t="shared" ref="AC178:AF178" si="489">AC68-X68</f>
        <v>-2.9999999999999992E-3</v>
      </c>
      <c r="AD178" s="383">
        <f t="shared" si="489"/>
        <v>1.9999999999999983E-3</v>
      </c>
      <c r="AE178" s="383">
        <f t="shared" si="489"/>
        <v>-9.9999999999999915E-4</v>
      </c>
      <c r="AF178" s="383">
        <f t="shared" si="489"/>
        <v>-1E-3</v>
      </c>
      <c r="AH178" s="383">
        <f t="shared" ref="AH178:AK178" si="490">AH68-AC68</f>
        <v>-1.0000000000000009E-3</v>
      </c>
      <c r="AI178" s="383">
        <f t="shared" si="490"/>
        <v>-1.0000000000000009E-3</v>
      </c>
      <c r="AJ178" s="383">
        <f t="shared" si="490"/>
        <v>-1.0000000000000009E-3</v>
      </c>
      <c r="AK178" s="383">
        <f t="shared" si="490"/>
        <v>-1E-3</v>
      </c>
    </row>
    <row r="179" spans="1:48" s="23" customFormat="1" ht="14.55" customHeight="1" x14ac:dyDescent="0.3">
      <c r="A179" s="161"/>
    </row>
    <row r="180" spans="1:48" s="23" customFormat="1" ht="14.55" customHeight="1" x14ac:dyDescent="0.3">
      <c r="A180" s="161"/>
      <c r="B180" s="382" t="s">
        <v>318</v>
      </c>
      <c r="Q180" s="384">
        <f t="shared" ref="Q180:U180" si="491">Q94-L94</f>
        <v>-1.0328853878240896E-3</v>
      </c>
      <c r="R180" s="384"/>
      <c r="S180" s="384">
        <f t="shared" si="491"/>
        <v>1.3694957380178618E-2</v>
      </c>
      <c r="T180" s="384">
        <f t="shared" si="491"/>
        <v>2.2223284472510374E-2</v>
      </c>
      <c r="U180" s="384">
        <f t="shared" si="491"/>
        <v>4.4737654429502782E-2</v>
      </c>
      <c r="V180" s="384">
        <f>V94-Q94</f>
        <v>2.7792802174517572E-2</v>
      </c>
      <c r="W180" s="384"/>
      <c r="X180" s="384">
        <f t="shared" ref="X180:AA180" si="492">X94-S94</f>
        <v>2.5043205339249974E-2</v>
      </c>
      <c r="Y180" s="384">
        <f t="shared" si="492"/>
        <v>2.335816155117354E-4</v>
      </c>
      <c r="Z180" s="384">
        <f t="shared" si="492"/>
        <v>-3.0000000000000027E-2</v>
      </c>
      <c r="AA180" s="384">
        <f t="shared" si="492"/>
        <v>-4.4999999999999984E-2</v>
      </c>
      <c r="AB180" s="384"/>
      <c r="AC180" s="384">
        <f t="shared" ref="AC180:AF180" si="493">AC94-X94</f>
        <v>-2.0000000000000018E-2</v>
      </c>
      <c r="AD180" s="384">
        <f t="shared" si="493"/>
        <v>-2.0000000000000018E-2</v>
      </c>
      <c r="AE180" s="384">
        <f t="shared" si="493"/>
        <v>0</v>
      </c>
      <c r="AF180" s="384">
        <f t="shared" si="493"/>
        <v>0</v>
      </c>
      <c r="AG180" s="384"/>
      <c r="AH180" s="384">
        <f t="shared" ref="AH180:AK180" si="494">AH94-AC94</f>
        <v>-2.0000000000000018E-3</v>
      </c>
      <c r="AI180" s="384">
        <f t="shared" si="494"/>
        <v>-2.0000000000000018E-3</v>
      </c>
      <c r="AJ180" s="384">
        <f t="shared" si="494"/>
        <v>-1.0000000000000009E-2</v>
      </c>
      <c r="AK180" s="384">
        <f t="shared" si="494"/>
        <v>-2.0000000000000018E-3</v>
      </c>
      <c r="AL180" s="384"/>
      <c r="AM180" s="384">
        <f t="shared" ref="AM180:AP180" si="495">AM94-AH94</f>
        <v>0</v>
      </c>
      <c r="AN180" s="384">
        <f t="shared" si="495"/>
        <v>0</v>
      </c>
      <c r="AO180" s="384">
        <f t="shared" si="495"/>
        <v>0</v>
      </c>
      <c r="AP180" s="384">
        <f t="shared" si="495"/>
        <v>0</v>
      </c>
      <c r="AQ180" s="384"/>
      <c r="AR180" s="384">
        <f t="shared" ref="AR180:AU180" si="496">AR94-AM94</f>
        <v>0</v>
      </c>
      <c r="AS180" s="384">
        <f t="shared" si="496"/>
        <v>0</v>
      </c>
      <c r="AT180" s="384">
        <f t="shared" si="496"/>
        <v>0</v>
      </c>
      <c r="AU180" s="384">
        <f t="shared" si="496"/>
        <v>0</v>
      </c>
    </row>
    <row r="181" spans="1:48" ht="16.2" customHeight="1" x14ac:dyDescent="0.3">
      <c r="A181" s="161"/>
      <c r="B181" s="382" t="s">
        <v>319</v>
      </c>
      <c r="Q181" s="384">
        <f t="shared" ref="Q181:U181" si="497">Q96-L96</f>
        <v>-4.3229689278334871E-2</v>
      </c>
      <c r="R181" s="384"/>
      <c r="S181" s="384">
        <f t="shared" si="497"/>
        <v>2.6563781125539754E-2</v>
      </c>
      <c r="T181" s="384">
        <f t="shared" si="497"/>
        <v>6.6354626897605851E-2</v>
      </c>
      <c r="U181" s="384">
        <f t="shared" si="497"/>
        <v>0.11154167548484295</v>
      </c>
      <c r="V181" s="384">
        <f>V96-Q96</f>
        <v>6.8821227532231799E-2</v>
      </c>
      <c r="W181" s="384"/>
      <c r="X181" s="384">
        <f t="shared" ref="X181:AA181" si="498">X96-S96</f>
        <v>6.012425039851621E-2</v>
      </c>
      <c r="Y181" s="384">
        <f t="shared" si="498"/>
        <v>-2.5252621523189134E-2</v>
      </c>
      <c r="Z181" s="384">
        <f t="shared" si="498"/>
        <v>-3.0000000000000027E-2</v>
      </c>
      <c r="AA181" s="384">
        <f t="shared" si="498"/>
        <v>-4.4999999999999984E-2</v>
      </c>
      <c r="AB181" s="384"/>
      <c r="AC181" s="384">
        <f t="shared" ref="AC181:AF181" si="499">AC96-X96</f>
        <v>0</v>
      </c>
      <c r="AD181" s="384">
        <f t="shared" si="499"/>
        <v>-2.0000000000000018E-2</v>
      </c>
      <c r="AE181" s="384">
        <f t="shared" si="499"/>
        <v>0</v>
      </c>
      <c r="AF181" s="384">
        <f t="shared" si="499"/>
        <v>0</v>
      </c>
      <c r="AG181" s="384"/>
      <c r="AH181" s="384">
        <f t="shared" ref="AH181:AK181" si="500">AH96-AC96</f>
        <v>-2.0000000000000018E-3</v>
      </c>
      <c r="AI181" s="384">
        <f t="shared" si="500"/>
        <v>-2.0000000000000018E-3</v>
      </c>
      <c r="AJ181" s="384">
        <f t="shared" si="500"/>
        <v>-2.0000000000000018E-2</v>
      </c>
      <c r="AK181" s="384">
        <f t="shared" si="500"/>
        <v>-2.0000000000000018E-3</v>
      </c>
      <c r="AL181" s="384"/>
      <c r="AM181" s="384">
        <f t="shared" ref="AM181:AP181" si="501">AM96-AH96</f>
        <v>0</v>
      </c>
      <c r="AN181" s="384">
        <f t="shared" si="501"/>
        <v>0</v>
      </c>
      <c r="AO181" s="384">
        <f t="shared" si="501"/>
        <v>0</v>
      </c>
      <c r="AP181" s="384">
        <f t="shared" si="501"/>
        <v>0</v>
      </c>
      <c r="AQ181" s="384"/>
      <c r="AR181" s="384">
        <f t="shared" ref="AR181:AU181" si="502">AR96-AM96</f>
        <v>0</v>
      </c>
      <c r="AS181" s="384">
        <f t="shared" si="502"/>
        <v>0</v>
      </c>
      <c r="AT181" s="384">
        <f t="shared" si="502"/>
        <v>0</v>
      </c>
      <c r="AU181" s="384">
        <f t="shared" si="502"/>
        <v>0</v>
      </c>
    </row>
    <row r="182" spans="1:48" ht="14.55" customHeight="1" x14ac:dyDescent="0.3">
      <c r="A182" s="161"/>
      <c r="B182" s="382" t="s">
        <v>320</v>
      </c>
      <c r="Q182" s="384">
        <f t="shared" ref="Q182:U182" si="503">Q98-L98</f>
        <v>-5.6134797444197491E-3</v>
      </c>
      <c r="R182" s="384"/>
      <c r="S182" s="384">
        <f t="shared" si="503"/>
        <v>1.6279115038060621E-4</v>
      </c>
      <c r="T182" s="384">
        <f t="shared" si="503"/>
        <v>5.0139473649204631E-3</v>
      </c>
      <c r="U182" s="384">
        <f t="shared" si="503"/>
        <v>1.4893713799812251E-2</v>
      </c>
      <c r="V182" s="384">
        <f>V98-Q98</f>
        <v>8.7002690753356267E-3</v>
      </c>
      <c r="W182" s="384"/>
      <c r="X182" s="384">
        <f t="shared" ref="X182:AA182" si="504">X98-S98</f>
        <v>9.2801389107011918E-3</v>
      </c>
      <c r="Y182" s="384">
        <f t="shared" si="504"/>
        <v>3.7006325591312783E-3</v>
      </c>
      <c r="Z182" s="384">
        <f t="shared" si="504"/>
        <v>-4.9999999999999975E-3</v>
      </c>
      <c r="AA182" s="384">
        <f t="shared" si="504"/>
        <v>0</v>
      </c>
      <c r="AB182" s="384"/>
      <c r="AC182" s="384">
        <f t="shared" ref="AC182:AF182" si="505">AC98-X98</f>
        <v>0</v>
      </c>
      <c r="AD182" s="384">
        <f t="shared" si="505"/>
        <v>0</v>
      </c>
      <c r="AE182" s="384">
        <f t="shared" si="505"/>
        <v>-5.000000000000001E-3</v>
      </c>
      <c r="AF182" s="384">
        <f t="shared" si="505"/>
        <v>0</v>
      </c>
      <c r="AG182" s="384"/>
      <c r="AH182" s="384">
        <f t="shared" ref="AH182:AK182" si="506">AH98-AC98</f>
        <v>-2.0000000000000018E-3</v>
      </c>
      <c r="AI182" s="384">
        <f t="shared" si="506"/>
        <v>-2.0000000000000018E-3</v>
      </c>
      <c r="AJ182" s="384">
        <f t="shared" si="506"/>
        <v>-6.0000000000000019E-3</v>
      </c>
      <c r="AK182" s="384">
        <f t="shared" si="506"/>
        <v>-2.0000000000000018E-3</v>
      </c>
      <c r="AL182" s="384"/>
      <c r="AM182" s="384">
        <f t="shared" ref="AM182:AP182" si="507">AM98-AH98</f>
        <v>0</v>
      </c>
      <c r="AN182" s="384">
        <f t="shared" si="507"/>
        <v>0</v>
      </c>
      <c r="AO182" s="384">
        <f t="shared" si="507"/>
        <v>0</v>
      </c>
      <c r="AP182" s="384">
        <f t="shared" si="507"/>
        <v>0</v>
      </c>
      <c r="AQ182" s="384"/>
      <c r="AR182" s="384">
        <f t="shared" ref="AR182:AU182" si="508">AR98-AM98</f>
        <v>0</v>
      </c>
      <c r="AS182" s="384">
        <f t="shared" si="508"/>
        <v>0</v>
      </c>
      <c r="AT182" s="384">
        <f t="shared" si="508"/>
        <v>0</v>
      </c>
      <c r="AU182" s="384">
        <f t="shared" si="508"/>
        <v>0</v>
      </c>
    </row>
    <row r="183" spans="1:48" ht="14.55" customHeight="1" x14ac:dyDescent="0.3">
      <c r="A183" s="161"/>
      <c r="B183" s="382" t="s">
        <v>321</v>
      </c>
      <c r="Q183" s="384">
        <f t="shared" ref="Q183:U183" si="509">Q101-L101</f>
        <v>-4.5175814670814843E-3</v>
      </c>
      <c r="R183" s="384"/>
      <c r="S183" s="384">
        <f t="shared" si="509"/>
        <v>-1.2605124458150846E-3</v>
      </c>
      <c r="T183" s="384">
        <f t="shared" si="509"/>
        <v>-2.780006809811171E-3</v>
      </c>
      <c r="U183" s="384">
        <f t="shared" si="509"/>
        <v>-4.0374511378418465E-3</v>
      </c>
      <c r="V183" s="384">
        <f>V101-Q101</f>
        <v>7.1575109158830003E-4</v>
      </c>
      <c r="W183" s="384"/>
      <c r="X183" s="384">
        <f t="shared" ref="X183:AA183" si="510">X101-S101</f>
        <v>-7.561570930051803E-4</v>
      </c>
      <c r="Y183" s="384">
        <f t="shared" si="510"/>
        <v>3.634645974435885E-4</v>
      </c>
      <c r="Z183" s="384">
        <f t="shared" si="510"/>
        <v>-4.9999999999999975E-3</v>
      </c>
      <c r="AA183" s="384">
        <f t="shared" si="510"/>
        <v>-4.9999999999999975E-3</v>
      </c>
      <c r="AB183" s="384"/>
      <c r="AC183" s="384">
        <f t="shared" ref="AC183:AF183" si="511">AC101-X101</f>
        <v>-3.0000000000000027E-3</v>
      </c>
      <c r="AD183" s="384">
        <f t="shared" si="511"/>
        <v>0</v>
      </c>
      <c r="AE183" s="384">
        <f t="shared" si="511"/>
        <v>0</v>
      </c>
      <c r="AF183" s="384">
        <f t="shared" si="511"/>
        <v>0</v>
      </c>
      <c r="AG183" s="384"/>
      <c r="AH183" s="384">
        <f t="shared" ref="AH183:AK183" si="512">AH101-AC101</f>
        <v>-2.0000000000000018E-3</v>
      </c>
      <c r="AI183" s="384">
        <f t="shared" si="512"/>
        <v>-2.0000000000000018E-3</v>
      </c>
      <c r="AJ183" s="384">
        <f t="shared" si="512"/>
        <v>-2.0000000000000018E-3</v>
      </c>
      <c r="AK183" s="384">
        <f t="shared" si="512"/>
        <v>-2.0000000000000018E-3</v>
      </c>
      <c r="AL183" s="384"/>
      <c r="AM183" s="384">
        <f t="shared" ref="AM183:AP183" si="513">AM101-AH101</f>
        <v>0</v>
      </c>
      <c r="AN183" s="384">
        <f t="shared" si="513"/>
        <v>0</v>
      </c>
      <c r="AO183" s="384">
        <f t="shared" si="513"/>
        <v>0</v>
      </c>
      <c r="AP183" s="384">
        <f t="shared" si="513"/>
        <v>0</v>
      </c>
      <c r="AQ183" s="384"/>
      <c r="AR183" s="384">
        <f t="shared" ref="AR183:AU183" si="514">AR101-AM101</f>
        <v>0</v>
      </c>
      <c r="AS183" s="384">
        <f t="shared" si="514"/>
        <v>0</v>
      </c>
      <c r="AT183" s="384">
        <f t="shared" si="514"/>
        <v>0</v>
      </c>
      <c r="AU183" s="384">
        <f t="shared" si="514"/>
        <v>0</v>
      </c>
    </row>
    <row r="184" spans="1:48" ht="14.55" customHeight="1" x14ac:dyDescent="0.3">
      <c r="A184" s="161"/>
    </row>
    <row r="185" spans="1:48" s="8" customFormat="1" x14ac:dyDescent="0.3">
      <c r="A185" s="161"/>
      <c r="B185" s="382" t="s">
        <v>322</v>
      </c>
      <c r="Q185" s="384">
        <f t="shared" ref="Q185:T185" si="515">Q111-L111</f>
        <v>-7.3337522717080939E-2</v>
      </c>
      <c r="R185" s="384"/>
      <c r="S185" s="384">
        <f t="shared" si="515"/>
        <v>-8.2275015567009335E-3</v>
      </c>
      <c r="T185" s="384">
        <f t="shared" si="515"/>
        <v>2.1961732903702735E-2</v>
      </c>
      <c r="U185" s="384">
        <f>U111-P111</f>
        <v>3.1106851202291286E-2</v>
      </c>
      <c r="V185" s="384">
        <f t="shared" ref="V185:AU185" si="516">V111-Q111</f>
        <v>5.6977238962102605E-3</v>
      </c>
      <c r="W185" s="384"/>
      <c r="X185" s="384">
        <f t="shared" si="516"/>
        <v>-5.2509505547104762E-3</v>
      </c>
      <c r="Y185" s="384">
        <f t="shared" si="516"/>
        <v>7.006359984721422E-2</v>
      </c>
      <c r="Z185" s="384">
        <f t="shared" si="516"/>
        <v>4.0825515947467084E-2</v>
      </c>
      <c r="AA185" s="384">
        <f t="shared" si="516"/>
        <v>0.11117428157949139</v>
      </c>
      <c r="AB185" s="384"/>
      <c r="AC185" s="384">
        <f t="shared" si="516"/>
        <v>0.12477624424926814</v>
      </c>
      <c r="AD185" s="384">
        <f t="shared" si="516"/>
        <v>2.1048470979820988E-2</v>
      </c>
      <c r="AE185" s="384">
        <f t="shared" si="516"/>
        <v>4.0000000000000036E-2</v>
      </c>
      <c r="AF185" s="384">
        <f t="shared" si="516"/>
        <v>1.0000000000000009E-2</v>
      </c>
      <c r="AG185" s="384"/>
      <c r="AH185" s="384">
        <f t="shared" si="516"/>
        <v>0</v>
      </c>
      <c r="AI185" s="384">
        <f t="shared" si="516"/>
        <v>0</v>
      </c>
      <c r="AJ185" s="384">
        <f t="shared" si="516"/>
        <v>-1.0000000000000009E-2</v>
      </c>
      <c r="AK185" s="384">
        <f t="shared" si="516"/>
        <v>0</v>
      </c>
      <c r="AL185" s="384"/>
      <c r="AM185" s="384">
        <f t="shared" si="516"/>
        <v>0</v>
      </c>
      <c r="AN185" s="384">
        <f t="shared" si="516"/>
        <v>0</v>
      </c>
      <c r="AO185" s="384">
        <f t="shared" si="516"/>
        <v>0</v>
      </c>
      <c r="AP185" s="384">
        <f t="shared" si="516"/>
        <v>0</v>
      </c>
      <c r="AQ185" s="384"/>
      <c r="AR185" s="384">
        <f t="shared" si="516"/>
        <v>0</v>
      </c>
      <c r="AS185" s="384">
        <f t="shared" si="516"/>
        <v>0</v>
      </c>
      <c r="AT185" s="384">
        <f t="shared" si="516"/>
        <v>0</v>
      </c>
      <c r="AU185" s="384">
        <f t="shared" si="516"/>
        <v>0</v>
      </c>
    </row>
    <row r="186" spans="1:48" s="8" customFormat="1" x14ac:dyDescent="0.3">
      <c r="A186" s="161"/>
      <c r="B186" s="382" t="s">
        <v>323</v>
      </c>
      <c r="Q186" s="384">
        <f t="shared" ref="Q186:T186" si="517">Q113-L113</f>
        <v>-1.0844701708009816E-3</v>
      </c>
      <c r="R186" s="384"/>
      <c r="S186" s="384">
        <f t="shared" si="517"/>
        <v>-2.5553392161973866E-3</v>
      </c>
      <c r="T186" s="384">
        <f t="shared" si="517"/>
        <v>-1.2309816148434665E-2</v>
      </c>
      <c r="U186" s="384">
        <f>U113-P113</f>
        <v>5.2264096219557514E-2</v>
      </c>
      <c r="V186" s="384">
        <f t="shared" ref="V186:AU186" si="518">V113-Q113</f>
        <v>-5.7078651325004406E-3</v>
      </c>
      <c r="W186" s="384"/>
      <c r="X186" s="384">
        <f t="shared" si="518"/>
        <v>-1.4629703552470827E-4</v>
      </c>
      <c r="Y186" s="384">
        <f t="shared" si="518"/>
        <v>3.5226735357730028E-3</v>
      </c>
      <c r="Z186" s="384">
        <f t="shared" si="518"/>
        <v>1.6489472587033552E-3</v>
      </c>
      <c r="AA186" s="384">
        <f t="shared" si="518"/>
        <v>-3.078354351870996E-3</v>
      </c>
      <c r="AB186" s="384"/>
      <c r="AC186" s="384">
        <f t="shared" si="518"/>
        <v>2.814721873693013E-3</v>
      </c>
      <c r="AD186" s="384">
        <f t="shared" si="518"/>
        <v>3.372165591845222E-3</v>
      </c>
      <c r="AE186" s="384">
        <f t="shared" si="518"/>
        <v>0</v>
      </c>
      <c r="AF186" s="384">
        <f t="shared" si="518"/>
        <v>0</v>
      </c>
      <c r="AG186" s="384"/>
      <c r="AH186" s="384">
        <f t="shared" si="518"/>
        <v>0</v>
      </c>
      <c r="AI186" s="384">
        <f t="shared" si="518"/>
        <v>0</v>
      </c>
      <c r="AJ186" s="384">
        <f t="shared" si="518"/>
        <v>0</v>
      </c>
      <c r="AK186" s="384">
        <f t="shared" si="518"/>
        <v>0</v>
      </c>
      <c r="AL186" s="384"/>
      <c r="AM186" s="384">
        <f t="shared" si="518"/>
        <v>0</v>
      </c>
      <c r="AN186" s="384">
        <f t="shared" si="518"/>
        <v>0</v>
      </c>
      <c r="AO186" s="384">
        <f t="shared" si="518"/>
        <v>0</v>
      </c>
      <c r="AP186" s="384">
        <f t="shared" si="518"/>
        <v>0</v>
      </c>
      <c r="AQ186" s="384"/>
      <c r="AR186" s="384">
        <f t="shared" si="518"/>
        <v>0</v>
      </c>
      <c r="AS186" s="384">
        <f t="shared" si="518"/>
        <v>0</v>
      </c>
      <c r="AT186" s="384">
        <f t="shared" si="518"/>
        <v>0</v>
      </c>
      <c r="AU186" s="384">
        <f t="shared" si="518"/>
        <v>0</v>
      </c>
    </row>
    <row r="187" spans="1:48" s="8" customFormat="1" x14ac:dyDescent="0.3">
      <c r="A187" s="161"/>
      <c r="B187" s="382" t="s">
        <v>324</v>
      </c>
      <c r="Q187" s="384">
        <f t="shared" ref="Q187:T187" si="519">Q116-L116</f>
        <v>2.3693128623915273E-3</v>
      </c>
      <c r="R187" s="384"/>
      <c r="S187" s="384">
        <f t="shared" si="519"/>
        <v>1.9882391779431439E-3</v>
      </c>
      <c r="T187" s="384">
        <f t="shared" si="519"/>
        <v>-8.1949465585923805E-4</v>
      </c>
      <c r="U187" s="384">
        <f>U116-P116</f>
        <v>-2.2101675866256984E-3</v>
      </c>
      <c r="V187" s="384">
        <f t="shared" ref="V187:AU187" si="520">V116-Q116</f>
        <v>7.190844057926556E-4</v>
      </c>
      <c r="W187" s="384"/>
      <c r="X187" s="384">
        <f t="shared" si="520"/>
        <v>-3.7294212764020255E-3</v>
      </c>
      <c r="Y187" s="384">
        <f t="shared" si="520"/>
        <v>-1.0297729903985028E-3</v>
      </c>
      <c r="Z187" s="384">
        <f t="shared" si="520"/>
        <v>0</v>
      </c>
      <c r="AA187" s="384">
        <f t="shared" si="520"/>
        <v>0</v>
      </c>
      <c r="AB187" s="384"/>
      <c r="AC187" s="384">
        <f t="shared" si="520"/>
        <v>0</v>
      </c>
      <c r="AD187" s="384">
        <f t="shared" si="520"/>
        <v>0</v>
      </c>
      <c r="AE187" s="384">
        <f t="shared" si="520"/>
        <v>0</v>
      </c>
      <c r="AF187" s="384">
        <f t="shared" si="520"/>
        <v>0</v>
      </c>
      <c r="AG187" s="384"/>
      <c r="AH187" s="384">
        <f t="shared" si="520"/>
        <v>0</v>
      </c>
      <c r="AI187" s="384">
        <f t="shared" si="520"/>
        <v>0</v>
      </c>
      <c r="AJ187" s="384">
        <f t="shared" si="520"/>
        <v>0</v>
      </c>
      <c r="AK187" s="384">
        <f t="shared" si="520"/>
        <v>0</v>
      </c>
      <c r="AL187" s="384"/>
      <c r="AM187" s="384">
        <f t="shared" si="520"/>
        <v>0</v>
      </c>
      <c r="AN187" s="384">
        <f t="shared" si="520"/>
        <v>0</v>
      </c>
      <c r="AO187" s="384">
        <f t="shared" si="520"/>
        <v>0</v>
      </c>
      <c r="AP187" s="384">
        <f t="shared" si="520"/>
        <v>0</v>
      </c>
      <c r="AQ187" s="384"/>
      <c r="AR187" s="384">
        <f t="shared" si="520"/>
        <v>0</v>
      </c>
      <c r="AS187" s="384">
        <f t="shared" si="520"/>
        <v>0</v>
      </c>
      <c r="AT187" s="384">
        <f t="shared" si="520"/>
        <v>0</v>
      </c>
      <c r="AU187" s="384">
        <f t="shared" si="520"/>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7:C7"/>
    <mergeCell ref="A3:A4"/>
    <mergeCell ref="B3:C3"/>
    <mergeCell ref="B4:C4"/>
    <mergeCell ref="B5:C5"/>
    <mergeCell ref="B6:C6"/>
    <mergeCell ref="B39:C39"/>
    <mergeCell ref="B8:C8"/>
    <mergeCell ref="B9:C9"/>
    <mergeCell ref="B16:C16"/>
    <mergeCell ref="B23:C23"/>
    <mergeCell ref="B24:C24"/>
    <mergeCell ref="B25:C25"/>
    <mergeCell ref="B30:C30"/>
    <mergeCell ref="B31:C31"/>
    <mergeCell ref="B32:C32"/>
    <mergeCell ref="B33:C33"/>
    <mergeCell ref="B38:C38"/>
    <mergeCell ref="B83:C83"/>
    <mergeCell ref="B40:C40"/>
    <mergeCell ref="B41:C41"/>
    <mergeCell ref="B45:C45"/>
    <mergeCell ref="B50:C50"/>
    <mergeCell ref="B54:C54"/>
    <mergeCell ref="B55:C55"/>
    <mergeCell ref="B59:C59"/>
    <mergeCell ref="B60:C60"/>
    <mergeCell ref="B73:C73"/>
    <mergeCell ref="B74:C74"/>
    <mergeCell ref="B78:C78"/>
    <mergeCell ref="B138:C138"/>
    <mergeCell ref="B87:C87"/>
    <mergeCell ref="B88:C88"/>
    <mergeCell ref="B92:C92"/>
    <mergeCell ref="B93:C93"/>
    <mergeCell ref="B107:C107"/>
    <mergeCell ref="B108:C108"/>
    <mergeCell ref="B110:C110"/>
    <mergeCell ref="B122:C122"/>
    <mergeCell ref="B123:C123"/>
    <mergeCell ref="B125:C125"/>
    <mergeCell ref="B132:C132"/>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72:C172"/>
    <mergeCell ref="B156:C156"/>
    <mergeCell ref="B157:C157"/>
    <mergeCell ref="B158:C158"/>
    <mergeCell ref="B162:C162"/>
    <mergeCell ref="B163:C163"/>
    <mergeCell ref="B165:C16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3649C-CBC5-4334-8B6D-D633B2D098D3}">
  <sheetPr>
    <tabColor theme="8" tint="0.39997558519241921"/>
    <pageSetUpPr fitToPage="1"/>
  </sheetPr>
  <dimension ref="A1:AV67"/>
  <sheetViews>
    <sheetView showGridLines="0" zoomScaleNormal="100" workbookViewId="0">
      <pane xSplit="3" ySplit="5" topLeftCell="D6" activePane="bottomRight" state="frozen"/>
      <selection activeCell="D5" sqref="D5"/>
      <selection pane="topRight" activeCell="D5" sqref="D5"/>
      <selection pane="bottomLeft" activeCell="D5" sqref="D5"/>
      <selection pane="bottomRight" activeCell="D5" sqref="D5"/>
    </sheetView>
  </sheetViews>
  <sheetFormatPr defaultColWidth="8.88671875" defaultRowHeight="14.4" outlineLevelRow="1" outlineLevelCol="1" x14ac:dyDescent="0.3"/>
  <cols>
    <col min="1" max="1" width="2" style="2" customWidth="1"/>
    <col min="2" max="2" width="26.77734375" style="2" customWidth="1"/>
    <col min="3" max="3" width="19"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369"/>
      <c r="Y1" s="57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583" t="s">
        <v>249</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3" t="s">
        <v>451</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4" t="s">
        <v>452</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583" t="s">
        <v>211</v>
      </c>
      <c r="C5" s="584"/>
      <c r="D5" s="13"/>
      <c r="E5" s="13"/>
      <c r="F5" s="13"/>
      <c r="G5" s="258"/>
      <c r="H5" s="259"/>
      <c r="I5" s="258"/>
      <c r="J5" s="13"/>
      <c r="K5" s="13"/>
      <c r="L5" s="258"/>
      <c r="M5" s="259"/>
      <c r="N5" s="258"/>
      <c r="O5" s="13"/>
      <c r="P5" s="13"/>
      <c r="Q5" s="258"/>
      <c r="R5" s="259"/>
      <c r="S5" s="258"/>
      <c r="T5" s="13"/>
      <c r="U5" s="13"/>
      <c r="V5" s="258"/>
      <c r="W5" s="259"/>
      <c r="X5" s="258"/>
      <c r="Y5" s="13"/>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580" t="s">
        <v>212</v>
      </c>
      <c r="C6" s="581"/>
      <c r="D6" s="16">
        <f>'CFS (Base)'!D41</f>
        <v>4761.6000000000004</v>
      </c>
      <c r="E6" s="16">
        <f>'CFS (Base)'!E41</f>
        <v>2055.1000000000004</v>
      </c>
      <c r="F6" s="16">
        <f>'CFS (Base)'!F41</f>
        <v>4763.4000000000015</v>
      </c>
      <c r="G6" s="101">
        <f>'CFS (Base)'!G41</f>
        <v>2686.6000000000022</v>
      </c>
      <c r="H6" s="17">
        <f>G6</f>
        <v>2686.6000000000022</v>
      </c>
      <c r="I6" s="16">
        <f>'CFS (Base)'!I41</f>
        <v>3040.5000000000036</v>
      </c>
      <c r="J6" s="16">
        <f>'CFS (Base)'!J41</f>
        <v>2572.3000000000029</v>
      </c>
      <c r="K6" s="16">
        <f>'CFS (Base)'!K41</f>
        <v>3965.9000000000042</v>
      </c>
      <c r="L6" s="101">
        <f>'CFS (Base)'!L41</f>
        <v>4350.900000000006</v>
      </c>
      <c r="M6" s="17">
        <f>L6</f>
        <v>4350.900000000006</v>
      </c>
      <c r="N6" s="16">
        <f>'CFS (Base)'!N41</f>
        <v>5028.00000000001</v>
      </c>
      <c r="O6" s="16">
        <f>'CFS (Base)'!O41</f>
        <v>3880.6000000000104</v>
      </c>
      <c r="P6" s="16">
        <f>'CFS (Base)'!P41</f>
        <v>4753.1000000000095</v>
      </c>
      <c r="Q6" s="16">
        <f>'CFS (Base)'!Q41</f>
        <v>6455.7000000000089</v>
      </c>
      <c r="R6" s="17">
        <f>Q6</f>
        <v>6455.7000000000089</v>
      </c>
      <c r="S6" s="16">
        <f>'CFS (Base)'!S41</f>
        <v>3969.4000000000078</v>
      </c>
      <c r="T6" s="16">
        <f>'CFS (Base)'!T41</f>
        <v>3913.4000000000083</v>
      </c>
      <c r="U6" s="16">
        <f>'CFS (Base)'!U41</f>
        <v>3177.5000000000073</v>
      </c>
      <c r="V6" s="16">
        <f>'CFS (Base)'!V41</f>
        <v>2818.3000000000061</v>
      </c>
      <c r="W6" s="17">
        <f>V6</f>
        <v>2818.3000000000061</v>
      </c>
      <c r="X6" s="16">
        <f>'CFS (Base)'!X41</f>
        <v>3186.4000000000078</v>
      </c>
      <c r="Y6" s="16">
        <f>'CFS (Base)'!Y41</f>
        <v>3071.700000000008</v>
      </c>
      <c r="Z6" s="16">
        <f>'CFS (Base)'!Z41</f>
        <v>2717.358083324084</v>
      </c>
      <c r="AA6" s="16">
        <f>'CFS (Base)'!AA41</f>
        <v>3051.3945750654598</v>
      </c>
      <c r="AB6" s="17">
        <f>AA6</f>
        <v>3051.3945750654598</v>
      </c>
      <c r="AC6" s="16">
        <f>'CFS (Base)'!AC41</f>
        <v>3571.7742969234537</v>
      </c>
      <c r="AD6" s="16">
        <f>'CFS (Base)'!AD41</f>
        <v>3324.5146723434123</v>
      </c>
      <c r="AE6" s="16">
        <f>'CFS (Base)'!AE41</f>
        <v>3346.2073843736616</v>
      </c>
      <c r="AF6" s="16">
        <f>'CFS (Base)'!AF41</f>
        <v>3662.8002077347237</v>
      </c>
      <c r="AG6" s="17">
        <f>AF6</f>
        <v>3662.8002077347237</v>
      </c>
      <c r="AH6" s="16">
        <f>'CFS (Base)'!AH41</f>
        <v>4306.2320313128739</v>
      </c>
      <c r="AI6" s="16">
        <f>'CFS (Base)'!AI41</f>
        <v>4278.287307019772</v>
      </c>
      <c r="AJ6" s="16">
        <f>'CFS (Base)'!AJ41</f>
        <v>5139.9182017364765</v>
      </c>
      <c r="AK6" s="16">
        <f>'CFS (Base)'!AK41</f>
        <v>359.16848495914019</v>
      </c>
      <c r="AL6" s="17">
        <f>AK6</f>
        <v>359.16848495914019</v>
      </c>
      <c r="AM6" s="16">
        <f>'CFS (Base)'!AM41</f>
        <v>1005.1484047795466</v>
      </c>
      <c r="AN6" s="16">
        <f>'CFS (Base)'!AN41</f>
        <v>3.2480692999636176</v>
      </c>
      <c r="AO6" s="16">
        <f>'CFS (Base)'!AO41</f>
        <v>7.4197455178393739</v>
      </c>
      <c r="AP6" s="16">
        <f>'CFS (Base)'!AP41</f>
        <v>618.73545953666166</v>
      </c>
      <c r="AQ6" s="17">
        <f>AP6</f>
        <v>618.73545953666166</v>
      </c>
      <c r="AR6" s="16">
        <f>'CFS (Base)'!AR41</f>
        <v>1467.8144681242045</v>
      </c>
      <c r="AS6" s="16">
        <f>'CFS (Base)'!AS41</f>
        <v>1455.1999517811412</v>
      </c>
      <c r="AT6" s="16">
        <f>'CFS (Base)'!AT41</f>
        <v>1607.8064346054555</v>
      </c>
      <c r="AU6" s="16">
        <f>'CFS (Base)'!AU41</f>
        <v>2268.6483698623729</v>
      </c>
      <c r="AV6" s="17">
        <f>AU6</f>
        <v>2268.6483698623729</v>
      </c>
    </row>
    <row r="7" spans="1:48" ht="14.55" customHeight="1" outlineLevel="1" x14ac:dyDescent="0.3">
      <c r="A7" s="161"/>
      <c r="B7" s="200" t="s">
        <v>213</v>
      </c>
      <c r="C7" s="201"/>
      <c r="D7" s="16">
        <v>230.2</v>
      </c>
      <c r="E7" s="16">
        <v>76.599999999999994</v>
      </c>
      <c r="F7" s="16">
        <v>72.099999999999994</v>
      </c>
      <c r="G7" s="16">
        <v>70.5</v>
      </c>
      <c r="H7" s="17">
        <f>+G7</f>
        <v>70.5</v>
      </c>
      <c r="I7" s="16">
        <v>68.400000000000006</v>
      </c>
      <c r="J7" s="16">
        <v>52.9</v>
      </c>
      <c r="K7" s="16">
        <v>229.9</v>
      </c>
      <c r="L7" s="16">
        <v>281.2</v>
      </c>
      <c r="M7" s="17">
        <f>+L7</f>
        <v>281.2</v>
      </c>
      <c r="N7" s="16">
        <v>235.5</v>
      </c>
      <c r="O7" s="16">
        <v>123</v>
      </c>
      <c r="P7" s="16">
        <v>153.6</v>
      </c>
      <c r="Q7" s="101">
        <v>162.19999999999999</v>
      </c>
      <c r="R7" s="17">
        <f>+Q7</f>
        <v>162.19999999999999</v>
      </c>
      <c r="S7" s="16">
        <v>87.4</v>
      </c>
      <c r="T7" s="16">
        <v>82.1</v>
      </c>
      <c r="U7" s="16">
        <v>76.900000000000006</v>
      </c>
      <c r="V7" s="16">
        <v>364.5</v>
      </c>
      <c r="W7" s="17">
        <f>+V7</f>
        <v>364.5</v>
      </c>
      <c r="X7" s="101">
        <v>123.9</v>
      </c>
      <c r="Y7" s="101">
        <v>379.4</v>
      </c>
      <c r="Z7" s="16">
        <f>+Z53*Z42*Z54</f>
        <v>221.90869021237705</v>
      </c>
      <c r="AA7" s="16">
        <f>+AA53*AA42*AA54</f>
        <v>269.20747336949694</v>
      </c>
      <c r="AB7" s="17">
        <f>+AA7</f>
        <v>269.20747336949694</v>
      </c>
      <c r="AC7" s="16">
        <f>+AC53*AC42*AC54</f>
        <v>251.92040911145864</v>
      </c>
      <c r="AD7" s="16">
        <f>+AD53*AD42*AD54</f>
        <v>287.37271530153942</v>
      </c>
      <c r="AE7" s="16">
        <f>+AE53*AE42*AE54</f>
        <v>266.90921551107579</v>
      </c>
      <c r="AF7" s="16">
        <f>+AF53*AF42*AF54</f>
        <v>277.90423273232057</v>
      </c>
      <c r="AG7" s="17">
        <f>+AF7</f>
        <v>277.90423273232057</v>
      </c>
      <c r="AH7" s="16">
        <f>+AH53*AH42*AH54</f>
        <v>285.53003728233375</v>
      </c>
      <c r="AI7" s="16">
        <f>+AI53*AI42*AI54</f>
        <v>291.19611716032597</v>
      </c>
      <c r="AJ7" s="16">
        <f>+AJ53*AJ42*AJ54</f>
        <v>301.68223658718171</v>
      </c>
      <c r="AK7" s="16">
        <f>+AK53*AK42*AK54</f>
        <v>258.69365350685388</v>
      </c>
      <c r="AL7" s="17">
        <f>+AK7</f>
        <v>258.69365350685388</v>
      </c>
      <c r="AM7" s="16">
        <f>+AM53*AM42*AM54</f>
        <v>267.55119375265105</v>
      </c>
      <c r="AN7" s="16">
        <f>+AN53*AN42*AN54</f>
        <v>259.37085723466805</v>
      </c>
      <c r="AO7" s="16">
        <f>+AO53*AO42*AO54</f>
        <v>266.44912137680387</v>
      </c>
      <c r="AP7" s="16">
        <f>+AP53*AP42*AP54</f>
        <v>270.84621348818575</v>
      </c>
      <c r="AQ7" s="17">
        <f>+AP7</f>
        <v>270.84621348818575</v>
      </c>
      <c r="AR7" s="16">
        <f>+AR53*AR42*AR54</f>
        <v>281.35692102061853</v>
      </c>
      <c r="AS7" s="16">
        <f>+AS53*AS42*AS54</f>
        <v>282.52006147275631</v>
      </c>
      <c r="AT7" s="16">
        <f>+AT53*AT42*AT54</f>
        <v>291.01272291911334</v>
      </c>
      <c r="AU7" s="16">
        <f>+AU53*AU42*AU54</f>
        <v>296.02937722676353</v>
      </c>
      <c r="AV7" s="17">
        <f>+AU7</f>
        <v>296.02937722676353</v>
      </c>
    </row>
    <row r="8" spans="1:48" s="23" customFormat="1" ht="14.55" customHeight="1" outlineLevel="1" x14ac:dyDescent="0.3">
      <c r="A8" s="161"/>
      <c r="B8" s="580" t="s">
        <v>214</v>
      </c>
      <c r="C8" s="581"/>
      <c r="D8" s="16">
        <v>721.4</v>
      </c>
      <c r="E8" s="16">
        <v>703.6</v>
      </c>
      <c r="F8" s="16">
        <v>790.6</v>
      </c>
      <c r="G8" s="16">
        <v>879</v>
      </c>
      <c r="H8" s="17">
        <f>G8</f>
        <v>879</v>
      </c>
      <c r="I8" s="16">
        <v>908.1</v>
      </c>
      <c r="J8" s="16">
        <v>941</v>
      </c>
      <c r="K8" s="16">
        <v>881.1</v>
      </c>
      <c r="L8" s="16">
        <v>883.4</v>
      </c>
      <c r="M8" s="17">
        <f>L8</f>
        <v>883.4</v>
      </c>
      <c r="N8" s="16">
        <v>888</v>
      </c>
      <c r="O8" s="16">
        <v>880.2</v>
      </c>
      <c r="P8" s="16">
        <v>911.2</v>
      </c>
      <c r="Q8" s="101">
        <v>940</v>
      </c>
      <c r="R8" s="17">
        <f>Q8</f>
        <v>940</v>
      </c>
      <c r="S8" s="16">
        <v>1031.0999999999999</v>
      </c>
      <c r="T8" s="16">
        <v>1001.9</v>
      </c>
      <c r="U8" s="16">
        <v>1146.0999999999999</v>
      </c>
      <c r="V8" s="16">
        <v>1175.5</v>
      </c>
      <c r="W8" s="17">
        <f>V8</f>
        <v>1175.5</v>
      </c>
      <c r="X8" s="101">
        <v>1162.9000000000001</v>
      </c>
      <c r="Y8" s="101">
        <v>1185.8</v>
      </c>
      <c r="Z8" s="16">
        <f>'IS (Base)'!Z8/Z47</f>
        <v>1387.114585800957</v>
      </c>
      <c r="AA8" s="16">
        <f>'IS (Base)'!AA8/AA47</f>
        <v>1235.8016613966904</v>
      </c>
      <c r="AB8" s="17">
        <f>AA8</f>
        <v>1235.8016613966904</v>
      </c>
      <c r="AC8" s="16">
        <f>'IS (Base)'!AC8/AC47</f>
        <v>1278.8577890959689</v>
      </c>
      <c r="AD8" s="16">
        <f>'IS (Base)'!AD8/AD47</f>
        <v>1278.5065691380285</v>
      </c>
      <c r="AE8" s="16">
        <f>'IS (Base)'!AE8/AE47</f>
        <v>1395.6831088752022</v>
      </c>
      <c r="AF8" s="16">
        <f>'IS (Base)'!AF8/AF47</f>
        <v>1327.0688007677443</v>
      </c>
      <c r="AG8" s="17">
        <f>AF8</f>
        <v>1327.0688007677443</v>
      </c>
      <c r="AH8" s="16">
        <f>'IS (Base)'!AH8/AH47</f>
        <v>1421.6123165187737</v>
      </c>
      <c r="AI8" s="16">
        <f>'IS (Base)'!AI8/AI47</f>
        <v>1427.9266364251127</v>
      </c>
      <c r="AJ8" s="16">
        <f>'IS (Base)'!AJ8/AJ47</f>
        <v>1620.2255040813723</v>
      </c>
      <c r="AK8" s="16">
        <f>'IS (Base)'!AK8/AK47</f>
        <v>1538.0561722621951</v>
      </c>
      <c r="AL8" s="17">
        <f>AK8</f>
        <v>1538.0561722621951</v>
      </c>
      <c r="AM8" s="16">
        <f>'IS (Base)'!AM8/AM47</f>
        <v>1572.0030958491686</v>
      </c>
      <c r="AN8" s="16">
        <f>'IS (Base)'!AN8/AN47</f>
        <v>1570.7431441732215</v>
      </c>
      <c r="AO8" s="16">
        <f>'IS (Base)'!AO8/AO47</f>
        <v>1770.8642589476856</v>
      </c>
      <c r="AP8" s="16">
        <f>'IS (Base)'!AP8/AP47</f>
        <v>1644.2610863109994</v>
      </c>
      <c r="AQ8" s="17">
        <f>AP8</f>
        <v>1644.2610863109994</v>
      </c>
      <c r="AR8" s="16">
        <f>'IS (Base)'!AR8/AR47</f>
        <v>1665.5619067458688</v>
      </c>
      <c r="AS8" s="16">
        <f>'IS (Base)'!AS8/AS47</f>
        <v>1663.448222119616</v>
      </c>
      <c r="AT8" s="16">
        <f>'IS (Base)'!AT8/AT47</f>
        <v>1854.8539100009825</v>
      </c>
      <c r="AU8" s="16">
        <f>'IS (Base)'!AU8/AU47</f>
        <v>1746.1653186535166</v>
      </c>
      <c r="AV8" s="17">
        <f>AU8</f>
        <v>1746.1653186535166</v>
      </c>
    </row>
    <row r="9" spans="1:48" s="23" customFormat="1" ht="14.55" customHeight="1" outlineLevel="1" x14ac:dyDescent="0.3">
      <c r="A9" s="161"/>
      <c r="B9" s="200" t="s">
        <v>215</v>
      </c>
      <c r="C9" s="201"/>
      <c r="D9" s="16">
        <v>1354.6</v>
      </c>
      <c r="E9" s="16">
        <v>1443</v>
      </c>
      <c r="F9" s="16">
        <v>1517.2</v>
      </c>
      <c r="G9" s="16">
        <v>1529.4</v>
      </c>
      <c r="H9" s="17">
        <f>G9</f>
        <v>1529.4</v>
      </c>
      <c r="I9" s="16">
        <v>1408.7</v>
      </c>
      <c r="J9" s="16">
        <v>1492.2</v>
      </c>
      <c r="K9" s="16">
        <v>1583.8</v>
      </c>
      <c r="L9" s="16">
        <v>1551.4</v>
      </c>
      <c r="M9" s="17">
        <f>L9</f>
        <v>1551.4</v>
      </c>
      <c r="N9" s="16">
        <v>1471.5</v>
      </c>
      <c r="O9" s="16">
        <v>1503.6</v>
      </c>
      <c r="P9" s="16">
        <v>1548.2</v>
      </c>
      <c r="Q9" s="101">
        <v>1603.9</v>
      </c>
      <c r="R9" s="17">
        <f>Q9</f>
        <v>1603.9</v>
      </c>
      <c r="S9" s="16">
        <v>1637.1</v>
      </c>
      <c r="T9" s="16">
        <v>1920</v>
      </c>
      <c r="U9" s="16">
        <v>2132.9</v>
      </c>
      <c r="V9" s="16">
        <v>2176.6</v>
      </c>
      <c r="W9" s="17">
        <f>V9</f>
        <v>2176.6</v>
      </c>
      <c r="X9" s="101">
        <v>2088.1</v>
      </c>
      <c r="Y9" s="101">
        <v>2000.6</v>
      </c>
      <c r="Z9" s="16">
        <f>'IS (Base)'!Z9/Z49</f>
        <v>2469.3439133909142</v>
      </c>
      <c r="AA9" s="16">
        <f>'IS (Base)'!AA9/AA49</f>
        <v>2135.5678475722611</v>
      </c>
      <c r="AB9" s="17">
        <f>AA9</f>
        <v>2135.5678475722611</v>
      </c>
      <c r="AC9" s="16">
        <f>'IS (Base)'!AC9/AC49</f>
        <v>2173.9346611437636</v>
      </c>
      <c r="AD9" s="16">
        <f>'IS (Base)'!AD9/AD49</f>
        <v>2260.384220088954</v>
      </c>
      <c r="AE9" s="16">
        <f>'IS (Base)'!AE9/AE49</f>
        <v>2515.9194213584792</v>
      </c>
      <c r="AF9" s="16">
        <f>'IS (Base)'!AF9/AF49</f>
        <v>2350.9046128793607</v>
      </c>
      <c r="AG9" s="17">
        <f>AF9</f>
        <v>2350.9046128793607</v>
      </c>
      <c r="AH9" s="16">
        <f>'IS (Base)'!AH9/AH49</f>
        <v>2384.3276173605423</v>
      </c>
      <c r="AI9" s="16">
        <f>'IS (Base)'!AI9/AI49</f>
        <v>2491.8300880808833</v>
      </c>
      <c r="AJ9" s="16">
        <f>'IS (Base)'!AJ9/AJ49</f>
        <v>2865.5299808275145</v>
      </c>
      <c r="AK9" s="16">
        <f>'IS (Base)'!AK9/AK49</f>
        <v>2711.2174144554901</v>
      </c>
      <c r="AL9" s="17">
        <f>AK9</f>
        <v>2711.2174144554901</v>
      </c>
      <c r="AM9" s="16">
        <f>'IS (Base)'!AM9/AM49</f>
        <v>2677.2592557768189</v>
      </c>
      <c r="AN9" s="16">
        <f>'IS (Base)'!AN9/AN49</f>
        <v>2681.17070085249</v>
      </c>
      <c r="AO9" s="16">
        <f>'IS (Base)'!AO9/AO49</f>
        <v>3106.9166696845518</v>
      </c>
      <c r="AP9" s="16">
        <f>'IS (Base)'!AP9/AP49</f>
        <v>2876.2346228547576</v>
      </c>
      <c r="AQ9" s="17">
        <f>AP9</f>
        <v>2876.2346228547576</v>
      </c>
      <c r="AR9" s="16">
        <f>'IS (Base)'!AR9/AR49</f>
        <v>2806.0953705712359</v>
      </c>
      <c r="AS9" s="16">
        <f>'IS (Base)'!AS9/AS49</f>
        <v>2877.3166449370888</v>
      </c>
      <c r="AT9" s="16">
        <f>'IS (Base)'!AT9/AT49</f>
        <v>3263.2408693877665</v>
      </c>
      <c r="AU9" s="16">
        <f>'IS (Base)'!AU9/AU49</f>
        <v>3054.5748659199239</v>
      </c>
      <c r="AV9" s="17">
        <f>AU9</f>
        <v>3054.5748659199239</v>
      </c>
    </row>
    <row r="10" spans="1:48" ht="16.2" customHeight="1" outlineLevel="1" x14ac:dyDescent="0.45">
      <c r="A10" s="161"/>
      <c r="B10" s="580" t="s">
        <v>216</v>
      </c>
      <c r="C10" s="581"/>
      <c r="D10" s="260">
        <v>608.5</v>
      </c>
      <c r="E10" s="112">
        <v>674</v>
      </c>
      <c r="F10" s="112">
        <v>591.6</v>
      </c>
      <c r="G10" s="112">
        <v>488.2</v>
      </c>
      <c r="H10" s="261">
        <f>G10</f>
        <v>488.2</v>
      </c>
      <c r="I10" s="112">
        <v>474</v>
      </c>
      <c r="J10" s="112">
        <v>691.5</v>
      </c>
      <c r="K10" s="112">
        <v>920.3</v>
      </c>
      <c r="L10" s="112">
        <v>739.5</v>
      </c>
      <c r="M10" s="261">
        <f>L10</f>
        <v>739.5</v>
      </c>
      <c r="N10" s="112">
        <v>734.4</v>
      </c>
      <c r="O10" s="112">
        <v>592</v>
      </c>
      <c r="P10" s="112">
        <v>565.6</v>
      </c>
      <c r="Q10" s="112">
        <v>594.6</v>
      </c>
      <c r="R10" s="261">
        <f>Q10</f>
        <v>594.6</v>
      </c>
      <c r="S10" s="112">
        <v>530.1</v>
      </c>
      <c r="T10" s="112">
        <v>623.70000000000005</v>
      </c>
      <c r="U10" s="112">
        <v>534.1</v>
      </c>
      <c r="V10" s="112">
        <v>483.7</v>
      </c>
      <c r="W10" s="261">
        <f>V10</f>
        <v>483.7</v>
      </c>
      <c r="X10" s="112">
        <v>373.5</v>
      </c>
      <c r="Y10" s="112">
        <v>408.6</v>
      </c>
      <c r="Z10" s="32">
        <f>Y10*1.01</f>
        <v>412.68600000000004</v>
      </c>
      <c r="AA10" s="32">
        <f>Z10*1.01</f>
        <v>416.81286000000006</v>
      </c>
      <c r="AB10" s="261">
        <f>AA10</f>
        <v>416.81286000000006</v>
      </c>
      <c r="AC10" s="32">
        <f>AA10*1.01</f>
        <v>420.98098860000005</v>
      </c>
      <c r="AD10" s="32">
        <f>AC10*1.01</f>
        <v>425.19079848600006</v>
      </c>
      <c r="AE10" s="32">
        <f>AD10*1.01</f>
        <v>429.44270647086006</v>
      </c>
      <c r="AF10" s="32">
        <f>AE10*1.01</f>
        <v>433.73713353556866</v>
      </c>
      <c r="AG10" s="261">
        <f>AF10</f>
        <v>433.73713353556866</v>
      </c>
      <c r="AH10" s="32">
        <f>AF10*1.01</f>
        <v>438.07450487092433</v>
      </c>
      <c r="AI10" s="32">
        <f>AH10*1.01</f>
        <v>442.45524991963356</v>
      </c>
      <c r="AJ10" s="32">
        <f>AI10*1.01</f>
        <v>446.87980241882991</v>
      </c>
      <c r="AK10" s="32">
        <f>AJ10*1.01</f>
        <v>451.3486004430182</v>
      </c>
      <c r="AL10" s="261">
        <f>AK10</f>
        <v>451.3486004430182</v>
      </c>
      <c r="AM10" s="32">
        <f>AK10*1.01</f>
        <v>455.86208644744841</v>
      </c>
      <c r="AN10" s="32">
        <f>AM10*1.01</f>
        <v>460.42070731192291</v>
      </c>
      <c r="AO10" s="32">
        <f>AN10*1.01</f>
        <v>465.02491438504217</v>
      </c>
      <c r="AP10" s="32">
        <f>AO10*1.01</f>
        <v>469.6751635288926</v>
      </c>
      <c r="AQ10" s="261">
        <f>AP10</f>
        <v>469.6751635288926</v>
      </c>
      <c r="AR10" s="32">
        <f>AP10*1.01</f>
        <v>474.37191516418153</v>
      </c>
      <c r="AS10" s="32">
        <f>AR10*1.01</f>
        <v>479.11563431582334</v>
      </c>
      <c r="AT10" s="32">
        <f>AS10*1.01</f>
        <v>483.90679065898161</v>
      </c>
      <c r="AU10" s="32">
        <f>AT10*1.01</f>
        <v>488.74585856557144</v>
      </c>
      <c r="AV10" s="261">
        <f>AU10</f>
        <v>488.74585856557144</v>
      </c>
    </row>
    <row r="11" spans="1:48" ht="14.55" customHeight="1" outlineLevel="1" x14ac:dyDescent="0.3">
      <c r="A11" s="161"/>
      <c r="B11" s="205" t="s">
        <v>217</v>
      </c>
      <c r="C11" s="206"/>
      <c r="D11" s="21">
        <f t="shared" ref="D11:AV11" si="0">SUM(D6:D10)</f>
        <v>7676.2999999999993</v>
      </c>
      <c r="E11" s="21">
        <f t="shared" si="0"/>
        <v>4952.3</v>
      </c>
      <c r="F11" s="21">
        <f t="shared" si="0"/>
        <v>7734.9000000000024</v>
      </c>
      <c r="G11" s="21">
        <f t="shared" si="0"/>
        <v>5653.7000000000016</v>
      </c>
      <c r="H11" s="22">
        <f t="shared" si="0"/>
        <v>5653.7000000000016</v>
      </c>
      <c r="I11" s="21">
        <f t="shared" si="0"/>
        <v>5899.7000000000035</v>
      </c>
      <c r="J11" s="21">
        <f t="shared" si="0"/>
        <v>5749.9000000000033</v>
      </c>
      <c r="K11" s="21">
        <f t="shared" si="0"/>
        <v>7581.0000000000045</v>
      </c>
      <c r="L11" s="116">
        <f t="shared" si="0"/>
        <v>7806.4000000000051</v>
      </c>
      <c r="M11" s="22">
        <f t="shared" si="0"/>
        <v>7806.4000000000051</v>
      </c>
      <c r="N11" s="21">
        <f t="shared" si="0"/>
        <v>8357.4000000000106</v>
      </c>
      <c r="O11" s="21">
        <f t="shared" si="0"/>
        <v>6979.4000000000106</v>
      </c>
      <c r="P11" s="21">
        <f t="shared" si="0"/>
        <v>7931.7000000000098</v>
      </c>
      <c r="Q11" s="116">
        <f t="shared" si="0"/>
        <v>9756.4000000000087</v>
      </c>
      <c r="R11" s="22">
        <f t="shared" si="0"/>
        <v>9756.4000000000087</v>
      </c>
      <c r="S11" s="21">
        <f t="shared" si="0"/>
        <v>7255.1000000000076</v>
      </c>
      <c r="T11" s="21">
        <f t="shared" si="0"/>
        <v>7541.1000000000076</v>
      </c>
      <c r="U11" s="21">
        <f t="shared" si="0"/>
        <v>7067.5000000000073</v>
      </c>
      <c r="V11" s="116">
        <f t="shared" si="0"/>
        <v>7018.6000000000067</v>
      </c>
      <c r="W11" s="22">
        <f t="shared" si="0"/>
        <v>7018.6000000000067</v>
      </c>
      <c r="X11" s="116">
        <f>SUM(X6:X10)</f>
        <v>6934.8000000000084</v>
      </c>
      <c r="Y11" s="116">
        <f t="shared" si="0"/>
        <v>7046.1000000000076</v>
      </c>
      <c r="Z11" s="21">
        <f t="shared" si="0"/>
        <v>7208.4112727283318</v>
      </c>
      <c r="AA11" s="21">
        <f t="shared" si="0"/>
        <v>7108.7844174039074</v>
      </c>
      <c r="AB11" s="22">
        <f t="shared" si="0"/>
        <v>7108.7844174039074</v>
      </c>
      <c r="AC11" s="21">
        <f t="shared" si="0"/>
        <v>7697.4681448746451</v>
      </c>
      <c r="AD11" s="21">
        <f t="shared" si="0"/>
        <v>7575.9689753579341</v>
      </c>
      <c r="AE11" s="21">
        <f t="shared" si="0"/>
        <v>7954.1618365892791</v>
      </c>
      <c r="AF11" s="21">
        <f t="shared" si="0"/>
        <v>8052.4149876497177</v>
      </c>
      <c r="AG11" s="22">
        <f t="shared" si="0"/>
        <v>8052.4149876497177</v>
      </c>
      <c r="AH11" s="21">
        <f t="shared" si="0"/>
        <v>8835.7765073454484</v>
      </c>
      <c r="AI11" s="21">
        <f t="shared" si="0"/>
        <v>8931.6953986057288</v>
      </c>
      <c r="AJ11" s="21">
        <f t="shared" si="0"/>
        <v>10374.235725651373</v>
      </c>
      <c r="AK11" s="21">
        <f t="shared" si="0"/>
        <v>5318.4843256266977</v>
      </c>
      <c r="AL11" s="22">
        <f t="shared" si="0"/>
        <v>5318.4843256266977</v>
      </c>
      <c r="AM11" s="21">
        <f t="shared" si="0"/>
        <v>5977.8240366056343</v>
      </c>
      <c r="AN11" s="21">
        <f t="shared" si="0"/>
        <v>4974.9534788722667</v>
      </c>
      <c r="AO11" s="21">
        <f t="shared" si="0"/>
        <v>5616.6747099119229</v>
      </c>
      <c r="AP11" s="21">
        <f t="shared" si="0"/>
        <v>5879.752545719497</v>
      </c>
      <c r="AQ11" s="22">
        <f t="shared" si="0"/>
        <v>5879.752545719497</v>
      </c>
      <c r="AR11" s="21">
        <f t="shared" si="0"/>
        <v>6695.2005816261099</v>
      </c>
      <c r="AS11" s="21">
        <f t="shared" si="0"/>
        <v>6757.6005146264251</v>
      </c>
      <c r="AT11" s="21">
        <f t="shared" si="0"/>
        <v>7500.8207275722989</v>
      </c>
      <c r="AU11" s="21">
        <f t="shared" si="0"/>
        <v>7854.1637902281491</v>
      </c>
      <c r="AV11" s="22">
        <f t="shared" si="0"/>
        <v>7854.1637902281491</v>
      </c>
    </row>
    <row r="12" spans="1:48" ht="14.55" customHeight="1" outlineLevel="1" x14ac:dyDescent="0.3">
      <c r="A12" s="161"/>
      <c r="B12" s="200" t="s">
        <v>218</v>
      </c>
      <c r="C12" s="207"/>
      <c r="D12" s="16">
        <v>265</v>
      </c>
      <c r="E12" s="16">
        <v>251.9</v>
      </c>
      <c r="F12" s="16">
        <v>222.6</v>
      </c>
      <c r="G12" s="16">
        <v>220</v>
      </c>
      <c r="H12" s="17">
        <f t="shared" ref="H12:H18" si="1">+G12</f>
        <v>220</v>
      </c>
      <c r="I12" s="16">
        <v>199.8</v>
      </c>
      <c r="J12" s="16">
        <v>198.8</v>
      </c>
      <c r="K12" s="16">
        <v>223.4</v>
      </c>
      <c r="L12" s="101">
        <v>206.1</v>
      </c>
      <c r="M12" s="17">
        <f>+L12</f>
        <v>206.1</v>
      </c>
      <c r="N12" s="16">
        <v>190.9</v>
      </c>
      <c r="O12" s="16">
        <v>284.8</v>
      </c>
      <c r="P12" s="16">
        <v>285.89999999999998</v>
      </c>
      <c r="Q12" s="101">
        <v>281.7</v>
      </c>
      <c r="R12" s="17">
        <f>+Q12</f>
        <v>281.7</v>
      </c>
      <c r="S12" s="16">
        <v>299.60000000000002</v>
      </c>
      <c r="T12" s="16">
        <v>285.60000000000002</v>
      </c>
      <c r="U12" s="16">
        <v>292.5</v>
      </c>
      <c r="V12" s="101">
        <v>279.10000000000002</v>
      </c>
      <c r="W12" s="17">
        <f>+V12</f>
        <v>279.10000000000002</v>
      </c>
      <c r="X12" s="101">
        <v>283.60000000000002</v>
      </c>
      <c r="Y12" s="101">
        <v>251.2</v>
      </c>
      <c r="Z12" s="16">
        <f>+Z53*Z42*(1-Z54)</f>
        <v>306.37638077491118</v>
      </c>
      <c r="AA12" s="16">
        <f>+AA53*AA42*(1-AA54)</f>
        <v>299.91183613328798</v>
      </c>
      <c r="AB12" s="17">
        <f>+AA12</f>
        <v>299.91183613328798</v>
      </c>
      <c r="AC12" s="16">
        <f>+AC53*AC42*(1-AC54)</f>
        <v>308.28310291920809</v>
      </c>
      <c r="AD12" s="16">
        <f>+AD53*AD42*(1-AD54)</f>
        <v>303.80048439174595</v>
      </c>
      <c r="AE12" s="16">
        <f>+AE53*AE42*(1-AE54)</f>
        <v>316.856270033947</v>
      </c>
      <c r="AF12" s="16">
        <f>+AF53*AF42*(1-AF54)</f>
        <v>317.8032804877783</v>
      </c>
      <c r="AG12" s="17">
        <f>+AF12</f>
        <v>317.8032804877783</v>
      </c>
      <c r="AH12" s="16">
        <f>+AH53*AH42*(1-AH54)</f>
        <v>328.6677985485199</v>
      </c>
      <c r="AI12" s="16">
        <f>+AI53*AI42*(1-AI54)</f>
        <v>330.11512257393503</v>
      </c>
      <c r="AJ12" s="16">
        <f>+AJ53*AJ42*(1-AJ54)</f>
        <v>348.04203499779578</v>
      </c>
      <c r="AK12" s="16">
        <f>+AK53*AK42*(1-AK54)</f>
        <v>296.32458920311615</v>
      </c>
      <c r="AL12" s="17">
        <f>+AK12</f>
        <v>296.32458920311615</v>
      </c>
      <c r="AM12" s="16">
        <f>+AM53*AM42*(1-AM54)</f>
        <v>306.59742130813578</v>
      </c>
      <c r="AN12" s="16">
        <f>+AN53*AN42*(1-AN54)</f>
        <v>296.89093545742594</v>
      </c>
      <c r="AO12" s="16">
        <f>+AO53*AO42*(1-AO54)</f>
        <v>305.73098330824081</v>
      </c>
      <c r="AP12" s="16">
        <f>+AP53*AP42*(1-AP54)</f>
        <v>310.35508657630419</v>
      </c>
      <c r="AQ12" s="17">
        <f>+AP12</f>
        <v>310.35508657630419</v>
      </c>
      <c r="AR12" s="16">
        <f>+AR53*AR42*(1-AR54)</f>
        <v>322.42762792788648</v>
      </c>
      <c r="AS12" s="16">
        <f>+AS53*AS42*(1-AS54)</f>
        <v>323.76298671088375</v>
      </c>
      <c r="AT12" s="16">
        <f>+AT53*AT42*(1-AT54)</f>
        <v>333.59184446144496</v>
      </c>
      <c r="AU12" s="16">
        <f>+AU53*AU42*(1-AU54)</f>
        <v>339.26013912016396</v>
      </c>
      <c r="AV12" s="17">
        <f>+AU12</f>
        <v>339.26013912016396</v>
      </c>
    </row>
    <row r="13" spans="1:48" ht="14.55" customHeight="1" outlineLevel="1" x14ac:dyDescent="0.3">
      <c r="A13" s="161"/>
      <c r="B13" s="200" t="s">
        <v>219</v>
      </c>
      <c r="C13" s="207"/>
      <c r="D13" s="16">
        <v>336.1</v>
      </c>
      <c r="E13" s="16">
        <v>309.3</v>
      </c>
      <c r="F13" s="16">
        <v>340.3</v>
      </c>
      <c r="G13" s="16">
        <v>396</v>
      </c>
      <c r="H13" s="17">
        <f t="shared" si="1"/>
        <v>396</v>
      </c>
      <c r="I13" s="16">
        <v>411.3</v>
      </c>
      <c r="J13" s="16">
        <v>420.9</v>
      </c>
      <c r="K13" s="16">
        <v>426.1</v>
      </c>
      <c r="L13" s="101">
        <v>478.7</v>
      </c>
      <c r="M13" s="17">
        <f>+L13</f>
        <v>478.7</v>
      </c>
      <c r="N13" s="16">
        <v>496</v>
      </c>
      <c r="O13" s="16">
        <v>499.4</v>
      </c>
      <c r="P13" s="16">
        <v>535.29999999999995</v>
      </c>
      <c r="Q13" s="101">
        <v>268.5</v>
      </c>
      <c r="R13" s="17">
        <f>+Q13</f>
        <v>268.5</v>
      </c>
      <c r="S13" s="16">
        <v>251.9</v>
      </c>
      <c r="T13" s="16">
        <v>270.8</v>
      </c>
      <c r="U13" s="16">
        <v>302.7</v>
      </c>
      <c r="V13" s="101">
        <v>311.2</v>
      </c>
      <c r="W13" s="17">
        <f>+V13</f>
        <v>311.2</v>
      </c>
      <c r="X13" s="101">
        <v>330.5</v>
      </c>
      <c r="Y13" s="101">
        <v>360.5</v>
      </c>
      <c r="Z13" s="33">
        <f>Y13</f>
        <v>360.5</v>
      </c>
      <c r="AA13" s="33">
        <f>Z13</f>
        <v>360.5</v>
      </c>
      <c r="AB13" s="17">
        <f>+AA13</f>
        <v>360.5</v>
      </c>
      <c r="AC13" s="33">
        <f>AA13</f>
        <v>360.5</v>
      </c>
      <c r="AD13" s="33">
        <f>AC13</f>
        <v>360.5</v>
      </c>
      <c r="AE13" s="33">
        <f>AD13</f>
        <v>360.5</v>
      </c>
      <c r="AF13" s="33">
        <f>AE13</f>
        <v>360.5</v>
      </c>
      <c r="AG13" s="17">
        <f>+AF13</f>
        <v>360.5</v>
      </c>
      <c r="AH13" s="33">
        <f>AF13</f>
        <v>360.5</v>
      </c>
      <c r="AI13" s="33">
        <f>AH13</f>
        <v>360.5</v>
      </c>
      <c r="AJ13" s="33">
        <f>AI13</f>
        <v>360.5</v>
      </c>
      <c r="AK13" s="33">
        <f>AJ13</f>
        <v>360.5</v>
      </c>
      <c r="AL13" s="17">
        <f>+AK13</f>
        <v>360.5</v>
      </c>
      <c r="AM13" s="33">
        <f>AK13</f>
        <v>360.5</v>
      </c>
      <c r="AN13" s="33">
        <f>AM13</f>
        <v>360.5</v>
      </c>
      <c r="AO13" s="33">
        <f>AN13</f>
        <v>360.5</v>
      </c>
      <c r="AP13" s="33">
        <f>AO13</f>
        <v>360.5</v>
      </c>
      <c r="AQ13" s="17">
        <f>+AP13</f>
        <v>360.5</v>
      </c>
      <c r="AR13" s="33">
        <f>AP13</f>
        <v>360.5</v>
      </c>
      <c r="AS13" s="33">
        <f>AR13</f>
        <v>360.5</v>
      </c>
      <c r="AT13" s="33">
        <f>AS13</f>
        <v>360.5</v>
      </c>
      <c r="AU13" s="33">
        <f>AT13</f>
        <v>360.5</v>
      </c>
      <c r="AV13" s="17">
        <f>+AU13</f>
        <v>360.5</v>
      </c>
    </row>
    <row r="14" spans="1:48" s="8" customFormat="1" outlineLevel="1" x14ac:dyDescent="0.3">
      <c r="A14" s="161"/>
      <c r="B14" s="200" t="s">
        <v>220</v>
      </c>
      <c r="C14" s="206"/>
      <c r="D14" s="16">
        <v>6039.3</v>
      </c>
      <c r="E14" s="16">
        <v>6135.5</v>
      </c>
      <c r="F14" s="16">
        <v>6187.8</v>
      </c>
      <c r="G14" s="16">
        <v>6431.7</v>
      </c>
      <c r="H14" s="17">
        <f t="shared" si="1"/>
        <v>6431.7</v>
      </c>
      <c r="I14" s="16">
        <v>6390.9</v>
      </c>
      <c r="J14" s="16">
        <v>6387</v>
      </c>
      <c r="K14" s="16">
        <v>6295.6</v>
      </c>
      <c r="L14" s="101">
        <v>6241.4</v>
      </c>
      <c r="M14" s="17">
        <f>+L14</f>
        <v>6241.4</v>
      </c>
      <c r="N14" s="16">
        <v>6177.9</v>
      </c>
      <c r="O14" s="16">
        <v>6123.1</v>
      </c>
      <c r="P14" s="16">
        <v>6151.4</v>
      </c>
      <c r="Q14" s="101">
        <v>6369.5</v>
      </c>
      <c r="R14" s="17">
        <f>+Q14</f>
        <v>6369.5</v>
      </c>
      <c r="S14" s="16">
        <v>6398</v>
      </c>
      <c r="T14" s="16">
        <v>6460.8</v>
      </c>
      <c r="U14" s="101">
        <v>6408.2</v>
      </c>
      <c r="V14" s="101">
        <v>6560.5</v>
      </c>
      <c r="W14" s="17">
        <f>+V14</f>
        <v>6560.5</v>
      </c>
      <c r="X14" s="101">
        <v>6699.5</v>
      </c>
      <c r="Y14" s="101">
        <v>6818.6</v>
      </c>
      <c r="Z14" s="16">
        <f>+Y14-'CFS (Base)'!Z25-'CFS (Base)'!Z7</f>
        <v>7187.0502974901083</v>
      </c>
      <c r="AA14" s="16">
        <f>+Z14-'CFS (Base)'!AA25-'CFS (Base)'!AA7</f>
        <v>7553.0892019324529</v>
      </c>
      <c r="AB14" s="17">
        <f>+AA14</f>
        <v>7553.0892019324529</v>
      </c>
      <c r="AC14" s="16">
        <f>+AA14-'CFS (Base)'!AC25-'CFS (Base)'!AC7</f>
        <v>7823.4894743022815</v>
      </c>
      <c r="AD14" s="16">
        <f>+AC14-'CFS (Base)'!AD25-'CFS (Base)'!AD7</f>
        <v>8064.8446414659729</v>
      </c>
      <c r="AE14" s="16">
        <f>+AD14-'CFS (Base)'!AE25-'CFS (Base)'!AE7</f>
        <v>8336.7643391826859</v>
      </c>
      <c r="AF14" s="16">
        <f>+AE14-'CFS (Base)'!AF25-'CFS (Base)'!AF7</f>
        <v>8603.860882364479</v>
      </c>
      <c r="AG14" s="17">
        <f>+AF14</f>
        <v>8603.860882364479</v>
      </c>
      <c r="AH14" s="16">
        <f>+AF14-'CFS (Base)'!AH25-'CFS (Base)'!AH7</f>
        <v>8813.3732456046782</v>
      </c>
      <c r="AI14" s="16">
        <f>+AH14-'CFS (Base)'!AI25-'CFS (Base)'!AI7</f>
        <v>9000.6003363688378</v>
      </c>
      <c r="AJ14" s="16">
        <f>+AI14-'CFS (Base)'!AJ25-'CFS (Base)'!AJ7</f>
        <v>9222.9650597649907</v>
      </c>
      <c r="AK14" s="16">
        <f>+AJ14-'CFS (Base)'!AK25-'CFS (Base)'!AK7</f>
        <v>9442.7714243229439</v>
      </c>
      <c r="AL14" s="17">
        <f>+AK14</f>
        <v>9442.7714243229439</v>
      </c>
      <c r="AM14" s="16">
        <f>+AK14-'CFS (Base)'!AM25-'CFS (Base)'!AM7</f>
        <v>9672.4587109382228</v>
      </c>
      <c r="AN14" s="16">
        <f>+AM14-'CFS (Base)'!AN25-'CFS (Base)'!AN7</f>
        <v>9875.8234267755652</v>
      </c>
      <c r="AO14" s="16">
        <f>+AN14-'CFS (Base)'!AO25-'CFS (Base)'!AO7</f>
        <v>10115.023258843255</v>
      </c>
      <c r="AP14" s="16">
        <f>+AO14-'CFS (Base)'!AP25-'CFS (Base)'!AP7</f>
        <v>10348.669912244626</v>
      </c>
      <c r="AQ14" s="17">
        <f>+AP14</f>
        <v>10348.669912244626</v>
      </c>
      <c r="AR14" s="16">
        <f>+AP14-'CFS (Base)'!AR25-'CFS (Base)'!AR7</f>
        <v>10576.699889656849</v>
      </c>
      <c r="AS14" s="16">
        <f>+AR14-'CFS (Base)'!AS25-'CFS (Base)'!AS7</f>
        <v>10777.60385563847</v>
      </c>
      <c r="AT14" s="16">
        <f>+AS14-'CFS (Base)'!AT25-'CFS (Base)'!AT7</f>
        <v>11017.326151925208</v>
      </c>
      <c r="AU14" s="16">
        <f>+AT14-'CFS (Base)'!AU25-'CFS (Base)'!AU7</f>
        <v>11251.848498306628</v>
      </c>
      <c r="AV14" s="17">
        <f>+AU14</f>
        <v>11251.848498306628</v>
      </c>
    </row>
    <row r="15" spans="1:48" s="8" customFormat="1" outlineLevel="1" x14ac:dyDescent="0.3">
      <c r="A15" s="161"/>
      <c r="B15" s="200" t="s">
        <v>221</v>
      </c>
      <c r="C15" s="206"/>
      <c r="D15" s="16">
        <v>0</v>
      </c>
      <c r="E15" s="16">
        <v>0</v>
      </c>
      <c r="F15" s="16">
        <v>0</v>
      </c>
      <c r="G15" s="16">
        <v>0</v>
      </c>
      <c r="H15" s="17">
        <f t="shared" si="1"/>
        <v>0</v>
      </c>
      <c r="I15" s="16">
        <v>8358.5</v>
      </c>
      <c r="J15" s="16">
        <v>8260.7999999999993</v>
      </c>
      <c r="K15" s="16">
        <v>8214</v>
      </c>
      <c r="L15" s="101">
        <v>8134.1</v>
      </c>
      <c r="M15" s="17">
        <f>L15</f>
        <v>8134.1</v>
      </c>
      <c r="N15" s="16">
        <v>8199.4</v>
      </c>
      <c r="O15" s="16">
        <v>8036.8</v>
      </c>
      <c r="P15" s="16">
        <v>8065.2</v>
      </c>
      <c r="Q15" s="101">
        <v>8236</v>
      </c>
      <c r="R15" s="17">
        <f>Q15</f>
        <v>8236</v>
      </c>
      <c r="S15" s="16">
        <v>8203.4</v>
      </c>
      <c r="T15" s="16">
        <v>8170.2</v>
      </c>
      <c r="U15" s="101">
        <v>8037.1</v>
      </c>
      <c r="V15" s="101">
        <v>8015.6</v>
      </c>
      <c r="W15" s="17">
        <f>V15</f>
        <v>8015.6</v>
      </c>
      <c r="X15" s="101">
        <v>8133.8</v>
      </c>
      <c r="Y15" s="101">
        <v>8251.6</v>
      </c>
      <c r="Z15" s="33">
        <f>Y15*0.996</f>
        <v>8218.5936000000002</v>
      </c>
      <c r="AA15" s="33">
        <f>Z15*0.996</f>
        <v>8185.7192255999998</v>
      </c>
      <c r="AB15" s="17">
        <f>AA15</f>
        <v>8185.7192255999998</v>
      </c>
      <c r="AC15" s="33">
        <f>AA15*0.996</f>
        <v>8152.9763486975999</v>
      </c>
      <c r="AD15" s="33">
        <f>AC15*0.996</f>
        <v>8120.3644433028094</v>
      </c>
      <c r="AE15" s="33">
        <f>AD15*0.996</f>
        <v>8087.882985529598</v>
      </c>
      <c r="AF15" s="33">
        <f>AE15*0.996</f>
        <v>8055.5314535874795</v>
      </c>
      <c r="AG15" s="17">
        <f>AF15</f>
        <v>8055.5314535874795</v>
      </c>
      <c r="AH15" s="33">
        <f>AF15*0.996</f>
        <v>8023.3093277731296</v>
      </c>
      <c r="AI15" s="33">
        <f>AH15*0.996</f>
        <v>7991.2160904620368</v>
      </c>
      <c r="AJ15" s="33">
        <f>AI15*0.996</f>
        <v>7959.2512261001884</v>
      </c>
      <c r="AK15" s="33">
        <f>AJ15*0.996</f>
        <v>7927.4142211957878</v>
      </c>
      <c r="AL15" s="17">
        <f>AK15</f>
        <v>7927.4142211957878</v>
      </c>
      <c r="AM15" s="33">
        <f>AK15*0.996</f>
        <v>7895.704564311005</v>
      </c>
      <c r="AN15" s="33">
        <f>AM15*0.996</f>
        <v>7864.1217460537609</v>
      </c>
      <c r="AO15" s="33">
        <f>AN15*0.996</f>
        <v>7832.6652590695458</v>
      </c>
      <c r="AP15" s="33">
        <f>AO15*0.996</f>
        <v>7801.3345980332679</v>
      </c>
      <c r="AQ15" s="17">
        <f>AP15</f>
        <v>7801.3345980332679</v>
      </c>
      <c r="AR15" s="33">
        <f>AP15*0.996</f>
        <v>7770.1292596411349</v>
      </c>
      <c r="AS15" s="33">
        <f>AR15*0.996</f>
        <v>7739.0487426025702</v>
      </c>
      <c r="AT15" s="33">
        <f>AS15*0.996</f>
        <v>7708.0925476321599</v>
      </c>
      <c r="AU15" s="33">
        <f>AT15*0.996</f>
        <v>7677.2601774416316</v>
      </c>
      <c r="AV15" s="17">
        <f>AU15</f>
        <v>7677.2601774416316</v>
      </c>
    </row>
    <row r="16" spans="1:48" s="8" customFormat="1" outlineLevel="1" x14ac:dyDescent="0.3">
      <c r="A16" s="161"/>
      <c r="B16" s="200" t="s">
        <v>222</v>
      </c>
      <c r="C16" s="206"/>
      <c r="D16" s="16">
        <v>650</v>
      </c>
      <c r="E16" s="16">
        <v>1006.6</v>
      </c>
      <c r="F16" s="16">
        <v>1533</v>
      </c>
      <c r="G16" s="16">
        <v>1765.8</v>
      </c>
      <c r="H16" s="17">
        <f t="shared" si="1"/>
        <v>1765.8</v>
      </c>
      <c r="I16" s="16">
        <v>1731.4</v>
      </c>
      <c r="J16" s="16">
        <v>1709.7</v>
      </c>
      <c r="K16" s="16">
        <v>1740</v>
      </c>
      <c r="L16" s="101">
        <v>1789.9</v>
      </c>
      <c r="M16" s="17">
        <f>+L16</f>
        <v>1789.9</v>
      </c>
      <c r="N16" s="16">
        <v>1792.4</v>
      </c>
      <c r="O16" s="16">
        <v>1770</v>
      </c>
      <c r="P16" s="16">
        <v>1851</v>
      </c>
      <c r="Q16" s="101">
        <v>1874.8</v>
      </c>
      <c r="R16" s="17">
        <f>+Q16</f>
        <v>1874.8</v>
      </c>
      <c r="S16" s="16">
        <v>1859.7</v>
      </c>
      <c r="T16" s="16">
        <v>1809.4</v>
      </c>
      <c r="U16" s="101">
        <v>1752.9</v>
      </c>
      <c r="V16" s="101">
        <v>1799.7</v>
      </c>
      <c r="W16" s="169">
        <f>+V16</f>
        <v>1799.7</v>
      </c>
      <c r="X16" s="101">
        <v>1811.8</v>
      </c>
      <c r="Y16" s="101">
        <v>1811.1</v>
      </c>
      <c r="Z16" s="101">
        <f>Z55*(Z27+Z33)</f>
        <v>1762.1966058302887</v>
      </c>
      <c r="AA16" s="101">
        <f>AA55*(AA27+AA33)</f>
        <v>1759.615148633706</v>
      </c>
      <c r="AB16" s="169">
        <f>+AA16</f>
        <v>1759.615148633706</v>
      </c>
      <c r="AC16" s="101">
        <f>AC55*(AC27+AC33)</f>
        <v>1861.1567918113735</v>
      </c>
      <c r="AD16" s="101">
        <f>AD55*(AD27+AD33)</f>
        <v>1790.3141738026975</v>
      </c>
      <c r="AE16" s="101">
        <f>AE55*(AE27+AE33)</f>
        <v>1772.5649229726114</v>
      </c>
      <c r="AF16" s="101">
        <f>AF55*(AF27+AF33)</f>
        <v>1762.753246307303</v>
      </c>
      <c r="AG16" s="169">
        <f>+AF16</f>
        <v>1762.753246307303</v>
      </c>
      <c r="AH16" s="101">
        <f>AH55*(AH27+AH33)</f>
        <v>1882.6936964533261</v>
      </c>
      <c r="AI16" s="101">
        <f>AI55*(AI27+AI33)</f>
        <v>1794.8592168251187</v>
      </c>
      <c r="AJ16" s="101">
        <f>AJ55*(AJ27+AJ33)</f>
        <v>1782.4063881796615</v>
      </c>
      <c r="AK16" s="101">
        <f>AK55*(AK27+AK33)</f>
        <v>1771.4207938822392</v>
      </c>
      <c r="AL16" s="169">
        <f>+AK16</f>
        <v>1771.4207938822392</v>
      </c>
      <c r="AM16" s="101">
        <f>AM55*(AM27+AM33)</f>
        <v>1902.6729826289045</v>
      </c>
      <c r="AN16" s="101">
        <f>AN55*(AN27+AN33)</f>
        <v>1806.7280991095408</v>
      </c>
      <c r="AO16" s="101">
        <f>AO55*(AO27+AO33)</f>
        <v>1794.9739252365641</v>
      </c>
      <c r="AP16" s="101">
        <f>AP55*(AP27+AP33)</f>
        <v>1783.5436505011007</v>
      </c>
      <c r="AQ16" s="169">
        <f>+AP16</f>
        <v>1783.5436505011007</v>
      </c>
      <c r="AR16" s="101">
        <f>AR55*(AR27+AR33)</f>
        <v>1926.3696533571735</v>
      </c>
      <c r="AS16" s="101">
        <f>AS55*(AS27+AS33)</f>
        <v>1822.9709280670465</v>
      </c>
      <c r="AT16" s="101">
        <f>AT55*(AT27+AT33)</f>
        <v>1811.0807609468272</v>
      </c>
      <c r="AU16" s="101">
        <f>AU55*(AU27+AU33)</f>
        <v>1799.3168340177963</v>
      </c>
      <c r="AV16" s="17">
        <f>+AU16</f>
        <v>1799.3168340177963</v>
      </c>
    </row>
    <row r="17" spans="1:48" s="8" customFormat="1" outlineLevel="1" x14ac:dyDescent="0.3">
      <c r="A17" s="161"/>
      <c r="B17" s="200" t="s">
        <v>223</v>
      </c>
      <c r="C17" s="206"/>
      <c r="D17" s="16">
        <v>472.7</v>
      </c>
      <c r="E17" s="16">
        <v>464.5</v>
      </c>
      <c r="F17" s="16">
        <v>458</v>
      </c>
      <c r="G17" s="16">
        <v>479.6</v>
      </c>
      <c r="H17" s="17">
        <f t="shared" si="1"/>
        <v>479.6</v>
      </c>
      <c r="I17" s="16">
        <v>484.7</v>
      </c>
      <c r="J17" s="16">
        <v>580.1</v>
      </c>
      <c r="K17" s="16">
        <v>550.79999999999995</v>
      </c>
      <c r="L17" s="101">
        <v>568.6</v>
      </c>
      <c r="M17" s="17">
        <f>+L17</f>
        <v>568.6</v>
      </c>
      <c r="N17" s="16">
        <v>541.1</v>
      </c>
      <c r="O17" s="16">
        <v>574.9</v>
      </c>
      <c r="P17" s="16">
        <v>586.29999999999995</v>
      </c>
      <c r="Q17" s="101">
        <v>578.5</v>
      </c>
      <c r="R17" s="17">
        <f>+Q17</f>
        <v>578.5</v>
      </c>
      <c r="S17" s="16">
        <v>588</v>
      </c>
      <c r="T17" s="16">
        <v>582.79999999999995</v>
      </c>
      <c r="U17" s="101">
        <v>640.70000000000005</v>
      </c>
      <c r="V17" s="101">
        <v>554.20000000000005</v>
      </c>
      <c r="W17" s="17">
        <f>+V17</f>
        <v>554.20000000000005</v>
      </c>
      <c r="X17" s="101">
        <v>527.6</v>
      </c>
      <c r="Y17" s="101">
        <v>526.70000000000005</v>
      </c>
      <c r="Z17" s="33">
        <f>+Y17*(Z42/Y42)</f>
        <v>535.95708511763667</v>
      </c>
      <c r="AA17" s="33">
        <f>+Z17*(AA42/Z42)</f>
        <v>539.9870002745057</v>
      </c>
      <c r="AB17" s="17">
        <f>+AA17</f>
        <v>539.9870002745057</v>
      </c>
      <c r="AC17" s="33">
        <f>+AA17*(AC42/AA42)</f>
        <v>557.38088039290881</v>
      </c>
      <c r="AD17" s="33">
        <f>+AC17*(AD42/AC42)</f>
        <v>557.45160141589326</v>
      </c>
      <c r="AE17" s="33">
        <f>+AD17*(AE42/AD42)</f>
        <v>568.80700794378424</v>
      </c>
      <c r="AF17" s="33">
        <f>+AE17*(AF42/AE42)</f>
        <v>574.75697136788551</v>
      </c>
      <c r="AG17" s="17">
        <f>+AF17</f>
        <v>574.75697136788551</v>
      </c>
      <c r="AH17" s="33">
        <f>+AF17*(AH42/AF42)</f>
        <v>595.10887983219232</v>
      </c>
      <c r="AI17" s="33">
        <f>+AH17*(AI42/AH42)</f>
        <v>598.08779738076771</v>
      </c>
      <c r="AJ17" s="33">
        <f>+AI17*(AJ42/AI42)</f>
        <v>628.71649400408694</v>
      </c>
      <c r="AK17" s="33">
        <f>+AJ17*(AK42/AJ42)</f>
        <v>536.14969011945516</v>
      </c>
      <c r="AL17" s="17">
        <f>+AK17</f>
        <v>536.14969011945516</v>
      </c>
      <c r="AM17" s="33">
        <f>+AK17*(AM42/AK42)</f>
        <v>554.79831178409029</v>
      </c>
      <c r="AN17" s="33">
        <f>+AM17*(AN42/AM42)</f>
        <v>537.15077114395444</v>
      </c>
      <c r="AO17" s="33">
        <f>+AN17*(AO42/AN42)</f>
        <v>552.95616349633042</v>
      </c>
      <c r="AP17" s="33">
        <f>+AO17*(AP42/AO42)</f>
        <v>561.49085882287045</v>
      </c>
      <c r="AQ17" s="17">
        <f>+AP17</f>
        <v>561.49085882287045</v>
      </c>
      <c r="AR17" s="33">
        <f>+AP17*(AR42/AP42)</f>
        <v>583.32076507831766</v>
      </c>
      <c r="AS17" s="33">
        <f>+AR17*(AS42/AR42)</f>
        <v>585.70580418921702</v>
      </c>
      <c r="AT17" s="33">
        <f>+AS17*(AT42/AS42)</f>
        <v>603.47051133482614</v>
      </c>
      <c r="AU17" s="33">
        <f>+AT17*(AU42/AT42)</f>
        <v>613.7561076218177</v>
      </c>
      <c r="AV17" s="17">
        <f>+AU17</f>
        <v>613.7561076218177</v>
      </c>
    </row>
    <row r="18" spans="1:48" s="8" customFormat="1" outlineLevel="1" x14ac:dyDescent="0.3">
      <c r="A18" s="161"/>
      <c r="B18" s="200" t="s">
        <v>224</v>
      </c>
      <c r="C18" s="206"/>
      <c r="D18" s="16">
        <v>981.6</v>
      </c>
      <c r="E18" s="16">
        <v>918.3</v>
      </c>
      <c r="F18" s="16">
        <v>853.2</v>
      </c>
      <c r="G18" s="16">
        <v>781.8</v>
      </c>
      <c r="H18" s="17">
        <f t="shared" si="1"/>
        <v>781.8</v>
      </c>
      <c r="I18" s="16">
        <v>739.1</v>
      </c>
      <c r="J18" s="16">
        <v>678.7</v>
      </c>
      <c r="K18" s="16">
        <v>599.6</v>
      </c>
      <c r="L18" s="101">
        <v>552.1</v>
      </c>
      <c r="M18" s="17">
        <f>+L18</f>
        <v>552.1</v>
      </c>
      <c r="N18" s="16">
        <v>506.4</v>
      </c>
      <c r="O18" s="16">
        <v>444.3</v>
      </c>
      <c r="P18" s="16">
        <v>398</v>
      </c>
      <c r="Q18" s="101">
        <v>349.9</v>
      </c>
      <c r="R18" s="17">
        <f>+Q18</f>
        <v>349.9</v>
      </c>
      <c r="S18" s="16">
        <v>302.5</v>
      </c>
      <c r="T18" s="16">
        <v>254.7</v>
      </c>
      <c r="U18" s="101">
        <v>203.4</v>
      </c>
      <c r="V18" s="101">
        <v>155.9</v>
      </c>
      <c r="W18" s="17">
        <f>+V18</f>
        <v>155.9</v>
      </c>
      <c r="X18" s="101">
        <v>151.4</v>
      </c>
      <c r="Y18" s="101">
        <v>130.80000000000001</v>
      </c>
      <c r="Z18" s="33">
        <f>+Y18*0.92</f>
        <v>120.33600000000001</v>
      </c>
      <c r="AA18" s="33">
        <f>+Z18*0.92</f>
        <v>110.70912000000001</v>
      </c>
      <c r="AB18" s="17">
        <f>+AA18</f>
        <v>110.70912000000001</v>
      </c>
      <c r="AC18" s="33">
        <f>+AA18*0.92</f>
        <v>101.85239040000002</v>
      </c>
      <c r="AD18" s="33">
        <f>+AC18*0.92</f>
        <v>93.704199168000017</v>
      </c>
      <c r="AE18" s="33">
        <f>+AD18*0.92</f>
        <v>86.207863234560023</v>
      </c>
      <c r="AF18" s="33">
        <f>+AE18*0.92</f>
        <v>79.311234175795221</v>
      </c>
      <c r="AG18" s="17">
        <f>+AF18</f>
        <v>79.311234175795221</v>
      </c>
      <c r="AH18" s="33">
        <f>+AF18*0.92</f>
        <v>72.966335441731601</v>
      </c>
      <c r="AI18" s="33">
        <f>+AH18*0.92</f>
        <v>67.129028606393078</v>
      </c>
      <c r="AJ18" s="33">
        <f>+AI18*0.92</f>
        <v>61.758706317881632</v>
      </c>
      <c r="AK18" s="33">
        <f>+AJ18*0.92</f>
        <v>56.818009812451102</v>
      </c>
      <c r="AL18" s="17">
        <f>+AK18</f>
        <v>56.818009812451102</v>
      </c>
      <c r="AM18" s="33">
        <f>+AK18*0.92</f>
        <v>52.272569027455013</v>
      </c>
      <c r="AN18" s="33">
        <f>+AM18*0.92</f>
        <v>48.090763505258614</v>
      </c>
      <c r="AO18" s="33">
        <f>+AN18*0.92</f>
        <v>44.243502424837928</v>
      </c>
      <c r="AP18" s="33">
        <f>+AO18*0.92</f>
        <v>40.704022230850896</v>
      </c>
      <c r="AQ18" s="17">
        <f>+AP18</f>
        <v>40.704022230850896</v>
      </c>
      <c r="AR18" s="33">
        <f>+AP18*0.92</f>
        <v>37.447700452382826</v>
      </c>
      <c r="AS18" s="33">
        <f>+AR18*0.92</f>
        <v>34.4518844161922</v>
      </c>
      <c r="AT18" s="33">
        <f>+AS18*0.92</f>
        <v>31.695733662896824</v>
      </c>
      <c r="AU18" s="33">
        <f>+AT18*0.92</f>
        <v>29.160074969865079</v>
      </c>
      <c r="AV18" s="17">
        <f>+AU18</f>
        <v>29.160074969865079</v>
      </c>
    </row>
    <row r="19" spans="1:48" ht="16.2" outlineLevel="1" x14ac:dyDescent="0.45">
      <c r="A19" s="161"/>
      <c r="B19" s="580" t="s">
        <v>225</v>
      </c>
      <c r="C19" s="581"/>
      <c r="D19" s="260">
        <v>3560.3</v>
      </c>
      <c r="E19" s="260">
        <v>3603.5</v>
      </c>
      <c r="F19" s="260">
        <v>3564.7</v>
      </c>
      <c r="G19" s="260">
        <v>3490.8</v>
      </c>
      <c r="H19" s="261">
        <f>G19</f>
        <v>3490.8</v>
      </c>
      <c r="I19" s="260">
        <v>3515.9</v>
      </c>
      <c r="J19" s="260">
        <v>3493</v>
      </c>
      <c r="K19" s="260">
        <v>3510.1</v>
      </c>
      <c r="L19" s="112">
        <v>3597.2</v>
      </c>
      <c r="M19" s="261">
        <f>L19</f>
        <v>3597.2</v>
      </c>
      <c r="N19" s="260">
        <v>3706.8</v>
      </c>
      <c r="O19" s="260">
        <v>3658.9</v>
      </c>
      <c r="P19" s="260">
        <v>3672</v>
      </c>
      <c r="Q19" s="112">
        <v>3677.3</v>
      </c>
      <c r="R19" s="261">
        <f>Q19</f>
        <v>3677.3</v>
      </c>
      <c r="S19" s="260">
        <v>3675.7</v>
      </c>
      <c r="T19" s="260">
        <v>3646.1</v>
      </c>
      <c r="U19" s="112">
        <v>3451.2</v>
      </c>
      <c r="V19" s="112">
        <v>3283.5</v>
      </c>
      <c r="W19" s="261">
        <f>V19</f>
        <v>3283.5</v>
      </c>
      <c r="X19" s="112">
        <v>3383</v>
      </c>
      <c r="Y19" s="112">
        <v>3412.3</v>
      </c>
      <c r="Z19" s="32">
        <f>+Y19</f>
        <v>3412.3</v>
      </c>
      <c r="AA19" s="32">
        <f>+Z19</f>
        <v>3412.3</v>
      </c>
      <c r="AB19" s="261">
        <f>AA19</f>
        <v>3412.3</v>
      </c>
      <c r="AC19" s="32">
        <f>+AA19</f>
        <v>3412.3</v>
      </c>
      <c r="AD19" s="32">
        <f>+AC19</f>
        <v>3412.3</v>
      </c>
      <c r="AE19" s="32">
        <f>+AD19</f>
        <v>3412.3</v>
      </c>
      <c r="AF19" s="32">
        <f>+AE19</f>
        <v>3412.3</v>
      </c>
      <c r="AG19" s="261">
        <f>AF19</f>
        <v>3412.3</v>
      </c>
      <c r="AH19" s="32">
        <f>+AF19</f>
        <v>3412.3</v>
      </c>
      <c r="AI19" s="32">
        <f>+AH19</f>
        <v>3412.3</v>
      </c>
      <c r="AJ19" s="32">
        <f>+AI19</f>
        <v>3412.3</v>
      </c>
      <c r="AK19" s="32">
        <f>+AJ19</f>
        <v>3412.3</v>
      </c>
      <c r="AL19" s="261">
        <f>AK19</f>
        <v>3412.3</v>
      </c>
      <c r="AM19" s="32">
        <f>+AK19</f>
        <v>3412.3</v>
      </c>
      <c r="AN19" s="32">
        <f>+AM19</f>
        <v>3412.3</v>
      </c>
      <c r="AO19" s="32">
        <f>+AN19</f>
        <v>3412.3</v>
      </c>
      <c r="AP19" s="32">
        <f>+AO19</f>
        <v>3412.3</v>
      </c>
      <c r="AQ19" s="261">
        <f>AP19</f>
        <v>3412.3</v>
      </c>
      <c r="AR19" s="32">
        <f>+AP19</f>
        <v>3412.3</v>
      </c>
      <c r="AS19" s="32">
        <f>+AR19</f>
        <v>3412.3</v>
      </c>
      <c r="AT19" s="32">
        <f>+AS19</f>
        <v>3412.3</v>
      </c>
      <c r="AU19" s="32">
        <f>+AT19</f>
        <v>3412.3</v>
      </c>
      <c r="AV19" s="261">
        <f>AU19</f>
        <v>3412.3</v>
      </c>
    </row>
    <row r="20" spans="1:48" outlineLevel="1" x14ac:dyDescent="0.3">
      <c r="A20" s="161"/>
      <c r="B20" s="619" t="s">
        <v>226</v>
      </c>
      <c r="C20" s="620"/>
      <c r="D20" s="21">
        <f t="shared" ref="D20:AV20" si="2">+SUM(D11:D19)</f>
        <v>19981.3</v>
      </c>
      <c r="E20" s="21">
        <f t="shared" si="2"/>
        <v>17641.900000000001</v>
      </c>
      <c r="F20" s="21">
        <f t="shared" si="2"/>
        <v>20894.500000000004</v>
      </c>
      <c r="G20" s="21">
        <f t="shared" si="2"/>
        <v>19219.400000000001</v>
      </c>
      <c r="H20" s="22">
        <f t="shared" si="2"/>
        <v>19219.400000000001</v>
      </c>
      <c r="I20" s="21">
        <f t="shared" si="2"/>
        <v>27731.300000000007</v>
      </c>
      <c r="J20" s="21">
        <f t="shared" si="2"/>
        <v>27478.9</v>
      </c>
      <c r="K20" s="21">
        <f t="shared" si="2"/>
        <v>29140.600000000002</v>
      </c>
      <c r="L20" s="21">
        <f t="shared" si="2"/>
        <v>29374.500000000004</v>
      </c>
      <c r="M20" s="22">
        <f t="shared" si="2"/>
        <v>29374.500000000004</v>
      </c>
      <c r="N20" s="21">
        <f t="shared" si="2"/>
        <v>29968.30000000001</v>
      </c>
      <c r="O20" s="21">
        <f t="shared" si="2"/>
        <v>28371.600000000013</v>
      </c>
      <c r="P20" s="21">
        <f t="shared" si="2"/>
        <v>29476.800000000007</v>
      </c>
      <c r="Q20" s="21">
        <f t="shared" si="2"/>
        <v>31392.600000000009</v>
      </c>
      <c r="R20" s="22">
        <f t="shared" si="2"/>
        <v>31392.600000000009</v>
      </c>
      <c r="S20" s="21">
        <f t="shared" si="2"/>
        <v>28833.900000000009</v>
      </c>
      <c r="T20" s="21">
        <f t="shared" si="2"/>
        <v>29021.500000000007</v>
      </c>
      <c r="U20" s="21">
        <f t="shared" si="2"/>
        <v>28156.200000000012</v>
      </c>
      <c r="V20" s="21">
        <f t="shared" si="2"/>
        <v>27978.30000000001</v>
      </c>
      <c r="W20" s="22">
        <f t="shared" si="2"/>
        <v>27978.30000000001</v>
      </c>
      <c r="X20" s="21">
        <f>+SUM(X11:X19)</f>
        <v>28256.000000000007</v>
      </c>
      <c r="Y20" s="21">
        <f t="shared" si="2"/>
        <v>28608.900000000005</v>
      </c>
      <c r="Z20" s="21">
        <f t="shared" si="2"/>
        <v>29111.721241941275</v>
      </c>
      <c r="AA20" s="21">
        <f t="shared" si="2"/>
        <v>29330.615949977859</v>
      </c>
      <c r="AB20" s="22">
        <f t="shared" si="2"/>
        <v>29330.615949977859</v>
      </c>
      <c r="AC20" s="21">
        <f t="shared" si="2"/>
        <v>30275.407133398017</v>
      </c>
      <c r="AD20" s="21">
        <f t="shared" si="2"/>
        <v>30279.248518905057</v>
      </c>
      <c r="AE20" s="21">
        <f t="shared" si="2"/>
        <v>30896.045225486465</v>
      </c>
      <c r="AF20" s="21">
        <f t="shared" si="2"/>
        <v>31219.232055940436</v>
      </c>
      <c r="AG20" s="22">
        <f t="shared" si="2"/>
        <v>31219.232055940436</v>
      </c>
      <c r="AH20" s="21">
        <f t="shared" si="2"/>
        <v>32324.695790999023</v>
      </c>
      <c r="AI20" s="21">
        <f t="shared" si="2"/>
        <v>32486.502990822817</v>
      </c>
      <c r="AJ20" s="21">
        <f t="shared" si="2"/>
        <v>34150.175635015978</v>
      </c>
      <c r="AK20" s="21">
        <f t="shared" si="2"/>
        <v>29122.183054162691</v>
      </c>
      <c r="AL20" s="22">
        <f t="shared" si="2"/>
        <v>29122.183054162691</v>
      </c>
      <c r="AM20" s="21">
        <f t="shared" si="2"/>
        <v>30135.128596603448</v>
      </c>
      <c r="AN20" s="21">
        <f t="shared" si="2"/>
        <v>29176.55922091777</v>
      </c>
      <c r="AO20" s="21">
        <f t="shared" si="2"/>
        <v>30035.067802290698</v>
      </c>
      <c r="AP20" s="21">
        <f t="shared" si="2"/>
        <v>30498.650674128516</v>
      </c>
      <c r="AQ20" s="22">
        <f t="shared" si="2"/>
        <v>30498.650674128516</v>
      </c>
      <c r="AR20" s="21">
        <f t="shared" si="2"/>
        <v>31684.395477739854</v>
      </c>
      <c r="AS20" s="21">
        <f t="shared" si="2"/>
        <v>31813.944716250808</v>
      </c>
      <c r="AT20" s="21">
        <f t="shared" si="2"/>
        <v>32778.878277535667</v>
      </c>
      <c r="AU20" s="21">
        <f t="shared" si="2"/>
        <v>33337.565621706053</v>
      </c>
      <c r="AV20" s="22">
        <f t="shared" si="2"/>
        <v>33337.565621706053</v>
      </c>
    </row>
    <row r="21" spans="1:48" ht="17.399999999999999" x14ac:dyDescent="0.45">
      <c r="A21" s="161"/>
      <c r="B21" s="583" t="s">
        <v>227</v>
      </c>
      <c r="C21" s="584"/>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4" t="s">
        <v>408</v>
      </c>
      <c r="Y21" s="14" t="s">
        <v>452</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580" t="s">
        <v>228</v>
      </c>
      <c r="C22" s="581"/>
      <c r="D22" s="101">
        <v>1100.5</v>
      </c>
      <c r="E22" s="101">
        <v>1096.7</v>
      </c>
      <c r="F22" s="101">
        <v>1145.4000000000001</v>
      </c>
      <c r="G22" s="101">
        <v>1189.7</v>
      </c>
      <c r="H22" s="169">
        <f t="shared" ref="H22:H29" si="3">G22</f>
        <v>1189.7</v>
      </c>
      <c r="I22" s="101">
        <v>1085.5999999999999</v>
      </c>
      <c r="J22" s="101">
        <v>997.7</v>
      </c>
      <c r="K22" s="101">
        <v>860.8</v>
      </c>
      <c r="L22" s="101">
        <v>997.9</v>
      </c>
      <c r="M22" s="169">
        <f t="shared" ref="M22:M29" si="4">L22</f>
        <v>997.9</v>
      </c>
      <c r="N22" s="101">
        <v>1050.5999999999999</v>
      </c>
      <c r="O22" s="101">
        <v>1033.5999999999999</v>
      </c>
      <c r="P22" s="101">
        <v>1127</v>
      </c>
      <c r="Q22" s="101">
        <v>1211.5999999999999</v>
      </c>
      <c r="R22" s="169">
        <f t="shared" ref="R22:R29" si="5">Q22</f>
        <v>1211.5999999999999</v>
      </c>
      <c r="S22" s="101">
        <v>1289.4000000000001</v>
      </c>
      <c r="T22" s="101">
        <v>1329.5</v>
      </c>
      <c r="U22" s="101">
        <v>1489.8</v>
      </c>
      <c r="V22" s="101">
        <v>1441.4</v>
      </c>
      <c r="W22" s="169">
        <f t="shared" ref="W22:W29" si="6">V22</f>
        <v>1441.4</v>
      </c>
      <c r="X22" s="101">
        <v>1348.2</v>
      </c>
      <c r="Y22" s="101">
        <v>1434</v>
      </c>
      <c r="Z22" s="101">
        <f>('IS (Base)'!Z9/Z51)</f>
        <v>1629.6164890276877</v>
      </c>
      <c r="AA22" s="101">
        <f>('IS (Base)'!AA9/AA51)</f>
        <v>1469.7836796808083</v>
      </c>
      <c r="AB22" s="169">
        <f t="shared" ref="AB22:AB29" si="7">AA22</f>
        <v>1469.7836796808083</v>
      </c>
      <c r="AC22" s="101">
        <f>('IS (Base)'!AC9/AC51)</f>
        <v>1552.8213598199575</v>
      </c>
      <c r="AD22" s="101">
        <f>('IS (Base)'!AD9/AD51)</f>
        <v>1580.1140240296318</v>
      </c>
      <c r="AE22" s="101">
        <f>('IS (Base)'!AE9/AE51)</f>
        <v>1751.7838190426421</v>
      </c>
      <c r="AF22" s="101">
        <f>('IS (Base)'!AF9/AF51)</f>
        <v>1653.4617423450918</v>
      </c>
      <c r="AG22" s="169">
        <f t="shared" ref="AG22:AG29" si="8">AF22</f>
        <v>1653.4617423450918</v>
      </c>
      <c r="AH22" s="101">
        <f>('IS (Base)'!AH9/AH51)</f>
        <v>1703.3535218800077</v>
      </c>
      <c r="AI22" s="101">
        <f>('IS (Base)'!AI9/AI51)</f>
        <v>1751.670706632641</v>
      </c>
      <c r="AJ22" s="101">
        <f>('IS (Base)'!AJ9/AJ51)</f>
        <v>1962.3680082431165</v>
      </c>
      <c r="AK22" s="101">
        <f>('IS (Base)'!AK9/AK51)</f>
        <v>1857.0274487268443</v>
      </c>
      <c r="AL22" s="169">
        <f t="shared" ref="AL22:AL29" si="9">AK22</f>
        <v>1857.0274487268443</v>
      </c>
      <c r="AM22" s="101">
        <f>('IS (Base)'!AM9/AM51)</f>
        <v>1849.6134431843789</v>
      </c>
      <c r="AN22" s="101">
        <f>('IS (Base)'!AN9/AN51)</f>
        <v>1893.830864569388</v>
      </c>
      <c r="AO22" s="101">
        <f>('IS (Base)'!AO9/AO51)</f>
        <v>2114.0196222118761</v>
      </c>
      <c r="AP22" s="101">
        <f>('IS (Base)'!AP9/AP51)</f>
        <v>1990.941929883774</v>
      </c>
      <c r="AQ22" s="169">
        <f t="shared" ref="AQ22:AQ29" si="10">AP22</f>
        <v>1990.941929883774</v>
      </c>
      <c r="AR22" s="101">
        <f>('IS (Base)'!AR9/AR51)</f>
        <v>1982.3613976757224</v>
      </c>
      <c r="AS22" s="101">
        <f>('IS (Base)'!AS9/AS51)</f>
        <v>2022.1581050807752</v>
      </c>
      <c r="AT22" s="101">
        <f>('IS (Base)'!AT9/AT51)</f>
        <v>2242.56021050154</v>
      </c>
      <c r="AU22" s="101">
        <f>('IS (Base)'!AU9/AU51)</f>
        <v>2118.4574360906959</v>
      </c>
      <c r="AV22" s="169">
        <f t="shared" ref="AV22:AV29" si="11">AU22</f>
        <v>2118.4574360906959</v>
      </c>
    </row>
    <row r="23" spans="1:48" outlineLevel="1" x14ac:dyDescent="0.3">
      <c r="A23" s="161"/>
      <c r="B23" s="580" t="s">
        <v>229</v>
      </c>
      <c r="C23" s="581"/>
      <c r="D23" s="101">
        <v>2564</v>
      </c>
      <c r="E23" s="101">
        <v>2569.3000000000002</v>
      </c>
      <c r="F23" s="101">
        <v>3238.7</v>
      </c>
      <c r="G23" s="101">
        <v>1753.7</v>
      </c>
      <c r="H23" s="169">
        <f t="shared" si="3"/>
        <v>1753.7</v>
      </c>
      <c r="I23" s="101">
        <v>1637.8</v>
      </c>
      <c r="J23" s="101">
        <v>1539</v>
      </c>
      <c r="K23" s="101">
        <v>1511.7</v>
      </c>
      <c r="L23" s="101">
        <v>1160.7</v>
      </c>
      <c r="M23" s="169">
        <f t="shared" si="4"/>
        <v>1160.7</v>
      </c>
      <c r="N23" s="101">
        <v>1616.9</v>
      </c>
      <c r="O23" s="101">
        <v>1771.6</v>
      </c>
      <c r="P23" s="101">
        <v>1791.4</v>
      </c>
      <c r="Q23" s="101">
        <v>1973.2</v>
      </c>
      <c r="R23" s="169">
        <f t="shared" si="5"/>
        <v>1973.2</v>
      </c>
      <c r="S23" s="101">
        <v>2444.3000000000002</v>
      </c>
      <c r="T23" s="101">
        <v>2092.4</v>
      </c>
      <c r="U23" s="101">
        <v>2068.9</v>
      </c>
      <c r="V23" s="101">
        <v>2137.1</v>
      </c>
      <c r="W23" s="169">
        <f t="shared" si="6"/>
        <v>2137.1</v>
      </c>
      <c r="X23" s="101">
        <v>2089.6</v>
      </c>
      <c r="Y23" s="101">
        <v>1970</v>
      </c>
      <c r="Z23" s="33">
        <f>Y23</f>
        <v>1970</v>
      </c>
      <c r="AA23" s="33">
        <f>Z23</f>
        <v>1970</v>
      </c>
      <c r="AB23" s="169">
        <f t="shared" si="7"/>
        <v>1970</v>
      </c>
      <c r="AC23" s="33">
        <f>AA23</f>
        <v>1970</v>
      </c>
      <c r="AD23" s="33">
        <f>AC23</f>
        <v>1970</v>
      </c>
      <c r="AE23" s="33">
        <f>AD23</f>
        <v>1970</v>
      </c>
      <c r="AF23" s="33">
        <f>AE23</f>
        <v>1970</v>
      </c>
      <c r="AG23" s="169">
        <f t="shared" si="8"/>
        <v>1970</v>
      </c>
      <c r="AH23" s="33">
        <f>AF23</f>
        <v>1970</v>
      </c>
      <c r="AI23" s="33">
        <f>AH23</f>
        <v>1970</v>
      </c>
      <c r="AJ23" s="33">
        <f>AI23</f>
        <v>1970</v>
      </c>
      <c r="AK23" s="33">
        <f>AJ23</f>
        <v>1970</v>
      </c>
      <c r="AL23" s="169">
        <f t="shared" si="9"/>
        <v>1970</v>
      </c>
      <c r="AM23" s="33">
        <f>AK23</f>
        <v>1970</v>
      </c>
      <c r="AN23" s="33">
        <f>AM23</f>
        <v>1970</v>
      </c>
      <c r="AO23" s="33">
        <f>AN23</f>
        <v>1970</v>
      </c>
      <c r="AP23" s="33">
        <f>AO23</f>
        <v>1970</v>
      </c>
      <c r="AQ23" s="169">
        <f t="shared" si="10"/>
        <v>1970</v>
      </c>
      <c r="AR23" s="33">
        <f>AP23</f>
        <v>1970</v>
      </c>
      <c r="AS23" s="33">
        <f>AR23</f>
        <v>1970</v>
      </c>
      <c r="AT23" s="33">
        <f>AS23</f>
        <v>1970</v>
      </c>
      <c r="AU23" s="33">
        <f>AT23</f>
        <v>1970</v>
      </c>
      <c r="AV23" s="169">
        <f t="shared" si="11"/>
        <v>1970</v>
      </c>
    </row>
    <row r="24" spans="1:48" outlineLevel="1" x14ac:dyDescent="0.3">
      <c r="A24" s="161"/>
      <c r="B24" s="200" t="s">
        <v>230</v>
      </c>
      <c r="C24" s="201"/>
      <c r="D24" s="101">
        <v>0</v>
      </c>
      <c r="E24" s="101">
        <v>0</v>
      </c>
      <c r="F24" s="101">
        <v>0</v>
      </c>
      <c r="G24" s="101">
        <v>664.6</v>
      </c>
      <c r="H24" s="169">
        <f t="shared" si="3"/>
        <v>664.6</v>
      </c>
      <c r="I24" s="101">
        <v>578.5</v>
      </c>
      <c r="J24" s="101">
        <v>596.1</v>
      </c>
      <c r="K24" s="101">
        <v>652.1</v>
      </c>
      <c r="L24" s="101">
        <v>696</v>
      </c>
      <c r="M24" s="169">
        <f t="shared" si="4"/>
        <v>696</v>
      </c>
      <c r="N24" s="101">
        <v>685.3</v>
      </c>
      <c r="O24" s="101">
        <v>646.1</v>
      </c>
      <c r="P24" s="101">
        <v>741</v>
      </c>
      <c r="Q24" s="101">
        <v>772.3</v>
      </c>
      <c r="R24" s="169">
        <f t="shared" si="5"/>
        <v>772.3</v>
      </c>
      <c r="S24" s="101">
        <v>664.1</v>
      </c>
      <c r="T24" s="101">
        <v>665.9</v>
      </c>
      <c r="U24" s="101">
        <v>706.8</v>
      </c>
      <c r="V24" s="101">
        <v>761.7</v>
      </c>
      <c r="W24" s="169">
        <f t="shared" si="6"/>
        <v>761.7</v>
      </c>
      <c r="X24" s="101">
        <v>664.6</v>
      </c>
      <c r="Y24" s="101">
        <v>710.9</v>
      </c>
      <c r="Z24" s="33">
        <f t="shared" ref="Z24:AA25" si="12">Y24</f>
        <v>710.9</v>
      </c>
      <c r="AA24" s="33">
        <f t="shared" si="12"/>
        <v>710.9</v>
      </c>
      <c r="AB24" s="169">
        <f t="shared" si="7"/>
        <v>710.9</v>
      </c>
      <c r="AC24" s="33">
        <f>AA24</f>
        <v>710.9</v>
      </c>
      <c r="AD24" s="33">
        <f t="shared" ref="AD24:AF25" si="13">AC24</f>
        <v>710.9</v>
      </c>
      <c r="AE24" s="33">
        <f t="shared" si="13"/>
        <v>710.9</v>
      </c>
      <c r="AF24" s="33">
        <f t="shared" si="13"/>
        <v>710.9</v>
      </c>
      <c r="AG24" s="169">
        <f t="shared" si="8"/>
        <v>710.9</v>
      </c>
      <c r="AH24" s="33">
        <f>AF24</f>
        <v>710.9</v>
      </c>
      <c r="AI24" s="33">
        <f t="shared" ref="AI24:AK25" si="14">AH24</f>
        <v>710.9</v>
      </c>
      <c r="AJ24" s="33">
        <f t="shared" si="14"/>
        <v>710.9</v>
      </c>
      <c r="AK24" s="33">
        <f t="shared" si="14"/>
        <v>710.9</v>
      </c>
      <c r="AL24" s="169">
        <f t="shared" si="9"/>
        <v>710.9</v>
      </c>
      <c r="AM24" s="33">
        <f>AK24</f>
        <v>710.9</v>
      </c>
      <c r="AN24" s="33">
        <f t="shared" ref="AN24:AP25" si="15">AM24</f>
        <v>710.9</v>
      </c>
      <c r="AO24" s="33">
        <f t="shared" si="15"/>
        <v>710.9</v>
      </c>
      <c r="AP24" s="33">
        <f t="shared" si="15"/>
        <v>710.9</v>
      </c>
      <c r="AQ24" s="169">
        <f t="shared" si="10"/>
        <v>710.9</v>
      </c>
      <c r="AR24" s="33">
        <f>AP24</f>
        <v>710.9</v>
      </c>
      <c r="AS24" s="33">
        <f t="shared" ref="AS24:AU25" si="16">AR24</f>
        <v>710.9</v>
      </c>
      <c r="AT24" s="33">
        <f t="shared" si="16"/>
        <v>710.9</v>
      </c>
      <c r="AU24" s="33">
        <f t="shared" si="16"/>
        <v>710.9</v>
      </c>
      <c r="AV24" s="169">
        <f t="shared" si="11"/>
        <v>710.9</v>
      </c>
    </row>
    <row r="25" spans="1:48" outlineLevel="1" x14ac:dyDescent="0.3">
      <c r="A25" s="161"/>
      <c r="B25" s="200" t="s">
        <v>231</v>
      </c>
      <c r="C25" s="201"/>
      <c r="D25" s="101">
        <v>0</v>
      </c>
      <c r="E25" s="101">
        <v>0</v>
      </c>
      <c r="F25" s="101">
        <v>0</v>
      </c>
      <c r="G25" s="101">
        <v>1291.7</v>
      </c>
      <c r="H25" s="169">
        <f t="shared" si="3"/>
        <v>1291.7</v>
      </c>
      <c r="I25" s="101">
        <v>1414</v>
      </c>
      <c r="J25" s="101">
        <v>86.7</v>
      </c>
      <c r="K25" s="101">
        <v>90.9</v>
      </c>
      <c r="L25" s="101">
        <v>98.2</v>
      </c>
      <c r="M25" s="169">
        <f t="shared" si="4"/>
        <v>98.2</v>
      </c>
      <c r="N25" s="101">
        <v>149.69999999999999</v>
      </c>
      <c r="O25" s="101">
        <v>117</v>
      </c>
      <c r="P25" s="101">
        <v>204.8</v>
      </c>
      <c r="Q25" s="101">
        <v>348</v>
      </c>
      <c r="R25" s="169">
        <f t="shared" si="5"/>
        <v>348</v>
      </c>
      <c r="S25" s="101"/>
      <c r="T25" s="101">
        <f>S25</f>
        <v>0</v>
      </c>
      <c r="U25" s="101">
        <f>T25</f>
        <v>0</v>
      </c>
      <c r="V25" s="101">
        <f>U25</f>
        <v>0</v>
      </c>
      <c r="W25" s="169">
        <f t="shared" si="6"/>
        <v>0</v>
      </c>
      <c r="X25" s="101">
        <v>0</v>
      </c>
      <c r="Y25" s="101">
        <v>0</v>
      </c>
      <c r="Z25" s="33">
        <f t="shared" si="12"/>
        <v>0</v>
      </c>
      <c r="AA25" s="33">
        <f t="shared" si="12"/>
        <v>0</v>
      </c>
      <c r="AB25" s="169">
        <f t="shared" si="7"/>
        <v>0</v>
      </c>
      <c r="AC25" s="33">
        <f>AA25</f>
        <v>0</v>
      </c>
      <c r="AD25" s="33">
        <f t="shared" si="13"/>
        <v>0</v>
      </c>
      <c r="AE25" s="33">
        <f t="shared" si="13"/>
        <v>0</v>
      </c>
      <c r="AF25" s="33">
        <f t="shared" si="13"/>
        <v>0</v>
      </c>
      <c r="AG25" s="169">
        <f t="shared" si="8"/>
        <v>0</v>
      </c>
      <c r="AH25" s="33">
        <f>AF25</f>
        <v>0</v>
      </c>
      <c r="AI25" s="33">
        <f t="shared" si="14"/>
        <v>0</v>
      </c>
      <c r="AJ25" s="33">
        <f t="shared" si="14"/>
        <v>0</v>
      </c>
      <c r="AK25" s="33">
        <f t="shared" si="14"/>
        <v>0</v>
      </c>
      <c r="AL25" s="169">
        <f t="shared" si="9"/>
        <v>0</v>
      </c>
      <c r="AM25" s="33">
        <f>AK25</f>
        <v>0</v>
      </c>
      <c r="AN25" s="33">
        <f t="shared" si="15"/>
        <v>0</v>
      </c>
      <c r="AO25" s="33">
        <f t="shared" si="15"/>
        <v>0</v>
      </c>
      <c r="AP25" s="33">
        <f t="shared" si="15"/>
        <v>0</v>
      </c>
      <c r="AQ25" s="169">
        <f t="shared" si="10"/>
        <v>0</v>
      </c>
      <c r="AR25" s="33">
        <f>AP25</f>
        <v>0</v>
      </c>
      <c r="AS25" s="33">
        <f t="shared" si="16"/>
        <v>0</v>
      </c>
      <c r="AT25" s="33">
        <f t="shared" si="16"/>
        <v>0</v>
      </c>
      <c r="AU25" s="33">
        <f t="shared" si="16"/>
        <v>0</v>
      </c>
      <c r="AV25" s="169">
        <f t="shared" si="11"/>
        <v>0</v>
      </c>
    </row>
    <row r="26" spans="1:48" outlineLevel="1" x14ac:dyDescent="0.3">
      <c r="A26" s="161"/>
      <c r="B26" s="200" t="s">
        <v>232</v>
      </c>
      <c r="C26" s="201"/>
      <c r="D26" s="101">
        <v>0</v>
      </c>
      <c r="E26" s="101">
        <v>0</v>
      </c>
      <c r="F26" s="101">
        <v>0</v>
      </c>
      <c r="G26" s="101">
        <v>0</v>
      </c>
      <c r="H26" s="169">
        <f t="shared" si="3"/>
        <v>0</v>
      </c>
      <c r="I26" s="101">
        <v>1268.9000000000001</v>
      </c>
      <c r="J26" s="101">
        <v>1253.5</v>
      </c>
      <c r="K26" s="101">
        <v>1237.0999999999999</v>
      </c>
      <c r="L26" s="101">
        <v>1248.8</v>
      </c>
      <c r="M26" s="169">
        <f t="shared" si="4"/>
        <v>1248.8</v>
      </c>
      <c r="N26" s="101">
        <v>1267.5999999999999</v>
      </c>
      <c r="O26" s="101">
        <v>1296.4000000000001</v>
      </c>
      <c r="P26" s="101">
        <v>1308.4000000000001</v>
      </c>
      <c r="Q26" s="101">
        <v>1251.3</v>
      </c>
      <c r="R26" s="169">
        <f t="shared" si="5"/>
        <v>1251.3</v>
      </c>
      <c r="S26" s="101">
        <v>1253.3</v>
      </c>
      <c r="T26" s="101">
        <v>1236.3</v>
      </c>
      <c r="U26" s="101">
        <v>1214.8</v>
      </c>
      <c r="V26" s="101">
        <v>1245.7</v>
      </c>
      <c r="W26" s="169">
        <f t="shared" si="6"/>
        <v>1245.7</v>
      </c>
      <c r="X26" s="101">
        <v>1257.5</v>
      </c>
      <c r="Y26" s="101">
        <v>1269.5</v>
      </c>
      <c r="Z26" s="33">
        <f>Y26*0.996</f>
        <v>1264.422</v>
      </c>
      <c r="AA26" s="33">
        <f>Z26*0.996</f>
        <v>1259.3643119999999</v>
      </c>
      <c r="AB26" s="169">
        <f t="shared" si="7"/>
        <v>1259.3643119999999</v>
      </c>
      <c r="AC26" s="33">
        <f>AA26*0.996</f>
        <v>1254.3268547519999</v>
      </c>
      <c r="AD26" s="33">
        <f>AC26*0.996</f>
        <v>1249.309547332992</v>
      </c>
      <c r="AE26" s="33">
        <f>AD26*0.996</f>
        <v>1244.3123091436601</v>
      </c>
      <c r="AF26" s="33">
        <f>AE26*0.996</f>
        <v>1239.3350599070855</v>
      </c>
      <c r="AG26" s="169">
        <f t="shared" si="8"/>
        <v>1239.3350599070855</v>
      </c>
      <c r="AH26" s="33">
        <f>AF26*0.996</f>
        <v>1234.3777196674571</v>
      </c>
      <c r="AI26" s="33">
        <f>AH26*0.996</f>
        <v>1229.4402087887872</v>
      </c>
      <c r="AJ26" s="33">
        <f>AI26*0.996</f>
        <v>1224.5224479536321</v>
      </c>
      <c r="AK26" s="33">
        <f>AJ26*0.996</f>
        <v>1219.6243581618176</v>
      </c>
      <c r="AL26" s="169">
        <f t="shared" si="9"/>
        <v>1219.6243581618176</v>
      </c>
      <c r="AM26" s="33">
        <f>AK26*0.996</f>
        <v>1214.7458607291703</v>
      </c>
      <c r="AN26" s="33">
        <f>AM26*0.996</f>
        <v>1209.8868772862536</v>
      </c>
      <c r="AO26" s="33">
        <f>AN26*0.996</f>
        <v>1205.0473297771086</v>
      </c>
      <c r="AP26" s="33">
        <f>AO26*0.996</f>
        <v>1200.2271404580001</v>
      </c>
      <c r="AQ26" s="169">
        <f t="shared" si="10"/>
        <v>1200.2271404580001</v>
      </c>
      <c r="AR26" s="33">
        <f>AP26*0.996</f>
        <v>1195.426231896168</v>
      </c>
      <c r="AS26" s="33">
        <f>AR26*0.996</f>
        <v>1190.6445269685832</v>
      </c>
      <c r="AT26" s="33">
        <f>AS26*0.996</f>
        <v>1185.8819488607089</v>
      </c>
      <c r="AU26" s="33">
        <f>AT26*0.996</f>
        <v>1181.1384210652661</v>
      </c>
      <c r="AV26" s="169">
        <f t="shared" si="11"/>
        <v>1181.1384210652661</v>
      </c>
    </row>
    <row r="27" spans="1:48" outlineLevel="1" x14ac:dyDescent="0.3">
      <c r="A27" s="161"/>
      <c r="B27" s="200" t="s">
        <v>233</v>
      </c>
      <c r="C27" s="201"/>
      <c r="D27" s="101">
        <v>1554.2</v>
      </c>
      <c r="E27" s="101">
        <v>1311.4</v>
      </c>
      <c r="F27" s="101">
        <v>1300.2</v>
      </c>
      <c r="G27" s="101">
        <v>1269</v>
      </c>
      <c r="H27" s="169">
        <f t="shared" si="3"/>
        <v>1269</v>
      </c>
      <c r="I27" s="101">
        <v>1694.1</v>
      </c>
      <c r="J27" s="101">
        <v>1436.3</v>
      </c>
      <c r="K27" s="101">
        <v>1463.3</v>
      </c>
      <c r="L27" s="101">
        <v>1456.5</v>
      </c>
      <c r="M27" s="169">
        <f t="shared" si="4"/>
        <v>1456.5</v>
      </c>
      <c r="N27" s="101">
        <v>1871.2</v>
      </c>
      <c r="O27" s="101">
        <v>1622.1</v>
      </c>
      <c r="P27" s="101">
        <v>1628.3</v>
      </c>
      <c r="Q27" s="101">
        <v>1596.1</v>
      </c>
      <c r="R27" s="169">
        <f t="shared" si="5"/>
        <v>1596.1</v>
      </c>
      <c r="S27" s="101">
        <v>2070.6999999999998</v>
      </c>
      <c r="T27" s="101">
        <v>1781.6</v>
      </c>
      <c r="U27" s="101">
        <v>1723</v>
      </c>
      <c r="V27" s="101">
        <v>1641.9</v>
      </c>
      <c r="W27" s="169">
        <f t="shared" si="6"/>
        <v>1641.9</v>
      </c>
      <c r="X27" s="101">
        <v>2137</v>
      </c>
      <c r="Y27" s="101">
        <v>1795.9</v>
      </c>
      <c r="Z27" s="33">
        <f>Y27*0.99</f>
        <v>1777.941</v>
      </c>
      <c r="AA27" s="33">
        <f>Z27*0.99</f>
        <v>1760.1615899999999</v>
      </c>
      <c r="AB27" s="169">
        <f t="shared" si="7"/>
        <v>1760.1615899999999</v>
      </c>
      <c r="AC27" s="33">
        <f>AA27*1.3</f>
        <v>2288.210067</v>
      </c>
      <c r="AD27" s="33">
        <f>AC27*0.85</f>
        <v>1944.97855695</v>
      </c>
      <c r="AE27" s="33">
        <f>AD27*0.99</f>
        <v>1925.5287713805001</v>
      </c>
      <c r="AF27" s="33">
        <f>AE27*0.99</f>
        <v>1906.273483666695</v>
      </c>
      <c r="AG27" s="169">
        <f t="shared" si="8"/>
        <v>1906.273483666695</v>
      </c>
      <c r="AH27" s="33">
        <f>AF27*1.3</f>
        <v>2478.1555287667038</v>
      </c>
      <c r="AI27" s="33">
        <f>AH27*0.85</f>
        <v>2106.4321994516981</v>
      </c>
      <c r="AJ27" s="33">
        <f>AI27*0.99</f>
        <v>2085.3678774571813</v>
      </c>
      <c r="AK27" s="33">
        <f>AJ27*0.99</f>
        <v>2064.5141986826093</v>
      </c>
      <c r="AL27" s="169">
        <f t="shared" si="9"/>
        <v>2064.5141986826093</v>
      </c>
      <c r="AM27" s="33">
        <f>AK27*1.3</f>
        <v>2683.8684582873921</v>
      </c>
      <c r="AN27" s="33">
        <f>AM27*0.85</f>
        <v>2281.2881895442833</v>
      </c>
      <c r="AO27" s="33">
        <f>AN27*0.99</f>
        <v>2258.4753076488405</v>
      </c>
      <c r="AP27" s="33">
        <f>AO27*0.99</f>
        <v>2235.8905545723519</v>
      </c>
      <c r="AQ27" s="169">
        <f t="shared" si="10"/>
        <v>2235.8905545723519</v>
      </c>
      <c r="AR27" s="33">
        <f>AP27*1.3</f>
        <v>2906.6577209440575</v>
      </c>
      <c r="AS27" s="33">
        <f>AR27*0.85</f>
        <v>2470.6590628024487</v>
      </c>
      <c r="AT27" s="33">
        <f>AS27*0.99</f>
        <v>2445.9524721744242</v>
      </c>
      <c r="AU27" s="33">
        <f>AT27*0.99</f>
        <v>2421.4929474526798</v>
      </c>
      <c r="AV27" s="169">
        <f t="shared" si="11"/>
        <v>2421.4929474526798</v>
      </c>
    </row>
    <row r="28" spans="1:48" outlineLevel="1" x14ac:dyDescent="0.3">
      <c r="A28" s="161"/>
      <c r="B28" s="200" t="s">
        <v>234</v>
      </c>
      <c r="C28" s="201"/>
      <c r="D28" s="101">
        <v>0</v>
      </c>
      <c r="E28" s="101">
        <f>75+0</f>
        <v>75</v>
      </c>
      <c r="F28" s="101">
        <v>0</v>
      </c>
      <c r="G28" s="101">
        <v>0</v>
      </c>
      <c r="H28" s="169">
        <f t="shared" si="3"/>
        <v>0</v>
      </c>
      <c r="I28" s="101">
        <f>497.9+498.7</f>
        <v>996.59999999999991</v>
      </c>
      <c r="J28" s="101">
        <f>1107.1+1249.4</f>
        <v>2356.5</v>
      </c>
      <c r="K28" s="101">
        <f>936.5+1249.6</f>
        <v>2186.1</v>
      </c>
      <c r="L28" s="101">
        <f>438.8+1249.9</f>
        <v>1688.7</v>
      </c>
      <c r="M28" s="169">
        <f t="shared" si="4"/>
        <v>1688.7</v>
      </c>
      <c r="N28" s="101">
        <f>492.6+750</f>
        <v>1242.5999999999999</v>
      </c>
      <c r="O28" s="101">
        <v>18.3</v>
      </c>
      <c r="P28" s="101">
        <v>998.9</v>
      </c>
      <c r="Q28" s="101">
        <v>998.9</v>
      </c>
      <c r="R28" s="169">
        <f t="shared" si="5"/>
        <v>998.9</v>
      </c>
      <c r="S28" s="101">
        <f>200+999.3</f>
        <v>1199.3</v>
      </c>
      <c r="T28" s="101">
        <v>1998.6</v>
      </c>
      <c r="U28" s="101">
        <f>200+999.1</f>
        <v>1199.0999999999999</v>
      </c>
      <c r="V28" s="101">
        <f>175+1749</f>
        <v>1924</v>
      </c>
      <c r="W28" s="169">
        <f t="shared" si="6"/>
        <v>1924</v>
      </c>
      <c r="X28" s="101">
        <v>1749.3</v>
      </c>
      <c r="Y28" s="101">
        <f>52.8+1888.7</f>
        <v>1941.5</v>
      </c>
      <c r="Z28" s="33">
        <f>Y28-Z59+Z60</f>
        <v>3082.1</v>
      </c>
      <c r="AA28" s="33">
        <f>Z28-AA59+AA60</f>
        <v>3082.1</v>
      </c>
      <c r="AB28" s="169">
        <f t="shared" si="7"/>
        <v>3082.1</v>
      </c>
      <c r="AC28" s="33">
        <f>AA28-AC59+AC60</f>
        <v>2332.1</v>
      </c>
      <c r="AD28" s="33">
        <f>AC28-AD59+AD60</f>
        <v>1191.5</v>
      </c>
      <c r="AE28" s="33">
        <f t="shared" ref="AE28:AF28" si="17">AD28-AE59+AE60</f>
        <v>1191.5</v>
      </c>
      <c r="AF28" s="33">
        <f t="shared" si="17"/>
        <v>1191.5</v>
      </c>
      <c r="AG28" s="169">
        <f t="shared" si="8"/>
        <v>1191.5</v>
      </c>
      <c r="AH28" s="33">
        <f>AF28-AH59+AH60</f>
        <v>2441.5</v>
      </c>
      <c r="AI28" s="33">
        <f t="shared" ref="AI28:AK28" si="18">AH28-AI59+AI60</f>
        <v>2441.5</v>
      </c>
      <c r="AJ28" s="33">
        <f t="shared" si="18"/>
        <v>3441.5</v>
      </c>
      <c r="AK28" s="33">
        <f t="shared" si="18"/>
        <v>2691.5</v>
      </c>
      <c r="AL28" s="169">
        <f t="shared" si="9"/>
        <v>2691.5</v>
      </c>
      <c r="AM28" s="33">
        <f>AK28-AM59+AM60</f>
        <v>2691.5</v>
      </c>
      <c r="AN28" s="33">
        <f t="shared" ref="AN28:AP28" si="19">AM28-AN59+AN60</f>
        <v>1691.5</v>
      </c>
      <c r="AO28" s="33">
        <f t="shared" si="19"/>
        <v>1691.5</v>
      </c>
      <c r="AP28" s="33">
        <f t="shared" si="19"/>
        <v>1691.5</v>
      </c>
      <c r="AQ28" s="169">
        <f t="shared" si="10"/>
        <v>1691.5</v>
      </c>
      <c r="AR28" s="33">
        <f>AP28-AR59+AR60</f>
        <v>1691.5</v>
      </c>
      <c r="AS28" s="33">
        <f t="shared" ref="AS28:AU28" si="20">AR28-AS59+AS60</f>
        <v>1791.5</v>
      </c>
      <c r="AT28" s="33">
        <f t="shared" si="20"/>
        <v>1791.5</v>
      </c>
      <c r="AU28" s="33">
        <f t="shared" si="20"/>
        <v>1791.5</v>
      </c>
      <c r="AV28" s="169">
        <f t="shared" si="11"/>
        <v>1791.5</v>
      </c>
    </row>
    <row r="29" spans="1:48" ht="16.2" outlineLevel="1" x14ac:dyDescent="0.45">
      <c r="A29" s="161"/>
      <c r="B29" s="200" t="s">
        <v>235</v>
      </c>
      <c r="C29" s="201"/>
      <c r="D29" s="112">
        <v>208.8</v>
      </c>
      <c r="E29" s="112">
        <v>221</v>
      </c>
      <c r="F29" s="112">
        <v>211.5</v>
      </c>
      <c r="G29" s="112">
        <v>0</v>
      </c>
      <c r="H29" s="262">
        <f t="shared" si="3"/>
        <v>0</v>
      </c>
      <c r="I29" s="112">
        <v>0</v>
      </c>
      <c r="J29" s="112">
        <v>0</v>
      </c>
      <c r="K29" s="112">
        <v>0</v>
      </c>
      <c r="L29" s="112">
        <v>0</v>
      </c>
      <c r="M29" s="262">
        <f t="shared" si="4"/>
        <v>0</v>
      </c>
      <c r="N29" s="112">
        <v>0</v>
      </c>
      <c r="O29" s="112">
        <v>0</v>
      </c>
      <c r="P29" s="112">
        <v>0</v>
      </c>
      <c r="Q29" s="112">
        <v>0</v>
      </c>
      <c r="R29" s="262">
        <f t="shared" si="5"/>
        <v>0</v>
      </c>
      <c r="S29" s="112">
        <v>0</v>
      </c>
      <c r="T29" s="112">
        <v>0</v>
      </c>
      <c r="U29" s="112">
        <v>0</v>
      </c>
      <c r="V29" s="112">
        <v>0</v>
      </c>
      <c r="W29" s="262">
        <f t="shared" si="6"/>
        <v>0</v>
      </c>
      <c r="X29" s="112">
        <v>0</v>
      </c>
      <c r="Y29" s="112">
        <v>0</v>
      </c>
      <c r="Z29" s="32">
        <v>0</v>
      </c>
      <c r="AA29" s="32">
        <v>0</v>
      </c>
      <c r="AB29" s="262">
        <f t="shared" si="7"/>
        <v>0</v>
      </c>
      <c r="AC29" s="32">
        <v>0</v>
      </c>
      <c r="AD29" s="32">
        <v>0</v>
      </c>
      <c r="AE29" s="32">
        <v>0</v>
      </c>
      <c r="AF29" s="32">
        <v>0</v>
      </c>
      <c r="AG29" s="262">
        <f t="shared" si="8"/>
        <v>0</v>
      </c>
      <c r="AH29" s="32">
        <v>0</v>
      </c>
      <c r="AI29" s="32">
        <v>0</v>
      </c>
      <c r="AJ29" s="32">
        <v>0</v>
      </c>
      <c r="AK29" s="32">
        <v>0</v>
      </c>
      <c r="AL29" s="262">
        <f t="shared" si="9"/>
        <v>0</v>
      </c>
      <c r="AM29" s="32">
        <v>0</v>
      </c>
      <c r="AN29" s="32">
        <v>0</v>
      </c>
      <c r="AO29" s="32">
        <v>0</v>
      </c>
      <c r="AP29" s="32">
        <v>0</v>
      </c>
      <c r="AQ29" s="262">
        <f t="shared" si="10"/>
        <v>0</v>
      </c>
      <c r="AR29" s="32">
        <v>0</v>
      </c>
      <c r="AS29" s="32">
        <v>0</v>
      </c>
      <c r="AT29" s="32">
        <v>0</v>
      </c>
      <c r="AU29" s="32">
        <v>0</v>
      </c>
      <c r="AV29" s="262">
        <f t="shared" si="11"/>
        <v>0</v>
      </c>
    </row>
    <row r="30" spans="1:48" outlineLevel="1" x14ac:dyDescent="0.3">
      <c r="A30" s="161"/>
      <c r="B30" s="205" t="s">
        <v>236</v>
      </c>
      <c r="C30" s="201"/>
      <c r="D30" s="116">
        <f t="shared" ref="D30:K30" si="21">SUM(D22:D29)</f>
        <v>5427.5</v>
      </c>
      <c r="E30" s="116">
        <f t="shared" si="21"/>
        <v>5273.4</v>
      </c>
      <c r="F30" s="116">
        <f t="shared" si="21"/>
        <v>5895.8</v>
      </c>
      <c r="G30" s="116">
        <f t="shared" si="21"/>
        <v>6168.7</v>
      </c>
      <c r="H30" s="150">
        <f t="shared" si="21"/>
        <v>6168.7</v>
      </c>
      <c r="I30" s="116">
        <f t="shared" si="21"/>
        <v>8675.5</v>
      </c>
      <c r="J30" s="116">
        <f t="shared" si="21"/>
        <v>8265.7999999999993</v>
      </c>
      <c r="K30" s="116">
        <f t="shared" si="21"/>
        <v>8002</v>
      </c>
      <c r="L30" s="116">
        <f t="shared" ref="L30:AV30" si="22">SUM(L22:L28)</f>
        <v>7346.7999999999993</v>
      </c>
      <c r="M30" s="150">
        <f t="shared" si="22"/>
        <v>7346.7999999999993</v>
      </c>
      <c r="N30" s="116">
        <f t="shared" si="22"/>
        <v>7883.9</v>
      </c>
      <c r="O30" s="116">
        <f t="shared" si="22"/>
        <v>6505.0999999999995</v>
      </c>
      <c r="P30" s="116">
        <f t="shared" si="22"/>
        <v>7799.8</v>
      </c>
      <c r="Q30" s="116">
        <f t="shared" si="22"/>
        <v>8151.4</v>
      </c>
      <c r="R30" s="150">
        <f t="shared" si="22"/>
        <v>8151.4</v>
      </c>
      <c r="S30" s="116">
        <f t="shared" si="22"/>
        <v>8921.1</v>
      </c>
      <c r="T30" s="116">
        <f t="shared" si="22"/>
        <v>9104.3000000000011</v>
      </c>
      <c r="U30" s="116">
        <f t="shared" si="22"/>
        <v>8402.4</v>
      </c>
      <c r="V30" s="116">
        <f t="shared" si="22"/>
        <v>9151.7999999999993</v>
      </c>
      <c r="W30" s="150">
        <f t="shared" si="22"/>
        <v>9151.7999999999993</v>
      </c>
      <c r="X30" s="116">
        <f>SUM(X22:X28)</f>
        <v>9246.2000000000007</v>
      </c>
      <c r="Y30" s="116">
        <f t="shared" si="22"/>
        <v>9121.7999999999993</v>
      </c>
      <c r="Z30" s="116">
        <f t="shared" si="22"/>
        <v>10434.979489027686</v>
      </c>
      <c r="AA30" s="116">
        <f t="shared" si="22"/>
        <v>10252.309581680807</v>
      </c>
      <c r="AB30" s="150">
        <f t="shared" si="22"/>
        <v>10252.309581680807</v>
      </c>
      <c r="AC30" s="116">
        <f t="shared" si="22"/>
        <v>10108.358281571956</v>
      </c>
      <c r="AD30" s="116">
        <f t="shared" si="22"/>
        <v>8646.8021283126236</v>
      </c>
      <c r="AE30" s="116">
        <f t="shared" si="22"/>
        <v>8794.0248995668007</v>
      </c>
      <c r="AF30" s="116">
        <f t="shared" si="22"/>
        <v>8671.4702859188728</v>
      </c>
      <c r="AG30" s="150">
        <f t="shared" si="22"/>
        <v>8671.4702859188728</v>
      </c>
      <c r="AH30" s="116">
        <f t="shared" si="22"/>
        <v>10538.286770314169</v>
      </c>
      <c r="AI30" s="116">
        <f t="shared" si="22"/>
        <v>10209.943114873126</v>
      </c>
      <c r="AJ30" s="116">
        <f t="shared" si="22"/>
        <v>11394.65833365393</v>
      </c>
      <c r="AK30" s="116">
        <f t="shared" si="22"/>
        <v>10513.566005571271</v>
      </c>
      <c r="AL30" s="150">
        <f t="shared" si="22"/>
        <v>10513.566005571271</v>
      </c>
      <c r="AM30" s="116">
        <f t="shared" si="22"/>
        <v>11120.62776220094</v>
      </c>
      <c r="AN30" s="116">
        <f t="shared" si="22"/>
        <v>9757.4059313999242</v>
      </c>
      <c r="AO30" s="116">
        <f t="shared" si="22"/>
        <v>9949.9422596378245</v>
      </c>
      <c r="AP30" s="116">
        <f t="shared" si="22"/>
        <v>9799.459624914125</v>
      </c>
      <c r="AQ30" s="150">
        <f t="shared" si="22"/>
        <v>9799.459624914125</v>
      </c>
      <c r="AR30" s="116">
        <f t="shared" si="22"/>
        <v>10456.845350515949</v>
      </c>
      <c r="AS30" s="116">
        <f t="shared" si="22"/>
        <v>10155.861694851807</v>
      </c>
      <c r="AT30" s="116">
        <f t="shared" si="22"/>
        <v>10346.794631536673</v>
      </c>
      <c r="AU30" s="116">
        <f t="shared" si="22"/>
        <v>10193.488804608642</v>
      </c>
      <c r="AV30" s="150">
        <f t="shared" si="22"/>
        <v>10193.488804608642</v>
      </c>
    </row>
    <row r="31" spans="1:48" outlineLevel="1" x14ac:dyDescent="0.3">
      <c r="A31" s="161"/>
      <c r="B31" s="203" t="s">
        <v>237</v>
      </c>
      <c r="C31" s="204"/>
      <c r="D31" s="101">
        <v>9130.7000000000007</v>
      </c>
      <c r="E31" s="101">
        <v>9141.5</v>
      </c>
      <c r="F31" s="101">
        <v>11159.1</v>
      </c>
      <c r="G31" s="101">
        <v>11167</v>
      </c>
      <c r="H31" s="169">
        <f>G31</f>
        <v>11167</v>
      </c>
      <c r="I31" s="101">
        <v>10653.2</v>
      </c>
      <c r="J31" s="101">
        <v>11658.7</v>
      </c>
      <c r="K31" s="101">
        <v>14645.6</v>
      </c>
      <c r="L31" s="101">
        <v>14659.6</v>
      </c>
      <c r="M31" s="169">
        <f>L31</f>
        <v>14659.6</v>
      </c>
      <c r="N31" s="101">
        <v>14673.5</v>
      </c>
      <c r="O31" s="101">
        <v>14630.3</v>
      </c>
      <c r="P31" s="101">
        <v>13619.2</v>
      </c>
      <c r="Q31" s="101">
        <v>13616.9</v>
      </c>
      <c r="R31" s="169">
        <f>Q31</f>
        <v>13616.9</v>
      </c>
      <c r="S31" s="101">
        <v>13586.3</v>
      </c>
      <c r="T31" s="101">
        <v>14014.4</v>
      </c>
      <c r="U31" s="101">
        <v>13930.8</v>
      </c>
      <c r="V31" s="101">
        <v>13119.9</v>
      </c>
      <c r="W31" s="169">
        <f>V31</f>
        <v>13119.9</v>
      </c>
      <c r="X31" s="101">
        <v>13176.7</v>
      </c>
      <c r="Y31" s="101">
        <v>13544.8</v>
      </c>
      <c r="Z31" s="33">
        <f>Y31-Z60+Z61</f>
        <v>12404.199999999999</v>
      </c>
      <c r="AA31" s="33">
        <f>Z31-AA60+AA61</f>
        <v>12404.199999999999</v>
      </c>
      <c r="AB31" s="169">
        <f>AA31</f>
        <v>12404.199999999999</v>
      </c>
      <c r="AC31" s="33">
        <f>AA31-AC60+AC61</f>
        <v>13154.199999999999</v>
      </c>
      <c r="AD31" s="33">
        <f>AC31-AD60+AD61</f>
        <v>14294.8</v>
      </c>
      <c r="AE31" s="33">
        <f>AD31-AE60+AE61</f>
        <v>14294.8</v>
      </c>
      <c r="AF31" s="33">
        <f>AE31-AF60+AF61</f>
        <v>14294.8</v>
      </c>
      <c r="AG31" s="169">
        <f>AF31</f>
        <v>14294.8</v>
      </c>
      <c r="AH31" s="33">
        <f>AF31-AH60+AH61</f>
        <v>13044.8</v>
      </c>
      <c r="AI31" s="33">
        <f>AH31-AI60+AI61</f>
        <v>13044.8</v>
      </c>
      <c r="AJ31" s="33">
        <f>AI31-AJ60+AJ61</f>
        <v>18305.73448865148</v>
      </c>
      <c r="AK31" s="33">
        <f>AJ31-AK60+AK61</f>
        <v>19055.73448865148</v>
      </c>
      <c r="AL31" s="169">
        <f>AK31</f>
        <v>19055.73448865148</v>
      </c>
      <c r="AM31" s="33">
        <f>AK31-AM60+AM61</f>
        <v>19055.73448865148</v>
      </c>
      <c r="AN31" s="33">
        <f>AM31-AN60+AN61</f>
        <v>19055.73448865148</v>
      </c>
      <c r="AO31" s="33">
        <f>AN31-AO60+AO61</f>
        <v>19055.73448865148</v>
      </c>
      <c r="AP31" s="33">
        <f>AO31-AP60+AP61</f>
        <v>19055.73448865148</v>
      </c>
      <c r="AQ31" s="169">
        <f>AP31</f>
        <v>19055.73448865148</v>
      </c>
      <c r="AR31" s="33">
        <f>AP31-AR60+AR61</f>
        <v>19055.73448865148</v>
      </c>
      <c r="AS31" s="33">
        <f>AR31-AS60+AS61</f>
        <v>18955.73448865148</v>
      </c>
      <c r="AT31" s="33">
        <f>AS31-AT60+AT61</f>
        <v>18955.73448865148</v>
      </c>
      <c r="AU31" s="33">
        <f>AT31-AU60+AU61</f>
        <v>18955.73448865148</v>
      </c>
      <c r="AV31" s="169">
        <f>AU31</f>
        <v>18955.73448865148</v>
      </c>
    </row>
    <row r="32" spans="1:48" outlineLevel="1" x14ac:dyDescent="0.3">
      <c r="A32" s="161"/>
      <c r="B32" s="200" t="s">
        <v>238</v>
      </c>
      <c r="C32" s="207"/>
      <c r="D32" s="101">
        <v>0</v>
      </c>
      <c r="E32" s="101">
        <v>0</v>
      </c>
      <c r="F32" s="101">
        <v>0</v>
      </c>
      <c r="G32" s="101">
        <v>0</v>
      </c>
      <c r="H32" s="169">
        <f>G32</f>
        <v>0</v>
      </c>
      <c r="I32" s="101">
        <v>7711.7</v>
      </c>
      <c r="J32" s="101">
        <v>7650.4</v>
      </c>
      <c r="K32" s="101">
        <v>7653.6</v>
      </c>
      <c r="L32" s="101">
        <v>7661.7</v>
      </c>
      <c r="M32" s="169">
        <f>L32</f>
        <v>7661.7</v>
      </c>
      <c r="N32" s="101">
        <v>7754.5</v>
      </c>
      <c r="O32" s="101">
        <v>7577.7</v>
      </c>
      <c r="P32" s="101">
        <v>7597.8</v>
      </c>
      <c r="Q32" s="101">
        <v>7738</v>
      </c>
      <c r="R32" s="169">
        <f>Q32</f>
        <v>7738</v>
      </c>
      <c r="S32" s="101">
        <v>7708</v>
      </c>
      <c r="T32" s="101">
        <v>7668.5</v>
      </c>
      <c r="U32" s="101">
        <v>7554.4</v>
      </c>
      <c r="V32" s="101">
        <v>7515.2</v>
      </c>
      <c r="W32" s="169">
        <f>V32</f>
        <v>7515.2</v>
      </c>
      <c r="X32" s="101">
        <v>7635.4</v>
      </c>
      <c r="Y32" s="101">
        <v>7753.5</v>
      </c>
      <c r="Z32" s="33">
        <f t="shared" ref="Z32:AA32" si="23">Y32*0.996</f>
        <v>7722.4859999999999</v>
      </c>
      <c r="AA32" s="33">
        <f t="shared" si="23"/>
        <v>7691.5960559999994</v>
      </c>
      <c r="AB32" s="169">
        <f>AA32</f>
        <v>7691.5960559999994</v>
      </c>
      <c r="AC32" s="33">
        <f>AA32*0.996</f>
        <v>7660.8296717759995</v>
      </c>
      <c r="AD32" s="33">
        <f t="shared" ref="AD32:AF32" si="24">AC32*0.996</f>
        <v>7630.1863530888959</v>
      </c>
      <c r="AE32" s="33">
        <f t="shared" si="24"/>
        <v>7599.6656076765403</v>
      </c>
      <c r="AF32" s="33">
        <f t="shared" si="24"/>
        <v>7569.266945245834</v>
      </c>
      <c r="AG32" s="169">
        <f>AF32</f>
        <v>7569.266945245834</v>
      </c>
      <c r="AH32" s="33">
        <f>AF32*0.996</f>
        <v>7538.9898774648509</v>
      </c>
      <c r="AI32" s="33">
        <f t="shared" ref="AI32:AK32" si="25">AH32*0.996</f>
        <v>7508.8339179549912</v>
      </c>
      <c r="AJ32" s="33">
        <f t="shared" si="25"/>
        <v>7478.7985822831715</v>
      </c>
      <c r="AK32" s="33">
        <f t="shared" si="25"/>
        <v>7448.8833879540389</v>
      </c>
      <c r="AL32" s="169">
        <f>AK32</f>
        <v>7448.8833879540389</v>
      </c>
      <c r="AM32" s="33">
        <f>AK32*0.996</f>
        <v>7419.0878544022225</v>
      </c>
      <c r="AN32" s="33">
        <f t="shared" ref="AN32:AP32" si="26">AM32*0.996</f>
        <v>7389.4115029846134</v>
      </c>
      <c r="AO32" s="33">
        <f t="shared" si="26"/>
        <v>7359.8538569726752</v>
      </c>
      <c r="AP32" s="33">
        <f t="shared" si="26"/>
        <v>7330.4144415447845</v>
      </c>
      <c r="AQ32" s="169">
        <f>AP32</f>
        <v>7330.4144415447845</v>
      </c>
      <c r="AR32" s="33">
        <f>AP32*0.996</f>
        <v>7301.0927837786057</v>
      </c>
      <c r="AS32" s="33">
        <f t="shared" ref="AS32:AU32" si="27">AR32*0.996</f>
        <v>7271.8884126434914</v>
      </c>
      <c r="AT32" s="33">
        <f t="shared" si="27"/>
        <v>7242.8008589929177</v>
      </c>
      <c r="AU32" s="33">
        <f t="shared" si="27"/>
        <v>7213.8296555569459</v>
      </c>
      <c r="AV32" s="169">
        <f>AU32</f>
        <v>7213.8296555569459</v>
      </c>
    </row>
    <row r="33" spans="1:48" outlineLevel="1" x14ac:dyDescent="0.3">
      <c r="A33" s="161"/>
      <c r="B33" s="200" t="s">
        <v>239</v>
      </c>
      <c r="C33" s="207"/>
      <c r="D33" s="101">
        <v>6823.7</v>
      </c>
      <c r="E33" s="101">
        <v>6761.9</v>
      </c>
      <c r="F33" s="101">
        <v>6717.9</v>
      </c>
      <c r="G33" s="101">
        <v>6744.4</v>
      </c>
      <c r="H33" s="169">
        <f>G33</f>
        <v>6744.4</v>
      </c>
      <c r="I33" s="101">
        <v>6748.8</v>
      </c>
      <c r="J33" s="101">
        <v>6685.5</v>
      </c>
      <c r="K33" s="101">
        <v>6642.6</v>
      </c>
      <c r="L33" s="101">
        <v>6598.5</v>
      </c>
      <c r="M33" s="169">
        <f>L33</f>
        <v>6598.5</v>
      </c>
      <c r="N33" s="101">
        <v>6597.7</v>
      </c>
      <c r="O33" s="101">
        <v>6532.1</v>
      </c>
      <c r="P33" s="101">
        <v>6491.4</v>
      </c>
      <c r="Q33" s="101">
        <v>6463</v>
      </c>
      <c r="R33" s="169">
        <f>Q33</f>
        <v>6463</v>
      </c>
      <c r="S33" s="101">
        <v>6447.7</v>
      </c>
      <c r="T33" s="101">
        <v>6381.9</v>
      </c>
      <c r="U33" s="101">
        <v>6333.1</v>
      </c>
      <c r="V33" s="101">
        <v>6279.7</v>
      </c>
      <c r="W33" s="169">
        <f>V33</f>
        <v>6279.7</v>
      </c>
      <c r="X33" s="101">
        <v>6263.2</v>
      </c>
      <c r="Y33" s="101">
        <v>6200.2</v>
      </c>
      <c r="Z33" s="33">
        <f>Y33*0.995</f>
        <v>6169.1989999999996</v>
      </c>
      <c r="AA33" s="33">
        <f>Z33*0.995</f>
        <v>6138.3530049999999</v>
      </c>
      <c r="AB33" s="169">
        <f>AA33</f>
        <v>6138.3530049999999</v>
      </c>
      <c r="AC33" s="33">
        <f>AA33*0.995</f>
        <v>6107.6612399750002</v>
      </c>
      <c r="AD33" s="33">
        <f>AC33*0.995</f>
        <v>6077.1229337751247</v>
      </c>
      <c r="AE33" s="33">
        <f>AD33*0.995</f>
        <v>6046.7373191062488</v>
      </c>
      <c r="AF33" s="33">
        <f>AE33*0.995</f>
        <v>6016.5036325107176</v>
      </c>
      <c r="AG33" s="169">
        <f>AF33</f>
        <v>6016.5036325107176</v>
      </c>
      <c r="AH33" s="33">
        <f>AF33*0.995</f>
        <v>5986.4211143481643</v>
      </c>
      <c r="AI33" s="33">
        <f>AH33*0.995</f>
        <v>5956.4890087764234</v>
      </c>
      <c r="AJ33" s="33">
        <f>AI33*0.995</f>
        <v>5926.7065637325413</v>
      </c>
      <c r="AK33" s="33">
        <f>AJ33*0.995</f>
        <v>5897.0730309138789</v>
      </c>
      <c r="AL33" s="169">
        <f>AK33</f>
        <v>5897.0730309138789</v>
      </c>
      <c r="AM33" s="33">
        <f>AK33*0.995</f>
        <v>5867.5876657593099</v>
      </c>
      <c r="AN33" s="33">
        <f>AM33*0.995</f>
        <v>5838.2497274305133</v>
      </c>
      <c r="AO33" s="33">
        <f>AN33*0.995</f>
        <v>5809.0584787933603</v>
      </c>
      <c r="AP33" s="33">
        <f>AO33*0.995</f>
        <v>5780.0131863993938</v>
      </c>
      <c r="AQ33" s="169">
        <f>AP33</f>
        <v>5780.0131863993938</v>
      </c>
      <c r="AR33" s="33">
        <f>AP33*0.995</f>
        <v>5751.1131204673966</v>
      </c>
      <c r="AS33" s="33">
        <f>AR33*0.995</f>
        <v>5722.3575548650597</v>
      </c>
      <c r="AT33" s="33">
        <f>AS33*0.995</f>
        <v>5693.7457670907343</v>
      </c>
      <c r="AU33" s="33">
        <f>AT33*0.995</f>
        <v>5665.2770382552808</v>
      </c>
      <c r="AV33" s="169">
        <f>AU33</f>
        <v>5665.2770382552808</v>
      </c>
    </row>
    <row r="34" spans="1:48" ht="15.75" customHeight="1" outlineLevel="1" x14ac:dyDescent="0.45">
      <c r="A34" s="161"/>
      <c r="B34" s="580" t="s">
        <v>240</v>
      </c>
      <c r="C34" s="581"/>
      <c r="D34" s="112">
        <v>1478.2</v>
      </c>
      <c r="E34" s="112">
        <v>1500.3</v>
      </c>
      <c r="F34" s="112">
        <v>1440.6</v>
      </c>
      <c r="G34" s="112">
        <v>1370.5</v>
      </c>
      <c r="H34" s="262">
        <f>G34</f>
        <v>1370.5</v>
      </c>
      <c r="I34" s="112">
        <v>701.2</v>
      </c>
      <c r="J34" s="112">
        <v>751.4</v>
      </c>
      <c r="K34" s="112">
        <v>821.1</v>
      </c>
      <c r="L34" s="112">
        <v>907.3</v>
      </c>
      <c r="M34" s="262">
        <f>L34</f>
        <v>907.3</v>
      </c>
      <c r="N34" s="112">
        <v>962.8</v>
      </c>
      <c r="O34" s="112">
        <v>774.8</v>
      </c>
      <c r="P34" s="112">
        <v>762.9</v>
      </c>
      <c r="Q34" s="112">
        <v>737.8</v>
      </c>
      <c r="R34" s="262">
        <f>Q34</f>
        <v>737.8</v>
      </c>
      <c r="S34" s="112">
        <v>621.1</v>
      </c>
      <c r="T34" s="112">
        <v>613.6</v>
      </c>
      <c r="U34" s="112">
        <v>594.4</v>
      </c>
      <c r="V34" s="112">
        <v>610.5</v>
      </c>
      <c r="W34" s="262">
        <f>V34</f>
        <v>610.5</v>
      </c>
      <c r="X34" s="112">
        <v>600.5</v>
      </c>
      <c r="Y34" s="112">
        <v>488.1</v>
      </c>
      <c r="Z34" s="32">
        <f>Y34</f>
        <v>488.1</v>
      </c>
      <c r="AA34" s="32">
        <f>Z34</f>
        <v>488.1</v>
      </c>
      <c r="AB34" s="262">
        <f>AA34</f>
        <v>488.1</v>
      </c>
      <c r="AC34" s="32">
        <f>AA34</f>
        <v>488.1</v>
      </c>
      <c r="AD34" s="32">
        <f>AC34</f>
        <v>488.1</v>
      </c>
      <c r="AE34" s="32">
        <f>AD34</f>
        <v>488.1</v>
      </c>
      <c r="AF34" s="32">
        <f>AE34</f>
        <v>488.1</v>
      </c>
      <c r="AG34" s="262">
        <f>AF34</f>
        <v>488.1</v>
      </c>
      <c r="AH34" s="32">
        <f>AF34</f>
        <v>488.1</v>
      </c>
      <c r="AI34" s="32">
        <f>AH34</f>
        <v>488.1</v>
      </c>
      <c r="AJ34" s="32">
        <f>AI34</f>
        <v>488.1</v>
      </c>
      <c r="AK34" s="32">
        <f>AJ34</f>
        <v>488.1</v>
      </c>
      <c r="AL34" s="262">
        <f>AK34</f>
        <v>488.1</v>
      </c>
      <c r="AM34" s="32">
        <f>AK34</f>
        <v>488.1</v>
      </c>
      <c r="AN34" s="32">
        <f>AM34</f>
        <v>488.1</v>
      </c>
      <c r="AO34" s="32">
        <f>AN34</f>
        <v>488.1</v>
      </c>
      <c r="AP34" s="32">
        <f>AO34</f>
        <v>488.1</v>
      </c>
      <c r="AQ34" s="262">
        <f>AP34</f>
        <v>488.1</v>
      </c>
      <c r="AR34" s="32">
        <f>AP34</f>
        <v>488.1</v>
      </c>
      <c r="AS34" s="32">
        <f>AR34</f>
        <v>488.1</v>
      </c>
      <c r="AT34" s="32">
        <f>AS34</f>
        <v>488.1</v>
      </c>
      <c r="AU34" s="32">
        <f>AT34</f>
        <v>488.1</v>
      </c>
      <c r="AV34" s="262">
        <f>AU34</f>
        <v>488.1</v>
      </c>
    </row>
    <row r="35" spans="1:48" outlineLevel="1" x14ac:dyDescent="0.3">
      <c r="A35" s="161"/>
      <c r="B35" s="619" t="s">
        <v>241</v>
      </c>
      <c r="C35" s="620"/>
      <c r="D35" s="116">
        <f t="shared" ref="D35:AV35" si="28">SUM(D30:D34)</f>
        <v>22860.100000000002</v>
      </c>
      <c r="E35" s="116">
        <f t="shared" si="28"/>
        <v>22677.1</v>
      </c>
      <c r="F35" s="116">
        <f t="shared" si="28"/>
        <v>25213.4</v>
      </c>
      <c r="G35" s="116">
        <f t="shared" si="28"/>
        <v>25450.6</v>
      </c>
      <c r="H35" s="150">
        <f t="shared" si="28"/>
        <v>25450.6</v>
      </c>
      <c r="I35" s="116">
        <f t="shared" si="28"/>
        <v>34490.400000000001</v>
      </c>
      <c r="J35" s="116">
        <f t="shared" si="28"/>
        <v>35011.800000000003</v>
      </c>
      <c r="K35" s="116">
        <f t="shared" si="28"/>
        <v>37764.899999999994</v>
      </c>
      <c r="L35" s="116">
        <f t="shared" si="28"/>
        <v>37173.900000000009</v>
      </c>
      <c r="M35" s="150">
        <f t="shared" si="28"/>
        <v>37173.900000000009</v>
      </c>
      <c r="N35" s="116">
        <f t="shared" si="28"/>
        <v>37872.400000000001</v>
      </c>
      <c r="O35" s="116">
        <f t="shared" si="28"/>
        <v>36020</v>
      </c>
      <c r="P35" s="116">
        <f t="shared" si="28"/>
        <v>36271.1</v>
      </c>
      <c r="Q35" s="116">
        <f t="shared" si="28"/>
        <v>36707.100000000006</v>
      </c>
      <c r="R35" s="150">
        <f t="shared" si="28"/>
        <v>36707.100000000006</v>
      </c>
      <c r="S35" s="116">
        <f t="shared" si="28"/>
        <v>37284.199999999997</v>
      </c>
      <c r="T35" s="116">
        <f t="shared" si="28"/>
        <v>37782.699999999997</v>
      </c>
      <c r="U35" s="116">
        <f t="shared" si="28"/>
        <v>36815.1</v>
      </c>
      <c r="V35" s="116">
        <f t="shared" si="28"/>
        <v>36677.1</v>
      </c>
      <c r="W35" s="150">
        <f t="shared" si="28"/>
        <v>36677.1</v>
      </c>
      <c r="X35" s="116">
        <f>SUM(X30:X34)</f>
        <v>36922</v>
      </c>
      <c r="Y35" s="116">
        <f t="shared" si="28"/>
        <v>37108.399999999994</v>
      </c>
      <c r="Z35" s="116">
        <f t="shared" si="28"/>
        <v>37218.964489027683</v>
      </c>
      <c r="AA35" s="116">
        <f t="shared" si="28"/>
        <v>36974.5586426808</v>
      </c>
      <c r="AB35" s="150">
        <f t="shared" si="28"/>
        <v>36974.5586426808</v>
      </c>
      <c r="AC35" s="116">
        <f t="shared" si="28"/>
        <v>37519.149193322948</v>
      </c>
      <c r="AD35" s="116">
        <f t="shared" si="28"/>
        <v>37137.011415176639</v>
      </c>
      <c r="AE35" s="116">
        <f t="shared" si="28"/>
        <v>37223.327826349589</v>
      </c>
      <c r="AF35" s="116">
        <f t="shared" si="28"/>
        <v>37040.140863675428</v>
      </c>
      <c r="AG35" s="150">
        <f t="shared" si="28"/>
        <v>37040.140863675428</v>
      </c>
      <c r="AH35" s="116">
        <f t="shared" si="28"/>
        <v>37596.597762127181</v>
      </c>
      <c r="AI35" s="116">
        <f t="shared" si="28"/>
        <v>37208.166041604542</v>
      </c>
      <c r="AJ35" s="116">
        <f t="shared" si="28"/>
        <v>43593.99796832112</v>
      </c>
      <c r="AK35" s="116">
        <f t="shared" si="28"/>
        <v>43403.356913090669</v>
      </c>
      <c r="AL35" s="150">
        <f t="shared" si="28"/>
        <v>43403.356913090669</v>
      </c>
      <c r="AM35" s="116">
        <f t="shared" si="28"/>
        <v>43951.13777101395</v>
      </c>
      <c r="AN35" s="116">
        <f t="shared" si="28"/>
        <v>42528.901650466527</v>
      </c>
      <c r="AO35" s="116">
        <f t="shared" si="28"/>
        <v>42662.689084055339</v>
      </c>
      <c r="AP35" s="116">
        <f t="shared" si="28"/>
        <v>42453.721741509784</v>
      </c>
      <c r="AQ35" s="150">
        <f t="shared" si="28"/>
        <v>42453.721741509784</v>
      </c>
      <c r="AR35" s="116">
        <f t="shared" si="28"/>
        <v>43052.885743413426</v>
      </c>
      <c r="AS35" s="116">
        <f t="shared" si="28"/>
        <v>42593.942151011841</v>
      </c>
      <c r="AT35" s="116">
        <f t="shared" si="28"/>
        <v>42727.175746271801</v>
      </c>
      <c r="AU35" s="116">
        <f t="shared" si="28"/>
        <v>42516.429987072341</v>
      </c>
      <c r="AV35" s="150">
        <f t="shared" si="28"/>
        <v>42516.429987072341</v>
      </c>
    </row>
    <row r="36" spans="1:48" ht="17.399999999999999" x14ac:dyDescent="0.45">
      <c r="B36" s="583" t="s">
        <v>242</v>
      </c>
      <c r="C36" s="584"/>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14" t="s">
        <v>408</v>
      </c>
      <c r="Y36" s="14" t="s">
        <v>452</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580" t="s">
        <v>243</v>
      </c>
      <c r="C37" s="581"/>
      <c r="D37" s="16">
        <f>1.2+41.1</f>
        <v>42.300000000000004</v>
      </c>
      <c r="E37" s="16">
        <f>1.2+41.1</f>
        <v>42.300000000000004</v>
      </c>
      <c r="F37" s="16">
        <f>1.2+41.1</f>
        <v>42.300000000000004</v>
      </c>
      <c r="G37" s="16">
        <f>1.2+41.1</f>
        <v>42.300000000000004</v>
      </c>
      <c r="H37" s="17">
        <f>G37</f>
        <v>42.300000000000004</v>
      </c>
      <c r="I37" s="16">
        <f>1.2+41.1</f>
        <v>42.300000000000004</v>
      </c>
      <c r="J37" s="16">
        <f>1.2+41.1</f>
        <v>42.300000000000004</v>
      </c>
      <c r="K37" s="16">
        <f>1.2+115.4</f>
        <v>116.60000000000001</v>
      </c>
      <c r="L37" s="16">
        <f>1.2+373.9</f>
        <v>375.09999999999997</v>
      </c>
      <c r="M37" s="17">
        <f>L37</f>
        <v>375.09999999999997</v>
      </c>
      <c r="N37" s="16">
        <f>1.2+488.6</f>
        <v>489.8</v>
      </c>
      <c r="O37" s="16">
        <f>1.2+595.4</f>
        <v>596.6</v>
      </c>
      <c r="P37" s="16">
        <f>1.2+729.3</f>
        <v>730.5</v>
      </c>
      <c r="Q37" s="16">
        <f>1.2+846.1</f>
        <v>847.30000000000007</v>
      </c>
      <c r="R37" s="17">
        <f>Q37</f>
        <v>847.30000000000007</v>
      </c>
      <c r="S37" s="16">
        <f>1.2+41.1</f>
        <v>42.300000000000004</v>
      </c>
      <c r="T37" s="16">
        <f>1.1+41.1</f>
        <v>42.2</v>
      </c>
      <c r="U37" s="16">
        <f>1.1+117.1</f>
        <v>118.19999999999999</v>
      </c>
      <c r="V37" s="16">
        <f>1.1+205.3</f>
        <v>206.4</v>
      </c>
      <c r="W37" s="17">
        <f>V37</f>
        <v>206.4</v>
      </c>
      <c r="X37" s="101">
        <f>1.1+67.2</f>
        <v>68.3</v>
      </c>
      <c r="Y37" s="101">
        <f>1.1+38.2</f>
        <v>39.300000000000004</v>
      </c>
      <c r="Z37" s="16">
        <f>+Y37+'CFS (Base)'!Z12+'CFS (Base)'!Z35</f>
        <v>113.6711164901713</v>
      </c>
      <c r="AA37" s="16">
        <f>+Z37+'CFS (Base)'!AA12+'CFS (Base)'!AA35</f>
        <v>191.63677254965651</v>
      </c>
      <c r="AB37" s="17">
        <f>AA37</f>
        <v>191.63677254965651</v>
      </c>
      <c r="AC37" s="16">
        <f>+AA37+'CFS (Base)'!AC12+'CFS (Base)'!AC35</f>
        <v>274.51666387680984</v>
      </c>
      <c r="AD37" s="16">
        <f>+AC37+'CFS (Base)'!AD12+'CFS (Base)'!AD35</f>
        <v>353.76921104615406</v>
      </c>
      <c r="AE37" s="16">
        <f>+AD37+'CFS (Base)'!AE12+'CFS (Base)'!AE35</f>
        <v>438.42128628288947</v>
      </c>
      <c r="AF37" s="16">
        <f>+AE37+'CFS (Base)'!AF12+'CFS (Base)'!AF35</f>
        <v>524.67325893063139</v>
      </c>
      <c r="AG37" s="17">
        <f>AF37</f>
        <v>524.67325893063139</v>
      </c>
      <c r="AH37" s="16">
        <f>+AF37+'CFS (Base)'!AH12+'CFS (Base)'!AH35</f>
        <v>615.16982967263573</v>
      </c>
      <c r="AI37" s="16">
        <f>+AH37+'CFS (Base)'!AI12+'CFS (Base)'!AI35</f>
        <v>703.87591488196767</v>
      </c>
      <c r="AJ37" s="16">
        <f>+AI37+'CFS (Base)'!AJ12+'CFS (Base)'!AJ35</f>
        <v>798.73013970740192</v>
      </c>
      <c r="AK37" s="16">
        <f>+AJ37+'CFS (Base)'!AK12+'CFS (Base)'!AK35</f>
        <v>894.9229139365367</v>
      </c>
      <c r="AL37" s="17">
        <f>AK37</f>
        <v>894.9229139365367</v>
      </c>
      <c r="AM37" s="16">
        <f>+AK37+'CFS (Base)'!AM12+'CFS (Base)'!AM35</f>
        <v>994.01018991186447</v>
      </c>
      <c r="AN37" s="16">
        <f>+AM37+'CFS (Base)'!AN12+'CFS (Base)'!AN35</f>
        <v>1091.1919225651791</v>
      </c>
      <c r="AO37" s="16">
        <f>+AN37+'CFS (Base)'!AO12+'CFS (Base)'!AO35</f>
        <v>1194.664653400612</v>
      </c>
      <c r="AP37" s="16">
        <f>+AO37+'CFS (Base)'!AP12+'CFS (Base)'!AP35</f>
        <v>1299.1351209298793</v>
      </c>
      <c r="AQ37" s="17">
        <f>AP37</f>
        <v>1299.1351209298793</v>
      </c>
      <c r="AR37" s="16">
        <f>+AP37+'CFS (Base)'!AR12+'CFS (Base)'!AR35</f>
        <v>1404.5376098471961</v>
      </c>
      <c r="AS37" s="16">
        <f>+AR37+'CFS (Base)'!AS12+'CFS (Base)'!AS35</f>
        <v>1507.9586621102173</v>
      </c>
      <c r="AT37" s="16">
        <f>+AS37+'CFS (Base)'!AT12+'CFS (Base)'!AT35</f>
        <v>1618.0302119635437</v>
      </c>
      <c r="AU37" s="16">
        <f>+AT37+'CFS (Base)'!AU12+'CFS (Base)'!AU35</f>
        <v>1729.1420923410112</v>
      </c>
      <c r="AV37" s="17">
        <f>AU37</f>
        <v>1729.1420923410112</v>
      </c>
    </row>
    <row r="38" spans="1:48" outlineLevel="1" x14ac:dyDescent="0.3">
      <c r="B38" s="621" t="s">
        <v>244</v>
      </c>
      <c r="C38" s="622"/>
      <c r="D38" s="16">
        <v>-2584</v>
      </c>
      <c r="E38" s="101">
        <v>-4807.7</v>
      </c>
      <c r="F38" s="101">
        <v>-4013.9</v>
      </c>
      <c r="G38" s="101">
        <v>-5771.2</v>
      </c>
      <c r="H38" s="169">
        <f>G38</f>
        <v>-5771.2</v>
      </c>
      <c r="I38" s="101">
        <v>-6414.8</v>
      </c>
      <c r="J38" s="101">
        <v>-7050.6</v>
      </c>
      <c r="K38" s="101">
        <v>-8208.2999999999993</v>
      </c>
      <c r="L38" s="101">
        <v>-7815.6</v>
      </c>
      <c r="M38" s="169">
        <f>L38</f>
        <v>-7815.6</v>
      </c>
      <c r="N38" s="101">
        <v>-8253.6</v>
      </c>
      <c r="O38" s="101">
        <v>-8124.3</v>
      </c>
      <c r="P38" s="101">
        <v>-7501.6</v>
      </c>
      <c r="Q38" s="101">
        <v>-6315.7</v>
      </c>
      <c r="R38" s="169">
        <f>Q38</f>
        <v>-6315.7</v>
      </c>
      <c r="S38" s="101">
        <v>-8753</v>
      </c>
      <c r="T38" s="101">
        <v>-9070.5</v>
      </c>
      <c r="U38" s="101">
        <v>-8719.7000000000007</v>
      </c>
      <c r="V38" s="101">
        <v>-8449.7999999999993</v>
      </c>
      <c r="W38" s="169">
        <f>V38</f>
        <v>-8449.7999999999993</v>
      </c>
      <c r="X38" s="101">
        <v>-8203.2000000000007</v>
      </c>
      <c r="Y38" s="101">
        <v>-8024.6</v>
      </c>
      <c r="Z38" s="101">
        <f>Y38+'CFS (Base)'!Z6+'CFS (Base)'!Z33+'CFS (Base)'!Z34</f>
        <v>-7706.7143635765906</v>
      </c>
      <c r="AA38" s="101">
        <f>Z38+'CFS (Base)'!AA6+'CFS (Base)'!AA33+'CFS (Base)'!AA34</f>
        <v>-7321.379465252613</v>
      </c>
      <c r="AB38" s="169">
        <f>AA38</f>
        <v>-7321.379465252613</v>
      </c>
      <c r="AC38" s="101">
        <f>AA38+'CFS (Base)'!AC6+'CFS (Base)'!AC33+'CFS (Base)'!AC34</f>
        <v>-7004.0587238017588</v>
      </c>
      <c r="AD38" s="101">
        <f>AC38+'CFS (Base)'!AD6+'CFS (Base)'!AD33+'CFS (Base)'!AD34</f>
        <v>-6697.3321073177531</v>
      </c>
      <c r="AE38" s="101">
        <f>AD38+'CFS (Base)'!AE6+'CFS (Base)'!AE33+'CFS (Base)'!AE34</f>
        <v>-6251.5038871460229</v>
      </c>
      <c r="AF38" s="101">
        <f>AE38+'CFS (Base)'!AF6+'CFS (Base)'!AF33+'CFS (Base)'!AF34</f>
        <v>-5831.3820666656229</v>
      </c>
      <c r="AG38" s="169">
        <f>AF38</f>
        <v>-5831.3820666656229</v>
      </c>
      <c r="AH38" s="101">
        <f>AF38+'CFS (Base)'!AH6+'CFS (Base)'!AH33+'CFS (Base)'!AH34</f>
        <v>-5372.8718008008</v>
      </c>
      <c r="AI38" s="101">
        <f>AH38+'CFS (Base)'!AI6+'CFS (Base)'!AI33+'CFS (Base)'!AI34</f>
        <v>-4911.3389656636973</v>
      </c>
      <c r="AJ38" s="101">
        <f>AI38+'CFS (Base)'!AJ6+'CFS (Base)'!AJ33+'CFS (Base)'!AJ34</f>
        <v>-9728.35247301255</v>
      </c>
      <c r="AK38" s="101">
        <f>AJ38+'CFS (Base)'!AK6+'CFS (Base)'!AK33+'CFS (Base)'!AK34</f>
        <v>-14661.896772864518</v>
      </c>
      <c r="AL38" s="169">
        <f>AK38</f>
        <v>-14661.896772864518</v>
      </c>
      <c r="AM38" s="101">
        <f>AK38+'CFS (Base)'!AM6+'CFS (Base)'!AM33+'CFS (Base)'!AM34</f>
        <v>-14295.819364322375</v>
      </c>
      <c r="AN38" s="101">
        <f>AM38+'CFS (Base)'!AN6+'CFS (Base)'!AN33+'CFS (Base)'!AN34</f>
        <v>-13929.334352113943</v>
      </c>
      <c r="AO38" s="101">
        <f>AN38+'CFS (Base)'!AO6+'CFS (Base)'!AO33+'CFS (Base)'!AO34</f>
        <v>-13308.085935165262</v>
      </c>
      <c r="AP38" s="101">
        <f>AO38+'CFS (Base)'!AP6+'CFS (Base)'!AP33+'CFS (Base)'!AP34</f>
        <v>-12740.006188311152</v>
      </c>
      <c r="AQ38" s="169">
        <f>AP38</f>
        <v>-12740.006188311152</v>
      </c>
      <c r="AR38" s="101">
        <f>AP38+'CFS (Base)'!AR6+'CFS (Base)'!AR33+'CFS (Base)'!AR34</f>
        <v>-12258.827875520779</v>
      </c>
      <c r="AS38" s="101">
        <f>AR38+'CFS (Base)'!AS6+'CFS (Base)'!AS33+'CFS (Base)'!AS34</f>
        <v>-11773.756096871257</v>
      </c>
      <c r="AT38" s="101">
        <f>AS38+'CFS (Base)'!AT6+'CFS (Base)'!AT33+'CFS (Base)'!AT34</f>
        <v>-11052.127680699694</v>
      </c>
      <c r="AU38" s="101">
        <f>AT38+'CFS (Base)'!AU6+'CFS (Base)'!AU33+'CFS (Base)'!AU34</f>
        <v>-10393.806457707316</v>
      </c>
      <c r="AV38" s="169">
        <f>AU38</f>
        <v>-10393.806457707316</v>
      </c>
    </row>
    <row r="39" spans="1:48" outlineLevel="1" x14ac:dyDescent="0.3">
      <c r="B39" s="621" t="s">
        <v>245</v>
      </c>
      <c r="C39" s="622"/>
      <c r="D39" s="16">
        <v>-343.2</v>
      </c>
      <c r="E39" s="102">
        <v>-271.5</v>
      </c>
      <c r="F39" s="101">
        <v>-349</v>
      </c>
      <c r="G39" s="101">
        <v>-503.3</v>
      </c>
      <c r="H39" s="169">
        <f>+G39</f>
        <v>-503.3</v>
      </c>
      <c r="I39" s="101">
        <v>-387.4</v>
      </c>
      <c r="J39" s="101">
        <v>-521.79999999999995</v>
      </c>
      <c r="K39" s="101">
        <v>-529.9</v>
      </c>
      <c r="L39" s="101">
        <v>-364.6</v>
      </c>
      <c r="M39" s="169">
        <f>+L39</f>
        <v>-364.6</v>
      </c>
      <c r="N39" s="101">
        <v>-145.9</v>
      </c>
      <c r="O39" s="101">
        <v>-126.3</v>
      </c>
      <c r="P39" s="101">
        <v>-29.7</v>
      </c>
      <c r="Q39" s="101">
        <v>147.19999999999999</v>
      </c>
      <c r="R39" s="169">
        <f>+Q39</f>
        <v>147.19999999999999</v>
      </c>
      <c r="S39" s="101">
        <v>253.5</v>
      </c>
      <c r="T39" s="101">
        <v>260.3</v>
      </c>
      <c r="U39" s="101">
        <v>-65</v>
      </c>
      <c r="V39" s="101">
        <v>-463.2</v>
      </c>
      <c r="W39" s="169">
        <f t="shared" ref="W39:W40" si="29">+V39</f>
        <v>-463.2</v>
      </c>
      <c r="X39" s="101">
        <v>-538.9</v>
      </c>
      <c r="Y39" s="101">
        <v>-521.6</v>
      </c>
      <c r="Z39" s="101">
        <f t="shared" ref="Z39:AB40" si="30">+Y39</f>
        <v>-521.6</v>
      </c>
      <c r="AA39" s="101">
        <f t="shared" si="30"/>
        <v>-521.6</v>
      </c>
      <c r="AB39" s="169">
        <f t="shared" si="30"/>
        <v>-521.6</v>
      </c>
      <c r="AC39" s="101">
        <f>+AA39</f>
        <v>-521.6</v>
      </c>
      <c r="AD39" s="101">
        <f t="shared" ref="AD39:AG40" si="31">+AC39</f>
        <v>-521.6</v>
      </c>
      <c r="AE39" s="101">
        <f t="shared" si="31"/>
        <v>-521.6</v>
      </c>
      <c r="AF39" s="101">
        <f t="shared" si="31"/>
        <v>-521.6</v>
      </c>
      <c r="AG39" s="169">
        <f t="shared" si="31"/>
        <v>-521.6</v>
      </c>
      <c r="AH39" s="101">
        <f>+AF39</f>
        <v>-521.6</v>
      </c>
      <c r="AI39" s="101">
        <f t="shared" ref="AI39:AL40" si="32">+AH39</f>
        <v>-521.6</v>
      </c>
      <c r="AJ39" s="101">
        <f t="shared" si="32"/>
        <v>-521.6</v>
      </c>
      <c r="AK39" s="101">
        <f t="shared" si="32"/>
        <v>-521.6</v>
      </c>
      <c r="AL39" s="169">
        <f t="shared" si="32"/>
        <v>-521.6</v>
      </c>
      <c r="AM39" s="101">
        <f>+AK39</f>
        <v>-521.6</v>
      </c>
      <c r="AN39" s="101">
        <f t="shared" ref="AN39:AQ40" si="33">+AM39</f>
        <v>-521.6</v>
      </c>
      <c r="AO39" s="101">
        <f t="shared" si="33"/>
        <v>-521.6</v>
      </c>
      <c r="AP39" s="101">
        <f t="shared" si="33"/>
        <v>-521.6</v>
      </c>
      <c r="AQ39" s="169">
        <f t="shared" si="33"/>
        <v>-521.6</v>
      </c>
      <c r="AR39" s="101">
        <f>+AP39</f>
        <v>-521.6</v>
      </c>
      <c r="AS39" s="101">
        <f t="shared" ref="AS39:AV40" si="34">+AR39</f>
        <v>-521.6</v>
      </c>
      <c r="AT39" s="101">
        <f t="shared" si="34"/>
        <v>-521.6</v>
      </c>
      <c r="AU39" s="101">
        <f t="shared" si="34"/>
        <v>-521.6</v>
      </c>
      <c r="AV39" s="169">
        <f t="shared" si="34"/>
        <v>-521.6</v>
      </c>
    </row>
    <row r="40" spans="1:48" ht="16.2" outlineLevel="1" x14ac:dyDescent="0.45">
      <c r="B40" s="265" t="s">
        <v>246</v>
      </c>
      <c r="C40" s="266"/>
      <c r="D40" s="260">
        <v>6.1</v>
      </c>
      <c r="E40" s="112">
        <v>1.7</v>
      </c>
      <c r="F40" s="112">
        <v>1.6</v>
      </c>
      <c r="G40" s="112">
        <v>1.2</v>
      </c>
      <c r="H40" s="261">
        <f>+G40</f>
        <v>1.2</v>
      </c>
      <c r="I40" s="112">
        <v>0.8</v>
      </c>
      <c r="J40" s="112">
        <v>-2.8</v>
      </c>
      <c r="K40" s="112">
        <v>-2.7</v>
      </c>
      <c r="L40" s="112">
        <v>5.7</v>
      </c>
      <c r="M40" s="262">
        <f>+L40</f>
        <v>5.7</v>
      </c>
      <c r="N40" s="112">
        <v>5.7</v>
      </c>
      <c r="O40" s="112">
        <v>5.7</v>
      </c>
      <c r="P40" s="112">
        <v>6.5</v>
      </c>
      <c r="Q40" s="112">
        <v>6.7</v>
      </c>
      <c r="R40" s="262">
        <f>+Q40</f>
        <v>6.7</v>
      </c>
      <c r="S40" s="112">
        <v>6.9</v>
      </c>
      <c r="T40" s="112">
        <v>6.8</v>
      </c>
      <c r="U40" s="112">
        <v>7.6</v>
      </c>
      <c r="V40" s="112">
        <v>7.9</v>
      </c>
      <c r="W40" s="262">
        <f t="shared" si="29"/>
        <v>7.9</v>
      </c>
      <c r="X40" s="112">
        <v>7.9</v>
      </c>
      <c r="Y40" s="112">
        <v>7.5</v>
      </c>
      <c r="Z40" s="112">
        <f t="shared" si="30"/>
        <v>7.5</v>
      </c>
      <c r="AA40" s="112">
        <f t="shared" si="30"/>
        <v>7.5</v>
      </c>
      <c r="AB40" s="262">
        <f t="shared" si="30"/>
        <v>7.5</v>
      </c>
      <c r="AC40" s="112">
        <f>+AA40</f>
        <v>7.5</v>
      </c>
      <c r="AD40" s="112">
        <f t="shared" si="31"/>
        <v>7.5</v>
      </c>
      <c r="AE40" s="112">
        <f t="shared" si="31"/>
        <v>7.5</v>
      </c>
      <c r="AF40" s="112">
        <f t="shared" si="31"/>
        <v>7.5</v>
      </c>
      <c r="AG40" s="262">
        <f t="shared" si="31"/>
        <v>7.5</v>
      </c>
      <c r="AH40" s="112">
        <f>+AF40</f>
        <v>7.5</v>
      </c>
      <c r="AI40" s="112">
        <f t="shared" si="32"/>
        <v>7.5</v>
      </c>
      <c r="AJ40" s="112">
        <f t="shared" si="32"/>
        <v>7.5</v>
      </c>
      <c r="AK40" s="112">
        <f t="shared" si="32"/>
        <v>7.5</v>
      </c>
      <c r="AL40" s="262">
        <f t="shared" si="32"/>
        <v>7.5</v>
      </c>
      <c r="AM40" s="112">
        <f>+AK40</f>
        <v>7.5</v>
      </c>
      <c r="AN40" s="112">
        <f t="shared" si="33"/>
        <v>7.5</v>
      </c>
      <c r="AO40" s="112">
        <f t="shared" si="33"/>
        <v>7.5</v>
      </c>
      <c r="AP40" s="112">
        <f t="shared" si="33"/>
        <v>7.5</v>
      </c>
      <c r="AQ40" s="262">
        <f t="shared" si="33"/>
        <v>7.5</v>
      </c>
      <c r="AR40" s="112">
        <f>+AP40</f>
        <v>7.5</v>
      </c>
      <c r="AS40" s="112">
        <f t="shared" si="34"/>
        <v>7.5</v>
      </c>
      <c r="AT40" s="112">
        <f t="shared" si="34"/>
        <v>7.5</v>
      </c>
      <c r="AU40" s="112">
        <f t="shared" si="34"/>
        <v>7.5</v>
      </c>
      <c r="AV40" s="262">
        <f t="shared" si="34"/>
        <v>7.5</v>
      </c>
    </row>
    <row r="41" spans="1:48" outlineLevel="1" x14ac:dyDescent="0.3">
      <c r="B41" s="619" t="s">
        <v>247</v>
      </c>
      <c r="C41" s="620"/>
      <c r="D41" s="21">
        <f t="shared" ref="D41:AV41" si="35">SUM(D37:D40)</f>
        <v>-2878.7999999999997</v>
      </c>
      <c r="E41" s="21">
        <f t="shared" si="35"/>
        <v>-5035.2</v>
      </c>
      <c r="F41" s="21">
        <f t="shared" si="35"/>
        <v>-4319</v>
      </c>
      <c r="G41" s="21">
        <f t="shared" si="35"/>
        <v>-6231</v>
      </c>
      <c r="H41" s="22">
        <f t="shared" si="35"/>
        <v>-6231</v>
      </c>
      <c r="I41" s="21">
        <f t="shared" si="35"/>
        <v>-6759.0999999999995</v>
      </c>
      <c r="J41" s="21">
        <f t="shared" si="35"/>
        <v>-7532.9000000000005</v>
      </c>
      <c r="K41" s="21">
        <f t="shared" si="35"/>
        <v>-8624.2999999999993</v>
      </c>
      <c r="L41" s="21">
        <f t="shared" si="35"/>
        <v>-7799.4000000000005</v>
      </c>
      <c r="M41" s="22">
        <f t="shared" si="35"/>
        <v>-7799.4000000000005</v>
      </c>
      <c r="N41" s="21">
        <f t="shared" si="35"/>
        <v>-7904</v>
      </c>
      <c r="O41" s="21">
        <f t="shared" si="35"/>
        <v>-7648.3</v>
      </c>
      <c r="P41" s="21">
        <f t="shared" si="35"/>
        <v>-6794.3</v>
      </c>
      <c r="Q41" s="21">
        <f t="shared" si="35"/>
        <v>-5314.5</v>
      </c>
      <c r="R41" s="22">
        <f t="shared" si="35"/>
        <v>-5314.5</v>
      </c>
      <c r="S41" s="21">
        <f t="shared" si="35"/>
        <v>-8450.3000000000011</v>
      </c>
      <c r="T41" s="21">
        <f t="shared" si="35"/>
        <v>-8761.2000000000007</v>
      </c>
      <c r="U41" s="21">
        <f t="shared" si="35"/>
        <v>-8658.9</v>
      </c>
      <c r="V41" s="21">
        <f t="shared" si="35"/>
        <v>-8698.7000000000007</v>
      </c>
      <c r="W41" s="22">
        <f t="shared" si="35"/>
        <v>-8698.7000000000007</v>
      </c>
      <c r="X41" s="116">
        <f t="shared" si="35"/>
        <v>-8665.9000000000015</v>
      </c>
      <c r="Y41" s="21">
        <f t="shared" si="35"/>
        <v>-8499.4</v>
      </c>
      <c r="Z41" s="21">
        <f t="shared" si="35"/>
        <v>-8107.1432470864193</v>
      </c>
      <c r="AA41" s="21">
        <f t="shared" si="35"/>
        <v>-7643.8426927029568</v>
      </c>
      <c r="AB41" s="22">
        <f t="shared" si="35"/>
        <v>-7643.8426927029568</v>
      </c>
      <c r="AC41" s="21">
        <f t="shared" si="35"/>
        <v>-7243.6420599249495</v>
      </c>
      <c r="AD41" s="21">
        <f t="shared" si="35"/>
        <v>-6857.6628962715995</v>
      </c>
      <c r="AE41" s="21">
        <f t="shared" si="35"/>
        <v>-6327.1826008631342</v>
      </c>
      <c r="AF41" s="21">
        <f t="shared" si="35"/>
        <v>-5820.8088077349921</v>
      </c>
      <c r="AG41" s="22">
        <f t="shared" si="35"/>
        <v>-5820.8088077349921</v>
      </c>
      <c r="AH41" s="21">
        <f t="shared" si="35"/>
        <v>-5271.801971128165</v>
      </c>
      <c r="AI41" s="21">
        <f t="shared" si="35"/>
        <v>-4721.5630507817295</v>
      </c>
      <c r="AJ41" s="21">
        <f t="shared" si="35"/>
        <v>-9443.7223333051479</v>
      </c>
      <c r="AK41" s="21">
        <f t="shared" si="35"/>
        <v>-14281.073858927983</v>
      </c>
      <c r="AL41" s="22">
        <f t="shared" si="35"/>
        <v>-14281.073858927983</v>
      </c>
      <c r="AM41" s="21">
        <f t="shared" si="35"/>
        <v>-13815.909174410512</v>
      </c>
      <c r="AN41" s="21">
        <f t="shared" si="35"/>
        <v>-13352.242429548764</v>
      </c>
      <c r="AO41" s="21">
        <f t="shared" si="35"/>
        <v>-12627.52128176465</v>
      </c>
      <c r="AP41" s="21">
        <f t="shared" si="35"/>
        <v>-11954.971067381273</v>
      </c>
      <c r="AQ41" s="22">
        <f t="shared" si="35"/>
        <v>-11954.971067381273</v>
      </c>
      <c r="AR41" s="21">
        <f t="shared" si="35"/>
        <v>-11368.390265673583</v>
      </c>
      <c r="AS41" s="21">
        <f t="shared" si="35"/>
        <v>-10779.89743476104</v>
      </c>
      <c r="AT41" s="21">
        <f t="shared" si="35"/>
        <v>-9948.1974687361508</v>
      </c>
      <c r="AU41" s="21">
        <f t="shared" si="35"/>
        <v>-9178.7643653663054</v>
      </c>
      <c r="AV41" s="22">
        <f t="shared" si="35"/>
        <v>-9178.7643653663054</v>
      </c>
    </row>
    <row r="42" spans="1:48" outlineLevel="1" x14ac:dyDescent="0.3">
      <c r="B42" s="617" t="s">
        <v>248</v>
      </c>
      <c r="C42" s="618"/>
      <c r="D42" s="267">
        <f t="shared" ref="D42:AV42" si="36">D41+D35</f>
        <v>19981.300000000003</v>
      </c>
      <c r="E42" s="267">
        <f t="shared" si="36"/>
        <v>17641.899999999998</v>
      </c>
      <c r="F42" s="267">
        <f t="shared" si="36"/>
        <v>20894.400000000001</v>
      </c>
      <c r="G42" s="267">
        <f t="shared" si="36"/>
        <v>19219.599999999999</v>
      </c>
      <c r="H42" s="268">
        <f t="shared" si="36"/>
        <v>19219.599999999999</v>
      </c>
      <c r="I42" s="267">
        <f t="shared" si="36"/>
        <v>27731.300000000003</v>
      </c>
      <c r="J42" s="267">
        <f t="shared" si="36"/>
        <v>27478.9</v>
      </c>
      <c r="K42" s="267">
        <f t="shared" si="36"/>
        <v>29140.599999999995</v>
      </c>
      <c r="L42" s="267">
        <f t="shared" si="36"/>
        <v>29374.500000000007</v>
      </c>
      <c r="M42" s="268">
        <f t="shared" si="36"/>
        <v>29374.500000000007</v>
      </c>
      <c r="N42" s="267">
        <f t="shared" si="36"/>
        <v>29968.400000000001</v>
      </c>
      <c r="O42" s="267">
        <f t="shared" si="36"/>
        <v>28371.7</v>
      </c>
      <c r="P42" s="267">
        <f t="shared" si="36"/>
        <v>29476.799999999999</v>
      </c>
      <c r="Q42" s="267">
        <f t="shared" si="36"/>
        <v>31392.600000000006</v>
      </c>
      <c r="R42" s="268">
        <f t="shared" si="36"/>
        <v>31392.600000000006</v>
      </c>
      <c r="S42" s="267">
        <f t="shared" si="36"/>
        <v>28833.899999999994</v>
      </c>
      <c r="T42" s="267">
        <f t="shared" si="36"/>
        <v>29021.499999999996</v>
      </c>
      <c r="U42" s="267">
        <f t="shared" si="36"/>
        <v>28156.199999999997</v>
      </c>
      <c r="V42" s="267">
        <f t="shared" si="36"/>
        <v>27978.399999999998</v>
      </c>
      <c r="W42" s="268">
        <f t="shared" si="36"/>
        <v>27978.399999999998</v>
      </c>
      <c r="X42" s="267">
        <f t="shared" si="36"/>
        <v>28256.1</v>
      </c>
      <c r="Y42" s="267">
        <f t="shared" si="36"/>
        <v>28608.999999999993</v>
      </c>
      <c r="Z42" s="267">
        <f t="shared" si="36"/>
        <v>29111.821241941263</v>
      </c>
      <c r="AA42" s="267">
        <f t="shared" si="36"/>
        <v>29330.715949977843</v>
      </c>
      <c r="AB42" s="268">
        <f t="shared" si="36"/>
        <v>29330.715949977843</v>
      </c>
      <c r="AC42" s="267">
        <f t="shared" si="36"/>
        <v>30275.507133397998</v>
      </c>
      <c r="AD42" s="267">
        <f t="shared" si="36"/>
        <v>30279.348518905041</v>
      </c>
      <c r="AE42" s="267">
        <f t="shared" si="36"/>
        <v>30896.145225486456</v>
      </c>
      <c r="AF42" s="267">
        <f t="shared" si="36"/>
        <v>31219.332055940435</v>
      </c>
      <c r="AG42" s="268">
        <f t="shared" si="36"/>
        <v>31219.332055940435</v>
      </c>
      <c r="AH42" s="267">
        <f t="shared" si="36"/>
        <v>32324.795790999015</v>
      </c>
      <c r="AI42" s="267">
        <f t="shared" si="36"/>
        <v>32486.602990822812</v>
      </c>
      <c r="AJ42" s="267">
        <f t="shared" si="36"/>
        <v>34150.275635015976</v>
      </c>
      <c r="AK42" s="267">
        <f t="shared" si="36"/>
        <v>29122.283054162686</v>
      </c>
      <c r="AL42" s="268">
        <f t="shared" si="36"/>
        <v>29122.283054162686</v>
      </c>
      <c r="AM42" s="267">
        <f t="shared" si="36"/>
        <v>30135.22859660344</v>
      </c>
      <c r="AN42" s="267">
        <f t="shared" si="36"/>
        <v>29176.659220917762</v>
      </c>
      <c r="AO42" s="267">
        <f t="shared" si="36"/>
        <v>30035.167802290689</v>
      </c>
      <c r="AP42" s="267">
        <f t="shared" si="36"/>
        <v>30498.750674128511</v>
      </c>
      <c r="AQ42" s="268">
        <f t="shared" si="36"/>
        <v>30498.750674128511</v>
      </c>
      <c r="AR42" s="267">
        <f t="shared" si="36"/>
        <v>31684.495477739845</v>
      </c>
      <c r="AS42" s="267">
        <f t="shared" si="36"/>
        <v>31814.044716250799</v>
      </c>
      <c r="AT42" s="267">
        <f t="shared" si="36"/>
        <v>32778.978277535651</v>
      </c>
      <c r="AU42" s="267">
        <f t="shared" si="36"/>
        <v>33337.665621706037</v>
      </c>
      <c r="AV42" s="268">
        <f t="shared" si="36"/>
        <v>33337.665621706037</v>
      </c>
    </row>
    <row r="43" spans="1:48" s="99" customFormat="1" x14ac:dyDescent="0.3">
      <c r="B43" s="491"/>
      <c r="C43" s="492"/>
      <c r="D43" s="493">
        <f t="shared" ref="D43:AV43" si="37">ROUND((D42-D20),0)</f>
        <v>0</v>
      </c>
      <c r="E43" s="493">
        <f t="shared" si="37"/>
        <v>0</v>
      </c>
      <c r="F43" s="493">
        <f t="shared" si="37"/>
        <v>0</v>
      </c>
      <c r="G43" s="493">
        <f t="shared" si="37"/>
        <v>0</v>
      </c>
      <c r="H43" s="493">
        <f t="shared" si="37"/>
        <v>0</v>
      </c>
      <c r="I43" s="493">
        <f t="shared" si="37"/>
        <v>0</v>
      </c>
      <c r="J43" s="493">
        <f t="shared" si="37"/>
        <v>0</v>
      </c>
      <c r="K43" s="493">
        <f t="shared" si="37"/>
        <v>0</v>
      </c>
      <c r="L43" s="494">
        <f t="shared" si="37"/>
        <v>0</v>
      </c>
      <c r="M43" s="494">
        <f t="shared" si="37"/>
        <v>0</v>
      </c>
      <c r="N43" s="494">
        <f t="shared" si="37"/>
        <v>0</v>
      </c>
      <c r="O43" s="494">
        <f t="shared" si="37"/>
        <v>0</v>
      </c>
      <c r="P43" s="494">
        <f t="shared" si="37"/>
        <v>0</v>
      </c>
      <c r="Q43" s="494">
        <f t="shared" si="37"/>
        <v>0</v>
      </c>
      <c r="R43" s="494">
        <f t="shared" si="37"/>
        <v>0</v>
      </c>
      <c r="S43" s="494">
        <f t="shared" si="37"/>
        <v>0</v>
      </c>
      <c r="T43" s="494">
        <f t="shared" si="37"/>
        <v>0</v>
      </c>
      <c r="U43" s="494">
        <f t="shared" si="37"/>
        <v>0</v>
      </c>
      <c r="V43" s="494">
        <f t="shared" si="37"/>
        <v>0</v>
      </c>
      <c r="W43" s="494">
        <f t="shared" si="37"/>
        <v>0</v>
      </c>
      <c r="X43" s="494">
        <f t="shared" si="37"/>
        <v>0</v>
      </c>
      <c r="Y43" s="272">
        <f t="shared" si="37"/>
        <v>0</v>
      </c>
      <c r="Z43" s="494">
        <f t="shared" si="37"/>
        <v>0</v>
      </c>
      <c r="AA43" s="494">
        <f t="shared" si="37"/>
        <v>0</v>
      </c>
      <c r="AB43" s="494">
        <f t="shared" si="37"/>
        <v>0</v>
      </c>
      <c r="AC43" s="494">
        <f t="shared" si="37"/>
        <v>0</v>
      </c>
      <c r="AD43" s="494">
        <f t="shared" si="37"/>
        <v>0</v>
      </c>
      <c r="AE43" s="494">
        <f t="shared" si="37"/>
        <v>0</v>
      </c>
      <c r="AF43" s="494">
        <f t="shared" si="37"/>
        <v>0</v>
      </c>
      <c r="AG43" s="494">
        <f t="shared" si="37"/>
        <v>0</v>
      </c>
      <c r="AH43" s="494">
        <f t="shared" si="37"/>
        <v>0</v>
      </c>
      <c r="AI43" s="494">
        <f t="shared" si="37"/>
        <v>0</v>
      </c>
      <c r="AJ43" s="494">
        <f t="shared" si="37"/>
        <v>0</v>
      </c>
      <c r="AK43" s="494">
        <f t="shared" si="37"/>
        <v>0</v>
      </c>
      <c r="AL43" s="494">
        <f t="shared" si="37"/>
        <v>0</v>
      </c>
      <c r="AM43" s="494">
        <f t="shared" si="37"/>
        <v>0</v>
      </c>
      <c r="AN43" s="494">
        <f t="shared" si="37"/>
        <v>0</v>
      </c>
      <c r="AO43" s="494">
        <f t="shared" si="37"/>
        <v>0</v>
      </c>
      <c r="AP43" s="494">
        <f t="shared" si="37"/>
        <v>0</v>
      </c>
      <c r="AQ43" s="494">
        <f t="shared" si="37"/>
        <v>0</v>
      </c>
      <c r="AR43" s="494">
        <f t="shared" si="37"/>
        <v>0</v>
      </c>
      <c r="AS43" s="494">
        <f t="shared" si="37"/>
        <v>0</v>
      </c>
      <c r="AT43" s="494">
        <f t="shared" si="37"/>
        <v>0</v>
      </c>
      <c r="AU43" s="494">
        <f t="shared" si="37"/>
        <v>0</v>
      </c>
      <c r="AV43" s="494">
        <f t="shared" si="37"/>
        <v>0</v>
      </c>
    </row>
    <row r="44" spans="1:48" ht="15.6" x14ac:dyDescent="0.3">
      <c r="B44" s="583" t="s">
        <v>249</v>
      </c>
      <c r="C44" s="584"/>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3" t="s">
        <v>407</v>
      </c>
      <c r="Y44" s="13" t="s">
        <v>451</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85"/>
      <c r="C45" s="586"/>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4" t="s">
        <v>408</v>
      </c>
      <c r="Y45" s="14" t="s">
        <v>452</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31+30+31</f>
        <v>92</v>
      </c>
      <c r="E46" s="274">
        <f>31+28+31</f>
        <v>90</v>
      </c>
      <c r="F46" s="274">
        <f>30+31+30</f>
        <v>91</v>
      </c>
      <c r="G46" s="274">
        <f>31+31+30</f>
        <v>92</v>
      </c>
      <c r="H46" s="122"/>
      <c r="I46" s="274">
        <f>31+30+31</f>
        <v>92</v>
      </c>
      <c r="J46" s="274">
        <f>31+29+31</f>
        <v>91</v>
      </c>
      <c r="K46" s="274">
        <f>30+31+30</f>
        <v>91</v>
      </c>
      <c r="L46" s="274">
        <f>31+31+30</f>
        <v>92</v>
      </c>
      <c r="M46" s="122"/>
      <c r="N46" s="274">
        <f>31+30+31</f>
        <v>92</v>
      </c>
      <c r="O46" s="274">
        <f>31+28+31</f>
        <v>90</v>
      </c>
      <c r="P46" s="274">
        <f>30+31+30</f>
        <v>91</v>
      </c>
      <c r="Q46" s="274">
        <f>31+31+30</f>
        <v>92</v>
      </c>
      <c r="R46" s="122"/>
      <c r="S46" s="274">
        <f>31+30+31</f>
        <v>92</v>
      </c>
      <c r="T46" s="274">
        <f>31+28+31</f>
        <v>90</v>
      </c>
      <c r="U46" s="274">
        <f>30+31+30</f>
        <v>91</v>
      </c>
      <c r="V46" s="274">
        <f>31+31+30</f>
        <v>92</v>
      </c>
      <c r="W46" s="122"/>
      <c r="X46" s="274">
        <f>31+30+31</f>
        <v>92</v>
      </c>
      <c r="Y46" s="274">
        <f>31+28+31</f>
        <v>90</v>
      </c>
      <c r="Z46" s="274">
        <f>30+31+30</f>
        <v>91</v>
      </c>
      <c r="AA46" s="274">
        <f>31+31+30</f>
        <v>92</v>
      </c>
      <c r="AB46" s="122"/>
      <c r="AC46" s="274">
        <f>31+30+31</f>
        <v>92</v>
      </c>
      <c r="AD46" s="274">
        <f>31+29+31</f>
        <v>91</v>
      </c>
      <c r="AE46" s="274">
        <f>30+31+30</f>
        <v>91</v>
      </c>
      <c r="AF46" s="274">
        <f>31+31+30</f>
        <v>92</v>
      </c>
      <c r="AG46" s="122"/>
      <c r="AH46" s="274">
        <f>31+30+31</f>
        <v>92</v>
      </c>
      <c r="AI46" s="274">
        <f>31+28+31</f>
        <v>90</v>
      </c>
      <c r="AJ46" s="274">
        <f>30+31+30</f>
        <v>91</v>
      </c>
      <c r="AK46" s="274">
        <f>31+31+30</f>
        <v>92</v>
      </c>
      <c r="AL46" s="122"/>
      <c r="AM46" s="274">
        <f>31+30+31</f>
        <v>92</v>
      </c>
      <c r="AN46" s="274">
        <f>31+28+31</f>
        <v>90</v>
      </c>
      <c r="AO46" s="274">
        <f>30+31+30</f>
        <v>91</v>
      </c>
      <c r="AP46" s="274">
        <f>31+31+30</f>
        <v>92</v>
      </c>
      <c r="AQ46" s="122"/>
      <c r="AR46" s="274">
        <f>31+30+31</f>
        <v>92</v>
      </c>
      <c r="AS46" s="274">
        <f>31+28+31</f>
        <v>90</v>
      </c>
      <c r="AT46" s="274">
        <f>30+31+30</f>
        <v>91</v>
      </c>
      <c r="AU46" s="274">
        <f>31+31+30</f>
        <v>92</v>
      </c>
      <c r="AV46" s="122"/>
    </row>
    <row r="47" spans="1:48" outlineLevel="1" x14ac:dyDescent="0.3">
      <c r="B47" s="580" t="s">
        <v>251</v>
      </c>
      <c r="C47" s="581"/>
      <c r="D47" s="276">
        <f>'IS (Base)'!D8/'BS (Base)'!D8</f>
        <v>9.1942057111172737</v>
      </c>
      <c r="E47" s="276">
        <f>'IS (Base)'!E8/'BS (Base)'!E8</f>
        <v>8.9623365548607161</v>
      </c>
      <c r="F47" s="276">
        <f>'IS (Base)'!F8/'BS (Base)'!F8</f>
        <v>8.6301543131798635</v>
      </c>
      <c r="G47" s="276">
        <f>'IS (Base)'!G8/'BS (Base)'!G8</f>
        <v>7.6757679180887379</v>
      </c>
      <c r="H47" s="126"/>
      <c r="I47" s="276">
        <f>'IS (Base)'!I8/'BS (Base)'!I8</f>
        <v>7.8153287082920375</v>
      </c>
      <c r="J47" s="276">
        <f>'IS (Base)'!J8/'BS (Base)'!J8</f>
        <v>6.3716259298618487</v>
      </c>
      <c r="K47" s="276">
        <f>'IS (Base)'!K8/'BS (Base)'!K8</f>
        <v>4.7918510952218822</v>
      </c>
      <c r="L47" s="276">
        <f>'IS (Base)'!L8/'BS (Base)'!L8</f>
        <v>7.0218474077428121</v>
      </c>
      <c r="M47" s="31"/>
      <c r="N47" s="276">
        <f>'IS (Base)'!N8/'BS (Base)'!N8</f>
        <v>7.6006756756756761</v>
      </c>
      <c r="O47" s="276">
        <f>'IS (Base)'!O8/'BS (Base)'!O8</f>
        <v>7.5755510111338324</v>
      </c>
      <c r="P47" s="276">
        <f>'IS (Base)'!P8/'BS (Base)'!P8</f>
        <v>8.2270632133450388</v>
      </c>
      <c r="Q47" s="276">
        <f>'IS (Base)'!Q8/'BS (Base)'!Q8</f>
        <v>8.6667021276595744</v>
      </c>
      <c r="R47" s="31"/>
      <c r="S47" s="276">
        <f>'IS (Base)'!S8/'BS (Base)'!S8</f>
        <v>7.8075841334497138</v>
      </c>
      <c r="T47" s="276">
        <f>'IS (Base)'!T8/'BS (Base)'!T8</f>
        <v>7.6211198722427387</v>
      </c>
      <c r="U47" s="276">
        <f>'IS (Base)'!U8/'BS (Base)'!U8</f>
        <v>7.1111595846784761</v>
      </c>
      <c r="V47" s="276">
        <f>'IS (Base)'!V8/'BS (Base)'!V8</f>
        <v>7.1579753296469582</v>
      </c>
      <c r="W47" s="126"/>
      <c r="X47" s="276">
        <f>'IS (Base)'!X8/'BS (Base)'!X8</f>
        <v>7.4932496345343527</v>
      </c>
      <c r="Y47" s="276">
        <f>'IS (Base)'!Y8/'BS (Base)'!Y8</f>
        <v>7.3535166132568728</v>
      </c>
      <c r="Z47" s="277">
        <f t="shared" ref="Z47:AA47" si="38">AVERAGE(U47,P47,K47)</f>
        <v>6.7100246310817999</v>
      </c>
      <c r="AA47" s="277">
        <f t="shared" si="38"/>
        <v>7.6155082883497807</v>
      </c>
      <c r="AB47" s="278"/>
      <c r="AC47" s="277">
        <f t="shared" ref="AC47:AF47" si="39">AVERAGE(X47,S47,N47)</f>
        <v>7.6338364812199133</v>
      </c>
      <c r="AD47" s="277">
        <f t="shared" si="39"/>
        <v>7.5167291655444819</v>
      </c>
      <c r="AE47" s="277">
        <f t="shared" si="39"/>
        <v>7.3494158097017719</v>
      </c>
      <c r="AF47" s="277">
        <f t="shared" si="39"/>
        <v>7.813395248552105</v>
      </c>
      <c r="AG47" s="278"/>
      <c r="AH47" s="277">
        <f t="shared" ref="AH47:AK47" si="40">AVERAGE(AC47,X47,S47)</f>
        <v>7.6448900830679944</v>
      </c>
      <c r="AI47" s="277">
        <f t="shared" si="40"/>
        <v>7.4971218836813636</v>
      </c>
      <c r="AJ47" s="277">
        <f t="shared" si="40"/>
        <v>7.0568666751540157</v>
      </c>
      <c r="AK47" s="277">
        <f t="shared" si="40"/>
        <v>7.5289596221829482</v>
      </c>
      <c r="AL47" s="278"/>
      <c r="AM47" s="277">
        <f t="shared" ref="AM47:AP47" si="41">AVERAGE(AH47,AC47,X47)</f>
        <v>7.5906587329407529</v>
      </c>
      <c r="AN47" s="277">
        <f t="shared" si="41"/>
        <v>7.4557892208275724</v>
      </c>
      <c r="AO47" s="277">
        <f t="shared" si="41"/>
        <v>7.0387690386458628</v>
      </c>
      <c r="AP47" s="277">
        <f t="shared" si="41"/>
        <v>7.6526210530282777</v>
      </c>
      <c r="AQ47" s="278"/>
      <c r="AR47" s="277">
        <f t="shared" ref="AR47:AU47" si="42">AVERAGE(AM47,AH47,AC47)</f>
        <v>7.6231284324095538</v>
      </c>
      <c r="AS47" s="277">
        <f t="shared" si="42"/>
        <v>7.489880090017806</v>
      </c>
      <c r="AT47" s="277">
        <f t="shared" si="42"/>
        <v>7.1483505078338831</v>
      </c>
      <c r="AU47" s="277">
        <f t="shared" si="42"/>
        <v>7.6649919745877773</v>
      </c>
      <c r="AV47" s="278"/>
    </row>
    <row r="48" spans="1:48" s="23" customFormat="1" outlineLevel="1" x14ac:dyDescent="0.3">
      <c r="B48" s="607" t="s">
        <v>252</v>
      </c>
      <c r="C48" s="608"/>
      <c r="D48" s="279">
        <f>D46/D47</f>
        <v>10.00630210924661</v>
      </c>
      <c r="E48" s="279">
        <f>E46/E47</f>
        <v>10.042024136126486</v>
      </c>
      <c r="F48" s="274">
        <f>F46/F47</f>
        <v>10.544423274219552</v>
      </c>
      <c r="G48" s="274">
        <f>G46/G47</f>
        <v>11.985771453979545</v>
      </c>
      <c r="H48" s="126"/>
      <c r="I48" s="274">
        <f>I46/I47</f>
        <v>11.771737752039567</v>
      </c>
      <c r="J48" s="274">
        <f>J46/J47</f>
        <v>14.28206881598479</v>
      </c>
      <c r="K48" s="274">
        <f>K46/K47</f>
        <v>18.990573411335589</v>
      </c>
      <c r="L48" s="279">
        <f>L46/L47</f>
        <v>13.101965146459028</v>
      </c>
      <c r="M48" s="31"/>
      <c r="N48" s="279">
        <f>N46/N47</f>
        <v>12.104187038847897</v>
      </c>
      <c r="O48" s="279">
        <f>O46/O47</f>
        <v>11.880323935212958</v>
      </c>
      <c r="P48" s="279">
        <f>P46/P47</f>
        <v>11.061055159074236</v>
      </c>
      <c r="Q48" s="279">
        <f>Q46/Q47</f>
        <v>10.615341181091731</v>
      </c>
      <c r="R48" s="31"/>
      <c r="S48" s="279">
        <f>S46/S47</f>
        <v>11.783414488721057</v>
      </c>
      <c r="T48" s="279">
        <f>T46/T47</f>
        <v>11.809288071664309</v>
      </c>
      <c r="U48" s="279">
        <f>U46/U47</f>
        <v>12.79678776947522</v>
      </c>
      <c r="V48" s="279">
        <f>V46/V47</f>
        <v>12.852796463121866</v>
      </c>
      <c r="W48" s="126"/>
      <c r="X48" s="279">
        <f>X46/X47</f>
        <v>12.277717210433906</v>
      </c>
      <c r="Y48" s="279">
        <f>Y46/Y47</f>
        <v>12.239042179866511</v>
      </c>
      <c r="Z48" s="279">
        <f>Z46/Z47</f>
        <v>13.561798205400752</v>
      </c>
      <c r="AA48" s="279">
        <f>AA46/AA47</f>
        <v>12.080611893068488</v>
      </c>
      <c r="AB48" s="31"/>
      <c r="AC48" s="279">
        <f>AC46/AC47</f>
        <v>12.051607370203728</v>
      </c>
      <c r="AD48" s="279">
        <f>AD46/AD47</f>
        <v>12.106329494633098</v>
      </c>
      <c r="AE48" s="279">
        <f>AE46/AE47</f>
        <v>12.381936517984638</v>
      </c>
      <c r="AF48" s="279">
        <f>AF46/AF47</f>
        <v>11.774650721406735</v>
      </c>
      <c r="AG48" s="31"/>
      <c r="AH48" s="279">
        <f>AH46/AH47</f>
        <v>12.034182179252365</v>
      </c>
      <c r="AI48" s="279">
        <f>AI46/AI47</f>
        <v>12.004606753946312</v>
      </c>
      <c r="AJ48" s="279">
        <f>AJ46/AJ47</f>
        <v>12.89524149866611</v>
      </c>
      <c r="AK48" s="279">
        <f>AK46/AK47</f>
        <v>12.219483782186296</v>
      </c>
      <c r="AL48" s="31"/>
      <c r="AM48" s="279">
        <f>AM46/AM47</f>
        <v>12.120160217551712</v>
      </c>
      <c r="AN48" s="279">
        <f>AN46/AN47</f>
        <v>12.071156699090569</v>
      </c>
      <c r="AO48" s="279">
        <f>AO46/AO47</f>
        <v>12.928396925708309</v>
      </c>
      <c r="AP48" s="279">
        <f>AP46/AP47</f>
        <v>12.022024788956978</v>
      </c>
      <c r="AQ48" s="31"/>
      <c r="AR48" s="279">
        <f>AR46/AR47</f>
        <v>12.068536010604797</v>
      </c>
      <c r="AS48" s="279">
        <f>AS46/AS47</f>
        <v>12.016213733507987</v>
      </c>
      <c r="AT48" s="279">
        <f>AT46/AT47</f>
        <v>12.730209563769016</v>
      </c>
      <c r="AU48" s="279">
        <f>AU46/AU47</f>
        <v>12.002621829874487</v>
      </c>
      <c r="AV48" s="31"/>
    </row>
    <row r="49" spans="2:48" outlineLevel="1" x14ac:dyDescent="0.3">
      <c r="B49" s="580" t="s">
        <v>253</v>
      </c>
      <c r="C49" s="581"/>
      <c r="D49" s="276">
        <f>'IS (Base)'!D9/'BS (Base)'!D9</f>
        <v>1.6062306215857083</v>
      </c>
      <c r="E49" s="276">
        <f>'IS (Base)'!E9/'BS (Base)'!E9</f>
        <v>1.3943173943173943</v>
      </c>
      <c r="F49" s="276">
        <f>'IS (Base)'!F9/'BS (Base)'!F9</f>
        <v>1.4497759029791721</v>
      </c>
      <c r="G49" s="276">
        <f>'IS (Base)'!G9/'BS (Base)'!G9</f>
        <v>1.3989146070354381</v>
      </c>
      <c r="H49" s="126"/>
      <c r="I49" s="276">
        <f>'IS (Base)'!I9/'BS (Base)'!I9</f>
        <v>1.5875630013487614</v>
      </c>
      <c r="J49" s="276">
        <f>'IS (Base)'!J9/'BS (Base)'!J9</f>
        <v>1.3387615601125855</v>
      </c>
      <c r="K49" s="276">
        <f>'IS (Base)'!K9/'BS (Base)'!K9</f>
        <v>0.93698699330723578</v>
      </c>
      <c r="L49" s="276">
        <f>'IS (Base)'!L9/'BS (Base)'!L9</f>
        <v>1.2742039448240299</v>
      </c>
      <c r="M49" s="31"/>
      <c r="N49" s="276">
        <f>'IS (Base)'!N9/'BS (Base)'!N9</f>
        <v>1.3925246347264695</v>
      </c>
      <c r="O49" s="276">
        <f>'IS (Base)'!O9/'BS (Base)'!O9</f>
        <v>1.3250864591646716</v>
      </c>
      <c r="P49" s="276">
        <f>'IS (Base)'!P9/'BS (Base)'!P9</f>
        <v>1.4248805063945227</v>
      </c>
      <c r="Q49" s="276">
        <f>'IS (Base)'!Q9/'BS (Base)'!Q9</f>
        <v>1.5531516927489244</v>
      </c>
      <c r="R49" s="31"/>
      <c r="S49" s="276">
        <f>'IS (Base)'!S9/'BS (Base)'!S9</f>
        <v>1.5435220817298883</v>
      </c>
      <c r="T49" s="276">
        <f>'IS (Base)'!T9/'BS (Base)'!T9</f>
        <v>1.2842708333333335</v>
      </c>
      <c r="U49" s="276">
        <f>'IS (Base)'!U9/'BS (Base)'!U9</f>
        <v>1.2253739040742651</v>
      </c>
      <c r="V49" s="276">
        <f>'IS (Base)'!V9/'BS (Base)'!V9</f>
        <v>1.2455205366167417</v>
      </c>
      <c r="W49" s="126"/>
      <c r="X49" s="276">
        <f>'IS (Base)'!X9/'BS (Base)'!X9</f>
        <v>1.3458167712274316</v>
      </c>
      <c r="Y49" s="276">
        <f>'IS (Base)'!Y9/'BS (Base)'!Y9</f>
        <v>1.4004298710386884</v>
      </c>
      <c r="Z49" s="277">
        <f t="shared" ref="Z49:AA49" si="43">AVERAGE(U49,P49,K49)</f>
        <v>1.1957471345920079</v>
      </c>
      <c r="AA49" s="277">
        <f t="shared" si="43"/>
        <v>1.3576253913965652</v>
      </c>
      <c r="AB49" s="278"/>
      <c r="AC49" s="277">
        <f t="shared" ref="AC49:AF49" si="44">AVERAGE(X49,S49,N49)</f>
        <v>1.4272878292279298</v>
      </c>
      <c r="AD49" s="277">
        <f t="shared" si="44"/>
        <v>1.3365957211788979</v>
      </c>
      <c r="AE49" s="277">
        <f t="shared" si="44"/>
        <v>1.2820005150202654</v>
      </c>
      <c r="AF49" s="277">
        <f t="shared" si="44"/>
        <v>1.385432540254077</v>
      </c>
      <c r="AG49" s="278"/>
      <c r="AH49" s="277">
        <f t="shared" ref="AH49:AK49" si="45">AVERAGE(AC49,X49,S49)</f>
        <v>1.4388755607284167</v>
      </c>
      <c r="AI49" s="277">
        <f t="shared" si="45"/>
        <v>1.3404321418503065</v>
      </c>
      <c r="AJ49" s="277">
        <f t="shared" si="45"/>
        <v>1.234373851228846</v>
      </c>
      <c r="AK49" s="277">
        <f t="shared" si="45"/>
        <v>1.3295261560891281</v>
      </c>
      <c r="AL49" s="278"/>
      <c r="AM49" s="277">
        <f t="shared" ref="AM49:AP49" si="46">AVERAGE(AH49,AC49,X49)</f>
        <v>1.4039933870612593</v>
      </c>
      <c r="AN49" s="277">
        <f t="shared" si="46"/>
        <v>1.3591525780226308</v>
      </c>
      <c r="AO49" s="277">
        <f t="shared" si="46"/>
        <v>1.2373738336137066</v>
      </c>
      <c r="AP49" s="277">
        <f t="shared" si="46"/>
        <v>1.3575280292465901</v>
      </c>
      <c r="AQ49" s="278"/>
      <c r="AR49" s="277">
        <f t="shared" ref="AR49:AU49" si="47">AVERAGE(AM49,AH49,AC49)</f>
        <v>1.423385592339202</v>
      </c>
      <c r="AS49" s="277">
        <f t="shared" si="47"/>
        <v>1.3453934803506116</v>
      </c>
      <c r="AT49" s="277">
        <f t="shared" si="47"/>
        <v>1.2512493999542726</v>
      </c>
      <c r="AU49" s="277">
        <f t="shared" si="47"/>
        <v>1.3574955751965982</v>
      </c>
      <c r="AV49" s="278"/>
    </row>
    <row r="50" spans="2:48" s="23" customFormat="1" outlineLevel="1" x14ac:dyDescent="0.3">
      <c r="B50" s="607" t="s">
        <v>252</v>
      </c>
      <c r="C50" s="608"/>
      <c r="D50" s="279">
        <f>D46/D49</f>
        <v>57.276955602536987</v>
      </c>
      <c r="E50" s="279">
        <f>E46/E49</f>
        <v>64.547713717693838</v>
      </c>
      <c r="F50" s="274">
        <f>F46/F49</f>
        <v>62.768321513002363</v>
      </c>
      <c r="G50" s="274">
        <f>G46/G49</f>
        <v>65.765272259873825</v>
      </c>
      <c r="H50" s="126"/>
      <c r="I50" s="274">
        <f>I46/I49</f>
        <v>57.950456090144868</v>
      </c>
      <c r="J50" s="274">
        <f>J46/J49</f>
        <v>67.973269259648589</v>
      </c>
      <c r="K50" s="274">
        <f>K46/K49</f>
        <v>97.119811320754721</v>
      </c>
      <c r="L50" s="279">
        <f>L46/L49</f>
        <v>72.201942533387296</v>
      </c>
      <c r="M50" s="31"/>
      <c r="N50" s="279">
        <f>N46/N49</f>
        <v>66.067053828510083</v>
      </c>
      <c r="O50" s="279">
        <f>O46/O49</f>
        <v>67.920096366191515</v>
      </c>
      <c r="P50" s="279">
        <f>P46/P49</f>
        <v>63.865004533091565</v>
      </c>
      <c r="Q50" s="279">
        <f>Q46/Q49</f>
        <v>59.234394444221429</v>
      </c>
      <c r="R50" s="31"/>
      <c r="S50" s="279">
        <f>S46/S49</f>
        <v>59.603941588507659</v>
      </c>
      <c r="T50" s="279">
        <f>T46/T49</f>
        <v>70.078676291670035</v>
      </c>
      <c r="U50" s="279">
        <f>U46/U49</f>
        <v>74.263047138047142</v>
      </c>
      <c r="V50" s="279">
        <f>V46/V49</f>
        <v>73.864699372925116</v>
      </c>
      <c r="W50" s="126"/>
      <c r="X50" s="279">
        <f>X46/X49</f>
        <v>68.359974379047756</v>
      </c>
      <c r="Y50" s="279">
        <f>Y46/Y49</f>
        <v>64.26598136845486</v>
      </c>
      <c r="Z50" s="279">
        <f>Z46/Z49</f>
        <v>76.103046678886201</v>
      </c>
      <c r="AA50" s="279">
        <f>AA46/AA49</f>
        <v>67.765379598094597</v>
      </c>
      <c r="AB50" s="31"/>
      <c r="AC50" s="279">
        <f>AC46/AC49</f>
        <v>64.457916697689512</v>
      </c>
      <c r="AD50" s="279">
        <f>AD46/AD49</f>
        <v>68.083414122960534</v>
      </c>
      <c r="AE50" s="279">
        <f>AE46/AE49</f>
        <v>70.982810797514773</v>
      </c>
      <c r="AF50" s="279">
        <f>AF46/AF49</f>
        <v>66.405254190960434</v>
      </c>
      <c r="AG50" s="31"/>
      <c r="AH50" s="279">
        <f>AH46/AH49</f>
        <v>63.938816191600267</v>
      </c>
      <c r="AI50" s="279">
        <f>AI46/AI49</f>
        <v>67.142526048178581</v>
      </c>
      <c r="AJ50" s="279">
        <f>AJ46/AJ49</f>
        <v>73.721587596340868</v>
      </c>
      <c r="AK50" s="279">
        <f>AK46/AK49</f>
        <v>69.19758560495184</v>
      </c>
      <c r="AL50" s="31"/>
      <c r="AM50" s="279">
        <f>AM46/AM49</f>
        <v>65.527374165606261</v>
      </c>
      <c r="AN50" s="279">
        <f>AN46/AN49</f>
        <v>66.217731147548506</v>
      </c>
      <c r="AO50" s="279">
        <f>AO46/AO49</f>
        <v>73.542851422870086</v>
      </c>
      <c r="AP50" s="279">
        <f>AP46/AP49</f>
        <v>67.770239743085654</v>
      </c>
      <c r="AQ50" s="31"/>
      <c r="AR50" s="279">
        <f>AR46/AR49</f>
        <v>64.634629221451192</v>
      </c>
      <c r="AS50" s="279">
        <f>AS46/AS49</f>
        <v>66.894928000205454</v>
      </c>
      <c r="AT50" s="279">
        <f>AT46/AT49</f>
        <v>72.727307604163983</v>
      </c>
      <c r="AU50" s="279">
        <f>AU46/AU49</f>
        <v>67.771859946339916</v>
      </c>
      <c r="AV50" s="31"/>
    </row>
    <row r="51" spans="2:48" s="23" customFormat="1" outlineLevel="1" x14ac:dyDescent="0.3">
      <c r="B51" s="580" t="s">
        <v>254</v>
      </c>
      <c r="C51" s="581"/>
      <c r="D51" s="276">
        <f>'IS (Base)'!D9/'BS (Base)'!D22</f>
        <v>1.9771013175829171</v>
      </c>
      <c r="E51" s="276">
        <f>'IS (Base)'!E9/'BS (Base)'!E22</f>
        <v>1.8345946931704202</v>
      </c>
      <c r="F51" s="276">
        <f>'IS (Base)'!F9/'BS (Base)'!F22</f>
        <v>1.9203771608171816</v>
      </c>
      <c r="G51" s="276">
        <f>'IS (Base)'!G9/'BS (Base)'!G22</f>
        <v>1.7983525258468513</v>
      </c>
      <c r="H51" s="127"/>
      <c r="I51" s="276">
        <f>'IS (Base)'!I9/'BS (Base)'!I22</f>
        <v>2.0600589535740608</v>
      </c>
      <c r="J51" s="276">
        <f>'IS (Base)'!J9/'BS (Base)'!J22</f>
        <v>2.0023053021950488</v>
      </c>
      <c r="K51" s="276">
        <f>'IS (Base)'!K9/'BS (Base)'!K22</f>
        <v>1.7239776951672863</v>
      </c>
      <c r="L51" s="276">
        <f>'IS (Base)'!L9/'BS (Base)'!L22</f>
        <v>1.9809600160336707</v>
      </c>
      <c r="M51" s="280"/>
      <c r="N51" s="276">
        <f>'IS (Base)'!N9/'BS (Base)'!N22</f>
        <v>1.9504092899295642</v>
      </c>
      <c r="O51" s="276">
        <f>'IS (Base)'!O9/'BS (Base)'!O22</f>
        <v>1.9276315789473686</v>
      </c>
      <c r="P51" s="276">
        <f>'IS (Base)'!P9/'BS (Base)'!P22</f>
        <v>1.9574090505767525</v>
      </c>
      <c r="Q51" s="276">
        <f>'IS (Base)'!Q9/'BS (Base)'!Q22</f>
        <v>2.0560415978870914</v>
      </c>
      <c r="R51" s="280"/>
      <c r="S51" s="276">
        <f>'IS (Base)'!S9/'BS (Base)'!S22</f>
        <v>1.9597487203350394</v>
      </c>
      <c r="T51" s="276">
        <f>'IS (Base)'!T9/'BS (Base)'!T22</f>
        <v>1.8546822113576533</v>
      </c>
      <c r="U51" s="276">
        <f>'IS (Base)'!U9/'BS (Base)'!U22</f>
        <v>1.7543294401933145</v>
      </c>
      <c r="V51" s="276">
        <f>'IS (Base)'!V9/'BS (Base)'!V22</f>
        <v>1.8808103232967948</v>
      </c>
      <c r="W51" s="127"/>
      <c r="X51" s="276">
        <f>'IS (Base)'!X9/'BS (Base)'!X22</f>
        <v>2.0844088414181869</v>
      </c>
      <c r="Y51" s="276">
        <f>'IS (Base)'!Y9/'BS (Base)'!Y22</f>
        <v>1.953765690376569</v>
      </c>
      <c r="Z51" s="277">
        <f t="shared" ref="Z51:AA51" si="48">AVERAGE(U51,P51,K51)</f>
        <v>1.8119053953124509</v>
      </c>
      <c r="AA51" s="277">
        <f t="shared" si="48"/>
        <v>1.9726039790725192</v>
      </c>
      <c r="AB51" s="31"/>
      <c r="AC51" s="277">
        <f t="shared" ref="AC51:AF51" si="49">AVERAGE(X51,S51,N51)</f>
        <v>1.9981889505609303</v>
      </c>
      <c r="AD51" s="277">
        <f t="shared" si="49"/>
        <v>1.9120264935605302</v>
      </c>
      <c r="AE51" s="277">
        <f t="shared" si="49"/>
        <v>1.8412146286941729</v>
      </c>
      <c r="AF51" s="277">
        <f t="shared" si="49"/>
        <v>1.9698186334188019</v>
      </c>
      <c r="AG51" s="31"/>
      <c r="AH51" s="277">
        <f t="shared" ref="AH51:AK51" si="50">AVERAGE(AC51,X51,S51)</f>
        <v>2.0141155041047187</v>
      </c>
      <c r="AI51" s="277">
        <f t="shared" si="50"/>
        <v>1.9068247984315843</v>
      </c>
      <c r="AJ51" s="277">
        <f t="shared" si="50"/>
        <v>1.8024831547333129</v>
      </c>
      <c r="AK51" s="277">
        <f t="shared" si="50"/>
        <v>1.9410776452627054</v>
      </c>
      <c r="AL51" s="31"/>
      <c r="AM51" s="277">
        <f t="shared" ref="AM51:AP51" si="51">AVERAGE(AH51,AC51,X51)</f>
        <v>2.0322377653612786</v>
      </c>
      <c r="AN51" s="277">
        <f t="shared" si="51"/>
        <v>1.9242056607895612</v>
      </c>
      <c r="AO51" s="277">
        <f t="shared" si="51"/>
        <v>1.8185343929133122</v>
      </c>
      <c r="AP51" s="277">
        <f t="shared" si="51"/>
        <v>1.9611667525846757</v>
      </c>
      <c r="AQ51" s="31"/>
      <c r="AR51" s="277">
        <f t="shared" ref="AR51:AU51" si="52">AVERAGE(AM51,AH51,AC51)</f>
        <v>2.0148474066756425</v>
      </c>
      <c r="AS51" s="277">
        <f t="shared" si="52"/>
        <v>1.9143523175938919</v>
      </c>
      <c r="AT51" s="277">
        <f t="shared" si="52"/>
        <v>1.8207440587802661</v>
      </c>
      <c r="AU51" s="277">
        <f t="shared" si="52"/>
        <v>1.9573543437553944</v>
      </c>
      <c r="AV51" s="31"/>
    </row>
    <row r="52" spans="2:48" s="23" customFormat="1" outlineLevel="1" x14ac:dyDescent="0.3">
      <c r="B52" s="607" t="s">
        <v>255</v>
      </c>
      <c r="C52" s="608"/>
      <c r="D52" s="16">
        <f>D46/D51</f>
        <v>46.532769556025364</v>
      </c>
      <c r="E52" s="16">
        <f>E46/E51</f>
        <v>49.057157057654081</v>
      </c>
      <c r="F52" s="101">
        <f>F46/F51</f>
        <v>47.386524822695037</v>
      </c>
      <c r="G52" s="101">
        <f>G46/G51</f>
        <v>51.157934096751603</v>
      </c>
      <c r="H52" s="128"/>
      <c r="I52" s="101">
        <f>I46/I51</f>
        <v>44.658916115185114</v>
      </c>
      <c r="J52" s="101">
        <f>J46/J51</f>
        <v>45.447614756970509</v>
      </c>
      <c r="K52" s="101">
        <f>K46/K51</f>
        <v>52.784905660377355</v>
      </c>
      <c r="L52" s="16">
        <f>L46/L51</f>
        <v>46.44212869283691</v>
      </c>
      <c r="M52" s="28"/>
      <c r="N52" s="16">
        <f>N46/N51</f>
        <v>47.169586647796592</v>
      </c>
      <c r="O52" s="16">
        <f>O46/O51</f>
        <v>46.689419795221838</v>
      </c>
      <c r="P52" s="16">
        <f>P46/P51</f>
        <v>46.490027198549406</v>
      </c>
      <c r="Q52" s="16">
        <f>Q46/Q51</f>
        <v>44.74617638794107</v>
      </c>
      <c r="R52" s="28"/>
      <c r="S52" s="16">
        <f>S46/S51</f>
        <v>46.944794016383717</v>
      </c>
      <c r="T52" s="16">
        <f>T46/T51</f>
        <v>48.525833400924647</v>
      </c>
      <c r="U52" s="16">
        <f>U46/U51</f>
        <v>51.871671258034894</v>
      </c>
      <c r="V52" s="16">
        <f>V46/V51</f>
        <v>48.915086683880489</v>
      </c>
      <c r="W52" s="28"/>
      <c r="X52" s="16">
        <f>X46/X51</f>
        <v>44.137214433136435</v>
      </c>
      <c r="Y52" s="16">
        <f>Y46/Y51</f>
        <v>46.064889174429808</v>
      </c>
      <c r="Z52" s="16">
        <f>Z46/Z51</f>
        <v>50.223372718810005</v>
      </c>
      <c r="AA52" s="16">
        <f>AA46/AA51</f>
        <v>46.638859586634645</v>
      </c>
      <c r="AB52" s="28"/>
      <c r="AC52" s="16">
        <f>AC46/AC51</f>
        <v>46.041691890135723</v>
      </c>
      <c r="AD52" s="16">
        <f>AD46/AD51</f>
        <v>47.593482781999512</v>
      </c>
      <c r="AE52" s="16">
        <f>AE46/AE51</f>
        <v>49.423895824974551</v>
      </c>
      <c r="AF52" s="16">
        <f>AF46/AF51</f>
        <v>46.70480745748938</v>
      </c>
      <c r="AG52" s="28"/>
      <c r="AH52" s="16">
        <f>AH46/AH51</f>
        <v>45.677618692923133</v>
      </c>
      <c r="AI52" s="16">
        <f>AI46/AI51</f>
        <v>47.198882704917345</v>
      </c>
      <c r="AJ52" s="16">
        <f>AJ46/AJ51</f>
        <v>50.485908709345992</v>
      </c>
      <c r="AK52" s="16">
        <f>AK46/AK51</f>
        <v>47.396352343004146</v>
      </c>
      <c r="AL52" s="28"/>
      <c r="AM52" s="16">
        <f>AM46/AM51</f>
        <v>45.270293450946085</v>
      </c>
      <c r="AN52" s="16">
        <f>AN46/AN51</f>
        <v>46.772547152298785</v>
      </c>
      <c r="AO52" s="16">
        <f>AO46/AO51</f>
        <v>50.040296380766819</v>
      </c>
      <c r="AP52" s="16">
        <f>AP46/AP51</f>
        <v>46.910850328637615</v>
      </c>
      <c r="AQ52" s="28"/>
      <c r="AR52" s="16">
        <f>AR46/AR51</f>
        <v>45.661026088220531</v>
      </c>
      <c r="AS52" s="16">
        <f>AS46/AS51</f>
        <v>47.013289650422891</v>
      </c>
      <c r="AT52" s="16">
        <f>AT46/AT51</f>
        <v>49.979567178135831</v>
      </c>
      <c r="AU52" s="16">
        <f>AU46/AU51</f>
        <v>47.002220264057108</v>
      </c>
      <c r="AV52" s="28"/>
    </row>
    <row r="53" spans="2:48" s="23" customFormat="1" outlineLevel="1" x14ac:dyDescent="0.3">
      <c r="B53" s="580" t="s">
        <v>256</v>
      </c>
      <c r="C53" s="581"/>
      <c r="D53" s="30">
        <f t="shared" ref="D53:L53" si="53">(D12+D7)/D20</f>
        <v>2.4783172266068774E-2</v>
      </c>
      <c r="E53" s="30">
        <f t="shared" si="53"/>
        <v>1.862044337628033E-2</v>
      </c>
      <c r="F53" s="118">
        <f t="shared" si="53"/>
        <v>1.4104190097872643E-2</v>
      </c>
      <c r="G53" s="118">
        <f t="shared" si="53"/>
        <v>1.5114935950133718E-2</v>
      </c>
      <c r="H53" s="128">
        <f t="shared" si="53"/>
        <v>1.5114935950133718E-2</v>
      </c>
      <c r="I53" s="118">
        <f t="shared" si="53"/>
        <v>9.6713821566244626E-3</v>
      </c>
      <c r="J53" s="118">
        <f t="shared" si="53"/>
        <v>9.1597553031598795E-3</v>
      </c>
      <c r="K53" s="118">
        <f t="shared" si="53"/>
        <v>1.5555616562459249E-2</v>
      </c>
      <c r="L53" s="118">
        <f t="shared" si="53"/>
        <v>1.6589218539890038E-2</v>
      </c>
      <c r="M53" s="28"/>
      <c r="N53" s="118">
        <f>(N12+N7)/N20</f>
        <v>1.4228367975494099E-2</v>
      </c>
      <c r="O53" s="118">
        <f>(O12+O7)/O20</f>
        <v>1.4373528458035493E-2</v>
      </c>
      <c r="P53" s="118">
        <f>(P12+P7)/P20</f>
        <v>1.4910030939586384E-2</v>
      </c>
      <c r="Q53" s="118">
        <f>(Q12+Q7)/Q20</f>
        <v>1.4140275096678831E-2</v>
      </c>
      <c r="R53" s="28"/>
      <c r="S53" s="118">
        <f>(S12+S7)/S20</f>
        <v>1.3421701538813684E-2</v>
      </c>
      <c r="T53" s="118">
        <f>(T12+T7)/T20</f>
        <v>1.2669917130403319E-2</v>
      </c>
      <c r="U53" s="118">
        <f>(U12+U7)/U20</f>
        <v>1.3119668137035531E-2</v>
      </c>
      <c r="V53" s="118">
        <f>(V12+V7)/V20</f>
        <v>2.3003542030788138E-2</v>
      </c>
      <c r="W53" s="28"/>
      <c r="X53" s="118">
        <f>(X12+X7)/X20</f>
        <v>1.442171574178935E-2</v>
      </c>
      <c r="Y53" s="118">
        <f>(Y12+Y7)/Y20</f>
        <v>2.2042091796608741E-2</v>
      </c>
      <c r="Z53" s="34">
        <f>AVERAGE(U53,V53,X53,Y53)</f>
        <v>1.8146754426555438E-2</v>
      </c>
      <c r="AA53" s="34">
        <f>AVERAGE(V53,X53,Y53,Z53)</f>
        <v>1.9403525998935418E-2</v>
      </c>
      <c r="AB53" s="28"/>
      <c r="AC53" s="34">
        <f>AVERAGE(X53,Y53,Z53,AA53)</f>
        <v>1.8503521990972237E-2</v>
      </c>
      <c r="AD53" s="34">
        <f>AVERAGE(Y53,Z53,AA53,AC53)</f>
        <v>1.9523973553267959E-2</v>
      </c>
      <c r="AE53" s="34">
        <f>AVERAGE(Z53,AA53,AC53,AD53)</f>
        <v>1.8894443992432765E-2</v>
      </c>
      <c r="AF53" s="34">
        <f>AVERAGE(AA53,AC53,AD53,AE53)</f>
        <v>1.9081366383902093E-2</v>
      </c>
      <c r="AG53" s="28"/>
      <c r="AH53" s="34">
        <f>AVERAGE(AC53,AD53,AE53,AF53)</f>
        <v>1.9000826480143763E-2</v>
      </c>
      <c r="AI53" s="34">
        <f>AVERAGE(AD53,AE53,AF53,AH53)</f>
        <v>1.9125152602436645E-2</v>
      </c>
      <c r="AJ53" s="34">
        <f>AVERAGE(AE53,AF53,AH53,AI53)</f>
        <v>1.9025447364728817E-2</v>
      </c>
      <c r="AK53" s="34">
        <f>AVERAGE(AF53,AH53,AI53,AJ53)</f>
        <v>1.9058198207802829E-2</v>
      </c>
      <c r="AL53" s="28"/>
      <c r="AM53" s="34">
        <f>AVERAGE(AH53,AI53,AJ53,AK53)</f>
        <v>1.9052406163778013E-2</v>
      </c>
      <c r="AN53" s="34">
        <f>AVERAGE(AI53,AJ53,AK53,AM53)</f>
        <v>1.9065301084686577E-2</v>
      </c>
      <c r="AO53" s="34">
        <f>AVERAGE(AJ53,AK53,AM53,AN53)</f>
        <v>1.9050338205249061E-2</v>
      </c>
      <c r="AP53" s="34">
        <f>AVERAGE(AK53,AM53,AN53,AO53)</f>
        <v>1.905656091537912E-2</v>
      </c>
      <c r="AQ53" s="28"/>
      <c r="AR53" s="34">
        <f>AVERAGE(AM53,AN53,AO53,AP53)</f>
        <v>1.9056151592273193E-2</v>
      </c>
      <c r="AS53" s="34">
        <f>AVERAGE(AN53,AO53,AP53,AR53)</f>
        <v>1.9057087949396988E-2</v>
      </c>
      <c r="AT53" s="34">
        <f>AVERAGE(AO53,AP53,AR53,AS53)</f>
        <v>1.905503466557459E-2</v>
      </c>
      <c r="AU53" s="34">
        <f>AVERAGE(AP53,AR53,AS53,AT53)</f>
        <v>1.9056208780655975E-2</v>
      </c>
      <c r="AV53" s="28"/>
    </row>
    <row r="54" spans="2:48" s="23" customFormat="1" outlineLevel="1" x14ac:dyDescent="0.3">
      <c r="B54" s="180" t="s">
        <v>257</v>
      </c>
      <c r="C54" s="201"/>
      <c r="D54" s="30">
        <f t="shared" ref="D54:L54" si="54">D7/(D7+D12)</f>
        <v>0.4648626817447496</v>
      </c>
      <c r="E54" s="30">
        <f t="shared" si="54"/>
        <v>0.23318112633181123</v>
      </c>
      <c r="F54" s="118">
        <f t="shared" si="54"/>
        <v>0.24465558194774345</v>
      </c>
      <c r="G54" s="118">
        <f t="shared" si="54"/>
        <v>0.24268502581755594</v>
      </c>
      <c r="H54" s="128">
        <f t="shared" si="54"/>
        <v>0.24268502581755594</v>
      </c>
      <c r="I54" s="118">
        <f t="shared" si="54"/>
        <v>0.25503355704697983</v>
      </c>
      <c r="J54" s="118">
        <f t="shared" si="54"/>
        <v>0.21017083829956296</v>
      </c>
      <c r="K54" s="118">
        <f t="shared" si="54"/>
        <v>0.50716964482682547</v>
      </c>
      <c r="L54" s="118">
        <f t="shared" si="54"/>
        <v>0.57705725425815724</v>
      </c>
      <c r="M54" s="28"/>
      <c r="N54" s="118">
        <f>N7/(N7+N12)</f>
        <v>0.55229831144465291</v>
      </c>
      <c r="O54" s="118">
        <f>O7/(O7+O12)</f>
        <v>0.30161844041196662</v>
      </c>
      <c r="P54" s="118">
        <f>P7/(P7+P12)</f>
        <v>0.34948805460750854</v>
      </c>
      <c r="Q54" s="118">
        <f>Q7/(Q7+Q12)</f>
        <v>0.3653976120747916</v>
      </c>
      <c r="R54" s="28"/>
      <c r="S54" s="118">
        <f>S7/(S7+S12)</f>
        <v>0.22583979328165377</v>
      </c>
      <c r="T54" s="118">
        <f>T7/(T7+T12)</f>
        <v>0.22327984770193088</v>
      </c>
      <c r="U54" s="118">
        <f>U7/(U7+U12)</f>
        <v>0.20817541959935032</v>
      </c>
      <c r="V54" s="118">
        <f>V7/(V7+V12)</f>
        <v>0.5663455562461156</v>
      </c>
      <c r="W54" s="28"/>
      <c r="X54" s="118">
        <f>X7/(X7+X12)</f>
        <v>0.30404907975460121</v>
      </c>
      <c r="Y54" s="118">
        <f>Y7/(Y7+Y12)</f>
        <v>0.6016492229622582</v>
      </c>
      <c r="Z54" s="34">
        <f>AVERAGE(U54,V54,X54,Y54)</f>
        <v>0.42005481964058133</v>
      </c>
      <c r="AA54" s="34">
        <f>AVERAGE(V54,X54,Y54,Z54)</f>
        <v>0.47302466965088913</v>
      </c>
      <c r="AB54" s="28"/>
      <c r="AC54" s="34">
        <f>AVERAGE(X54,Y54,Z54,AA54)</f>
        <v>0.44969444800208247</v>
      </c>
      <c r="AD54" s="34">
        <f>AVERAGE(Y54,Z54,AA54,AC54)</f>
        <v>0.48610579006395283</v>
      </c>
      <c r="AE54" s="34">
        <f>AVERAGE(Z54,AA54,AC54,AD54)</f>
        <v>0.45721993183937637</v>
      </c>
      <c r="AF54" s="34">
        <f>AVERAGE(AA54,AC54,AD54,AE54)</f>
        <v>0.46651120988907518</v>
      </c>
      <c r="AG54" s="28"/>
      <c r="AH54" s="34">
        <f>AVERAGE(AC54,AD54,AE54,AF54)</f>
        <v>0.4648828449486217</v>
      </c>
      <c r="AI54" s="34">
        <f>AVERAGE(AD54,AE54,AF54,AH54)</f>
        <v>0.46867994418525655</v>
      </c>
      <c r="AJ54" s="34">
        <f>AVERAGE(AE54,AF54,AH54,AI54)</f>
        <v>0.46432348271558244</v>
      </c>
      <c r="AK54" s="34">
        <f>AVERAGE(AF54,AH54,AI54,AJ54)</f>
        <v>0.46609937043463395</v>
      </c>
      <c r="AL54" s="28"/>
      <c r="AM54" s="34">
        <f>AVERAGE(AH54,AI54,AJ54,AK54)</f>
        <v>0.46599641057102364</v>
      </c>
      <c r="AN54" s="34">
        <f>AVERAGE(AI54,AJ54,AK54,AM54)</f>
        <v>0.46627480197662413</v>
      </c>
      <c r="AO54" s="34">
        <f>AVERAGE(AJ54,AK54,AM54,AN54)</f>
        <v>0.46567351642446603</v>
      </c>
      <c r="AP54" s="34">
        <f>AVERAGE(AK54,AM54,AN54,AO54)</f>
        <v>0.46601102485168694</v>
      </c>
      <c r="AQ54" s="28"/>
      <c r="AR54" s="34">
        <f>AVERAGE(AM54,AN54,AO54,AP54)</f>
        <v>0.46598893845595019</v>
      </c>
      <c r="AS54" s="34">
        <f>AVERAGE(AN54,AO54,AP54,AR54)</f>
        <v>0.46598707042718179</v>
      </c>
      <c r="AT54" s="34">
        <f>AVERAGE(AO54,AP54,AR54,AS54)</f>
        <v>0.46591513753982122</v>
      </c>
      <c r="AU54" s="34">
        <f>AVERAGE(AP54,AR54,AS54,AT54)</f>
        <v>0.46597554281866005</v>
      </c>
      <c r="AV54" s="28"/>
    </row>
    <row r="55" spans="2:48" s="23" customFormat="1" outlineLevel="1" x14ac:dyDescent="0.3">
      <c r="B55" s="200" t="s">
        <v>258</v>
      </c>
      <c r="C55" s="201"/>
      <c r="D55" s="30">
        <f t="shared" ref="D55:L55" si="55">+D16/(D27+D33)</f>
        <v>7.7585075018799465E-2</v>
      </c>
      <c r="E55" s="30">
        <f t="shared" si="55"/>
        <v>0.12468259571674534</v>
      </c>
      <c r="F55" s="113">
        <f t="shared" si="55"/>
        <v>0.19119242713361023</v>
      </c>
      <c r="G55" s="113">
        <f t="shared" si="55"/>
        <v>0.22035590386103276</v>
      </c>
      <c r="H55" s="125">
        <f t="shared" si="55"/>
        <v>0.22035590386103276</v>
      </c>
      <c r="I55" s="281">
        <f t="shared" si="55"/>
        <v>0.20507171706404201</v>
      </c>
      <c r="J55" s="281">
        <f t="shared" si="55"/>
        <v>0.21050752296288999</v>
      </c>
      <c r="K55" s="113">
        <f t="shared" si="55"/>
        <v>0.2146584586535733</v>
      </c>
      <c r="L55" s="113">
        <f t="shared" si="55"/>
        <v>0.22220980757293607</v>
      </c>
      <c r="M55" s="282"/>
      <c r="N55" s="281">
        <f>+N16/(N27+N33)</f>
        <v>0.21164495979407008</v>
      </c>
      <c r="O55" s="281">
        <f>+O16/(O27+O33)</f>
        <v>0.21706605185058006</v>
      </c>
      <c r="P55" s="113">
        <f>+P16/(P27+P33)</f>
        <v>0.22796408734312845</v>
      </c>
      <c r="Q55" s="113">
        <f>+Q16/(Q27+Q33)</f>
        <v>0.23263143527192862</v>
      </c>
      <c r="R55" s="282"/>
      <c r="S55" s="281">
        <f>+S16/(S27+S33)</f>
        <v>0.21831564613072879</v>
      </c>
      <c r="T55" s="281">
        <f>+T16/(T27+T33)</f>
        <v>0.22164512770257855</v>
      </c>
      <c r="U55" s="281">
        <f>+U16/(U27+U33)</f>
        <v>0.21758667345241495</v>
      </c>
      <c r="V55" s="113">
        <f>+V16/(V27+V33)</f>
        <v>0.22718895172692385</v>
      </c>
      <c r="W55" s="282"/>
      <c r="X55" s="281">
        <f>+X16/(X27+X33)</f>
        <v>0.21568534082521842</v>
      </c>
      <c r="Y55" s="281">
        <f>+Y16/(Y27+Y33)</f>
        <v>0.22649791773489575</v>
      </c>
      <c r="Z55" s="35">
        <f>AVERAGE(U55,V55,X55,Y55)</f>
        <v>0.22173972093486322</v>
      </c>
      <c r="AA55" s="284">
        <f>AVERAGE(V55,X55,Y55,Z55)</f>
        <v>0.22277798280547534</v>
      </c>
      <c r="AB55" s="28"/>
      <c r="AC55" s="283">
        <f>AVERAGE(X55,Y55,Z55,AA55)</f>
        <v>0.2216752405751132</v>
      </c>
      <c r="AD55" s="283">
        <f>AVERAGE(Y55,Z55,AA55,AC55)</f>
        <v>0.22317271551258688</v>
      </c>
      <c r="AE55" s="35">
        <f>AVERAGE(Z55,AA55,AC55,AD55)</f>
        <v>0.22234141495700965</v>
      </c>
      <c r="AF55" s="284">
        <f>AVERAGE(AA55,AC55,AD55,AE55)</f>
        <v>0.22249183846254628</v>
      </c>
      <c r="AG55" s="28"/>
      <c r="AH55" s="283">
        <f>AVERAGE(AC55,AD55,AE55,AF55)</f>
        <v>0.22242030237681401</v>
      </c>
      <c r="AI55" s="283">
        <f>AVERAGE(AD55,AE55,AF55,AH55)</f>
        <v>0.2226065678272392</v>
      </c>
      <c r="AJ55" s="35">
        <f>AVERAGE(AE55,AF55,AH55,AI55)</f>
        <v>0.22246503090590228</v>
      </c>
      <c r="AK55" s="284">
        <f>AVERAGE(AF55,AH55,AI55,AJ55)</f>
        <v>0.22249593489312544</v>
      </c>
      <c r="AL55" s="28"/>
      <c r="AM55" s="283">
        <f>AVERAGE(AH55,AI55,AJ55,AK55)</f>
        <v>0.22249695900077024</v>
      </c>
      <c r="AN55" s="283">
        <f>AVERAGE(AI55,AJ55,AK55,AM55)</f>
        <v>0.22251612315675931</v>
      </c>
      <c r="AO55" s="35">
        <f>AVERAGE(AJ55,AK55,AM55,AN55)</f>
        <v>0.2224935119891393</v>
      </c>
      <c r="AP55" s="284">
        <f>AVERAGE(AK55,AM55,AN55,AO55)</f>
        <v>0.22250063225994859</v>
      </c>
      <c r="AQ55" s="28"/>
      <c r="AR55" s="283">
        <f>AVERAGE(AM55,AN55,AO55,AP55)</f>
        <v>0.22250180660165436</v>
      </c>
      <c r="AS55" s="283">
        <f>AVERAGE(AN55,AO55,AP55,AR55)</f>
        <v>0.22250301850187543</v>
      </c>
      <c r="AT55" s="35">
        <f>AVERAGE(AO55,AP55,AR55,AS55)</f>
        <v>0.22249974233815445</v>
      </c>
      <c r="AU55" s="284">
        <f>AVERAGE(AP55,AR55,AS55,AT55)</f>
        <v>0.22250129992540824</v>
      </c>
      <c r="AV55" s="28"/>
    </row>
    <row r="56" spans="2:48" outlineLevel="1" x14ac:dyDescent="0.3">
      <c r="B56" s="200" t="s">
        <v>259</v>
      </c>
      <c r="C56" s="201"/>
      <c r="D56" s="285"/>
      <c r="E56" s="285">
        <f>+'CFS (Base)'!E7/((E14+D14)/2)</f>
        <v>6.122482504846076E-2</v>
      </c>
      <c r="F56" s="286">
        <f>+'CFS (Base)'!F7/((F14+E14)/2)</f>
        <v>5.8442138063667992E-2</v>
      </c>
      <c r="G56" s="286">
        <f>+'CFS (Base)'!G7/((G14+F14)/2)</f>
        <v>5.7957922263164152E-2</v>
      </c>
      <c r="H56" s="125">
        <f>+'CFS (Base)'!H7/((H14+G14)/2)</f>
        <v>0.2253370026587061</v>
      </c>
      <c r="I56" s="287">
        <f>+'CFS (Base)'!I7/((I14+G14)/2)</f>
        <v>5.75858250276855E-2</v>
      </c>
      <c r="J56" s="287">
        <f>+'CFS (Base)'!J7/((J14+I14)/2)</f>
        <v>5.9117695395957084E-2</v>
      </c>
      <c r="K56" s="286">
        <f>+'CFS (Base)'!K7/((K14+J14)/2)</f>
        <v>5.9467301657388859E-2</v>
      </c>
      <c r="L56" s="286">
        <f>+'CFS (Base)'!L7/((L14+K14)/2)</f>
        <v>6.0492940894950963E-2</v>
      </c>
      <c r="M56" s="282"/>
      <c r="N56" s="287">
        <f>+'CFS (Base)'!N7/((N14+L14)/2)</f>
        <v>6.2547808652661588E-2</v>
      </c>
      <c r="O56" s="287">
        <f>+'CFS (Base)'!O7/((O14+N14)/2)</f>
        <v>6.251524266319812E-2</v>
      </c>
      <c r="P56" s="286">
        <f>+'CFS (Base)'!P7/((P14+O14)/2)</f>
        <v>6.0825288199111989E-2</v>
      </c>
      <c r="Q56" s="286">
        <f>+'CFS (Base)'!Q7/((Q14+P14)/2)</f>
        <v>6.0363072942040873E-2</v>
      </c>
      <c r="R56" s="282"/>
      <c r="S56" s="287">
        <f>+'CFS (Base)'!S7/((S14+Q14)/2)</f>
        <v>6.052868611709418E-2</v>
      </c>
      <c r="T56" s="287">
        <f>+'CFS (Base)'!T7/((T14+S14)/2)</f>
        <v>6.0861044576476821E-2</v>
      </c>
      <c r="U56" s="287">
        <f>+'CFS (Base)'!U7/((U14+T14)/2)</f>
        <v>6.0812805967829661E-2</v>
      </c>
      <c r="V56" s="286">
        <f>+'CFS (Base)'!V7/((V14+U14)/2)</f>
        <v>5.5579973320379075E-2</v>
      </c>
      <c r="W56" s="282"/>
      <c r="X56" s="287">
        <f>+'CFS (Base)'!X7/((X14+V14)/2)</f>
        <v>5.165912518853695E-2</v>
      </c>
      <c r="Y56" s="287">
        <f>+'CFS (Base)'!Y7/((Y14+W14)/2)</f>
        <v>5.4831789881232662E-2</v>
      </c>
      <c r="Z56" s="490">
        <v>5.5417863432800918E-2</v>
      </c>
      <c r="AA56" s="288">
        <v>5.4069127799043742E-2</v>
      </c>
      <c r="AB56" s="290"/>
      <c r="AC56" s="289">
        <v>5.3691416418709906E-2</v>
      </c>
      <c r="AD56" s="289">
        <v>5.4199489226253145E-2</v>
      </c>
      <c r="AE56" s="288">
        <f>AVERAGE(Z56,AA56,AC56,AD56)</f>
        <v>5.4344474219201931E-2</v>
      </c>
      <c r="AF56" s="288">
        <f>AVERAGE(AA56,AC56,AD56,AE56)</f>
        <v>5.4076126915802179E-2</v>
      </c>
      <c r="AG56" s="290"/>
      <c r="AH56" s="289">
        <f>AVERAGE(AC56,AD56,AE56,AF56)</f>
        <v>5.407787669499179E-2</v>
      </c>
      <c r="AI56" s="289">
        <f>AVERAGE(AD56,AE56,AF56,AH56)</f>
        <v>5.4174491764062263E-2</v>
      </c>
      <c r="AJ56" s="288">
        <f>AVERAGE(AE56,AF56,AH56,AI56)</f>
        <v>5.4168242398514546E-2</v>
      </c>
      <c r="AK56" s="288">
        <f>AVERAGE(AF56,AH56,AI56,AJ56)</f>
        <v>5.4124184443342688E-2</v>
      </c>
      <c r="AL56" s="290"/>
      <c r="AM56" s="289">
        <f>AVERAGE(AH56,AI56,AJ56,AK56)</f>
        <v>5.413619882522782E-2</v>
      </c>
      <c r="AN56" s="289">
        <f>AVERAGE(AI56,AJ56,AK56,AM56)</f>
        <v>5.4150779357786831E-2</v>
      </c>
      <c r="AO56" s="288">
        <f>AVERAGE(AJ56,AK56,AM56,AN56)</f>
        <v>5.4144851256217971E-2</v>
      </c>
      <c r="AP56" s="288">
        <f>AVERAGE(AK56,AM56,AN56,AO56)</f>
        <v>5.4139003470643834E-2</v>
      </c>
      <c r="AQ56" s="290"/>
      <c r="AR56" s="289">
        <f>AVERAGE(AM56,AN56,AO56,AP56)</f>
        <v>5.4142708227469111E-2</v>
      </c>
      <c r="AS56" s="289">
        <f>AVERAGE(AN56,AO56,AP56,AR56)</f>
        <v>5.4144335578029439E-2</v>
      </c>
      <c r="AT56" s="288">
        <f>AVERAGE(AO56,AP56,AR56,AS56)</f>
        <v>5.414272463309009E-2</v>
      </c>
      <c r="AU56" s="288">
        <f>AVERAGE(AP56,AR56,AS56,AT56)</f>
        <v>5.4142192977308115E-2</v>
      </c>
      <c r="AV56" s="290"/>
    </row>
    <row r="57" spans="2:48" outlineLevel="1" x14ac:dyDescent="0.3">
      <c r="B57" s="200"/>
      <c r="C57" s="201"/>
      <c r="D57" s="285"/>
      <c r="E57" s="285"/>
      <c r="F57" s="286"/>
      <c r="G57" s="286"/>
      <c r="H57" s="125"/>
      <c r="I57" s="287"/>
      <c r="J57" s="287"/>
      <c r="K57" s="286"/>
      <c r="L57" s="286"/>
      <c r="M57" s="282"/>
      <c r="N57" s="287"/>
      <c r="O57" s="287"/>
      <c r="P57" s="286"/>
      <c r="Q57" s="286"/>
      <c r="R57" s="282"/>
      <c r="S57" s="287"/>
      <c r="T57" s="287"/>
      <c r="U57" s="287"/>
      <c r="V57" s="286"/>
      <c r="W57" s="282"/>
      <c r="X57" s="287"/>
      <c r="Y57" s="287"/>
      <c r="Z57" s="288"/>
      <c r="AA57" s="288"/>
      <c r="AB57" s="290"/>
      <c r="AC57" s="289"/>
      <c r="AD57" s="289"/>
      <c r="AE57" s="288"/>
      <c r="AF57" s="288"/>
      <c r="AG57" s="290"/>
      <c r="AH57" s="289"/>
      <c r="AI57" s="289"/>
      <c r="AJ57" s="288"/>
      <c r="AK57" s="288"/>
      <c r="AL57" s="290"/>
      <c r="AM57" s="289"/>
      <c r="AN57" s="289"/>
      <c r="AO57" s="288"/>
      <c r="AP57" s="288"/>
      <c r="AQ57" s="290"/>
      <c r="AR57" s="289"/>
      <c r="AS57" s="289"/>
      <c r="AT57" s="288"/>
      <c r="AU57" s="288"/>
      <c r="AV57" s="290"/>
    </row>
    <row r="58" spans="2:48" s="296" customFormat="1" outlineLevel="1" x14ac:dyDescent="0.3">
      <c r="B58" s="291" t="s">
        <v>260</v>
      </c>
      <c r="C58" s="249"/>
      <c r="D58" s="292"/>
      <c r="E58" s="292"/>
      <c r="F58" s="293"/>
      <c r="G58" s="293"/>
      <c r="H58" s="294"/>
      <c r="I58" s="292"/>
      <c r="J58" s="292"/>
      <c r="K58" s="293"/>
      <c r="L58" s="293"/>
      <c r="M58" s="294"/>
      <c r="N58" s="292"/>
      <c r="O58" s="292"/>
      <c r="P58" s="293"/>
      <c r="Q58" s="293"/>
      <c r="R58" s="294"/>
      <c r="S58" s="292"/>
      <c r="T58" s="292"/>
      <c r="U58" s="292"/>
      <c r="V58" s="293"/>
      <c r="W58" s="294"/>
      <c r="X58" s="292"/>
      <c r="Y58" s="292"/>
      <c r="Z58" s="293"/>
      <c r="AA58" s="293"/>
      <c r="AB58" s="295"/>
      <c r="AC58" s="292"/>
      <c r="AD58" s="292"/>
      <c r="AE58" s="293"/>
      <c r="AF58" s="293"/>
      <c r="AG58" s="295"/>
      <c r="AH58" s="292"/>
      <c r="AI58" s="292"/>
      <c r="AJ58" s="293"/>
      <c r="AK58" s="293"/>
      <c r="AL58" s="295"/>
      <c r="AM58" s="292"/>
      <c r="AN58" s="292"/>
      <c r="AO58" s="293"/>
      <c r="AP58" s="293"/>
      <c r="AQ58" s="295"/>
      <c r="AR58" s="292"/>
      <c r="AS58" s="292"/>
      <c r="AT58" s="293"/>
      <c r="AU58" s="293"/>
      <c r="AV58" s="295"/>
    </row>
    <row r="59" spans="2:48" s="302" customFormat="1" outlineLevel="1" x14ac:dyDescent="0.3">
      <c r="B59" s="200" t="s">
        <v>261</v>
      </c>
      <c r="C59" s="297"/>
      <c r="D59" s="298"/>
      <c r="E59" s="298"/>
      <c r="F59" s="146"/>
      <c r="G59" s="146"/>
      <c r="H59" s="122"/>
      <c r="I59" s="299"/>
      <c r="J59" s="299"/>
      <c r="K59" s="146"/>
      <c r="L59" s="146"/>
      <c r="M59" s="26"/>
      <c r="N59" s="299"/>
      <c r="O59" s="299"/>
      <c r="P59" s="146"/>
      <c r="Q59" s="146"/>
      <c r="R59" s="26"/>
      <c r="S59" s="299"/>
      <c r="T59" s="299"/>
      <c r="U59" s="299"/>
      <c r="V59" s="146"/>
      <c r="W59" s="26"/>
      <c r="X59" s="299"/>
      <c r="Y59" s="299"/>
      <c r="Z59" s="300">
        <v>0</v>
      </c>
      <c r="AA59" s="300">
        <v>0</v>
      </c>
      <c r="AB59" s="6"/>
      <c r="AC59" s="301">
        <v>750</v>
      </c>
      <c r="AD59" s="301">
        <f>500+640.6</f>
        <v>1140.5999999999999</v>
      </c>
      <c r="AE59" s="300">
        <v>0</v>
      </c>
      <c r="AF59" s="300">
        <v>0</v>
      </c>
      <c r="AG59" s="6"/>
      <c r="AH59" s="301">
        <v>0</v>
      </c>
      <c r="AI59" s="301">
        <v>0</v>
      </c>
      <c r="AJ59" s="300">
        <v>0</v>
      </c>
      <c r="AK59" s="300">
        <v>1250</v>
      </c>
      <c r="AL59" s="6"/>
      <c r="AM59" s="301">
        <v>0</v>
      </c>
      <c r="AN59" s="301">
        <v>1000</v>
      </c>
      <c r="AO59" s="300">
        <v>500</v>
      </c>
      <c r="AP59" s="300">
        <v>0</v>
      </c>
      <c r="AQ59" s="6"/>
      <c r="AR59" s="301">
        <v>0</v>
      </c>
      <c r="AS59" s="301">
        <v>500</v>
      </c>
      <c r="AT59" s="300">
        <v>0</v>
      </c>
      <c r="AU59" s="300">
        <v>0</v>
      </c>
      <c r="AV59" s="6"/>
    </row>
    <row r="60" spans="2:48" s="302" customFormat="1" outlineLevel="1" x14ac:dyDescent="0.3">
      <c r="B60" s="200" t="s">
        <v>262</v>
      </c>
      <c r="C60" s="297"/>
      <c r="D60" s="298"/>
      <c r="E60" s="298"/>
      <c r="F60" s="146"/>
      <c r="G60" s="146"/>
      <c r="H60" s="122"/>
      <c r="I60" s="299"/>
      <c r="J60" s="299"/>
      <c r="K60" s="146"/>
      <c r="L60" s="146"/>
      <c r="M60" s="26"/>
      <c r="N60" s="299"/>
      <c r="O60" s="299"/>
      <c r="P60" s="146"/>
      <c r="Q60" s="146"/>
      <c r="R60" s="26"/>
      <c r="S60" s="299"/>
      <c r="T60" s="299"/>
      <c r="U60" s="299"/>
      <c r="V60" s="146"/>
      <c r="W60" s="26"/>
      <c r="X60" s="146"/>
      <c r="Y60" s="146"/>
      <c r="Z60" s="300">
        <f>AD59</f>
        <v>1140.5999999999999</v>
      </c>
      <c r="AA60" s="300">
        <f>AE59</f>
        <v>0</v>
      </c>
      <c r="AB60" s="6"/>
      <c r="AC60" s="300">
        <f>AF59</f>
        <v>0</v>
      </c>
      <c r="AD60" s="300">
        <f>AH59</f>
        <v>0</v>
      </c>
      <c r="AE60" s="300">
        <f>AI59</f>
        <v>0</v>
      </c>
      <c r="AF60" s="300">
        <f>AJ59</f>
        <v>0</v>
      </c>
      <c r="AG60" s="6"/>
      <c r="AH60" s="300">
        <f>AK59</f>
        <v>1250</v>
      </c>
      <c r="AI60" s="300">
        <f>AM59</f>
        <v>0</v>
      </c>
      <c r="AJ60" s="300">
        <f>AN59</f>
        <v>1000</v>
      </c>
      <c r="AK60" s="300">
        <f>AO59</f>
        <v>500</v>
      </c>
      <c r="AL60" s="6"/>
      <c r="AM60" s="300">
        <f>AP59</f>
        <v>0</v>
      </c>
      <c r="AN60" s="300">
        <f>AR59</f>
        <v>0</v>
      </c>
      <c r="AO60" s="300">
        <f>AS59</f>
        <v>500</v>
      </c>
      <c r="AP60" s="300">
        <f>AT59</f>
        <v>0</v>
      </c>
      <c r="AQ60" s="6"/>
      <c r="AR60" s="300">
        <f>AU60</f>
        <v>0</v>
      </c>
      <c r="AS60" s="300">
        <v>600</v>
      </c>
      <c r="AT60" s="300">
        <f t="shared" ref="AT60:AU60" si="56">AX60</f>
        <v>0</v>
      </c>
      <c r="AU60" s="300">
        <f t="shared" si="56"/>
        <v>0</v>
      </c>
      <c r="AV60" s="6"/>
    </row>
    <row r="61" spans="2:48" s="302" customFormat="1" outlineLevel="1" x14ac:dyDescent="0.3">
      <c r="B61" s="200" t="s">
        <v>263</v>
      </c>
      <c r="C61" s="297"/>
      <c r="D61" s="298"/>
      <c r="E61" s="298"/>
      <c r="F61" s="146"/>
      <c r="G61" s="146"/>
      <c r="H61" s="122"/>
      <c r="I61" s="299"/>
      <c r="J61" s="299"/>
      <c r="K61" s="146"/>
      <c r="L61" s="146"/>
      <c r="M61" s="26"/>
      <c r="N61" s="299"/>
      <c r="O61" s="299"/>
      <c r="P61" s="146"/>
      <c r="Q61" s="146"/>
      <c r="R61" s="26"/>
      <c r="S61" s="299"/>
      <c r="T61" s="299"/>
      <c r="U61" s="299"/>
      <c r="V61" s="146"/>
      <c r="W61" s="26"/>
      <c r="X61" s="299"/>
      <c r="Y61" s="299"/>
      <c r="Z61" s="300">
        <f>Z59</f>
        <v>0</v>
      </c>
      <c r="AA61" s="300">
        <f>AA59</f>
        <v>0</v>
      </c>
      <c r="AB61" s="6"/>
      <c r="AC61" s="301">
        <f>AC59</f>
        <v>750</v>
      </c>
      <c r="AD61" s="301">
        <f>AD59</f>
        <v>1140.5999999999999</v>
      </c>
      <c r="AE61" s="300">
        <v>0</v>
      </c>
      <c r="AF61" s="300"/>
      <c r="AG61" s="6"/>
      <c r="AH61" s="301"/>
      <c r="AI61" s="301"/>
      <c r="AJ61" s="575">
        <f>0.55*(SUM('IS (Base)'!AH154:AK154))</f>
        <v>6260.9344886514818</v>
      </c>
      <c r="AK61" s="300">
        <f>AK59</f>
        <v>1250</v>
      </c>
      <c r="AL61" s="6"/>
      <c r="AM61" s="301">
        <v>0</v>
      </c>
      <c r="AN61" s="301">
        <v>0</v>
      </c>
      <c r="AO61" s="300">
        <f>AO59</f>
        <v>500</v>
      </c>
      <c r="AP61" s="300">
        <v>0</v>
      </c>
      <c r="AQ61" s="6"/>
      <c r="AR61" s="301">
        <v>0</v>
      </c>
      <c r="AS61" s="301">
        <f>AS59</f>
        <v>500</v>
      </c>
      <c r="AT61" s="300">
        <v>0</v>
      </c>
      <c r="AU61" s="300">
        <v>0</v>
      </c>
      <c r="AV61" s="6"/>
    </row>
    <row r="62" spans="2:48" s="23" customFormat="1" outlineLevel="1" x14ac:dyDescent="0.3">
      <c r="B62" s="200" t="s">
        <v>264</v>
      </c>
      <c r="C62" s="201"/>
      <c r="D62" s="179">
        <f>+(D28+D31)/D41</f>
        <v>-3.1717034875642636</v>
      </c>
      <c r="E62" s="179">
        <f>+(E28+E31)/E41</f>
        <v>-1.8304138862408643</v>
      </c>
      <c r="F62" s="303">
        <f>+(F28+F31)/F41</f>
        <v>-2.5837230840472332</v>
      </c>
      <c r="G62" s="303">
        <f>+(G28+G31)/G41</f>
        <v>-1.7921681913015568</v>
      </c>
      <c r="H62" s="128"/>
      <c r="I62" s="303">
        <f>+(I28+I31)/I41</f>
        <v>-1.7235726649997785</v>
      </c>
      <c r="J62" s="303">
        <f>+(J28+J31)/J41</f>
        <v>-1.8605318005017988</v>
      </c>
      <c r="K62" s="303">
        <f>+(K28+K31)/K41</f>
        <v>-1.9516598448569742</v>
      </c>
      <c r="L62" s="179">
        <f>+(L28+L31)/L41</f>
        <v>-2.0960971356771032</v>
      </c>
      <c r="M62" s="28"/>
      <c r="N62" s="179">
        <f>+(N28+N31)/N41</f>
        <v>-2.0136766194331983</v>
      </c>
      <c r="O62" s="179">
        <f>+(O28+O31)/O41</f>
        <v>-1.9152752899337104</v>
      </c>
      <c r="P62" s="179">
        <f>+(P28+P31)/P41</f>
        <v>-2.1515240716482933</v>
      </c>
      <c r="Q62" s="179">
        <f>+(Q28+Q31)/Q41</f>
        <v>-2.7501740521215541</v>
      </c>
      <c r="R62" s="28"/>
      <c r="S62" s="179">
        <f t="shared" ref="S62:AA62" si="57">+(S28+S31)/S41</f>
        <v>-1.7497130279398361</v>
      </c>
      <c r="T62" s="179">
        <f t="shared" si="57"/>
        <v>-1.8277176642469066</v>
      </c>
      <c r="U62" s="179">
        <f t="shared" si="57"/>
        <v>-1.7473235630391852</v>
      </c>
      <c r="V62" s="179">
        <f t="shared" si="57"/>
        <v>-1.7294423304631725</v>
      </c>
      <c r="W62" s="28">
        <f t="shared" si="57"/>
        <v>-1.7294423304631725</v>
      </c>
      <c r="X62" s="179">
        <f t="shared" si="57"/>
        <v>-1.7223831338926132</v>
      </c>
      <c r="Y62" s="179">
        <f t="shared" si="57"/>
        <v>-1.8220462620890887</v>
      </c>
      <c r="Z62" s="179">
        <f t="shared" si="57"/>
        <v>-1.9102043134078743</v>
      </c>
      <c r="AA62" s="179">
        <f t="shared" si="57"/>
        <v>-2.0259836083209417</v>
      </c>
      <c r="AB62" s="28"/>
      <c r="AC62" s="179">
        <f>+(AC28+AC31)/AC41</f>
        <v>-2.1379162404610108</v>
      </c>
      <c r="AD62" s="179">
        <f>+(AD28+AD31)/AD41</f>
        <v>-2.2582474866794122</v>
      </c>
      <c r="AE62" s="179">
        <f>+(AE28+AE31)/AE41</f>
        <v>-2.4475822774401053</v>
      </c>
      <c r="AF62" s="179">
        <f>+(AF28+AF31)/AF41</f>
        <v>-2.660506556996169</v>
      </c>
      <c r="AG62" s="28"/>
      <c r="AH62" s="179">
        <f>+(AH28+AH31)/AH41</f>
        <v>-2.9375724059464119</v>
      </c>
      <c r="AI62" s="179">
        <f>+(AI28+AI31)/AI41</f>
        <v>-3.2799096048152947</v>
      </c>
      <c r="AJ62" s="179">
        <f>+(AJ28+AJ31)/AJ41</f>
        <v>-2.3028244288754203</v>
      </c>
      <c r="AK62" s="179">
        <f>+(AK28+AK31)/AK41</f>
        <v>-1.5228010654854178</v>
      </c>
      <c r="AL62" s="28"/>
      <c r="AM62" s="179">
        <f>+(AM28+AM31)/AM41</f>
        <v>-1.574071906098744</v>
      </c>
      <c r="AN62" s="179">
        <f>+(AN28+AN31)/AN41</f>
        <v>-1.5538389598692022</v>
      </c>
      <c r="AO62" s="179">
        <f>+(AO28+AO31)/AO41</f>
        <v>-1.6430171864855594</v>
      </c>
      <c r="AP62" s="179">
        <f>+(AP28+AP31)/AP41</f>
        <v>-1.7354483228537119</v>
      </c>
      <c r="AQ62" s="28"/>
      <c r="AR62" s="179">
        <f>+(AR28+AR31)/AR41</f>
        <v>-1.8249931611951216</v>
      </c>
      <c r="AS62" s="179">
        <f>+(AS28+AS31)/AS41</f>
        <v>-1.9246226241215985</v>
      </c>
      <c r="AT62" s="179">
        <f>+(AT28+AT31)/AT41</f>
        <v>-2.0855270066615668</v>
      </c>
      <c r="AU62" s="179">
        <f>+(AU28+AU31)/AU41</f>
        <v>-2.2603515748738259</v>
      </c>
      <c r="AV62" s="28"/>
    </row>
    <row r="63" spans="2:48" s="23" customFormat="1" outlineLevel="1" x14ac:dyDescent="0.3">
      <c r="B63" s="200" t="s">
        <v>265</v>
      </c>
      <c r="C63" s="201"/>
      <c r="D63" s="179">
        <f>+D28/(D28+D31)</f>
        <v>0</v>
      </c>
      <c r="E63" s="179">
        <f>+E28/(E28+E31)</f>
        <v>8.1375793413985785E-3</v>
      </c>
      <c r="F63" s="303">
        <f>+F28/(F28+F31)</f>
        <v>0</v>
      </c>
      <c r="G63" s="303">
        <f>+G28/(G28+G31)</f>
        <v>0</v>
      </c>
      <c r="H63" s="128"/>
      <c r="I63" s="303">
        <f>+I28/(I28+I31)</f>
        <v>8.5546532987690757E-2</v>
      </c>
      <c r="J63" s="303">
        <f>+J28/(J28+J31)</f>
        <v>0.16813887778982817</v>
      </c>
      <c r="K63" s="303">
        <f>+K28/(K28+K31)</f>
        <v>0.12987992894360045</v>
      </c>
      <c r="L63" s="179">
        <f>+L28/(L28+L31)</f>
        <v>0.10329514383758555</v>
      </c>
      <c r="M63" s="28"/>
      <c r="N63" s="179">
        <f>+N28/(N28+N31)</f>
        <v>7.8071889470410452E-2</v>
      </c>
      <c r="O63" s="179">
        <f>+O28/(O28+O31)</f>
        <v>1.2492661414742708E-3</v>
      </c>
      <c r="P63" s="179">
        <f>+P28/(P28+P31)</f>
        <v>6.8333093904132544E-2</v>
      </c>
      <c r="Q63" s="179">
        <f>+Q28/(Q28+Q31)</f>
        <v>6.8343847069609609E-2</v>
      </c>
      <c r="R63" s="28"/>
      <c r="S63" s="179">
        <f t="shared" ref="S63:AA63" si="58">+S28/(S28+S31)</f>
        <v>8.1112704252786494E-2</v>
      </c>
      <c r="T63" s="179">
        <f t="shared" si="58"/>
        <v>0.12481109098857178</v>
      </c>
      <c r="U63" s="179">
        <f t="shared" si="58"/>
        <v>7.9253663276029576E-2</v>
      </c>
      <c r="V63" s="179">
        <f t="shared" si="58"/>
        <v>0.12789236833533857</v>
      </c>
      <c r="W63" s="28">
        <f t="shared" si="58"/>
        <v>0.12789236833533857</v>
      </c>
      <c r="X63" s="179">
        <f t="shared" si="58"/>
        <v>0.11719817767653758</v>
      </c>
      <c r="Y63" s="179">
        <f t="shared" si="58"/>
        <v>0.12536887442449132</v>
      </c>
      <c r="Z63" s="179">
        <f t="shared" si="58"/>
        <v>0.19902107023627336</v>
      </c>
      <c r="AA63" s="179">
        <f t="shared" si="58"/>
        <v>0.19902107023627336</v>
      </c>
      <c r="AB63" s="28"/>
      <c r="AC63" s="179">
        <f>+AC28/(AC28+AC31)</f>
        <v>0.15059116767723729</v>
      </c>
      <c r="AD63" s="179">
        <f>+AD28/(AD28+AD31)</f>
        <v>7.6938971865455272E-2</v>
      </c>
      <c r="AE63" s="179">
        <f>+AE28/(AE28+AE31)</f>
        <v>7.6938971865455272E-2</v>
      </c>
      <c r="AF63" s="179">
        <f>+AF28/(AF28+AF31)</f>
        <v>7.6938971865455272E-2</v>
      </c>
      <c r="AG63" s="28"/>
      <c r="AH63" s="179">
        <f>+AH28/(AH28+AH31)</f>
        <v>0.15765547613051537</v>
      </c>
      <c r="AI63" s="179">
        <f>+AI28/(AI28+AI31)</f>
        <v>0.15765547613051537</v>
      </c>
      <c r="AJ63" s="179">
        <f>+AJ28/(AJ28+AJ31)</f>
        <v>0.15825000653742449</v>
      </c>
      <c r="AK63" s="179">
        <f>+AK28/(AK28+AK31)</f>
        <v>0.12376286287824437</v>
      </c>
      <c r="AL63" s="28"/>
      <c r="AM63" s="179">
        <f>+AM28/(AM28+AM31)</f>
        <v>0.12376286287824437</v>
      </c>
      <c r="AN63" s="179">
        <f>+AN28/(AN28+AN31)</f>
        <v>8.1528938274893104E-2</v>
      </c>
      <c r="AO63" s="179">
        <f>+AO28/(AO28+AO31)</f>
        <v>8.1528938274893104E-2</v>
      </c>
      <c r="AP63" s="179">
        <f>+AP28/(AP28+AP31)</f>
        <v>8.1528938274893104E-2</v>
      </c>
      <c r="AQ63" s="28"/>
      <c r="AR63" s="179">
        <f>+AR28/(AR28+AR31)</f>
        <v>8.1528938274893104E-2</v>
      </c>
      <c r="AS63" s="179">
        <f>+AS28/(AS28+AS31)</f>
        <v>8.6348857770896251E-2</v>
      </c>
      <c r="AT63" s="179">
        <f>+AT28/(AT28+AT31)</f>
        <v>8.6348857770896251E-2</v>
      </c>
      <c r="AU63" s="179">
        <f>+AU28/(AU28+AU31)</f>
        <v>8.6348857770896251E-2</v>
      </c>
      <c r="AV63" s="28"/>
    </row>
    <row r="64" spans="2:48" outlineLevel="1" x14ac:dyDescent="0.3">
      <c r="B64" s="200" t="s">
        <v>328</v>
      </c>
      <c r="C64" s="201"/>
      <c r="D64" s="304"/>
      <c r="E64" s="304"/>
      <c r="F64" s="304"/>
      <c r="G64" s="304"/>
      <c r="H64" s="306"/>
      <c r="I64" s="305"/>
      <c r="J64" s="305"/>
      <c r="K64" s="305"/>
      <c r="L64" s="305"/>
      <c r="M64" s="306">
        <f>M67/(M65-M66)</f>
        <v>14.55407378391847</v>
      </c>
      <c r="N64" s="305"/>
      <c r="O64" s="305"/>
      <c r="P64" s="305"/>
      <c r="Q64" s="305"/>
      <c r="R64" s="306">
        <f>R67/(R65-R66)</f>
        <v>3.5268936560411204</v>
      </c>
      <c r="S64" s="305"/>
      <c r="T64" s="305"/>
      <c r="U64" s="305"/>
      <c r="V64" s="305"/>
      <c r="W64" s="306">
        <f>W67/(W65-W66)</f>
        <v>4.1612739491288941</v>
      </c>
      <c r="X64" s="307"/>
      <c r="Y64" s="307"/>
      <c r="Z64" s="307"/>
      <c r="AA64" s="307"/>
      <c r="AB64" s="306">
        <f>AB67/(AB65-AB66)</f>
        <v>3.6683668107551965</v>
      </c>
      <c r="AC64" s="307"/>
      <c r="AD64" s="307"/>
      <c r="AE64" s="307"/>
      <c r="AF64" s="307"/>
      <c r="AG64" s="405">
        <f>AG67/(AG65-AG66)</f>
        <v>3.0569126461037599</v>
      </c>
      <c r="AH64" s="307"/>
      <c r="AI64" s="307"/>
      <c r="AJ64" s="307"/>
      <c r="AK64" s="307"/>
      <c r="AL64" s="405">
        <f>AL67/(AL65-AL66)</f>
        <v>3.4733368112234531</v>
      </c>
      <c r="AM64" s="307"/>
      <c r="AN64" s="307"/>
      <c r="AO64" s="307"/>
      <c r="AP64" s="307"/>
      <c r="AQ64" s="306">
        <f>AQ67/(AQ65-AQ66)</f>
        <v>2.9341755612029341</v>
      </c>
      <c r="AR64" s="307"/>
      <c r="AS64" s="307"/>
      <c r="AT64" s="307"/>
      <c r="AU64" s="307"/>
      <c r="AV64" s="306">
        <f>AV67/(AV65-AV66)</f>
        <v>2.730178462163444</v>
      </c>
    </row>
    <row r="65" spans="2:48" outlineLevel="1" x14ac:dyDescent="0.3">
      <c r="B65" s="180" t="s">
        <v>325</v>
      </c>
      <c r="C65" s="44"/>
      <c r="D65" s="139"/>
      <c r="E65" s="139"/>
      <c r="F65" s="309"/>
      <c r="G65" s="309"/>
      <c r="H65" s="17"/>
      <c r="I65" s="139"/>
      <c r="J65" s="139"/>
      <c r="K65" s="309"/>
      <c r="L65" s="309"/>
      <c r="M65" s="17">
        <f>'IS (Base)'!M19+'IS (Base)'!M12</f>
        <v>3564.3800000000042</v>
      </c>
      <c r="N65" s="139"/>
      <c r="O65" s="139"/>
      <c r="P65" s="309"/>
      <c r="Q65" s="309"/>
      <c r="R65" s="17">
        <f>'IS (Base)'!R19+'IS (Base)'!R12</f>
        <v>6703.7999999999975</v>
      </c>
      <c r="S65" s="139"/>
      <c r="T65" s="139"/>
      <c r="U65" s="309"/>
      <c r="V65" s="309"/>
      <c r="W65" s="17">
        <f>'IS (Base)'!W19+'IS (Base)'!W12</f>
        <v>6302.899999999996</v>
      </c>
      <c r="X65" s="139"/>
      <c r="Y65" s="305"/>
      <c r="Z65" s="305"/>
      <c r="AA65" s="310"/>
      <c r="AB65" s="17">
        <f>'IS (Base)'!AB19+'IS (Base)'!AB12</f>
        <v>7043.6481702421333</v>
      </c>
      <c r="AC65" s="139"/>
      <c r="AD65" s="139"/>
      <c r="AE65" s="309"/>
      <c r="AF65" s="309"/>
      <c r="AG65" s="17">
        <f>'IS (Base)'!AG19+'IS (Base)'!AG12</f>
        <v>8029.1663449115531</v>
      </c>
      <c r="AH65" s="139"/>
      <c r="AI65" s="139"/>
      <c r="AJ65" s="309"/>
      <c r="AK65" s="309"/>
      <c r="AL65" s="17">
        <f>'IS (Base)'!AL19+'IS (Base)'!AL12</f>
        <v>9372.5250274650716</v>
      </c>
      <c r="AM65" s="139"/>
      <c r="AN65" s="139"/>
      <c r="AO65" s="309"/>
      <c r="AP65" s="309"/>
      <c r="AQ65" s="17">
        <f>'IS (Base)'!AQ19+'IS (Base)'!AQ12</f>
        <v>10337.788547632917</v>
      </c>
      <c r="AR65" s="139"/>
      <c r="AS65" s="139"/>
      <c r="AT65" s="309"/>
      <c r="AU65" s="309"/>
      <c r="AV65" s="17">
        <f>'IS (Base)'!AV19+'IS (Base)'!AV12</f>
        <v>11029.465637280511</v>
      </c>
    </row>
    <row r="66" spans="2:48" outlineLevel="1" x14ac:dyDescent="0.3">
      <c r="B66" s="180" t="s">
        <v>327</v>
      </c>
      <c r="C66" s="44"/>
      <c r="D66" s="139"/>
      <c r="E66" s="139"/>
      <c r="F66" s="309"/>
      <c r="G66" s="309"/>
      <c r="H66" s="387"/>
      <c r="I66" s="139"/>
      <c r="J66" s="139"/>
      <c r="K66" s="309"/>
      <c r="L66" s="309"/>
      <c r="M66" s="387">
        <v>2441.1</v>
      </c>
      <c r="N66" s="139"/>
      <c r="O66" s="139"/>
      <c r="P66" s="309"/>
      <c r="Q66" s="309"/>
      <c r="R66" s="387">
        <v>2559.6999999999998</v>
      </c>
      <c r="S66" s="139"/>
      <c r="T66" s="139"/>
      <c r="U66" s="309"/>
      <c r="V66" s="309"/>
      <c r="W66" s="388">
        <f>R66*1.05</f>
        <v>2687.6849999999999</v>
      </c>
      <c r="X66" s="139"/>
      <c r="Y66" s="179"/>
      <c r="Z66" s="179"/>
      <c r="AA66" s="310"/>
      <c r="AB66" s="388">
        <f>W66*1.05</f>
        <v>2822.06925</v>
      </c>
      <c r="AC66" s="139"/>
      <c r="AD66" s="139"/>
      <c r="AE66" s="309"/>
      <c r="AF66" s="309"/>
      <c r="AG66" s="388">
        <f>AB66*1.05</f>
        <v>2963.1727125000002</v>
      </c>
      <c r="AH66" s="139"/>
      <c r="AI66" s="139"/>
      <c r="AJ66" s="309"/>
      <c r="AK66" s="309"/>
      <c r="AL66" s="388">
        <f>AG66*1.05</f>
        <v>3111.3313481250002</v>
      </c>
      <c r="AM66" s="139"/>
      <c r="AN66" s="139"/>
      <c r="AO66" s="309"/>
      <c r="AP66" s="309"/>
      <c r="AQ66" s="388">
        <f>AL66*1.05</f>
        <v>3266.8979155312504</v>
      </c>
      <c r="AR66" s="139"/>
      <c r="AS66" s="139"/>
      <c r="AT66" s="309"/>
      <c r="AU66" s="309"/>
      <c r="AV66" s="388">
        <f>AQ66*1.05</f>
        <v>3430.2428113078131</v>
      </c>
    </row>
    <row r="67" spans="2:48" outlineLevel="1" x14ac:dyDescent="0.3">
      <c r="B67" s="386" t="s">
        <v>326</v>
      </c>
      <c r="C67" s="312"/>
      <c r="D67" s="313"/>
      <c r="E67" s="313"/>
      <c r="F67" s="314"/>
      <c r="G67" s="314"/>
      <c r="H67" s="316"/>
      <c r="I67" s="313"/>
      <c r="J67" s="313"/>
      <c r="K67" s="314"/>
      <c r="L67" s="314"/>
      <c r="M67" s="316">
        <f>M28+M31</f>
        <v>16348.300000000001</v>
      </c>
      <c r="N67" s="313"/>
      <c r="O67" s="313"/>
      <c r="P67" s="314"/>
      <c r="Q67" s="314"/>
      <c r="R67" s="316">
        <f>R28+R31</f>
        <v>14615.8</v>
      </c>
      <c r="S67" s="313"/>
      <c r="T67" s="313"/>
      <c r="U67" s="314"/>
      <c r="V67" s="314"/>
      <c r="W67" s="316">
        <f>W28+W31</f>
        <v>15043.9</v>
      </c>
      <c r="X67" s="313"/>
      <c r="Y67" s="313"/>
      <c r="Z67" s="314"/>
      <c r="AA67" s="315"/>
      <c r="AB67" s="316">
        <f>AB28+AB31</f>
        <v>15486.3</v>
      </c>
      <c r="AC67" s="313"/>
      <c r="AD67" s="313"/>
      <c r="AE67" s="314"/>
      <c r="AF67" s="314"/>
      <c r="AG67" s="316">
        <f>AG28+AG31</f>
        <v>15486.3</v>
      </c>
      <c r="AH67" s="313"/>
      <c r="AI67" s="313"/>
      <c r="AJ67" s="314"/>
      <c r="AK67" s="314"/>
      <c r="AL67" s="316">
        <f>AL28+AL31</f>
        <v>21747.23448865148</v>
      </c>
      <c r="AM67" s="313"/>
      <c r="AN67" s="313"/>
      <c r="AO67" s="314"/>
      <c r="AP67" s="314"/>
      <c r="AQ67" s="316">
        <f>AQ28+AQ31</f>
        <v>20747.23448865148</v>
      </c>
      <c r="AR67" s="313"/>
      <c r="AS67" s="313"/>
      <c r="AT67" s="314"/>
      <c r="AU67" s="314"/>
      <c r="AV67" s="316">
        <f>AV28+AV31</f>
        <v>20747.23448865148</v>
      </c>
    </row>
  </sheetData>
  <dataConsolidate/>
  <mergeCells count="27">
    <mergeCell ref="B19:C19"/>
    <mergeCell ref="B3:C3"/>
    <mergeCell ref="B5:C5"/>
    <mergeCell ref="B6:C6"/>
    <mergeCell ref="B8:C8"/>
    <mergeCell ref="B10:C10"/>
    <mergeCell ref="B42:C42"/>
    <mergeCell ref="B20:C20"/>
    <mergeCell ref="B21:C21"/>
    <mergeCell ref="B22:C22"/>
    <mergeCell ref="B23:C23"/>
    <mergeCell ref="B34:C34"/>
    <mergeCell ref="B35:C35"/>
    <mergeCell ref="B36:C36"/>
    <mergeCell ref="B37:C37"/>
    <mergeCell ref="B38:C38"/>
    <mergeCell ref="B39:C39"/>
    <mergeCell ref="B41:C41"/>
    <mergeCell ref="B51:C51"/>
    <mergeCell ref="B52:C52"/>
    <mergeCell ref="B53:C53"/>
    <mergeCell ref="B44:C44"/>
    <mergeCell ref="B45:C45"/>
    <mergeCell ref="B47:C47"/>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EEDAA-A9D2-4DCC-83AB-99BA696FF167}">
  <sheetPr>
    <tabColor theme="8" tint="0.39997558519241921"/>
    <pageSetUpPr fitToPage="1"/>
  </sheetPr>
  <dimension ref="B1:AV67"/>
  <sheetViews>
    <sheetView showGridLines="0" zoomScaleNormal="100" workbookViewId="0">
      <pane xSplit="3" ySplit="4" topLeftCell="D5" activePane="bottomRight" state="frozen"/>
      <selection activeCell="D5" sqref="D5"/>
      <selection pane="topRight" activeCell="D5" sqref="D5"/>
      <selection pane="bottomLeft" activeCell="D5" sqref="D5"/>
      <selection pane="bottomRight" activeCell="D5" sqref="D5"/>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91"/>
      <c r="P1" s="391"/>
      <c r="Q1" s="391"/>
      <c r="R1" s="391"/>
      <c r="S1" s="391"/>
      <c r="T1" s="391"/>
      <c r="U1" s="391"/>
      <c r="V1" s="391"/>
      <c r="W1" s="391"/>
      <c r="X1" s="391"/>
      <c r="Y1" s="57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583" t="s">
        <v>266</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3" t="s">
        <v>451</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4" t="s">
        <v>452</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601" t="s">
        <v>267</v>
      </c>
      <c r="C5" s="602"/>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v>760.40000000000043</v>
      </c>
      <c r="E6" s="101">
        <v>658.59999999999968</v>
      </c>
      <c r="F6" s="16">
        <v>1373.200000000001</v>
      </c>
      <c r="G6" s="16">
        <v>802.400000000001</v>
      </c>
      <c r="H6" s="17">
        <v>3594.6000000000054</v>
      </c>
      <c r="I6" s="16">
        <v>885.29999999999882</v>
      </c>
      <c r="J6" s="16">
        <v>324.79999999999905</v>
      </c>
      <c r="K6" s="16">
        <v>-678.09999999999923</v>
      </c>
      <c r="L6" s="16">
        <f>924.7-K6-J6-I6</f>
        <v>392.70000000000141</v>
      </c>
      <c r="M6" s="17">
        <v>924.70000000000437</v>
      </c>
      <c r="N6" s="16">
        <v>622.20000000000016</v>
      </c>
      <c r="O6" s="16">
        <v>659.4</v>
      </c>
      <c r="P6" s="16">
        <v>1154.1999999999989</v>
      </c>
      <c r="Q6" s="16">
        <v>1764.6</v>
      </c>
      <c r="R6" s="17">
        <v>4200.3999999999978</v>
      </c>
      <c r="S6" s="16">
        <v>816.10000000000014</v>
      </c>
      <c r="T6" s="16">
        <v>675.00000000000011</v>
      </c>
      <c r="U6" s="16">
        <v>913.69999999999959</v>
      </c>
      <c r="V6" s="16">
        <f>'IS (Base)'!V25</f>
        <v>878.49999999999864</v>
      </c>
      <c r="W6" s="17">
        <f t="shared" ref="W6:W13" si="0">SUM(S6:V6)</f>
        <v>3283.2999999999988</v>
      </c>
      <c r="X6" s="16">
        <v>855.2</v>
      </c>
      <c r="Y6" s="101">
        <f>1763.6-X6</f>
        <v>908.39999999999986</v>
      </c>
      <c r="Z6" s="16">
        <f>'IS (Base)'!Z25</f>
        <v>1027.2780464234104</v>
      </c>
      <c r="AA6" s="16">
        <f>'IS (Base)'!AA25</f>
        <v>1125.9201528849781</v>
      </c>
      <c r="AB6" s="17">
        <f t="shared" ref="AB6" si="1">SUM(X6:AA6)</f>
        <v>3916.7981993083886</v>
      </c>
      <c r="AC6" s="16">
        <f>'IS (Base)'!AC25</f>
        <v>1026.0257414508544</v>
      </c>
      <c r="AD6" s="16">
        <f>'IS (Base)'!AD25</f>
        <v>1015.4316164840054</v>
      </c>
      <c r="AE6" s="16">
        <f>'IS (Base)'!AE25</f>
        <v>1155.2206301717304</v>
      </c>
      <c r="AF6" s="16">
        <f>'IS (Base)'!AF25</f>
        <v>1160.7070750414002</v>
      </c>
      <c r="AG6" s="17">
        <f t="shared" ref="AG6" si="2">SUM(AC6:AF6)</f>
        <v>4357.3850631479909</v>
      </c>
      <c r="AH6" s="16">
        <f>'IS (Base)'!AH25</f>
        <v>1199.8828637744516</v>
      </c>
      <c r="AI6" s="16">
        <f>'IS (Base)'!AI25</f>
        <v>1203.6943510820568</v>
      </c>
      <c r="AJ6" s="16">
        <f>'IS (Base)'!AJ25</f>
        <v>1417.6971305142984</v>
      </c>
      <c r="AK6" s="16">
        <f>'IS (Base)'!AK25</f>
        <v>1334.1456193082954</v>
      </c>
      <c r="AL6" s="17">
        <f t="shared" ref="AL6" si="3">SUM(AH6:AK6)</f>
        <v>5155.4199646791021</v>
      </c>
      <c r="AM6" s="16">
        <f>'IS (Base)'!AM25</f>
        <v>1292.8667370813405</v>
      </c>
      <c r="AN6" s="16">
        <f>'IS (Base)'!AN25</f>
        <v>1294.134092244213</v>
      </c>
      <c r="AO6" s="16">
        <f>'IS (Base)'!AO25</f>
        <v>1522.6391722998603</v>
      </c>
      <c r="AP6" s="16">
        <f>'IS (Base)'!AP25</f>
        <v>1474.4136565721733</v>
      </c>
      <c r="AQ6" s="17">
        <f t="shared" ref="AQ6" si="4">SUM(AM6:AP6)</f>
        <v>5584.0536581975866</v>
      </c>
      <c r="AR6" s="16">
        <f>'IS (Base)'!AR25</f>
        <v>1387.5811092333458</v>
      </c>
      <c r="AS6" s="16">
        <f>'IS (Base)'!AS25</f>
        <v>1391.5435995908542</v>
      </c>
      <c r="AT6" s="16">
        <f>'IS (Base)'!AT25</f>
        <v>1628.1693996602496</v>
      </c>
      <c r="AU6" s="16">
        <f>'IS (Base)'!AU25</f>
        <v>1578.0637130407385</v>
      </c>
      <c r="AV6" s="17">
        <f t="shared" ref="AV6" si="5">SUM(AR6:AU6)</f>
        <v>5985.3578215251882</v>
      </c>
    </row>
    <row r="7" spans="2:48" outlineLevel="1" x14ac:dyDescent="0.3">
      <c r="B7" s="308" t="s">
        <v>269</v>
      </c>
      <c r="C7" s="44"/>
      <c r="D7" s="16">
        <v>350.8</v>
      </c>
      <c r="E7" s="16">
        <f>723.5-D7</f>
        <v>372.7</v>
      </c>
      <c r="F7" s="16">
        <f>1083.6-E7-D7</f>
        <v>360.09999999999985</v>
      </c>
      <c r="G7" s="16">
        <f>1449.3-F7-E7-D7</f>
        <v>365.7</v>
      </c>
      <c r="H7" s="17">
        <f t="shared" ref="H7:H13" si="6">SUM(D7:G7)</f>
        <v>1449.3</v>
      </c>
      <c r="I7" s="16">
        <v>369.2</v>
      </c>
      <c r="J7" s="16">
        <f>746.9-I7</f>
        <v>377.7</v>
      </c>
      <c r="K7" s="16">
        <f>1124-J7-I7</f>
        <v>377.09999999999997</v>
      </c>
      <c r="L7" s="16">
        <f>1503.2-K7-J7-I7</f>
        <v>379.2000000000001</v>
      </c>
      <c r="M7" s="17">
        <f t="shared" ref="M7:M13" si="7">SUM(I7:L7)</f>
        <v>1503.2</v>
      </c>
      <c r="N7" s="16">
        <v>388.4</v>
      </c>
      <c r="O7" s="16">
        <f>772.9-N7</f>
        <v>384.5</v>
      </c>
      <c r="P7" s="16">
        <f>1146.2-O7-N7</f>
        <v>373.30000000000007</v>
      </c>
      <c r="Q7" s="16">
        <f>1524.1-P7-O7-N7</f>
        <v>377.89999999999975</v>
      </c>
      <c r="R7" s="17">
        <f t="shared" ref="R7:R13" si="8">SUM(N7:Q7)</f>
        <v>1524.1</v>
      </c>
      <c r="S7" s="16">
        <v>386.4</v>
      </c>
      <c r="T7" s="16">
        <f>777.7-S7</f>
        <v>391.30000000000007</v>
      </c>
      <c r="U7" s="16">
        <f>1169-T7-S7</f>
        <v>391.29999999999995</v>
      </c>
      <c r="V7" s="16">
        <f>1529.4-U7-T7-S7</f>
        <v>360.40000000000009</v>
      </c>
      <c r="W7" s="17">
        <f t="shared" si="0"/>
        <v>1529.4</v>
      </c>
      <c r="X7" s="16">
        <v>342.5</v>
      </c>
      <c r="Y7" s="101">
        <f>709.3-X7</f>
        <v>366.79999999999995</v>
      </c>
      <c r="Z7" s="16">
        <f>('BS (Base)'!Y14*'BS (Base)'!Z56)</f>
        <v>377.87224360289633</v>
      </c>
      <c r="AA7" s="16">
        <f>('BS (Base)'!Z14*'BS (Base)'!AA56)</f>
        <v>388.59754103314799</v>
      </c>
      <c r="AB7" s="17">
        <f t="shared" ref="AB7:AB13" si="9">SUM(X7:AA7)</f>
        <v>1475.7697846360443</v>
      </c>
      <c r="AC7" s="16">
        <f>('BS (Base)'!AB14*'BS (Base)'!AC56)</f>
        <v>405.53605758861659</v>
      </c>
      <c r="AD7" s="16">
        <f>('BS (Base)'!AC14*'BS (Base)'!AD56)</f>
        <v>424.02913347415137</v>
      </c>
      <c r="AE7" s="16">
        <f>('BS (Base)'!AD14*'BS (Base)'!AE56)</f>
        <v>438.27974170001642</v>
      </c>
      <c r="AF7" s="16">
        <f>('BS (Base)'!AE14*'BS (Base)'!AF56)</f>
        <v>450.81992647277661</v>
      </c>
      <c r="AG7" s="17">
        <f t="shared" ref="AG7:AG13" si="10">SUM(AC7:AF7)</f>
        <v>1718.6648592355612</v>
      </c>
      <c r="AH7" s="16">
        <f>('BS (Base)'!AG14*'BS (Base)'!AH56)</f>
        <v>465.27852789736954</v>
      </c>
      <c r="AI7" s="16">
        <f>('BS (Base)'!AH14*'BS (Base)'!AI56)</f>
        <v>477.46001630761737</v>
      </c>
      <c r="AJ7" s="16">
        <f>('BS (Base)'!AI14*'BS (Base)'!AJ56)</f>
        <v>487.54670075257877</v>
      </c>
      <c r="AK7" s="16">
        <f>('BS (Base)'!AJ14*'BS (Base)'!AK56)</f>
        <v>499.18546200922549</v>
      </c>
      <c r="AL7" s="17">
        <f t="shared" ref="AL7:AL13" si="11">SUM(AH7:AK7)</f>
        <v>1929.4707069667911</v>
      </c>
      <c r="AM7" s="16">
        <f>('BS (Base)'!AL14*'BS (Base)'!AM56)</f>
        <v>511.19575128832656</v>
      </c>
      <c r="AN7" s="16">
        <f>('BS (Base)'!AM14*'BS (Base)'!AN56)</f>
        <v>523.77117750331888</v>
      </c>
      <c r="AO7" s="16">
        <f>('BS (Base)'!AN14*'BS (Base)'!AO56)</f>
        <v>534.72499047543579</v>
      </c>
      <c r="AP7" s="16">
        <f>('BS (Base)'!AO14*'BS (Base)'!AP56)</f>
        <v>547.61727931615815</v>
      </c>
      <c r="AQ7" s="17">
        <f t="shared" ref="AQ7:AQ13" si="12">SUM(AM7:AP7)</f>
        <v>2117.3091985832393</v>
      </c>
      <c r="AR7" s="16">
        <f>('BS (Base)'!AQ14*'BS (Base)'!AR56)</f>
        <v>560.30501560104915</v>
      </c>
      <c r="AS7" s="16">
        <f>('BS (Base)'!AR14*'BS (Base)'!AS56)</f>
        <v>572.66838813368736</v>
      </c>
      <c r="AT7" s="16">
        <f>('BS (Base)'!AS14*'BS (Base)'!AT56)</f>
        <v>583.52883776036379</v>
      </c>
      <c r="AU7" s="16">
        <f>('BS (Base)'!AT14*'BS (Base)'!AU56)</f>
        <v>596.50219861147809</v>
      </c>
      <c r="AV7" s="17">
        <f t="shared" ref="AV7:AV13" si="13">SUM(AR7:AU7)</f>
        <v>2313.0044401065784</v>
      </c>
    </row>
    <row r="8" spans="2:48" outlineLevel="1" x14ac:dyDescent="0.3">
      <c r="B8" s="308" t="s">
        <v>222</v>
      </c>
      <c r="C8" s="44"/>
      <c r="D8" s="16">
        <v>-354.6</v>
      </c>
      <c r="E8" s="16">
        <f>-714.5-D8</f>
        <v>-359.9</v>
      </c>
      <c r="F8" s="16">
        <f>-1243.5-E8-D8</f>
        <v>-529</v>
      </c>
      <c r="G8" s="101">
        <f>-1495.4-F8-E8-D8</f>
        <v>-251.90000000000009</v>
      </c>
      <c r="H8" s="17">
        <f t="shared" si="6"/>
        <v>-1495.4</v>
      </c>
      <c r="I8" s="16">
        <v>10.4</v>
      </c>
      <c r="J8" s="16">
        <f>47.7-I8</f>
        <v>37.300000000000004</v>
      </c>
      <c r="K8" s="16">
        <f>20-J8-I8</f>
        <v>-27.700000000000003</v>
      </c>
      <c r="L8" s="101">
        <f>-25.8-K8-J8-I8</f>
        <v>-45.800000000000004</v>
      </c>
      <c r="M8" s="17">
        <f t="shared" si="7"/>
        <v>-25.800000000000004</v>
      </c>
      <c r="N8" s="16">
        <v>-6.1</v>
      </c>
      <c r="O8" s="16">
        <f>-25.2-N8</f>
        <v>-19.100000000000001</v>
      </c>
      <c r="P8" s="16">
        <f>-113.2-O8-N8</f>
        <v>-88</v>
      </c>
      <c r="Q8" s="101">
        <f>-146.2-P8-O8-N8</f>
        <v>-32.999999999999986</v>
      </c>
      <c r="R8" s="17">
        <f t="shared" si="8"/>
        <v>-146.19999999999999</v>
      </c>
      <c r="S8" s="16">
        <v>-0.3</v>
      </c>
      <c r="T8" s="16">
        <f>28.4-S8</f>
        <v>28.7</v>
      </c>
      <c r="U8" s="16">
        <f>35-T8-S8</f>
        <v>6.6000000000000005</v>
      </c>
      <c r="V8" s="16">
        <f>-37.8-U8-T8-S8</f>
        <v>-72.8</v>
      </c>
      <c r="W8" s="17">
        <f t="shared" si="0"/>
        <v>-37.799999999999997</v>
      </c>
      <c r="X8" s="16">
        <v>15.8</v>
      </c>
      <c r="Y8" s="101">
        <f>2.6-X8</f>
        <v>-13.200000000000001</v>
      </c>
      <c r="Z8" s="16">
        <f>-('BS (Base)'!Z16-'BS (Base)'!Y16)</f>
        <v>48.903394169711191</v>
      </c>
      <c r="AA8" s="16">
        <f>-('BS (Base)'!AA16-'BS (Base)'!Z16)</f>
        <v>2.5814571965827326</v>
      </c>
      <c r="AB8" s="17">
        <f t="shared" si="9"/>
        <v>54.084851366293925</v>
      </c>
      <c r="AC8" s="16">
        <f>-('BS (Base)'!AC16-'BS (Base)'!AA16)</f>
        <v>-101.54164317766754</v>
      </c>
      <c r="AD8" s="16">
        <f>-('BS (Base)'!AD16-'BS (Base)'!AC16)</f>
        <v>70.842618008676027</v>
      </c>
      <c r="AE8" s="16">
        <f>-('BS (Base)'!AE16-'BS (Base)'!AD16)</f>
        <v>17.749250830086112</v>
      </c>
      <c r="AF8" s="16">
        <f>-('BS (Base)'!AF16-'BS (Base)'!AE16)</f>
        <v>9.8116766653083687</v>
      </c>
      <c r="AG8" s="17">
        <f t="shared" si="10"/>
        <v>-3.1380976735970307</v>
      </c>
      <c r="AH8" s="16">
        <f>-('BS (Base)'!AH16-'BS (Base)'!AF16)</f>
        <v>-119.94045014602307</v>
      </c>
      <c r="AI8" s="16">
        <f>-('BS (Base)'!AI16-'BS (Base)'!AH16)</f>
        <v>87.834479628207419</v>
      </c>
      <c r="AJ8" s="16">
        <f>-('BS (Base)'!AJ16-'BS (Base)'!AI16)</f>
        <v>12.452828645457203</v>
      </c>
      <c r="AK8" s="16">
        <f>-('BS (Base)'!AK16-'BS (Base)'!AJ16)</f>
        <v>10.985594297422267</v>
      </c>
      <c r="AL8" s="17">
        <f t="shared" si="11"/>
        <v>-8.6675475749361794</v>
      </c>
      <c r="AM8" s="16">
        <f>-('BS (Base)'!AM16-'BS (Base)'!AK16)</f>
        <v>-131.2521887466653</v>
      </c>
      <c r="AN8" s="16">
        <f>-('BS (Base)'!AN16-'BS (Base)'!AM16)</f>
        <v>95.944883519363657</v>
      </c>
      <c r="AO8" s="16">
        <f>-('BS (Base)'!AO16-'BS (Base)'!AN16)</f>
        <v>11.754173872976708</v>
      </c>
      <c r="AP8" s="16">
        <f>-('BS (Base)'!AP16-'BS (Base)'!AO16)</f>
        <v>11.430274735463399</v>
      </c>
      <c r="AQ8" s="17">
        <f t="shared" si="12"/>
        <v>-12.122856618861533</v>
      </c>
      <c r="AR8" s="16">
        <f>-('BS (Base)'!AR16-'BS (Base)'!AP16)</f>
        <v>-142.82600285607282</v>
      </c>
      <c r="AS8" s="16">
        <f>-('BS (Base)'!AS16-'BS (Base)'!AR16)</f>
        <v>103.398725290127</v>
      </c>
      <c r="AT8" s="16">
        <f>-('BS (Base)'!AT16-'BS (Base)'!AS16)</f>
        <v>11.890167120219303</v>
      </c>
      <c r="AU8" s="16">
        <f>-('BS (Base)'!AU16-'BS (Base)'!AT16)</f>
        <v>11.763926929030958</v>
      </c>
      <c r="AV8" s="17">
        <f t="shared" si="13"/>
        <v>-15.773183516695553</v>
      </c>
    </row>
    <row r="9" spans="2:48" outlineLevel="1" x14ac:dyDescent="0.3">
      <c r="B9" s="308" t="s">
        <v>270</v>
      </c>
      <c r="C9" s="44"/>
      <c r="D9" s="16">
        <v>-55</v>
      </c>
      <c r="E9" s="16">
        <f>-108.2-D9</f>
        <v>-53.2</v>
      </c>
      <c r="F9" s="16">
        <f>-174.1-E9-D9</f>
        <v>-65.899999999999991</v>
      </c>
      <c r="G9" s="101">
        <f>-250.6-F9-E9-D9</f>
        <v>-76.5</v>
      </c>
      <c r="H9" s="17">
        <f t="shared" si="6"/>
        <v>-250.6</v>
      </c>
      <c r="I9" s="16">
        <v>-62.9</v>
      </c>
      <c r="J9" s="16">
        <f>-116.3-I9</f>
        <v>-53.4</v>
      </c>
      <c r="K9" s="16">
        <f>-182.3-J9-I9</f>
        <v>-66</v>
      </c>
      <c r="L9" s="101">
        <f>-280.7-K9-J9-I9</f>
        <v>-98.399999999999977</v>
      </c>
      <c r="M9" s="17">
        <f t="shared" si="7"/>
        <v>-280.7</v>
      </c>
      <c r="N9" s="16">
        <v>-69</v>
      </c>
      <c r="O9" s="16">
        <f>-131.3-N9</f>
        <v>-62.300000000000011</v>
      </c>
      <c r="P9" s="16">
        <f>-238.3-O9-N9</f>
        <v>-107</v>
      </c>
      <c r="Q9" s="101">
        <f>-347.3-P9-O9-N9</f>
        <v>-109</v>
      </c>
      <c r="R9" s="17">
        <f t="shared" si="8"/>
        <v>-347.3</v>
      </c>
      <c r="S9" s="16">
        <v>-46.6</v>
      </c>
      <c r="T9" s="16">
        <f>-118.7-S9</f>
        <v>-72.099999999999994</v>
      </c>
      <c r="U9" s="16">
        <f>-175-T9-S9</f>
        <v>-56.300000000000004</v>
      </c>
      <c r="V9" s="16">
        <f>-268.7-U9-T9-S9</f>
        <v>-93.699999999999989</v>
      </c>
      <c r="W9" s="17">
        <f t="shared" si="0"/>
        <v>-268.7</v>
      </c>
      <c r="X9" s="16">
        <v>-56.9</v>
      </c>
      <c r="Y9" s="101">
        <f>-109.9-X9</f>
        <v>-53.000000000000007</v>
      </c>
      <c r="Z9" s="16">
        <f>-'IS (Base)'!Z16</f>
        <v>-51.2</v>
      </c>
      <c r="AA9" s="16">
        <f>-'IS (Base)'!AA16</f>
        <v>-51.300000000000004</v>
      </c>
      <c r="AB9" s="17">
        <f t="shared" si="9"/>
        <v>-212.40000000000003</v>
      </c>
      <c r="AC9" s="16">
        <f>-'IS (Base)'!AC16</f>
        <v>-51.6</v>
      </c>
      <c r="AD9" s="16">
        <f>-'IS (Base)'!AD16</f>
        <v>-51.6</v>
      </c>
      <c r="AE9" s="16">
        <f>-'IS (Base)'!AE16</f>
        <v>-51.6</v>
      </c>
      <c r="AF9" s="16">
        <f>-'IS (Base)'!AF16</f>
        <v>-51.6</v>
      </c>
      <c r="AG9" s="17">
        <f t="shared" si="10"/>
        <v>-206.4</v>
      </c>
      <c r="AH9" s="16">
        <f>-'IS (Base)'!AH16</f>
        <v>-51.6</v>
      </c>
      <c r="AI9" s="16">
        <f>-'IS (Base)'!AI16</f>
        <v>-51.6</v>
      </c>
      <c r="AJ9" s="16">
        <f>-'IS (Base)'!AJ16</f>
        <v>-51.6</v>
      </c>
      <c r="AK9" s="16">
        <f>-'IS (Base)'!AK16</f>
        <v>-51.6</v>
      </c>
      <c r="AL9" s="17">
        <f t="shared" si="11"/>
        <v>-206.4</v>
      </c>
      <c r="AM9" s="16">
        <f>-'IS (Base)'!AM16</f>
        <v>-51.6</v>
      </c>
      <c r="AN9" s="16">
        <f>-'IS (Base)'!AN16</f>
        <v>-51.6</v>
      </c>
      <c r="AO9" s="16">
        <f>-'IS (Base)'!AO16</f>
        <v>-51.6</v>
      </c>
      <c r="AP9" s="16">
        <f>-'IS (Base)'!AP16</f>
        <v>-51.6</v>
      </c>
      <c r="AQ9" s="17">
        <f t="shared" si="12"/>
        <v>-206.4</v>
      </c>
      <c r="AR9" s="16">
        <f>-'IS (Base)'!AR16</f>
        <v>-51.6</v>
      </c>
      <c r="AS9" s="16">
        <f>-'IS (Base)'!AS16</f>
        <v>-51.6</v>
      </c>
      <c r="AT9" s="16">
        <f>-'IS (Base)'!AT16</f>
        <v>-51.6</v>
      </c>
      <c r="AU9" s="16">
        <f>-'IS (Base)'!AU16</f>
        <v>-51.6</v>
      </c>
      <c r="AV9" s="17">
        <f t="shared" si="13"/>
        <v>-206.4</v>
      </c>
    </row>
    <row r="10" spans="2:48" outlineLevel="1" x14ac:dyDescent="0.3">
      <c r="B10" s="308" t="s">
        <v>271</v>
      </c>
      <c r="C10" s="44"/>
      <c r="D10" s="16">
        <v>63.7</v>
      </c>
      <c r="E10" s="16">
        <f>93.3-D10</f>
        <v>29.599999999999994</v>
      </c>
      <c r="F10" s="16">
        <f>163.7-E10-D10</f>
        <v>70.399999999999991</v>
      </c>
      <c r="G10" s="101">
        <f>216.8-F10-E10-D10</f>
        <v>53.100000000000037</v>
      </c>
      <c r="H10" s="17">
        <f t="shared" si="6"/>
        <v>216.8</v>
      </c>
      <c r="I10" s="16">
        <v>64.3</v>
      </c>
      <c r="J10" s="16">
        <f>98.1-I10</f>
        <v>33.799999999999997</v>
      </c>
      <c r="K10" s="16">
        <f>165.6-J10-I10</f>
        <v>67.500000000000014</v>
      </c>
      <c r="L10" s="101">
        <f>227.7-K10-J10-I10</f>
        <v>62.099999999999994</v>
      </c>
      <c r="M10" s="17">
        <f t="shared" si="7"/>
        <v>227.70000000000002</v>
      </c>
      <c r="N10" s="16">
        <v>77.2</v>
      </c>
      <c r="O10" s="16">
        <f>130.2-N10</f>
        <v>52.999999999999986</v>
      </c>
      <c r="P10" s="16">
        <f>226.7-O10-N10</f>
        <v>96.499999999999986</v>
      </c>
      <c r="Q10" s="101">
        <f>336-P10-O10-N10</f>
        <v>109.3</v>
      </c>
      <c r="R10" s="17">
        <f t="shared" si="8"/>
        <v>336</v>
      </c>
      <c r="S10" s="16">
        <v>44.9</v>
      </c>
      <c r="T10" s="16">
        <f>100.8-S10</f>
        <v>55.9</v>
      </c>
      <c r="U10" s="16">
        <f>145.9-T10-S10</f>
        <v>45.1</v>
      </c>
      <c r="V10" s="16">
        <f>231.2-U10-T10-S10</f>
        <v>85.299999999999983</v>
      </c>
      <c r="W10" s="17">
        <f t="shared" si="0"/>
        <v>231.2</v>
      </c>
      <c r="X10" s="16">
        <v>45.7</v>
      </c>
      <c r="Y10" s="101">
        <f>88-X10</f>
        <v>42.3</v>
      </c>
      <c r="Z10" s="16">
        <f>-Z54*Z9</f>
        <v>51.2</v>
      </c>
      <c r="AA10" s="16">
        <f>-AA54*AA9</f>
        <v>51.300000000000004</v>
      </c>
      <c r="AB10" s="17">
        <f t="shared" si="9"/>
        <v>190.5</v>
      </c>
      <c r="AC10" s="16">
        <f>-AC54*AC9</f>
        <v>51.6</v>
      </c>
      <c r="AD10" s="16">
        <f>-AD54*AD9</f>
        <v>51.6</v>
      </c>
      <c r="AE10" s="16">
        <f>-AE54*AE9</f>
        <v>51.6</v>
      </c>
      <c r="AF10" s="16">
        <f>-AF54*AF9</f>
        <v>51.6</v>
      </c>
      <c r="AG10" s="17">
        <f t="shared" si="10"/>
        <v>206.4</v>
      </c>
      <c r="AH10" s="16">
        <f>-AH54*AH9</f>
        <v>51.6</v>
      </c>
      <c r="AI10" s="16">
        <f>-AI54*AI9</f>
        <v>51.6</v>
      </c>
      <c r="AJ10" s="16">
        <f>-AJ54*AJ9</f>
        <v>51.6</v>
      </c>
      <c r="AK10" s="16">
        <f>-AK54*AK9</f>
        <v>51.6</v>
      </c>
      <c r="AL10" s="17">
        <f t="shared" si="11"/>
        <v>206.4</v>
      </c>
      <c r="AM10" s="16">
        <f>-AM54*AM9</f>
        <v>51.6</v>
      </c>
      <c r="AN10" s="16">
        <f>-AN54*AN9</f>
        <v>51.6</v>
      </c>
      <c r="AO10" s="16">
        <f>-AO54*AO9</f>
        <v>51.6</v>
      </c>
      <c r="AP10" s="16">
        <f>-AP54*AP9</f>
        <v>51.6</v>
      </c>
      <c r="AQ10" s="17">
        <f t="shared" si="12"/>
        <v>206.4</v>
      </c>
      <c r="AR10" s="16">
        <f>-AR54*AR9</f>
        <v>51.6</v>
      </c>
      <c r="AS10" s="16">
        <f>-AS54*AS9</f>
        <v>51.6</v>
      </c>
      <c r="AT10" s="16">
        <f>-AT54*AT9</f>
        <v>51.6</v>
      </c>
      <c r="AU10" s="16">
        <f>-AU54*AU9</f>
        <v>51.6</v>
      </c>
      <c r="AV10" s="17">
        <f t="shared" si="13"/>
        <v>206.4</v>
      </c>
    </row>
    <row r="11" spans="2:48" outlineLevel="1" x14ac:dyDescent="0.3">
      <c r="B11" s="308" t="s">
        <v>272</v>
      </c>
      <c r="C11" s="44"/>
      <c r="D11" s="16">
        <v>0</v>
      </c>
      <c r="E11" s="16">
        <f>-21-D11</f>
        <v>-21</v>
      </c>
      <c r="F11" s="16">
        <f>-622.8-E11-D11</f>
        <v>-601.79999999999995</v>
      </c>
      <c r="G11" s="101">
        <f>-622.8-F11-E11-D11</f>
        <v>0</v>
      </c>
      <c r="H11" s="17">
        <f t="shared" si="6"/>
        <v>-622.79999999999995</v>
      </c>
      <c r="I11" s="16">
        <v>0</v>
      </c>
      <c r="J11" s="16">
        <f>0-I11</f>
        <v>0</v>
      </c>
      <c r="K11" s="16">
        <f>0-J11-I11</f>
        <v>0</v>
      </c>
      <c r="L11" s="101">
        <f>0-K11-J11-I11</f>
        <v>0</v>
      </c>
      <c r="M11" s="17">
        <f t="shared" si="7"/>
        <v>0</v>
      </c>
      <c r="N11" s="16">
        <v>0</v>
      </c>
      <c r="O11" s="16">
        <f>0-N11</f>
        <v>0</v>
      </c>
      <c r="P11" s="16">
        <f>0-O11-N11</f>
        <v>0</v>
      </c>
      <c r="Q11" s="101">
        <f>-864.5-P11-O11-N11</f>
        <v>-864.5</v>
      </c>
      <c r="R11" s="17">
        <f t="shared" si="8"/>
        <v>-864.5</v>
      </c>
      <c r="S11" s="16">
        <v>0</v>
      </c>
      <c r="T11" s="16">
        <f>0-S11</f>
        <v>0</v>
      </c>
      <c r="U11" s="16">
        <f t="shared" ref="U11" si="14">0-T11-S11</f>
        <v>0</v>
      </c>
      <c r="V11" s="16">
        <f t="shared" ref="V11:V17" si="15">0-U11-T11-S11</f>
        <v>0</v>
      </c>
      <c r="W11" s="17">
        <f t="shared" si="0"/>
        <v>0</v>
      </c>
      <c r="X11" s="16">
        <v>0</v>
      </c>
      <c r="Y11" s="101">
        <f>-91.3-X11</f>
        <v>-91.3</v>
      </c>
      <c r="Z11" s="16">
        <v>0</v>
      </c>
      <c r="AA11" s="16">
        <v>0</v>
      </c>
      <c r="AB11" s="17">
        <f t="shared" si="9"/>
        <v>-91.3</v>
      </c>
      <c r="AC11" s="16">
        <v>0</v>
      </c>
      <c r="AD11" s="16">
        <v>0</v>
      </c>
      <c r="AE11" s="16">
        <v>0</v>
      </c>
      <c r="AF11" s="16">
        <v>0</v>
      </c>
      <c r="AG11" s="17">
        <f t="shared" si="10"/>
        <v>0</v>
      </c>
      <c r="AH11" s="16">
        <v>0</v>
      </c>
      <c r="AI11" s="16">
        <v>0</v>
      </c>
      <c r="AJ11" s="16">
        <v>0</v>
      </c>
      <c r="AK11" s="16">
        <v>0</v>
      </c>
      <c r="AL11" s="17">
        <f t="shared" si="11"/>
        <v>0</v>
      </c>
      <c r="AM11" s="16">
        <v>0</v>
      </c>
      <c r="AN11" s="16">
        <v>0</v>
      </c>
      <c r="AO11" s="16">
        <v>0</v>
      </c>
      <c r="AP11" s="16">
        <v>0</v>
      </c>
      <c r="AQ11" s="17">
        <f t="shared" si="12"/>
        <v>0</v>
      </c>
      <c r="AR11" s="16">
        <v>0</v>
      </c>
      <c r="AS11" s="16">
        <v>0</v>
      </c>
      <c r="AT11" s="16">
        <v>0</v>
      </c>
      <c r="AU11" s="16">
        <v>0</v>
      </c>
      <c r="AV11" s="17">
        <f t="shared" si="13"/>
        <v>0</v>
      </c>
    </row>
    <row r="12" spans="2:48" outlineLevel="1" x14ac:dyDescent="0.3">
      <c r="B12" s="308" t="s">
        <v>273</v>
      </c>
      <c r="C12" s="44"/>
      <c r="D12" s="16">
        <v>97.3</v>
      </c>
      <c r="E12" s="16">
        <f>192.1-D12</f>
        <v>94.8</v>
      </c>
      <c r="F12" s="16">
        <f>255.4-E12-D12</f>
        <v>63.300000000000026</v>
      </c>
      <c r="G12" s="101">
        <f>308-F12-E12-D12</f>
        <v>52.59999999999998</v>
      </c>
      <c r="H12" s="17">
        <f t="shared" si="6"/>
        <v>308</v>
      </c>
      <c r="I12" s="16">
        <v>90.3</v>
      </c>
      <c r="J12" s="16">
        <f>146.6-I12</f>
        <v>56.3</v>
      </c>
      <c r="K12" s="16">
        <f>188-J12-I12</f>
        <v>41.399999999999991</v>
      </c>
      <c r="L12" s="101">
        <f>248.6-K12-J12-I12</f>
        <v>60.59999999999998</v>
      </c>
      <c r="M12" s="17">
        <f t="shared" si="7"/>
        <v>248.59999999999997</v>
      </c>
      <c r="N12" s="16">
        <v>99.3</v>
      </c>
      <c r="O12" s="16">
        <f>175.3-N12</f>
        <v>76.000000000000014</v>
      </c>
      <c r="P12" s="16">
        <f>255.3-O12-N12</f>
        <v>80.000000000000014</v>
      </c>
      <c r="Q12" s="101">
        <f>319.1-P12-O12-N12</f>
        <v>63.800000000000026</v>
      </c>
      <c r="R12" s="17">
        <f t="shared" si="8"/>
        <v>319.10000000000002</v>
      </c>
      <c r="S12" s="16">
        <v>95.8</v>
      </c>
      <c r="T12" s="16">
        <f>149.2-S12</f>
        <v>53.399999999999991</v>
      </c>
      <c r="U12" s="16">
        <f>206.6-T12-S12</f>
        <v>57.399999999999991</v>
      </c>
      <c r="V12" s="16">
        <f>271.5-U12-T12-S12</f>
        <v>64.900000000000048</v>
      </c>
      <c r="W12" s="17">
        <f t="shared" si="0"/>
        <v>271.5</v>
      </c>
      <c r="X12" s="16">
        <v>85.2</v>
      </c>
      <c r="Y12" s="101">
        <f>159.3-X12</f>
        <v>74.100000000000009</v>
      </c>
      <c r="Z12" s="16">
        <f>'IS (Base)'!Z8*Z53</f>
        <v>76.860526247164472</v>
      </c>
      <c r="AA12" s="16">
        <f>'IS (Base)'!AA8*AA53</f>
        <v>80.575385132606087</v>
      </c>
      <c r="AB12" s="17">
        <f t="shared" si="9"/>
        <v>316.73591137977058</v>
      </c>
      <c r="AC12" s="16">
        <f>'IS (Base)'!AC8*AC53</f>
        <v>85.654113630991063</v>
      </c>
      <c r="AD12" s="16">
        <f>'IS (Base)'!AD8*AD53</f>
        <v>81.905352095514743</v>
      </c>
      <c r="AE12" s="16">
        <f>'IS (Base)'!AE8*AE53</f>
        <v>87.485617504073872</v>
      </c>
      <c r="AF12" s="16">
        <f>'IS (Base)'!AF8*AF53</f>
        <v>89.139067966494821</v>
      </c>
      <c r="AG12" s="17">
        <f t="shared" si="10"/>
        <v>344.18415119707447</v>
      </c>
      <c r="AH12" s="16">
        <f>'IS (Base)'!AH8*AH53</f>
        <v>93.525744658054748</v>
      </c>
      <c r="AI12" s="16">
        <f>'IS (Base)'!AI8*AI53</f>
        <v>91.675326555250948</v>
      </c>
      <c r="AJ12" s="16">
        <f>'IS (Base)'!AJ8*AJ53</f>
        <v>98.029261639674672</v>
      </c>
      <c r="AK12" s="16">
        <f>'IS (Base)'!AK8*AK53</f>
        <v>99.412616044335977</v>
      </c>
      <c r="AL12" s="17">
        <f t="shared" si="11"/>
        <v>382.64294889731639</v>
      </c>
      <c r="AM12" s="16">
        <f>'IS (Base)'!AM8*AM53</f>
        <v>102.40400487826761</v>
      </c>
      <c r="AN12" s="16">
        <f>'IS (Base)'!AN8*AN53</f>
        <v>100.4346776793671</v>
      </c>
      <c r="AO12" s="16">
        <f>'IS (Base)'!AO8*AO53</f>
        <v>106.93625320649326</v>
      </c>
      <c r="AP12" s="16">
        <f>'IS (Base)'!AP8*AP53</f>
        <v>107.96738694447293</v>
      </c>
      <c r="AQ12" s="17">
        <f t="shared" si="12"/>
        <v>417.74232270860091</v>
      </c>
      <c r="AR12" s="16">
        <f>'IS (Base)'!AR8*AR53</f>
        <v>108.93060570115993</v>
      </c>
      <c r="AS12" s="16">
        <f>'IS (Base)'!AS8*AS53</f>
        <v>106.88284480739019</v>
      </c>
      <c r="AT12" s="16">
        <f>'IS (Base)'!AT8*AT53</f>
        <v>113.7559531956973</v>
      </c>
      <c r="AU12" s="16">
        <f>'IS (Base)'!AU8*AU53</f>
        <v>114.83110649888907</v>
      </c>
      <c r="AV12" s="17">
        <f t="shared" si="13"/>
        <v>444.40051020313649</v>
      </c>
    </row>
    <row r="13" spans="2:48" outlineLevel="1" x14ac:dyDescent="0.3">
      <c r="B13" s="319" t="s">
        <v>274</v>
      </c>
      <c r="C13" s="320"/>
      <c r="D13" s="16">
        <v>6.1</v>
      </c>
      <c r="E13" s="101">
        <f>5.4+91.1-D13</f>
        <v>90.4</v>
      </c>
      <c r="F13" s="101">
        <f>10.5+122.3-E13-D13</f>
        <v>36.300000000000004</v>
      </c>
      <c r="G13" s="101">
        <f>10.5+187.9-F13-E13-D13</f>
        <v>65.599999999999994</v>
      </c>
      <c r="H13" s="17">
        <f t="shared" si="6"/>
        <v>198.4</v>
      </c>
      <c r="I13" s="101">
        <f>5.1+294.9</f>
        <v>300</v>
      </c>
      <c r="J13" s="101">
        <f>596.3+67.7-I13</f>
        <v>364</v>
      </c>
      <c r="K13" s="101">
        <f>902.4+124.6+63.7-J13-I13</f>
        <v>426.70000000000005</v>
      </c>
      <c r="L13" s="101">
        <f>1197.6+454.4+24.5-K13-J13-I13</f>
        <v>585.79999999999995</v>
      </c>
      <c r="M13" s="17">
        <f t="shared" si="7"/>
        <v>1676.5</v>
      </c>
      <c r="N13" s="101">
        <f>308.3+132.6-10.2</f>
        <v>430.7</v>
      </c>
      <c r="O13" s="101">
        <f>617.9+175.4-15.4-N13</f>
        <v>347.2</v>
      </c>
      <c r="P13" s="101">
        <f>931.7+204.7-6.8-O13-N13</f>
        <v>351.7000000000001</v>
      </c>
      <c r="Q13" s="101">
        <f>1248.6+226.2-6-P13-O13-N13</f>
        <v>339.19999999999987</v>
      </c>
      <c r="R13" s="17">
        <f t="shared" si="8"/>
        <v>1468.8</v>
      </c>
      <c r="S13" s="101">
        <v>0</v>
      </c>
      <c r="T13" s="101">
        <f>0-S13</f>
        <v>0</v>
      </c>
      <c r="U13" s="101">
        <f>1090.4+89.6-44.7</f>
        <v>1135.3</v>
      </c>
      <c r="V13" s="101">
        <f>1497.7+91.4-67.8-U13-T13-S13</f>
        <v>386.00000000000023</v>
      </c>
      <c r="W13" s="17">
        <f t="shared" si="0"/>
        <v>1521.3000000000002</v>
      </c>
      <c r="X13" s="101">
        <f>263.7+21.1+6.7</f>
        <v>291.5</v>
      </c>
      <c r="Y13" s="101">
        <f>584.7+75.6+22.6-X13</f>
        <v>391.40000000000009</v>
      </c>
      <c r="Z13" s="33">
        <v>0</v>
      </c>
      <c r="AA13" s="33">
        <v>0</v>
      </c>
      <c r="AB13" s="17">
        <f t="shared" si="9"/>
        <v>682.90000000000009</v>
      </c>
      <c r="AC13" s="33">
        <v>0</v>
      </c>
      <c r="AD13" s="33">
        <v>0</v>
      </c>
      <c r="AE13" s="33">
        <v>0</v>
      </c>
      <c r="AF13" s="33">
        <v>0</v>
      </c>
      <c r="AG13" s="17">
        <f t="shared" si="10"/>
        <v>0</v>
      </c>
      <c r="AH13" s="33">
        <v>0</v>
      </c>
      <c r="AI13" s="33">
        <v>0</v>
      </c>
      <c r="AJ13" s="33">
        <v>0</v>
      </c>
      <c r="AK13" s="33">
        <v>0</v>
      </c>
      <c r="AL13" s="17">
        <f t="shared" si="11"/>
        <v>0</v>
      </c>
      <c r="AM13" s="33">
        <v>0</v>
      </c>
      <c r="AN13" s="33">
        <v>0</v>
      </c>
      <c r="AO13" s="33">
        <v>0</v>
      </c>
      <c r="AP13" s="33">
        <v>0</v>
      </c>
      <c r="AQ13" s="17">
        <f t="shared" si="12"/>
        <v>0</v>
      </c>
      <c r="AR13" s="33">
        <v>0</v>
      </c>
      <c r="AS13" s="33">
        <v>0</v>
      </c>
      <c r="AT13" s="33">
        <v>0</v>
      </c>
      <c r="AU13" s="33">
        <v>0</v>
      </c>
      <c r="AV13" s="17">
        <f t="shared" si="13"/>
        <v>0</v>
      </c>
    </row>
    <row r="14" spans="2:48" outlineLevel="1" x14ac:dyDescent="0.3">
      <c r="B14" s="625" t="s">
        <v>275</v>
      </c>
      <c r="C14" s="626"/>
      <c r="D14" s="321"/>
      <c r="E14" s="322"/>
      <c r="F14" s="323"/>
      <c r="G14" s="323"/>
      <c r="H14" s="324"/>
      <c r="I14" s="323"/>
      <c r="J14" s="323"/>
      <c r="K14" s="323"/>
      <c r="L14" s="323"/>
      <c r="M14" s="324"/>
      <c r="N14" s="323"/>
      <c r="O14" s="323"/>
      <c r="P14" s="323"/>
      <c r="Q14" s="323"/>
      <c r="R14" s="324"/>
      <c r="S14" s="323"/>
      <c r="T14" s="323"/>
      <c r="U14" s="323"/>
      <c r="V14" s="323"/>
      <c r="W14" s="324"/>
      <c r="X14" s="323"/>
      <c r="Y14" s="323"/>
      <c r="Z14" s="323"/>
      <c r="AA14" s="323"/>
      <c r="AB14" s="324"/>
      <c r="AC14" s="323"/>
      <c r="AD14" s="323"/>
      <c r="AE14" s="323"/>
      <c r="AF14" s="323"/>
      <c r="AG14" s="324"/>
      <c r="AH14" s="323"/>
      <c r="AI14" s="323"/>
      <c r="AJ14" s="323"/>
      <c r="AK14" s="323"/>
      <c r="AL14" s="324"/>
      <c r="AM14" s="323"/>
      <c r="AN14" s="323"/>
      <c r="AO14" s="323"/>
      <c r="AP14" s="323"/>
      <c r="AQ14" s="324"/>
      <c r="AR14" s="323"/>
      <c r="AS14" s="323"/>
      <c r="AT14" s="323"/>
      <c r="AU14" s="323"/>
      <c r="AV14" s="324"/>
    </row>
    <row r="15" spans="2:48" outlineLevel="1" x14ac:dyDescent="0.3">
      <c r="B15" s="623" t="s">
        <v>276</v>
      </c>
      <c r="C15" s="624"/>
      <c r="D15" s="327">
        <v>-28.8</v>
      </c>
      <c r="E15" s="327">
        <f>9.8-D15</f>
        <v>38.6</v>
      </c>
      <c r="F15" s="327">
        <f>-70.1-E15-D15</f>
        <v>-79.899999999999991</v>
      </c>
      <c r="G15" s="327">
        <f>-197.7-F15-E15-D15</f>
        <v>-127.60000000000001</v>
      </c>
      <c r="H15" s="328">
        <f t="shared" ref="H15:H21" si="16">SUM(D15:G15)</f>
        <v>-197.7</v>
      </c>
      <c r="I15" s="327">
        <v>-22.9</v>
      </c>
      <c r="J15" s="327">
        <f>-60.7-I15</f>
        <v>-37.800000000000004</v>
      </c>
      <c r="K15" s="327">
        <f>13.4-J15-I15</f>
        <v>74.099999999999994</v>
      </c>
      <c r="L15" s="327">
        <f>-2.7-K15-J15-I15</f>
        <v>-16.099999999999994</v>
      </c>
      <c r="M15" s="328">
        <f t="shared" ref="M15:M21" si="17">SUM(I15:L15)</f>
        <v>-2.7000000000000028</v>
      </c>
      <c r="N15" s="327">
        <v>19.600000000000001</v>
      </c>
      <c r="O15" s="327">
        <f>12.8-N15</f>
        <v>-6.8000000000000007</v>
      </c>
      <c r="P15" s="327">
        <f>-13.1-O15-N15</f>
        <v>-25.9</v>
      </c>
      <c r="Q15" s="327">
        <f>-43-P15-O15-N15</f>
        <v>-29.900000000000002</v>
      </c>
      <c r="R15" s="328">
        <f t="shared" ref="R15:R21" si="18">SUM(N15:Q15)</f>
        <v>-43</v>
      </c>
      <c r="S15" s="327">
        <v>-91.6</v>
      </c>
      <c r="T15" s="327">
        <f>-62.1-S15</f>
        <v>29.499999999999993</v>
      </c>
      <c r="U15" s="327">
        <f>-245.5-T15-S15</f>
        <v>-183.4</v>
      </c>
      <c r="V15" s="327">
        <f>-326.1-U15-T15-S15</f>
        <v>-80.600000000000023</v>
      </c>
      <c r="W15" s="328">
        <f t="shared" ref="W15:W21" si="19">SUM(S15:V15)</f>
        <v>-326.10000000000002</v>
      </c>
      <c r="X15" s="327">
        <v>42</v>
      </c>
      <c r="Y15" s="327">
        <f>26.2-X15</f>
        <v>-15.8</v>
      </c>
      <c r="Z15" s="327">
        <f>-('BS (Base)'!Z8-'BS (Base)'!Y8)</f>
        <v>-201.31458580095705</v>
      </c>
      <c r="AA15" s="327">
        <f>-('BS (Base)'!AA8-'BS (Base)'!Z8)</f>
        <v>151.3129244042666</v>
      </c>
      <c r="AB15" s="328">
        <f t="shared" ref="AB15:AB21" si="20">SUM(X15:AA15)</f>
        <v>-23.801661396690463</v>
      </c>
      <c r="AC15" s="327">
        <f>-('BS (Base)'!AC8-'BS (Base)'!AA8)</f>
        <v>-43.056127699278477</v>
      </c>
      <c r="AD15" s="327">
        <f>-('BS (Base)'!AD8-'BS (Base)'!AC8)</f>
        <v>0.35121995794042959</v>
      </c>
      <c r="AE15" s="327">
        <f>-('BS (Base)'!AE8-'BS (Base)'!AD8)</f>
        <v>-117.1765397371737</v>
      </c>
      <c r="AF15" s="327">
        <f>-('BS (Base)'!AF8-'BS (Base)'!AE8)</f>
        <v>68.614308107457873</v>
      </c>
      <c r="AG15" s="328">
        <f t="shared" ref="AG15:AG21" si="21">SUM(AC15:AF15)</f>
        <v>-91.267139371053872</v>
      </c>
      <c r="AH15" s="327">
        <f>-('BS (Base)'!AH8-'BS (Base)'!AF8)</f>
        <v>-94.543515751029418</v>
      </c>
      <c r="AI15" s="327">
        <f>-('BS (Base)'!AI8-'BS (Base)'!AH8)</f>
        <v>-6.3143199063390512</v>
      </c>
      <c r="AJ15" s="327">
        <f>-('BS (Base)'!AJ8-'BS (Base)'!AI8)</f>
        <v>-192.29886765625952</v>
      </c>
      <c r="AK15" s="327">
        <f>-('BS (Base)'!AK8-'BS (Base)'!AJ8)</f>
        <v>82.16933181917716</v>
      </c>
      <c r="AL15" s="328">
        <f t="shared" ref="AL15:AL21" si="22">SUM(AH15:AK15)</f>
        <v>-210.98737149445083</v>
      </c>
      <c r="AM15" s="327">
        <f>-('BS (Base)'!AM8-'BS (Base)'!AK8)</f>
        <v>-33.946923586973526</v>
      </c>
      <c r="AN15" s="327">
        <f>-('BS (Base)'!AN8-'BS (Base)'!AM8)</f>
        <v>1.2599516759471499</v>
      </c>
      <c r="AO15" s="327">
        <f>-('BS (Base)'!AO8-'BS (Base)'!AN8)</f>
        <v>-200.1211147744641</v>
      </c>
      <c r="AP15" s="327">
        <f>-('BS (Base)'!AP8-'BS (Base)'!AO8)</f>
        <v>126.60317263668617</v>
      </c>
      <c r="AQ15" s="328">
        <f t="shared" ref="AQ15:AQ21" si="23">SUM(AM15:AP15)</f>
        <v>-106.20491404880431</v>
      </c>
      <c r="AR15" s="327">
        <f>-('BS (Base)'!AR8-'BS (Base)'!AP8)</f>
        <v>-21.300820434869365</v>
      </c>
      <c r="AS15" s="327">
        <f>-('BS (Base)'!AS8-'BS (Base)'!AR8)</f>
        <v>2.1136846262527342</v>
      </c>
      <c r="AT15" s="327">
        <f>-('BS (Base)'!AT8-'BS (Base)'!AS8)</f>
        <v>-191.40568788136648</v>
      </c>
      <c r="AU15" s="327">
        <f>-('BS (Base)'!AU8-'BS (Base)'!AT8)</f>
        <v>108.68859134746594</v>
      </c>
      <c r="AV15" s="328">
        <f t="shared" ref="AV15:AV21" si="24">SUM(AR15:AU15)</f>
        <v>-101.90423234251716</v>
      </c>
    </row>
    <row r="16" spans="2:48" outlineLevel="1" x14ac:dyDescent="0.3">
      <c r="B16" s="325" t="s">
        <v>215</v>
      </c>
      <c r="C16" s="326"/>
      <c r="D16" s="327">
        <v>44.8</v>
      </c>
      <c r="E16" s="327">
        <f>-51-D16</f>
        <v>-95.8</v>
      </c>
      <c r="F16" s="327">
        <f>-140.5-E16-D16</f>
        <v>-89.5</v>
      </c>
      <c r="G16" s="327">
        <f>-173-F16-E16-D16</f>
        <v>-32.5</v>
      </c>
      <c r="H16" s="328">
        <f t="shared" si="16"/>
        <v>-173</v>
      </c>
      <c r="I16" s="327">
        <v>122.8</v>
      </c>
      <c r="J16" s="327">
        <f>36.9-I16</f>
        <v>-85.9</v>
      </c>
      <c r="K16" s="327">
        <f>-51.7-J16-I16</f>
        <v>-88.6</v>
      </c>
      <c r="L16" s="327">
        <f>-10.9-K16-J16-I16</f>
        <v>40.799999999999997</v>
      </c>
      <c r="M16" s="328">
        <f t="shared" si="17"/>
        <v>-10.900000000000006</v>
      </c>
      <c r="N16" s="327">
        <v>90.1</v>
      </c>
      <c r="O16" s="327">
        <f>51.3-N16</f>
        <v>-38.799999999999997</v>
      </c>
      <c r="P16" s="327">
        <f>8.4-O16-N16</f>
        <v>-42.9</v>
      </c>
      <c r="Q16" s="327">
        <f>-49.8-P16-O16-N16</f>
        <v>-58.199999999999996</v>
      </c>
      <c r="R16" s="328">
        <f t="shared" si="18"/>
        <v>-49.8</v>
      </c>
      <c r="S16" s="327">
        <v>-36</v>
      </c>
      <c r="T16" s="327">
        <f>-324.9-S16</f>
        <v>-288.89999999999998</v>
      </c>
      <c r="U16" s="327">
        <f>-557.3-T16-S16</f>
        <v>-232.39999999999998</v>
      </c>
      <c r="V16" s="327">
        <f>-641-U16-T16-S16</f>
        <v>-83.700000000000045</v>
      </c>
      <c r="W16" s="328">
        <f t="shared" si="19"/>
        <v>-641</v>
      </c>
      <c r="X16" s="327">
        <v>108.5</v>
      </c>
      <c r="Y16" s="327">
        <f>194.6-X16</f>
        <v>86.1</v>
      </c>
      <c r="Z16" s="327">
        <f>-('BS (Base)'!Z9-'BS (Base)'!Y9)</f>
        <v>-468.74391339091426</v>
      </c>
      <c r="AA16" s="327">
        <f>-('BS (Base)'!AA9-'BS (Base)'!Z9)</f>
        <v>333.77606581865302</v>
      </c>
      <c r="AB16" s="328">
        <f t="shared" si="20"/>
        <v>59.632152427738788</v>
      </c>
      <c r="AC16" s="327">
        <f>-('BS (Base)'!AC9-'BS (Base)'!AA9)</f>
        <v>-38.366813571502462</v>
      </c>
      <c r="AD16" s="327">
        <f>-('BS (Base)'!AD9-'BS (Base)'!AC9)</f>
        <v>-86.449558945190347</v>
      </c>
      <c r="AE16" s="327">
        <f>-('BS (Base)'!AE9-'BS (Base)'!AD9)</f>
        <v>-255.53520126952526</v>
      </c>
      <c r="AF16" s="327">
        <f>-('BS (Base)'!AF9-'BS (Base)'!AE9)</f>
        <v>165.01480847911853</v>
      </c>
      <c r="AG16" s="328">
        <f t="shared" si="21"/>
        <v>-215.33676530709954</v>
      </c>
      <c r="AH16" s="327">
        <f>-('BS (Base)'!AH9-'BS (Base)'!AF9)</f>
        <v>-33.423004481181579</v>
      </c>
      <c r="AI16" s="327">
        <f>-('BS (Base)'!AI9-'BS (Base)'!AH9)</f>
        <v>-107.50247072034108</v>
      </c>
      <c r="AJ16" s="327">
        <f>-('BS (Base)'!AJ9-'BS (Base)'!AI9)</f>
        <v>-373.69989274663112</v>
      </c>
      <c r="AK16" s="327">
        <f>-('BS (Base)'!AK9-'BS (Base)'!AJ9)</f>
        <v>154.31256637202432</v>
      </c>
      <c r="AL16" s="328">
        <f t="shared" si="22"/>
        <v>-360.31280157612946</v>
      </c>
      <c r="AM16" s="327">
        <f>-('BS (Base)'!AM9-'BS (Base)'!AK9)</f>
        <v>33.958158678671225</v>
      </c>
      <c r="AN16" s="327">
        <f>-('BS (Base)'!AN9-'BS (Base)'!AM9)</f>
        <v>-3.9114450756710539</v>
      </c>
      <c r="AO16" s="327">
        <f>-('BS (Base)'!AO9-'BS (Base)'!AN9)</f>
        <v>-425.74596883206186</v>
      </c>
      <c r="AP16" s="327">
        <f>-('BS (Base)'!AP9-'BS (Base)'!AO9)</f>
        <v>230.68204682979422</v>
      </c>
      <c r="AQ16" s="328">
        <f t="shared" si="23"/>
        <v>-165.01720839926747</v>
      </c>
      <c r="AR16" s="327">
        <f>-('BS (Base)'!AR9-'BS (Base)'!AP9)</f>
        <v>70.139252283521728</v>
      </c>
      <c r="AS16" s="327">
        <f>-('BS (Base)'!AS9-'BS (Base)'!AR9)</f>
        <v>-71.221274365852878</v>
      </c>
      <c r="AT16" s="327">
        <f>-('BS (Base)'!AT9-'BS (Base)'!AS9)</f>
        <v>-385.92422445067768</v>
      </c>
      <c r="AU16" s="327">
        <f>-('BS (Base)'!AU9-'BS (Base)'!AT9)</f>
        <v>208.66600346784253</v>
      </c>
      <c r="AV16" s="328">
        <f t="shared" si="24"/>
        <v>-178.34024306516631</v>
      </c>
    </row>
    <row r="17" spans="2:48" outlineLevel="1" x14ac:dyDescent="0.3">
      <c r="B17" s="623" t="s">
        <v>277</v>
      </c>
      <c r="C17" s="624"/>
      <c r="D17" s="327">
        <v>847.3</v>
      </c>
      <c r="E17" s="327">
        <f>774.6-D17</f>
        <v>-72.699999999999932</v>
      </c>
      <c r="F17" s="327">
        <f>831.6-E17-D17</f>
        <v>57</v>
      </c>
      <c r="G17" s="327">
        <f>922-F17-E17-D17</f>
        <v>90.399999999999977</v>
      </c>
      <c r="H17" s="328">
        <f t="shared" si="16"/>
        <v>922</v>
      </c>
      <c r="I17" s="327">
        <v>-28.5</v>
      </c>
      <c r="J17" s="327">
        <f>-247.7-I17</f>
        <v>-219.2</v>
      </c>
      <c r="K17" s="327">
        <f>-492.1-J17-I17</f>
        <v>-244.40000000000003</v>
      </c>
      <c r="L17" s="327">
        <f>-317.5-K17-J17-I17</f>
        <v>174.60000000000002</v>
      </c>
      <c r="M17" s="328">
        <f t="shared" si="17"/>
        <v>-317.5</v>
      </c>
      <c r="N17" s="327">
        <v>5.2</v>
      </c>
      <c r="O17" s="327">
        <f>139.7-N17</f>
        <v>134.5</v>
      </c>
      <c r="P17" s="327">
        <f>216.8-O17-N17</f>
        <v>77.100000000000009</v>
      </c>
      <c r="Q17" s="327">
        <f>251.1-P17-O17-N17</f>
        <v>34.299999999999997</v>
      </c>
      <c r="R17" s="328">
        <f t="shared" si="18"/>
        <v>251.10000000000002</v>
      </c>
      <c r="S17" s="327">
        <f>64.6+330.4+50.7-4.9</f>
        <v>440.8</v>
      </c>
      <c r="T17" s="327">
        <f>-120.7+670.7+77.3-17.9-S17</f>
        <v>168.59999999999997</v>
      </c>
      <c r="U17" s="327">
        <f t="shared" ref="U17:U20" si="25">0-T17-S17</f>
        <v>-609.4</v>
      </c>
      <c r="V17" s="327">
        <f t="shared" si="15"/>
        <v>0</v>
      </c>
      <c r="W17" s="328">
        <f t="shared" si="19"/>
        <v>0</v>
      </c>
      <c r="X17" s="327"/>
      <c r="Y17" s="327">
        <f t="shared" ref="Y17:Y20" si="26">0-X17</f>
        <v>0</v>
      </c>
      <c r="Z17" s="327">
        <f>-('BS (Base)'!Z10-'BS (Base)'!Y10)</f>
        <v>-4.0860000000000127</v>
      </c>
      <c r="AA17" s="327">
        <f>-('BS (Base)'!AA10-'BS (Base)'!Z10)</f>
        <v>-4.126860000000022</v>
      </c>
      <c r="AB17" s="328">
        <f t="shared" si="20"/>
        <v>-8.2128600000000347</v>
      </c>
      <c r="AC17" s="327">
        <f>-('BS (Base)'!AC10-'BS (Base)'!AA10)</f>
        <v>-4.1681285999999886</v>
      </c>
      <c r="AD17" s="327">
        <f>-('BS (Base)'!AD10-'BS (Base)'!AC10)</f>
        <v>-4.2098098860000164</v>
      </c>
      <c r="AE17" s="327">
        <f>-('BS (Base)'!AE10-'BS (Base)'!AD10)</f>
        <v>-4.2519079848599972</v>
      </c>
      <c r="AF17" s="327">
        <f>-('BS (Base)'!AF10-'BS (Base)'!AE10)</f>
        <v>-4.2944270647086</v>
      </c>
      <c r="AG17" s="328">
        <f t="shared" si="21"/>
        <v>-16.924273535568602</v>
      </c>
      <c r="AH17" s="327">
        <f>-('BS (Base)'!AH10-'BS (Base)'!AF10)</f>
        <v>-4.3373713353556695</v>
      </c>
      <c r="AI17" s="327">
        <f>-('BS (Base)'!AI10-'BS (Base)'!AH10)</f>
        <v>-4.3807450487092296</v>
      </c>
      <c r="AJ17" s="327">
        <f>-('BS (Base)'!AJ10-'BS (Base)'!AI10)</f>
        <v>-4.4245524991963521</v>
      </c>
      <c r="AK17" s="327">
        <f>-('BS (Base)'!AK10-'BS (Base)'!AJ10)</f>
        <v>-4.4687980241882883</v>
      </c>
      <c r="AL17" s="328">
        <f t="shared" si="22"/>
        <v>-17.61146690744954</v>
      </c>
      <c r="AM17" s="327">
        <f>-('BS (Base)'!AM10-'BS (Base)'!AK10)</f>
        <v>-4.5134860044302059</v>
      </c>
      <c r="AN17" s="327">
        <f>-('BS (Base)'!AN10-'BS (Base)'!AM10)</f>
        <v>-4.5586208644745057</v>
      </c>
      <c r="AO17" s="327">
        <f>-('BS (Base)'!AO10-'BS (Base)'!AN10)</f>
        <v>-4.6042070731192553</v>
      </c>
      <c r="AP17" s="327">
        <f>-('BS (Base)'!AP10-'BS (Base)'!AO10)</f>
        <v>-4.6502491438504308</v>
      </c>
      <c r="AQ17" s="328">
        <f t="shared" si="23"/>
        <v>-18.326563085874398</v>
      </c>
      <c r="AR17" s="327">
        <f>-('BS (Base)'!AR10-'BS (Base)'!AP10)</f>
        <v>-4.6967516352889334</v>
      </c>
      <c r="AS17" s="327">
        <f>-('BS (Base)'!AS10-'BS (Base)'!AR10)</f>
        <v>-4.7437191516418125</v>
      </c>
      <c r="AT17" s="327">
        <f>-('BS (Base)'!AT10-'BS (Base)'!AS10)</f>
        <v>-4.7911563431582636</v>
      </c>
      <c r="AU17" s="327">
        <f>-('BS (Base)'!AU10-'BS (Base)'!AT10)</f>
        <v>-4.8390679065898325</v>
      </c>
      <c r="AV17" s="328">
        <f t="shared" si="24"/>
        <v>-19.070695036678842</v>
      </c>
    </row>
    <row r="18" spans="2:48" outlineLevel="1" x14ac:dyDescent="0.3">
      <c r="B18" s="623" t="s">
        <v>228</v>
      </c>
      <c r="C18" s="624"/>
      <c r="D18" s="327">
        <v>-21.3</v>
      </c>
      <c r="E18" s="327">
        <f>-83.4-D18</f>
        <v>-62.100000000000009</v>
      </c>
      <c r="F18" s="327">
        <f>-15.1-E18-D18</f>
        <v>68.300000000000011</v>
      </c>
      <c r="G18" s="327">
        <f>31.9-F18-E18-D18</f>
        <v>47</v>
      </c>
      <c r="H18" s="328">
        <f t="shared" si="16"/>
        <v>31.900000000000006</v>
      </c>
      <c r="I18" s="327">
        <v>-110.3</v>
      </c>
      <c r="J18" s="327">
        <f>-186.4-I18</f>
        <v>-76.100000000000009</v>
      </c>
      <c r="K18" s="327">
        <f>-320.3-J18-I18</f>
        <v>-133.89999999999998</v>
      </c>
      <c r="L18" s="327">
        <f>-210.8-K18-J18-I18</f>
        <v>109.49999999999997</v>
      </c>
      <c r="M18" s="328">
        <f t="shared" si="17"/>
        <v>-210.79999999999998</v>
      </c>
      <c r="N18" s="327">
        <v>24.8</v>
      </c>
      <c r="O18" s="327">
        <f>21.3-N18</f>
        <v>-3.5</v>
      </c>
      <c r="P18" s="327">
        <f>108.2-O18-N18</f>
        <v>86.9</v>
      </c>
      <c r="Q18" s="327">
        <f>189.9-P18-O18-N18</f>
        <v>81.7</v>
      </c>
      <c r="R18" s="328">
        <f t="shared" si="18"/>
        <v>189.9</v>
      </c>
      <c r="S18" s="327">
        <v>84</v>
      </c>
      <c r="T18" s="327">
        <f>133-S18</f>
        <v>49</v>
      </c>
      <c r="U18" s="327">
        <f>341.7-T18-S18</f>
        <v>208.7</v>
      </c>
      <c r="V18" s="327">
        <f>345.5-U18-T18-S18</f>
        <v>3.8000000000000114</v>
      </c>
      <c r="W18" s="328">
        <f t="shared" si="19"/>
        <v>345.5</v>
      </c>
      <c r="X18" s="327">
        <v>-117.3</v>
      </c>
      <c r="Y18" s="327">
        <f>-51.2-X18</f>
        <v>66.099999999999994</v>
      </c>
      <c r="Z18" s="327">
        <f>'BS (Base)'!Z22-'BS (Base)'!Y22</f>
        <v>195.61648902768775</v>
      </c>
      <c r="AA18" s="327">
        <f>'BS (Base)'!AA22-'BS (Base)'!Z22</f>
        <v>-159.83280934687946</v>
      </c>
      <c r="AB18" s="328">
        <f t="shared" si="20"/>
        <v>-15.416320319191698</v>
      </c>
      <c r="AC18" s="327">
        <f>'BS (Base)'!AC22-'BS (Base)'!AA22</f>
        <v>83.037680139149188</v>
      </c>
      <c r="AD18" s="327">
        <f>'BS (Base)'!AD22-'BS (Base)'!AC22</f>
        <v>27.292664209674285</v>
      </c>
      <c r="AE18" s="327">
        <f>'BS (Base)'!AE22-'BS (Base)'!AD22</f>
        <v>171.66979501301034</v>
      </c>
      <c r="AF18" s="327">
        <f>'BS (Base)'!AF22-'BS (Base)'!AE22</f>
        <v>-98.322076697550301</v>
      </c>
      <c r="AG18" s="328">
        <f t="shared" si="21"/>
        <v>183.67806266428352</v>
      </c>
      <c r="AH18" s="327">
        <f>'BS (Base)'!AH22-'BS (Base)'!AF22</f>
        <v>49.891779534915941</v>
      </c>
      <c r="AI18" s="327">
        <f>'BS (Base)'!AI22-'BS (Base)'!AH22</f>
        <v>48.317184752633239</v>
      </c>
      <c r="AJ18" s="327">
        <f>'BS (Base)'!AJ22-'BS (Base)'!AI22</f>
        <v>210.69730161047551</v>
      </c>
      <c r="AK18" s="327">
        <f>'BS (Base)'!AK22-'BS (Base)'!AJ22</f>
        <v>-105.34055951627215</v>
      </c>
      <c r="AL18" s="328">
        <f t="shared" si="22"/>
        <v>203.56570638175253</v>
      </c>
      <c r="AM18" s="327">
        <f>'BS (Base)'!AM22-'BS (Base)'!AK22</f>
        <v>-7.4140055424654747</v>
      </c>
      <c r="AN18" s="327">
        <f>'BS (Base)'!AN22-'BS (Base)'!AM22</f>
        <v>44.217421385009175</v>
      </c>
      <c r="AO18" s="327">
        <f>'BS (Base)'!AO22-'BS (Base)'!AN22</f>
        <v>220.1887576424881</v>
      </c>
      <c r="AP18" s="327">
        <f>'BS (Base)'!AP22-'BS (Base)'!AO22</f>
        <v>-123.0776923281021</v>
      </c>
      <c r="AQ18" s="328">
        <f t="shared" si="23"/>
        <v>133.9144811569297</v>
      </c>
      <c r="AR18" s="327">
        <f>'BS (Base)'!AR22-'BS (Base)'!AP22</f>
        <v>-8.5805322080516362</v>
      </c>
      <c r="AS18" s="327">
        <f>'BS (Base)'!AS22-'BS (Base)'!AR22</f>
        <v>39.796707405052757</v>
      </c>
      <c r="AT18" s="327">
        <f>'BS (Base)'!AT22-'BS (Base)'!AS22</f>
        <v>220.40210542076488</v>
      </c>
      <c r="AU18" s="327">
        <f>'BS (Base)'!AU22-'BS (Base)'!AT22</f>
        <v>-124.10277441084418</v>
      </c>
      <c r="AV18" s="328">
        <f t="shared" si="24"/>
        <v>127.51550620692183</v>
      </c>
    </row>
    <row r="19" spans="2:48" outlineLevel="1" x14ac:dyDescent="0.3">
      <c r="B19" s="325" t="s">
        <v>233</v>
      </c>
      <c r="C19" s="326"/>
      <c r="D19" s="327">
        <v>362.7</v>
      </c>
      <c r="E19" s="327">
        <f>9.4-D19</f>
        <v>-353.3</v>
      </c>
      <c r="F19" s="327">
        <f>-32.4-E19-D19</f>
        <v>-41.799999999999955</v>
      </c>
      <c r="G19" s="327">
        <f>-30.5-F19-E19-D19</f>
        <v>1.8999999999999773</v>
      </c>
      <c r="H19" s="328">
        <f t="shared" si="16"/>
        <v>-30.5</v>
      </c>
      <c r="I19" s="327">
        <v>426.7</v>
      </c>
      <c r="J19" s="327">
        <f>112.1-I19</f>
        <v>-314.60000000000002</v>
      </c>
      <c r="K19" s="327">
        <f>92-J19-I19</f>
        <v>-20.099999999999966</v>
      </c>
      <c r="L19" s="327">
        <f>31-K19-J19-I19</f>
        <v>-61</v>
      </c>
      <c r="M19" s="328">
        <f t="shared" si="17"/>
        <v>31</v>
      </c>
      <c r="N19" s="327">
        <v>398.9</v>
      </c>
      <c r="O19" s="327">
        <f>89.8-N19</f>
        <v>-309.09999999999997</v>
      </c>
      <c r="P19" s="327">
        <f>52.4-O19-N19</f>
        <v>-37.400000000000034</v>
      </c>
      <c r="Q19" s="327">
        <f>-6.1-P19-O19-N19</f>
        <v>-58.5</v>
      </c>
      <c r="R19" s="328">
        <f t="shared" si="18"/>
        <v>-6.1000000000000227</v>
      </c>
      <c r="S19" s="327">
        <v>461.3</v>
      </c>
      <c r="T19" s="327">
        <f>110.2-S19</f>
        <v>-351.1</v>
      </c>
      <c r="U19" s="327">
        <f>32.7-T19-S19</f>
        <v>-77.5</v>
      </c>
      <c r="V19" s="327">
        <f>-75.8-U19-T19-S19</f>
        <v>-108.5</v>
      </c>
      <c r="W19" s="328">
        <f t="shared" si="19"/>
        <v>-75.800000000000011</v>
      </c>
      <c r="X19" s="327">
        <v>461</v>
      </c>
      <c r="Y19" s="327">
        <f>54-X19</f>
        <v>-407</v>
      </c>
      <c r="Z19" s="327">
        <f>+('BS (Base)'!Z27-'BS (Base)'!Y27)</f>
        <v>-17.95900000000006</v>
      </c>
      <c r="AA19" s="327">
        <f>+('BS (Base)'!AA27-'BS (Base)'!Z27)</f>
        <v>-17.779410000000098</v>
      </c>
      <c r="AB19" s="328">
        <f t="shared" si="20"/>
        <v>18.261589999999842</v>
      </c>
      <c r="AC19" s="327">
        <f>+('BS (Base)'!AC27-'BS (Base)'!AA27)</f>
        <v>528.04847700000005</v>
      </c>
      <c r="AD19" s="327">
        <f>+('BS (Base)'!AD27-'BS (Base)'!AC27)</f>
        <v>-343.23151005</v>
      </c>
      <c r="AE19" s="327">
        <f>+('BS (Base)'!AE27-'BS (Base)'!AD27)</f>
        <v>-19.449785569499909</v>
      </c>
      <c r="AF19" s="327">
        <f>+('BS (Base)'!AF27-'BS (Base)'!AE27)</f>
        <v>-19.255287713805046</v>
      </c>
      <c r="AG19" s="328">
        <f t="shared" si="21"/>
        <v>146.1118936666951</v>
      </c>
      <c r="AH19" s="327">
        <f>+('BS (Base)'!AH27-'BS (Base)'!AF27)</f>
        <v>571.88204510000878</v>
      </c>
      <c r="AI19" s="327">
        <f>+('BS (Base)'!AI27-'BS (Base)'!AH27)</f>
        <v>-371.72332931500569</v>
      </c>
      <c r="AJ19" s="327">
        <f>+('BS (Base)'!AJ27-'BS (Base)'!AI27)</f>
        <v>-21.064321994516831</v>
      </c>
      <c r="AK19" s="327">
        <f>+('BS (Base)'!AK27-'BS (Base)'!AJ27)</f>
        <v>-20.853678774572018</v>
      </c>
      <c r="AL19" s="328">
        <f t="shared" si="22"/>
        <v>158.24071501591425</v>
      </c>
      <c r="AM19" s="327">
        <f>+('BS (Base)'!AM27-'BS (Base)'!AK27)</f>
        <v>619.35425960478278</v>
      </c>
      <c r="AN19" s="327">
        <f>+('BS (Base)'!AN27-'BS (Base)'!AM27)</f>
        <v>-402.58026874310872</v>
      </c>
      <c r="AO19" s="327">
        <f>+('BS (Base)'!AO27-'BS (Base)'!AN27)</f>
        <v>-22.812881895442843</v>
      </c>
      <c r="AP19" s="327">
        <f>+('BS (Base)'!AP27-'BS (Base)'!AO27)</f>
        <v>-22.584753076488596</v>
      </c>
      <c r="AQ19" s="328">
        <f t="shared" si="23"/>
        <v>171.37635588974263</v>
      </c>
      <c r="AR19" s="327">
        <f>+('BS (Base)'!AR27-'BS (Base)'!AP27)</f>
        <v>670.76716637170557</v>
      </c>
      <c r="AS19" s="327">
        <f>+('BS (Base)'!AS27-'BS (Base)'!AR27)</f>
        <v>-435.99865814160876</v>
      </c>
      <c r="AT19" s="327">
        <f>+('BS (Base)'!AT27-'BS (Base)'!AS27)</f>
        <v>-24.706590628024514</v>
      </c>
      <c r="AU19" s="327">
        <f>+('BS (Base)'!AU27-'BS (Base)'!AT27)</f>
        <v>-24.459524721744401</v>
      </c>
      <c r="AV19" s="328">
        <f t="shared" si="24"/>
        <v>185.6023928803279</v>
      </c>
    </row>
    <row r="20" spans="2:48" outlineLevel="1" x14ac:dyDescent="0.3">
      <c r="B20" s="325" t="s">
        <v>278</v>
      </c>
      <c r="C20" s="326"/>
      <c r="D20" s="327">
        <v>0</v>
      </c>
      <c r="E20" s="327">
        <v>0</v>
      </c>
      <c r="F20" s="327">
        <f>1045.4-E20-D20</f>
        <v>1045.4000000000001</v>
      </c>
      <c r="G20" s="327">
        <f>1237-F20-E20-D20</f>
        <v>191.59999999999991</v>
      </c>
      <c r="H20" s="328">
        <f t="shared" si="16"/>
        <v>1237</v>
      </c>
      <c r="I20" s="327">
        <v>125.1</v>
      </c>
      <c r="J20" s="327">
        <f>-1227.4-I20</f>
        <v>-1352.5</v>
      </c>
      <c r="K20" s="327">
        <f>-1224.5-J20-I20</f>
        <v>2.9000000000000057</v>
      </c>
      <c r="L20" s="327">
        <f>-1214.6-K20-J20-I20</f>
        <v>9.9000000000000057</v>
      </c>
      <c r="M20" s="328">
        <f t="shared" si="17"/>
        <v>-1214.5999999999999</v>
      </c>
      <c r="N20" s="327">
        <v>56.9</v>
      </c>
      <c r="O20" s="327">
        <f>40-N20</f>
        <v>-16.899999999999999</v>
      </c>
      <c r="P20" s="327">
        <f>128.9-O20-N20</f>
        <v>88.9</v>
      </c>
      <c r="Q20" s="327">
        <f>286.1-P20-O20-N20</f>
        <v>157.20000000000002</v>
      </c>
      <c r="R20" s="328">
        <f t="shared" si="18"/>
        <v>286.10000000000002</v>
      </c>
      <c r="S20" s="327">
        <v>0</v>
      </c>
      <c r="T20" s="327">
        <f>0-S20</f>
        <v>0</v>
      </c>
      <c r="U20" s="327">
        <f t="shared" si="25"/>
        <v>0</v>
      </c>
      <c r="V20" s="327">
        <f>-149.6-U20-T20-S20</f>
        <v>-149.6</v>
      </c>
      <c r="W20" s="328">
        <f t="shared" si="19"/>
        <v>-149.6</v>
      </c>
      <c r="X20" s="327">
        <v>0</v>
      </c>
      <c r="Y20" s="327">
        <f t="shared" si="26"/>
        <v>0</v>
      </c>
      <c r="Z20" s="327">
        <f>+('BS (Base)'!Z25-'BS (Base)'!Y25)</f>
        <v>0</v>
      </c>
      <c r="AA20" s="327">
        <f>+('BS (Base)'!AA25-'BS (Base)'!Z25)</f>
        <v>0</v>
      </c>
      <c r="AB20" s="328">
        <f t="shared" si="20"/>
        <v>0</v>
      </c>
      <c r="AC20" s="327">
        <f>+('BS (Base)'!AC25-'BS (Base)'!AA25)</f>
        <v>0</v>
      </c>
      <c r="AD20" s="327">
        <f>+('BS (Base)'!AD25-'BS (Base)'!AC25)</f>
        <v>0</v>
      </c>
      <c r="AE20" s="327">
        <f>+('BS (Base)'!AE25-'BS (Base)'!AD25)</f>
        <v>0</v>
      </c>
      <c r="AF20" s="327">
        <f>+('BS (Base)'!AF25-'BS (Base)'!AE25)</f>
        <v>0</v>
      </c>
      <c r="AG20" s="328">
        <f t="shared" si="21"/>
        <v>0</v>
      </c>
      <c r="AH20" s="327">
        <f>+('BS (Base)'!AH25-'BS (Base)'!AF25)</f>
        <v>0</v>
      </c>
      <c r="AI20" s="327">
        <f>+('BS (Base)'!AI25-'BS (Base)'!AH25)</f>
        <v>0</v>
      </c>
      <c r="AJ20" s="327">
        <f>+('BS (Base)'!AJ25-'BS (Base)'!AI25)</f>
        <v>0</v>
      </c>
      <c r="AK20" s="327">
        <f>+('BS (Base)'!AK25-'BS (Base)'!AJ25)</f>
        <v>0</v>
      </c>
      <c r="AL20" s="328">
        <f t="shared" si="22"/>
        <v>0</v>
      </c>
      <c r="AM20" s="327">
        <f>+('BS (Base)'!AM25-'BS (Base)'!AK25)</f>
        <v>0</v>
      </c>
      <c r="AN20" s="327">
        <f>+('BS (Base)'!AN25-'BS (Base)'!AM25)</f>
        <v>0</v>
      </c>
      <c r="AO20" s="327">
        <f>+('BS (Base)'!AO25-'BS (Base)'!AN25)</f>
        <v>0</v>
      </c>
      <c r="AP20" s="327">
        <f>+('BS (Base)'!AP25-'BS (Base)'!AO25)</f>
        <v>0</v>
      </c>
      <c r="AQ20" s="328">
        <f t="shared" si="23"/>
        <v>0</v>
      </c>
      <c r="AR20" s="327">
        <f>+('BS (Base)'!AR25-'BS (Base)'!AP25)</f>
        <v>0</v>
      </c>
      <c r="AS20" s="327">
        <f>+('BS (Base)'!AS25-'BS (Base)'!AR25)</f>
        <v>0</v>
      </c>
      <c r="AT20" s="327">
        <f>+('BS (Base)'!AT25-'BS (Base)'!AS25)</f>
        <v>0</v>
      </c>
      <c r="AU20" s="327">
        <f>+('BS (Base)'!AU25-'BS (Base)'!AT25)</f>
        <v>0</v>
      </c>
      <c r="AV20" s="328">
        <f t="shared" si="24"/>
        <v>0</v>
      </c>
    </row>
    <row r="21" spans="2:48" ht="16.2" outlineLevel="1" x14ac:dyDescent="0.45">
      <c r="B21" s="623" t="s">
        <v>279</v>
      </c>
      <c r="C21" s="624"/>
      <c r="D21" s="329">
        <v>305.60000000000002</v>
      </c>
      <c r="E21" s="329">
        <f>429.3-D21</f>
        <v>123.69999999999999</v>
      </c>
      <c r="F21" s="329">
        <f>-67.4-E21-D21</f>
        <v>-496.70000000000005</v>
      </c>
      <c r="G21" s="329">
        <f>-141.1-F21-E21-D21</f>
        <v>-73.699999999999989</v>
      </c>
      <c r="H21" s="330">
        <f t="shared" si="16"/>
        <v>-141.10000000000002</v>
      </c>
      <c r="I21" s="329">
        <f>-31.8-301.6</f>
        <v>-333.40000000000003</v>
      </c>
      <c r="J21" s="329">
        <f>-608.6-140.5-I21</f>
        <v>-415.7</v>
      </c>
      <c r="K21" s="329">
        <f>-918.2+70.5-J21-I21</f>
        <v>-98.600000000000023</v>
      </c>
      <c r="L21" s="329">
        <f>-1231.4+280.5-K21-J21-I21</f>
        <v>-103.20000000000005</v>
      </c>
      <c r="M21" s="330">
        <f t="shared" si="17"/>
        <v>-950.90000000000009</v>
      </c>
      <c r="N21" s="329">
        <f>-314.8+12.3</f>
        <v>-302.5</v>
      </c>
      <c r="O21" s="329">
        <f>-676.3+59.5-N21</f>
        <v>-314.29999999999995</v>
      </c>
      <c r="P21" s="329">
        <f>-1029.8+154.6-O21-N21</f>
        <v>-258.39999999999998</v>
      </c>
      <c r="Q21" s="329">
        <f>-1488.1+358.7-P21-O21-N21</f>
        <v>-254.19999999999993</v>
      </c>
      <c r="R21" s="330">
        <f t="shared" si="18"/>
        <v>-1129.3999999999999</v>
      </c>
      <c r="S21" s="329">
        <f>-363.3+79.4</f>
        <v>-283.89999999999998</v>
      </c>
      <c r="T21" s="329">
        <f>-766.3-95-S21</f>
        <v>-577.4</v>
      </c>
      <c r="U21" s="329">
        <f>-1201.4+5.8-T21-S21</f>
        <v>-334.30000000000018</v>
      </c>
      <c r="V21" s="329">
        <f>339.6-1625.6-U21-T21-S21</f>
        <v>-90.399999999999864</v>
      </c>
      <c r="W21" s="330">
        <f t="shared" si="19"/>
        <v>-1286</v>
      </c>
      <c r="X21" s="329">
        <f>-281.4-198.6</f>
        <v>-480</v>
      </c>
      <c r="Y21" s="329">
        <f>-621.8-445.5-X21</f>
        <v>-587.29999999999995</v>
      </c>
      <c r="Z21" s="329">
        <f>('BS (Base)'!Z23-'BS (Base)'!Y23)+('BS (Base)'!Z33-'BS (Base)'!Y33)+('BS (Base)'!Z34-'BS (Base)'!Y34)+('BS (Base)'!Z26-'BS (Base)'!Y26)+('BS (Base)'!Z24-'BS (Base)'!Y24)</f>
        <v>-36.079000000000178</v>
      </c>
      <c r="AA21" s="329">
        <f>('BS (Base)'!AA23-'BS (Base)'!Z23)+('BS (Base)'!AA33-'BS (Base)'!Z33)+('BS (Base)'!AA34-'BS (Base)'!Z34)+('BS (Base)'!AA26-'BS (Base)'!Z26)+('BS (Base)'!AA24-'BS (Base)'!Z24)</f>
        <v>-35.903682999999774</v>
      </c>
      <c r="AB21" s="330">
        <f t="shared" si="20"/>
        <v>-1139.2826829999999</v>
      </c>
      <c r="AC21" s="329">
        <f>('BS (Base)'!AC23-'BS (Base)'!AA23)+('BS (Base)'!AC33-'BS (Base)'!AA33)+('BS (Base)'!AC34-'BS (Base)'!AA34)+('BS (Base)'!AC26-'BS (Base)'!AA26)+('BS (Base)'!AC24-'BS (Base)'!AA24)</f>
        <v>-35.729222272999777</v>
      </c>
      <c r="AD21" s="329">
        <f>('BS (Base)'!AD23-'BS (Base)'!AC23)+('BS (Base)'!AD33-'BS (Base)'!AC33)+('BS (Base)'!AD34-'BS (Base)'!AC34)+('BS (Base)'!AD26-'BS (Base)'!AC26)+('BS (Base)'!AD24-'BS (Base)'!AC24)</f>
        <v>-35.555613618883399</v>
      </c>
      <c r="AE21" s="329">
        <f>('BS (Base)'!AE23-'BS (Base)'!AD23)+('BS (Base)'!AE33-'BS (Base)'!AD33)+('BS (Base)'!AE34-'BS (Base)'!AD34)+('BS (Base)'!AE26-'BS (Base)'!AD26)+('BS (Base)'!AE24-'BS (Base)'!AD24)</f>
        <v>-35.382852858207798</v>
      </c>
      <c r="AF21" s="329">
        <f>('BS (Base)'!AF23-'BS (Base)'!AE23)+('BS (Base)'!AF33-'BS (Base)'!AE33)+('BS (Base)'!AF34-'BS (Base)'!AE34)+('BS (Base)'!AF26-'BS (Base)'!AE26)+('BS (Base)'!AF24-'BS (Base)'!AE24)</f>
        <v>-35.210935832105861</v>
      </c>
      <c r="AG21" s="330">
        <f t="shared" si="21"/>
        <v>-141.87862458219684</v>
      </c>
      <c r="AH21" s="329">
        <f>('BS (Base)'!AH23-'BS (Base)'!AF23)+('BS (Base)'!AH33-'BS (Base)'!AF33)+('BS (Base)'!AH34-'BS (Base)'!AF34)+('BS (Base)'!AH26-'BS (Base)'!AF26)+('BS (Base)'!AH24-'BS (Base)'!AF24)</f>
        <v>-35.039858402181608</v>
      </c>
      <c r="AI21" s="329">
        <f>('BS (Base)'!AI23-'BS (Base)'!AH23)+('BS (Base)'!AI33-'BS (Base)'!AH33)+('BS (Base)'!AI34-'BS (Base)'!AH34)+('BS (Base)'!AI26-'BS (Base)'!AH26)+('BS (Base)'!AI24-'BS (Base)'!AH24)</f>
        <v>-34.869616450410831</v>
      </c>
      <c r="AJ21" s="329">
        <f>('BS (Base)'!AJ23-'BS (Base)'!AI23)+('BS (Base)'!AJ33-'BS (Base)'!AI33)+('BS (Base)'!AJ34-'BS (Base)'!AI34)+('BS (Base)'!AJ26-'BS (Base)'!AI26)+('BS (Base)'!AJ24-'BS (Base)'!AI24)</f>
        <v>-34.700205879037185</v>
      </c>
      <c r="AK21" s="329">
        <f>('BS (Base)'!AK23-'BS (Base)'!AJ23)+('BS (Base)'!AK33-'BS (Base)'!AJ33)+('BS (Base)'!AK34-'BS (Base)'!AJ34)+('BS (Base)'!AK26-'BS (Base)'!AJ26)+('BS (Base)'!AK24-'BS (Base)'!AJ24)</f>
        <v>-34.531622610476916</v>
      </c>
      <c r="AL21" s="330">
        <f t="shared" si="22"/>
        <v>-139.14130334210654</v>
      </c>
      <c r="AM21" s="329">
        <f>('BS (Base)'!AM23-'BS (Base)'!AK23)+('BS (Base)'!AM33-'BS (Base)'!AK33)+('BS (Base)'!AM34-'BS (Base)'!AK34)+('BS (Base)'!AM26-'BS (Base)'!AK26)+('BS (Base)'!AM24-'BS (Base)'!AK24)</f>
        <v>-34.363862587216317</v>
      </c>
      <c r="AN21" s="329">
        <f>('BS (Base)'!AN23-'BS (Base)'!AM23)+('BS (Base)'!AN33-'BS (Base)'!AM33)+('BS (Base)'!AN34-'BS (Base)'!AM34)+('BS (Base)'!AN26-'BS (Base)'!AM26)+('BS (Base)'!AN24-'BS (Base)'!AM24)</f>
        <v>-34.196921771713278</v>
      </c>
      <c r="AO21" s="329">
        <f>('BS (Base)'!AO23-'BS (Base)'!AN23)+('BS (Base)'!AO33-'BS (Base)'!AN33)+('BS (Base)'!AO34-'BS (Base)'!AN34)+('BS (Base)'!AO26-'BS (Base)'!AN26)+('BS (Base)'!AO24-'BS (Base)'!AN24)</f>
        <v>-34.030796146297916</v>
      </c>
      <c r="AP21" s="329">
        <f>('BS (Base)'!AP23-'BS (Base)'!AO23)+('BS (Base)'!AP33-'BS (Base)'!AO33)+('BS (Base)'!AP34-'BS (Base)'!AO34)+('BS (Base)'!AP26-'BS (Base)'!AO26)+('BS (Base)'!AP24-'BS (Base)'!AO24)</f>
        <v>-33.865481713075042</v>
      </c>
      <c r="AQ21" s="330">
        <f t="shared" si="23"/>
        <v>-136.45706221830255</v>
      </c>
      <c r="AR21" s="329">
        <f>('BS (Base)'!AR23-'BS (Base)'!AP23)+('BS (Base)'!AR33-'BS (Base)'!AP33)+('BS (Base)'!AR34-'BS (Base)'!AP34)+('BS (Base)'!AR26-'BS (Base)'!AP26)+('BS (Base)'!AR24-'BS (Base)'!AP24)</f>
        <v>-33.700974493829335</v>
      </c>
      <c r="AS21" s="329">
        <f>('BS (Base)'!AS23-'BS (Base)'!AR23)+('BS (Base)'!AS33-'BS (Base)'!AR33)+('BS (Base)'!AS34-'BS (Base)'!AR34)+('BS (Base)'!AS26-'BS (Base)'!AR26)+('BS (Base)'!AS24-'BS (Base)'!AR24)</f>
        <v>-33.53727052992167</v>
      </c>
      <c r="AT21" s="329">
        <f>('BS (Base)'!AT23-'BS (Base)'!AS23)+('BS (Base)'!AT33-'BS (Base)'!AS33)+('BS (Base)'!AT34-'BS (Base)'!AS34)+('BS (Base)'!AT26-'BS (Base)'!AS26)+('BS (Base)'!AT24-'BS (Base)'!AS24)</f>
        <v>-33.374365882199754</v>
      </c>
      <c r="AU21" s="329">
        <f>('BS (Base)'!AU23-'BS (Base)'!AT23)+('BS (Base)'!AU33-'BS (Base)'!AT33)+('BS (Base)'!AU34-'BS (Base)'!AT34)+('BS (Base)'!AU26-'BS (Base)'!AT26)+('BS (Base)'!AU24-'BS (Base)'!AT24)</f>
        <v>-33.212256630896263</v>
      </c>
      <c r="AV21" s="330">
        <f t="shared" si="24"/>
        <v>-133.82486753684702</v>
      </c>
    </row>
    <row r="22" spans="2:48" outlineLevel="1" x14ac:dyDescent="0.3">
      <c r="B22" s="627" t="s">
        <v>280</v>
      </c>
      <c r="C22" s="628"/>
      <c r="D22" s="331">
        <f t="shared" ref="D22:AV22" si="27">D6+SUM(D7:D21)</f>
        <v>2379.0000000000005</v>
      </c>
      <c r="E22" s="331">
        <f t="shared" si="27"/>
        <v>390.39999999999969</v>
      </c>
      <c r="F22" s="331">
        <f t="shared" si="27"/>
        <v>1169.400000000001</v>
      </c>
      <c r="G22" s="331">
        <f t="shared" si="27"/>
        <v>1108.1000000000008</v>
      </c>
      <c r="H22" s="332">
        <f t="shared" si="27"/>
        <v>5046.9000000000051</v>
      </c>
      <c r="I22" s="331">
        <f t="shared" si="27"/>
        <v>1836.0999999999985</v>
      </c>
      <c r="J22" s="331">
        <f t="shared" si="27"/>
        <v>-1361.3000000000009</v>
      </c>
      <c r="K22" s="331">
        <f t="shared" si="27"/>
        <v>-367.69999999999925</v>
      </c>
      <c r="L22" s="331">
        <f t="shared" si="27"/>
        <v>1490.7000000000014</v>
      </c>
      <c r="M22" s="332">
        <f t="shared" si="27"/>
        <v>1597.8000000000043</v>
      </c>
      <c r="N22" s="331">
        <f t="shared" si="27"/>
        <v>1835.7000000000003</v>
      </c>
      <c r="O22" s="331">
        <f t="shared" si="27"/>
        <v>883.80000000000018</v>
      </c>
      <c r="P22" s="331">
        <f t="shared" si="27"/>
        <v>1748.9999999999991</v>
      </c>
      <c r="Q22" s="331">
        <f t="shared" si="27"/>
        <v>1520.6999999999996</v>
      </c>
      <c r="R22" s="332">
        <f t="shared" si="27"/>
        <v>5989.199999999998</v>
      </c>
      <c r="S22" s="331">
        <f t="shared" si="27"/>
        <v>1870.8999999999999</v>
      </c>
      <c r="T22" s="331">
        <f t="shared" si="27"/>
        <v>161.9000000000002</v>
      </c>
      <c r="U22" s="331">
        <f t="shared" si="27"/>
        <v>1264.7999999999993</v>
      </c>
      <c r="V22" s="331">
        <f t="shared" si="27"/>
        <v>1099.599999999999</v>
      </c>
      <c r="W22" s="332">
        <f>W6+SUM(W7:W21)</f>
        <v>4397.1999999999989</v>
      </c>
      <c r="X22" s="331">
        <f t="shared" si="27"/>
        <v>1593.2</v>
      </c>
      <c r="Y22" s="331">
        <f t="shared" si="27"/>
        <v>767.60000000000014</v>
      </c>
      <c r="Z22" s="331">
        <f t="shared" si="27"/>
        <v>998.34820027899855</v>
      </c>
      <c r="AA22" s="331">
        <f t="shared" si="27"/>
        <v>1865.120764123355</v>
      </c>
      <c r="AB22" s="332">
        <f t="shared" si="27"/>
        <v>5224.268964402354</v>
      </c>
      <c r="AC22" s="331">
        <f t="shared" si="27"/>
        <v>1905.440134488163</v>
      </c>
      <c r="AD22" s="331">
        <f t="shared" si="27"/>
        <v>1150.4061117298884</v>
      </c>
      <c r="AE22" s="331">
        <f t="shared" si="27"/>
        <v>1438.6087477996505</v>
      </c>
      <c r="AF22" s="331">
        <f t="shared" si="27"/>
        <v>1787.0241354243867</v>
      </c>
      <c r="AG22" s="332">
        <f t="shared" si="27"/>
        <v>6281.4791294420893</v>
      </c>
      <c r="AH22" s="331">
        <f t="shared" si="27"/>
        <v>2093.1767608490291</v>
      </c>
      <c r="AI22" s="331">
        <f t="shared" si="27"/>
        <v>1384.1908768849598</v>
      </c>
      <c r="AJ22" s="331">
        <f t="shared" si="27"/>
        <v>1600.2353823868434</v>
      </c>
      <c r="AK22" s="331">
        <f t="shared" si="27"/>
        <v>2015.0165309249712</v>
      </c>
      <c r="AL22" s="332">
        <f t="shared" si="27"/>
        <v>7092.6195510458037</v>
      </c>
      <c r="AM22" s="331">
        <f t="shared" si="27"/>
        <v>2348.2884450636379</v>
      </c>
      <c r="AN22" s="331">
        <f t="shared" si="27"/>
        <v>1614.5149475522514</v>
      </c>
      <c r="AO22" s="331">
        <f t="shared" si="27"/>
        <v>1708.9283787758682</v>
      </c>
      <c r="AP22" s="331">
        <f t="shared" si="27"/>
        <v>2314.535640773232</v>
      </c>
      <c r="AQ22" s="332">
        <f t="shared" si="27"/>
        <v>7986.2674121649889</v>
      </c>
      <c r="AR22" s="331">
        <f t="shared" si="27"/>
        <v>2586.6180675626701</v>
      </c>
      <c r="AS22" s="331">
        <f t="shared" si="27"/>
        <v>1670.9030276643391</v>
      </c>
      <c r="AT22" s="331">
        <f t="shared" si="27"/>
        <v>1917.5444379718683</v>
      </c>
      <c r="AU22" s="331">
        <f t="shared" si="27"/>
        <v>2431.9019162253708</v>
      </c>
      <c r="AV22" s="332">
        <f t="shared" si="27"/>
        <v>8606.9674494242481</v>
      </c>
    </row>
    <row r="23" spans="2:48" outlineLevel="1" x14ac:dyDescent="0.3">
      <c r="B23" s="597" t="s">
        <v>281</v>
      </c>
      <c r="C23" s="598"/>
      <c r="D23" s="333"/>
      <c r="E23" s="334"/>
      <c r="F23" s="334"/>
      <c r="G23" s="334"/>
      <c r="H23" s="335"/>
      <c r="I23" s="336"/>
      <c r="J23" s="336"/>
      <c r="K23" s="334"/>
      <c r="L23" s="334"/>
      <c r="M23" s="337"/>
      <c r="N23" s="334"/>
      <c r="O23" s="334"/>
      <c r="P23" s="334"/>
      <c r="Q23" s="334"/>
      <c r="R23" s="337"/>
      <c r="S23" s="334"/>
      <c r="T23" s="334"/>
      <c r="U23" s="334"/>
      <c r="V23" s="334"/>
      <c r="W23" s="337"/>
      <c r="X23" s="334"/>
      <c r="Y23" s="334"/>
      <c r="Z23" s="334"/>
      <c r="AA23" s="334"/>
      <c r="AB23" s="337"/>
      <c r="AC23" s="334"/>
      <c r="AD23" s="334"/>
      <c r="AE23" s="334"/>
      <c r="AF23" s="334"/>
      <c r="AG23" s="337"/>
      <c r="AH23" s="334"/>
      <c r="AI23" s="334"/>
      <c r="AJ23" s="334"/>
      <c r="AK23" s="334"/>
      <c r="AL23" s="337"/>
      <c r="AM23" s="334"/>
      <c r="AN23" s="334"/>
      <c r="AO23" s="334"/>
      <c r="AP23" s="334"/>
      <c r="AQ23" s="337"/>
      <c r="AR23" s="334"/>
      <c r="AS23" s="334"/>
      <c r="AT23" s="334"/>
      <c r="AU23" s="334"/>
      <c r="AV23" s="337"/>
    </row>
    <row r="24" spans="2:48" outlineLevel="1" x14ac:dyDescent="0.3">
      <c r="B24" s="200" t="s">
        <v>282</v>
      </c>
      <c r="C24" s="201"/>
      <c r="D24" s="16">
        <f>-108.7+32.1+14.2</f>
        <v>-62.399999999999991</v>
      </c>
      <c r="E24" s="16">
        <f>-150.2+218.3+55.1-D24</f>
        <v>185.60000000000002</v>
      </c>
      <c r="F24" s="16">
        <f>-176.3+281.7+57.5-E24-D24</f>
        <v>39.699999999999946</v>
      </c>
      <c r="G24" s="16">
        <f>-190.4+298.3+59.8-F24-E24-D24</f>
        <v>4.8000000000000256</v>
      </c>
      <c r="H24" s="17">
        <f>SUM(D24:G24)</f>
        <v>167.7</v>
      </c>
      <c r="I24" s="16">
        <f>-38+64.6+1.3</f>
        <v>27.899999999999995</v>
      </c>
      <c r="J24" s="16">
        <f>-65.1+93.7+4.3-I24</f>
        <v>5.0000000000000107</v>
      </c>
      <c r="K24" s="16">
        <f>-297.4+133.5+10-J24-I24</f>
        <v>-186.79999999999998</v>
      </c>
      <c r="L24" s="16">
        <f>-443.9+186.7+73.7-K24-J24-I24</f>
        <v>-29.600000000000023</v>
      </c>
      <c r="M24" s="17">
        <f>SUM(I24:L24)</f>
        <v>-183.5</v>
      </c>
      <c r="N24" s="16">
        <f>-135.5+91.2+113.7</f>
        <v>69.400000000000006</v>
      </c>
      <c r="O24" s="16">
        <f>-321.7+121.7+289-N24</f>
        <v>19.599999999999994</v>
      </c>
      <c r="P24" s="16">
        <f>-367.3+130.4+298.7-O24-N24</f>
        <v>-27.200000000000017</v>
      </c>
      <c r="Q24" s="16">
        <f>-432+143.2+345.5-P24-O24-N24</f>
        <v>-5.0999999999999943</v>
      </c>
      <c r="R24" s="17">
        <f>SUM(N24:Q24)</f>
        <v>56.699999999999989</v>
      </c>
      <c r="S24" s="16">
        <f>-61+72.6+45.6</f>
        <v>57.199999999999996</v>
      </c>
      <c r="T24" s="16">
        <f>-67.5+72.6+55.7-S24</f>
        <v>3.6000000000000014</v>
      </c>
      <c r="U24" s="16">
        <f>-117.3+72.6+59.5-T24-S24</f>
        <v>-46</v>
      </c>
      <c r="V24" s="16">
        <f>-377.9+72.6+67.3-U24-T24-S24</f>
        <v>-252.79999999999993</v>
      </c>
      <c r="W24" s="17">
        <f>SUM(S24:V24)</f>
        <v>-237.99999999999994</v>
      </c>
      <c r="X24" s="101">
        <f>-10.5+0.8+253.3</f>
        <v>243.60000000000002</v>
      </c>
      <c r="Y24" s="101">
        <f>-247.7+1.9+270-X24</f>
        <v>-219.4</v>
      </c>
      <c r="Z24" s="16">
        <f>-('BS (Base)'!Z7-'BS (Base)'!Y7)-('BS (Base)'!Z12-'BS (Base)'!Y12)</f>
        <v>102.31492901271173</v>
      </c>
      <c r="AA24" s="16">
        <f>-('BS (Base)'!AA7-'BS (Base)'!Z7)-('BS (Base)'!AA12-'BS (Base)'!Z12)</f>
        <v>-40.834238515496679</v>
      </c>
      <c r="AB24" s="17">
        <f>SUM(X24:AA24)</f>
        <v>85.680690497215068</v>
      </c>
      <c r="AC24" s="16">
        <f>-('BS (Base)'!AC7-'BS (Base)'!AA7)-('BS (Base)'!AC12-'BS (Base)'!AA12)</f>
        <v>8.9157974721181859</v>
      </c>
      <c r="AD24" s="16">
        <f>-('BS (Base)'!AD7-'BS (Base)'!AC7)-('BS (Base)'!AD12-'BS (Base)'!AC12)</f>
        <v>-30.969687662618639</v>
      </c>
      <c r="AE24" s="16">
        <f>-('BS (Base)'!AE7-'BS (Base)'!AD7)-('BS (Base)'!AE12-'BS (Base)'!AD12)</f>
        <v>7.4077141482625848</v>
      </c>
      <c r="AF24" s="16">
        <f>-('BS (Base)'!AF7-'BS (Base)'!AE7)-('BS (Base)'!AF12-'BS (Base)'!AE12)</f>
        <v>-11.942027675076076</v>
      </c>
      <c r="AG24" s="17">
        <f>SUM(AC24:AF24)</f>
        <v>-26.588203717313945</v>
      </c>
      <c r="AH24" s="16">
        <f>-('BS (Base)'!AH7-'BS (Base)'!AF7)-('BS (Base)'!AH12-'BS (Base)'!AF12)</f>
        <v>-18.490322610754788</v>
      </c>
      <c r="AI24" s="16">
        <f>-('BS (Base)'!AI7-'BS (Base)'!AH7)-('BS (Base)'!AI12-'BS (Base)'!AH12)</f>
        <v>-7.1134039034073453</v>
      </c>
      <c r="AJ24" s="16">
        <f>-('BS (Base)'!AJ7-'BS (Base)'!AI7)-('BS (Base)'!AJ12-'BS (Base)'!AI12)</f>
        <v>-28.413031850716493</v>
      </c>
      <c r="AK24" s="16">
        <f>-('BS (Base)'!AK7-'BS (Base)'!AJ7)-('BS (Base)'!AK12-'BS (Base)'!AJ12)</f>
        <v>94.706028875007462</v>
      </c>
      <c r="AL24" s="17">
        <f>SUM(AH24:AK24)</f>
        <v>40.689270510128836</v>
      </c>
      <c r="AM24" s="16">
        <f>-('BS (Base)'!AM7-'BS (Base)'!AK7)-('BS (Base)'!AM12-'BS (Base)'!AK12)</f>
        <v>-19.130372350816799</v>
      </c>
      <c r="AN24" s="16">
        <f>-('BS (Base)'!AN7-'BS (Base)'!AM7)-('BS (Base)'!AN12-'BS (Base)'!AM12)</f>
        <v>17.886822368692833</v>
      </c>
      <c r="AO24" s="16">
        <f>-('BS (Base)'!AO7-'BS (Base)'!AN7)-('BS (Base)'!AO12-'BS (Base)'!AN12)</f>
        <v>-15.918311992950692</v>
      </c>
      <c r="AP24" s="16">
        <f>-('BS (Base)'!AP7-'BS (Base)'!AO7)-('BS (Base)'!AP12-'BS (Base)'!AO12)</f>
        <v>-9.0211953794452597</v>
      </c>
      <c r="AQ24" s="17">
        <f>SUM(AM24:AP24)</f>
        <v>-26.183057354519917</v>
      </c>
      <c r="AR24" s="16">
        <f>-('BS (Base)'!AR7-'BS (Base)'!AP7)-('BS (Base)'!AR12-'BS (Base)'!AP12)</f>
        <v>-22.583248884015063</v>
      </c>
      <c r="AS24" s="16">
        <f>-('BS (Base)'!AS7-'BS (Base)'!AR7)-('BS (Base)'!AS12-'BS (Base)'!AR12)</f>
        <v>-2.498499235135057</v>
      </c>
      <c r="AT24" s="16">
        <f>-('BS (Base)'!AT7-'BS (Base)'!AS7)-('BS (Base)'!AT12-'BS (Base)'!AS12)</f>
        <v>-18.321519196918246</v>
      </c>
      <c r="AU24" s="16">
        <f>-('BS (Base)'!AU7-'BS (Base)'!AT7)-('BS (Base)'!AU12-'BS (Base)'!AT12)</f>
        <v>-10.684948966369177</v>
      </c>
      <c r="AV24" s="17">
        <f>SUM(AR24:AU24)</f>
        <v>-54.088216282437543</v>
      </c>
    </row>
    <row r="25" spans="2:48" outlineLevel="1" x14ac:dyDescent="0.3">
      <c r="B25" s="580" t="s">
        <v>283</v>
      </c>
      <c r="C25" s="581"/>
      <c r="D25" s="16">
        <v>-431.4</v>
      </c>
      <c r="E25" s="16">
        <f>-845.6-D25</f>
        <v>-414.20000000000005</v>
      </c>
      <c r="F25" s="16">
        <f>-1280.7-E25-D25</f>
        <v>-435.1</v>
      </c>
      <c r="G25" s="16">
        <f>-1806.6-F25-E25-D25</f>
        <v>-525.9</v>
      </c>
      <c r="H25" s="169">
        <f>SUM(D25:G25)</f>
        <v>-1806.6</v>
      </c>
      <c r="I25" s="16">
        <v>-394.3</v>
      </c>
      <c r="J25" s="16">
        <f>-758.3-I25</f>
        <v>-363.99999999999994</v>
      </c>
      <c r="K25" s="16">
        <f>-1138.4-J25-I25</f>
        <v>-380.10000000000008</v>
      </c>
      <c r="L25" s="16">
        <f>-1483.6-K25-J25-I25</f>
        <v>-345.19999999999976</v>
      </c>
      <c r="M25" s="169">
        <f>SUM(I25:L25)</f>
        <v>-1483.6</v>
      </c>
      <c r="N25" s="16">
        <v>-324.2</v>
      </c>
      <c r="O25" s="16">
        <f>-647.9-N25</f>
        <v>-323.7</v>
      </c>
      <c r="P25" s="16">
        <f>-985.7-O25-N25</f>
        <v>-337.8</v>
      </c>
      <c r="Q25" s="16">
        <f>-1470-P25-O25-N25</f>
        <v>-484.3</v>
      </c>
      <c r="R25" s="169">
        <f>SUM(N25:Q25)</f>
        <v>-1470</v>
      </c>
      <c r="S25" s="16">
        <v>-416.8</v>
      </c>
      <c r="T25" s="16">
        <f>-871.9-S25</f>
        <v>-455.09999999999997</v>
      </c>
      <c r="U25" s="16">
        <f>-1295.4-T25-S25</f>
        <v>-423.50000000000017</v>
      </c>
      <c r="V25" s="16">
        <f>-1841.3-U25-T25-S25</f>
        <v>-545.89999999999986</v>
      </c>
      <c r="W25" s="169">
        <f>SUM(S25:V25)</f>
        <v>-1841.3</v>
      </c>
      <c r="X25" s="101">
        <v>-516.79999999999995</v>
      </c>
      <c r="Y25" s="101">
        <f>-1002-X25</f>
        <v>-485.20000000000005</v>
      </c>
      <c r="Z25" s="16">
        <f>-'IS (Base)'!Z8*Z56</f>
        <v>-746.32254109300436</v>
      </c>
      <c r="AA25" s="16">
        <f>-'IS (Base)'!AA8*AA56</f>
        <v>-754.63644547549211</v>
      </c>
      <c r="AB25" s="418">
        <f>SUM(X25:AA25)</f>
        <v>-2502.9589865684966</v>
      </c>
      <c r="AC25" s="16">
        <f>-'IS (Base)'!AC8*AC56</f>
        <v>-675.93632995844609</v>
      </c>
      <c r="AD25" s="16">
        <f>-'IS (Base)'!AD8*AD56</f>
        <v>-665.3843006378429</v>
      </c>
      <c r="AE25" s="16">
        <f>-'IS (Base)'!AE8*AE56</f>
        <v>-710.19943941672977</v>
      </c>
      <c r="AF25" s="16">
        <f>-'IS (Base)'!AF8*AF56</f>
        <v>-717.91646965457119</v>
      </c>
      <c r="AG25" s="418">
        <f>SUM(AC25:AF25)</f>
        <v>-2769.4365396675903</v>
      </c>
      <c r="AH25" s="16">
        <f>-'IS (Base)'!AH8*AH56</f>
        <v>-674.7908911375697</v>
      </c>
      <c r="AI25" s="16">
        <f>-'IS (Base)'!AI8*AI56</f>
        <v>-664.68710707177718</v>
      </c>
      <c r="AJ25" s="16">
        <f>-'IS (Base)'!AJ8*AJ56</f>
        <v>-709.91142414873195</v>
      </c>
      <c r="AK25" s="16">
        <f>-'IS (Base)'!AK8*AK56</f>
        <v>-718.99182656717892</v>
      </c>
      <c r="AL25" s="418">
        <f>SUM(AH25:AK25)</f>
        <v>-2768.3812489252578</v>
      </c>
      <c r="AM25" s="16">
        <f>-'IS (Base)'!AM8*AM56</f>
        <v>-740.88303790360567</v>
      </c>
      <c r="AN25" s="16">
        <f>-'IS (Base)'!AN8*AN56</f>
        <v>-727.13589334066103</v>
      </c>
      <c r="AO25" s="16">
        <f>-'IS (Base)'!AO8*AO56</f>
        <v>-773.92482254312563</v>
      </c>
      <c r="AP25" s="16">
        <f>-'IS (Base)'!AP8*AP56</f>
        <v>-781.26393271752863</v>
      </c>
      <c r="AQ25" s="17">
        <f>SUM(AM25:AP25)</f>
        <v>-3023.2076865049212</v>
      </c>
      <c r="AR25" s="16">
        <f>-'IS (Base)'!AR8*AR56</f>
        <v>-788.33499301327095</v>
      </c>
      <c r="AS25" s="16">
        <f>-'IS (Base)'!AS8*AS56</f>
        <v>-773.57235411530837</v>
      </c>
      <c r="AT25" s="16">
        <f>-'IS (Base)'!AT8*AT56</f>
        <v>-823.251134047101</v>
      </c>
      <c r="AU25" s="16">
        <f>-'IS (Base)'!AU8*AU56</f>
        <v>-831.02454499289956</v>
      </c>
      <c r="AV25" s="17">
        <f>SUM(AR25:AU25)</f>
        <v>-3216.18302616858</v>
      </c>
    </row>
    <row r="26" spans="2:48" ht="16.2" outlineLevel="1" x14ac:dyDescent="0.45">
      <c r="B26" s="580" t="s">
        <v>284</v>
      </c>
      <c r="C26" s="581"/>
      <c r="D26" s="260">
        <v>-16.600000000000001</v>
      </c>
      <c r="E26" s="260">
        <f>48.5-37.1-D26</f>
        <v>28</v>
      </c>
      <c r="F26" s="260">
        <f>684.2-72.9-E26-D26</f>
        <v>599.90000000000009</v>
      </c>
      <c r="G26" s="260">
        <f>684.3-56.2-F26-E26-D26</f>
        <v>16.79999999999982</v>
      </c>
      <c r="H26" s="261">
        <f>SUM(D26:G26)</f>
        <v>628.09999999999991</v>
      </c>
      <c r="I26" s="260">
        <v>-19.899999999999999</v>
      </c>
      <c r="J26" s="260">
        <f>-22.5-I26</f>
        <v>-2.6000000000000014</v>
      </c>
      <c r="K26" s="260">
        <f>-39.4-J26-I26</f>
        <v>-16.899999999999999</v>
      </c>
      <c r="L26" s="260">
        <f>-44.4-K26-J26-I26</f>
        <v>-5</v>
      </c>
      <c r="M26" s="261">
        <f>SUM(I26:L26)</f>
        <v>-44.4</v>
      </c>
      <c r="N26" s="260">
        <v>-17.7</v>
      </c>
      <c r="O26" s="260">
        <f>-20.1-N26</f>
        <v>-2.4000000000000021</v>
      </c>
      <c r="P26" s="260">
        <f>-62.3-O26-N26</f>
        <v>-42.199999999999989</v>
      </c>
      <c r="Q26" s="260">
        <f>1175-81.2-P26-O26-N26</f>
        <v>1156.1000000000001</v>
      </c>
      <c r="R26" s="261">
        <f>SUM(N26:Q26)</f>
        <v>1093.8000000000002</v>
      </c>
      <c r="S26" s="260">
        <v>-41.4</v>
      </c>
      <c r="T26" s="260">
        <f>-69.8-S26</f>
        <v>-28.4</v>
      </c>
      <c r="U26" s="260">
        <f>-95.7-T26-S26</f>
        <v>-25.900000000000013</v>
      </c>
      <c r="V26" s="260">
        <f>59.3-126.3-U26-T26-S26</f>
        <v>28.70000000000001</v>
      </c>
      <c r="W26" s="261">
        <f>SUM(S26:V26)</f>
        <v>-67</v>
      </c>
      <c r="X26" s="112">
        <v>-6.1</v>
      </c>
      <c r="Y26" s="112">
        <f>110-39.2-X26</f>
        <v>76.899999999999991</v>
      </c>
      <c r="Z26" s="260">
        <f>-('BS (Base)'!Z13-'BS (Base)'!Y13)-('BS (Base)'!Z17-'BS (Base)'!Y17)-('BS (Base)'!Z15-'BS (Base)'!Y15)+('BS (Base)'!Z32-'BS (Base)'!Y32)-('BS (Base)'!Z18-'BS (Base)'!Y18)-('BS (Base)'!Z19-'BS (Base)'!Y19)</f>
        <v>3.1993148823634669</v>
      </c>
      <c r="AA26" s="260">
        <f>-('BS (Base)'!AA13-'BS (Base)'!Z13)-('BS (Base)'!AA17-'BS (Base)'!Z17)-('BS (Base)'!AA15-'BS (Base)'!Z15)+('BS (Base)'!AA32-'BS (Base)'!Z32)-('BS (Base)'!AA18-'BS (Base)'!Z18)-('BS (Base)'!AA19-'BS (Base)'!Z19)</f>
        <v>7.5813952431307996</v>
      </c>
      <c r="AB26" s="261">
        <f>SUM(X26:AA26)</f>
        <v>81.580710125494264</v>
      </c>
      <c r="AC26" s="260">
        <f>-('BS (Base)'!AC13-'BS (Base)'!AA13)-('BS (Base)'!AC17-'BS (Base)'!AA17)-('BS (Base)'!AC15-'BS (Base)'!AA15)+('BS (Base)'!AC32-'BS (Base)'!AA32)-('BS (Base)'!AC18-'BS (Base)'!AA18)-('BS (Base)'!AC19-'BS (Base)'!AA19)</f>
        <v>-6.5606578400030457</v>
      </c>
      <c r="AD26" s="260">
        <f>-('BS (Base)'!AD13-'BS (Base)'!AC13)-('BS (Base)'!AD17-'BS (Base)'!AC17)-('BS (Base)'!AD15-'BS (Base)'!AC15)+('BS (Base)'!AD32-'BS (Base)'!AC32)-('BS (Base)'!AD18-'BS (Base)'!AC18)-('BS (Base)'!AD19-'BS (Base)'!AC19)</f>
        <v>10.046056916702426</v>
      </c>
      <c r="AE26" s="260">
        <f>-('BS (Base)'!AE13-'BS (Base)'!AD13)-('BS (Base)'!AE17-'BS (Base)'!AD17)-('BS (Base)'!AE15-'BS (Base)'!AD15)+('BS (Base)'!AE32-'BS (Base)'!AD32)-('BS (Base)'!AE18-'BS (Base)'!AD18)-('BS (Base)'!AE19-'BS (Base)'!AD19)</f>
        <v>-1.8983582335952605</v>
      </c>
      <c r="AF26" s="260">
        <f>-('BS (Base)'!AF13-'BS (Base)'!AE13)-('BS (Base)'!AF17-'BS (Base)'!AE17)-('BS (Base)'!AF15-'BS (Base)'!AE15)+('BS (Base)'!AF32-'BS (Base)'!AE32)-('BS (Base)'!AF18-'BS (Base)'!AE18)-('BS (Base)'!AF19-'BS (Base)'!AE19)</f>
        <v>2.8995351460757774</v>
      </c>
      <c r="AG26" s="261">
        <f>SUM(AC26:AF26)</f>
        <v>4.4865759891798973</v>
      </c>
      <c r="AH26" s="260">
        <f>-('BS (Base)'!AH13-'BS (Base)'!AF13)-('BS (Base)'!AH17-'BS (Base)'!AF17)-('BS (Base)'!AH15-'BS (Base)'!AF15)+('BS (Base)'!AH32-'BS (Base)'!AF32)-('BS (Base)'!AH18-'BS (Base)'!AF18)-('BS (Base)'!AH19-'BS (Base)'!AF19)</f>
        <v>-12.061951696876307</v>
      </c>
      <c r="AI26" s="260">
        <f>-('BS (Base)'!AI13-'BS (Base)'!AH13)-('BS (Base)'!AI17-'BS (Base)'!AH17)-('BS (Base)'!AI15-'BS (Base)'!AH15)+('BS (Base)'!AI32-'BS (Base)'!AH32)-('BS (Base)'!AI18-'BS (Base)'!AH18)-('BS (Base)'!AI19-'BS (Base)'!AH19)</f>
        <v>4.7956670879961223</v>
      </c>
      <c r="AJ26" s="260">
        <f>-('BS (Base)'!AJ13-'BS (Base)'!AI13)-('BS (Base)'!AJ17-'BS (Base)'!AI17)-('BS (Base)'!AJ15-'BS (Base)'!AI15)+('BS (Base)'!AJ32-'BS (Base)'!AI32)-('BS (Base)'!AJ18-'BS (Base)'!AI18)-('BS (Base)'!AJ19-'BS (Base)'!AI19)</f>
        <v>-23.328845644779037</v>
      </c>
      <c r="AK26" s="260">
        <f>-('BS (Base)'!AK13-'BS (Base)'!AJ13)-('BS (Base)'!AK17-'BS (Base)'!AJ17)-('BS (Base)'!AK15-'BS (Base)'!AJ15)+('BS (Base)'!AK32-'BS (Base)'!AJ32)-('BS (Base)'!AK18-'BS (Base)'!AJ18)-('BS (Base)'!AK19-'BS (Base)'!AJ19)</f>
        <v>99.429310965330274</v>
      </c>
      <c r="AL26" s="261">
        <f>SUM(AH26:AK26)</f>
        <v>68.834180711671053</v>
      </c>
      <c r="AM26" s="260">
        <f>-('BS (Base)'!AM13-'BS (Base)'!AK13)-('BS (Base)'!AM17-'BS (Base)'!AK17)-('BS (Base)'!AM15-'BS (Base)'!AK15)+('BS (Base)'!AM32-'BS (Base)'!AK32)-('BS (Base)'!AM18-'BS (Base)'!AK18)-('BS (Base)'!AM19-'BS (Base)'!AK19)</f>
        <v>-12.189057546672558</v>
      </c>
      <c r="AN26" s="260">
        <f>-('BS (Base)'!AN13-'BS (Base)'!AM13)-('BS (Base)'!AN17-'BS (Base)'!AM17)-('BS (Base)'!AN15-'BS (Base)'!AM15)+('BS (Base)'!AN32-'BS (Base)'!AM32)-('BS (Base)'!AN18-'BS (Base)'!AM18)-('BS (Base)'!AN19-'BS (Base)'!AM19)</f>
        <v>23.735813001967202</v>
      </c>
      <c r="AO26" s="260">
        <f>-('BS (Base)'!AO13-'BS (Base)'!AN13)-('BS (Base)'!AO17-'BS (Base)'!AN17)-('BS (Base)'!AO15-'BS (Base)'!AN15)+('BS (Base)'!AO32-'BS (Base)'!AN32)-('BS (Base)'!AO18-'BS (Base)'!AN18)-('BS (Base)'!AO19-'BS (Base)'!AN19)</f>
        <v>-10.059290299678331</v>
      </c>
      <c r="AP26" s="260">
        <f>-('BS (Base)'!AP13-'BS (Base)'!AO13)-('BS (Base)'!AP17-'BS (Base)'!AO17)-('BS (Base)'!AP15-'BS (Base)'!AO15)+('BS (Base)'!AP32-'BS (Base)'!AO32)-('BS (Base)'!AP18-'BS (Base)'!AO18)-('BS (Base)'!AP19-'BS (Base)'!AO19)</f>
        <v>-3.1039695241658194</v>
      </c>
      <c r="AQ26" s="261">
        <f>SUM(AM26:AP26)</f>
        <v>-1.6165043685495064</v>
      </c>
      <c r="AR26" s="260">
        <f>-('BS (Base)'!AR13-'BS (Base)'!AP13)-('BS (Base)'!AR17-'BS (Base)'!AP17)-('BS (Base)'!AR15-'BS (Base)'!AP15)+('BS (Base)'!AR32-'BS (Base)'!AP32)-('BS (Base)'!AR18-'BS (Base)'!AP18)-('BS (Base)'!AR19-'BS (Base)'!AP19)</f>
        <v>-16.689903851024958</v>
      </c>
      <c r="AS26" s="260">
        <f>-('BS (Base)'!AS13-'BS (Base)'!AR13)-('BS (Base)'!AS17-'BS (Base)'!AR17)-('BS (Base)'!AS15-'BS (Base)'!AR15)+('BS (Base)'!AS32-'BS (Base)'!AR32)-('BS (Base)'!AS18-'BS (Base)'!AR18)-('BS (Base)'!AS19-'BS (Base)'!AR19)</f>
        <v>2.4869228287416476</v>
      </c>
      <c r="AT26" s="260">
        <f>-('BS (Base)'!AT13-'BS (Base)'!AS13)-('BS (Base)'!AT17-'BS (Base)'!AS17)-('BS (Base)'!AT15-'BS (Base)'!AS15)+('BS (Base)'!AT32-'BS (Base)'!AS32)-('BS (Base)'!AT18-'BS (Base)'!AS18)-('BS (Base)'!AT19-'BS (Base)'!AS19)</f>
        <v>-13.139915072477176</v>
      </c>
      <c r="AU26" s="260">
        <f>-('BS (Base)'!AU13-'BS (Base)'!AT13)-('BS (Base)'!AU17-'BS (Base)'!AT17)-('BS (Base)'!AU15-'BS (Base)'!AT15)+('BS (Base)'!AU32-'BS (Base)'!AT32)-('BS (Base)'!AU18-'BS (Base)'!AT18)-('BS (Base)'!AU19-'BS (Base)'!AT19)</f>
        <v>-5.8887708394033105</v>
      </c>
      <c r="AV26" s="261">
        <f>SUM(AR26:AU26)</f>
        <v>-33.231666934163798</v>
      </c>
    </row>
    <row r="27" spans="2:48" outlineLevel="1" x14ac:dyDescent="0.3">
      <c r="B27" s="587" t="s">
        <v>285</v>
      </c>
      <c r="C27" s="588"/>
      <c r="D27" s="21">
        <f t="shared" ref="D27:AV27" si="28">SUM(D24:D26)</f>
        <v>-510.4</v>
      </c>
      <c r="E27" s="21">
        <f t="shared" si="28"/>
        <v>-200.60000000000002</v>
      </c>
      <c r="F27" s="21">
        <f t="shared" si="28"/>
        <v>204.5</v>
      </c>
      <c r="G27" s="21">
        <f t="shared" si="28"/>
        <v>-504.30000000000007</v>
      </c>
      <c r="H27" s="22">
        <f t="shared" si="28"/>
        <v>-1010.8</v>
      </c>
      <c r="I27" s="21">
        <f t="shared" si="28"/>
        <v>-386.3</v>
      </c>
      <c r="J27" s="21">
        <f t="shared" si="28"/>
        <v>-361.59999999999997</v>
      </c>
      <c r="K27" s="21">
        <f t="shared" si="28"/>
        <v>-583.80000000000007</v>
      </c>
      <c r="L27" s="21">
        <f t="shared" si="28"/>
        <v>-379.79999999999978</v>
      </c>
      <c r="M27" s="22">
        <f t="shared" si="28"/>
        <v>-1711.5</v>
      </c>
      <c r="N27" s="21">
        <f t="shared" si="28"/>
        <v>-272.5</v>
      </c>
      <c r="O27" s="21">
        <f t="shared" si="28"/>
        <v>-306.5</v>
      </c>
      <c r="P27" s="21">
        <f t="shared" si="28"/>
        <v>-407.2</v>
      </c>
      <c r="Q27" s="21">
        <f t="shared" si="28"/>
        <v>666.70000000000016</v>
      </c>
      <c r="R27" s="22">
        <f t="shared" si="28"/>
        <v>-319.49999999999977</v>
      </c>
      <c r="S27" s="21">
        <f t="shared" si="28"/>
        <v>-401</v>
      </c>
      <c r="T27" s="21">
        <f t="shared" si="28"/>
        <v>-479.89999999999992</v>
      </c>
      <c r="U27" s="21">
        <f t="shared" si="28"/>
        <v>-495.4000000000002</v>
      </c>
      <c r="V27" s="21">
        <f t="shared" si="28"/>
        <v>-769.99999999999977</v>
      </c>
      <c r="W27" s="22">
        <f t="shared" si="28"/>
        <v>-2146.2999999999997</v>
      </c>
      <c r="X27" s="21">
        <f t="shared" si="28"/>
        <v>-279.29999999999995</v>
      </c>
      <c r="Y27" s="21">
        <f t="shared" si="28"/>
        <v>-627.70000000000005</v>
      </c>
      <c r="Z27" s="21">
        <f t="shared" si="28"/>
        <v>-640.80829719792905</v>
      </c>
      <c r="AA27" s="21">
        <f t="shared" si="28"/>
        <v>-787.88928874785802</v>
      </c>
      <c r="AB27" s="22">
        <f t="shared" si="28"/>
        <v>-2335.6975859457875</v>
      </c>
      <c r="AC27" s="21">
        <f t="shared" si="28"/>
        <v>-673.58119032633101</v>
      </c>
      <c r="AD27" s="21">
        <f t="shared" si="28"/>
        <v>-686.30793138375907</v>
      </c>
      <c r="AE27" s="21">
        <f t="shared" si="28"/>
        <v>-704.69008350206241</v>
      </c>
      <c r="AF27" s="21">
        <f t="shared" si="28"/>
        <v>-726.95896218357143</v>
      </c>
      <c r="AG27" s="22">
        <f t="shared" si="28"/>
        <v>-2791.5381673957245</v>
      </c>
      <c r="AH27" s="21">
        <f t="shared" si="28"/>
        <v>-705.34316544520084</v>
      </c>
      <c r="AI27" s="21">
        <f t="shared" si="28"/>
        <v>-667.00484388718849</v>
      </c>
      <c r="AJ27" s="21">
        <f t="shared" si="28"/>
        <v>-761.65330164422744</v>
      </c>
      <c r="AK27" s="21">
        <f t="shared" si="28"/>
        <v>-524.85648672684113</v>
      </c>
      <c r="AL27" s="22">
        <f t="shared" si="28"/>
        <v>-2658.8577977034574</v>
      </c>
      <c r="AM27" s="21">
        <f t="shared" si="28"/>
        <v>-772.20246780109505</v>
      </c>
      <c r="AN27" s="21">
        <f t="shared" si="28"/>
        <v>-685.51325797000095</v>
      </c>
      <c r="AO27" s="21">
        <f t="shared" si="28"/>
        <v>-799.90242483575469</v>
      </c>
      <c r="AP27" s="21">
        <f t="shared" si="28"/>
        <v>-793.38909762113974</v>
      </c>
      <c r="AQ27" s="22">
        <f t="shared" si="28"/>
        <v>-3051.0072482279907</v>
      </c>
      <c r="AR27" s="21">
        <f t="shared" si="28"/>
        <v>-827.6081457483109</v>
      </c>
      <c r="AS27" s="21">
        <f t="shared" si="28"/>
        <v>-773.58393052170186</v>
      </c>
      <c r="AT27" s="21">
        <f t="shared" si="28"/>
        <v>-854.71256831649634</v>
      </c>
      <c r="AU27" s="21">
        <f t="shared" si="28"/>
        <v>-847.59826479867195</v>
      </c>
      <c r="AV27" s="22">
        <f t="shared" si="28"/>
        <v>-3303.5029093851813</v>
      </c>
    </row>
    <row r="28" spans="2:48" outlineLevel="1" x14ac:dyDescent="0.3">
      <c r="B28" s="625" t="s">
        <v>286</v>
      </c>
      <c r="C28" s="626"/>
      <c r="D28" s="321"/>
      <c r="E28" s="323"/>
      <c r="F28" s="323"/>
      <c r="G28" s="323"/>
      <c r="H28" s="324"/>
      <c r="I28" s="323"/>
      <c r="J28" s="323"/>
      <c r="K28" s="323"/>
      <c r="L28" s="323"/>
      <c r="M28" s="324"/>
      <c r="N28" s="323"/>
      <c r="O28" s="323"/>
      <c r="P28" s="323"/>
      <c r="Q28" s="323"/>
      <c r="R28" s="324"/>
      <c r="S28" s="323"/>
      <c r="T28" s="323"/>
      <c r="U28" s="323"/>
      <c r="V28" s="323"/>
      <c r="W28" s="324"/>
      <c r="X28" s="323"/>
      <c r="Y28" s="323"/>
      <c r="Z28" s="323"/>
      <c r="AA28" s="323"/>
      <c r="AB28" s="324"/>
      <c r="AC28" s="323"/>
      <c r="AD28" s="323"/>
      <c r="AE28" s="323"/>
      <c r="AF28" s="323"/>
      <c r="AG28" s="324"/>
      <c r="AH28" s="323"/>
      <c r="AI28" s="323"/>
      <c r="AJ28" s="323"/>
      <c r="AK28" s="323"/>
      <c r="AL28" s="324"/>
      <c r="AM28" s="323"/>
      <c r="AN28" s="323"/>
      <c r="AO28" s="323"/>
      <c r="AP28" s="323"/>
      <c r="AQ28" s="324"/>
      <c r="AR28" s="323"/>
      <c r="AS28" s="323"/>
      <c r="AT28" s="323"/>
      <c r="AU28" s="323"/>
      <c r="AV28" s="324"/>
    </row>
    <row r="29" spans="2:48" outlineLevel="1" x14ac:dyDescent="0.3">
      <c r="B29" s="623" t="s">
        <v>263</v>
      </c>
      <c r="C29" s="624"/>
      <c r="D29" s="327">
        <v>0</v>
      </c>
      <c r="E29" s="327">
        <f>-D29</f>
        <v>0</v>
      </c>
      <c r="F29" s="327">
        <f>1996-350-E29-D29</f>
        <v>1646</v>
      </c>
      <c r="G29" s="327">
        <f>1996-F29-E29-D29</f>
        <v>350</v>
      </c>
      <c r="H29" s="328">
        <f t="shared" ref="H29:H36" si="29">SUM(D29:G29)</f>
        <v>1996</v>
      </c>
      <c r="I29" s="327">
        <v>0</v>
      </c>
      <c r="J29" s="327">
        <f>1739.7-I29</f>
        <v>1739.7</v>
      </c>
      <c r="K29" s="327">
        <f>1157.2+4727.6-J29-I29</f>
        <v>4145.1000000000004</v>
      </c>
      <c r="L29" s="327">
        <f>1406.6-K29-J29-I29</f>
        <v>-4478.2000000000007</v>
      </c>
      <c r="M29" s="328">
        <f t="shared" ref="M29:M36" si="30">SUM(I29:L29)</f>
        <v>1406.5999999999995</v>
      </c>
      <c r="N29" s="327">
        <v>192.9</v>
      </c>
      <c r="O29" s="327">
        <f>203.3-N29</f>
        <v>10.400000000000006</v>
      </c>
      <c r="P29" s="327">
        <f>215.6-O29-N29</f>
        <v>12.299999999999983</v>
      </c>
      <c r="Q29" s="327">
        <f>-296.5-P29-O29-N29</f>
        <v>-512.09999999999991</v>
      </c>
      <c r="R29" s="328">
        <f t="shared" ref="R29:R36" si="31">SUM(N29:Q29)</f>
        <v>-296.49999999999989</v>
      </c>
      <c r="S29" s="327">
        <v>200</v>
      </c>
      <c r="T29" s="327">
        <f>17.4+1498.1-S29</f>
        <v>1315.5</v>
      </c>
      <c r="U29" s="327">
        <f>200+38.9+1498.1-T29-S29</f>
        <v>221.5</v>
      </c>
      <c r="V29" s="327">
        <f>36.6-36.6+1498.1-1000-U29-T29-S29</f>
        <v>-1238.9000000000001</v>
      </c>
      <c r="W29" s="328">
        <f t="shared" ref="W29:W36" si="32">SUM(S29:V29)</f>
        <v>498.09999999999991</v>
      </c>
      <c r="X29" s="327">
        <v>0</v>
      </c>
      <c r="Y29" s="327">
        <f>1497.8-1000-X29</f>
        <v>497.79999999999995</v>
      </c>
      <c r="Z29" s="327">
        <f>+('BS (Base)'!Z28-'BS (Base)'!Y28)+('BS (Base)'!Z31-'BS (Base)'!Y31)</f>
        <v>0</v>
      </c>
      <c r="AA29" s="327">
        <f>+('BS (Base)'!AA28-'BS (Base)'!Z28)+('BS (Base)'!AA31-'BS (Base)'!Z31)</f>
        <v>0</v>
      </c>
      <c r="AB29" s="328">
        <f t="shared" ref="AB29:AB36" si="33">SUM(X29:AA29)</f>
        <v>497.79999999999995</v>
      </c>
      <c r="AC29" s="327">
        <f>+('BS (Base)'!AC28-'BS (Base)'!AA28)+('BS (Base)'!AC31-'BS (Base)'!AA31)</f>
        <v>0</v>
      </c>
      <c r="AD29" s="327">
        <f>+('BS (Base)'!AD28-'BS (Base)'!AC28)+('BS (Base)'!AD31-'BS (Base)'!AC31)</f>
        <v>0</v>
      </c>
      <c r="AE29" s="327">
        <f>+('BS (Base)'!AE28-'BS (Base)'!AD28)+('BS (Base)'!AE31-'BS (Base)'!AD31)</f>
        <v>0</v>
      </c>
      <c r="AF29" s="327">
        <f>+('BS (Base)'!AF28-'BS (Base)'!AE28)+('BS (Base)'!AF31-'BS (Base)'!AE31)</f>
        <v>0</v>
      </c>
      <c r="AG29" s="328">
        <f t="shared" ref="AG29:AG36" si="34">SUM(AC29:AF29)</f>
        <v>0</v>
      </c>
      <c r="AH29" s="327">
        <f>+('BS (Base)'!AH28-'BS (Base)'!AF28)+('BS (Base)'!AH31-'BS (Base)'!AF31)</f>
        <v>0</v>
      </c>
      <c r="AI29" s="327">
        <f>+('BS (Base)'!AI28-'BS (Base)'!AH28)+('BS (Base)'!AI31-'BS (Base)'!AH31)</f>
        <v>0</v>
      </c>
      <c r="AJ29" s="327">
        <f>+('BS (Base)'!AJ28-'BS (Base)'!AI28)+('BS (Base)'!AJ31-'BS (Base)'!AI31)</f>
        <v>6260.9344886514809</v>
      </c>
      <c r="AK29" s="327">
        <f>+('BS (Base)'!AK28-'BS (Base)'!AJ28)+('BS (Base)'!AK31-'BS (Base)'!AJ31)</f>
        <v>0</v>
      </c>
      <c r="AL29" s="328">
        <f t="shared" ref="AL29:AL36" si="35">SUM(AH29:AK29)</f>
        <v>6260.9344886514809</v>
      </c>
      <c r="AM29" s="327">
        <f>+('BS (Base)'!AM28-'BS (Base)'!AK28)+('BS (Base)'!AM31-'BS (Base)'!AK31)</f>
        <v>0</v>
      </c>
      <c r="AN29" s="327">
        <f>+('BS (Base)'!AN28-'BS (Base)'!AM28)+('BS (Base)'!AN31-'BS (Base)'!AM31)</f>
        <v>-1000</v>
      </c>
      <c r="AO29" s="327">
        <f>+('BS (Base)'!AO28-'BS (Base)'!AN28)+('BS (Base)'!AO31-'BS (Base)'!AN31)</f>
        <v>0</v>
      </c>
      <c r="AP29" s="327">
        <f>+('BS (Base)'!AP28-'BS (Base)'!AO28)+('BS (Base)'!AP31-'BS (Base)'!AO31)</f>
        <v>0</v>
      </c>
      <c r="AQ29" s="328">
        <f t="shared" ref="AQ29:AQ36" si="36">SUM(AM29:AP29)</f>
        <v>-1000</v>
      </c>
      <c r="AR29" s="327">
        <f>+('BS (Base)'!AR28-'BS (Base)'!AP28)+('BS (Base)'!AR31-'BS (Base)'!AP31)</f>
        <v>0</v>
      </c>
      <c r="AS29" s="327">
        <f>+('BS (Base)'!AS28-'BS (Base)'!AR28)+('BS (Base)'!AS31-'BS (Base)'!AR31)</f>
        <v>0</v>
      </c>
      <c r="AT29" s="327">
        <f>+('BS (Base)'!AT28-'BS (Base)'!AS28)+('BS (Base)'!AT31-'BS (Base)'!AS31)</f>
        <v>0</v>
      </c>
      <c r="AU29" s="327">
        <f>+('BS (Base)'!AU28-'BS (Base)'!AT28)+('BS (Base)'!AU31-'BS (Base)'!AT31)</f>
        <v>0</v>
      </c>
      <c r="AV29" s="328">
        <f t="shared" ref="AV29:AV36" si="37">SUM(AR29:AU29)</f>
        <v>0</v>
      </c>
    </row>
    <row r="30" spans="2:48" outlineLevel="1" x14ac:dyDescent="0.3">
      <c r="B30" s="325" t="s">
        <v>287</v>
      </c>
      <c r="C30" s="326"/>
      <c r="D30" s="327">
        <v>-350</v>
      </c>
      <c r="E30" s="327">
        <v>0</v>
      </c>
      <c r="F30" s="327">
        <f>-75-E30-D30</f>
        <v>275</v>
      </c>
      <c r="G30" s="327">
        <f>-350-F30-E30-D30</f>
        <v>-275</v>
      </c>
      <c r="H30" s="328">
        <f t="shared" si="29"/>
        <v>-350</v>
      </c>
      <c r="I30" s="327"/>
      <c r="J30" s="327">
        <f>0-I30</f>
        <v>0</v>
      </c>
      <c r="K30" s="327">
        <v>-220.7</v>
      </c>
      <c r="L30" s="327">
        <f>-967.7-K30-J30-I30</f>
        <v>-747</v>
      </c>
      <c r="M30" s="328">
        <f t="shared" si="30"/>
        <v>-967.7</v>
      </c>
      <c r="N30" s="327">
        <f>-144.7-500</f>
        <v>-644.70000000000005</v>
      </c>
      <c r="O30" s="327">
        <f>-296.5-320.5-1250-N30</f>
        <v>-1222.3</v>
      </c>
      <c r="P30" s="327">
        <f>-296.5-346.2-1250-O30-N30</f>
        <v>-25.700000000000045</v>
      </c>
      <c r="Q30" s="327">
        <f>215.1-349.8-1250-P30-O30-N30</f>
        <v>508</v>
      </c>
      <c r="R30" s="328">
        <f t="shared" si="31"/>
        <v>-1384.7</v>
      </c>
      <c r="S30" s="327"/>
      <c r="T30" s="327">
        <v>-12.6</v>
      </c>
      <c r="U30" s="327">
        <f>-38.9-1000-T30-S30</f>
        <v>-1026.3000000000002</v>
      </c>
      <c r="V30" s="327">
        <f>175-U30-T30-S30</f>
        <v>1213.9000000000001</v>
      </c>
      <c r="W30" s="328">
        <f t="shared" si="32"/>
        <v>175</v>
      </c>
      <c r="X30" s="327">
        <v>-175</v>
      </c>
      <c r="Y30" s="327">
        <f>-175-X30</f>
        <v>0</v>
      </c>
      <c r="Z30" s="327"/>
      <c r="AA30" s="327"/>
      <c r="AB30" s="328">
        <f t="shared" si="33"/>
        <v>-175</v>
      </c>
      <c r="AC30" s="327"/>
      <c r="AD30" s="327"/>
      <c r="AE30" s="327"/>
      <c r="AF30" s="327"/>
      <c r="AG30" s="328">
        <f t="shared" si="34"/>
        <v>0</v>
      </c>
      <c r="AH30" s="327"/>
      <c r="AI30" s="327"/>
      <c r="AJ30" s="327"/>
      <c r="AK30" s="327"/>
      <c r="AL30" s="328">
        <f t="shared" si="35"/>
        <v>0</v>
      </c>
      <c r="AM30" s="327"/>
      <c r="AN30" s="327"/>
      <c r="AO30" s="327"/>
      <c r="AP30" s="327"/>
      <c r="AQ30" s="328">
        <f t="shared" si="36"/>
        <v>0</v>
      </c>
      <c r="AR30" s="327"/>
      <c r="AS30" s="327"/>
      <c r="AT30" s="327"/>
      <c r="AU30" s="327"/>
      <c r="AV30" s="328">
        <f t="shared" si="37"/>
        <v>0</v>
      </c>
    </row>
    <row r="31" spans="2:48" outlineLevel="1" x14ac:dyDescent="0.3">
      <c r="B31" s="325" t="s">
        <v>288</v>
      </c>
      <c r="C31" s="326"/>
      <c r="D31" s="327"/>
      <c r="E31" s="327">
        <v>75</v>
      </c>
      <c r="F31" s="327">
        <v>0</v>
      </c>
      <c r="G31" s="327">
        <f>0-F31-E31-D31</f>
        <v>-75</v>
      </c>
      <c r="H31" s="328">
        <f t="shared" si="29"/>
        <v>0</v>
      </c>
      <c r="I31" s="327">
        <f>398.9+99</f>
        <v>497.9</v>
      </c>
      <c r="J31" s="327">
        <f>613+494.1-I31</f>
        <v>609.19999999999993</v>
      </c>
      <c r="K31" s="327">
        <f>0-J31-I31</f>
        <v>-1107.0999999999999</v>
      </c>
      <c r="L31" s="327">
        <f>4727.6-K31-J31-I31</f>
        <v>4727.6000000000013</v>
      </c>
      <c r="M31" s="328">
        <f t="shared" si="30"/>
        <v>4727.6000000000013</v>
      </c>
      <c r="N31" s="327">
        <v>0</v>
      </c>
      <c r="O31" s="327">
        <f>0-N31</f>
        <v>0</v>
      </c>
      <c r="P31" s="327">
        <f>0-O31-N31</f>
        <v>0</v>
      </c>
      <c r="Q31" s="327">
        <f>0-P31-O31-N31</f>
        <v>0</v>
      </c>
      <c r="R31" s="328">
        <f t="shared" si="31"/>
        <v>0</v>
      </c>
      <c r="S31" s="327">
        <v>0</v>
      </c>
      <c r="T31" s="327">
        <f>0-S31</f>
        <v>0</v>
      </c>
      <c r="U31" s="327">
        <f t="shared" ref="U31" si="38">0-T31-S31</f>
        <v>0</v>
      </c>
      <c r="V31" s="327">
        <f t="shared" ref="V31" si="39">0-U31-T31-S31</f>
        <v>0</v>
      </c>
      <c r="W31" s="328">
        <f t="shared" si="32"/>
        <v>0</v>
      </c>
      <c r="X31" s="327"/>
      <c r="Y31" s="327">
        <f>52.8-X31</f>
        <v>52.8</v>
      </c>
      <c r="Z31" s="327"/>
      <c r="AA31" s="327"/>
      <c r="AB31" s="328">
        <f t="shared" si="33"/>
        <v>52.8</v>
      </c>
      <c r="AC31" s="327"/>
      <c r="AD31" s="327"/>
      <c r="AE31" s="327"/>
      <c r="AF31" s="327"/>
      <c r="AG31" s="328">
        <f t="shared" si="34"/>
        <v>0</v>
      </c>
      <c r="AH31" s="327"/>
      <c r="AI31" s="327"/>
      <c r="AJ31" s="327"/>
      <c r="AK31" s="327"/>
      <c r="AL31" s="328">
        <f t="shared" si="35"/>
        <v>0</v>
      </c>
      <c r="AM31" s="327"/>
      <c r="AN31" s="327"/>
      <c r="AO31" s="327"/>
      <c r="AP31" s="327"/>
      <c r="AQ31" s="328">
        <f t="shared" si="36"/>
        <v>0</v>
      </c>
      <c r="AR31" s="327"/>
      <c r="AS31" s="327"/>
      <c r="AT31" s="327"/>
      <c r="AU31" s="327"/>
      <c r="AV31" s="328">
        <f t="shared" si="37"/>
        <v>0</v>
      </c>
    </row>
    <row r="32" spans="2:48" outlineLevel="1" x14ac:dyDescent="0.3">
      <c r="B32" s="325" t="s">
        <v>289</v>
      </c>
      <c r="C32" s="326"/>
      <c r="D32" s="327">
        <v>108.4</v>
      </c>
      <c r="E32" s="327">
        <f>275.7-D32</f>
        <v>167.29999999999998</v>
      </c>
      <c r="F32" s="327">
        <f>358.5-E32-D32</f>
        <v>82.800000000000011</v>
      </c>
      <c r="G32" s="327">
        <f>409.8-F32-E32-D32</f>
        <v>51.300000000000011</v>
      </c>
      <c r="H32" s="328">
        <f t="shared" si="29"/>
        <v>409.8</v>
      </c>
      <c r="I32" s="327">
        <v>33.1</v>
      </c>
      <c r="J32" s="327">
        <f>65.4-I32</f>
        <v>32.300000000000004</v>
      </c>
      <c r="K32" s="327">
        <f>98.9-J32-I32</f>
        <v>33.499999999999993</v>
      </c>
      <c r="L32" s="327">
        <f>298.8-K32-J32-I32</f>
        <v>199.9</v>
      </c>
      <c r="M32" s="328">
        <f t="shared" si="30"/>
        <v>298.8</v>
      </c>
      <c r="N32" s="327">
        <v>102.8</v>
      </c>
      <c r="O32" s="327">
        <f>134.4-N32</f>
        <v>31.600000000000009</v>
      </c>
      <c r="P32" s="327">
        <f>191.6-O32-N32</f>
        <v>57.2</v>
      </c>
      <c r="Q32" s="327">
        <f>246.2-P32-O32-N32</f>
        <v>54.59999999999998</v>
      </c>
      <c r="R32" s="328">
        <f t="shared" si="31"/>
        <v>246.2</v>
      </c>
      <c r="S32" s="327">
        <v>41.3</v>
      </c>
      <c r="T32" s="327">
        <f>56.3-S32</f>
        <v>15</v>
      </c>
      <c r="U32" s="327">
        <f>75.5-T32-S32</f>
        <v>19.200000000000003</v>
      </c>
      <c r="V32" s="327">
        <f>101.6-U32-T32-S32</f>
        <v>26.099999999999994</v>
      </c>
      <c r="W32" s="328">
        <f t="shared" si="32"/>
        <v>101.6</v>
      </c>
      <c r="X32" s="327">
        <v>45.9</v>
      </c>
      <c r="Y32" s="327">
        <f>129.8-X32</f>
        <v>83.9</v>
      </c>
      <c r="Z32" s="327">
        <v>0</v>
      </c>
      <c r="AA32" s="327">
        <v>0</v>
      </c>
      <c r="AB32" s="328">
        <f t="shared" si="33"/>
        <v>129.80000000000001</v>
      </c>
      <c r="AC32" s="327">
        <v>0</v>
      </c>
      <c r="AD32" s="327">
        <v>0</v>
      </c>
      <c r="AE32" s="327">
        <v>0</v>
      </c>
      <c r="AF32" s="327">
        <v>0</v>
      </c>
      <c r="AG32" s="328">
        <f t="shared" si="34"/>
        <v>0</v>
      </c>
      <c r="AH32" s="327">
        <v>0</v>
      </c>
      <c r="AI32" s="327">
        <v>0</v>
      </c>
      <c r="AJ32" s="327">
        <v>0</v>
      </c>
      <c r="AK32" s="327">
        <v>0</v>
      </c>
      <c r="AL32" s="328">
        <f t="shared" si="35"/>
        <v>0</v>
      </c>
      <c r="AM32" s="327">
        <v>0</v>
      </c>
      <c r="AN32" s="327">
        <v>0</v>
      </c>
      <c r="AO32" s="327">
        <v>0</v>
      </c>
      <c r="AP32" s="327">
        <v>0</v>
      </c>
      <c r="AQ32" s="328">
        <f t="shared" si="36"/>
        <v>0</v>
      </c>
      <c r="AR32" s="327">
        <v>0</v>
      </c>
      <c r="AS32" s="327">
        <v>0</v>
      </c>
      <c r="AT32" s="327">
        <v>0</v>
      </c>
      <c r="AU32" s="327">
        <v>0</v>
      </c>
      <c r="AV32" s="328">
        <f t="shared" si="37"/>
        <v>0</v>
      </c>
    </row>
    <row r="33" spans="2:48" outlineLevel="1" x14ac:dyDescent="0.3">
      <c r="B33" s="325" t="s">
        <v>290</v>
      </c>
      <c r="C33" s="326"/>
      <c r="D33" s="327">
        <v>-446.7</v>
      </c>
      <c r="E33" s="327">
        <f>-894.5-D33</f>
        <v>-447.8</v>
      </c>
      <c r="F33" s="327">
        <f>-1330.7-E33-D33</f>
        <v>-436.2000000000001</v>
      </c>
      <c r="G33" s="327">
        <f>-1761.3-F33-E33-D33</f>
        <v>-430.59999999999997</v>
      </c>
      <c r="H33" s="328">
        <f t="shared" si="29"/>
        <v>-1761.3</v>
      </c>
      <c r="I33" s="327">
        <v>-484.2</v>
      </c>
      <c r="J33" s="327">
        <f>-965.2-I33</f>
        <v>-481.00000000000006</v>
      </c>
      <c r="K33" s="327">
        <f>-1444.2-J33-I33</f>
        <v>-479.00000000000006</v>
      </c>
      <c r="L33" s="327">
        <f>-1923.5-K33-J33-I33</f>
        <v>-479.3</v>
      </c>
      <c r="M33" s="328">
        <f t="shared" si="30"/>
        <v>-1923.5</v>
      </c>
      <c r="N33" s="327">
        <v>-528.20000000000005</v>
      </c>
      <c r="O33" s="327">
        <f>-1058-N33</f>
        <v>-529.79999999999995</v>
      </c>
      <c r="P33" s="327">
        <f>-1588.2-O33-N33</f>
        <v>-530.20000000000005</v>
      </c>
      <c r="Q33" s="327">
        <f>-2119-P33-O33-N33</f>
        <v>-530.79999999999995</v>
      </c>
      <c r="R33" s="328">
        <f t="shared" si="31"/>
        <v>-2119</v>
      </c>
      <c r="S33" s="327">
        <v>-576</v>
      </c>
      <c r="T33" s="327">
        <f>-1139.2-S33</f>
        <v>-563.20000000000005</v>
      </c>
      <c r="U33" s="327">
        <f>-1701.1-T33-S33</f>
        <v>-561.89999999999986</v>
      </c>
      <c r="V33" s="327">
        <f>-2263.3-U33-T33-S33</f>
        <v>-562.20000000000027</v>
      </c>
      <c r="W33" s="328">
        <f t="shared" si="32"/>
        <v>-2263.3000000000002</v>
      </c>
      <c r="X33" s="327">
        <v>-608.29999999999995</v>
      </c>
      <c r="Y33" s="327">
        <f>-1217.4-X33</f>
        <v>-609.10000000000014</v>
      </c>
      <c r="Z33" s="327">
        <f>-'IS (Base)'!Z35*'IS (Base)'!Z30</f>
        <v>-609.39241000000004</v>
      </c>
      <c r="AA33" s="327">
        <f>-'IS (Base)'!AA35*'IS (Base)'!AA30</f>
        <v>-640.58525456100017</v>
      </c>
      <c r="AB33" s="328">
        <f t="shared" si="33"/>
        <v>-2467.3776645610001</v>
      </c>
      <c r="AC33" s="327">
        <f>-'IS (Base)'!X35*'IS (Base)'!X30</f>
        <v>-608.70500000000004</v>
      </c>
      <c r="AD33" s="327">
        <f>-'IS (Base)'!Y35*'IS (Base)'!Y30</f>
        <v>-608.70500000000004</v>
      </c>
      <c r="AE33" s="327">
        <f>-'IS (Base)'!Z35*'IS (Base)'!Z30</f>
        <v>-609.39241000000004</v>
      </c>
      <c r="AF33" s="327">
        <f>-'IS (Base)'!AA35*'IS (Base)'!AA30</f>
        <v>-640.58525456100017</v>
      </c>
      <c r="AG33" s="328">
        <f t="shared" si="34"/>
        <v>-2467.3876645610003</v>
      </c>
      <c r="AH33" s="327">
        <f>-'IS (Base)'!AC35*'IS (Base)'!AC30</f>
        <v>-641.37259790962844</v>
      </c>
      <c r="AI33" s="327">
        <f>-'IS (Base)'!AD35*'IS (Base)'!AD30</f>
        <v>-642.16151594495398</v>
      </c>
      <c r="AJ33" s="327">
        <f>-'IS (Base)'!AE35*'IS (Base)'!AE30</f>
        <v>-642.95201181635014</v>
      </c>
      <c r="AK33" s="327">
        <f>-'IS (Base)'!AF35*'IS (Base)'!AF30</f>
        <v>-675.93129311346354</v>
      </c>
      <c r="AL33" s="328">
        <f t="shared" si="35"/>
        <v>-2602.417418784396</v>
      </c>
      <c r="AM33" s="327">
        <f>-'IS (Base)'!AH35*'IS (Base)'!AH30</f>
        <v>-676.78932853919662</v>
      </c>
      <c r="AN33" s="327">
        <f>-'IS (Base)'!AI35*'IS (Base)'!AI30</f>
        <v>-677.64908003578125</v>
      </c>
      <c r="AO33" s="327">
        <f>-'IS (Base)'!AJ35*'IS (Base)'!AJ30</f>
        <v>-651.39075535117729</v>
      </c>
      <c r="AP33" s="327">
        <f>-'IS (Base)'!AK35*'IS (Base)'!AK30</f>
        <v>-656.33390971806421</v>
      </c>
      <c r="AQ33" s="328">
        <f t="shared" si="36"/>
        <v>-2662.1630736442194</v>
      </c>
      <c r="AR33" s="327">
        <f>-'IS (Base)'!AM35*'IS (Base)'!AM30</f>
        <v>-656.402796442973</v>
      </c>
      <c r="AS33" s="327">
        <f>-'IS (Base)'!AN35*'IS (Base)'!AN30</f>
        <v>-656.47182094133166</v>
      </c>
      <c r="AT33" s="327">
        <f>-'IS (Base)'!AO35*'IS (Base)'!AO30</f>
        <v>-656.54098348868706</v>
      </c>
      <c r="AU33" s="327">
        <f>-'IS (Base)'!AP35*'IS (Base)'!AP30</f>
        <v>-669.74249004835985</v>
      </c>
      <c r="AV33" s="328">
        <f t="shared" si="37"/>
        <v>-2639.1580909213517</v>
      </c>
    </row>
    <row r="34" spans="2:48" outlineLevel="1" x14ac:dyDescent="0.3">
      <c r="B34" s="325" t="s">
        <v>291</v>
      </c>
      <c r="C34" s="338"/>
      <c r="D34" s="327">
        <v>-5114.7</v>
      </c>
      <c r="E34" s="327">
        <f>-7827.9-D34</f>
        <v>-2713.2</v>
      </c>
      <c r="F34" s="327">
        <f>-7972.9-E34-D34</f>
        <v>-145</v>
      </c>
      <c r="G34" s="327">
        <f>-10222.3-F34-E34-D34</f>
        <v>-2249.3999999999996</v>
      </c>
      <c r="H34" s="328">
        <f t="shared" si="29"/>
        <v>-10222.299999999999</v>
      </c>
      <c r="I34" s="327">
        <v>-1091.4000000000001</v>
      </c>
      <c r="J34" s="327">
        <f>-1698.9-I34</f>
        <v>-607.5</v>
      </c>
      <c r="K34" s="327">
        <f>-1698.9-J34-I34</f>
        <v>0</v>
      </c>
      <c r="L34" s="327">
        <f>-1698.9-K34-J34-I34</f>
        <v>0</v>
      </c>
      <c r="M34" s="328">
        <f t="shared" si="30"/>
        <v>-1698.9</v>
      </c>
      <c r="N34" s="327">
        <v>0</v>
      </c>
      <c r="O34" s="327">
        <f>0-N34</f>
        <v>0</v>
      </c>
      <c r="P34" s="327">
        <f>0-O34-N34</f>
        <v>0</v>
      </c>
      <c r="Q34" s="327">
        <f>0-P34-O34-N34</f>
        <v>0</v>
      </c>
      <c r="R34" s="328">
        <f t="shared" si="31"/>
        <v>0</v>
      </c>
      <c r="S34" s="327">
        <v>-3520.9</v>
      </c>
      <c r="T34" s="327">
        <f>-3997.5-S34</f>
        <v>-476.59999999999991</v>
      </c>
      <c r="U34" s="327">
        <f>-4013-T34-S34</f>
        <v>-15.5</v>
      </c>
      <c r="V34" s="327">
        <f>-4013-U34-T34-S34</f>
        <v>0</v>
      </c>
      <c r="W34" s="328">
        <f t="shared" si="32"/>
        <v>-4013</v>
      </c>
      <c r="X34" s="327">
        <v>-191.4</v>
      </c>
      <c r="Y34" s="327">
        <f>-479.3-X34</f>
        <v>-287.89999999999998</v>
      </c>
      <c r="Z34" s="327">
        <f>-'IS (Base)'!Z154</f>
        <v>-100</v>
      </c>
      <c r="AA34" s="327">
        <f>-'IS (Base)'!AA154</f>
        <v>-100</v>
      </c>
      <c r="AB34" s="328">
        <f t="shared" si="33"/>
        <v>-679.3</v>
      </c>
      <c r="AC34" s="327">
        <f>-'IS (Base)'!AC154</f>
        <v>-100</v>
      </c>
      <c r="AD34" s="327">
        <f>-'IS (Base)'!AD154</f>
        <v>-100</v>
      </c>
      <c r="AE34" s="327">
        <f>-'IS (Base)'!AE154</f>
        <v>-100</v>
      </c>
      <c r="AF34" s="327">
        <f>-'IS (Base)'!AF154</f>
        <v>-100</v>
      </c>
      <c r="AG34" s="328">
        <f t="shared" si="34"/>
        <v>-400</v>
      </c>
      <c r="AH34" s="327">
        <f>-'IS (Base)'!AH154</f>
        <v>-100</v>
      </c>
      <c r="AI34" s="327">
        <f>-'IS (Base)'!AI154</f>
        <v>-100</v>
      </c>
      <c r="AJ34" s="327">
        <f>-'IS (Base)'!AJ154</f>
        <v>-5591.7586260468015</v>
      </c>
      <c r="AK34" s="327">
        <f>-'IS (Base)'!AK154</f>
        <v>-5591.7586260468015</v>
      </c>
      <c r="AL34" s="328">
        <f t="shared" si="35"/>
        <v>-11383.517252093603</v>
      </c>
      <c r="AM34" s="327">
        <f>-'IS (Base)'!AM154</f>
        <v>-250</v>
      </c>
      <c r="AN34" s="327">
        <f>-'IS (Base)'!AN154</f>
        <v>-250</v>
      </c>
      <c r="AO34" s="327">
        <f>-'IS (Base)'!AO154</f>
        <v>-250</v>
      </c>
      <c r="AP34" s="327">
        <f>-'IS (Base)'!AP154</f>
        <v>-250</v>
      </c>
      <c r="AQ34" s="328">
        <f t="shared" si="36"/>
        <v>-1000</v>
      </c>
      <c r="AR34" s="327">
        <f>-'IS (Base)'!AR154</f>
        <v>-250</v>
      </c>
      <c r="AS34" s="327">
        <f>-'IS (Base)'!AS154</f>
        <v>-250</v>
      </c>
      <c r="AT34" s="327">
        <f>-'IS (Base)'!AT154</f>
        <v>-250</v>
      </c>
      <c r="AU34" s="327">
        <f>-'IS (Base)'!AU154</f>
        <v>-250</v>
      </c>
      <c r="AV34" s="328">
        <f t="shared" si="37"/>
        <v>-1000</v>
      </c>
    </row>
    <row r="35" spans="2:48" outlineLevel="1" x14ac:dyDescent="0.3">
      <c r="B35" s="325" t="s">
        <v>292</v>
      </c>
      <c r="C35" s="339"/>
      <c r="D35" s="327">
        <v>-55.3</v>
      </c>
      <c r="E35" s="327">
        <f>-56.3-D35</f>
        <v>-1</v>
      </c>
      <c r="F35" s="327">
        <f>-106.1-E35-D35</f>
        <v>-49.8</v>
      </c>
      <c r="G35" s="327">
        <f>-111.6-F35-E35-D35</f>
        <v>-5.5</v>
      </c>
      <c r="H35" s="328">
        <f t="shared" si="29"/>
        <v>-111.6</v>
      </c>
      <c r="I35" s="327">
        <v>-78.400000000000006</v>
      </c>
      <c r="J35" s="327">
        <f>-87.6-I35</f>
        <v>-9.1999999999999886</v>
      </c>
      <c r="K35" s="327">
        <f>-89.1-J35-I35</f>
        <v>-1.5</v>
      </c>
      <c r="L35" s="327">
        <f>-91.9-K35-J35-I35</f>
        <v>-2.8000000000000114</v>
      </c>
      <c r="M35" s="328">
        <f t="shared" si="30"/>
        <v>-91.9</v>
      </c>
      <c r="N35" s="327">
        <v>-88.6</v>
      </c>
      <c r="O35" s="327">
        <f>-90.1-N35</f>
        <v>-1.5</v>
      </c>
      <c r="P35" s="327">
        <f>-94.2-O35-N35</f>
        <v>-4.1000000000000085</v>
      </c>
      <c r="Q35" s="327">
        <f>-97-P35-O35-N35</f>
        <v>-2.7999999999999972</v>
      </c>
      <c r="R35" s="328">
        <f t="shared" si="31"/>
        <v>-97</v>
      </c>
      <c r="S35" s="327">
        <v>-113.6</v>
      </c>
      <c r="T35" s="327">
        <f>-122.1-S35</f>
        <v>-8.5</v>
      </c>
      <c r="U35" s="327">
        <f>-123.5-T35-S35</f>
        <v>-1.4000000000000057</v>
      </c>
      <c r="V35" s="327">
        <f>-127.2-U35-T35-S35</f>
        <v>-3.7000000000000028</v>
      </c>
      <c r="W35" s="328">
        <f t="shared" si="32"/>
        <v>-127.2</v>
      </c>
      <c r="X35" s="327">
        <v>-79</v>
      </c>
      <c r="Y35" s="327">
        <f>-81.4-X35</f>
        <v>-2.4000000000000057</v>
      </c>
      <c r="Z35" s="327">
        <f>(Y35/Y12)*Z12</f>
        <v>-2.4894097569931866</v>
      </c>
      <c r="AA35" s="327">
        <f>(Z35/Z12)*AA12</f>
        <v>-2.6097290731208505</v>
      </c>
      <c r="AB35" s="328">
        <f t="shared" si="33"/>
        <v>-86.499138830114035</v>
      </c>
      <c r="AC35" s="327">
        <f>(AA35/AA12)*AC12</f>
        <v>-2.7742223038377731</v>
      </c>
      <c r="AD35" s="327">
        <f>(AC35/AC12)*AD12</f>
        <v>-2.6528049261705235</v>
      </c>
      <c r="AE35" s="327">
        <f>(AD35/AD12)*AE12</f>
        <v>-2.833542267338431</v>
      </c>
      <c r="AF35" s="327">
        <f>(AE35/AE12)*AF12</f>
        <v>-2.8870953187528747</v>
      </c>
      <c r="AG35" s="328">
        <f t="shared" si="34"/>
        <v>-11.147664816099603</v>
      </c>
      <c r="AH35" s="327">
        <f>(AF35/AF12)*AH12</f>
        <v>-3.0291739160503628</v>
      </c>
      <c r="AI35" s="327">
        <f>(AH35/AH12)*AI12</f>
        <v>-2.9692413459190656</v>
      </c>
      <c r="AJ35" s="327">
        <f>(AI35/AI12)*AJ12</f>
        <v>-3.1750368142404821</v>
      </c>
      <c r="AK35" s="327">
        <f>(AJ35/AJ12)*AK12</f>
        <v>-3.2198418152011721</v>
      </c>
      <c r="AL35" s="328">
        <f t="shared" si="35"/>
        <v>-12.393293891411084</v>
      </c>
      <c r="AM35" s="327">
        <f>(AK35/AK12)*AM12</f>
        <v>-3.316728902939849</v>
      </c>
      <c r="AN35" s="327">
        <f>(AM35/AM12)*AN12</f>
        <v>-3.2529450260523824</v>
      </c>
      <c r="AO35" s="327">
        <f>(AN35/AN12)*AO12</f>
        <v>-3.4635223710605181</v>
      </c>
      <c r="AP35" s="327">
        <f>(AO35/AO12)*AP12</f>
        <v>-3.4969194152056087</v>
      </c>
      <c r="AQ35" s="328">
        <f t="shared" si="36"/>
        <v>-13.530115715258358</v>
      </c>
      <c r="AR35" s="327">
        <f>(AP35/AP12)*AR12</f>
        <v>-3.5281167838432443</v>
      </c>
      <c r="AS35" s="327">
        <f>(AR35/AR12)*AS12</f>
        <v>-3.4617925443689201</v>
      </c>
      <c r="AT35" s="327">
        <f>(AS35/AS12)*AT12</f>
        <v>-3.6844033423707709</v>
      </c>
      <c r="AU35" s="327">
        <f>(AT35/AT12)*AU12</f>
        <v>-3.7192261214215163</v>
      </c>
      <c r="AV35" s="328">
        <f t="shared" si="37"/>
        <v>-14.393538792004453</v>
      </c>
    </row>
    <row r="36" spans="2:48" ht="16.2" outlineLevel="1" x14ac:dyDescent="0.45">
      <c r="B36" s="623" t="s">
        <v>293</v>
      </c>
      <c r="C36" s="624"/>
      <c r="D36" s="329">
        <v>-0.3</v>
      </c>
      <c r="E36" s="329">
        <f>0.1-D36</f>
        <v>0.4</v>
      </c>
      <c r="F36" s="329">
        <f>-17.6-E36-D36</f>
        <v>-17.7</v>
      </c>
      <c r="G36" s="329">
        <f>-17.5-F36-E36-D36</f>
        <v>9.9999999999999256E-2</v>
      </c>
      <c r="H36" s="330">
        <f t="shared" si="29"/>
        <v>-17.5</v>
      </c>
      <c r="I36" s="329">
        <v>0</v>
      </c>
      <c r="J36" s="329">
        <f>-10.4-I36</f>
        <v>-10.4</v>
      </c>
      <c r="K36" s="329">
        <f>-37.8-J36-I36</f>
        <v>-27.4</v>
      </c>
      <c r="L36" s="329">
        <f>-37.7-K36-J36-I36</f>
        <v>9.9999999999996092E-2</v>
      </c>
      <c r="M36" s="330">
        <f t="shared" si="30"/>
        <v>-37.700000000000003</v>
      </c>
      <c r="N36" s="329">
        <v>0</v>
      </c>
      <c r="O36" s="329">
        <f>0-N36</f>
        <v>0</v>
      </c>
      <c r="P36" s="329">
        <f>0-O36-N36</f>
        <v>0</v>
      </c>
      <c r="Q36" s="329">
        <f>0-P36-O36-N36</f>
        <v>0</v>
      </c>
      <c r="R36" s="330">
        <f t="shared" si="31"/>
        <v>0</v>
      </c>
      <c r="S36" s="329">
        <v>0</v>
      </c>
      <c r="T36" s="329">
        <f>-9.2-S36</f>
        <v>-9.1999999999999993</v>
      </c>
      <c r="U36" s="329">
        <f>-9.2-T36-S36</f>
        <v>0</v>
      </c>
      <c r="V36" s="329">
        <f>-9.2-U36-T36-S36</f>
        <v>0</v>
      </c>
      <c r="W36" s="330">
        <f t="shared" si="32"/>
        <v>-9.1999999999999993</v>
      </c>
      <c r="X36" s="329">
        <v>0</v>
      </c>
      <c r="Y36" s="329">
        <f>-10.7-X36</f>
        <v>-10.7</v>
      </c>
      <c r="Z36" s="329">
        <v>0</v>
      </c>
      <c r="AA36" s="329">
        <v>0</v>
      </c>
      <c r="AB36" s="330">
        <f t="shared" si="33"/>
        <v>-10.7</v>
      </c>
      <c r="AC36" s="329">
        <v>0</v>
      </c>
      <c r="AD36" s="329">
        <v>0</v>
      </c>
      <c r="AE36" s="329">
        <v>0</v>
      </c>
      <c r="AF36" s="329">
        <v>0</v>
      </c>
      <c r="AG36" s="330">
        <f t="shared" si="34"/>
        <v>0</v>
      </c>
      <c r="AH36" s="329">
        <v>0</v>
      </c>
      <c r="AI36" s="329">
        <v>0</v>
      </c>
      <c r="AJ36" s="329">
        <v>0</v>
      </c>
      <c r="AK36" s="329">
        <v>0</v>
      </c>
      <c r="AL36" s="330">
        <f t="shared" si="35"/>
        <v>0</v>
      </c>
      <c r="AM36" s="329">
        <v>0</v>
      </c>
      <c r="AN36" s="329">
        <v>0</v>
      </c>
      <c r="AO36" s="329">
        <v>0</v>
      </c>
      <c r="AP36" s="329">
        <v>0</v>
      </c>
      <c r="AQ36" s="330">
        <f t="shared" si="36"/>
        <v>0</v>
      </c>
      <c r="AR36" s="329">
        <v>0</v>
      </c>
      <c r="AS36" s="329">
        <v>0</v>
      </c>
      <c r="AT36" s="329">
        <v>0</v>
      </c>
      <c r="AU36" s="329">
        <v>0</v>
      </c>
      <c r="AV36" s="330">
        <f t="shared" si="37"/>
        <v>0</v>
      </c>
    </row>
    <row r="37" spans="2:48" outlineLevel="1" x14ac:dyDescent="0.3">
      <c r="B37" s="627" t="s">
        <v>294</v>
      </c>
      <c r="C37" s="628"/>
      <c r="D37" s="331">
        <f t="shared" ref="D37:AV37" si="40">SUM(D29:D36)</f>
        <v>-5858.6</v>
      </c>
      <c r="E37" s="331">
        <f t="shared" si="40"/>
        <v>-2919.2999999999997</v>
      </c>
      <c r="F37" s="331">
        <f t="shared" si="40"/>
        <v>1355.1</v>
      </c>
      <c r="G37" s="331">
        <f t="shared" si="40"/>
        <v>-2634.1</v>
      </c>
      <c r="H37" s="332">
        <f t="shared" si="40"/>
        <v>-10056.9</v>
      </c>
      <c r="I37" s="331">
        <f t="shared" si="40"/>
        <v>-1123.0000000000002</v>
      </c>
      <c r="J37" s="331">
        <f t="shared" si="40"/>
        <v>1273.1000000000001</v>
      </c>
      <c r="K37" s="331">
        <f t="shared" si="40"/>
        <v>2342.9000000000005</v>
      </c>
      <c r="L37" s="331">
        <f t="shared" si="40"/>
        <v>-779.69999999999948</v>
      </c>
      <c r="M37" s="332">
        <f t="shared" si="40"/>
        <v>1713.3000000000009</v>
      </c>
      <c r="N37" s="331">
        <f t="shared" si="40"/>
        <v>-965.80000000000007</v>
      </c>
      <c r="O37" s="331">
        <f t="shared" si="40"/>
        <v>-1711.6</v>
      </c>
      <c r="P37" s="331">
        <f t="shared" si="40"/>
        <v>-490.50000000000011</v>
      </c>
      <c r="Q37" s="331">
        <f t="shared" si="40"/>
        <v>-483.09999999999991</v>
      </c>
      <c r="R37" s="332">
        <f t="shared" si="40"/>
        <v>-3651</v>
      </c>
      <c r="S37" s="331">
        <f t="shared" si="40"/>
        <v>-3969.2</v>
      </c>
      <c r="T37" s="331">
        <f t="shared" si="40"/>
        <v>260.40000000000015</v>
      </c>
      <c r="U37" s="331">
        <f t="shared" si="40"/>
        <v>-1364.4</v>
      </c>
      <c r="V37" s="331">
        <f t="shared" si="40"/>
        <v>-564.8000000000003</v>
      </c>
      <c r="W37" s="332">
        <f t="shared" si="40"/>
        <v>-5638</v>
      </c>
      <c r="X37" s="331">
        <f t="shared" si="40"/>
        <v>-1007.8</v>
      </c>
      <c r="Y37" s="331">
        <f t="shared" si="40"/>
        <v>-275.60000000000019</v>
      </c>
      <c r="Z37" s="331">
        <f t="shared" si="40"/>
        <v>-711.8818197569932</v>
      </c>
      <c r="AA37" s="331">
        <f t="shared" si="40"/>
        <v>-743.19498363412106</v>
      </c>
      <c r="AB37" s="332">
        <f t="shared" si="40"/>
        <v>-2738.4768033911141</v>
      </c>
      <c r="AC37" s="331">
        <f t="shared" si="40"/>
        <v>-711.47922230383779</v>
      </c>
      <c r="AD37" s="331">
        <f t="shared" si="40"/>
        <v>-711.35780492617062</v>
      </c>
      <c r="AE37" s="331">
        <f t="shared" si="40"/>
        <v>-712.22595226733847</v>
      </c>
      <c r="AF37" s="331">
        <f t="shared" si="40"/>
        <v>-743.4723498797531</v>
      </c>
      <c r="AG37" s="332">
        <f t="shared" si="40"/>
        <v>-2878.5353293771</v>
      </c>
      <c r="AH37" s="331">
        <f t="shared" si="40"/>
        <v>-744.40177182567879</v>
      </c>
      <c r="AI37" s="331">
        <f t="shared" si="40"/>
        <v>-745.13075729087302</v>
      </c>
      <c r="AJ37" s="331">
        <f t="shared" si="40"/>
        <v>23.048813974088919</v>
      </c>
      <c r="AK37" s="331">
        <f t="shared" si="40"/>
        <v>-6270.9097609754663</v>
      </c>
      <c r="AL37" s="332">
        <f t="shared" si="40"/>
        <v>-7737.3934761179298</v>
      </c>
      <c r="AM37" s="331">
        <f t="shared" si="40"/>
        <v>-930.10605744213649</v>
      </c>
      <c r="AN37" s="331">
        <f t="shared" si="40"/>
        <v>-1930.9020250618337</v>
      </c>
      <c r="AO37" s="331">
        <f t="shared" si="40"/>
        <v>-904.85427772223784</v>
      </c>
      <c r="AP37" s="331">
        <f t="shared" si="40"/>
        <v>-909.83082913326984</v>
      </c>
      <c r="AQ37" s="332">
        <f t="shared" si="40"/>
        <v>-4675.6931893594774</v>
      </c>
      <c r="AR37" s="331">
        <f t="shared" si="40"/>
        <v>-909.93091322681619</v>
      </c>
      <c r="AS37" s="331">
        <f t="shared" si="40"/>
        <v>-909.93361348570056</v>
      </c>
      <c r="AT37" s="331">
        <f t="shared" si="40"/>
        <v>-910.22538683105779</v>
      </c>
      <c r="AU37" s="331">
        <f t="shared" si="40"/>
        <v>-923.46171616978143</v>
      </c>
      <c r="AV37" s="332">
        <f t="shared" si="40"/>
        <v>-3653.5516297133563</v>
      </c>
    </row>
    <row r="38" spans="2:48" outlineLevel="1" x14ac:dyDescent="0.3">
      <c r="B38" s="248" t="s">
        <v>295</v>
      </c>
      <c r="C38" s="249"/>
      <c r="D38" s="333">
        <f>-4.7-0.1</f>
        <v>-4.8</v>
      </c>
      <c r="E38" s="340">
        <f>18.3-0.1-D38</f>
        <v>23</v>
      </c>
      <c r="F38" s="340">
        <f>-2.5-E38-D38</f>
        <v>-20.7</v>
      </c>
      <c r="G38" s="340">
        <f>-49-F38-E38-D38</f>
        <v>-46.5</v>
      </c>
      <c r="H38" s="337">
        <f>SUM(D38:G38)</f>
        <v>-49</v>
      </c>
      <c r="I38" s="340">
        <v>27.1</v>
      </c>
      <c r="J38" s="340">
        <f>8.7-I38</f>
        <v>-18.400000000000002</v>
      </c>
      <c r="K38" s="340">
        <f>10.9-J38-I38</f>
        <v>2.2000000000000028</v>
      </c>
      <c r="L38" s="340">
        <f>64.7-K38-J38-I38</f>
        <v>53.800000000000004</v>
      </c>
      <c r="M38" s="337">
        <f>SUM(I38:L38)</f>
        <v>64.7</v>
      </c>
      <c r="N38" s="340">
        <v>79.8</v>
      </c>
      <c r="O38" s="340">
        <f>66.7-N38</f>
        <v>-13.099999999999994</v>
      </c>
      <c r="P38" s="340">
        <f>87.9-O38-N38</f>
        <v>21.200000000000003</v>
      </c>
      <c r="Q38" s="340">
        <f>86.2-P38-O38-N38</f>
        <v>-1.7000000000000028</v>
      </c>
      <c r="R38" s="337">
        <f>SUM(N38:Q38)</f>
        <v>86.2</v>
      </c>
      <c r="S38" s="340">
        <v>13</v>
      </c>
      <c r="T38" s="340">
        <f>14.6-S38</f>
        <v>1.5999999999999996</v>
      </c>
      <c r="U38" s="340">
        <f>-126.3-T38-S38</f>
        <v>-140.89999999999998</v>
      </c>
      <c r="V38" s="340">
        <f>-250.3-U38-T38-S38</f>
        <v>-124.00000000000003</v>
      </c>
      <c r="W38" s="337">
        <f>SUM(S38:V38)</f>
        <v>-250.3</v>
      </c>
      <c r="X38" s="340">
        <v>62</v>
      </c>
      <c r="Y38" s="340">
        <f>83-X38</f>
        <v>21</v>
      </c>
      <c r="Z38" s="341">
        <v>0</v>
      </c>
      <c r="AA38" s="341">
        <v>0</v>
      </c>
      <c r="AB38" s="337">
        <f>SUM(X38:AA38)</f>
        <v>83</v>
      </c>
      <c r="AC38" s="341">
        <v>0</v>
      </c>
      <c r="AD38" s="341">
        <v>0</v>
      </c>
      <c r="AE38" s="341">
        <v>0</v>
      </c>
      <c r="AF38" s="341">
        <v>0</v>
      </c>
      <c r="AG38" s="337">
        <f>SUM(AC38:AF38)</f>
        <v>0</v>
      </c>
      <c r="AH38" s="341">
        <v>0</v>
      </c>
      <c r="AI38" s="341">
        <v>0</v>
      </c>
      <c r="AJ38" s="341">
        <v>0</v>
      </c>
      <c r="AK38" s="341">
        <v>0</v>
      </c>
      <c r="AL38" s="337">
        <f>SUM(AH38:AK38)</f>
        <v>0</v>
      </c>
      <c r="AM38" s="341">
        <v>0</v>
      </c>
      <c r="AN38" s="341">
        <v>0</v>
      </c>
      <c r="AO38" s="341">
        <v>0</v>
      </c>
      <c r="AP38" s="341">
        <v>0</v>
      </c>
      <c r="AQ38" s="337">
        <f>SUM(AM38:AP38)</f>
        <v>0</v>
      </c>
      <c r="AR38" s="341">
        <v>0</v>
      </c>
      <c r="AS38" s="341">
        <v>0</v>
      </c>
      <c r="AT38" s="341">
        <v>0</v>
      </c>
      <c r="AU38" s="341">
        <v>0</v>
      </c>
      <c r="AV38" s="337">
        <f>SUM(AR38:AU38)</f>
        <v>0</v>
      </c>
    </row>
    <row r="39" spans="2:48" ht="16.2" outlineLevel="1" x14ac:dyDescent="0.45">
      <c r="B39" s="580" t="s">
        <v>296</v>
      </c>
      <c r="C39" s="581"/>
      <c r="D39" s="260">
        <f t="shared" ref="D39:AV39" si="41">D37+D27+D22+D38</f>
        <v>-3994.7999999999997</v>
      </c>
      <c r="E39" s="260">
        <f t="shared" si="41"/>
        <v>-2706.5</v>
      </c>
      <c r="F39" s="260">
        <f t="shared" si="41"/>
        <v>2708.3000000000011</v>
      </c>
      <c r="G39" s="260">
        <f t="shared" si="41"/>
        <v>-2076.7999999999993</v>
      </c>
      <c r="H39" s="261">
        <f t="shared" si="41"/>
        <v>-6069.7999999999938</v>
      </c>
      <c r="I39" s="260">
        <f t="shared" si="41"/>
        <v>353.89999999999839</v>
      </c>
      <c r="J39" s="260">
        <f t="shared" si="41"/>
        <v>-468.20000000000061</v>
      </c>
      <c r="K39" s="260">
        <f t="shared" si="41"/>
        <v>1393.600000000001</v>
      </c>
      <c r="L39" s="260">
        <f t="shared" si="41"/>
        <v>385.0000000000021</v>
      </c>
      <c r="M39" s="261">
        <f t="shared" si="41"/>
        <v>1664.3000000000052</v>
      </c>
      <c r="N39" s="260">
        <f t="shared" si="41"/>
        <v>677.2</v>
      </c>
      <c r="O39" s="260">
        <f t="shared" si="41"/>
        <v>-1147.3999999999996</v>
      </c>
      <c r="P39" s="260">
        <f t="shared" si="41"/>
        <v>872.49999999999909</v>
      </c>
      <c r="Q39" s="260">
        <f t="shared" si="41"/>
        <v>1702.5999999999997</v>
      </c>
      <c r="R39" s="261">
        <f t="shared" si="41"/>
        <v>2104.8999999999978</v>
      </c>
      <c r="S39" s="260">
        <f t="shared" si="41"/>
        <v>-2486.3000000000002</v>
      </c>
      <c r="T39" s="260">
        <f t="shared" si="41"/>
        <v>-55.999999999999567</v>
      </c>
      <c r="U39" s="260">
        <f t="shared" si="41"/>
        <v>-735.90000000000089</v>
      </c>
      <c r="V39" s="260">
        <f t="shared" si="41"/>
        <v>-359.20000000000118</v>
      </c>
      <c r="W39" s="261">
        <f>W37+W27+W22+W38</f>
        <v>-3637.4000000000005</v>
      </c>
      <c r="X39" s="260">
        <f>X37+X27+X22+X38</f>
        <v>368.10000000000014</v>
      </c>
      <c r="Y39" s="260">
        <f t="shared" si="41"/>
        <v>-114.70000000000005</v>
      </c>
      <c r="Z39" s="260">
        <f t="shared" si="41"/>
        <v>-354.34191667592381</v>
      </c>
      <c r="AA39" s="260">
        <f t="shared" si="41"/>
        <v>334.03649174137581</v>
      </c>
      <c r="AB39" s="261">
        <f t="shared" si="41"/>
        <v>233.09457506545186</v>
      </c>
      <c r="AC39" s="260">
        <f t="shared" si="41"/>
        <v>520.37972185799435</v>
      </c>
      <c r="AD39" s="260">
        <f t="shared" si="41"/>
        <v>-247.25962458004142</v>
      </c>
      <c r="AE39" s="260">
        <f t="shared" si="41"/>
        <v>21.692712030249595</v>
      </c>
      <c r="AF39" s="260">
        <f t="shared" si="41"/>
        <v>316.59282336106207</v>
      </c>
      <c r="AG39" s="261">
        <f t="shared" si="41"/>
        <v>611.40563266926529</v>
      </c>
      <c r="AH39" s="260">
        <f t="shared" si="41"/>
        <v>643.43182357814931</v>
      </c>
      <c r="AI39" s="260">
        <f t="shared" si="41"/>
        <v>-27.944724293101672</v>
      </c>
      <c r="AJ39" s="260">
        <f t="shared" si="41"/>
        <v>861.63089471670492</v>
      </c>
      <c r="AK39" s="260">
        <f t="shared" si="41"/>
        <v>-4780.7497167773363</v>
      </c>
      <c r="AL39" s="261">
        <f t="shared" si="41"/>
        <v>-3303.6317227755844</v>
      </c>
      <c r="AM39" s="260">
        <f t="shared" si="41"/>
        <v>645.97991982040639</v>
      </c>
      <c r="AN39" s="260">
        <f t="shared" si="41"/>
        <v>-1001.900335479583</v>
      </c>
      <c r="AO39" s="260">
        <f t="shared" si="41"/>
        <v>4.1716762178757563</v>
      </c>
      <c r="AP39" s="260">
        <f t="shared" si="41"/>
        <v>611.31571401882229</v>
      </c>
      <c r="AQ39" s="261">
        <f t="shared" si="41"/>
        <v>259.56697457752125</v>
      </c>
      <c r="AR39" s="260">
        <f t="shared" si="41"/>
        <v>849.07900858754306</v>
      </c>
      <c r="AS39" s="260">
        <f t="shared" si="41"/>
        <v>-12.614516343063315</v>
      </c>
      <c r="AT39" s="260">
        <f t="shared" si="41"/>
        <v>152.6064828243143</v>
      </c>
      <c r="AU39" s="260">
        <f t="shared" si="41"/>
        <v>660.8419352569174</v>
      </c>
      <c r="AV39" s="261">
        <f t="shared" si="41"/>
        <v>1649.912910325711</v>
      </c>
    </row>
    <row r="40" spans="2:48" ht="16.2" outlineLevel="1" x14ac:dyDescent="0.45">
      <c r="B40" s="580" t="s">
        <v>297</v>
      </c>
      <c r="C40" s="581"/>
      <c r="D40" s="260">
        <v>8756.2999999999993</v>
      </c>
      <c r="E40" s="260">
        <f>D41</f>
        <v>4761.6000000000004</v>
      </c>
      <c r="F40" s="260">
        <f>E41</f>
        <v>2055.1000000000004</v>
      </c>
      <c r="G40" s="260">
        <f>F41</f>
        <v>4763.4000000000015</v>
      </c>
      <c r="H40" s="261">
        <f>D40</f>
        <v>8756.2999999999993</v>
      </c>
      <c r="I40" s="112">
        <f>H41</f>
        <v>2686.5000000000055</v>
      </c>
      <c r="J40" s="260">
        <f>I41</f>
        <v>3040.5000000000036</v>
      </c>
      <c r="K40" s="260">
        <f>J41</f>
        <v>2572.3000000000029</v>
      </c>
      <c r="L40" s="260">
        <f>K41</f>
        <v>3965.9000000000042</v>
      </c>
      <c r="M40" s="261">
        <f>H41</f>
        <v>2686.5000000000055</v>
      </c>
      <c r="N40" s="260">
        <f>+M41</f>
        <v>4350.8000000000102</v>
      </c>
      <c r="O40" s="260">
        <f>N41</f>
        <v>5028.00000000001</v>
      </c>
      <c r="P40" s="260">
        <f>O41</f>
        <v>3880.6000000000104</v>
      </c>
      <c r="Q40" s="260">
        <f>P41</f>
        <v>4753.1000000000095</v>
      </c>
      <c r="R40" s="261">
        <f>M41</f>
        <v>4350.8000000000102</v>
      </c>
      <c r="S40" s="260">
        <f>+R41</f>
        <v>6455.700000000008</v>
      </c>
      <c r="T40" s="260">
        <f>S41</f>
        <v>3969.4000000000078</v>
      </c>
      <c r="U40" s="260">
        <f>T41</f>
        <v>3913.4000000000083</v>
      </c>
      <c r="V40" s="260">
        <f>U41</f>
        <v>3177.5000000000073</v>
      </c>
      <c r="W40" s="261">
        <f>R41</f>
        <v>6455.700000000008</v>
      </c>
      <c r="X40" s="260">
        <f>+W41</f>
        <v>2818.3000000000075</v>
      </c>
      <c r="Y40" s="260">
        <f>X41</f>
        <v>3186.4000000000078</v>
      </c>
      <c r="Z40" s="260">
        <f>Y41</f>
        <v>3071.700000000008</v>
      </c>
      <c r="AA40" s="260">
        <f>Z41</f>
        <v>2717.358083324084</v>
      </c>
      <c r="AB40" s="261">
        <f>W41</f>
        <v>2818.3000000000075</v>
      </c>
      <c r="AC40" s="260">
        <f>+AB41</f>
        <v>3051.3945750654593</v>
      </c>
      <c r="AD40" s="260">
        <f>AC41</f>
        <v>3571.7742969234537</v>
      </c>
      <c r="AE40" s="260">
        <f>AD41</f>
        <v>3324.5146723434123</v>
      </c>
      <c r="AF40" s="260">
        <f>AE41</f>
        <v>3346.2073843736616</v>
      </c>
      <c r="AG40" s="261">
        <f>AB41</f>
        <v>3051.3945750654593</v>
      </c>
      <c r="AH40" s="260">
        <f>+AG41</f>
        <v>3662.8002077347246</v>
      </c>
      <c r="AI40" s="260">
        <f>AH41</f>
        <v>4306.2320313128739</v>
      </c>
      <c r="AJ40" s="260">
        <f>AI41</f>
        <v>4278.287307019772</v>
      </c>
      <c r="AK40" s="260">
        <f>AJ41</f>
        <v>5139.9182017364765</v>
      </c>
      <c r="AL40" s="261">
        <f>AG41</f>
        <v>3662.8002077347246</v>
      </c>
      <c r="AM40" s="260">
        <f>+AL41</f>
        <v>359.16848495914019</v>
      </c>
      <c r="AN40" s="260">
        <f>AM41</f>
        <v>1005.1484047795466</v>
      </c>
      <c r="AO40" s="260">
        <f>AN41</f>
        <v>3.2480692999636176</v>
      </c>
      <c r="AP40" s="260">
        <f>AO41</f>
        <v>7.4197455178393739</v>
      </c>
      <c r="AQ40" s="261">
        <f>AL41</f>
        <v>359.16848495914019</v>
      </c>
      <c r="AR40" s="260">
        <f>+AQ41</f>
        <v>618.73545953666144</v>
      </c>
      <c r="AS40" s="260">
        <f>AR41</f>
        <v>1467.8144681242045</v>
      </c>
      <c r="AT40" s="260">
        <f>AS41</f>
        <v>1455.1999517811412</v>
      </c>
      <c r="AU40" s="260">
        <f>AT41</f>
        <v>1607.8064346054555</v>
      </c>
      <c r="AV40" s="261">
        <f>AQ41</f>
        <v>618.73545953666144</v>
      </c>
    </row>
    <row r="41" spans="2:48" outlineLevel="1" x14ac:dyDescent="0.3">
      <c r="B41" s="629" t="s">
        <v>298</v>
      </c>
      <c r="C41" s="630"/>
      <c r="D41" s="116">
        <f>+D40+D39+0.1</f>
        <v>4761.6000000000004</v>
      </c>
      <c r="E41" s="116">
        <f>+E40+E39</f>
        <v>2055.1000000000004</v>
      </c>
      <c r="F41" s="116">
        <f>+F40+F39</f>
        <v>4763.4000000000015</v>
      </c>
      <c r="G41" s="116">
        <f>+G40+G39</f>
        <v>2686.6000000000022</v>
      </c>
      <c r="H41" s="150">
        <f>+D40+H39</f>
        <v>2686.5000000000055</v>
      </c>
      <c r="I41" s="116">
        <f>+I40+I39+0.1</f>
        <v>3040.5000000000036</v>
      </c>
      <c r="J41" s="116">
        <f>+J40+J39</f>
        <v>2572.3000000000029</v>
      </c>
      <c r="K41" s="116">
        <f>+K40+K39</f>
        <v>3965.9000000000042</v>
      </c>
      <c r="L41" s="21">
        <f>+L40+L39</f>
        <v>4350.900000000006</v>
      </c>
      <c r="M41" s="22">
        <f>+I40+M39</f>
        <v>4350.8000000000102</v>
      </c>
      <c r="N41" s="21">
        <f>+N40+N39</f>
        <v>5028.00000000001</v>
      </c>
      <c r="O41" s="21">
        <f>+O40+O39</f>
        <v>3880.6000000000104</v>
      </c>
      <c r="P41" s="21">
        <f>+P40+P39</f>
        <v>4753.1000000000095</v>
      </c>
      <c r="Q41" s="21">
        <f>+Q40+Q39</f>
        <v>6455.7000000000089</v>
      </c>
      <c r="R41" s="22">
        <f>+N40+R39</f>
        <v>6455.700000000008</v>
      </c>
      <c r="S41" s="21">
        <f>+S40+S39</f>
        <v>3969.4000000000078</v>
      </c>
      <c r="T41" s="21">
        <f>+T40+T39</f>
        <v>3913.4000000000083</v>
      </c>
      <c r="U41" s="21">
        <f>+U40+U39</f>
        <v>3177.5000000000073</v>
      </c>
      <c r="V41" s="21">
        <f>+V40+V39</f>
        <v>2818.3000000000061</v>
      </c>
      <c r="W41" s="22">
        <f>+S40+W39</f>
        <v>2818.3000000000075</v>
      </c>
      <c r="X41" s="21">
        <f>+X40+X39</f>
        <v>3186.4000000000078</v>
      </c>
      <c r="Y41" s="21">
        <f>+Y40+Y39</f>
        <v>3071.700000000008</v>
      </c>
      <c r="Z41" s="21">
        <f>+Z40+Z39</f>
        <v>2717.358083324084</v>
      </c>
      <c r="AA41" s="21">
        <f>+AA40+AA39</f>
        <v>3051.3945750654598</v>
      </c>
      <c r="AB41" s="22">
        <f>+X40+AB39</f>
        <v>3051.3945750654593</v>
      </c>
      <c r="AC41" s="21">
        <f>+AC40+AC39</f>
        <v>3571.7742969234537</v>
      </c>
      <c r="AD41" s="21">
        <f>+AD40+AD39</f>
        <v>3324.5146723434123</v>
      </c>
      <c r="AE41" s="21">
        <f>+AE40+AE39</f>
        <v>3346.2073843736616</v>
      </c>
      <c r="AF41" s="21">
        <f>+AF40+AF39</f>
        <v>3662.8002077347237</v>
      </c>
      <c r="AG41" s="22">
        <f>+AC40+AG39</f>
        <v>3662.8002077347246</v>
      </c>
      <c r="AH41" s="21">
        <f>+AH40+AH39</f>
        <v>4306.2320313128739</v>
      </c>
      <c r="AI41" s="21">
        <f>+AI40+AI39</f>
        <v>4278.287307019772</v>
      </c>
      <c r="AJ41" s="21">
        <f>+AJ40+AJ39</f>
        <v>5139.9182017364765</v>
      </c>
      <c r="AK41" s="21">
        <f>+AK40+AK39</f>
        <v>359.16848495914019</v>
      </c>
      <c r="AL41" s="22">
        <f>+AH40+AL39</f>
        <v>359.16848495914019</v>
      </c>
      <c r="AM41" s="21">
        <f>+AM40+AM39</f>
        <v>1005.1484047795466</v>
      </c>
      <c r="AN41" s="21">
        <f>+AN40+AN39</f>
        <v>3.2480692999636176</v>
      </c>
      <c r="AO41" s="21">
        <f>+AO40+AO39</f>
        <v>7.4197455178393739</v>
      </c>
      <c r="AP41" s="21">
        <f>+AP40+AP39</f>
        <v>618.73545953666166</v>
      </c>
      <c r="AQ41" s="22">
        <f>+AM40+AQ39</f>
        <v>618.73545953666144</v>
      </c>
      <c r="AR41" s="21">
        <f>+AR40+AR39</f>
        <v>1467.8144681242045</v>
      </c>
      <c r="AS41" s="21">
        <f>+AS40+AS39</f>
        <v>1455.1999517811412</v>
      </c>
      <c r="AT41" s="21">
        <f>+AT40+AT39</f>
        <v>1607.8064346054555</v>
      </c>
      <c r="AU41" s="21">
        <f>+AU40+AU39</f>
        <v>2268.6483698623729</v>
      </c>
      <c r="AV41" s="22">
        <f>+AR40+AV39</f>
        <v>2268.6483698623724</v>
      </c>
    </row>
    <row r="42" spans="2:48" s="23" customFormat="1" outlineLevel="1" x14ac:dyDescent="0.3">
      <c r="B42" s="631" t="s">
        <v>299</v>
      </c>
      <c r="C42" s="632"/>
      <c r="D42" s="321">
        <f>D22-(-D25)+((-'IS (Base)'!D22*(1-'Valuation (Base)'!$F$18)))</f>
        <v>2004.1110132158594</v>
      </c>
      <c r="E42" s="321">
        <f>E22-(-E25)+((-'IS (Base)'!E22*(1-'Valuation (Base)'!$F$18)))</f>
        <v>31.882185022026071</v>
      </c>
      <c r="F42" s="321">
        <f>F22-(-F25)+((-'IS (Base)'!F22*(1-'Valuation (Base)'!$F$18)))</f>
        <v>799.40068722467061</v>
      </c>
      <c r="G42" s="321">
        <f>G22-(-G25)+((-'IS (Base)'!G22*(1-'Valuation (Base)'!$F$18)))</f>
        <v>654.30805286343696</v>
      </c>
      <c r="H42" s="342">
        <f>SUM(D42:G42)</f>
        <v>3489.7019383259931</v>
      </c>
      <c r="I42" s="321">
        <f>I22-(-I25)+((-'IS (Base)'!I22*(1-'Valuation (Base)'!$F$18)))</f>
        <v>1511.0448281938311</v>
      </c>
      <c r="J42" s="321">
        <f>J22-(-J25)+((-'IS (Base)'!J22*(1-'Valuation (Base)'!$F$18)))</f>
        <v>-1650.5547665198246</v>
      </c>
      <c r="K42" s="321">
        <f>K22-(-K25)+((-'IS (Base)'!K22*(1-'Valuation (Base)'!$F$18)))</f>
        <v>-656.77959471365568</v>
      </c>
      <c r="L42" s="321">
        <f>L22-(-L25)+((-'IS (Base)'!L22*(1-'Valuation (Base)'!$F$18)))</f>
        <v>1239.6850220264332</v>
      </c>
      <c r="M42" s="342">
        <f>SUM(I42:L42)</f>
        <v>443.39548898678402</v>
      </c>
      <c r="N42" s="321">
        <f>N22-(-N25)+((-'IS (Base)'!N22*(1-'Valuation (Base)'!$F$18)))</f>
        <v>1602.4450572687226</v>
      </c>
      <c r="O42" s="321">
        <f>O22-(-O25)+((-'IS (Base)'!O22*(1-'Valuation (Base)'!$F$18)))</f>
        <v>646.75022026431725</v>
      </c>
      <c r="P42" s="321">
        <f>P22-(-P25)+((-'IS (Base)'!P22*(1-'Valuation (Base)'!$F$18)))</f>
        <v>1496.644651982378</v>
      </c>
      <c r="Q42" s="321">
        <f>Q22-(-Q25)+((-'IS (Base)'!Q22*(1-'Valuation (Base)'!$F$18)))</f>
        <v>1127.2697092511009</v>
      </c>
      <c r="R42" s="342">
        <f>SUM(N42:Q42)</f>
        <v>4873.1096387665193</v>
      </c>
      <c r="S42" s="321">
        <f>S22-(-S25)+((-'IS (Base)'!S22*(1-'Valuation (Base)'!$F$18)))</f>
        <v>1540.9762643171805</v>
      </c>
      <c r="T42" s="321">
        <f>T22-(-T25)+((-'IS (Base)'!T22*(1-'Valuation (Base)'!$F$18)))</f>
        <v>-203.46051101321564</v>
      </c>
      <c r="U42" s="321">
        <f>U22-(-U25)+((-'IS (Base)'!U22*(1-'Valuation (Base)'!$F$18)))</f>
        <v>934.05340969162899</v>
      </c>
      <c r="V42" s="321">
        <f>V22-(-V25)+((-'IS (Base)'!V22*(1-'Valuation (Base)'!$F$18)))</f>
        <v>648.11106607929423</v>
      </c>
      <c r="W42" s="342">
        <f>SUM(S42:V42)</f>
        <v>2919.6802290748878</v>
      </c>
      <c r="X42" s="321">
        <f>X22-(-X25)+((-'IS (Base)'!X22*(1-'Valuation (Base)'!$F$18)))</f>
        <v>1174.1263788546257</v>
      </c>
      <c r="Y42" s="321">
        <f>Y22-(-Y25)+((-'IS (Base)'!Y22*(1-'Valuation (Base)'!$F$18)))</f>
        <v>385.0993480176212</v>
      </c>
      <c r="Z42" s="321">
        <f>Z22-(-Z25)+((-'IS (Base)'!Z22*(1-'Valuation (Base)'!$F$18)))</f>
        <v>361.55089497630416</v>
      </c>
      <c r="AA42" s="321">
        <f>AA22-(-AA25)+((-'IS (Base)'!AA22*(1-'Valuation (Base)'!$F$18)))</f>
        <v>1220.0095544381729</v>
      </c>
      <c r="AB42" s="342">
        <f>SUM(X42:AA42)</f>
        <v>3140.7861762867242</v>
      </c>
      <c r="AC42" s="321">
        <f>AC22-(-AC25)+((-'IS (Base)'!AC22*(1-'Valuation (Base)'!$F$18)))</f>
        <v>1340.1959023253132</v>
      </c>
      <c r="AD42" s="321">
        <f>AD22-(-AD25)+((-'IS (Base)'!AD22*(1-'Valuation (Base)'!$F$18)))</f>
        <v>596.88077089292813</v>
      </c>
      <c r="AE42" s="321">
        <f>AE22-(-AE25)+((-'IS (Base)'!AE22*(1-'Valuation (Base)'!$F$18)))</f>
        <v>841.4351301890897</v>
      </c>
      <c r="AF42" s="321">
        <f>AF22-(-AF25)+((-'IS (Base)'!AF22*(1-'Valuation (Base)'!$F$18)))</f>
        <v>1183.3003495812707</v>
      </c>
      <c r="AG42" s="342">
        <f>SUM(AC42:AF42)</f>
        <v>3961.8121529886021</v>
      </c>
      <c r="AH42" s="321">
        <f>AH22-(-AH25)+((-'IS (Base)'!AH22*(1-'Valuation (Base)'!$F$18)))</f>
        <v>1533.745415528201</v>
      </c>
      <c r="AI42" s="321">
        <f>AI22-(-AI25)+((-'IS (Base)'!AI22*(1-'Valuation (Base)'!$F$18)))</f>
        <v>836.03017763521063</v>
      </c>
      <c r="AJ42" s="321">
        <f>AJ22-(-AJ25)+((-'IS (Base)'!AJ22*(1-'Valuation (Base)'!$F$18)))</f>
        <v>1008.0172280654258</v>
      </c>
      <c r="AK42" s="321">
        <f>AK22-(-AK25)+((-'IS (Base)'!AK22*(1-'Valuation (Base)'!$F$18)))</f>
        <v>1462.9386320432689</v>
      </c>
      <c r="AL42" s="342">
        <f>SUM(AH42:AK42)</f>
        <v>4840.7314532721057</v>
      </c>
      <c r="AM42" s="321">
        <f>AM22-(-AM25)+((-'IS (Base)'!AM22*(1-'Valuation (Base)'!$F$18)))</f>
        <v>1774.3193348455086</v>
      </c>
      <c r="AN42" s="321">
        <f>AN22-(-AN25)+((-'IS (Base)'!AN22*(1-'Valuation (Base)'!$F$18)))</f>
        <v>1054.292981897067</v>
      </c>
      <c r="AO42" s="321">
        <f>AO22-(-AO25)+((-'IS (Base)'!AO22*(1-'Valuation (Base)'!$F$18)))</f>
        <v>1094.2423044478096</v>
      </c>
      <c r="AP42" s="321">
        <f>AP22-(-AP25)+((-'IS (Base)'!AP22*(1-'Valuation (Base)'!$F$18)))</f>
        <v>1692.5104562707704</v>
      </c>
      <c r="AQ42" s="342">
        <f>SUM(AM42:AP42)</f>
        <v>5615.365077461156</v>
      </c>
      <c r="AR42" s="321">
        <f>AR22-(-AR25)+((-'IS (Base)'!AR22*(1-'Valuation (Base)'!$F$18)))</f>
        <v>1957.5218227644664</v>
      </c>
      <c r="AS42" s="321">
        <f>AS22-(-AS25)+((-'IS (Base)'!AS22*(1-'Valuation (Base)'!$F$18)))</f>
        <v>1056.5694217640978</v>
      </c>
      <c r="AT42" s="321">
        <f>AT22-(-AT25)+((-'IS (Base)'!AT22*(1-'Valuation (Base)'!$F$18)))</f>
        <v>1253.5320521398344</v>
      </c>
      <c r="AU42" s="321">
        <f>AU22-(-AU25)+((-'IS (Base)'!AU22*(1-'Valuation (Base)'!$F$18)))</f>
        <v>1760.1161194475383</v>
      </c>
      <c r="AV42" s="342">
        <f>SUM(AR42:AU42)</f>
        <v>6027.7394161159364</v>
      </c>
    </row>
    <row r="43" spans="2:48" s="23" customFormat="1" outlineLevel="1" x14ac:dyDescent="0.3">
      <c r="B43" s="325" t="s">
        <v>300</v>
      </c>
      <c r="C43" s="326"/>
      <c r="D43" s="327"/>
      <c r="E43" s="327"/>
      <c r="F43" s="343"/>
      <c r="G43" s="327"/>
      <c r="H43" s="328"/>
      <c r="I43" s="327"/>
      <c r="J43" s="327"/>
      <c r="K43" s="327"/>
      <c r="L43" s="327"/>
      <c r="M43" s="328"/>
      <c r="N43" s="327"/>
      <c r="O43" s="327"/>
      <c r="P43" s="327"/>
      <c r="Q43" s="327"/>
      <c r="R43" s="328"/>
      <c r="S43" s="327"/>
      <c r="T43" s="327"/>
      <c r="U43" s="327"/>
      <c r="V43" s="327"/>
      <c r="W43" s="328">
        <v>0</v>
      </c>
      <c r="X43" s="327"/>
      <c r="Y43" s="327"/>
      <c r="Z43" s="327"/>
      <c r="AA43" s="327"/>
      <c r="AB43" s="328">
        <f>1+W43</f>
        <v>1</v>
      </c>
      <c r="AC43" s="327"/>
      <c r="AD43" s="327"/>
      <c r="AE43" s="327"/>
      <c r="AF43" s="327"/>
      <c r="AG43" s="328">
        <f>1+AB43</f>
        <v>2</v>
      </c>
      <c r="AH43" s="327"/>
      <c r="AI43" s="327"/>
      <c r="AJ43" s="327"/>
      <c r="AK43" s="327"/>
      <c r="AL43" s="328">
        <f>1+AG43</f>
        <v>3</v>
      </c>
      <c r="AM43" s="327"/>
      <c r="AN43" s="327"/>
      <c r="AO43" s="327"/>
      <c r="AP43" s="327"/>
      <c r="AQ43" s="328">
        <f>1+AL43</f>
        <v>4</v>
      </c>
      <c r="AR43" s="327"/>
      <c r="AS43" s="327"/>
      <c r="AT43" s="327"/>
      <c r="AU43" s="327"/>
      <c r="AV43" s="328">
        <f>1+AQ43</f>
        <v>5</v>
      </c>
    </row>
    <row r="44" spans="2:48" s="23" customFormat="1" outlineLevel="1" x14ac:dyDescent="0.3">
      <c r="B44" s="633" t="s">
        <v>301</v>
      </c>
      <c r="C44" s="634"/>
      <c r="D44" s="344"/>
      <c r="E44" s="344"/>
      <c r="F44" s="344"/>
      <c r="G44" s="344"/>
      <c r="H44" s="345"/>
      <c r="I44" s="344"/>
      <c r="J44" s="344"/>
      <c r="K44" s="344"/>
      <c r="L44" s="344"/>
      <c r="M44" s="345"/>
      <c r="N44" s="344"/>
      <c r="O44" s="344"/>
      <c r="P44" s="344"/>
      <c r="Q44" s="344"/>
      <c r="R44" s="345"/>
      <c r="S44" s="344"/>
      <c r="T44" s="344"/>
      <c r="U44" s="344"/>
      <c r="V44" s="344"/>
      <c r="W44" s="345">
        <f>W42/(1+'Valuation (Base)'!$F$20)^W43</f>
        <v>2919.6802290748878</v>
      </c>
      <c r="X44" s="344"/>
      <c r="Y44" s="344"/>
      <c r="Z44" s="344"/>
      <c r="AA44" s="344"/>
      <c r="AB44" s="345">
        <f>AB42/(1+'Valuation (Base)'!$F$20)^AB43</f>
        <v>2865.6718141937295</v>
      </c>
      <c r="AC44" s="344"/>
      <c r="AD44" s="344"/>
      <c r="AE44" s="344"/>
      <c r="AF44" s="344"/>
      <c r="AG44" s="345">
        <f>AG42/(1+'Valuation (Base)'!$F$20)^AG43</f>
        <v>3298.1472591600022</v>
      </c>
      <c r="AH44" s="344"/>
      <c r="AI44" s="344"/>
      <c r="AJ44" s="344"/>
      <c r="AK44" s="344"/>
      <c r="AL44" s="345">
        <f>AL42/(1+'Valuation (Base)'!$F$20)^AL43</f>
        <v>3676.8442548030084</v>
      </c>
      <c r="AM44" s="344"/>
      <c r="AN44" s="344"/>
      <c r="AO44" s="344"/>
      <c r="AP44" s="344"/>
      <c r="AQ44" s="345">
        <f>AQ42/(1+'Valuation (Base)'!$F$20)^AQ43</f>
        <v>3891.6190635046073</v>
      </c>
      <c r="AR44" s="344"/>
      <c r="AS44" s="344"/>
      <c r="AT44" s="344"/>
      <c r="AU44" s="344"/>
      <c r="AV44" s="345">
        <f>AV42/(1+'Valuation (Base)'!$F$20)^AV43</f>
        <v>3811.4908009013448</v>
      </c>
    </row>
    <row r="45" spans="2:48" outlineLevel="1" x14ac:dyDescent="0.3">
      <c r="B45" s="250" t="s">
        <v>302</v>
      </c>
      <c r="C45" s="249"/>
      <c r="D45" s="334"/>
      <c r="E45" s="334"/>
      <c r="F45" s="334"/>
      <c r="G45" s="334"/>
      <c r="H45" s="335"/>
      <c r="I45" s="334"/>
      <c r="J45" s="334"/>
      <c r="K45" s="334"/>
      <c r="L45" s="334"/>
      <c r="M45" s="335"/>
      <c r="N45" s="334"/>
      <c r="O45" s="334"/>
      <c r="P45" s="334"/>
      <c r="Q45" s="334"/>
      <c r="R45" s="335"/>
      <c r="S45" s="334"/>
      <c r="T45" s="334"/>
      <c r="U45" s="334"/>
      <c r="V45" s="334"/>
      <c r="W45" s="335"/>
      <c r="X45" s="334"/>
      <c r="Y45" s="334"/>
      <c r="Z45" s="334"/>
      <c r="AA45" s="334"/>
      <c r="AB45" s="335"/>
      <c r="AC45" s="334"/>
      <c r="AD45" s="334"/>
      <c r="AE45" s="334"/>
      <c r="AF45" s="334"/>
      <c r="AG45" s="335"/>
      <c r="AH45" s="334"/>
      <c r="AI45" s="334"/>
      <c r="AJ45" s="334"/>
      <c r="AK45" s="334"/>
      <c r="AL45" s="335"/>
      <c r="AM45" s="334"/>
      <c r="AN45" s="334"/>
      <c r="AO45" s="334"/>
      <c r="AP45" s="334"/>
      <c r="AQ45" s="335"/>
      <c r="AR45" s="334"/>
      <c r="AS45" s="334"/>
      <c r="AT45" s="334"/>
      <c r="AU45" s="334"/>
      <c r="AV45" s="335"/>
    </row>
    <row r="46" spans="2:48" outlineLevel="1" x14ac:dyDescent="0.3">
      <c r="B46" s="200" t="s">
        <v>303</v>
      </c>
      <c r="C46" s="201"/>
      <c r="D46" s="16">
        <f>+'BS (Base)'!D6+'BS (Base)'!D7+'BS (Base)'!D12</f>
        <v>5256.8</v>
      </c>
      <c r="E46" s="16">
        <f>+'BS (Base)'!E6+'BS (Base)'!E7+'BS (Base)'!E12</f>
        <v>2383.6000000000004</v>
      </c>
      <c r="F46" s="16">
        <f>+'BS (Base)'!F6+'BS (Base)'!F7+'BS (Base)'!F12</f>
        <v>5058.1000000000022</v>
      </c>
      <c r="G46" s="16">
        <f>+'BS (Base)'!G6+'BS (Base)'!G7+'BS (Base)'!G12</f>
        <v>2977.1000000000022</v>
      </c>
      <c r="H46" s="17">
        <f>+'BS (Base)'!H6+'BS (Base)'!H7+'BS (Base)'!H12</f>
        <v>2977.1000000000022</v>
      </c>
      <c r="I46" s="16">
        <f>+'BS (Base)'!I6+'BS (Base)'!I7+'BS (Base)'!I12</f>
        <v>3308.7000000000039</v>
      </c>
      <c r="J46" s="16">
        <f>+'BS (Base)'!J6+'BS (Base)'!J7+'BS (Base)'!J12</f>
        <v>2824.0000000000032</v>
      </c>
      <c r="K46" s="16">
        <f>+'BS (Base)'!K6+'BS (Base)'!K7+'BS (Base)'!K12</f>
        <v>4419.2000000000035</v>
      </c>
      <c r="L46" s="16">
        <f>+'BS (Base)'!L6+'BS (Base)'!L7+'BS (Base)'!L12</f>
        <v>4838.2000000000062</v>
      </c>
      <c r="M46" s="17">
        <f>+'BS (Base)'!M6+'BS (Base)'!M7+'BS (Base)'!M12</f>
        <v>4838.2000000000062</v>
      </c>
      <c r="N46" s="16">
        <f>+'BS (Base)'!N6+'BS (Base)'!N7+'BS (Base)'!N12</f>
        <v>5454.4000000000096</v>
      </c>
      <c r="O46" s="16">
        <f>+'BS (Base)'!O6+'BS (Base)'!O7+'BS (Base)'!O12</f>
        <v>4288.4000000000106</v>
      </c>
      <c r="P46" s="16">
        <f>+'BS (Base)'!P6+'BS (Base)'!P7+'BS (Base)'!P12</f>
        <v>5192.6000000000095</v>
      </c>
      <c r="Q46" s="16">
        <f>+'BS (Base)'!Q6+'BS (Base)'!Q7+'BS (Base)'!Q12</f>
        <v>6899.6000000000085</v>
      </c>
      <c r="R46" s="17">
        <f>+'BS (Base)'!R6+'BS (Base)'!R7+'BS (Base)'!R12</f>
        <v>6899.6000000000085</v>
      </c>
      <c r="S46" s="16">
        <f>+'BS (Base)'!S6+'BS (Base)'!S7+'BS (Base)'!S12</f>
        <v>4356.4000000000078</v>
      </c>
      <c r="T46" s="16">
        <f>+'BS (Base)'!T6+'BS (Base)'!T7+'BS (Base)'!T12</f>
        <v>4281.1000000000085</v>
      </c>
      <c r="U46" s="16">
        <f>+'BS (Base)'!U6+'BS (Base)'!U7+'BS (Base)'!U12</f>
        <v>3546.9000000000074</v>
      </c>
      <c r="V46" s="16">
        <f>+'BS (Base)'!V6+'BS (Base)'!V7+'BS (Base)'!V12</f>
        <v>3461.900000000006</v>
      </c>
      <c r="W46" s="17">
        <f>+'BS (Base)'!W6+'BS (Base)'!W7+'BS (Base)'!W12</f>
        <v>3461.900000000006</v>
      </c>
      <c r="X46" s="16">
        <f>+'BS (Base)'!X6+'BS (Base)'!X7+'BS (Base)'!X12</f>
        <v>3593.9000000000078</v>
      </c>
      <c r="Y46" s="16">
        <f>+'BS (Base)'!Y6+'BS (Base)'!Y7+'BS (Base)'!Y12</f>
        <v>3702.3000000000079</v>
      </c>
      <c r="Z46" s="16">
        <f>+'BS (Base)'!Z6+'BS (Base)'!Z7+'BS (Base)'!Z12</f>
        <v>3245.6431543113722</v>
      </c>
      <c r="AA46" s="16">
        <f>+'BS (Base)'!AA6+'BS (Base)'!AA7+'BS (Base)'!AA12</f>
        <v>3620.5138845682445</v>
      </c>
      <c r="AB46" s="17">
        <f>+'BS (Base)'!AB6+'BS (Base)'!AB7+'BS (Base)'!AB12</f>
        <v>3620.5138845682445</v>
      </c>
      <c r="AC46" s="16">
        <f>+'BS (Base)'!AC6+'BS (Base)'!AC7+'BS (Base)'!AC12</f>
        <v>4131.9778089541205</v>
      </c>
      <c r="AD46" s="16">
        <f>+'BS (Base)'!AD6+'BS (Base)'!AD7+'BS (Base)'!AD12</f>
        <v>3915.6878720366976</v>
      </c>
      <c r="AE46" s="16">
        <f>+'BS (Base)'!AE6+'BS (Base)'!AE7+'BS (Base)'!AE12</f>
        <v>3929.9728699186844</v>
      </c>
      <c r="AF46" s="16">
        <f>+'BS (Base)'!AF6+'BS (Base)'!AF7+'BS (Base)'!AF12</f>
        <v>4258.5077209548226</v>
      </c>
      <c r="AG46" s="17">
        <f>+'BS (Base)'!AG6+'BS (Base)'!AG7+'BS (Base)'!AG12</f>
        <v>4258.5077209548226</v>
      </c>
      <c r="AH46" s="16">
        <f>+'BS (Base)'!AH6+'BS (Base)'!AH7+'BS (Base)'!AH12</f>
        <v>4920.4298671437282</v>
      </c>
      <c r="AI46" s="16">
        <f>+'BS (Base)'!AI6+'BS (Base)'!AI7+'BS (Base)'!AI12</f>
        <v>4899.5985467540331</v>
      </c>
      <c r="AJ46" s="16">
        <f>+'BS (Base)'!AJ6+'BS (Base)'!AJ7+'BS (Base)'!AJ12</f>
        <v>5789.6424733214535</v>
      </c>
      <c r="AK46" s="16">
        <f>+'BS (Base)'!AK6+'BS (Base)'!AK7+'BS (Base)'!AK12</f>
        <v>914.18672766911027</v>
      </c>
      <c r="AL46" s="17">
        <f>+'BS (Base)'!AL6+'BS (Base)'!AL7+'BS (Base)'!AL12</f>
        <v>914.18672766911027</v>
      </c>
      <c r="AM46" s="16">
        <f>+'BS (Base)'!AM6+'BS (Base)'!AM7+'BS (Base)'!AM12</f>
        <v>1579.2970198403334</v>
      </c>
      <c r="AN46" s="16">
        <f>+'BS (Base)'!AN6+'BS (Base)'!AN7+'BS (Base)'!AN12</f>
        <v>559.50986199205761</v>
      </c>
      <c r="AO46" s="16">
        <f>+'BS (Base)'!AO6+'BS (Base)'!AO7+'BS (Base)'!AO12</f>
        <v>579.599850202884</v>
      </c>
      <c r="AP46" s="16">
        <f>+'BS (Base)'!AP6+'BS (Base)'!AP7+'BS (Base)'!AP12</f>
        <v>1199.9367596011516</v>
      </c>
      <c r="AQ46" s="17">
        <f>+'BS (Base)'!AQ6+'BS (Base)'!AQ7+'BS (Base)'!AQ12</f>
        <v>1199.9367596011516</v>
      </c>
      <c r="AR46" s="16">
        <f>+'BS (Base)'!AR6+'BS (Base)'!AR7+'BS (Base)'!AR12</f>
        <v>2071.5990170727096</v>
      </c>
      <c r="AS46" s="16">
        <f>+'BS (Base)'!AS6+'BS (Base)'!AS7+'BS (Base)'!AS12</f>
        <v>2061.4829999647809</v>
      </c>
      <c r="AT46" s="16">
        <f>+'BS (Base)'!AT6+'BS (Base)'!AT7+'BS (Base)'!AT12</f>
        <v>2232.4110019860136</v>
      </c>
      <c r="AU46" s="16">
        <f>+'BS (Base)'!AU6+'BS (Base)'!AU7+'BS (Base)'!AU12</f>
        <v>2903.9378862093004</v>
      </c>
      <c r="AV46" s="17">
        <f>+'BS (Base)'!AV6+'BS (Base)'!AV7+'BS (Base)'!AV12</f>
        <v>2903.9378862093004</v>
      </c>
    </row>
    <row r="47" spans="2:48" outlineLevel="1" x14ac:dyDescent="0.3">
      <c r="B47" s="200" t="s">
        <v>304</v>
      </c>
      <c r="C47" s="201"/>
      <c r="D47" s="16">
        <f>'BS (Base)'!D28+'BS (Base)'!D31</f>
        <v>9130.7000000000007</v>
      </c>
      <c r="E47" s="16">
        <f>'BS (Base)'!E28+'BS (Base)'!E31</f>
        <v>9216.5</v>
      </c>
      <c r="F47" s="16">
        <f>'BS (Base)'!F28+'BS (Base)'!F31</f>
        <v>11159.1</v>
      </c>
      <c r="G47" s="16">
        <f>'BS (Base)'!G28+'BS (Base)'!G31</f>
        <v>11167</v>
      </c>
      <c r="H47" s="17">
        <f>'BS (Base)'!H28+'BS (Base)'!H31</f>
        <v>11167</v>
      </c>
      <c r="I47" s="16">
        <f>'BS (Base)'!I28+'BS (Base)'!I31</f>
        <v>11649.800000000001</v>
      </c>
      <c r="J47" s="16">
        <f>'BS (Base)'!J28+'BS (Base)'!J31</f>
        <v>14015.2</v>
      </c>
      <c r="K47" s="16">
        <f>'BS (Base)'!K28+'BS (Base)'!K31</f>
        <v>16831.7</v>
      </c>
      <c r="L47" s="16">
        <f>'BS (Base)'!L28+'BS (Base)'!L31</f>
        <v>16348.300000000001</v>
      </c>
      <c r="M47" s="17">
        <f>'BS (Base)'!M28+'BS (Base)'!M31</f>
        <v>16348.300000000001</v>
      </c>
      <c r="N47" s="16">
        <f>'BS (Base)'!N28+'BS (Base)'!N31</f>
        <v>15916.1</v>
      </c>
      <c r="O47" s="16">
        <f>'BS (Base)'!O28+'BS (Base)'!O31</f>
        <v>14648.599999999999</v>
      </c>
      <c r="P47" s="16">
        <f>'BS (Base)'!P28+'BS (Base)'!P31</f>
        <v>14618.1</v>
      </c>
      <c r="Q47" s="16">
        <f>'BS (Base)'!Q28+'BS (Base)'!Q31</f>
        <v>14615.8</v>
      </c>
      <c r="R47" s="17">
        <f>'BS (Base)'!R28+'BS (Base)'!R31</f>
        <v>14615.8</v>
      </c>
      <c r="S47" s="16">
        <f>'BS (Base)'!S28+'BS (Base)'!S31</f>
        <v>14785.599999999999</v>
      </c>
      <c r="T47" s="16">
        <f>'BS (Base)'!T28+'BS (Base)'!T31</f>
        <v>16013</v>
      </c>
      <c r="U47" s="16">
        <f>'BS (Base)'!U28+'BS (Base)'!U31</f>
        <v>15129.9</v>
      </c>
      <c r="V47" s="16">
        <f>'BS (Base)'!V28+'BS (Base)'!V31</f>
        <v>15043.9</v>
      </c>
      <c r="W47" s="17">
        <f>'BS (Base)'!W28+'BS (Base)'!W31</f>
        <v>15043.9</v>
      </c>
      <c r="X47" s="16">
        <f>'BS (Base)'!X28+'BS (Base)'!X31</f>
        <v>14926</v>
      </c>
      <c r="Y47" s="16">
        <f>'BS (Base)'!Y28+'BS (Base)'!Y31</f>
        <v>15486.3</v>
      </c>
      <c r="Z47" s="16">
        <f>'BS (Base)'!Z28+'BS (Base)'!Z31</f>
        <v>15486.3</v>
      </c>
      <c r="AA47" s="16">
        <f>'BS (Base)'!AA28+'BS (Base)'!AA31</f>
        <v>15486.3</v>
      </c>
      <c r="AB47" s="17">
        <f>'BS (Base)'!AB28+'BS (Base)'!AB31</f>
        <v>15486.3</v>
      </c>
      <c r="AC47" s="16">
        <f>'BS (Base)'!AC28+'BS (Base)'!AC31</f>
        <v>15486.3</v>
      </c>
      <c r="AD47" s="16">
        <f>'BS (Base)'!AD28+'BS (Base)'!AD31</f>
        <v>15486.3</v>
      </c>
      <c r="AE47" s="16">
        <f>'BS (Base)'!AE28+'BS (Base)'!AE31</f>
        <v>15486.3</v>
      </c>
      <c r="AF47" s="16">
        <f>'BS (Base)'!AF28+'BS (Base)'!AF31</f>
        <v>15486.3</v>
      </c>
      <c r="AG47" s="17">
        <f>'BS (Base)'!AG28+'BS (Base)'!AG31</f>
        <v>15486.3</v>
      </c>
      <c r="AH47" s="16">
        <f>'BS (Base)'!AH28+'BS (Base)'!AH31</f>
        <v>15486.3</v>
      </c>
      <c r="AI47" s="16">
        <f>'BS (Base)'!AI28+'BS (Base)'!AI31</f>
        <v>15486.3</v>
      </c>
      <c r="AJ47" s="16">
        <f>'BS (Base)'!AJ28+'BS (Base)'!AJ31</f>
        <v>21747.23448865148</v>
      </c>
      <c r="AK47" s="16">
        <f>'BS (Base)'!AK28+'BS (Base)'!AK31</f>
        <v>21747.23448865148</v>
      </c>
      <c r="AL47" s="17">
        <f>'BS (Base)'!AL28+'BS (Base)'!AL31</f>
        <v>21747.23448865148</v>
      </c>
      <c r="AM47" s="16">
        <f>'BS (Base)'!AM28+'BS (Base)'!AM31</f>
        <v>21747.23448865148</v>
      </c>
      <c r="AN47" s="16">
        <f>'BS (Base)'!AN28+'BS (Base)'!AN31</f>
        <v>20747.23448865148</v>
      </c>
      <c r="AO47" s="16">
        <f>'BS (Base)'!AO28+'BS (Base)'!AO31</f>
        <v>20747.23448865148</v>
      </c>
      <c r="AP47" s="16">
        <f>'BS (Base)'!AP28+'BS (Base)'!AP31</f>
        <v>20747.23448865148</v>
      </c>
      <c r="AQ47" s="17">
        <f>'BS (Base)'!AQ28+'BS (Base)'!AQ31</f>
        <v>20747.23448865148</v>
      </c>
      <c r="AR47" s="16">
        <f>'BS (Base)'!AR28+'BS (Base)'!AR31</f>
        <v>20747.23448865148</v>
      </c>
      <c r="AS47" s="16">
        <f>'BS (Base)'!AS28+'BS (Base)'!AS31</f>
        <v>20747.23448865148</v>
      </c>
      <c r="AT47" s="16">
        <f>'BS (Base)'!AT28+'BS (Base)'!AT31</f>
        <v>20747.23448865148</v>
      </c>
      <c r="AU47" s="16">
        <f>'BS (Base)'!AU28+'BS (Base)'!AU31</f>
        <v>20747.23448865148</v>
      </c>
      <c r="AV47" s="17">
        <f>'BS (Base)'!AV28+'BS (Base)'!AV31</f>
        <v>20747.23448865148</v>
      </c>
    </row>
    <row r="48" spans="2:48" outlineLevel="1" x14ac:dyDescent="0.3">
      <c r="B48" s="635" t="s">
        <v>305</v>
      </c>
      <c r="C48" s="636"/>
      <c r="D48" s="346">
        <f>(D46-D47)/'IS (Base)'!D31</f>
        <v>-3.0907132599329823</v>
      </c>
      <c r="E48" s="346">
        <f>(E46-E47)/'IS (Base)'!E31</f>
        <v>-5.4632605740785154</v>
      </c>
      <c r="F48" s="346">
        <f>(F46-F47)/'IS (Base)'!F31</f>
        <v>-4.9885527391659839</v>
      </c>
      <c r="G48" s="346">
        <f>(G46-G47)/'IS (Base)'!G31</f>
        <v>-6.6975821179389685</v>
      </c>
      <c r="H48" s="347">
        <f>(H46-H47)/'IS (Base)'!H31</f>
        <v>-6.6411774245864397</v>
      </c>
      <c r="I48" s="346">
        <f>(I46-I47)/'IS (Base)'!I31</f>
        <v>-7.0034424853064623</v>
      </c>
      <c r="J48" s="346">
        <f>(J46-J47)/'IS (Base)'!J31</f>
        <v>-9.4784449902600123</v>
      </c>
      <c r="K48" s="346">
        <f>(K46-K47)/'IS (Base)'!K31</f>
        <v>-10.62259306803594</v>
      </c>
      <c r="L48" s="346">
        <f>(L46-L47)/'IS (Base)'!L31</f>
        <v>-9.7625954198473242</v>
      </c>
      <c r="M48" s="347">
        <f>(M46-M47)/'IS (Base)'!M31</f>
        <v>-9.6019593007244595</v>
      </c>
      <c r="N48" s="346">
        <f>(N46-N47)/'IS (Base)'!N31</f>
        <v>-8.8433643279797032</v>
      </c>
      <c r="O48" s="346">
        <f>(O46-O47)/'IS (Base)'!O31</f>
        <v>-8.7442606347062704</v>
      </c>
      <c r="P48" s="346">
        <f>(P46-P47)/'IS (Base)'!P31</f>
        <v>-7.9459618951272892</v>
      </c>
      <c r="Q48" s="346">
        <f>(Q46-Q47)/'IS (Base)'!Q31</f>
        <v>-6.4956646182338496</v>
      </c>
      <c r="R48" s="347">
        <f>(R46-R47)/'IS (Base)'!R31</f>
        <v>-6.504862503325251</v>
      </c>
      <c r="S48" s="346">
        <f>(S46-S47)/'IS (Base)'!S31</f>
        <v>-8.8638449770525156</v>
      </c>
      <c r="T48" s="346">
        <f>(T46-T47)/'IS (Base)'!T31</f>
        <v>-10.167172198630722</v>
      </c>
      <c r="U48" s="346">
        <f>(U46-U47)/'IS (Base)'!U31</f>
        <v>-10.06342311033883</v>
      </c>
      <c r="V48" s="346">
        <f>(V46-V47)/'IS (Base)'!V31</f>
        <v>-10.049457700650754</v>
      </c>
      <c r="W48" s="347">
        <f>(W46-W47)/'IS (Base)'!W31</f>
        <v>-9.9985955103363526</v>
      </c>
      <c r="X48" s="346">
        <f>(X46-X47)/'IS (Base)'!X31</f>
        <v>-9.8292132882296741</v>
      </c>
      <c r="Y48" s="346">
        <f>(Y46-Y47)/'IS (Base)'!Y31</f>
        <v>-10.222954801769749</v>
      </c>
      <c r="Z48" s="346">
        <f>(Z46-Z47)/'IS (Base)'!Z31</f>
        <v>-10.617711044688214</v>
      </c>
      <c r="AA48" s="346">
        <f>(AA46-AA47)/'IS (Base)'!AA31</f>
        <v>-10.29117863972604</v>
      </c>
      <c r="AB48" s="347">
        <f>(AB46-AB47)/'IS (Base)'!AB31</f>
        <v>-10.292374695443543</v>
      </c>
      <c r="AC48" s="346">
        <f>(AC46-AC47)/'IS (Base)'!AC31</f>
        <v>-9.8453186106833321</v>
      </c>
      <c r="AD48" s="346">
        <f>(AD46-AD47)/'IS (Base)'!AD31</f>
        <v>-10.030550765517791</v>
      </c>
      <c r="AE48" s="346">
        <f>(AE46-AE47)/'IS (Base)'!AE31</f>
        <v>-10.015856148564216</v>
      </c>
      <c r="AF48" s="346">
        <f>(AF46-AF47)/'IS (Base)'!AF31</f>
        <v>-9.7288688728997634</v>
      </c>
      <c r="AG48" s="347">
        <f>(AG46-AG47)/'IS (Base)'!AG31</f>
        <v>-9.7320966076583098</v>
      </c>
      <c r="AH48" s="346">
        <f>(AH46-AH47)/'IS (Base)'!AH31</f>
        <v>-9.152863877568187</v>
      </c>
      <c r="AI48" s="346">
        <f>(AI46-AI47)/'IS (Base)'!AI31</f>
        <v>-9.1684531612478235</v>
      </c>
      <c r="AJ48" s="346">
        <f>(AJ46-AJ47)/'IS (Base)'!AJ31</f>
        <v>-14.394555799397699</v>
      </c>
      <c r="AK48" s="346">
        <f>(AK46-AK47)/'IS (Base)'!AK31</f>
        <v>-19.608745943661415</v>
      </c>
      <c r="AL48" s="347">
        <f>(AL46-AL47)/'IS (Base)'!AL31</f>
        <v>-18.633140056093087</v>
      </c>
      <c r="AM48" s="346">
        <f>(AM46-AM47)/'IS (Base)'!AM31</f>
        <v>-18.999975932267027</v>
      </c>
      <c r="AN48" s="346">
        <f>(AN46-AN47)/'IS (Base)'!AN31</f>
        <v>-19.035936398279819</v>
      </c>
      <c r="AO48" s="346">
        <f>(AO46-AO47)/'IS (Base)'!AO31</f>
        <v>-19.034343494759579</v>
      </c>
      <c r="AP48" s="346">
        <f>(AP46-AP47)/'IS (Base)'!AP31</f>
        <v>-18.465730278921573</v>
      </c>
      <c r="AQ48" s="347">
        <f>(AQ46-AQ47)/'IS (Base)'!AQ31</f>
        <v>-18.441626009525475</v>
      </c>
      <c r="AR48" s="346">
        <f>(AR46-AR47)/'IS (Base)'!AR31</f>
        <v>-17.657792483546263</v>
      </c>
      <c r="AS48" s="346">
        <f>(AS46-AS47)/'IS (Base)'!AS31</f>
        <v>-17.68290305886805</v>
      </c>
      <c r="AT48" s="346">
        <f>(AT46-AT47)/'IS (Base)'!AT31</f>
        <v>-17.536594880394226</v>
      </c>
      <c r="AU48" s="346">
        <f>(AU46-AU47)/'IS (Base)'!AU31</f>
        <v>-16.91547526978308</v>
      </c>
      <c r="AV48" s="347">
        <f>(AV46-AV47)/'IS (Base)'!AV31</f>
        <v>-16.894114279488143</v>
      </c>
    </row>
    <row r="49" spans="2:48" x14ac:dyDescent="0.3">
      <c r="B49" s="637"/>
      <c r="C49" s="637"/>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583" t="s">
        <v>306</v>
      </c>
      <c r="C50" s="584"/>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3" t="s">
        <v>407</v>
      </c>
      <c r="Y50" s="13" t="s">
        <v>451</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85"/>
      <c r="C51" s="586"/>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4" t="s">
        <v>408</v>
      </c>
      <c r="Y51" s="14" t="s">
        <v>452</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601" t="s">
        <v>307</v>
      </c>
      <c r="C52" s="602"/>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D12/'IS (Base)'!D8</f>
        <v>1.4669742337208073E-2</v>
      </c>
      <c r="E53" s="281">
        <f>E12/'IS (Base)'!E8</f>
        <v>1.5033540018078308E-2</v>
      </c>
      <c r="F53" s="113">
        <f>F12/'IS (Base)'!F8</f>
        <v>9.2774439396160081E-3</v>
      </c>
      <c r="G53" s="113">
        <f>G12/'IS (Base)'!G8</f>
        <v>7.7960575070401619E-3</v>
      </c>
      <c r="H53" s="125">
        <f>H12/'IS (Base)'!H8</f>
        <v>1.1618870857004896E-2</v>
      </c>
      <c r="I53" s="113">
        <f>I12/'IS (Base)'!I8</f>
        <v>1.2723506784461259E-2</v>
      </c>
      <c r="J53" s="113">
        <f>J12/'IS (Base)'!J8</f>
        <v>9.3900628783961833E-3</v>
      </c>
      <c r="K53" s="113">
        <f>K12/'IS (Base)'!K8</f>
        <v>9.8055470026763899E-3</v>
      </c>
      <c r="L53" s="113">
        <f>L12/'IS (Base)'!L8</f>
        <v>9.7693088939401224E-3</v>
      </c>
      <c r="M53" s="282">
        <f>M12/'IS (Base)'!M8</f>
        <v>1.0570626753975675E-2</v>
      </c>
      <c r="N53" s="113">
        <f>N12/'IS (Base)'!N8</f>
        <v>1.4712418881678371E-2</v>
      </c>
      <c r="O53" s="113">
        <f>O12/'IS (Base)'!O8</f>
        <v>1.1397720455908821E-2</v>
      </c>
      <c r="P53" s="113">
        <f>P12/'IS (Base)'!P8</f>
        <v>1.0671646768491964E-2</v>
      </c>
      <c r="Q53" s="113">
        <f>Q12/'IS (Base)'!Q8</f>
        <v>7.8313918519155035E-3</v>
      </c>
      <c r="R53" s="282">
        <f>R12/'IS (Base)'!R8</f>
        <v>1.0980502811366593E-2</v>
      </c>
      <c r="S53" s="113">
        <f>S12/'IS (Base)'!S8</f>
        <v>1.1900029812183245E-2</v>
      </c>
      <c r="T53" s="113">
        <f>T12/'IS (Base)'!T8</f>
        <v>6.9935564985069932E-3</v>
      </c>
      <c r="U53" s="113">
        <f>U12/'IS (Base)'!U8</f>
        <v>7.0428583698359517E-3</v>
      </c>
      <c r="V53" s="113">
        <f>V12/'IS (Base)'!V8</f>
        <v>7.7131515770958682E-3</v>
      </c>
      <c r="W53" s="282"/>
      <c r="X53" s="113">
        <f>X12/'IS (Base)'!X8</f>
        <v>9.7774819541192812E-3</v>
      </c>
      <c r="Y53" s="113">
        <f>Y12/'IS (Base)'!Y8</f>
        <v>8.4979013280121127E-3</v>
      </c>
      <c r="Z53" s="35">
        <f>AVERAGE(Y53,X53,V53,U53)</f>
        <v>8.257848307265803E-3</v>
      </c>
      <c r="AA53" s="35">
        <f>AVERAGE(Z53,Y53,X53,V53)</f>
        <v>8.5615957916232652E-3</v>
      </c>
      <c r="AB53" s="282"/>
      <c r="AC53" s="35">
        <f>AVERAGE(AA53,Z53,Y53,X53)</f>
        <v>8.7737068452551151E-3</v>
      </c>
      <c r="AD53" s="35">
        <f>AVERAGE(AC53,AA53,Z53,Y53)</f>
        <v>8.5227630680390735E-3</v>
      </c>
      <c r="AE53" s="35">
        <f>AVERAGE(AD53,AC53,AA53,Z53)</f>
        <v>8.5289785030458146E-3</v>
      </c>
      <c r="AF53" s="35">
        <f>AVERAGE(AE53,AD53,AC53,AA53)</f>
        <v>8.5967610519908175E-3</v>
      </c>
      <c r="AG53" s="282"/>
      <c r="AH53" s="35">
        <f>AVERAGE(AF53,AE53,AD53,AC53)</f>
        <v>8.6055523670827052E-3</v>
      </c>
      <c r="AI53" s="35">
        <f>AVERAGE(AH53,AF53,AE53,AD53)</f>
        <v>8.5635137475396014E-3</v>
      </c>
      <c r="AJ53" s="35">
        <f>AVERAGE(AI53,AH53,AF53,AE53)</f>
        <v>8.5737014174147343E-3</v>
      </c>
      <c r="AK53" s="35">
        <f>AVERAGE(AJ53,AI53,AH53,AF53)</f>
        <v>8.5848821460069637E-3</v>
      </c>
      <c r="AL53" s="282"/>
      <c r="AM53" s="35">
        <f>AVERAGE(AK53,AJ53,AI53,AH53)</f>
        <v>8.5819124195110012E-3</v>
      </c>
      <c r="AN53" s="35">
        <f>AVERAGE(AM53,AK53,AJ53,AI53)</f>
        <v>8.576002432618076E-3</v>
      </c>
      <c r="AO53" s="35">
        <f>AVERAGE(AN53,AM53,AK53,AJ53)</f>
        <v>8.5791246038876938E-3</v>
      </c>
      <c r="AP53" s="35">
        <f>AVERAGE(AO53,AN53,AM53,AK53)</f>
        <v>8.5804804005059337E-3</v>
      </c>
      <c r="AQ53" s="282"/>
      <c r="AR53" s="35">
        <f>AVERAGE(AP53,AO53,AN53,AM53)</f>
        <v>8.5793799641306762E-3</v>
      </c>
      <c r="AS53" s="35">
        <f>AVERAGE(AR53,AP53,AO53,AN53)</f>
        <v>8.5787468502855953E-3</v>
      </c>
      <c r="AT53" s="35">
        <f>AVERAGE(AS53,AR53,AP53,AO53)</f>
        <v>8.5794329547024747E-3</v>
      </c>
      <c r="AU53" s="35">
        <f>AVERAGE(AT53,AS53,AR53,AP53)</f>
        <v>8.5795100424061708E-3</v>
      </c>
      <c r="AV53" s="282"/>
    </row>
    <row r="54" spans="2:48" s="23" customFormat="1" outlineLevel="1" x14ac:dyDescent="0.3">
      <c r="B54" s="200" t="s">
        <v>309</v>
      </c>
      <c r="C54" s="201"/>
      <c r="D54" s="351">
        <f t="shared" ref="D54:V54" si="42">+D10/-D9</f>
        <v>1.1581818181818182</v>
      </c>
      <c r="E54" s="351">
        <f t="shared" si="42"/>
        <v>0.55639097744360888</v>
      </c>
      <c r="F54" s="113">
        <f t="shared" si="42"/>
        <v>1.0682852807283763</v>
      </c>
      <c r="G54" s="113">
        <f t="shared" si="42"/>
        <v>0.69411764705882406</v>
      </c>
      <c r="H54" s="125">
        <f t="shared" si="42"/>
        <v>0.86512370311252995</v>
      </c>
      <c r="I54" s="113">
        <f t="shared" si="42"/>
        <v>1.0222575516693164</v>
      </c>
      <c r="J54" s="113">
        <f t="shared" si="42"/>
        <v>0.63295880149812733</v>
      </c>
      <c r="K54" s="113">
        <f t="shared" si="42"/>
        <v>1.0227272727272729</v>
      </c>
      <c r="L54" s="113">
        <f t="shared" si="42"/>
        <v>0.63109756097560987</v>
      </c>
      <c r="M54" s="282">
        <f t="shared" si="42"/>
        <v>0.81118631991449952</v>
      </c>
      <c r="N54" s="113">
        <f t="shared" si="42"/>
        <v>1.1188405797101451</v>
      </c>
      <c r="O54" s="113">
        <f t="shared" si="42"/>
        <v>0.85072231139646837</v>
      </c>
      <c r="P54" s="113">
        <f t="shared" si="42"/>
        <v>0.9018691588785045</v>
      </c>
      <c r="Q54" s="113">
        <f t="shared" si="42"/>
        <v>1.0027522935779816</v>
      </c>
      <c r="R54" s="282">
        <f t="shared" si="42"/>
        <v>0.96746328822343797</v>
      </c>
      <c r="S54" s="113">
        <f t="shared" si="42"/>
        <v>0.96351931330472096</v>
      </c>
      <c r="T54" s="113">
        <f t="shared" si="42"/>
        <v>0.77531206657420249</v>
      </c>
      <c r="U54" s="113">
        <f t="shared" si="42"/>
        <v>0.80106571936056836</v>
      </c>
      <c r="V54" s="113">
        <f t="shared" si="42"/>
        <v>0.91035218783351113</v>
      </c>
      <c r="W54" s="282"/>
      <c r="X54" s="113">
        <f t="shared" ref="X54:Y54" si="43">+X10/-X9</f>
        <v>0.80316344463971889</v>
      </c>
      <c r="Y54" s="113">
        <f t="shared" si="43"/>
        <v>0.79811320754716963</v>
      </c>
      <c r="Z54" s="35">
        <v>1</v>
      </c>
      <c r="AA54" s="35">
        <v>1</v>
      </c>
      <c r="AB54" s="282"/>
      <c r="AC54" s="35">
        <v>1</v>
      </c>
      <c r="AD54" s="35">
        <v>1</v>
      </c>
      <c r="AE54" s="35">
        <v>1</v>
      </c>
      <c r="AF54" s="35">
        <v>1</v>
      </c>
      <c r="AG54" s="282"/>
      <c r="AH54" s="35">
        <v>1</v>
      </c>
      <c r="AI54" s="35">
        <v>1</v>
      </c>
      <c r="AJ54" s="35">
        <v>1</v>
      </c>
      <c r="AK54" s="35">
        <v>1</v>
      </c>
      <c r="AL54" s="282"/>
      <c r="AM54" s="35">
        <v>1</v>
      </c>
      <c r="AN54" s="35">
        <v>1</v>
      </c>
      <c r="AO54" s="35">
        <v>1</v>
      </c>
      <c r="AP54" s="35">
        <v>1</v>
      </c>
      <c r="AQ54" s="282"/>
      <c r="AR54" s="35">
        <v>1</v>
      </c>
      <c r="AS54" s="35">
        <v>1</v>
      </c>
      <c r="AT54" s="35">
        <v>1</v>
      </c>
      <c r="AU54" s="35">
        <v>1</v>
      </c>
      <c r="AV54" s="282"/>
    </row>
    <row r="55" spans="2:48" s="23" customFormat="1" outlineLevel="1" x14ac:dyDescent="0.3">
      <c r="B55" s="580" t="s">
        <v>310</v>
      </c>
      <c r="C55" s="581"/>
      <c r="D55" s="352"/>
      <c r="E55" s="352"/>
      <c r="F55" s="352"/>
      <c r="G55" s="352"/>
      <c r="H55" s="353"/>
      <c r="I55" s="352">
        <f t="shared" ref="I55:AV55" si="44">I22/D22-1</f>
        <v>-0.22820512820512895</v>
      </c>
      <c r="J55" s="352">
        <f t="shared" si="44"/>
        <v>-4.4869364754098413</v>
      </c>
      <c r="K55" s="352">
        <f t="shared" si="44"/>
        <v>-1.314434752864716</v>
      </c>
      <c r="L55" s="352">
        <f t="shared" si="44"/>
        <v>0.34527569713924766</v>
      </c>
      <c r="M55" s="353">
        <f t="shared" si="44"/>
        <v>-0.68340961778517451</v>
      </c>
      <c r="N55" s="352">
        <f t="shared" si="44"/>
        <v>-2.1785305811139466E-4</v>
      </c>
      <c r="O55" s="352">
        <f t="shared" si="44"/>
        <v>-1.649232351428781</v>
      </c>
      <c r="P55" s="352">
        <f t="shared" si="44"/>
        <v>-5.7565950503127619</v>
      </c>
      <c r="Q55" s="352">
        <f t="shared" si="44"/>
        <v>2.012477359629572E-2</v>
      </c>
      <c r="R55" s="353">
        <f t="shared" si="44"/>
        <v>2.7484040555764064</v>
      </c>
      <c r="S55" s="352">
        <f t="shared" si="44"/>
        <v>1.9175246499972598E-2</v>
      </c>
      <c r="T55" s="352">
        <f t="shared" si="44"/>
        <v>-0.81681375876895213</v>
      </c>
      <c r="U55" s="352">
        <f t="shared" si="44"/>
        <v>-0.27684391080617499</v>
      </c>
      <c r="V55" s="352">
        <f t="shared" si="44"/>
        <v>-0.27691194844479561</v>
      </c>
      <c r="W55" s="353">
        <f t="shared" si="44"/>
        <v>-0.26581179456354764</v>
      </c>
      <c r="X55" s="352">
        <f t="shared" si="44"/>
        <v>-0.14843123630338328</v>
      </c>
      <c r="Y55" s="352">
        <f t="shared" si="44"/>
        <v>3.7411982705373639</v>
      </c>
      <c r="Z55" s="352">
        <f t="shared" si="44"/>
        <v>-0.21066714082938087</v>
      </c>
      <c r="AA55" s="352">
        <f t="shared" si="44"/>
        <v>0.69618112415729061</v>
      </c>
      <c r="AB55" s="353">
        <f t="shared" si="44"/>
        <v>0.18808991276320275</v>
      </c>
      <c r="AC55" s="352">
        <f t="shared" si="44"/>
        <v>0.19598301185548772</v>
      </c>
      <c r="AD55" s="352">
        <f t="shared" si="44"/>
        <v>0.49870520027343423</v>
      </c>
      <c r="AE55" s="352">
        <f t="shared" si="44"/>
        <v>0.44098897298319018</v>
      </c>
      <c r="AF55" s="352">
        <f t="shared" si="44"/>
        <v>-4.1872156592324128E-2</v>
      </c>
      <c r="AG55" s="353">
        <f t="shared" si="44"/>
        <v>0.20236518683158544</v>
      </c>
      <c r="AH55" s="352">
        <f t="shared" si="44"/>
        <v>9.8526646396736917E-2</v>
      </c>
      <c r="AI55" s="352">
        <f t="shared" si="44"/>
        <v>0.20321933512985657</v>
      </c>
      <c r="AJ55" s="352">
        <f t="shared" si="44"/>
        <v>0.11234926440868698</v>
      </c>
      <c r="AK55" s="352">
        <f t="shared" si="44"/>
        <v>0.127582157946871</v>
      </c>
      <c r="AL55" s="353">
        <f t="shared" si="44"/>
        <v>0.12913207301792928</v>
      </c>
      <c r="AM55" s="352">
        <f t="shared" si="44"/>
        <v>0.1218777548968828</v>
      </c>
      <c r="AN55" s="352">
        <f t="shared" si="44"/>
        <v>0.16639617737231616</v>
      </c>
      <c r="AO55" s="352">
        <f t="shared" si="44"/>
        <v>6.7923130300308054E-2</v>
      </c>
      <c r="AP55" s="352">
        <f t="shared" si="44"/>
        <v>0.14864350006635907</v>
      </c>
      <c r="AQ55" s="353">
        <f t="shared" si="44"/>
        <v>0.125996869659732</v>
      </c>
      <c r="AR55" s="352">
        <f t="shared" si="44"/>
        <v>0.10149077852851818</v>
      </c>
      <c r="AS55" s="352">
        <f t="shared" si="44"/>
        <v>3.4925709543647709E-2</v>
      </c>
      <c r="AT55" s="352">
        <f t="shared" si="44"/>
        <v>0.12207419678139764</v>
      </c>
      <c r="AU55" s="352">
        <f t="shared" si="44"/>
        <v>5.0708346583476782E-2</v>
      </c>
      <c r="AV55" s="353">
        <f t="shared" si="44"/>
        <v>7.7720918324596155E-2</v>
      </c>
    </row>
    <row r="56" spans="2:48" outlineLevel="1" x14ac:dyDescent="0.3">
      <c r="B56" s="200" t="s">
        <v>311</v>
      </c>
      <c r="C56" s="356"/>
      <c r="D56" s="351">
        <f>-D25/'IS (Base)'!D8</f>
        <v>6.5041385860961587E-2</v>
      </c>
      <c r="E56" s="351">
        <f>-E25/'IS (Base)'!E8</f>
        <v>6.5684517673924428E-2</v>
      </c>
      <c r="F56" s="113">
        <f>-F25/'IS (Base)'!F8</f>
        <v>6.3769602814011436E-2</v>
      </c>
      <c r="G56" s="113">
        <f>-G25/'IS (Base)'!G8</f>
        <v>7.7945753668297008E-2</v>
      </c>
      <c r="H56" s="363">
        <f>-H25/'IS (Base)'!H8</f>
        <v>6.8151467825535855E-2</v>
      </c>
      <c r="I56" s="354">
        <f>-I25/'IS (Base)'!I8</f>
        <v>5.555790393259219E-2</v>
      </c>
      <c r="J56" s="118">
        <f>-J25/'IS (Base)'!J8</f>
        <v>6.0710175625865198E-2</v>
      </c>
      <c r="K56" s="118">
        <f>-K25/'IS (Base)'!K8</f>
        <v>9.0026290234717338E-2</v>
      </c>
      <c r="L56" s="113">
        <f>-L25/'IS (Base)'!L8</f>
        <v>5.5649594557559891E-2</v>
      </c>
      <c r="M56" s="353">
        <f>-M25/'IS (Base)'!M8</f>
        <v>6.3083595543838744E-2</v>
      </c>
      <c r="N56" s="354">
        <f>-N25/'IS (Base)'!N8</f>
        <v>4.8033899309568251E-2</v>
      </c>
      <c r="O56" s="118">
        <f>-O25/'IS (Base)'!O8</f>
        <v>4.8545290941811634E-2</v>
      </c>
      <c r="P56" s="118">
        <f>-P25/'IS (Base)'!P8</f>
        <v>4.5061028479957313E-2</v>
      </c>
      <c r="Q56" s="118">
        <f>-Q25/'IS (Base)'!Q8</f>
        <v>5.9447383603176751E-2</v>
      </c>
      <c r="R56" s="353">
        <f>-R25/'IS (Base)'!R8</f>
        <v>5.058395215515165E-2</v>
      </c>
      <c r="S56" s="354">
        <f>-S25/'IS (Base)'!S8</f>
        <v>5.1773824903110409E-2</v>
      </c>
      <c r="T56" s="118">
        <f>-T25/'IS (Base)'!T8</f>
        <v>5.9602388810309603E-2</v>
      </c>
      <c r="U56" s="118">
        <f>-U25/'IS (Base)'!U8</f>
        <v>5.1962552606716499E-2</v>
      </c>
      <c r="V56" s="118">
        <f>-V25/'IS (Base)'!V8</f>
        <v>6.4878419814123733E-2</v>
      </c>
      <c r="W56" s="353">
        <f>-W25/'IS (Base)'!W8</f>
        <v>5.7094042536038427E-2</v>
      </c>
      <c r="X56" s="354">
        <f>-X25/'IS (Base)'!X8</f>
        <v>5.9307543120761079E-2</v>
      </c>
      <c r="Y56" s="354">
        <f>-Y25/'IS (Base)'!Y8</f>
        <v>5.5643478061423439E-2</v>
      </c>
      <c r="Z56" s="355">
        <v>8.0184441007083843E-2</v>
      </c>
      <c r="AA56" s="355">
        <f>Z56</f>
        <v>8.0184441007083843E-2</v>
      </c>
      <c r="AB56" s="353">
        <f>-AB25/'IS (Base)'!AB8</f>
        <v>6.9233299273045737E-2</v>
      </c>
      <c r="AC56" s="355">
        <v>6.9237389235761101E-2</v>
      </c>
      <c r="AD56" s="35">
        <f>AC56</f>
        <v>6.9237389235761101E-2</v>
      </c>
      <c r="AE56" s="35">
        <f>AD56</f>
        <v>6.9237389235761101E-2</v>
      </c>
      <c r="AF56" s="35">
        <f>AE56</f>
        <v>6.9237389235761101E-2</v>
      </c>
      <c r="AG56" s="353">
        <f>-AG25/'IS (Base)'!AG8</f>
        <v>6.9237389235761115E-2</v>
      </c>
      <c r="AH56" s="355">
        <v>6.2089303557495354E-2</v>
      </c>
      <c r="AI56" s="35">
        <f>AH56</f>
        <v>6.2089303557495354E-2</v>
      </c>
      <c r="AJ56" s="35">
        <f>AI56</f>
        <v>6.2089303557495354E-2</v>
      </c>
      <c r="AK56" s="35">
        <f>AJ56</f>
        <v>6.2089303557495354E-2</v>
      </c>
      <c r="AL56" s="353">
        <f>-AL25/'IS (Base)'!AL8</f>
        <v>6.2089303557495368E-2</v>
      </c>
      <c r="AM56" s="355">
        <f>AVERAGE(AH56,AI56,AJ56,AK56)</f>
        <v>6.2089303557495354E-2</v>
      </c>
      <c r="AN56" s="35">
        <f>AVERAGE(AI56,AJ56,AK56,AM56)</f>
        <v>6.2089303557495354E-2</v>
      </c>
      <c r="AO56" s="35">
        <f>AVERAGE(AN56,AM56,AK56,AJ56)</f>
        <v>6.2089303557495354E-2</v>
      </c>
      <c r="AP56" s="35">
        <f>AVERAGE(AO56,AN56,AM56,AK56)</f>
        <v>6.2089303557495354E-2</v>
      </c>
      <c r="AQ56" s="353">
        <f>-AQ25/'IS (Base)'!AQ8</f>
        <v>6.2089303557495361E-2</v>
      </c>
      <c r="AR56" s="355">
        <f>AVERAGE(AM56,AN56,AO56,AP56)</f>
        <v>6.2089303557495354E-2</v>
      </c>
      <c r="AS56" s="35">
        <f>AVERAGE(AN56,AO56,AP56,AR56)</f>
        <v>6.2089303557495354E-2</v>
      </c>
      <c r="AT56" s="35">
        <f>AVERAGE(AS56,AR56,AP56,AO56)</f>
        <v>6.2089303557495354E-2</v>
      </c>
      <c r="AU56" s="35">
        <f>AVERAGE(AT56,AS56,AR56,AP56)</f>
        <v>6.2089303557495354E-2</v>
      </c>
      <c r="AV56" s="353">
        <f>-AV25/'IS (Base)'!AV8</f>
        <v>6.2089303557495354E-2</v>
      </c>
    </row>
    <row r="57" spans="2:48" outlineLevel="1" x14ac:dyDescent="0.3">
      <c r="B57" s="200" t="s">
        <v>312</v>
      </c>
      <c r="C57" s="356"/>
      <c r="D57" s="299">
        <f>-D34-D33</f>
        <v>5561.4</v>
      </c>
      <c r="E57" s="299">
        <f t="shared" ref="E57:AV57" si="45">-E34-E33</f>
        <v>3161</v>
      </c>
      <c r="F57" s="146">
        <f t="shared" si="45"/>
        <v>581.20000000000005</v>
      </c>
      <c r="G57" s="146">
        <f t="shared" si="45"/>
        <v>2679.9999999999995</v>
      </c>
      <c r="H57" s="122">
        <f t="shared" si="45"/>
        <v>11983.599999999999</v>
      </c>
      <c r="I57" s="299">
        <f t="shared" si="45"/>
        <v>1575.6000000000001</v>
      </c>
      <c r="J57" s="146">
        <f t="shared" si="45"/>
        <v>1088.5</v>
      </c>
      <c r="K57" s="146">
        <f t="shared" si="45"/>
        <v>479.00000000000006</v>
      </c>
      <c r="L57" s="146">
        <f t="shared" si="45"/>
        <v>479.3</v>
      </c>
      <c r="M57" s="122">
        <f t="shared" si="45"/>
        <v>3622.4</v>
      </c>
      <c r="N57" s="299">
        <f t="shared" si="45"/>
        <v>528.20000000000005</v>
      </c>
      <c r="O57" s="146">
        <f t="shared" si="45"/>
        <v>529.79999999999995</v>
      </c>
      <c r="P57" s="146">
        <f t="shared" si="45"/>
        <v>530.20000000000005</v>
      </c>
      <c r="Q57" s="146">
        <f t="shared" si="45"/>
        <v>530.79999999999995</v>
      </c>
      <c r="R57" s="122">
        <f t="shared" si="45"/>
        <v>2119</v>
      </c>
      <c r="S57" s="299">
        <f t="shared" si="45"/>
        <v>4096.8999999999996</v>
      </c>
      <c r="T57" s="146">
        <f t="shared" si="45"/>
        <v>1039.8</v>
      </c>
      <c r="U57" s="146">
        <f t="shared" si="45"/>
        <v>577.39999999999986</v>
      </c>
      <c r="V57" s="146">
        <f t="shared" si="45"/>
        <v>562.20000000000027</v>
      </c>
      <c r="W57" s="122">
        <f>-W34-W33</f>
        <v>6276.3</v>
      </c>
      <c r="X57" s="299">
        <f t="shared" si="45"/>
        <v>799.69999999999993</v>
      </c>
      <c r="Y57" s="299">
        <f t="shared" si="45"/>
        <v>897.00000000000011</v>
      </c>
      <c r="Z57" s="299">
        <f t="shared" si="45"/>
        <v>709.39241000000004</v>
      </c>
      <c r="AA57" s="299">
        <f t="shared" si="45"/>
        <v>740.58525456100017</v>
      </c>
      <c r="AB57" s="166">
        <f t="shared" si="45"/>
        <v>3146.6776645609998</v>
      </c>
      <c r="AC57" s="299">
        <f t="shared" si="45"/>
        <v>708.70500000000004</v>
      </c>
      <c r="AD57" s="146">
        <f t="shared" si="45"/>
        <v>708.70500000000004</v>
      </c>
      <c r="AE57" s="146">
        <f t="shared" si="45"/>
        <v>709.39241000000004</v>
      </c>
      <c r="AF57" s="146">
        <f t="shared" si="45"/>
        <v>740.58525456100017</v>
      </c>
      <c r="AG57" s="166">
        <f t="shared" si="45"/>
        <v>2867.3876645610003</v>
      </c>
      <c r="AH57" s="299">
        <f t="shared" si="45"/>
        <v>741.37259790962844</v>
      </c>
      <c r="AI57" s="146">
        <f t="shared" si="45"/>
        <v>742.16151594495398</v>
      </c>
      <c r="AJ57" s="146">
        <f t="shared" si="45"/>
        <v>6234.7106378631515</v>
      </c>
      <c r="AK57" s="146">
        <f>-AK34-AK33</f>
        <v>6267.6899191602652</v>
      </c>
      <c r="AL57" s="122">
        <f t="shared" si="45"/>
        <v>13985.934670877999</v>
      </c>
      <c r="AM57" s="299">
        <f t="shared" si="45"/>
        <v>926.78932853919662</v>
      </c>
      <c r="AN57" s="146">
        <f t="shared" si="45"/>
        <v>927.64908003578125</v>
      </c>
      <c r="AO57" s="146">
        <f t="shared" si="45"/>
        <v>901.39075535117729</v>
      </c>
      <c r="AP57" s="146">
        <f t="shared" si="45"/>
        <v>906.33390971806421</v>
      </c>
      <c r="AQ57" s="122">
        <f t="shared" si="45"/>
        <v>3662.1630736442194</v>
      </c>
      <c r="AR57" s="299">
        <f t="shared" si="45"/>
        <v>906.402796442973</v>
      </c>
      <c r="AS57" s="146">
        <f t="shared" si="45"/>
        <v>906.47182094133166</v>
      </c>
      <c r="AT57" s="146">
        <f t="shared" si="45"/>
        <v>906.54098348868706</v>
      </c>
      <c r="AU57" s="146">
        <f t="shared" si="45"/>
        <v>919.74249004835985</v>
      </c>
      <c r="AV57" s="122">
        <f t="shared" si="45"/>
        <v>3639.1580909213517</v>
      </c>
    </row>
    <row r="58" spans="2:48" outlineLevel="1" x14ac:dyDescent="0.3">
      <c r="B58" s="203" t="s">
        <v>313</v>
      </c>
      <c r="C58" s="364"/>
      <c r="D58" s="365"/>
      <c r="E58" s="365"/>
      <c r="F58" s="366"/>
      <c r="G58" s="366"/>
      <c r="H58" s="367"/>
      <c r="I58" s="365"/>
      <c r="J58" s="366"/>
      <c r="K58" s="366"/>
      <c r="L58" s="366"/>
      <c r="M58" s="367"/>
      <c r="N58" s="365"/>
      <c r="O58" s="366"/>
      <c r="P58" s="366"/>
      <c r="Q58" s="366"/>
      <c r="R58" s="367"/>
      <c r="S58" s="365"/>
      <c r="T58" s="366"/>
      <c r="U58" s="366"/>
      <c r="V58" s="366"/>
      <c r="W58" s="367"/>
      <c r="X58" s="365">
        <f>X57</f>
        <v>799.69999999999993</v>
      </c>
      <c r="Y58" s="365">
        <f>+Y57+X58</f>
        <v>1696.7</v>
      </c>
      <c r="Z58" s="365">
        <f t="shared" ref="Z58:AA58" si="46">+Z57+Y58</f>
        <v>2406.0924100000002</v>
      </c>
      <c r="AA58" s="365">
        <f t="shared" si="46"/>
        <v>3146.6776645610003</v>
      </c>
      <c r="AB58" s="368">
        <f>AA58</f>
        <v>3146.6776645610003</v>
      </c>
      <c r="AC58" s="365">
        <f>AA58+AC57</f>
        <v>3855.3826645610002</v>
      </c>
      <c r="AD58" s="365">
        <f>AC58+AD57</f>
        <v>4564.0876645610006</v>
      </c>
      <c r="AE58" s="365">
        <f t="shared" ref="AE58:AF58" si="47">AD58+AE57</f>
        <v>5273.4800745610009</v>
      </c>
      <c r="AF58" s="365">
        <f t="shared" si="47"/>
        <v>6014.0653291220015</v>
      </c>
      <c r="AG58" s="368">
        <f>+AF58</f>
        <v>6014.0653291220015</v>
      </c>
      <c r="AH58" s="365">
        <f>AF58+AH57</f>
        <v>6755.4379270316294</v>
      </c>
      <c r="AI58" s="365">
        <f>AH58+AI57</f>
        <v>7497.5994429765833</v>
      </c>
      <c r="AJ58" s="365">
        <f t="shared" ref="AJ58" si="48">AI58+AJ57</f>
        <v>13732.310080839736</v>
      </c>
      <c r="AK58" s="365">
        <f>AJ58+AK57</f>
        <v>20000</v>
      </c>
      <c r="AL58" s="394">
        <f>+AK58</f>
        <v>20000</v>
      </c>
      <c r="AM58" s="365"/>
      <c r="AN58" s="366"/>
      <c r="AO58" s="366"/>
      <c r="AP58" s="366"/>
      <c r="AQ58" s="367"/>
      <c r="AR58" s="365"/>
      <c r="AS58" s="366"/>
      <c r="AT58" s="366"/>
      <c r="AU58" s="366"/>
      <c r="AV58" s="367"/>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('IS (Base)'!AL34/'IS (Base)'!W34)^(1/3)-1</f>
        <v>0.16134885740981186</v>
      </c>
    </row>
    <row r="60" spans="2:48" x14ac:dyDescent="0.3">
      <c r="B60" s="308" t="s">
        <v>330</v>
      </c>
      <c r="D60" s="399"/>
      <c r="E60" s="399"/>
      <c r="I60" s="399"/>
      <c r="J60" s="399"/>
      <c r="N60" s="399"/>
      <c r="O60" s="399"/>
      <c r="S60" s="399"/>
      <c r="T60" s="399"/>
      <c r="X60" s="399"/>
      <c r="Y60" s="399"/>
      <c r="AC60" s="399"/>
      <c r="AD60" s="399"/>
      <c r="AH60" s="399"/>
      <c r="AI60" s="399"/>
      <c r="AL60" s="29">
        <v>0.1686267277782485</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AL59-AL60</f>
        <v>-7.2778703684366342E-3</v>
      </c>
      <c r="AM61" s="427"/>
    </row>
    <row r="62" spans="2:48" s="23" customFormat="1" x14ac:dyDescent="0.3">
      <c r="B62" s="395" t="s">
        <v>442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(0.15+1)^3*2.95</f>
        <v>4.4865812499999986</v>
      </c>
      <c r="AM62" s="408"/>
      <c r="AN62" s="48"/>
      <c r="AO62" s="309"/>
      <c r="AP62" s="309"/>
      <c r="AQ62" s="309"/>
      <c r="AR62" s="48"/>
      <c r="AS62" s="48"/>
      <c r="AT62" s="309"/>
      <c r="AU62" s="309"/>
      <c r="AV62" s="309"/>
    </row>
    <row r="63" spans="2:48" s="23" customFormat="1" x14ac:dyDescent="0.3">
      <c r="B63" s="311" t="s">
        <v>443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(0.2+1)^3*2.95</f>
        <v>5.0975999999999999</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552">
        <f>(('IS (Base)'!AK57+'IS (Base)'!AK90)/('IS (Base)'!V57+'IS (Base)'!V90))^(1/3)-1</f>
        <v>6.9277899823068534E-2</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553">
        <f>('IS (Base)'!AL8/'IS (Base)'!W8)^(1/3)-1</f>
        <v>0.11401691176216944</v>
      </c>
      <c r="AM65" s="48"/>
      <c r="AN65" s="48"/>
      <c r="AO65" s="309"/>
      <c r="AP65" s="309"/>
      <c r="AQ65" s="309"/>
      <c r="AR65" s="48"/>
      <c r="AS65" s="48"/>
      <c r="AT65" s="309"/>
      <c r="AU65" s="309"/>
      <c r="AV65" s="309"/>
    </row>
    <row r="66" spans="2:48" x14ac:dyDescent="0.3">
      <c r="B66" s="395" t="s">
        <v>444</v>
      </c>
      <c r="C66" s="409"/>
      <c r="D66" s="410"/>
      <c r="E66" s="410"/>
      <c r="F66" s="411"/>
      <c r="G66" s="411"/>
      <c r="H66" s="411"/>
      <c r="I66" s="410"/>
      <c r="J66" s="410"/>
      <c r="K66" s="411"/>
      <c r="L66" s="411"/>
      <c r="M66" s="411"/>
      <c r="N66" s="410"/>
      <c r="O66" s="410"/>
      <c r="P66" s="411"/>
      <c r="Q66" s="411"/>
      <c r="R66" s="411"/>
      <c r="S66" s="410"/>
      <c r="T66" s="410"/>
      <c r="U66" s="411"/>
      <c r="V66" s="411"/>
      <c r="W66" s="411"/>
      <c r="X66" s="410"/>
      <c r="Y66" s="410"/>
      <c r="Z66" s="411"/>
      <c r="AA66" s="411"/>
      <c r="AB66" s="411"/>
      <c r="AC66" s="410"/>
      <c r="AD66" s="410"/>
      <c r="AE66" s="411"/>
      <c r="AF66" s="411"/>
      <c r="AG66" s="411"/>
      <c r="AH66" s="410"/>
      <c r="AI66" s="410"/>
      <c r="AJ66" s="411"/>
      <c r="AK66" s="411"/>
      <c r="AL66" s="554">
        <f>(0.1+1)^3*32250</f>
        <v>42924.750000000015</v>
      </c>
    </row>
    <row r="67" spans="2:48" x14ac:dyDescent="0.3">
      <c r="B67" s="311" t="s">
        <v>445</v>
      </c>
      <c r="C67" s="413"/>
      <c r="D67" s="313"/>
      <c r="E67" s="313"/>
      <c r="F67" s="314"/>
      <c r="G67" s="314"/>
      <c r="H67" s="314"/>
      <c r="I67" s="313"/>
      <c r="J67" s="313"/>
      <c r="K67" s="314"/>
      <c r="L67" s="314"/>
      <c r="M67" s="314"/>
      <c r="N67" s="313"/>
      <c r="O67" s="313"/>
      <c r="P67" s="314"/>
      <c r="Q67" s="314"/>
      <c r="R67" s="314"/>
      <c r="S67" s="313"/>
      <c r="T67" s="313"/>
      <c r="U67" s="314"/>
      <c r="V67" s="314"/>
      <c r="W67" s="314"/>
      <c r="X67" s="313"/>
      <c r="Y67" s="313"/>
      <c r="Z67" s="314"/>
      <c r="AA67" s="314"/>
      <c r="AB67" s="314"/>
      <c r="AC67" s="313"/>
      <c r="AD67" s="313"/>
      <c r="AE67" s="314"/>
      <c r="AF67" s="314"/>
      <c r="AG67" s="314"/>
      <c r="AH67" s="313"/>
      <c r="AI67" s="313"/>
      <c r="AJ67" s="314"/>
      <c r="AK67" s="314"/>
      <c r="AL67" s="555">
        <f>(0.12+1)^3*32250</f>
        <v>45308.928000000014</v>
      </c>
    </row>
  </sheetData>
  <dataConsolidate/>
  <mergeCells count="27">
    <mergeCell ref="B18:C18"/>
    <mergeCell ref="B3:C3"/>
    <mergeCell ref="B5:C5"/>
    <mergeCell ref="B14:C14"/>
    <mergeCell ref="B15:C15"/>
    <mergeCell ref="B17:C17"/>
    <mergeCell ref="B40:C40"/>
    <mergeCell ref="B21:C21"/>
    <mergeCell ref="B22:C22"/>
    <mergeCell ref="B23:C23"/>
    <mergeCell ref="B25:C25"/>
    <mergeCell ref="B26:C26"/>
    <mergeCell ref="B27:C27"/>
    <mergeCell ref="B28:C28"/>
    <mergeCell ref="B29:C29"/>
    <mergeCell ref="B36:C36"/>
    <mergeCell ref="B37:C37"/>
    <mergeCell ref="B39:C39"/>
    <mergeCell ref="B51:C51"/>
    <mergeCell ref="B52:C52"/>
    <mergeCell ref="B55:C55"/>
    <mergeCell ref="B41:C41"/>
    <mergeCell ref="B42:C42"/>
    <mergeCell ref="B44:C44"/>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0F695-A191-4441-9170-691C1264E1A1}">
  <sheetPr>
    <tabColor theme="8" tint="0.39997558519241921"/>
  </sheetPr>
  <dimension ref="A1"/>
  <sheetViews>
    <sheetView showGridLines="0" topLeftCell="A16" workbookViewId="0">
      <selection activeCell="D5" sqref="D5"/>
    </sheetView>
  </sheetViews>
  <sheetFormatPr defaultRowHeight="14.4" x14ac:dyDescent="0.3"/>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CF600-E0F2-4750-82C2-5D658884F10B}">
  <sheetPr>
    <tabColor theme="8" tint="0.39997558519241921"/>
  </sheetPr>
  <dimension ref="B2:G38"/>
  <sheetViews>
    <sheetView showGridLines="0" zoomScaleNormal="100" workbookViewId="0">
      <selection activeCell="D5" sqref="D5"/>
    </sheetView>
  </sheetViews>
  <sheetFormatPr defaultRowHeight="14.4" x14ac:dyDescent="0.3"/>
  <cols>
    <col min="1" max="1" width="2.44140625" customWidth="1"/>
    <col min="2" max="2" width="28.33203125" customWidth="1"/>
    <col min="3" max="3" width="12.5546875" customWidth="1"/>
    <col min="4" max="4" width="2.33203125" customWidth="1"/>
    <col min="5" max="5" width="36.109375" customWidth="1"/>
    <col min="6" max="6" width="11.5546875" customWidth="1"/>
    <col min="7" max="7" width="86.109375" customWidth="1"/>
  </cols>
  <sheetData>
    <row r="2" spans="2:7" ht="30" customHeight="1" x14ac:dyDescent="0.3">
      <c r="B2" s="639" t="s">
        <v>457</v>
      </c>
      <c r="C2" s="640"/>
      <c r="D2" s="640"/>
      <c r="E2" s="640"/>
      <c r="F2" s="640"/>
      <c r="G2" s="641"/>
    </row>
    <row r="3" spans="2:7" ht="8.4" customHeight="1" x14ac:dyDescent="0.3"/>
    <row r="4" spans="2:7" ht="15.6" x14ac:dyDescent="0.3">
      <c r="B4" s="583" t="s">
        <v>335</v>
      </c>
      <c r="C4" s="638"/>
      <c r="E4" s="583" t="s">
        <v>350</v>
      </c>
      <c r="F4" s="638"/>
      <c r="G4" s="458" t="s">
        <v>384</v>
      </c>
    </row>
    <row r="5" spans="2:7" ht="14.4" customHeight="1" x14ac:dyDescent="0.3">
      <c r="B5" s="308" t="s">
        <v>338</v>
      </c>
      <c r="C5" s="474">
        <v>28.6</v>
      </c>
      <c r="E5" s="432" t="s">
        <v>351</v>
      </c>
      <c r="F5" s="399"/>
      <c r="G5" s="459"/>
    </row>
    <row r="6" spans="2:7" ht="16.2" customHeight="1" x14ac:dyDescent="0.3">
      <c r="B6" s="308" t="s">
        <v>339</v>
      </c>
      <c r="C6" s="421">
        <v>30.5</v>
      </c>
      <c r="E6" s="433" t="s">
        <v>352</v>
      </c>
      <c r="F6" s="476">
        <v>111</v>
      </c>
      <c r="G6" s="459" t="s">
        <v>397</v>
      </c>
    </row>
    <row r="7" spans="2:7" ht="16.2" x14ac:dyDescent="0.45">
      <c r="B7" s="308" t="s">
        <v>340</v>
      </c>
      <c r="C7" s="421">
        <v>26.9</v>
      </c>
      <c r="E7" s="433" t="s">
        <v>353</v>
      </c>
      <c r="F7" s="444">
        <f>'IS (Base)'!X31</f>
        <v>1152.9000000000001</v>
      </c>
      <c r="G7" s="459" t="s">
        <v>398</v>
      </c>
    </row>
    <row r="8" spans="2:7" x14ac:dyDescent="0.3">
      <c r="B8" s="308" t="s">
        <v>447</v>
      </c>
      <c r="C8" s="421" t="s">
        <v>448</v>
      </c>
      <c r="E8" s="434" t="s">
        <v>354</v>
      </c>
      <c r="F8" s="445">
        <f>F7*F6</f>
        <v>127971.90000000001</v>
      </c>
      <c r="G8" s="459"/>
    </row>
    <row r="9" spans="2:7" x14ac:dyDescent="0.3">
      <c r="B9" s="180" t="s">
        <v>342</v>
      </c>
      <c r="C9" s="475">
        <v>30</v>
      </c>
      <c r="E9" s="442" t="s">
        <v>373</v>
      </c>
      <c r="F9" s="446"/>
      <c r="G9" s="459"/>
    </row>
    <row r="10" spans="2:7" ht="16.2" x14ac:dyDescent="0.45">
      <c r="B10" s="180" t="s">
        <v>336</v>
      </c>
      <c r="C10" s="422">
        <v>0</v>
      </c>
      <c r="E10" s="433" t="s">
        <v>355</v>
      </c>
      <c r="F10" s="447">
        <v>0.86</v>
      </c>
      <c r="G10" s="459" t="s">
        <v>399</v>
      </c>
    </row>
    <row r="11" spans="2:7" ht="15" customHeight="1" x14ac:dyDescent="0.3">
      <c r="B11" s="423" t="s">
        <v>337</v>
      </c>
      <c r="C11" s="424">
        <f>C9*('IS (Base)'!Z34+'IS (Base)'!AA34+'IS (Base)'!AC34+'IS (Base)'!AD34)</f>
        <v>109.62130501106353</v>
      </c>
      <c r="E11" s="433" t="s">
        <v>356</v>
      </c>
      <c r="F11" s="448">
        <v>0.35</v>
      </c>
      <c r="G11" s="459" t="s">
        <v>401</v>
      </c>
    </row>
    <row r="12" spans="2:7" ht="15" customHeight="1" x14ac:dyDescent="0.3">
      <c r="E12" s="433" t="s">
        <v>357</v>
      </c>
      <c r="F12" s="449">
        <v>0.19819999999999999</v>
      </c>
      <c r="G12" s="459" t="s">
        <v>402</v>
      </c>
    </row>
    <row r="13" spans="2:7" ht="15" customHeight="1" x14ac:dyDescent="0.3">
      <c r="B13" s="642" t="s">
        <v>449</v>
      </c>
      <c r="C13" s="643"/>
      <c r="E13" s="435" t="s">
        <v>387</v>
      </c>
      <c r="F13" s="450">
        <f>F11*F12</f>
        <v>6.9369999999999987E-2</v>
      </c>
      <c r="G13" s="459" t="s">
        <v>386</v>
      </c>
    </row>
    <row r="14" spans="2:7" x14ac:dyDescent="0.3">
      <c r="B14" s="644"/>
      <c r="C14" s="645"/>
      <c r="E14" s="433" t="s">
        <v>380</v>
      </c>
      <c r="F14" s="473">
        <v>4.4499999999999998E-2</v>
      </c>
      <c r="G14" s="459" t="s">
        <v>394</v>
      </c>
    </row>
    <row r="15" spans="2:7" x14ac:dyDescent="0.3">
      <c r="B15" s="644"/>
      <c r="C15" s="645"/>
      <c r="E15" s="434" t="s">
        <v>374</v>
      </c>
      <c r="F15" s="451">
        <f>F14+(F10*F13)</f>
        <v>0.10415819999999998</v>
      </c>
      <c r="G15" s="459"/>
    </row>
    <row r="16" spans="2:7" x14ac:dyDescent="0.3">
      <c r="B16" s="644"/>
      <c r="C16" s="645"/>
      <c r="E16" s="308" t="s">
        <v>358</v>
      </c>
      <c r="F16" s="452">
        <f>F8/(F8+'BS (Base)'!X28+'BS (Base)'!X31)</f>
        <v>0.89554780021259928</v>
      </c>
      <c r="G16" s="459"/>
    </row>
    <row r="17" spans="2:7" ht="14.4" customHeight="1" x14ac:dyDescent="0.3">
      <c r="B17" s="644"/>
      <c r="C17" s="645"/>
      <c r="E17" s="308" t="s">
        <v>359</v>
      </c>
      <c r="F17" s="452">
        <f>'IS (Base)'!X145*4</f>
        <v>3.4621403474819734E-2</v>
      </c>
      <c r="G17" s="459"/>
    </row>
    <row r="18" spans="2:7" ht="14.4" customHeight="1" x14ac:dyDescent="0.3">
      <c r="B18" s="644"/>
      <c r="C18" s="645"/>
      <c r="E18" s="308" t="s">
        <v>2</v>
      </c>
      <c r="F18" s="453">
        <f>'IS (Base)'!X143</f>
        <v>0.24651982378854645</v>
      </c>
      <c r="G18" s="459"/>
    </row>
    <row r="19" spans="2:7" ht="14.4" customHeight="1" x14ac:dyDescent="0.3">
      <c r="B19" s="644"/>
      <c r="C19" s="645"/>
      <c r="E19" s="308" t="s">
        <v>360</v>
      </c>
      <c r="F19" s="452">
        <f>F17*(1-F18)</f>
        <v>2.6086541190895006E-2</v>
      </c>
      <c r="G19" s="459"/>
    </row>
    <row r="20" spans="2:7" ht="14.4" customHeight="1" x14ac:dyDescent="0.3">
      <c r="B20" s="644"/>
      <c r="C20" s="645"/>
      <c r="E20" s="436" t="s">
        <v>361</v>
      </c>
      <c r="F20" s="454">
        <f>(F16*F15)+((1-F16)*F19)</f>
        <v>9.6003443496337562E-2</v>
      </c>
      <c r="G20" s="459"/>
    </row>
    <row r="21" spans="2:7" ht="14.4" customHeight="1" x14ac:dyDescent="0.3">
      <c r="B21" s="644"/>
      <c r="C21" s="645"/>
      <c r="E21" s="648" t="s">
        <v>372</v>
      </c>
      <c r="F21" s="649"/>
      <c r="G21" s="459"/>
    </row>
    <row r="22" spans="2:7" ht="14.4" customHeight="1" x14ac:dyDescent="0.3">
      <c r="B22" s="644"/>
      <c r="C22" s="645"/>
      <c r="E22" s="308" t="s">
        <v>404</v>
      </c>
      <c r="F22" s="288">
        <v>0.04</v>
      </c>
      <c r="G22" s="650" t="s">
        <v>397</v>
      </c>
    </row>
    <row r="23" spans="2:7" ht="14.4" customHeight="1" x14ac:dyDescent="0.3">
      <c r="B23" s="644"/>
      <c r="C23" s="645"/>
      <c r="E23" s="308" t="s">
        <v>362</v>
      </c>
      <c r="F23" s="288">
        <v>0.04</v>
      </c>
      <c r="G23" s="650"/>
    </row>
    <row r="24" spans="2:7" ht="14.4" customHeight="1" x14ac:dyDescent="0.3">
      <c r="B24" s="644"/>
      <c r="C24" s="645"/>
      <c r="E24" s="308" t="s">
        <v>363</v>
      </c>
      <c r="F24" s="288">
        <v>0.02</v>
      </c>
      <c r="G24" s="650"/>
    </row>
    <row r="25" spans="2:7" ht="14.4" customHeight="1" x14ac:dyDescent="0.3">
      <c r="B25" s="644"/>
      <c r="C25" s="645"/>
      <c r="E25" s="443" t="s">
        <v>375</v>
      </c>
      <c r="F25" s="455"/>
      <c r="G25" s="459"/>
    </row>
    <row r="26" spans="2:7" ht="14.4" customHeight="1" x14ac:dyDescent="0.3">
      <c r="B26" s="646"/>
      <c r="C26" s="647"/>
      <c r="E26" s="433" t="s">
        <v>377</v>
      </c>
      <c r="F26" s="447">
        <v>0.83</v>
      </c>
      <c r="G26" s="459" t="s">
        <v>400</v>
      </c>
    </row>
    <row r="27" spans="2:7" ht="14.4" customHeight="1" x14ac:dyDescent="0.3">
      <c r="B27" s="466"/>
      <c r="C27" s="466"/>
      <c r="E27" s="433" t="s">
        <v>385</v>
      </c>
      <c r="F27" s="448">
        <v>0.34</v>
      </c>
      <c r="G27" s="459" t="s">
        <v>405</v>
      </c>
    </row>
    <row r="28" spans="2:7" ht="14.4" customHeight="1" x14ac:dyDescent="0.3">
      <c r="B28" s="583" t="s">
        <v>390</v>
      </c>
      <c r="C28" s="638"/>
      <c r="E28" s="433" t="s">
        <v>376</v>
      </c>
      <c r="F28" s="449">
        <v>0.19500000000000001</v>
      </c>
      <c r="G28" s="459" t="s">
        <v>395</v>
      </c>
    </row>
    <row r="29" spans="2:7" x14ac:dyDescent="0.3">
      <c r="B29" s="395" t="s">
        <v>391</v>
      </c>
      <c r="C29" s="468">
        <f>C11</f>
        <v>109.62130501106353</v>
      </c>
      <c r="E29" s="435" t="s">
        <v>388</v>
      </c>
      <c r="F29" s="450">
        <f>F27*F28</f>
        <v>6.6300000000000012E-2</v>
      </c>
      <c r="G29" s="459"/>
    </row>
    <row r="30" spans="2:7" x14ac:dyDescent="0.3">
      <c r="B30" s="308" t="s">
        <v>392</v>
      </c>
      <c r="C30" s="467">
        <f>F37</f>
        <v>107.90132713419547</v>
      </c>
      <c r="E30" s="433" t="s">
        <v>379</v>
      </c>
      <c r="F30" s="490">
        <v>3.9E-2</v>
      </c>
      <c r="G30" s="459" t="s">
        <v>396</v>
      </c>
    </row>
    <row r="31" spans="2:7" x14ac:dyDescent="0.3">
      <c r="B31" s="469" t="s">
        <v>393</v>
      </c>
      <c r="C31" s="470">
        <f>(C29+C30)/2</f>
        <v>108.7613160726295</v>
      </c>
      <c r="E31" s="435" t="s">
        <v>378</v>
      </c>
      <c r="F31" s="450">
        <f>F30+(F26*F29)</f>
        <v>9.4029000000000001E-2</v>
      </c>
      <c r="G31" s="459"/>
    </row>
    <row r="32" spans="2:7" x14ac:dyDescent="0.3">
      <c r="E32" s="319" t="s">
        <v>364</v>
      </c>
      <c r="F32" s="465">
        <f>(F16*(F30+(F26*(F27*F28))))+((1-F16)*F19)</f>
        <v>8.6932260718424123E-2</v>
      </c>
      <c r="G32" s="459"/>
    </row>
    <row r="33" spans="2:7" ht="15.6" x14ac:dyDescent="0.3">
      <c r="B33" s="583" t="s">
        <v>389</v>
      </c>
      <c r="C33" s="638"/>
      <c r="E33" s="437" t="s">
        <v>349</v>
      </c>
      <c r="F33" s="399"/>
      <c r="G33" s="459"/>
    </row>
    <row r="34" spans="2:7" x14ac:dyDescent="0.3">
      <c r="B34" s="395" t="s">
        <v>367</v>
      </c>
      <c r="C34" s="438">
        <v>1.6299999999999999E-2</v>
      </c>
      <c r="E34" s="308" t="s">
        <v>383</v>
      </c>
      <c r="F34" s="456">
        <f>'CFS (Base)'!AB44+'CFS (Base)'!AG44+'CFS (Base)'!AL44+'CFS (Base)'!AQ44+'CFS (Base)'!AV44</f>
        <v>17543.773192562694</v>
      </c>
      <c r="G34" s="459"/>
    </row>
    <row r="35" spans="2:7" x14ac:dyDescent="0.3">
      <c r="B35" s="308" t="s">
        <v>368</v>
      </c>
      <c r="C35" s="439">
        <v>8.7099999999999997E-2</v>
      </c>
      <c r="E35" s="308" t="s">
        <v>382</v>
      </c>
      <c r="F35" s="456">
        <f>(((('CFS (Base)'!AV22*(1+F23))-(F24*'IS (Base)'!AV8*(1+F22))+(F19*('BS (Base)'!AV28+'BS (Base)'!AV31))))/(F32-F22))/(1+F32)^5</f>
        <v>118187.76686045126</v>
      </c>
      <c r="G35" s="459" t="s">
        <v>397</v>
      </c>
    </row>
    <row r="36" spans="2:7" ht="16.2" x14ac:dyDescent="0.45">
      <c r="B36" s="308" t="s">
        <v>369</v>
      </c>
      <c r="C36" s="440">
        <f>C31</f>
        <v>108.7613160726295</v>
      </c>
      <c r="E36" s="308" t="s">
        <v>365</v>
      </c>
      <c r="F36" s="457">
        <f>'CFS (Base)'!X48</f>
        <v>-9.8292132882296741</v>
      </c>
      <c r="G36" s="459" t="s">
        <v>397</v>
      </c>
    </row>
    <row r="37" spans="2:7" x14ac:dyDescent="0.3">
      <c r="B37" s="308" t="s">
        <v>370</v>
      </c>
      <c r="C37" s="440">
        <f>C36*(1+(C34+(2*C35)))</f>
        <v>129.48034678446544</v>
      </c>
      <c r="E37" s="461" t="s">
        <v>366</v>
      </c>
      <c r="F37" s="462">
        <f>(F35+F34)/F7+F36</f>
        <v>107.90132713419547</v>
      </c>
      <c r="G37" s="459"/>
    </row>
    <row r="38" spans="2:7" x14ac:dyDescent="0.3">
      <c r="B38" s="311" t="s">
        <v>371</v>
      </c>
      <c r="C38" s="441">
        <f>C36*(1+(C34-(2*C35)))</f>
        <v>91.587904264761306</v>
      </c>
      <c r="E38" s="463" t="s">
        <v>381</v>
      </c>
      <c r="F38" s="464">
        <f>F6-F37</f>
        <v>3.0986728658045308</v>
      </c>
      <c r="G38" s="460"/>
    </row>
  </sheetData>
  <mergeCells count="8">
    <mergeCell ref="B28:C28"/>
    <mergeCell ref="B33:C33"/>
    <mergeCell ref="B2:G2"/>
    <mergeCell ref="B4:C4"/>
    <mergeCell ref="E4:F4"/>
    <mergeCell ref="B13:C26"/>
    <mergeCell ref="E21:F21"/>
    <mergeCell ref="G22:G24"/>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8AA5-56BF-4017-B094-CB71401DDFD9}">
  <sheetPr>
    <pageSetUpPr fitToPage="1"/>
  </sheetPr>
  <dimension ref="A1:AV316"/>
  <sheetViews>
    <sheetView showGridLines="0" tabSelected="1" zoomScaleNormal="100" workbookViewId="0">
      <pane xSplit="3" ySplit="4" topLeftCell="X5" activePane="bottomRight" state="frozen"/>
      <selection activeCell="AF38" sqref="AF38"/>
      <selection pane="topRight" activeCell="AF38" sqref="AF38"/>
      <selection pane="bottomLeft" activeCell="AF38" sqref="AF38"/>
      <selection pane="bottomRight" activeCell="Y3" sqref="Y3:Y4"/>
    </sheetView>
  </sheetViews>
  <sheetFormatPr defaultColWidth="8.88671875" defaultRowHeight="14.4" outlineLevelRow="1" outlineLevelCol="1" x14ac:dyDescent="0.3"/>
  <cols>
    <col min="1" max="1" width="2" style="2" customWidth="1"/>
    <col min="2" max="2" width="39" style="2" customWidth="1"/>
    <col min="3" max="3" width="3.109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91"/>
      <c r="U1" s="369"/>
      <c r="V1" s="369"/>
      <c r="W1" s="369"/>
      <c r="X1" s="369"/>
      <c r="Y1" s="391"/>
      <c r="Z1" s="391"/>
      <c r="AA1" s="391"/>
      <c r="AB1" s="389"/>
      <c r="AC1" s="391"/>
      <c r="AD1" s="369"/>
      <c r="AE1" s="369"/>
      <c r="AF1" s="369"/>
      <c r="AG1" s="369"/>
      <c r="AH1" s="369"/>
      <c r="AI1" s="369"/>
      <c r="AJ1" s="369"/>
      <c r="AK1" s="369"/>
      <c r="AL1" s="42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582"/>
      <c r="B3" s="583" t="s">
        <v>18</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3" t="s">
        <v>451</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82"/>
      <c r="B4" s="585" t="s">
        <v>3</v>
      </c>
      <c r="C4" s="586"/>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4" t="s">
        <v>452</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580" t="s">
        <v>101</v>
      </c>
      <c r="C5" s="581"/>
      <c r="D5" s="105">
        <f>'IS (Adjusted)'!D5-'IS (Base)'!D5</f>
        <v>0</v>
      </c>
      <c r="E5" s="105">
        <f>'IS (Adjusted)'!E5-'IS (Base)'!E5</f>
        <v>0</v>
      </c>
      <c r="F5" s="105">
        <f>'IS (Adjusted)'!F5-'IS (Base)'!F5</f>
        <v>0</v>
      </c>
      <c r="G5" s="105">
        <f>'IS (Adjusted)'!G5-'IS (Base)'!G5</f>
        <v>0</v>
      </c>
      <c r="H5" s="170">
        <f>'IS (Adjusted)'!H5-'IS (Base)'!H5</f>
        <v>0</v>
      </c>
      <c r="I5" s="105">
        <f>'IS (Adjusted)'!I5-'IS (Base)'!I5</f>
        <v>0</v>
      </c>
      <c r="J5" s="105">
        <f>'IS (Adjusted)'!J5-'IS (Base)'!J5</f>
        <v>0</v>
      </c>
      <c r="K5" s="105">
        <f>'IS (Adjusted)'!K5-'IS (Base)'!K5</f>
        <v>0</v>
      </c>
      <c r="L5" s="105">
        <f>'IS (Adjusted)'!L5-'IS (Base)'!L5</f>
        <v>0</v>
      </c>
      <c r="M5" s="49">
        <f>'IS (Adjusted)'!M5-'IS (Base)'!M5</f>
        <v>0</v>
      </c>
      <c r="N5" s="48">
        <f>'IS (Adjusted)'!N5-'IS (Base)'!N5</f>
        <v>0</v>
      </c>
      <c r="O5" s="48">
        <f>'IS (Adjusted)'!O5-'IS (Base)'!O5</f>
        <v>0</v>
      </c>
      <c r="P5" s="48">
        <f>'IS (Adjusted)'!P5-'IS (Base)'!P5</f>
        <v>0</v>
      </c>
      <c r="Q5" s="105">
        <f>'IS (Adjusted)'!Q5-'IS (Base)'!Q5</f>
        <v>0</v>
      </c>
      <c r="R5" s="49">
        <f>'IS (Adjusted)'!R5-'IS (Base)'!R5</f>
        <v>0</v>
      </c>
      <c r="S5" s="48">
        <f>'IS (Adjusted)'!S5-'IS (Base)'!S5</f>
        <v>0</v>
      </c>
      <c r="T5" s="48">
        <f>'IS (Adjusted)'!T5-'IS (Base)'!T5</f>
        <v>0</v>
      </c>
      <c r="U5" s="48">
        <f>'IS (Adjusted)'!U5-'IS (Base)'!U5</f>
        <v>0</v>
      </c>
      <c r="V5" s="48">
        <f>'IS (Adjusted)'!V5-'IS (Base)'!V5</f>
        <v>0</v>
      </c>
      <c r="W5" s="49">
        <f>'IS (Adjusted)'!W5-'IS (Base)'!W5</f>
        <v>0</v>
      </c>
      <c r="X5" s="105">
        <f>'IS (Adjusted)'!X5-'IS (Base)'!X5</f>
        <v>0</v>
      </c>
      <c r="Y5" s="48">
        <f>'IS (Adjusted)'!Y5-'IS (Base)'!Y5</f>
        <v>0</v>
      </c>
      <c r="Z5" s="48">
        <f>'IS (Adjusted)'!Z5-'IS (Base)'!Z5</f>
        <v>0</v>
      </c>
      <c r="AA5" s="48">
        <f>'IS (Adjusted)'!AA5-'IS (Base)'!AA5</f>
        <v>0</v>
      </c>
      <c r="AB5" s="49">
        <f>'IS (Adjusted)'!AB5-'IS (Base)'!AB5</f>
        <v>0</v>
      </c>
      <c r="AC5" s="48">
        <f>'IS (Adjusted)'!AC5-'IS (Base)'!AC5</f>
        <v>0</v>
      </c>
      <c r="AD5" s="48">
        <f>'IS (Adjusted)'!AD5-'IS (Base)'!AD5</f>
        <v>0</v>
      </c>
      <c r="AE5" s="48">
        <f>'IS (Adjusted)'!AE5-'IS (Base)'!AE5</f>
        <v>0</v>
      </c>
      <c r="AF5" s="48">
        <f>'IS (Adjusted)'!AF5-'IS (Base)'!AF5</f>
        <v>0</v>
      </c>
      <c r="AG5" s="49">
        <f>'IS (Adjusted)'!AG5-'IS (Base)'!AG5</f>
        <v>0</v>
      </c>
      <c r="AH5" s="48">
        <f>'IS (Adjusted)'!AH5-'IS (Base)'!AH5</f>
        <v>0</v>
      </c>
      <c r="AI5" s="48">
        <f>'IS (Adjusted)'!AI5-'IS (Base)'!AI5</f>
        <v>0</v>
      </c>
      <c r="AJ5" s="48">
        <f>'IS (Adjusted)'!AJ5-'IS (Base)'!AJ5</f>
        <v>0</v>
      </c>
      <c r="AK5" s="48">
        <f>'IS (Adjusted)'!AK5-'IS (Base)'!AK5</f>
        <v>0</v>
      </c>
      <c r="AL5" s="49">
        <f>'IS (Adjusted)'!AL5-'IS (Base)'!AL5</f>
        <v>0</v>
      </c>
      <c r="AM5" s="48">
        <f>'IS (Adjusted)'!AM5-'IS (Base)'!AM5</f>
        <v>0</v>
      </c>
      <c r="AN5" s="48">
        <f>'IS (Adjusted)'!AN5-'IS (Base)'!AN5</f>
        <v>0</v>
      </c>
      <c r="AO5" s="48">
        <f>'IS (Adjusted)'!AO5-'IS (Base)'!AO5</f>
        <v>0</v>
      </c>
      <c r="AP5" s="48">
        <f>'IS (Adjusted)'!AP5-'IS (Base)'!AP5</f>
        <v>0</v>
      </c>
      <c r="AQ5" s="49">
        <f>'IS (Adjusted)'!AQ5-'IS (Base)'!AQ5</f>
        <v>0</v>
      </c>
      <c r="AR5" s="48">
        <f>'IS (Adjusted)'!AR5-'IS (Base)'!AR5</f>
        <v>0</v>
      </c>
      <c r="AS5" s="48">
        <f>'IS (Adjusted)'!AS5-'IS (Base)'!AS5</f>
        <v>0</v>
      </c>
      <c r="AT5" s="48">
        <f>'IS (Adjusted)'!AT5-'IS (Base)'!AT5</f>
        <v>0</v>
      </c>
      <c r="AU5" s="48">
        <f>'IS (Adjusted)'!AU5-'IS (Base)'!AU5</f>
        <v>0</v>
      </c>
      <c r="AV5" s="49">
        <f>'IS (Adjusted)'!AV5-'IS (Base)'!AV5</f>
        <v>0</v>
      </c>
    </row>
    <row r="6" spans="1:48" outlineLevel="1" x14ac:dyDescent="0.3">
      <c r="B6" s="580" t="s">
        <v>102</v>
      </c>
      <c r="C6" s="581"/>
      <c r="D6" s="105">
        <f>'IS (Adjusted)'!D6-'IS (Base)'!D6</f>
        <v>0</v>
      </c>
      <c r="E6" s="105">
        <f>'IS (Adjusted)'!E6-'IS (Base)'!E6</f>
        <v>0</v>
      </c>
      <c r="F6" s="105">
        <f>'IS (Adjusted)'!F6-'IS (Base)'!F6</f>
        <v>0</v>
      </c>
      <c r="G6" s="105">
        <f>'IS (Adjusted)'!G6-'IS (Base)'!G6</f>
        <v>0</v>
      </c>
      <c r="H6" s="170">
        <f>'IS (Adjusted)'!H6-'IS (Base)'!H6</f>
        <v>0</v>
      </c>
      <c r="I6" s="105">
        <f>'IS (Adjusted)'!I6-'IS (Base)'!I6</f>
        <v>0</v>
      </c>
      <c r="J6" s="105">
        <f>'IS (Adjusted)'!J6-'IS (Base)'!J6</f>
        <v>0</v>
      </c>
      <c r="K6" s="105">
        <f>'IS (Adjusted)'!K6-'IS (Base)'!K6</f>
        <v>0</v>
      </c>
      <c r="L6" s="48">
        <f>'IS (Adjusted)'!L6-'IS (Base)'!L6</f>
        <v>0</v>
      </c>
      <c r="M6" s="49">
        <f>'IS (Adjusted)'!M6-'IS (Base)'!M6</f>
        <v>0</v>
      </c>
      <c r="N6" s="48">
        <f>'IS (Adjusted)'!N6-'IS (Base)'!N6</f>
        <v>0</v>
      </c>
      <c r="O6" s="48">
        <f>'IS (Adjusted)'!O6-'IS (Base)'!O6</f>
        <v>0</v>
      </c>
      <c r="P6" s="48">
        <f>'IS (Adjusted)'!P6-'IS (Base)'!P6</f>
        <v>0</v>
      </c>
      <c r="Q6" s="105">
        <f>'IS (Adjusted)'!Q6-'IS (Base)'!Q6</f>
        <v>0</v>
      </c>
      <c r="R6" s="49">
        <f>'IS (Adjusted)'!R6-'IS (Base)'!R6</f>
        <v>0</v>
      </c>
      <c r="S6" s="48">
        <f>'IS (Adjusted)'!S6-'IS (Base)'!S6</f>
        <v>0</v>
      </c>
      <c r="T6" s="48">
        <f>'IS (Adjusted)'!T6-'IS (Base)'!T6</f>
        <v>0</v>
      </c>
      <c r="U6" s="48">
        <f>'IS (Adjusted)'!U6-'IS (Base)'!U6</f>
        <v>0</v>
      </c>
      <c r="V6" s="48">
        <f>'IS (Adjusted)'!V6-'IS (Base)'!V6</f>
        <v>0</v>
      </c>
      <c r="W6" s="49">
        <f>'IS (Adjusted)'!W6-'IS (Base)'!W6</f>
        <v>0</v>
      </c>
      <c r="X6" s="105">
        <f>'IS (Adjusted)'!X6-'IS (Base)'!X6</f>
        <v>0</v>
      </c>
      <c r="Y6" s="48">
        <f>'IS (Adjusted)'!Y6-'IS (Base)'!Y6</f>
        <v>0</v>
      </c>
      <c r="Z6" s="48">
        <f>'IS (Adjusted)'!Z6-'IS (Base)'!Z6</f>
        <v>0</v>
      </c>
      <c r="AA6" s="48">
        <f>'IS (Adjusted)'!AA6-'IS (Base)'!AA6</f>
        <v>0</v>
      </c>
      <c r="AB6" s="49">
        <f>'IS (Adjusted)'!AB6-'IS (Base)'!AB6</f>
        <v>0</v>
      </c>
      <c r="AC6" s="48">
        <f>'IS (Adjusted)'!AC6-'IS (Base)'!AC6</f>
        <v>0</v>
      </c>
      <c r="AD6" s="48">
        <f>'IS (Adjusted)'!AD6-'IS (Base)'!AD6</f>
        <v>0</v>
      </c>
      <c r="AE6" s="48">
        <f>'IS (Adjusted)'!AE6-'IS (Base)'!AE6</f>
        <v>0</v>
      </c>
      <c r="AF6" s="48">
        <f>'IS (Adjusted)'!AF6-'IS (Base)'!AF6</f>
        <v>0</v>
      </c>
      <c r="AG6" s="49">
        <f>'IS (Adjusted)'!AG6-'IS (Base)'!AG6</f>
        <v>0</v>
      </c>
      <c r="AH6" s="48">
        <f>'IS (Adjusted)'!AH6-'IS (Base)'!AH6</f>
        <v>0</v>
      </c>
      <c r="AI6" s="48">
        <f>'IS (Adjusted)'!AI6-'IS (Base)'!AI6</f>
        <v>0</v>
      </c>
      <c r="AJ6" s="48">
        <f>'IS (Adjusted)'!AJ6-'IS (Base)'!AJ6</f>
        <v>0</v>
      </c>
      <c r="AK6" s="48">
        <f>'IS (Adjusted)'!AK6-'IS (Base)'!AK6</f>
        <v>0</v>
      </c>
      <c r="AL6" s="49">
        <f>'IS (Adjusted)'!AL6-'IS (Base)'!AL6</f>
        <v>0</v>
      </c>
      <c r="AM6" s="48">
        <f>'IS (Adjusted)'!AM6-'IS (Base)'!AM6</f>
        <v>0</v>
      </c>
      <c r="AN6" s="48">
        <f>'IS (Adjusted)'!AN6-'IS (Base)'!AN6</f>
        <v>0</v>
      </c>
      <c r="AO6" s="48">
        <f>'IS (Adjusted)'!AO6-'IS (Base)'!AO6</f>
        <v>0</v>
      </c>
      <c r="AP6" s="48">
        <f>'IS (Adjusted)'!AP6-'IS (Base)'!AP6</f>
        <v>0</v>
      </c>
      <c r="AQ6" s="49">
        <f>'IS (Adjusted)'!AQ6-'IS (Base)'!AQ6</f>
        <v>0</v>
      </c>
      <c r="AR6" s="48">
        <f>'IS (Adjusted)'!AR6-'IS (Base)'!AR6</f>
        <v>0</v>
      </c>
      <c r="AS6" s="48">
        <f>'IS (Adjusted)'!AS6-'IS (Base)'!AS6</f>
        <v>0</v>
      </c>
      <c r="AT6" s="48">
        <f>'IS (Adjusted)'!AT6-'IS (Base)'!AT6</f>
        <v>0</v>
      </c>
      <c r="AU6" s="48">
        <f>'IS (Adjusted)'!AU6-'IS (Base)'!AU6</f>
        <v>0</v>
      </c>
      <c r="AV6" s="49">
        <f>'IS (Adjusted)'!AV6-'IS (Base)'!AV6</f>
        <v>0</v>
      </c>
    </row>
    <row r="7" spans="1:48" ht="16.2" outlineLevel="1" x14ac:dyDescent="0.45">
      <c r="B7" s="580" t="s">
        <v>103</v>
      </c>
      <c r="C7" s="581"/>
      <c r="D7" s="104">
        <f>'IS (Adjusted)'!D7-'IS (Base)'!D7</f>
        <v>0</v>
      </c>
      <c r="E7" s="104">
        <f>'IS (Adjusted)'!E7-'IS (Base)'!E7</f>
        <v>0</v>
      </c>
      <c r="F7" s="104">
        <f>'IS (Adjusted)'!F7-'IS (Base)'!F7</f>
        <v>0</v>
      </c>
      <c r="G7" s="104">
        <f>'IS (Adjusted)'!G7-'IS (Base)'!G7</f>
        <v>0</v>
      </c>
      <c r="H7" s="173">
        <f>'IS (Adjusted)'!H7-'IS (Base)'!H7</f>
        <v>0</v>
      </c>
      <c r="I7" s="104">
        <f>'IS (Adjusted)'!I7-'IS (Base)'!I7</f>
        <v>0</v>
      </c>
      <c r="J7" s="104">
        <f>'IS (Adjusted)'!J7-'IS (Base)'!J7</f>
        <v>0</v>
      </c>
      <c r="K7" s="104">
        <f>'IS (Adjusted)'!K7-'IS (Base)'!K7</f>
        <v>0</v>
      </c>
      <c r="L7" s="52">
        <f>'IS (Adjusted)'!L7-'IS (Base)'!L7</f>
        <v>0</v>
      </c>
      <c r="M7" s="53">
        <f>'IS (Adjusted)'!M7-'IS (Base)'!M7</f>
        <v>0</v>
      </c>
      <c r="N7" s="52">
        <f>'IS (Adjusted)'!N7-'IS (Base)'!N7</f>
        <v>0</v>
      </c>
      <c r="O7" s="52">
        <f>'IS (Adjusted)'!O7-'IS (Base)'!O7</f>
        <v>0</v>
      </c>
      <c r="P7" s="52">
        <f>'IS (Adjusted)'!P7-'IS (Base)'!P7</f>
        <v>0</v>
      </c>
      <c r="Q7" s="104">
        <f>'IS (Adjusted)'!Q7-'IS (Base)'!Q7</f>
        <v>0</v>
      </c>
      <c r="R7" s="53">
        <f>'IS (Adjusted)'!R7-'IS (Base)'!R7</f>
        <v>0</v>
      </c>
      <c r="S7" s="52">
        <f>'IS (Adjusted)'!S7-'IS (Base)'!S7</f>
        <v>0</v>
      </c>
      <c r="T7" s="52">
        <f>'IS (Adjusted)'!T7-'IS (Base)'!T7</f>
        <v>0</v>
      </c>
      <c r="U7" s="52">
        <f>'IS (Adjusted)'!U7-'IS (Base)'!U7</f>
        <v>0</v>
      </c>
      <c r="V7" s="52">
        <f>'IS (Adjusted)'!V7-'IS (Base)'!V7</f>
        <v>0</v>
      </c>
      <c r="W7" s="173">
        <f>'IS (Adjusted)'!W7-'IS (Base)'!W7</f>
        <v>0</v>
      </c>
      <c r="X7" s="104">
        <f>'IS (Adjusted)'!X7-'IS (Base)'!X7</f>
        <v>0</v>
      </c>
      <c r="Y7" s="52">
        <f>'IS (Adjusted)'!Y7-'IS (Base)'!Y7</f>
        <v>0</v>
      </c>
      <c r="Z7" s="52">
        <f>'IS (Adjusted)'!Z7-'IS (Base)'!Z7</f>
        <v>0</v>
      </c>
      <c r="AA7" s="52">
        <f>'IS (Adjusted)'!AA7-'IS (Base)'!AA7</f>
        <v>0</v>
      </c>
      <c r="AB7" s="53">
        <f>'IS (Adjusted)'!AB7-'IS (Base)'!AB7</f>
        <v>0</v>
      </c>
      <c r="AC7" s="52">
        <f>'IS (Adjusted)'!AC7-'IS (Base)'!AC7</f>
        <v>0</v>
      </c>
      <c r="AD7" s="52">
        <f>'IS (Adjusted)'!AD7-'IS (Base)'!AD7</f>
        <v>0</v>
      </c>
      <c r="AE7" s="52">
        <f>'IS (Adjusted)'!AE7-'IS (Base)'!AE7</f>
        <v>0</v>
      </c>
      <c r="AF7" s="52">
        <f>'IS (Adjusted)'!AF7-'IS (Base)'!AF7</f>
        <v>0</v>
      </c>
      <c r="AG7" s="53">
        <f>'IS (Adjusted)'!AG7-'IS (Base)'!AG7</f>
        <v>0</v>
      </c>
      <c r="AH7" s="52">
        <f>'IS (Adjusted)'!AH7-'IS (Base)'!AH7</f>
        <v>0</v>
      </c>
      <c r="AI7" s="52">
        <f>'IS (Adjusted)'!AI7-'IS (Base)'!AI7</f>
        <v>0</v>
      </c>
      <c r="AJ7" s="52">
        <f>'IS (Adjusted)'!AJ7-'IS (Base)'!AJ7</f>
        <v>0</v>
      </c>
      <c r="AK7" s="52">
        <f>'IS (Adjusted)'!AK7-'IS (Base)'!AK7</f>
        <v>0</v>
      </c>
      <c r="AL7" s="53">
        <f>'IS (Adjusted)'!AL7-'IS (Base)'!AL7</f>
        <v>0</v>
      </c>
      <c r="AM7" s="52">
        <f>'IS (Adjusted)'!AM7-'IS (Base)'!AM7</f>
        <v>0</v>
      </c>
      <c r="AN7" s="52">
        <f>'IS (Adjusted)'!AN7-'IS (Base)'!AN7</f>
        <v>0</v>
      </c>
      <c r="AO7" s="52">
        <f>'IS (Adjusted)'!AO7-'IS (Base)'!AO7</f>
        <v>0</v>
      </c>
      <c r="AP7" s="52">
        <f>'IS (Adjusted)'!AP7-'IS (Base)'!AP7</f>
        <v>0</v>
      </c>
      <c r="AQ7" s="53">
        <f>'IS (Adjusted)'!AQ7-'IS (Base)'!AQ7</f>
        <v>0</v>
      </c>
      <c r="AR7" s="52">
        <f>'IS (Adjusted)'!AR7-'IS (Base)'!AR7</f>
        <v>0</v>
      </c>
      <c r="AS7" s="52">
        <f>'IS (Adjusted)'!AS7-'IS (Base)'!AS7</f>
        <v>0</v>
      </c>
      <c r="AT7" s="52">
        <f>'IS (Adjusted)'!AT7-'IS (Base)'!AT7</f>
        <v>0</v>
      </c>
      <c r="AU7" s="52">
        <f>'IS (Adjusted)'!AU7-'IS (Base)'!AU7</f>
        <v>0</v>
      </c>
      <c r="AV7" s="53">
        <f>'IS (Adjusted)'!AV7-'IS (Base)'!AV7</f>
        <v>0</v>
      </c>
    </row>
    <row r="8" spans="1:48" s="8" customFormat="1" x14ac:dyDescent="0.3">
      <c r="B8" s="587" t="s">
        <v>104</v>
      </c>
      <c r="C8" s="588"/>
      <c r="D8" s="103">
        <f>'IS (Adjusted)'!D8-'IS (Base)'!D8</f>
        <v>0</v>
      </c>
      <c r="E8" s="103">
        <f>'IS (Adjusted)'!E8-'IS (Base)'!E8</f>
        <v>0</v>
      </c>
      <c r="F8" s="103">
        <f>'IS (Adjusted)'!F8-'IS (Base)'!F8</f>
        <v>0</v>
      </c>
      <c r="G8" s="103">
        <f>'IS (Adjusted)'!G8-'IS (Base)'!G8</f>
        <v>0</v>
      </c>
      <c r="H8" s="171">
        <f>'IS (Adjusted)'!H8-'IS (Base)'!H8</f>
        <v>0</v>
      </c>
      <c r="I8" s="103">
        <f>'IS (Adjusted)'!I8-'IS (Base)'!I8</f>
        <v>0</v>
      </c>
      <c r="J8" s="103">
        <f>'IS (Adjusted)'!J8-'IS (Base)'!J8</f>
        <v>0</v>
      </c>
      <c r="K8" s="103">
        <f>'IS (Adjusted)'!K8-'IS (Base)'!K8</f>
        <v>0</v>
      </c>
      <c r="L8" s="103">
        <f>'IS (Adjusted)'!L8-'IS (Base)'!L8</f>
        <v>0</v>
      </c>
      <c r="M8" s="171">
        <f>'IS (Adjusted)'!M8-'IS (Base)'!M8</f>
        <v>0</v>
      </c>
      <c r="N8" s="103">
        <f>'IS (Adjusted)'!N8-'IS (Base)'!N8</f>
        <v>0</v>
      </c>
      <c r="O8" s="103">
        <f>'IS (Adjusted)'!O8-'IS (Base)'!O8</f>
        <v>0</v>
      </c>
      <c r="P8" s="103">
        <f>'IS (Adjusted)'!P8-'IS (Base)'!P8</f>
        <v>0</v>
      </c>
      <c r="Q8" s="103">
        <f>'IS (Adjusted)'!Q8-'IS (Base)'!Q8</f>
        <v>0</v>
      </c>
      <c r="R8" s="171">
        <f>'IS (Adjusted)'!R8-'IS (Base)'!R8</f>
        <v>0</v>
      </c>
      <c r="S8" s="103">
        <f>'IS (Adjusted)'!S8-'IS (Base)'!S8</f>
        <v>0</v>
      </c>
      <c r="T8" s="103">
        <f>'IS (Adjusted)'!T8-'IS (Base)'!T8</f>
        <v>0</v>
      </c>
      <c r="U8" s="103">
        <f>'IS (Adjusted)'!U8-'IS (Base)'!U8</f>
        <v>0</v>
      </c>
      <c r="V8" s="103">
        <f>'IS (Adjusted)'!V8-'IS (Base)'!V8</f>
        <v>0</v>
      </c>
      <c r="W8" s="171">
        <f>'IS (Adjusted)'!W8-'IS (Base)'!W8</f>
        <v>0</v>
      </c>
      <c r="X8" s="103">
        <f>'IS (Adjusted)'!X8-'IS (Base)'!X8</f>
        <v>0</v>
      </c>
      <c r="Y8" s="50">
        <f>'IS (Adjusted)'!Y8-'IS (Base)'!Y8</f>
        <v>0</v>
      </c>
      <c r="Z8" s="50">
        <f>'IS (Adjusted)'!Z8-'IS (Base)'!Z8</f>
        <v>0</v>
      </c>
      <c r="AA8" s="50">
        <f>'IS (Adjusted)'!AA8-'IS (Base)'!AA8</f>
        <v>0</v>
      </c>
      <c r="AB8" s="489">
        <f>'IS (Adjusted)'!AB8-'IS (Base)'!AB8</f>
        <v>0</v>
      </c>
      <c r="AC8" s="50">
        <f>'IS (Adjusted)'!AC8-'IS (Base)'!AC8</f>
        <v>0</v>
      </c>
      <c r="AD8" s="50">
        <f>'IS (Adjusted)'!AD8-'IS (Base)'!AD8</f>
        <v>0</v>
      </c>
      <c r="AE8" s="50">
        <f>'IS (Adjusted)'!AE8-'IS (Base)'!AE8</f>
        <v>0</v>
      </c>
      <c r="AF8" s="50">
        <f>'IS (Adjusted)'!AF8-'IS (Base)'!AF8</f>
        <v>0</v>
      </c>
      <c r="AG8" s="51">
        <f>'IS (Adjusted)'!AG8-'IS (Base)'!AG8</f>
        <v>0</v>
      </c>
      <c r="AH8" s="50">
        <f>'IS (Adjusted)'!AH8-'IS (Base)'!AH8</f>
        <v>0</v>
      </c>
      <c r="AI8" s="50">
        <f>'IS (Adjusted)'!AI8-'IS (Base)'!AI8</f>
        <v>0</v>
      </c>
      <c r="AJ8" s="50">
        <f>'IS (Adjusted)'!AJ8-'IS (Base)'!AJ8</f>
        <v>0</v>
      </c>
      <c r="AK8" s="50">
        <f>'IS (Adjusted)'!AK8-'IS (Base)'!AK8</f>
        <v>0</v>
      </c>
      <c r="AL8" s="51">
        <f>'IS (Adjusted)'!AL8-'IS (Base)'!AL8</f>
        <v>0</v>
      </c>
      <c r="AM8" s="50">
        <f>'IS (Adjusted)'!AM8-'IS (Base)'!AM8</f>
        <v>0</v>
      </c>
      <c r="AN8" s="50">
        <f>'IS (Adjusted)'!AN8-'IS (Base)'!AN8</f>
        <v>0</v>
      </c>
      <c r="AO8" s="50">
        <f>'IS (Adjusted)'!AO8-'IS (Base)'!AO8</f>
        <v>0</v>
      </c>
      <c r="AP8" s="50">
        <f>'IS (Adjusted)'!AP8-'IS (Base)'!AP8</f>
        <v>0</v>
      </c>
      <c r="AQ8" s="51">
        <f>'IS (Adjusted)'!AQ8-'IS (Base)'!AQ8</f>
        <v>0</v>
      </c>
      <c r="AR8" s="50">
        <f>'IS (Adjusted)'!AR8-'IS (Base)'!AR8</f>
        <v>0</v>
      </c>
      <c r="AS8" s="50">
        <f>'IS (Adjusted)'!AS8-'IS (Base)'!AS8</f>
        <v>0</v>
      </c>
      <c r="AT8" s="50">
        <f>'IS (Adjusted)'!AT8-'IS (Base)'!AT8</f>
        <v>0</v>
      </c>
      <c r="AU8" s="50">
        <f>'IS (Adjusted)'!AU8-'IS (Base)'!AU8</f>
        <v>0</v>
      </c>
      <c r="AV8" s="51">
        <f>'IS (Adjusted)'!AV8-'IS (Base)'!AV8</f>
        <v>0</v>
      </c>
    </row>
    <row r="9" spans="1:48" outlineLevel="1" x14ac:dyDescent="0.3">
      <c r="B9" s="589" t="s">
        <v>100</v>
      </c>
      <c r="C9" s="590"/>
      <c r="D9" s="105">
        <f>'IS (Adjusted)'!D9-'IS (Base)'!D9</f>
        <v>0</v>
      </c>
      <c r="E9" s="105">
        <f>'IS (Adjusted)'!E9-'IS (Base)'!E9</f>
        <v>0</v>
      </c>
      <c r="F9" s="105">
        <f>'IS (Adjusted)'!F9-'IS (Base)'!F9</f>
        <v>0</v>
      </c>
      <c r="G9" s="105">
        <f>'IS (Adjusted)'!G9-'IS (Base)'!G9</f>
        <v>0</v>
      </c>
      <c r="H9" s="170">
        <f>'IS (Adjusted)'!H9-'IS (Base)'!H9</f>
        <v>0</v>
      </c>
      <c r="I9" s="105">
        <f>'IS (Adjusted)'!I9-'IS (Base)'!I9</f>
        <v>0</v>
      </c>
      <c r="J9" s="105">
        <f>'IS (Adjusted)'!J9-'IS (Base)'!J9</f>
        <v>0</v>
      </c>
      <c r="K9" s="105">
        <f>'IS (Adjusted)'!K9-'IS (Base)'!K9</f>
        <v>0</v>
      </c>
      <c r="L9" s="105">
        <f>'IS (Adjusted)'!L9-'IS (Base)'!L9</f>
        <v>0</v>
      </c>
      <c r="M9" s="170">
        <f>'IS (Adjusted)'!M9-'IS (Base)'!M9</f>
        <v>0</v>
      </c>
      <c r="N9" s="105">
        <f>'IS (Adjusted)'!N9-'IS (Base)'!N9</f>
        <v>0</v>
      </c>
      <c r="O9" s="105">
        <f>'IS (Adjusted)'!O9-'IS (Base)'!O9</f>
        <v>0</v>
      </c>
      <c r="P9" s="105">
        <f>'IS (Adjusted)'!P9-'IS (Base)'!P9</f>
        <v>0</v>
      </c>
      <c r="Q9" s="105">
        <f>'IS (Adjusted)'!Q9-'IS (Base)'!Q9</f>
        <v>0</v>
      </c>
      <c r="R9" s="170">
        <f>'IS (Adjusted)'!R9-'IS (Base)'!R9</f>
        <v>0</v>
      </c>
      <c r="S9" s="105">
        <f>'IS (Adjusted)'!S9-'IS (Base)'!S9</f>
        <v>0</v>
      </c>
      <c r="T9" s="105">
        <f>'IS (Adjusted)'!T9-'IS (Base)'!T9</f>
        <v>0</v>
      </c>
      <c r="U9" s="105">
        <f>'IS (Adjusted)'!U9-'IS (Base)'!U9</f>
        <v>0</v>
      </c>
      <c r="V9" s="105">
        <f>'IS (Adjusted)'!V9-'IS (Base)'!V9</f>
        <v>0</v>
      </c>
      <c r="W9" s="170">
        <f>'IS (Adjusted)'!W9-'IS (Base)'!W9</f>
        <v>0</v>
      </c>
      <c r="X9" s="105">
        <f>'IS (Adjusted)'!X9-'IS (Base)'!X9</f>
        <v>0</v>
      </c>
      <c r="Y9" s="105">
        <f>'IS (Adjusted)'!Y9-'IS (Base)'!Y9</f>
        <v>0</v>
      </c>
      <c r="Z9" s="105">
        <f>'IS (Adjusted)'!Z9-'IS (Base)'!Z9</f>
        <v>0</v>
      </c>
      <c r="AA9" s="105">
        <f>'IS (Adjusted)'!AA9-'IS (Base)'!AA9</f>
        <v>0</v>
      </c>
      <c r="AB9" s="49">
        <f>'IS (Adjusted)'!AB9-'IS (Base)'!AB9</f>
        <v>0</v>
      </c>
      <c r="AC9" s="105">
        <f>'IS (Adjusted)'!AC9-'IS (Base)'!AC9</f>
        <v>0</v>
      </c>
      <c r="AD9" s="105">
        <f>'IS (Adjusted)'!AD9-'IS (Base)'!AD9</f>
        <v>0</v>
      </c>
      <c r="AE9" s="105">
        <f>'IS (Adjusted)'!AE9-'IS (Base)'!AE9</f>
        <v>0</v>
      </c>
      <c r="AF9" s="105">
        <f>'IS (Adjusted)'!AF9-'IS (Base)'!AF9</f>
        <v>0</v>
      </c>
      <c r="AG9" s="49">
        <f>'IS (Adjusted)'!AG9-'IS (Base)'!AG9</f>
        <v>0</v>
      </c>
      <c r="AH9" s="105">
        <f>'IS (Adjusted)'!AH9-'IS (Base)'!AH9</f>
        <v>0</v>
      </c>
      <c r="AI9" s="105">
        <f>'IS (Adjusted)'!AI9-'IS (Base)'!AI9</f>
        <v>0</v>
      </c>
      <c r="AJ9" s="105">
        <f>'IS (Adjusted)'!AJ9-'IS (Base)'!AJ9</f>
        <v>0</v>
      </c>
      <c r="AK9" s="105">
        <f>'IS (Adjusted)'!AK9-'IS (Base)'!AK9</f>
        <v>0</v>
      </c>
      <c r="AL9" s="49">
        <f>'IS (Adjusted)'!AL9-'IS (Base)'!AL9</f>
        <v>0</v>
      </c>
      <c r="AM9" s="105">
        <f>'IS (Adjusted)'!AM9-'IS (Base)'!AM9</f>
        <v>0</v>
      </c>
      <c r="AN9" s="105">
        <f>'IS (Adjusted)'!AN9-'IS (Base)'!AN9</f>
        <v>0</v>
      </c>
      <c r="AO9" s="105">
        <f>'IS (Adjusted)'!AO9-'IS (Base)'!AO9</f>
        <v>0</v>
      </c>
      <c r="AP9" s="105">
        <f>'IS (Adjusted)'!AP9-'IS (Base)'!AP9</f>
        <v>0</v>
      </c>
      <c r="AQ9" s="49">
        <f>'IS (Adjusted)'!AQ9-'IS (Base)'!AQ9</f>
        <v>0</v>
      </c>
      <c r="AR9" s="105">
        <f>'IS (Adjusted)'!AR9-'IS (Base)'!AR9</f>
        <v>0</v>
      </c>
      <c r="AS9" s="105">
        <f>'IS (Adjusted)'!AS9-'IS (Base)'!AS9</f>
        <v>0</v>
      </c>
      <c r="AT9" s="105">
        <f>'IS (Adjusted)'!AT9-'IS (Base)'!AT9</f>
        <v>0</v>
      </c>
      <c r="AU9" s="105">
        <f>'IS (Adjusted)'!AU9-'IS (Base)'!AU9</f>
        <v>0</v>
      </c>
      <c r="AV9" s="49">
        <f>'IS (Adjusted)'!AV9-'IS (Base)'!AV9</f>
        <v>0</v>
      </c>
    </row>
    <row r="10" spans="1:48" outlineLevel="1" x14ac:dyDescent="0.3">
      <c r="B10" s="38" t="s">
        <v>32</v>
      </c>
      <c r="C10" s="18"/>
      <c r="D10" s="105">
        <f>'IS (Adjusted)'!D10-'IS (Base)'!D10</f>
        <v>0</v>
      </c>
      <c r="E10" s="105">
        <f>'IS (Adjusted)'!E10-'IS (Base)'!E10</f>
        <v>0</v>
      </c>
      <c r="F10" s="105">
        <f>'IS (Adjusted)'!F10-'IS (Base)'!F10</f>
        <v>0</v>
      </c>
      <c r="G10" s="105">
        <f>'IS (Adjusted)'!G10-'IS (Base)'!G10</f>
        <v>0</v>
      </c>
      <c r="H10" s="170">
        <f>'IS (Adjusted)'!H10-'IS (Base)'!H10</f>
        <v>0</v>
      </c>
      <c r="I10" s="105">
        <f>'IS (Adjusted)'!I10-'IS (Base)'!I10</f>
        <v>0</v>
      </c>
      <c r="J10" s="105">
        <f>'IS (Adjusted)'!J10-'IS (Base)'!J10</f>
        <v>0</v>
      </c>
      <c r="K10" s="105">
        <f>'IS (Adjusted)'!K10-'IS (Base)'!K10</f>
        <v>0</v>
      </c>
      <c r="L10" s="48">
        <f>'IS (Adjusted)'!L10-'IS (Base)'!L10</f>
        <v>0</v>
      </c>
      <c r="M10" s="49">
        <f>'IS (Adjusted)'!M10-'IS (Base)'!M10</f>
        <v>0</v>
      </c>
      <c r="N10" s="48">
        <f>'IS (Adjusted)'!N10-'IS (Base)'!N10</f>
        <v>0</v>
      </c>
      <c r="O10" s="105">
        <f>'IS (Adjusted)'!O10-'IS (Base)'!O10</f>
        <v>0</v>
      </c>
      <c r="P10" s="105">
        <f>'IS (Adjusted)'!P10-'IS (Base)'!P10</f>
        <v>0</v>
      </c>
      <c r="Q10" s="105">
        <f>'IS (Adjusted)'!Q10-'IS (Base)'!Q10</f>
        <v>0</v>
      </c>
      <c r="R10" s="170">
        <f>'IS (Adjusted)'!R10-'IS (Base)'!R10</f>
        <v>0</v>
      </c>
      <c r="S10" s="48">
        <f>'IS (Adjusted)'!S10-'IS (Base)'!S10</f>
        <v>0</v>
      </c>
      <c r="T10" s="48">
        <f>'IS (Adjusted)'!T10-'IS (Base)'!T10</f>
        <v>0</v>
      </c>
      <c r="U10" s="48">
        <f>'IS (Adjusted)'!U10-'IS (Base)'!U10</f>
        <v>0</v>
      </c>
      <c r="V10" s="48">
        <f>'IS (Adjusted)'!V10-'IS (Base)'!V10</f>
        <v>0</v>
      </c>
      <c r="W10" s="170">
        <f>'IS (Adjusted)'!W10-'IS (Base)'!W10</f>
        <v>0</v>
      </c>
      <c r="X10" s="105">
        <f>'IS (Adjusted)'!X10-'IS (Base)'!X10</f>
        <v>0</v>
      </c>
      <c r="Y10" s="48">
        <f>'IS (Adjusted)'!Y10-'IS (Base)'!Y10</f>
        <v>0</v>
      </c>
      <c r="Z10" s="48">
        <f>'IS (Adjusted)'!Z10-'IS (Base)'!Z10</f>
        <v>0</v>
      </c>
      <c r="AA10" s="48">
        <f>'IS (Adjusted)'!AA10-'IS (Base)'!AA10</f>
        <v>0</v>
      </c>
      <c r="AB10" s="49">
        <f>'IS (Adjusted)'!AB10-'IS (Base)'!AB10</f>
        <v>0</v>
      </c>
      <c r="AC10" s="48">
        <f>'IS (Adjusted)'!AC10-'IS (Base)'!AC10</f>
        <v>0</v>
      </c>
      <c r="AD10" s="48">
        <f>'IS (Adjusted)'!AD10-'IS (Base)'!AD10</f>
        <v>0</v>
      </c>
      <c r="AE10" s="48">
        <f>'IS (Adjusted)'!AE10-'IS (Base)'!AE10</f>
        <v>0</v>
      </c>
      <c r="AF10" s="48">
        <f>'IS (Adjusted)'!AF10-'IS (Base)'!AF10</f>
        <v>0</v>
      </c>
      <c r="AG10" s="49">
        <f>'IS (Adjusted)'!AG10-'IS (Base)'!AG10</f>
        <v>0</v>
      </c>
      <c r="AH10" s="48">
        <f>'IS (Adjusted)'!AH10-'IS (Base)'!AH10</f>
        <v>0</v>
      </c>
      <c r="AI10" s="48">
        <f>'IS (Adjusted)'!AI10-'IS (Base)'!AI10</f>
        <v>0</v>
      </c>
      <c r="AJ10" s="48">
        <f>'IS (Adjusted)'!AJ10-'IS (Base)'!AJ10</f>
        <v>0</v>
      </c>
      <c r="AK10" s="48">
        <f>'IS (Adjusted)'!AK10-'IS (Base)'!AK10</f>
        <v>0</v>
      </c>
      <c r="AL10" s="49">
        <f>'IS (Adjusted)'!AL10-'IS (Base)'!AL10</f>
        <v>0</v>
      </c>
      <c r="AM10" s="48">
        <f>'IS (Adjusted)'!AM10-'IS (Base)'!AM10</f>
        <v>0</v>
      </c>
      <c r="AN10" s="48">
        <f>'IS (Adjusted)'!AN10-'IS (Base)'!AN10</f>
        <v>0</v>
      </c>
      <c r="AO10" s="48">
        <f>'IS (Adjusted)'!AO10-'IS (Base)'!AO10</f>
        <v>0</v>
      </c>
      <c r="AP10" s="48">
        <f>'IS (Adjusted)'!AP10-'IS (Base)'!AP10</f>
        <v>0</v>
      </c>
      <c r="AQ10" s="49">
        <f>'IS (Adjusted)'!AQ10-'IS (Base)'!AQ10</f>
        <v>0</v>
      </c>
      <c r="AR10" s="48">
        <f>'IS (Adjusted)'!AR10-'IS (Base)'!AR10</f>
        <v>0</v>
      </c>
      <c r="AS10" s="48">
        <f>'IS (Adjusted)'!AS10-'IS (Base)'!AS10</f>
        <v>0</v>
      </c>
      <c r="AT10" s="48">
        <f>'IS (Adjusted)'!AT10-'IS (Base)'!AT10</f>
        <v>0</v>
      </c>
      <c r="AU10" s="48">
        <f>'IS (Adjusted)'!AU10-'IS (Base)'!AU10</f>
        <v>0</v>
      </c>
      <c r="AV10" s="49">
        <f>'IS (Adjusted)'!AV10-'IS (Base)'!AV10</f>
        <v>0</v>
      </c>
    </row>
    <row r="11" spans="1:48" outlineLevel="1" x14ac:dyDescent="0.3">
      <c r="B11" s="38" t="s">
        <v>33</v>
      </c>
      <c r="C11" s="18"/>
      <c r="D11" s="105">
        <f>'IS (Adjusted)'!D11-'IS (Base)'!D11</f>
        <v>0</v>
      </c>
      <c r="E11" s="105">
        <f>'IS (Adjusted)'!E11-'IS (Base)'!E11</f>
        <v>0</v>
      </c>
      <c r="F11" s="105">
        <f>'IS (Adjusted)'!F11-'IS (Base)'!F11</f>
        <v>0</v>
      </c>
      <c r="G11" s="105">
        <f>'IS (Adjusted)'!G11-'IS (Base)'!G11</f>
        <v>0</v>
      </c>
      <c r="H11" s="170">
        <f>'IS (Adjusted)'!H11-'IS (Base)'!H11</f>
        <v>0</v>
      </c>
      <c r="I11" s="105">
        <f>'IS (Adjusted)'!I11-'IS (Base)'!I11</f>
        <v>0</v>
      </c>
      <c r="J11" s="105">
        <f>'IS (Adjusted)'!J11-'IS (Base)'!J11</f>
        <v>0</v>
      </c>
      <c r="K11" s="105">
        <f>'IS (Adjusted)'!K11-'IS (Base)'!K11</f>
        <v>0</v>
      </c>
      <c r="L11" s="48">
        <f>'IS (Adjusted)'!L11-'IS (Base)'!L11</f>
        <v>0</v>
      </c>
      <c r="M11" s="49">
        <f>'IS (Adjusted)'!M11-'IS (Base)'!M11</f>
        <v>0</v>
      </c>
      <c r="N11" s="48">
        <f>'IS (Adjusted)'!N11-'IS (Base)'!N11</f>
        <v>0</v>
      </c>
      <c r="O11" s="105">
        <f>'IS (Adjusted)'!O11-'IS (Base)'!O11</f>
        <v>0</v>
      </c>
      <c r="P11" s="105">
        <f>'IS (Adjusted)'!P11-'IS (Base)'!P11</f>
        <v>0</v>
      </c>
      <c r="Q11" s="105">
        <f>'IS (Adjusted)'!Q11-'IS (Base)'!Q11</f>
        <v>0</v>
      </c>
      <c r="R11" s="170">
        <f>'IS (Adjusted)'!R11-'IS (Base)'!R11</f>
        <v>0</v>
      </c>
      <c r="S11" s="48">
        <f>'IS (Adjusted)'!S11-'IS (Base)'!S11</f>
        <v>0</v>
      </c>
      <c r="T11" s="48">
        <f>'IS (Adjusted)'!T11-'IS (Base)'!T11</f>
        <v>0</v>
      </c>
      <c r="U11" s="48">
        <f>'IS (Adjusted)'!U11-'IS (Base)'!U11</f>
        <v>0</v>
      </c>
      <c r="V11" s="48">
        <f>'IS (Adjusted)'!V11-'IS (Base)'!V11</f>
        <v>0</v>
      </c>
      <c r="W11" s="170">
        <f>'IS (Adjusted)'!W11-'IS (Base)'!W11</f>
        <v>0</v>
      </c>
      <c r="X11" s="105">
        <f>'IS (Adjusted)'!X11-'IS (Base)'!X11</f>
        <v>0</v>
      </c>
      <c r="Y11" s="48">
        <f>'IS (Adjusted)'!Y11-'IS (Base)'!Y11</f>
        <v>0</v>
      </c>
      <c r="Z11" s="48">
        <f>'IS (Adjusted)'!Z11-'IS (Base)'!Z11</f>
        <v>0</v>
      </c>
      <c r="AA11" s="48">
        <f>'IS (Adjusted)'!AA11-'IS (Base)'!AA11</f>
        <v>0</v>
      </c>
      <c r="AB11" s="49">
        <f>'IS (Adjusted)'!AB11-'IS (Base)'!AB11</f>
        <v>0</v>
      </c>
      <c r="AC11" s="48">
        <f>'IS (Adjusted)'!AC11-'IS (Base)'!AC11</f>
        <v>0</v>
      </c>
      <c r="AD11" s="48">
        <f>'IS (Adjusted)'!AD11-'IS (Base)'!AD11</f>
        <v>0</v>
      </c>
      <c r="AE11" s="48">
        <f>'IS (Adjusted)'!AE11-'IS (Base)'!AE11</f>
        <v>0</v>
      </c>
      <c r="AF11" s="48">
        <f>'IS (Adjusted)'!AF11-'IS (Base)'!AF11</f>
        <v>0</v>
      </c>
      <c r="AG11" s="49">
        <f>'IS (Adjusted)'!AG11-'IS (Base)'!AG11</f>
        <v>0</v>
      </c>
      <c r="AH11" s="48">
        <f>'IS (Adjusted)'!AH11-'IS (Base)'!AH11</f>
        <v>0</v>
      </c>
      <c r="AI11" s="48">
        <f>'IS (Adjusted)'!AI11-'IS (Base)'!AI11</f>
        <v>0</v>
      </c>
      <c r="AJ11" s="48">
        <f>'IS (Adjusted)'!AJ11-'IS (Base)'!AJ11</f>
        <v>0</v>
      </c>
      <c r="AK11" s="48">
        <f>'IS (Adjusted)'!AK11-'IS (Base)'!AK11</f>
        <v>0</v>
      </c>
      <c r="AL11" s="49">
        <f>'IS (Adjusted)'!AL11-'IS (Base)'!AL11</f>
        <v>0</v>
      </c>
      <c r="AM11" s="48">
        <f>'IS (Adjusted)'!AM11-'IS (Base)'!AM11</f>
        <v>0</v>
      </c>
      <c r="AN11" s="48">
        <f>'IS (Adjusted)'!AN11-'IS (Base)'!AN11</f>
        <v>0</v>
      </c>
      <c r="AO11" s="48">
        <f>'IS (Adjusted)'!AO11-'IS (Base)'!AO11</f>
        <v>0</v>
      </c>
      <c r="AP11" s="48">
        <f>'IS (Adjusted)'!AP11-'IS (Base)'!AP11</f>
        <v>0</v>
      </c>
      <c r="AQ11" s="49">
        <f>'IS (Adjusted)'!AQ11-'IS (Base)'!AQ11</f>
        <v>0</v>
      </c>
      <c r="AR11" s="48">
        <f>'IS (Adjusted)'!AR11-'IS (Base)'!AR11</f>
        <v>0</v>
      </c>
      <c r="AS11" s="48">
        <f>'IS (Adjusted)'!AS11-'IS (Base)'!AS11</f>
        <v>0</v>
      </c>
      <c r="AT11" s="48">
        <f>'IS (Adjusted)'!AT11-'IS (Base)'!AT11</f>
        <v>0</v>
      </c>
      <c r="AU11" s="48">
        <f>'IS (Adjusted)'!AU11-'IS (Base)'!AU11</f>
        <v>0</v>
      </c>
      <c r="AV11" s="49">
        <f>'IS (Adjusted)'!AV11-'IS (Base)'!AV11</f>
        <v>0</v>
      </c>
    </row>
    <row r="12" spans="1:48" outlineLevel="1" x14ac:dyDescent="0.3">
      <c r="B12" s="38" t="s">
        <v>34</v>
      </c>
      <c r="C12" s="18"/>
      <c r="D12" s="105">
        <f>'IS (Adjusted)'!D12-'IS (Base)'!D12</f>
        <v>0</v>
      </c>
      <c r="E12" s="105">
        <f>'IS (Adjusted)'!E12-'IS (Base)'!E12</f>
        <v>0</v>
      </c>
      <c r="F12" s="105">
        <f>'IS (Adjusted)'!F12-'IS (Base)'!F12</f>
        <v>0</v>
      </c>
      <c r="G12" s="105">
        <f>'IS (Adjusted)'!G12-'IS (Base)'!G12</f>
        <v>0</v>
      </c>
      <c r="H12" s="170">
        <f>'IS (Adjusted)'!H12-'IS (Base)'!H12</f>
        <v>0</v>
      </c>
      <c r="I12" s="105">
        <f>'IS (Adjusted)'!I12-'IS (Base)'!I12</f>
        <v>0</v>
      </c>
      <c r="J12" s="105">
        <f>'IS (Adjusted)'!J12-'IS (Base)'!J12</f>
        <v>0</v>
      </c>
      <c r="K12" s="105">
        <f>'IS (Adjusted)'!K12-'IS (Base)'!K12</f>
        <v>0</v>
      </c>
      <c r="L12" s="48">
        <f>'IS (Adjusted)'!L12-'IS (Base)'!L12</f>
        <v>0</v>
      </c>
      <c r="M12" s="49">
        <f>'IS (Adjusted)'!M12-'IS (Base)'!M12</f>
        <v>0</v>
      </c>
      <c r="N12" s="48">
        <f>'IS (Adjusted)'!N12-'IS (Base)'!N12</f>
        <v>0</v>
      </c>
      <c r="O12" s="105">
        <f>'IS (Adjusted)'!O12-'IS (Base)'!O12</f>
        <v>0</v>
      </c>
      <c r="P12" s="105">
        <f>'IS (Adjusted)'!P12-'IS (Base)'!P12</f>
        <v>0</v>
      </c>
      <c r="Q12" s="105">
        <f>'IS (Adjusted)'!Q12-'IS (Base)'!Q12</f>
        <v>0</v>
      </c>
      <c r="R12" s="170">
        <f>'IS (Adjusted)'!R12-'IS (Base)'!R12</f>
        <v>0</v>
      </c>
      <c r="S12" s="48">
        <f>'IS (Adjusted)'!S12-'IS (Base)'!S12</f>
        <v>0</v>
      </c>
      <c r="T12" s="48">
        <f>'IS (Adjusted)'!T12-'IS (Base)'!T12</f>
        <v>0</v>
      </c>
      <c r="U12" s="48">
        <f>'IS (Adjusted)'!U12-'IS (Base)'!U12</f>
        <v>0</v>
      </c>
      <c r="V12" s="48">
        <f>'IS (Adjusted)'!V12-'IS (Base)'!V12</f>
        <v>0</v>
      </c>
      <c r="W12" s="170">
        <f>'IS (Adjusted)'!W12-'IS (Base)'!W12</f>
        <v>0</v>
      </c>
      <c r="X12" s="105">
        <f>'IS (Adjusted)'!X12-'IS (Base)'!X12</f>
        <v>0</v>
      </c>
      <c r="Y12" s="48">
        <f>'IS (Adjusted)'!Y12-'IS (Base)'!Y12</f>
        <v>0</v>
      </c>
      <c r="Z12" s="48">
        <f>'IS (Adjusted)'!Z12-'IS (Base)'!Z12</f>
        <v>0</v>
      </c>
      <c r="AA12" s="48">
        <f>'IS (Adjusted)'!AA12-'IS (Base)'!AA12</f>
        <v>0</v>
      </c>
      <c r="AB12" s="49">
        <f>'IS (Adjusted)'!AB12-'IS (Base)'!AB12</f>
        <v>0</v>
      </c>
      <c r="AC12" s="48">
        <f>'IS (Adjusted)'!AC12-'IS (Base)'!AC12</f>
        <v>0</v>
      </c>
      <c r="AD12" s="48">
        <f>'IS (Adjusted)'!AD12-'IS (Base)'!AD12</f>
        <v>0</v>
      </c>
      <c r="AE12" s="48">
        <f>'IS (Adjusted)'!AE12-'IS (Base)'!AE12</f>
        <v>0</v>
      </c>
      <c r="AF12" s="48">
        <f>'IS (Adjusted)'!AF12-'IS (Base)'!AF12</f>
        <v>0</v>
      </c>
      <c r="AG12" s="49">
        <f>'IS (Adjusted)'!AG12-'IS (Base)'!AG12</f>
        <v>0</v>
      </c>
      <c r="AH12" s="48">
        <f>'IS (Adjusted)'!AH12-'IS (Base)'!AH12</f>
        <v>0</v>
      </c>
      <c r="AI12" s="48">
        <f>'IS (Adjusted)'!AI12-'IS (Base)'!AI12</f>
        <v>0</v>
      </c>
      <c r="AJ12" s="48">
        <f>'IS (Adjusted)'!AJ12-'IS (Base)'!AJ12</f>
        <v>0</v>
      </c>
      <c r="AK12" s="48">
        <f>'IS (Adjusted)'!AK12-'IS (Base)'!AK12</f>
        <v>0</v>
      </c>
      <c r="AL12" s="49">
        <f>'IS (Adjusted)'!AL12-'IS (Base)'!AL12</f>
        <v>0</v>
      </c>
      <c r="AM12" s="48">
        <f>'IS (Adjusted)'!AM12-'IS (Base)'!AM12</f>
        <v>0</v>
      </c>
      <c r="AN12" s="48">
        <f>'IS (Adjusted)'!AN12-'IS (Base)'!AN12</f>
        <v>0</v>
      </c>
      <c r="AO12" s="48">
        <f>'IS (Adjusted)'!AO12-'IS (Base)'!AO12</f>
        <v>0</v>
      </c>
      <c r="AP12" s="48">
        <f>'IS (Adjusted)'!AP12-'IS (Base)'!AP12</f>
        <v>0</v>
      </c>
      <c r="AQ12" s="49">
        <f>'IS (Adjusted)'!AQ12-'IS (Base)'!AQ12</f>
        <v>0</v>
      </c>
      <c r="AR12" s="48">
        <f>'IS (Adjusted)'!AR12-'IS (Base)'!AR12</f>
        <v>0</v>
      </c>
      <c r="AS12" s="48">
        <f>'IS (Adjusted)'!AS12-'IS (Base)'!AS12</f>
        <v>0</v>
      </c>
      <c r="AT12" s="48">
        <f>'IS (Adjusted)'!AT12-'IS (Base)'!AT12</f>
        <v>0</v>
      </c>
      <c r="AU12" s="48">
        <f>'IS (Adjusted)'!AU12-'IS (Base)'!AU12</f>
        <v>0</v>
      </c>
      <c r="AV12" s="49">
        <f>'IS (Adjusted)'!AV12-'IS (Base)'!AV12</f>
        <v>0</v>
      </c>
    </row>
    <row r="13" spans="1:48" ht="17.25" customHeight="1" outlineLevel="1" x14ac:dyDescent="0.3">
      <c r="B13" s="38" t="s">
        <v>83</v>
      </c>
      <c r="C13" s="18"/>
      <c r="D13" s="105">
        <f>'IS (Adjusted)'!D13-'IS (Base)'!D13</f>
        <v>0</v>
      </c>
      <c r="E13" s="105">
        <f>'IS (Adjusted)'!E13-'IS (Base)'!E13</f>
        <v>0</v>
      </c>
      <c r="F13" s="105">
        <f>'IS (Adjusted)'!F13-'IS (Base)'!F13</f>
        <v>0</v>
      </c>
      <c r="G13" s="105">
        <f>'IS (Adjusted)'!G13-'IS (Base)'!G13</f>
        <v>0</v>
      </c>
      <c r="H13" s="170">
        <f>'IS (Adjusted)'!H13-'IS (Base)'!H13</f>
        <v>0</v>
      </c>
      <c r="I13" s="105">
        <f>'IS (Adjusted)'!I13-'IS (Base)'!I13</f>
        <v>0</v>
      </c>
      <c r="J13" s="105">
        <f>'IS (Adjusted)'!J13-'IS (Base)'!J13</f>
        <v>0</v>
      </c>
      <c r="K13" s="105">
        <f>'IS (Adjusted)'!K13-'IS (Base)'!K13</f>
        <v>0</v>
      </c>
      <c r="L13" s="48">
        <f>'IS (Adjusted)'!L13-'IS (Base)'!L13</f>
        <v>0</v>
      </c>
      <c r="M13" s="170">
        <f>'IS (Adjusted)'!M13-'IS (Base)'!M13</f>
        <v>0</v>
      </c>
      <c r="N13" s="48">
        <f>'IS (Adjusted)'!N13-'IS (Base)'!N13</f>
        <v>0</v>
      </c>
      <c r="O13" s="105">
        <f>'IS (Adjusted)'!O13-'IS (Base)'!O13</f>
        <v>0</v>
      </c>
      <c r="P13" s="105">
        <f>'IS (Adjusted)'!P13-'IS (Base)'!P13</f>
        <v>0</v>
      </c>
      <c r="Q13" s="105">
        <f>'IS (Adjusted)'!Q13-'IS (Base)'!Q13</f>
        <v>0</v>
      </c>
      <c r="R13" s="170">
        <f>'IS (Adjusted)'!R13-'IS (Base)'!R13</f>
        <v>0</v>
      </c>
      <c r="S13" s="48">
        <f>'IS (Adjusted)'!S13-'IS (Base)'!S13</f>
        <v>0</v>
      </c>
      <c r="T13" s="48">
        <f>'IS (Adjusted)'!T13-'IS (Base)'!T13</f>
        <v>0</v>
      </c>
      <c r="U13" s="48">
        <f>'IS (Adjusted)'!U13-'IS (Base)'!U13</f>
        <v>0</v>
      </c>
      <c r="V13" s="48">
        <f>'IS (Adjusted)'!V13-'IS (Base)'!V13</f>
        <v>0</v>
      </c>
      <c r="W13" s="170">
        <f>'IS (Adjusted)'!W13-'IS (Base)'!W13</f>
        <v>0</v>
      </c>
      <c r="X13" s="105">
        <f>'IS (Adjusted)'!X13-'IS (Base)'!X13</f>
        <v>0</v>
      </c>
      <c r="Y13" s="48">
        <f>'IS (Adjusted)'!Y13-'IS (Base)'!Y13</f>
        <v>0</v>
      </c>
      <c r="Z13" s="48">
        <f>'IS (Adjusted)'!Z13-'IS (Base)'!Z13</f>
        <v>0</v>
      </c>
      <c r="AA13" s="48">
        <f>'IS (Adjusted)'!AA13-'IS (Base)'!AA13</f>
        <v>0</v>
      </c>
      <c r="AB13" s="49">
        <f>'IS (Adjusted)'!AB13-'IS (Base)'!AB13</f>
        <v>0</v>
      </c>
      <c r="AC13" s="48">
        <f>'IS (Adjusted)'!AC13-'IS (Base)'!AC13</f>
        <v>0</v>
      </c>
      <c r="AD13" s="48">
        <f>'IS (Adjusted)'!AD13-'IS (Base)'!AD13</f>
        <v>0</v>
      </c>
      <c r="AE13" s="48">
        <f>'IS (Adjusted)'!AE13-'IS (Base)'!AE13</f>
        <v>0</v>
      </c>
      <c r="AF13" s="48">
        <f>'IS (Adjusted)'!AF13-'IS (Base)'!AF13</f>
        <v>0</v>
      </c>
      <c r="AG13" s="49">
        <f>'IS (Adjusted)'!AG13-'IS (Base)'!AG13</f>
        <v>0</v>
      </c>
      <c r="AH13" s="48">
        <f>'IS (Adjusted)'!AH13-'IS (Base)'!AH13</f>
        <v>0</v>
      </c>
      <c r="AI13" s="48">
        <f>'IS (Adjusted)'!AI13-'IS (Base)'!AI13</f>
        <v>0</v>
      </c>
      <c r="AJ13" s="48">
        <f>'IS (Adjusted)'!AJ13-'IS (Base)'!AJ13</f>
        <v>0</v>
      </c>
      <c r="AK13" s="48">
        <f>'IS (Adjusted)'!AK13-'IS (Base)'!AK13</f>
        <v>0</v>
      </c>
      <c r="AL13" s="49">
        <f>'IS (Adjusted)'!AL13-'IS (Base)'!AL13</f>
        <v>0</v>
      </c>
      <c r="AM13" s="48">
        <f>'IS (Adjusted)'!AM13-'IS (Base)'!AM13</f>
        <v>0</v>
      </c>
      <c r="AN13" s="48">
        <f>'IS (Adjusted)'!AN13-'IS (Base)'!AN13</f>
        <v>0</v>
      </c>
      <c r="AO13" s="48">
        <f>'IS (Adjusted)'!AO13-'IS (Base)'!AO13</f>
        <v>0</v>
      </c>
      <c r="AP13" s="48">
        <f>'IS (Adjusted)'!AP13-'IS (Base)'!AP13</f>
        <v>0</v>
      </c>
      <c r="AQ13" s="49">
        <f>'IS (Adjusted)'!AQ13-'IS (Base)'!AQ13</f>
        <v>0</v>
      </c>
      <c r="AR13" s="48">
        <f>'IS (Adjusted)'!AR13-'IS (Base)'!AR13</f>
        <v>0</v>
      </c>
      <c r="AS13" s="48">
        <f>'IS (Adjusted)'!AS13-'IS (Base)'!AS13</f>
        <v>0</v>
      </c>
      <c r="AT13" s="48">
        <f>'IS (Adjusted)'!AT13-'IS (Base)'!AT13</f>
        <v>0</v>
      </c>
      <c r="AU13" s="48">
        <f>'IS (Adjusted)'!AU13-'IS (Base)'!AU13</f>
        <v>0</v>
      </c>
      <c r="AV13" s="49">
        <f>'IS (Adjusted)'!AV13-'IS (Base)'!AV13</f>
        <v>0</v>
      </c>
    </row>
    <row r="14" spans="1:48" ht="17.25" customHeight="1" outlineLevel="1" x14ac:dyDescent="0.45">
      <c r="B14" s="38" t="s">
        <v>42</v>
      </c>
      <c r="C14" s="18"/>
      <c r="D14" s="104">
        <f>'IS (Adjusted)'!D14-'IS (Base)'!D14</f>
        <v>0</v>
      </c>
      <c r="E14" s="104">
        <f>'IS (Adjusted)'!E14-'IS (Base)'!E14</f>
        <v>0</v>
      </c>
      <c r="F14" s="104">
        <f>'IS (Adjusted)'!F14-'IS (Base)'!F14</f>
        <v>0</v>
      </c>
      <c r="G14" s="104">
        <f>'IS (Adjusted)'!G14-'IS (Base)'!G14</f>
        <v>0</v>
      </c>
      <c r="H14" s="173">
        <f>'IS (Adjusted)'!H14-'IS (Base)'!H14</f>
        <v>0</v>
      </c>
      <c r="I14" s="104">
        <f>'IS (Adjusted)'!I14-'IS (Base)'!I14</f>
        <v>0</v>
      </c>
      <c r="J14" s="104">
        <f>'IS (Adjusted)'!J14-'IS (Base)'!J14</f>
        <v>0</v>
      </c>
      <c r="K14" s="104">
        <f>'IS (Adjusted)'!K14-'IS (Base)'!K14</f>
        <v>0</v>
      </c>
      <c r="L14" s="104">
        <f>'IS (Adjusted)'!L14-'IS (Base)'!L14</f>
        <v>0</v>
      </c>
      <c r="M14" s="53">
        <f>'IS (Adjusted)'!M14-'IS (Base)'!M14</f>
        <v>0</v>
      </c>
      <c r="N14" s="52">
        <f>'IS (Adjusted)'!N14-'IS (Base)'!N14</f>
        <v>0</v>
      </c>
      <c r="O14" s="104">
        <f>'IS (Adjusted)'!O14-'IS (Base)'!O14</f>
        <v>0</v>
      </c>
      <c r="P14" s="104">
        <f>'IS (Adjusted)'!P14-'IS (Base)'!P14</f>
        <v>0</v>
      </c>
      <c r="Q14" s="104">
        <f>'IS (Adjusted)'!Q14-'IS (Base)'!Q14</f>
        <v>0</v>
      </c>
      <c r="R14" s="173">
        <f>'IS (Adjusted)'!R14-'IS (Base)'!R14</f>
        <v>0</v>
      </c>
      <c r="S14" s="52">
        <f>'IS (Adjusted)'!S14-'IS (Base)'!S14</f>
        <v>0</v>
      </c>
      <c r="T14" s="52">
        <f>'IS (Adjusted)'!T14-'IS (Base)'!T14</f>
        <v>0</v>
      </c>
      <c r="U14" s="52">
        <f>'IS (Adjusted)'!U14-'IS (Base)'!U14</f>
        <v>0</v>
      </c>
      <c r="V14" s="52">
        <f>'IS (Adjusted)'!V14-'IS (Base)'!V14</f>
        <v>0</v>
      </c>
      <c r="W14" s="173">
        <f>'IS (Adjusted)'!W14-'IS (Base)'!W14</f>
        <v>0</v>
      </c>
      <c r="X14" s="104">
        <f>'IS (Adjusted)'!X14-'IS (Base)'!X14</f>
        <v>0</v>
      </c>
      <c r="Y14" s="52">
        <f>'IS (Adjusted)'!Y14-'IS (Base)'!Y14</f>
        <v>0</v>
      </c>
      <c r="Z14" s="52">
        <f>'IS (Adjusted)'!Z14-'IS (Base)'!Z14</f>
        <v>0</v>
      </c>
      <c r="AA14" s="52">
        <f>'IS (Adjusted)'!AA14-'IS (Base)'!AA14</f>
        <v>0</v>
      </c>
      <c r="AB14" s="53">
        <f>'IS (Adjusted)'!AB14-'IS (Base)'!AB14</f>
        <v>0</v>
      </c>
      <c r="AC14" s="52">
        <f>'IS (Adjusted)'!AC14-'IS (Base)'!AC14</f>
        <v>0</v>
      </c>
      <c r="AD14" s="52">
        <f>'IS (Adjusted)'!AD14-'IS (Base)'!AD14</f>
        <v>0</v>
      </c>
      <c r="AE14" s="52">
        <f>'IS (Adjusted)'!AE14-'IS (Base)'!AE14</f>
        <v>0</v>
      </c>
      <c r="AF14" s="52">
        <f>'IS (Adjusted)'!AF14-'IS (Base)'!AF14</f>
        <v>0</v>
      </c>
      <c r="AG14" s="53">
        <f>'IS (Adjusted)'!AG14-'IS (Base)'!AG14</f>
        <v>0</v>
      </c>
      <c r="AH14" s="52">
        <f>'IS (Adjusted)'!AH14-'IS (Base)'!AH14</f>
        <v>0</v>
      </c>
      <c r="AI14" s="52">
        <f>'IS (Adjusted)'!AI14-'IS (Base)'!AI14</f>
        <v>0</v>
      </c>
      <c r="AJ14" s="52">
        <f>'IS (Adjusted)'!AJ14-'IS (Base)'!AJ14</f>
        <v>0</v>
      </c>
      <c r="AK14" s="52">
        <f>'IS (Adjusted)'!AK14-'IS (Base)'!AK14</f>
        <v>0</v>
      </c>
      <c r="AL14" s="53">
        <f>'IS (Adjusted)'!AL14-'IS (Base)'!AL14</f>
        <v>0</v>
      </c>
      <c r="AM14" s="52">
        <f>'IS (Adjusted)'!AM14-'IS (Base)'!AM14</f>
        <v>0</v>
      </c>
      <c r="AN14" s="52">
        <f>'IS (Adjusted)'!AN14-'IS (Base)'!AN14</f>
        <v>0</v>
      </c>
      <c r="AO14" s="52">
        <f>'IS (Adjusted)'!AO14-'IS (Base)'!AO14</f>
        <v>0</v>
      </c>
      <c r="AP14" s="52">
        <f>'IS (Adjusted)'!AP14-'IS (Base)'!AP14</f>
        <v>0</v>
      </c>
      <c r="AQ14" s="53">
        <f>'IS (Adjusted)'!AQ14-'IS (Base)'!AQ14</f>
        <v>0</v>
      </c>
      <c r="AR14" s="52">
        <f>'IS (Adjusted)'!AR14-'IS (Base)'!AR14</f>
        <v>0</v>
      </c>
      <c r="AS14" s="52">
        <f>'IS (Adjusted)'!AS14-'IS (Base)'!AS14</f>
        <v>0</v>
      </c>
      <c r="AT14" s="52">
        <f>'IS (Adjusted)'!AT14-'IS (Base)'!AT14</f>
        <v>0</v>
      </c>
      <c r="AU14" s="52">
        <f>'IS (Adjusted)'!AU14-'IS (Base)'!AU14</f>
        <v>0</v>
      </c>
      <c r="AV14" s="53">
        <f>'IS (Adjusted)'!AV14-'IS (Base)'!AV14</f>
        <v>0</v>
      </c>
    </row>
    <row r="15" spans="1:48" s="20" customFormat="1" ht="17.25" customHeight="1" x14ac:dyDescent="0.45">
      <c r="B15" s="46" t="s">
        <v>8</v>
      </c>
      <c r="C15" s="19"/>
      <c r="D15" s="106">
        <f>'IS (Adjusted)'!D15-'IS (Base)'!D15</f>
        <v>0</v>
      </c>
      <c r="E15" s="106">
        <f>'IS (Adjusted)'!E15-'IS (Base)'!E15</f>
        <v>0</v>
      </c>
      <c r="F15" s="106">
        <f>'IS (Adjusted)'!F15-'IS (Base)'!F15</f>
        <v>0</v>
      </c>
      <c r="G15" s="106">
        <f>'IS (Adjusted)'!G15-'IS (Base)'!G15</f>
        <v>0</v>
      </c>
      <c r="H15" s="175">
        <f>'IS (Adjusted)'!H15-'IS (Base)'!H15</f>
        <v>0</v>
      </c>
      <c r="I15" s="106">
        <f>'IS (Adjusted)'!I15-'IS (Base)'!I15</f>
        <v>0</v>
      </c>
      <c r="J15" s="106">
        <f>'IS (Adjusted)'!J15-'IS (Base)'!J15</f>
        <v>0</v>
      </c>
      <c r="K15" s="106">
        <f>'IS (Adjusted)'!K15-'IS (Base)'!K15</f>
        <v>0</v>
      </c>
      <c r="L15" s="54">
        <f>'IS (Adjusted)'!L15-'IS (Base)'!L15</f>
        <v>0</v>
      </c>
      <c r="M15" s="55">
        <f>'IS (Adjusted)'!M15-'IS (Base)'!M15</f>
        <v>0</v>
      </c>
      <c r="N15" s="54">
        <f>'IS (Adjusted)'!N15-'IS (Base)'!N15</f>
        <v>0</v>
      </c>
      <c r="O15" s="106">
        <f>'IS (Adjusted)'!O15-'IS (Base)'!O15</f>
        <v>0</v>
      </c>
      <c r="P15" s="106">
        <f>'IS (Adjusted)'!P15-'IS (Base)'!P15</f>
        <v>0</v>
      </c>
      <c r="Q15" s="106">
        <f>'IS (Adjusted)'!Q15-'IS (Base)'!Q15</f>
        <v>0</v>
      </c>
      <c r="R15" s="175">
        <f>'IS (Adjusted)'!R15-'IS (Base)'!R15</f>
        <v>0</v>
      </c>
      <c r="S15" s="54">
        <f>'IS (Adjusted)'!S15-'IS (Base)'!S15</f>
        <v>0</v>
      </c>
      <c r="T15" s="54">
        <f>'IS (Adjusted)'!T15-'IS (Base)'!T15</f>
        <v>0</v>
      </c>
      <c r="U15" s="54">
        <f>'IS (Adjusted)'!U15-'IS (Base)'!U15</f>
        <v>0</v>
      </c>
      <c r="V15" s="54">
        <f>'IS (Adjusted)'!V15-'IS (Base)'!V15</f>
        <v>0</v>
      </c>
      <c r="W15" s="175">
        <f>'IS (Adjusted)'!W15-'IS (Base)'!W15</f>
        <v>0</v>
      </c>
      <c r="X15" s="106">
        <f>'IS (Adjusted)'!X15-'IS (Base)'!X15</f>
        <v>0</v>
      </c>
      <c r="Y15" s="54">
        <f>'IS (Adjusted)'!Y15-'IS (Base)'!Y15</f>
        <v>0</v>
      </c>
      <c r="Z15" s="54">
        <f>'IS (Adjusted)'!Z15-'IS (Base)'!Z15</f>
        <v>0</v>
      </c>
      <c r="AA15" s="54">
        <f>'IS (Adjusted)'!AA15-'IS (Base)'!AA15</f>
        <v>0</v>
      </c>
      <c r="AB15" s="55">
        <f>'IS (Adjusted)'!AB15-'IS (Base)'!AB15</f>
        <v>0</v>
      </c>
      <c r="AC15" s="54">
        <f>'IS (Adjusted)'!AC15-'IS (Base)'!AC15</f>
        <v>0</v>
      </c>
      <c r="AD15" s="54">
        <f>'IS (Adjusted)'!AD15-'IS (Base)'!AD15</f>
        <v>0</v>
      </c>
      <c r="AE15" s="54">
        <f>'IS (Adjusted)'!AE15-'IS (Base)'!AE15</f>
        <v>0</v>
      </c>
      <c r="AF15" s="54">
        <f>'IS (Adjusted)'!AF15-'IS (Base)'!AF15</f>
        <v>0</v>
      </c>
      <c r="AG15" s="55">
        <f>'IS (Adjusted)'!AG15-'IS (Base)'!AG15</f>
        <v>0</v>
      </c>
      <c r="AH15" s="54">
        <f>'IS (Adjusted)'!AH15-'IS (Base)'!AH15</f>
        <v>0</v>
      </c>
      <c r="AI15" s="54">
        <f>'IS (Adjusted)'!AI15-'IS (Base)'!AI15</f>
        <v>0</v>
      </c>
      <c r="AJ15" s="54">
        <f>'IS (Adjusted)'!AJ15-'IS (Base)'!AJ15</f>
        <v>0</v>
      </c>
      <c r="AK15" s="54">
        <f>'IS (Adjusted)'!AK15-'IS (Base)'!AK15</f>
        <v>0</v>
      </c>
      <c r="AL15" s="55">
        <f>'IS (Adjusted)'!AL15-'IS (Base)'!AL15</f>
        <v>0</v>
      </c>
      <c r="AM15" s="54">
        <f>'IS (Adjusted)'!AM15-'IS (Base)'!AM15</f>
        <v>0</v>
      </c>
      <c r="AN15" s="54">
        <f>'IS (Adjusted)'!AN15-'IS (Base)'!AN15</f>
        <v>0</v>
      </c>
      <c r="AO15" s="54">
        <f>'IS (Adjusted)'!AO15-'IS (Base)'!AO15</f>
        <v>0</v>
      </c>
      <c r="AP15" s="54">
        <f>'IS (Adjusted)'!AP15-'IS (Base)'!AP15</f>
        <v>0</v>
      </c>
      <c r="AQ15" s="55">
        <f>'IS (Adjusted)'!AQ15-'IS (Base)'!AQ15</f>
        <v>0</v>
      </c>
      <c r="AR15" s="54">
        <f>'IS (Adjusted)'!AR15-'IS (Base)'!AR15</f>
        <v>0</v>
      </c>
      <c r="AS15" s="54">
        <f>'IS (Adjusted)'!AS15-'IS (Base)'!AS15</f>
        <v>0</v>
      </c>
      <c r="AT15" s="54">
        <f>'IS (Adjusted)'!AT15-'IS (Base)'!AT15</f>
        <v>0</v>
      </c>
      <c r="AU15" s="54">
        <f>'IS (Adjusted)'!AU15-'IS (Base)'!AU15</f>
        <v>0</v>
      </c>
      <c r="AV15" s="55">
        <f>'IS (Adjusted)'!AV15-'IS (Base)'!AV15</f>
        <v>0</v>
      </c>
    </row>
    <row r="16" spans="1:48" s="23" customFormat="1" ht="17.25" customHeight="1" x14ac:dyDescent="0.45">
      <c r="B16" s="591" t="s">
        <v>36</v>
      </c>
      <c r="C16" s="592"/>
      <c r="D16" s="104">
        <f>'IS (Adjusted)'!D16-'IS (Base)'!D16</f>
        <v>0</v>
      </c>
      <c r="E16" s="104">
        <f>'IS (Adjusted)'!E16-'IS (Base)'!E16</f>
        <v>0</v>
      </c>
      <c r="F16" s="104">
        <f>'IS (Adjusted)'!F16-'IS (Base)'!F16</f>
        <v>0</v>
      </c>
      <c r="G16" s="104">
        <f>'IS (Adjusted)'!G16-'IS (Base)'!G16</f>
        <v>0</v>
      </c>
      <c r="H16" s="173">
        <f>'IS (Adjusted)'!H16-'IS (Base)'!H16</f>
        <v>0</v>
      </c>
      <c r="I16" s="104">
        <f>'IS (Adjusted)'!I16-'IS (Base)'!I16</f>
        <v>0</v>
      </c>
      <c r="J16" s="104">
        <f>'IS (Adjusted)'!J16-'IS (Base)'!J16</f>
        <v>0</v>
      </c>
      <c r="K16" s="104">
        <f>'IS (Adjusted)'!K16-'IS (Base)'!K16</f>
        <v>0</v>
      </c>
      <c r="L16" s="52">
        <f>'IS (Adjusted)'!L16-'IS (Base)'!L16</f>
        <v>0</v>
      </c>
      <c r="M16" s="53">
        <f>'IS (Adjusted)'!M16-'IS (Base)'!M16</f>
        <v>0</v>
      </c>
      <c r="N16" s="52">
        <f>'IS (Adjusted)'!N16-'IS (Base)'!N16</f>
        <v>0</v>
      </c>
      <c r="O16" s="104">
        <f>'IS (Adjusted)'!O16-'IS (Base)'!O16</f>
        <v>0</v>
      </c>
      <c r="P16" s="104">
        <f>'IS (Adjusted)'!P16-'IS (Base)'!P16</f>
        <v>0</v>
      </c>
      <c r="Q16" s="104">
        <f>'IS (Adjusted)'!Q16-'IS (Base)'!Q16</f>
        <v>0</v>
      </c>
      <c r="R16" s="173">
        <f>'IS (Adjusted)'!R16-'IS (Base)'!R16</f>
        <v>0</v>
      </c>
      <c r="S16" s="52">
        <f>'IS (Adjusted)'!S16-'IS (Base)'!S16</f>
        <v>0</v>
      </c>
      <c r="T16" s="52">
        <f>'IS (Adjusted)'!T16-'IS (Base)'!T16</f>
        <v>0</v>
      </c>
      <c r="U16" s="52">
        <f>'IS (Adjusted)'!U16-'IS (Base)'!U16</f>
        <v>0</v>
      </c>
      <c r="V16" s="52">
        <f>'IS (Adjusted)'!V16-'IS (Base)'!V16</f>
        <v>0</v>
      </c>
      <c r="W16" s="173">
        <f>'IS (Adjusted)'!W16-'IS (Base)'!W16</f>
        <v>0</v>
      </c>
      <c r="X16" s="104">
        <f>'IS (Adjusted)'!X16-'IS (Base)'!X16</f>
        <v>0</v>
      </c>
      <c r="Y16" s="52">
        <f>'IS (Adjusted)'!Y16-'IS (Base)'!Y16</f>
        <v>0</v>
      </c>
      <c r="Z16" s="52">
        <f>'IS (Adjusted)'!Z16-'IS (Base)'!Z16</f>
        <v>0</v>
      </c>
      <c r="AA16" s="52">
        <f>'IS (Adjusted)'!AA16-'IS (Base)'!AA16</f>
        <v>0</v>
      </c>
      <c r="AB16" s="53">
        <f>'IS (Adjusted)'!AB16-'IS (Base)'!AB16</f>
        <v>0</v>
      </c>
      <c r="AC16" s="52">
        <f>'IS (Adjusted)'!AC16-'IS (Base)'!AC16</f>
        <v>0</v>
      </c>
      <c r="AD16" s="52">
        <f>'IS (Adjusted)'!AD16-'IS (Base)'!AD16</f>
        <v>0</v>
      </c>
      <c r="AE16" s="52">
        <f>'IS (Adjusted)'!AE16-'IS (Base)'!AE16</f>
        <v>0</v>
      </c>
      <c r="AF16" s="52">
        <f>'IS (Adjusted)'!AF16-'IS (Base)'!AF16</f>
        <v>0</v>
      </c>
      <c r="AG16" s="53">
        <f>'IS (Adjusted)'!AG16-'IS (Base)'!AG16</f>
        <v>0</v>
      </c>
      <c r="AH16" s="52">
        <f>'IS (Adjusted)'!AH16-'IS (Base)'!AH16</f>
        <v>0</v>
      </c>
      <c r="AI16" s="52">
        <f>'IS (Adjusted)'!AI16-'IS (Base)'!AI16</f>
        <v>0</v>
      </c>
      <c r="AJ16" s="52">
        <f>'IS (Adjusted)'!AJ16-'IS (Base)'!AJ16</f>
        <v>0</v>
      </c>
      <c r="AK16" s="52">
        <f>'IS (Adjusted)'!AK16-'IS (Base)'!AK16</f>
        <v>0</v>
      </c>
      <c r="AL16" s="53">
        <f>'IS (Adjusted)'!AL16-'IS (Base)'!AL16</f>
        <v>0</v>
      </c>
      <c r="AM16" s="52">
        <f>'IS (Adjusted)'!AM16-'IS (Base)'!AM16</f>
        <v>0</v>
      </c>
      <c r="AN16" s="52">
        <f>'IS (Adjusted)'!AN16-'IS (Base)'!AN16</f>
        <v>0</v>
      </c>
      <c r="AO16" s="52">
        <f>'IS (Adjusted)'!AO16-'IS (Base)'!AO16</f>
        <v>0</v>
      </c>
      <c r="AP16" s="52">
        <f>'IS (Adjusted)'!AP16-'IS (Base)'!AP16</f>
        <v>0</v>
      </c>
      <c r="AQ16" s="53">
        <f>'IS (Adjusted)'!AQ16-'IS (Base)'!AQ16</f>
        <v>0</v>
      </c>
      <c r="AR16" s="52">
        <f>'IS (Adjusted)'!AR16-'IS (Base)'!AR16</f>
        <v>0</v>
      </c>
      <c r="AS16" s="52">
        <f>'IS (Adjusted)'!AS16-'IS (Base)'!AS16</f>
        <v>0</v>
      </c>
      <c r="AT16" s="52">
        <f>'IS (Adjusted)'!AT16-'IS (Base)'!AT16</f>
        <v>0</v>
      </c>
      <c r="AU16" s="52">
        <f>'IS (Adjusted)'!AU16-'IS (Base)'!AU16</f>
        <v>0</v>
      </c>
      <c r="AV16" s="53">
        <f>'IS (Adjusted)'!AV16-'IS (Base)'!AV16</f>
        <v>0</v>
      </c>
    </row>
    <row r="17" spans="1:48" x14ac:dyDescent="0.3">
      <c r="B17" s="135" t="s">
        <v>10</v>
      </c>
      <c r="C17" s="136"/>
      <c r="D17" s="103">
        <f>'IS (Adjusted)'!D17-'IS (Base)'!D17</f>
        <v>0</v>
      </c>
      <c r="E17" s="103">
        <f>'IS (Adjusted)'!E17-'IS (Base)'!E17</f>
        <v>0</v>
      </c>
      <c r="F17" s="103">
        <f>'IS (Adjusted)'!F17-'IS (Base)'!F17</f>
        <v>0</v>
      </c>
      <c r="G17" s="103">
        <f>'IS (Adjusted)'!G17-'IS (Base)'!G17</f>
        <v>0</v>
      </c>
      <c r="H17" s="171">
        <f>'IS (Adjusted)'!H17-'IS (Base)'!H17</f>
        <v>0</v>
      </c>
      <c r="I17" s="103">
        <f>'IS (Adjusted)'!I17-'IS (Base)'!I17</f>
        <v>0</v>
      </c>
      <c r="J17" s="103">
        <f>'IS (Adjusted)'!J17-'IS (Base)'!J17</f>
        <v>0</v>
      </c>
      <c r="K17" s="103">
        <f>'IS (Adjusted)'!K17-'IS (Base)'!K17</f>
        <v>0</v>
      </c>
      <c r="L17" s="50">
        <f>'IS (Adjusted)'!L17-'IS (Base)'!L17</f>
        <v>0</v>
      </c>
      <c r="M17" s="51">
        <f>'IS (Adjusted)'!M17-'IS (Base)'!M17</f>
        <v>0</v>
      </c>
      <c r="N17" s="50">
        <f>'IS (Adjusted)'!N17-'IS (Base)'!N17</f>
        <v>0</v>
      </c>
      <c r="O17" s="103">
        <f>'IS (Adjusted)'!O17-'IS (Base)'!O17</f>
        <v>0</v>
      </c>
      <c r="P17" s="103">
        <f>'IS (Adjusted)'!P17-'IS (Base)'!P17</f>
        <v>0</v>
      </c>
      <c r="Q17" s="103">
        <f>'IS (Adjusted)'!Q17-'IS (Base)'!Q17</f>
        <v>0</v>
      </c>
      <c r="R17" s="171">
        <f>'IS (Adjusted)'!R17-'IS (Base)'!R17</f>
        <v>0</v>
      </c>
      <c r="S17" s="50">
        <f>'IS (Adjusted)'!S17-'IS (Base)'!S17</f>
        <v>0</v>
      </c>
      <c r="T17" s="50">
        <f>'IS (Adjusted)'!T17-'IS (Base)'!T17</f>
        <v>0</v>
      </c>
      <c r="U17" s="50">
        <f>'IS (Adjusted)'!U17-'IS (Base)'!U17</f>
        <v>0</v>
      </c>
      <c r="V17" s="50">
        <f>'IS (Adjusted)'!V17-'IS (Base)'!V17</f>
        <v>0</v>
      </c>
      <c r="W17" s="171">
        <f>'IS (Adjusted)'!W17-'IS (Base)'!W17</f>
        <v>0</v>
      </c>
      <c r="X17" s="103">
        <f>'IS (Adjusted)'!X17-'IS (Base)'!X17</f>
        <v>0</v>
      </c>
      <c r="Y17" s="50">
        <f>'IS (Adjusted)'!Y17-'IS (Base)'!Y17</f>
        <v>0</v>
      </c>
      <c r="Z17" s="50">
        <f>'IS (Adjusted)'!Z17-'IS (Base)'!Z17</f>
        <v>0</v>
      </c>
      <c r="AA17" s="50">
        <f>'IS (Adjusted)'!AA17-'IS (Base)'!AA17</f>
        <v>0</v>
      </c>
      <c r="AB17" s="51">
        <f>'IS (Adjusted)'!AB17-'IS (Base)'!AB17</f>
        <v>0</v>
      </c>
      <c r="AC17" s="50">
        <f>'IS (Adjusted)'!AC17-'IS (Base)'!AC17</f>
        <v>0</v>
      </c>
      <c r="AD17" s="50">
        <f>'IS (Adjusted)'!AD17-'IS (Base)'!AD17</f>
        <v>0</v>
      </c>
      <c r="AE17" s="50">
        <f>'IS (Adjusted)'!AE17-'IS (Base)'!AE17</f>
        <v>0</v>
      </c>
      <c r="AF17" s="50">
        <f>'IS (Adjusted)'!AF17-'IS (Base)'!AF17</f>
        <v>0</v>
      </c>
      <c r="AG17" s="51">
        <f>'IS (Adjusted)'!AG17-'IS (Base)'!AG17</f>
        <v>0</v>
      </c>
      <c r="AH17" s="50">
        <f>'IS (Adjusted)'!AH17-'IS (Base)'!AH17</f>
        <v>0</v>
      </c>
      <c r="AI17" s="50">
        <f>'IS (Adjusted)'!AI17-'IS (Base)'!AI17</f>
        <v>0</v>
      </c>
      <c r="AJ17" s="50">
        <f>'IS (Adjusted)'!AJ17-'IS (Base)'!AJ17</f>
        <v>0</v>
      </c>
      <c r="AK17" s="50">
        <f>'IS (Adjusted)'!AK17-'IS (Base)'!AK17</f>
        <v>0</v>
      </c>
      <c r="AL17" s="51">
        <f>'IS (Adjusted)'!AL17-'IS (Base)'!AL17</f>
        <v>0</v>
      </c>
      <c r="AM17" s="50">
        <f>'IS (Adjusted)'!AM17-'IS (Base)'!AM17</f>
        <v>0</v>
      </c>
      <c r="AN17" s="50">
        <f>'IS (Adjusted)'!AN17-'IS (Base)'!AN17</f>
        <v>0</v>
      </c>
      <c r="AO17" s="50">
        <f>'IS (Adjusted)'!AO17-'IS (Base)'!AO17</f>
        <v>0</v>
      </c>
      <c r="AP17" s="50">
        <f>'IS (Adjusted)'!AP17-'IS (Base)'!AP17</f>
        <v>0</v>
      </c>
      <c r="AQ17" s="51">
        <f>'IS (Adjusted)'!AQ17-'IS (Base)'!AQ17</f>
        <v>0</v>
      </c>
      <c r="AR17" s="50">
        <f>'IS (Adjusted)'!AR17-'IS (Base)'!AR17</f>
        <v>0</v>
      </c>
      <c r="AS17" s="50">
        <f>'IS (Adjusted)'!AS17-'IS (Base)'!AS17</f>
        <v>0</v>
      </c>
      <c r="AT17" s="50">
        <f>'IS (Adjusted)'!AT17-'IS (Base)'!AT17</f>
        <v>0</v>
      </c>
      <c r="AU17" s="50">
        <f>'IS (Adjusted)'!AU17-'IS (Base)'!AU17</f>
        <v>0</v>
      </c>
      <c r="AV17" s="51">
        <f>'IS (Adjusted)'!AV17-'IS (Base)'!AV17</f>
        <v>0</v>
      </c>
    </row>
    <row r="18" spans="1:48" ht="16.2" x14ac:dyDescent="0.45">
      <c r="B18" s="123" t="s">
        <v>70</v>
      </c>
      <c r="C18" s="88"/>
      <c r="D18" s="107">
        <f>'IS (Adjusted)'!D18-'IS (Base)'!D18</f>
        <v>0</v>
      </c>
      <c r="E18" s="107">
        <f>'IS (Adjusted)'!E18-'IS (Base)'!E18</f>
        <v>0</v>
      </c>
      <c r="F18" s="107">
        <f>'IS (Adjusted)'!F18-'IS (Base)'!F18</f>
        <v>0</v>
      </c>
      <c r="G18" s="107">
        <f>'IS (Adjusted)'!G18-'IS (Base)'!G18</f>
        <v>0</v>
      </c>
      <c r="H18" s="176">
        <f>'IS (Adjusted)'!H18-'IS (Base)'!H18</f>
        <v>0</v>
      </c>
      <c r="I18" s="107">
        <f>'IS (Adjusted)'!I18-'IS (Base)'!I18</f>
        <v>0</v>
      </c>
      <c r="J18" s="107">
        <f>'IS (Adjusted)'!J18-'IS (Base)'!J18</f>
        <v>0</v>
      </c>
      <c r="K18" s="107">
        <f>'IS (Adjusted)'!K18-'IS (Base)'!K18</f>
        <v>0</v>
      </c>
      <c r="L18" s="89">
        <f>'IS (Adjusted)'!L18-'IS (Base)'!L18</f>
        <v>0</v>
      </c>
      <c r="M18" s="90">
        <f>'IS (Adjusted)'!M18-'IS (Base)'!M18</f>
        <v>0</v>
      </c>
      <c r="N18" s="107">
        <f>'IS (Adjusted)'!N18-'IS (Base)'!N18</f>
        <v>0</v>
      </c>
      <c r="O18" s="107">
        <f>'IS (Adjusted)'!O18-'IS (Base)'!O18</f>
        <v>0</v>
      </c>
      <c r="P18" s="107">
        <f>'IS (Adjusted)'!P18-'IS (Base)'!P18</f>
        <v>0</v>
      </c>
      <c r="Q18" s="107">
        <f>'IS (Adjusted)'!Q18-'IS (Base)'!Q18</f>
        <v>0</v>
      </c>
      <c r="R18" s="176">
        <f>'IS (Adjusted)'!R18-'IS (Base)'!R18</f>
        <v>0</v>
      </c>
      <c r="S18" s="89">
        <f>'IS (Adjusted)'!S18-'IS (Base)'!S18</f>
        <v>0</v>
      </c>
      <c r="T18" s="89">
        <f>'IS (Adjusted)'!T18-'IS (Base)'!T18</f>
        <v>0</v>
      </c>
      <c r="U18" s="89">
        <f>'IS (Adjusted)'!U18-'IS (Base)'!U18</f>
        <v>0</v>
      </c>
      <c r="V18" s="89">
        <f>'IS (Adjusted)'!V18-'IS (Base)'!V18</f>
        <v>0</v>
      </c>
      <c r="W18" s="176">
        <f>'IS (Adjusted)'!W18-'IS (Base)'!W18</f>
        <v>0</v>
      </c>
      <c r="X18" s="107">
        <f>'IS (Adjusted)'!X18-'IS (Base)'!X18</f>
        <v>0</v>
      </c>
      <c r="Y18" s="89">
        <f>'IS (Adjusted)'!Y18-'IS (Base)'!Y18</f>
        <v>0</v>
      </c>
      <c r="Z18" s="89">
        <f>'IS (Adjusted)'!Z18-'IS (Base)'!Z18</f>
        <v>0</v>
      </c>
      <c r="AA18" s="89">
        <f>'IS (Adjusted)'!AA18-'IS (Base)'!AA18</f>
        <v>0</v>
      </c>
      <c r="AB18" s="90">
        <f>'IS (Adjusted)'!AB18-'IS (Base)'!AB18</f>
        <v>0</v>
      </c>
      <c r="AC18" s="89">
        <f>'IS (Adjusted)'!AC18-'IS (Base)'!AC18</f>
        <v>0</v>
      </c>
      <c r="AD18" s="89">
        <f>'IS (Adjusted)'!AD18-'IS (Base)'!AD18</f>
        <v>0</v>
      </c>
      <c r="AE18" s="89">
        <f>'IS (Adjusted)'!AE18-'IS (Base)'!AE18</f>
        <v>0</v>
      </c>
      <c r="AF18" s="89">
        <f>'IS (Adjusted)'!AF18-'IS (Base)'!AF18</f>
        <v>0</v>
      </c>
      <c r="AG18" s="90">
        <f>'IS (Adjusted)'!AG18-'IS (Base)'!AG18</f>
        <v>0</v>
      </c>
      <c r="AH18" s="89">
        <f>'IS (Adjusted)'!AH18-'IS (Base)'!AH18</f>
        <v>0</v>
      </c>
      <c r="AI18" s="89">
        <f>'IS (Adjusted)'!AI18-'IS (Base)'!AI18</f>
        <v>0</v>
      </c>
      <c r="AJ18" s="89">
        <f>'IS (Adjusted)'!AJ18-'IS (Base)'!AJ18</f>
        <v>0</v>
      </c>
      <c r="AK18" s="89">
        <f>'IS (Adjusted)'!AK18-'IS (Base)'!AK18</f>
        <v>0</v>
      </c>
      <c r="AL18" s="90">
        <f>'IS (Adjusted)'!AL18-'IS (Base)'!AL18</f>
        <v>0</v>
      </c>
      <c r="AM18" s="89">
        <f>'IS (Adjusted)'!AM18-'IS (Base)'!AM18</f>
        <v>0</v>
      </c>
      <c r="AN18" s="89">
        <f>'IS (Adjusted)'!AN18-'IS (Base)'!AN18</f>
        <v>0</v>
      </c>
      <c r="AO18" s="89">
        <f>'IS (Adjusted)'!AO18-'IS (Base)'!AO18</f>
        <v>0</v>
      </c>
      <c r="AP18" s="89">
        <f>'IS (Adjusted)'!AP18-'IS (Base)'!AP18</f>
        <v>0</v>
      </c>
      <c r="AQ18" s="90">
        <f>'IS (Adjusted)'!AQ18-'IS (Base)'!AQ18</f>
        <v>0</v>
      </c>
      <c r="AR18" s="89">
        <f>'IS (Adjusted)'!AR18-'IS (Base)'!AR18</f>
        <v>0</v>
      </c>
      <c r="AS18" s="89">
        <f>'IS (Adjusted)'!AS18-'IS (Base)'!AS18</f>
        <v>0</v>
      </c>
      <c r="AT18" s="89">
        <f>'IS (Adjusted)'!AT18-'IS (Base)'!AT18</f>
        <v>0</v>
      </c>
      <c r="AU18" s="89">
        <f>'IS (Adjusted)'!AU18-'IS (Base)'!AU18</f>
        <v>0</v>
      </c>
      <c r="AV18" s="90">
        <f>'IS (Adjusted)'!AV18-'IS (Base)'!AV18</f>
        <v>0</v>
      </c>
    </row>
    <row r="19" spans="1:48" x14ac:dyDescent="0.3">
      <c r="B19" s="124" t="s">
        <v>71</v>
      </c>
      <c r="C19" s="79"/>
      <c r="D19" s="108">
        <f>'IS (Adjusted)'!D19-'IS (Base)'!D19</f>
        <v>0</v>
      </c>
      <c r="E19" s="108">
        <f>'IS (Adjusted)'!E19-'IS (Base)'!E19</f>
        <v>0</v>
      </c>
      <c r="F19" s="108">
        <f>'IS (Adjusted)'!F19-'IS (Base)'!F19</f>
        <v>0</v>
      </c>
      <c r="G19" s="108">
        <f>'IS (Adjusted)'!G19-'IS (Base)'!G19</f>
        <v>0</v>
      </c>
      <c r="H19" s="177">
        <f>'IS (Adjusted)'!H19-'IS (Base)'!H19</f>
        <v>0</v>
      </c>
      <c r="I19" s="108">
        <f>'IS (Adjusted)'!I19-'IS (Base)'!I19</f>
        <v>0</v>
      </c>
      <c r="J19" s="108">
        <f>'IS (Adjusted)'!J19-'IS (Base)'!J19</f>
        <v>0</v>
      </c>
      <c r="K19" s="108">
        <f>'IS (Adjusted)'!K19-'IS (Base)'!K19</f>
        <v>0</v>
      </c>
      <c r="L19" s="80">
        <f>'IS (Adjusted)'!L19-'IS (Base)'!L19</f>
        <v>0</v>
      </c>
      <c r="M19" s="81">
        <f>'IS (Adjusted)'!M19-'IS (Base)'!M19</f>
        <v>0</v>
      </c>
      <c r="N19" s="108">
        <f>'IS (Adjusted)'!N19-'IS (Base)'!N19</f>
        <v>0</v>
      </c>
      <c r="O19" s="108">
        <f>'IS (Adjusted)'!O19-'IS (Base)'!O19</f>
        <v>0</v>
      </c>
      <c r="P19" s="108">
        <f>'IS (Adjusted)'!P19-'IS (Base)'!P19</f>
        <v>0</v>
      </c>
      <c r="Q19" s="108">
        <f>'IS (Adjusted)'!Q19-'IS (Base)'!Q19</f>
        <v>0</v>
      </c>
      <c r="R19" s="177">
        <f>'IS (Adjusted)'!R19-'IS (Base)'!R19</f>
        <v>0</v>
      </c>
      <c r="S19" s="80">
        <f>'IS (Adjusted)'!S19-'IS (Base)'!S19</f>
        <v>0</v>
      </c>
      <c r="T19" s="80">
        <f>'IS (Adjusted)'!T19-'IS (Base)'!T19</f>
        <v>0</v>
      </c>
      <c r="U19" s="80">
        <f>'IS (Adjusted)'!U19-'IS (Base)'!U19</f>
        <v>0</v>
      </c>
      <c r="V19" s="80">
        <f>'IS (Adjusted)'!V19-'IS (Base)'!V19</f>
        <v>0</v>
      </c>
      <c r="W19" s="177">
        <f>'IS (Adjusted)'!W19-'IS (Base)'!W19</f>
        <v>0</v>
      </c>
      <c r="X19" s="108">
        <f>'IS (Adjusted)'!X19-'IS (Base)'!X19</f>
        <v>0</v>
      </c>
      <c r="Y19" s="80">
        <f>'IS (Adjusted)'!Y19-'IS (Base)'!Y19</f>
        <v>0</v>
      </c>
      <c r="Z19" s="80">
        <f>'IS (Adjusted)'!Z19-'IS (Base)'!Z19</f>
        <v>0</v>
      </c>
      <c r="AA19" s="80">
        <f>'IS (Adjusted)'!AA19-'IS (Base)'!AA19</f>
        <v>0</v>
      </c>
      <c r="AB19" s="81">
        <f>'IS (Adjusted)'!AB19-'IS (Base)'!AB19</f>
        <v>0</v>
      </c>
      <c r="AC19" s="80">
        <f>'IS (Adjusted)'!AC19-'IS (Base)'!AC19</f>
        <v>0</v>
      </c>
      <c r="AD19" s="80">
        <f>'IS (Adjusted)'!AD19-'IS (Base)'!AD19</f>
        <v>0</v>
      </c>
      <c r="AE19" s="80">
        <f>'IS (Adjusted)'!AE19-'IS (Base)'!AE19</f>
        <v>0</v>
      </c>
      <c r="AF19" s="80">
        <f>'IS (Adjusted)'!AF19-'IS (Base)'!AF19</f>
        <v>0</v>
      </c>
      <c r="AG19" s="81">
        <f>'IS (Adjusted)'!AG19-'IS (Base)'!AG19</f>
        <v>0</v>
      </c>
      <c r="AH19" s="80">
        <f>'IS (Adjusted)'!AH19-'IS (Base)'!AH19</f>
        <v>0</v>
      </c>
      <c r="AI19" s="80">
        <f>'IS (Adjusted)'!AI19-'IS (Base)'!AI19</f>
        <v>0</v>
      </c>
      <c r="AJ19" s="80">
        <f>'IS (Adjusted)'!AJ19-'IS (Base)'!AJ19</f>
        <v>0</v>
      </c>
      <c r="AK19" s="80">
        <f>'IS (Adjusted)'!AK19-'IS (Base)'!AK19</f>
        <v>0</v>
      </c>
      <c r="AL19" s="81">
        <f>'IS (Adjusted)'!AL19-'IS (Base)'!AL19</f>
        <v>0</v>
      </c>
      <c r="AM19" s="80">
        <f>'IS (Adjusted)'!AM19-'IS (Base)'!AM19</f>
        <v>0</v>
      </c>
      <c r="AN19" s="80">
        <f>'IS (Adjusted)'!AN19-'IS (Base)'!AN19</f>
        <v>0</v>
      </c>
      <c r="AO19" s="80">
        <f>'IS (Adjusted)'!AO19-'IS (Base)'!AO19</f>
        <v>0</v>
      </c>
      <c r="AP19" s="80">
        <f>'IS (Adjusted)'!AP19-'IS (Base)'!AP19</f>
        <v>0</v>
      </c>
      <c r="AQ19" s="81">
        <f>'IS (Adjusted)'!AQ19-'IS (Base)'!AQ19</f>
        <v>0</v>
      </c>
      <c r="AR19" s="80">
        <f>'IS (Adjusted)'!AR19-'IS (Base)'!AR19</f>
        <v>0</v>
      </c>
      <c r="AS19" s="80">
        <f>'IS (Adjusted)'!AS19-'IS (Base)'!AS19</f>
        <v>0</v>
      </c>
      <c r="AT19" s="80">
        <f>'IS (Adjusted)'!AT19-'IS (Base)'!AT19</f>
        <v>0</v>
      </c>
      <c r="AU19" s="80">
        <f>'IS (Adjusted)'!AU19-'IS (Base)'!AU19</f>
        <v>0</v>
      </c>
      <c r="AV19" s="81">
        <f>'IS (Adjusted)'!AV19-'IS (Base)'!AV19</f>
        <v>0</v>
      </c>
    </row>
    <row r="20" spans="1:48" x14ac:dyDescent="0.3">
      <c r="B20" s="38" t="s">
        <v>63</v>
      </c>
      <c r="C20" s="18"/>
      <c r="D20" s="105">
        <f>'IS (Adjusted)'!D20-'IS (Base)'!D20</f>
        <v>0</v>
      </c>
      <c r="E20" s="105">
        <f>'IS (Adjusted)'!E20-'IS (Base)'!E20</f>
        <v>0</v>
      </c>
      <c r="F20" s="105">
        <f>'IS (Adjusted)'!F20-'IS (Base)'!F20</f>
        <v>0</v>
      </c>
      <c r="G20" s="105">
        <f>'IS (Adjusted)'!G20-'IS (Base)'!G20</f>
        <v>0</v>
      </c>
      <c r="H20" s="170">
        <f>'IS (Adjusted)'!H20-'IS (Base)'!H20</f>
        <v>0</v>
      </c>
      <c r="I20" s="105">
        <f>'IS (Adjusted)'!I20-'IS (Base)'!I20</f>
        <v>0</v>
      </c>
      <c r="J20" s="105">
        <f>'IS (Adjusted)'!J20-'IS (Base)'!J20</f>
        <v>0</v>
      </c>
      <c r="K20" s="105">
        <f>'IS (Adjusted)'!K20-'IS (Base)'!K20</f>
        <v>0</v>
      </c>
      <c r="L20" s="105">
        <f>'IS (Adjusted)'!L20-'IS (Base)'!L20</f>
        <v>0</v>
      </c>
      <c r="M20" s="170">
        <f>'IS (Adjusted)'!M20-'IS (Base)'!M20</f>
        <v>0</v>
      </c>
      <c r="N20" s="105">
        <f>'IS (Adjusted)'!N20-'IS (Base)'!N20</f>
        <v>0</v>
      </c>
      <c r="O20" s="105">
        <f>'IS (Adjusted)'!O20-'IS (Base)'!O20</f>
        <v>0</v>
      </c>
      <c r="P20" s="105">
        <f>'IS (Adjusted)'!P20-'IS (Base)'!P20</f>
        <v>0</v>
      </c>
      <c r="Q20" s="105">
        <f>'IS (Adjusted)'!Q20-'IS (Base)'!Q20</f>
        <v>0</v>
      </c>
      <c r="R20" s="170">
        <f>'IS (Adjusted)'!R20-'IS (Base)'!R20</f>
        <v>0</v>
      </c>
      <c r="S20" s="105">
        <f>'IS (Adjusted)'!S20-'IS (Base)'!S20</f>
        <v>0</v>
      </c>
      <c r="T20" s="105">
        <f>'IS (Adjusted)'!T20-'IS (Base)'!T20</f>
        <v>0</v>
      </c>
      <c r="U20" s="105">
        <f>'IS (Adjusted)'!U20-'IS (Base)'!U20</f>
        <v>0</v>
      </c>
      <c r="V20" s="105">
        <f>'IS (Adjusted)'!V20-'IS (Base)'!V20</f>
        <v>0</v>
      </c>
      <c r="W20" s="170">
        <f>'IS (Adjusted)'!W20-'IS (Base)'!W20</f>
        <v>0</v>
      </c>
      <c r="X20" s="105">
        <f>'IS (Adjusted)'!X20-'IS (Base)'!X20</f>
        <v>0</v>
      </c>
      <c r="Y20" s="105">
        <f>'IS (Adjusted)'!Y20-'IS (Base)'!Y20</f>
        <v>0</v>
      </c>
      <c r="Z20" s="105">
        <f>'IS (Adjusted)'!Z20-'IS (Base)'!Z20</f>
        <v>0</v>
      </c>
      <c r="AA20" s="105">
        <f>'IS (Adjusted)'!AA20-'IS (Base)'!AA20</f>
        <v>0</v>
      </c>
      <c r="AB20" s="170">
        <f>'IS (Adjusted)'!AB20-'IS (Base)'!AB20</f>
        <v>0</v>
      </c>
      <c r="AC20" s="105">
        <f>'IS (Adjusted)'!AC20-'IS (Base)'!AC20</f>
        <v>0</v>
      </c>
      <c r="AD20" s="105">
        <f>'IS (Adjusted)'!AD20-'IS (Base)'!AD20</f>
        <v>0</v>
      </c>
      <c r="AE20" s="105">
        <f>'IS (Adjusted)'!AE20-'IS (Base)'!AE20</f>
        <v>0</v>
      </c>
      <c r="AF20" s="105">
        <f>'IS (Adjusted)'!AF20-'IS (Base)'!AF20</f>
        <v>0</v>
      </c>
      <c r="AG20" s="170">
        <f>'IS (Adjusted)'!AG20-'IS (Base)'!AG20</f>
        <v>0</v>
      </c>
      <c r="AH20" s="105">
        <f>'IS (Adjusted)'!AH20-'IS (Base)'!AH20</f>
        <v>0</v>
      </c>
      <c r="AI20" s="105">
        <f>'IS (Adjusted)'!AI20-'IS (Base)'!AI20</f>
        <v>0</v>
      </c>
      <c r="AJ20" s="105">
        <f>'IS (Adjusted)'!AJ20-'IS (Base)'!AJ20</f>
        <v>0</v>
      </c>
      <c r="AK20" s="105">
        <f>'IS (Adjusted)'!AK20-'IS (Base)'!AK20</f>
        <v>0</v>
      </c>
      <c r="AL20" s="170">
        <f>'IS (Adjusted)'!AL20-'IS (Base)'!AL20</f>
        <v>0</v>
      </c>
      <c r="AM20" s="105">
        <f>'IS (Adjusted)'!AM20-'IS (Base)'!AM20</f>
        <v>0</v>
      </c>
      <c r="AN20" s="105">
        <f>'IS (Adjusted)'!AN20-'IS (Base)'!AN20</f>
        <v>0</v>
      </c>
      <c r="AO20" s="105">
        <f>'IS (Adjusted)'!AO20-'IS (Base)'!AO20</f>
        <v>0</v>
      </c>
      <c r="AP20" s="105">
        <f>'IS (Adjusted)'!AP20-'IS (Base)'!AP20</f>
        <v>0</v>
      </c>
      <c r="AQ20" s="170">
        <f>'IS (Adjusted)'!AQ20-'IS (Base)'!AQ20</f>
        <v>0</v>
      </c>
      <c r="AR20" s="105">
        <f>'IS (Adjusted)'!AR20-'IS (Base)'!AR20</f>
        <v>0</v>
      </c>
      <c r="AS20" s="105">
        <f>'IS (Adjusted)'!AS20-'IS (Base)'!AS20</f>
        <v>0</v>
      </c>
      <c r="AT20" s="105">
        <f>'IS (Adjusted)'!AT20-'IS (Base)'!AT20</f>
        <v>0</v>
      </c>
      <c r="AU20" s="105">
        <f>'IS (Adjusted)'!AU20-'IS (Base)'!AU20</f>
        <v>0</v>
      </c>
      <c r="AV20" s="170">
        <f>'IS (Adjusted)'!AV20-'IS (Base)'!AV20</f>
        <v>0</v>
      </c>
    </row>
    <row r="21" spans="1:48" x14ac:dyDescent="0.3">
      <c r="B21" s="38" t="s">
        <v>37</v>
      </c>
      <c r="C21" s="18"/>
      <c r="D21" s="105">
        <f>'IS (Adjusted)'!D21-'IS (Base)'!D21</f>
        <v>0</v>
      </c>
      <c r="E21" s="105">
        <f>'IS (Adjusted)'!E21-'IS (Base)'!E21</f>
        <v>0</v>
      </c>
      <c r="F21" s="102">
        <f>'IS (Adjusted)'!F21-'IS (Base)'!F21</f>
        <v>0</v>
      </c>
      <c r="G21" s="105">
        <f>'IS (Adjusted)'!G21-'IS (Base)'!G21</f>
        <v>0</v>
      </c>
      <c r="H21" s="170">
        <f>'IS (Adjusted)'!H21-'IS (Base)'!H21</f>
        <v>0</v>
      </c>
      <c r="I21" s="105">
        <f>'IS (Adjusted)'!I21-'IS (Base)'!I21</f>
        <v>0</v>
      </c>
      <c r="J21" s="105">
        <f>'IS (Adjusted)'!J21-'IS (Base)'!J21</f>
        <v>0</v>
      </c>
      <c r="K21" s="105">
        <f>'IS (Adjusted)'!K21-'IS (Base)'!K21</f>
        <v>0</v>
      </c>
      <c r="L21" s="105">
        <f>'IS (Adjusted)'!L21-'IS (Base)'!L21</f>
        <v>0</v>
      </c>
      <c r="M21" s="170">
        <f>'IS (Adjusted)'!M21-'IS (Base)'!M21</f>
        <v>0</v>
      </c>
      <c r="N21" s="105">
        <f>'IS (Adjusted)'!N21-'IS (Base)'!N21</f>
        <v>0</v>
      </c>
      <c r="O21" s="105">
        <f>'IS (Adjusted)'!O21-'IS (Base)'!O21</f>
        <v>0</v>
      </c>
      <c r="P21" s="105">
        <f>'IS (Adjusted)'!P21-'IS (Base)'!P21</f>
        <v>0</v>
      </c>
      <c r="Q21" s="105">
        <f>'IS (Adjusted)'!Q21-'IS (Base)'!Q21</f>
        <v>0</v>
      </c>
      <c r="R21" s="170">
        <f>'IS (Adjusted)'!R21-'IS (Base)'!R21</f>
        <v>0</v>
      </c>
      <c r="S21" s="105">
        <f>'IS (Adjusted)'!S21-'IS (Base)'!S21</f>
        <v>0</v>
      </c>
      <c r="T21" s="105">
        <f>'IS (Adjusted)'!T21-'IS (Base)'!T21</f>
        <v>0</v>
      </c>
      <c r="U21" s="105">
        <f>'IS (Adjusted)'!U21-'IS (Base)'!U21</f>
        <v>0</v>
      </c>
      <c r="V21" s="105">
        <f>'IS (Adjusted)'!V21-'IS (Base)'!V21</f>
        <v>0</v>
      </c>
      <c r="W21" s="170">
        <f>'IS (Adjusted)'!W21-'IS (Base)'!W21</f>
        <v>0</v>
      </c>
      <c r="X21" s="105">
        <f>'IS (Adjusted)'!X21-'IS (Base)'!X21</f>
        <v>0</v>
      </c>
      <c r="Y21" s="105">
        <f>'IS (Adjusted)'!Y21-'IS (Base)'!Y21</f>
        <v>0</v>
      </c>
      <c r="Z21" s="105">
        <f>'IS (Adjusted)'!Z21-'IS (Base)'!Z21</f>
        <v>0</v>
      </c>
      <c r="AA21" s="105">
        <f>'IS (Adjusted)'!AA21-'IS (Base)'!AA21</f>
        <v>0</v>
      </c>
      <c r="AB21" s="170">
        <f>'IS (Adjusted)'!AB21-'IS (Base)'!AB21</f>
        <v>0</v>
      </c>
      <c r="AC21" s="105">
        <f>'IS (Adjusted)'!AC21-'IS (Base)'!AC21</f>
        <v>0</v>
      </c>
      <c r="AD21" s="105">
        <f>'IS (Adjusted)'!AD21-'IS (Base)'!AD21</f>
        <v>0</v>
      </c>
      <c r="AE21" s="105">
        <f>'IS (Adjusted)'!AE21-'IS (Base)'!AE21</f>
        <v>0</v>
      </c>
      <c r="AF21" s="105">
        <f>'IS (Adjusted)'!AF21-'IS (Base)'!AF21</f>
        <v>0</v>
      </c>
      <c r="AG21" s="170">
        <f>'IS (Adjusted)'!AG21-'IS (Base)'!AG21</f>
        <v>0</v>
      </c>
      <c r="AH21" s="105">
        <f>'IS (Adjusted)'!AH21-'IS (Base)'!AH21</f>
        <v>0</v>
      </c>
      <c r="AI21" s="105">
        <f>'IS (Adjusted)'!AI21-'IS (Base)'!AI21</f>
        <v>0</v>
      </c>
      <c r="AJ21" s="105">
        <f>'IS (Adjusted)'!AJ21-'IS (Base)'!AJ21</f>
        <v>0</v>
      </c>
      <c r="AK21" s="105">
        <f>'IS (Adjusted)'!AK21-'IS (Base)'!AK21</f>
        <v>0</v>
      </c>
      <c r="AL21" s="170">
        <f>'IS (Adjusted)'!AL21-'IS (Base)'!AL21</f>
        <v>0</v>
      </c>
      <c r="AM21" s="105">
        <f>'IS (Adjusted)'!AM21-'IS (Base)'!AM21</f>
        <v>0</v>
      </c>
      <c r="AN21" s="105">
        <f>'IS (Adjusted)'!AN21-'IS (Base)'!AN21</f>
        <v>0</v>
      </c>
      <c r="AO21" s="105">
        <f>'IS (Adjusted)'!AO21-'IS (Base)'!AO21</f>
        <v>0</v>
      </c>
      <c r="AP21" s="105">
        <f>'IS (Adjusted)'!AP21-'IS (Base)'!AP21</f>
        <v>0</v>
      </c>
      <c r="AQ21" s="170">
        <f>'IS (Adjusted)'!AQ21-'IS (Base)'!AQ21</f>
        <v>0</v>
      </c>
      <c r="AR21" s="105">
        <f>'IS (Adjusted)'!AR21-'IS (Base)'!AR21</f>
        <v>0</v>
      </c>
      <c r="AS21" s="105">
        <f>'IS (Adjusted)'!AS21-'IS (Base)'!AS21</f>
        <v>0</v>
      </c>
      <c r="AT21" s="105">
        <f>'IS (Adjusted)'!AT21-'IS (Base)'!AT21</f>
        <v>0</v>
      </c>
      <c r="AU21" s="105">
        <f>'IS (Adjusted)'!AU21-'IS (Base)'!AU21</f>
        <v>0</v>
      </c>
      <c r="AV21" s="170">
        <f>'IS (Adjusted)'!AV21-'IS (Base)'!AV21</f>
        <v>0</v>
      </c>
    </row>
    <row r="22" spans="1:48" ht="16.2" x14ac:dyDescent="0.45">
      <c r="B22" s="38" t="s">
        <v>38</v>
      </c>
      <c r="C22" s="356"/>
      <c r="D22" s="104">
        <f>'IS (Adjusted)'!D22-'IS (Base)'!D22</f>
        <v>0</v>
      </c>
      <c r="E22" s="104">
        <f>'IS (Adjusted)'!E22-'IS (Base)'!E22</f>
        <v>0</v>
      </c>
      <c r="F22" s="104">
        <f>'IS (Adjusted)'!F22-'IS (Base)'!F22</f>
        <v>0</v>
      </c>
      <c r="G22" s="104">
        <f>'IS (Adjusted)'!G22-'IS (Base)'!G22</f>
        <v>0</v>
      </c>
      <c r="H22" s="173">
        <f>'IS (Adjusted)'!H22-'IS (Base)'!H22</f>
        <v>0</v>
      </c>
      <c r="I22" s="104">
        <f>'IS (Adjusted)'!I22-'IS (Base)'!I22</f>
        <v>0</v>
      </c>
      <c r="J22" s="104">
        <f>'IS (Adjusted)'!J22-'IS (Base)'!J22</f>
        <v>0</v>
      </c>
      <c r="K22" s="104">
        <f>'IS (Adjusted)'!K22-'IS (Base)'!K22</f>
        <v>0</v>
      </c>
      <c r="L22" s="104">
        <f>'IS (Adjusted)'!L22-'IS (Base)'!L22</f>
        <v>0</v>
      </c>
      <c r="M22" s="173">
        <f>'IS (Adjusted)'!M22-'IS (Base)'!M22</f>
        <v>0</v>
      </c>
      <c r="N22" s="104">
        <f>'IS (Adjusted)'!N22-'IS (Base)'!N22</f>
        <v>0</v>
      </c>
      <c r="O22" s="104">
        <f>'IS (Adjusted)'!O22-'IS (Base)'!O22</f>
        <v>0</v>
      </c>
      <c r="P22" s="104">
        <f>'IS (Adjusted)'!P22-'IS (Base)'!P22</f>
        <v>0</v>
      </c>
      <c r="Q22" s="104">
        <f>'IS (Adjusted)'!Q22-'IS (Base)'!Q22</f>
        <v>0</v>
      </c>
      <c r="R22" s="173">
        <f>'IS (Adjusted)'!R22-'IS (Base)'!R22</f>
        <v>0</v>
      </c>
      <c r="S22" s="104">
        <f>'IS (Adjusted)'!S22-'IS (Base)'!S22</f>
        <v>0</v>
      </c>
      <c r="T22" s="104">
        <f>'IS (Adjusted)'!T22-'IS (Base)'!T22</f>
        <v>0</v>
      </c>
      <c r="U22" s="104">
        <f>'IS (Adjusted)'!U22-'IS (Base)'!U22</f>
        <v>0</v>
      </c>
      <c r="V22" s="104">
        <f>'IS (Adjusted)'!V22-'IS (Base)'!V22</f>
        <v>0</v>
      </c>
      <c r="W22" s="173">
        <f>'IS (Adjusted)'!W22-'IS (Base)'!W22</f>
        <v>0</v>
      </c>
      <c r="X22" s="104">
        <f>'IS (Adjusted)'!X22-'IS (Base)'!X22</f>
        <v>0</v>
      </c>
      <c r="Y22" s="104">
        <f>'IS (Adjusted)'!Y22-'IS (Base)'!Y22</f>
        <v>0</v>
      </c>
      <c r="Z22" s="104">
        <f>'IS (Adjusted)'!Z22-'IS (Base)'!Z22</f>
        <v>0</v>
      </c>
      <c r="AA22" s="104">
        <f>'IS (Adjusted)'!AA22-'IS (Base)'!AA22</f>
        <v>0</v>
      </c>
      <c r="AB22" s="430">
        <f>'IS (Adjusted)'!AB22-'IS (Base)'!AB22</f>
        <v>0</v>
      </c>
      <c r="AC22" s="104">
        <f>'IS (Adjusted)'!AC22-'IS (Base)'!AC22</f>
        <v>0</v>
      </c>
      <c r="AD22" s="104">
        <f>'IS (Adjusted)'!AD22-'IS (Base)'!AD22</f>
        <v>0</v>
      </c>
      <c r="AE22" s="104">
        <f>'IS (Adjusted)'!AE22-'IS (Base)'!AE22</f>
        <v>0</v>
      </c>
      <c r="AF22" s="104">
        <f>'IS (Adjusted)'!AF22-'IS (Base)'!AF22</f>
        <v>0</v>
      </c>
      <c r="AG22" s="173">
        <f>'IS (Adjusted)'!AG22-'IS (Base)'!AG22</f>
        <v>0</v>
      </c>
      <c r="AH22" s="104">
        <f>'IS (Adjusted)'!AH22-'IS (Base)'!AH22</f>
        <v>0</v>
      </c>
      <c r="AI22" s="104">
        <f>'IS (Adjusted)'!AI22-'IS (Base)'!AI22</f>
        <v>0</v>
      </c>
      <c r="AJ22" s="104">
        <f>'IS (Adjusted)'!AJ22-'IS (Base)'!AJ22</f>
        <v>0</v>
      </c>
      <c r="AK22" s="104">
        <f>'IS (Adjusted)'!AK22-'IS (Base)'!AK22</f>
        <v>0</v>
      </c>
      <c r="AL22" s="173">
        <f>'IS (Adjusted)'!AL22-'IS (Base)'!AL22</f>
        <v>0</v>
      </c>
      <c r="AM22" s="104">
        <f>'IS (Adjusted)'!AM22-'IS (Base)'!AM22</f>
        <v>0</v>
      </c>
      <c r="AN22" s="104">
        <f>'IS (Adjusted)'!AN22-'IS (Base)'!AN22</f>
        <v>0</v>
      </c>
      <c r="AO22" s="104">
        <f>'IS (Adjusted)'!AO22-'IS (Base)'!AO22</f>
        <v>0</v>
      </c>
      <c r="AP22" s="104">
        <f>'IS (Adjusted)'!AP22-'IS (Base)'!AP22</f>
        <v>0</v>
      </c>
      <c r="AQ22" s="173">
        <f>'IS (Adjusted)'!AQ22-'IS (Base)'!AQ22</f>
        <v>0</v>
      </c>
      <c r="AR22" s="104">
        <f>'IS (Adjusted)'!AR22-'IS (Base)'!AR22</f>
        <v>0</v>
      </c>
      <c r="AS22" s="104">
        <f>'IS (Adjusted)'!AS22-'IS (Base)'!AS22</f>
        <v>0</v>
      </c>
      <c r="AT22" s="104">
        <f>'IS (Adjusted)'!AT22-'IS (Base)'!AT22</f>
        <v>0</v>
      </c>
      <c r="AU22" s="104">
        <f>'IS (Adjusted)'!AU22-'IS (Base)'!AU22</f>
        <v>0</v>
      </c>
      <c r="AV22" s="173">
        <f>'IS (Adjusted)'!AV22-'IS (Base)'!AV22</f>
        <v>0</v>
      </c>
    </row>
    <row r="23" spans="1:48" x14ac:dyDescent="0.3">
      <c r="B23" s="593" t="s">
        <v>11</v>
      </c>
      <c r="C23" s="594"/>
      <c r="D23" s="103">
        <f>'IS (Adjusted)'!D23-'IS (Base)'!D23</f>
        <v>0</v>
      </c>
      <c r="E23" s="103">
        <f>'IS (Adjusted)'!E23-'IS (Base)'!E23</f>
        <v>0</v>
      </c>
      <c r="F23" s="103">
        <f>'IS (Adjusted)'!F23-'IS (Base)'!F23</f>
        <v>0</v>
      </c>
      <c r="G23" s="103">
        <f>'IS (Adjusted)'!G23-'IS (Base)'!G23</f>
        <v>0</v>
      </c>
      <c r="H23" s="171">
        <f>'IS (Adjusted)'!H23-'IS (Base)'!H23</f>
        <v>0</v>
      </c>
      <c r="I23" s="103">
        <f>'IS (Adjusted)'!I23-'IS (Base)'!I23</f>
        <v>0</v>
      </c>
      <c r="J23" s="103">
        <f>'IS (Adjusted)'!J23-'IS (Base)'!J23</f>
        <v>0</v>
      </c>
      <c r="K23" s="103">
        <f>'IS (Adjusted)'!K23-'IS (Base)'!K23</f>
        <v>0</v>
      </c>
      <c r="L23" s="50">
        <f>'IS (Adjusted)'!L23-'IS (Base)'!L23</f>
        <v>0</v>
      </c>
      <c r="M23" s="51">
        <f>'IS (Adjusted)'!M23-'IS (Base)'!M23</f>
        <v>0</v>
      </c>
      <c r="N23" s="50">
        <f>'IS (Adjusted)'!N23-'IS (Base)'!N23</f>
        <v>0</v>
      </c>
      <c r="O23" s="103">
        <f>'IS (Adjusted)'!O23-'IS (Base)'!O23</f>
        <v>0</v>
      </c>
      <c r="P23" s="103">
        <f>'IS (Adjusted)'!P23-'IS (Base)'!P23</f>
        <v>0</v>
      </c>
      <c r="Q23" s="103">
        <f>'IS (Adjusted)'!Q23-'IS (Base)'!Q23</f>
        <v>0</v>
      </c>
      <c r="R23" s="171">
        <f>'IS (Adjusted)'!R23-'IS (Base)'!R23</f>
        <v>0</v>
      </c>
      <c r="S23" s="50">
        <f>'IS (Adjusted)'!S23-'IS (Base)'!S23</f>
        <v>0</v>
      </c>
      <c r="T23" s="50">
        <f>'IS (Adjusted)'!T23-'IS (Base)'!T23</f>
        <v>0</v>
      </c>
      <c r="U23" s="50">
        <f>'IS (Adjusted)'!U23-'IS (Base)'!U23</f>
        <v>0</v>
      </c>
      <c r="V23" s="50">
        <f>'IS (Adjusted)'!V23-'IS (Base)'!V23</f>
        <v>0</v>
      </c>
      <c r="W23" s="171">
        <f>'IS (Adjusted)'!W23-'IS (Base)'!W23</f>
        <v>0</v>
      </c>
      <c r="X23" s="103">
        <f>'IS (Adjusted)'!X23-'IS (Base)'!X23</f>
        <v>0</v>
      </c>
      <c r="Y23" s="50">
        <f>'IS (Adjusted)'!Y23-'IS (Base)'!Y23</f>
        <v>0</v>
      </c>
      <c r="Z23" s="50">
        <f>'IS (Adjusted)'!Z23-'IS (Base)'!Z23</f>
        <v>0</v>
      </c>
      <c r="AA23" s="50">
        <f>'IS (Adjusted)'!AA23-'IS (Base)'!AA23</f>
        <v>0</v>
      </c>
      <c r="AB23" s="51">
        <f>'IS (Adjusted)'!AB23-'IS (Base)'!AB23</f>
        <v>0</v>
      </c>
      <c r="AC23" s="50">
        <f>'IS (Adjusted)'!AC23-'IS (Base)'!AC23</f>
        <v>0</v>
      </c>
      <c r="AD23" s="50">
        <f>'IS (Adjusted)'!AD23-'IS (Base)'!AD23</f>
        <v>0</v>
      </c>
      <c r="AE23" s="50">
        <f>'IS (Adjusted)'!AE23-'IS (Base)'!AE23</f>
        <v>0</v>
      </c>
      <c r="AF23" s="50">
        <f>'IS (Adjusted)'!AF23-'IS (Base)'!AF23</f>
        <v>0</v>
      </c>
      <c r="AG23" s="51">
        <f>'IS (Adjusted)'!AG23-'IS (Base)'!AG23</f>
        <v>0</v>
      </c>
      <c r="AH23" s="50">
        <f>'IS (Adjusted)'!AH23-'IS (Base)'!AH23</f>
        <v>0</v>
      </c>
      <c r="AI23" s="50">
        <f>'IS (Adjusted)'!AI23-'IS (Base)'!AI23</f>
        <v>0</v>
      </c>
      <c r="AJ23" s="50">
        <f>'IS (Adjusted)'!AJ23-'IS (Base)'!AJ23</f>
        <v>0</v>
      </c>
      <c r="AK23" s="50">
        <f>'IS (Adjusted)'!AK23-'IS (Base)'!AK23</f>
        <v>0</v>
      </c>
      <c r="AL23" s="51">
        <f>'IS (Adjusted)'!AL23-'IS (Base)'!AL23</f>
        <v>0</v>
      </c>
      <c r="AM23" s="50">
        <f>'IS (Adjusted)'!AM23-'IS (Base)'!AM23</f>
        <v>0</v>
      </c>
      <c r="AN23" s="50">
        <f>'IS (Adjusted)'!AN23-'IS (Base)'!AN23</f>
        <v>0</v>
      </c>
      <c r="AO23" s="50">
        <f>'IS (Adjusted)'!AO23-'IS (Base)'!AO23</f>
        <v>0</v>
      </c>
      <c r="AP23" s="50">
        <f>'IS (Adjusted)'!AP23-'IS (Base)'!AP23</f>
        <v>0</v>
      </c>
      <c r="AQ23" s="51">
        <f>'IS (Adjusted)'!AQ23-'IS (Base)'!AQ23</f>
        <v>0</v>
      </c>
      <c r="AR23" s="50">
        <f>'IS (Adjusted)'!AR23-'IS (Base)'!AR23</f>
        <v>0</v>
      </c>
      <c r="AS23" s="50">
        <f>'IS (Adjusted)'!AS23-'IS (Base)'!AS23</f>
        <v>0</v>
      </c>
      <c r="AT23" s="50">
        <f>'IS (Adjusted)'!AT23-'IS (Base)'!AT23</f>
        <v>0</v>
      </c>
      <c r="AU23" s="50">
        <f>'IS (Adjusted)'!AU23-'IS (Base)'!AU23</f>
        <v>0</v>
      </c>
      <c r="AV23" s="51">
        <f>'IS (Adjusted)'!AV23-'IS (Base)'!AV23</f>
        <v>0</v>
      </c>
    </row>
    <row r="24" spans="1:48" ht="16.2" x14ac:dyDescent="0.45">
      <c r="B24" s="595" t="s">
        <v>5</v>
      </c>
      <c r="C24" s="596"/>
      <c r="D24" s="104">
        <f>'IS (Adjusted)'!D24-'IS (Base)'!D24</f>
        <v>0</v>
      </c>
      <c r="E24" s="104">
        <f>'IS (Adjusted)'!E24-'IS (Base)'!E24</f>
        <v>0</v>
      </c>
      <c r="F24" s="104">
        <f>'IS (Adjusted)'!F24-'IS (Base)'!F24</f>
        <v>0</v>
      </c>
      <c r="G24" s="104">
        <f>'IS (Adjusted)'!G24-'IS (Base)'!G24</f>
        <v>0</v>
      </c>
      <c r="H24" s="173">
        <f>'IS (Adjusted)'!H24-'IS (Base)'!H24</f>
        <v>0</v>
      </c>
      <c r="I24" s="104">
        <f>'IS (Adjusted)'!I24-'IS (Base)'!I24</f>
        <v>0</v>
      </c>
      <c r="J24" s="104">
        <f>'IS (Adjusted)'!J24-'IS (Base)'!J24</f>
        <v>0</v>
      </c>
      <c r="K24" s="104">
        <f>'IS (Adjusted)'!K24-'IS (Base)'!K24</f>
        <v>0</v>
      </c>
      <c r="L24" s="52">
        <f>'IS (Adjusted)'!L24-'IS (Base)'!L24</f>
        <v>0</v>
      </c>
      <c r="M24" s="53">
        <f>'IS (Adjusted)'!M24-'IS (Base)'!M24</f>
        <v>0</v>
      </c>
      <c r="N24" s="52">
        <f>'IS (Adjusted)'!N24-'IS (Base)'!N24</f>
        <v>0</v>
      </c>
      <c r="O24" s="104">
        <f>'IS (Adjusted)'!O24-'IS (Base)'!O24</f>
        <v>0</v>
      </c>
      <c r="P24" s="104">
        <f>'IS (Adjusted)'!P24-'IS (Base)'!P24</f>
        <v>0</v>
      </c>
      <c r="Q24" s="104">
        <f>'IS (Adjusted)'!Q24-'IS (Base)'!Q24</f>
        <v>0</v>
      </c>
      <c r="R24" s="173">
        <f>'IS (Adjusted)'!R24-'IS (Base)'!R24</f>
        <v>0</v>
      </c>
      <c r="S24" s="52">
        <f>'IS (Adjusted)'!S24-'IS (Base)'!S24</f>
        <v>0</v>
      </c>
      <c r="T24" s="52">
        <f>'IS (Adjusted)'!T24-'IS (Base)'!T24</f>
        <v>0</v>
      </c>
      <c r="U24" s="52">
        <f>'IS (Adjusted)'!U24-'IS (Base)'!U24</f>
        <v>0</v>
      </c>
      <c r="V24" s="52">
        <f>'IS (Adjusted)'!V24-'IS (Base)'!V24</f>
        <v>0</v>
      </c>
      <c r="W24" s="173">
        <f>'IS (Adjusted)'!W24-'IS (Base)'!W24</f>
        <v>0</v>
      </c>
      <c r="X24" s="104">
        <f>'IS (Adjusted)'!X24-'IS (Base)'!X24</f>
        <v>0</v>
      </c>
      <c r="Y24" s="52">
        <f>'IS (Adjusted)'!Y24-'IS (Base)'!Y24</f>
        <v>0</v>
      </c>
      <c r="Z24" s="52">
        <f>'IS (Adjusted)'!Z24-'IS (Base)'!Z24</f>
        <v>0</v>
      </c>
      <c r="AA24" s="52">
        <f>'IS (Adjusted)'!AA24-'IS (Base)'!AA24</f>
        <v>0</v>
      </c>
      <c r="AB24" s="53">
        <f>'IS (Adjusted)'!AB24-'IS (Base)'!AB24</f>
        <v>0</v>
      </c>
      <c r="AC24" s="52">
        <f>'IS (Adjusted)'!AC24-'IS (Base)'!AC24</f>
        <v>0</v>
      </c>
      <c r="AD24" s="52">
        <f>'IS (Adjusted)'!AD24-'IS (Base)'!AD24</f>
        <v>0</v>
      </c>
      <c r="AE24" s="52">
        <f>'IS (Adjusted)'!AE24-'IS (Base)'!AE24</f>
        <v>0</v>
      </c>
      <c r="AF24" s="52">
        <f>'IS (Adjusted)'!AF24-'IS (Base)'!AF24</f>
        <v>0</v>
      </c>
      <c r="AG24" s="53">
        <f>'IS (Adjusted)'!AG24-'IS (Base)'!AG24</f>
        <v>0</v>
      </c>
      <c r="AH24" s="52">
        <f>'IS (Adjusted)'!AH24-'IS (Base)'!AH24</f>
        <v>0</v>
      </c>
      <c r="AI24" s="52">
        <f>'IS (Adjusted)'!AI24-'IS (Base)'!AI24</f>
        <v>0</v>
      </c>
      <c r="AJ24" s="52">
        <f>'IS (Adjusted)'!AJ24-'IS (Base)'!AJ24</f>
        <v>0</v>
      </c>
      <c r="AK24" s="52">
        <f>'IS (Adjusted)'!AK24-'IS (Base)'!AK24</f>
        <v>0</v>
      </c>
      <c r="AL24" s="53">
        <f>'IS (Adjusted)'!AL24-'IS (Base)'!AL24</f>
        <v>0</v>
      </c>
      <c r="AM24" s="52">
        <f>'IS (Adjusted)'!AM24-'IS (Base)'!AM24</f>
        <v>0</v>
      </c>
      <c r="AN24" s="52">
        <f>'IS (Adjusted)'!AN24-'IS (Base)'!AN24</f>
        <v>0</v>
      </c>
      <c r="AO24" s="52">
        <f>'IS (Adjusted)'!AO24-'IS (Base)'!AO24</f>
        <v>0</v>
      </c>
      <c r="AP24" s="52">
        <f>'IS (Adjusted)'!AP24-'IS (Base)'!AP24</f>
        <v>0</v>
      </c>
      <c r="AQ24" s="53">
        <f>'IS (Adjusted)'!AQ24-'IS (Base)'!AQ24</f>
        <v>0</v>
      </c>
      <c r="AR24" s="52">
        <f>'IS (Adjusted)'!AR24-'IS (Base)'!AR24</f>
        <v>0</v>
      </c>
      <c r="AS24" s="52">
        <f>'IS (Adjusted)'!AS24-'IS (Base)'!AS24</f>
        <v>0</v>
      </c>
      <c r="AT24" s="52">
        <f>'IS (Adjusted)'!AT24-'IS (Base)'!AT24</f>
        <v>0</v>
      </c>
      <c r="AU24" s="52">
        <f>'IS (Adjusted)'!AU24-'IS (Base)'!AU24</f>
        <v>0</v>
      </c>
      <c r="AV24" s="53">
        <f>'IS (Adjusted)'!AV24-'IS (Base)'!AV24</f>
        <v>0</v>
      </c>
    </row>
    <row r="25" spans="1:48" x14ac:dyDescent="0.3">
      <c r="A25" s="23"/>
      <c r="B25" s="593" t="s">
        <v>39</v>
      </c>
      <c r="C25" s="594"/>
      <c r="D25" s="103">
        <f>'IS (Adjusted)'!D25-'IS (Base)'!D25</f>
        <v>0</v>
      </c>
      <c r="E25" s="103">
        <f>'IS (Adjusted)'!E25-'IS (Base)'!E25</f>
        <v>0</v>
      </c>
      <c r="F25" s="103">
        <f>'IS (Adjusted)'!F25-'IS (Base)'!F25</f>
        <v>0</v>
      </c>
      <c r="G25" s="103">
        <f>'IS (Adjusted)'!G25-'IS (Base)'!G25</f>
        <v>0</v>
      </c>
      <c r="H25" s="171">
        <f>'IS (Adjusted)'!H25-'IS (Base)'!H25</f>
        <v>0</v>
      </c>
      <c r="I25" s="103">
        <f>'IS (Adjusted)'!I25-'IS (Base)'!I25</f>
        <v>0</v>
      </c>
      <c r="J25" s="103">
        <f>'IS (Adjusted)'!J25-'IS (Base)'!J25</f>
        <v>0</v>
      </c>
      <c r="K25" s="103">
        <f>'IS (Adjusted)'!K25-'IS (Base)'!K25</f>
        <v>0</v>
      </c>
      <c r="L25" s="50">
        <f>'IS (Adjusted)'!L25-'IS (Base)'!L25</f>
        <v>0</v>
      </c>
      <c r="M25" s="51">
        <f>'IS (Adjusted)'!M25-'IS (Base)'!M25</f>
        <v>0</v>
      </c>
      <c r="N25" s="50">
        <f>'IS (Adjusted)'!N25-'IS (Base)'!N25</f>
        <v>0</v>
      </c>
      <c r="O25" s="103">
        <f>'IS (Adjusted)'!O25-'IS (Base)'!O25</f>
        <v>0</v>
      </c>
      <c r="P25" s="103">
        <f>'IS (Adjusted)'!P25-'IS (Base)'!P25</f>
        <v>0</v>
      </c>
      <c r="Q25" s="103">
        <f>'IS (Adjusted)'!Q25-'IS (Base)'!Q25</f>
        <v>0</v>
      </c>
      <c r="R25" s="171">
        <f>'IS (Adjusted)'!R25-'IS (Base)'!R25</f>
        <v>0</v>
      </c>
      <c r="S25" s="50">
        <f>'IS (Adjusted)'!S25-'IS (Base)'!S25</f>
        <v>0</v>
      </c>
      <c r="T25" s="50">
        <f>'IS (Adjusted)'!T25-'IS (Base)'!T25</f>
        <v>0</v>
      </c>
      <c r="U25" s="50">
        <f>'IS (Adjusted)'!U25-'IS (Base)'!U25</f>
        <v>0</v>
      </c>
      <c r="V25" s="50">
        <f>'IS (Adjusted)'!V25-'IS (Base)'!V25</f>
        <v>0</v>
      </c>
      <c r="W25" s="171">
        <f>'IS (Adjusted)'!W25-'IS (Base)'!W25</f>
        <v>0</v>
      </c>
      <c r="X25" s="103">
        <f>'IS (Adjusted)'!X25-'IS (Base)'!X25</f>
        <v>0</v>
      </c>
      <c r="Y25" s="50">
        <f>'IS (Adjusted)'!Y25-'IS (Base)'!Y25</f>
        <v>0</v>
      </c>
      <c r="Z25" s="50">
        <f>'IS (Adjusted)'!Z25-'IS (Base)'!Z25</f>
        <v>0</v>
      </c>
      <c r="AA25" s="50">
        <f>'IS (Adjusted)'!AA25-'IS (Base)'!AA25</f>
        <v>0</v>
      </c>
      <c r="AB25" s="51">
        <f>'IS (Adjusted)'!AB25-'IS (Base)'!AB25</f>
        <v>0</v>
      </c>
      <c r="AC25" s="50">
        <f>'IS (Adjusted)'!AC25-'IS (Base)'!AC25</f>
        <v>0</v>
      </c>
      <c r="AD25" s="50">
        <f>'IS (Adjusted)'!AD25-'IS (Base)'!AD25</f>
        <v>0</v>
      </c>
      <c r="AE25" s="50">
        <f>'IS (Adjusted)'!AE25-'IS (Base)'!AE25</f>
        <v>0</v>
      </c>
      <c r="AF25" s="103">
        <f>'IS (Adjusted)'!AF25-'IS (Base)'!AF25</f>
        <v>0</v>
      </c>
      <c r="AG25" s="171">
        <f>'IS (Adjusted)'!AG25-'IS (Base)'!AG25</f>
        <v>0</v>
      </c>
      <c r="AH25" s="103">
        <f>'IS (Adjusted)'!AH25-'IS (Base)'!AH25</f>
        <v>0</v>
      </c>
      <c r="AI25" s="103">
        <f>'IS (Adjusted)'!AI25-'IS (Base)'!AI25</f>
        <v>0</v>
      </c>
      <c r="AJ25" s="103">
        <f>'IS (Adjusted)'!AJ25-'IS (Base)'!AJ25</f>
        <v>0</v>
      </c>
      <c r="AK25" s="103">
        <f>'IS (Adjusted)'!AK25-'IS (Base)'!AK25</f>
        <v>0</v>
      </c>
      <c r="AL25" s="51">
        <f>'IS (Adjusted)'!AL25-'IS (Base)'!AL25</f>
        <v>0</v>
      </c>
      <c r="AM25" s="103">
        <f>'IS (Adjusted)'!AM25-'IS (Base)'!AM25</f>
        <v>0</v>
      </c>
      <c r="AN25" s="103">
        <f>'IS (Adjusted)'!AN25-'IS (Base)'!AN25</f>
        <v>0</v>
      </c>
      <c r="AO25" s="103">
        <f>'IS (Adjusted)'!AO25-'IS (Base)'!AO25</f>
        <v>0</v>
      </c>
      <c r="AP25" s="103">
        <f>'IS (Adjusted)'!AP25-'IS (Base)'!AP25</f>
        <v>0</v>
      </c>
      <c r="AQ25" s="51">
        <f>'IS (Adjusted)'!AQ25-'IS (Base)'!AQ25</f>
        <v>0</v>
      </c>
      <c r="AR25" s="103">
        <f>'IS (Adjusted)'!AR25-'IS (Base)'!AR25</f>
        <v>0</v>
      </c>
      <c r="AS25" s="103">
        <f>'IS (Adjusted)'!AS25-'IS (Base)'!AS25</f>
        <v>0</v>
      </c>
      <c r="AT25" s="103">
        <f>'IS (Adjusted)'!AT25-'IS (Base)'!AT25</f>
        <v>0</v>
      </c>
      <c r="AU25" s="103">
        <f>'IS (Adjusted)'!AU25-'IS (Base)'!AU25</f>
        <v>0</v>
      </c>
      <c r="AV25" s="51">
        <f>'IS (Adjusted)'!AV25-'IS (Base)'!AV25</f>
        <v>0</v>
      </c>
    </row>
    <row r="26" spans="1:48" ht="16.2" x14ac:dyDescent="0.45">
      <c r="A26" s="23"/>
      <c r="B26" s="210" t="s">
        <v>40</v>
      </c>
      <c r="C26" s="201"/>
      <c r="D26" s="104">
        <f>'IS (Adjusted)'!D26-'IS (Base)'!D26</f>
        <v>0</v>
      </c>
      <c r="E26" s="104">
        <f>'IS (Adjusted)'!E26-'IS (Base)'!E26</f>
        <v>0</v>
      </c>
      <c r="F26" s="104">
        <f>'IS (Adjusted)'!F26-'IS (Base)'!F26</f>
        <v>0</v>
      </c>
      <c r="G26" s="104">
        <f>'IS (Adjusted)'!G26-'IS (Base)'!G26</f>
        <v>0</v>
      </c>
      <c r="H26" s="173">
        <f>'IS (Adjusted)'!H26-'IS (Base)'!H26</f>
        <v>0</v>
      </c>
      <c r="I26" s="104">
        <f>'IS (Adjusted)'!I26-'IS (Base)'!I26</f>
        <v>0</v>
      </c>
      <c r="J26" s="104">
        <f>'IS (Adjusted)'!J26-'IS (Base)'!J26</f>
        <v>0</v>
      </c>
      <c r="K26" s="104">
        <f>'IS (Adjusted)'!K26-'IS (Base)'!K26</f>
        <v>0</v>
      </c>
      <c r="L26" s="104">
        <f>'IS (Adjusted)'!L26-'IS (Base)'!L26</f>
        <v>0</v>
      </c>
      <c r="M26" s="173">
        <f>'IS (Adjusted)'!M26-'IS (Base)'!M26</f>
        <v>0</v>
      </c>
      <c r="N26" s="104">
        <f>'IS (Adjusted)'!N26-'IS (Base)'!N26</f>
        <v>0</v>
      </c>
      <c r="O26" s="104">
        <f>'IS (Adjusted)'!O26-'IS (Base)'!O26</f>
        <v>0</v>
      </c>
      <c r="P26" s="104">
        <f>'IS (Adjusted)'!P26-'IS (Base)'!P26</f>
        <v>0</v>
      </c>
      <c r="Q26" s="104">
        <f>'IS (Adjusted)'!Q26-'IS (Base)'!Q26</f>
        <v>0</v>
      </c>
      <c r="R26" s="173">
        <f>'IS (Adjusted)'!R26-'IS (Base)'!R26</f>
        <v>0</v>
      </c>
      <c r="S26" s="104">
        <f>'IS (Adjusted)'!S26-'IS (Base)'!S26</f>
        <v>0</v>
      </c>
      <c r="T26" s="104">
        <f>'IS (Adjusted)'!T26-'IS (Base)'!T26</f>
        <v>0</v>
      </c>
      <c r="U26" s="104">
        <f>'IS (Adjusted)'!U26-'IS (Base)'!U26</f>
        <v>0</v>
      </c>
      <c r="V26" s="104">
        <f>'IS (Adjusted)'!V26-'IS (Base)'!V26</f>
        <v>0</v>
      </c>
      <c r="W26" s="173">
        <f>'IS (Adjusted)'!W26-'IS (Base)'!W26</f>
        <v>0</v>
      </c>
      <c r="X26" s="104">
        <f>'IS (Adjusted)'!X26-'IS (Base)'!X26</f>
        <v>0</v>
      </c>
      <c r="Y26" s="104">
        <f>'IS (Adjusted)'!Y26-'IS (Base)'!Y26</f>
        <v>0</v>
      </c>
      <c r="Z26" s="104">
        <f>'IS (Adjusted)'!Z26-'IS (Base)'!Z26</f>
        <v>0</v>
      </c>
      <c r="AA26" s="104">
        <f>'IS (Adjusted)'!AA26-'IS (Base)'!AA26</f>
        <v>0</v>
      </c>
      <c r="AB26" s="173">
        <f>'IS (Adjusted)'!AB26-'IS (Base)'!AB26</f>
        <v>0</v>
      </c>
      <c r="AC26" s="104">
        <f>'IS (Adjusted)'!AC26-'IS (Base)'!AC26</f>
        <v>0</v>
      </c>
      <c r="AD26" s="104">
        <f>'IS (Adjusted)'!AD26-'IS (Base)'!AD26</f>
        <v>0</v>
      </c>
      <c r="AE26" s="104">
        <f>'IS (Adjusted)'!AE26-'IS (Base)'!AE26</f>
        <v>0</v>
      </c>
      <c r="AF26" s="104">
        <f>'IS (Adjusted)'!AF26-'IS (Base)'!AF26</f>
        <v>0</v>
      </c>
      <c r="AG26" s="173">
        <f>'IS (Adjusted)'!AG26-'IS (Base)'!AG26</f>
        <v>0</v>
      </c>
      <c r="AH26" s="104">
        <f>'IS (Adjusted)'!AH26-'IS (Base)'!AH26</f>
        <v>0</v>
      </c>
      <c r="AI26" s="104">
        <f>'IS (Adjusted)'!AI26-'IS (Base)'!AI26</f>
        <v>0</v>
      </c>
      <c r="AJ26" s="104">
        <f>'IS (Adjusted)'!AJ26-'IS (Base)'!AJ26</f>
        <v>0</v>
      </c>
      <c r="AK26" s="104">
        <f>'IS (Adjusted)'!AK26-'IS (Base)'!AK26</f>
        <v>0</v>
      </c>
      <c r="AL26" s="53">
        <f>'IS (Adjusted)'!AL26-'IS (Base)'!AL26</f>
        <v>0</v>
      </c>
      <c r="AM26" s="104">
        <f>'IS (Adjusted)'!AM26-'IS (Base)'!AM26</f>
        <v>0</v>
      </c>
      <c r="AN26" s="104">
        <f>'IS (Adjusted)'!AN26-'IS (Base)'!AN26</f>
        <v>0</v>
      </c>
      <c r="AO26" s="104">
        <f>'IS (Adjusted)'!AO26-'IS (Base)'!AO26</f>
        <v>0</v>
      </c>
      <c r="AP26" s="104">
        <f>'IS (Adjusted)'!AP26-'IS (Base)'!AP26</f>
        <v>0</v>
      </c>
      <c r="AQ26" s="53">
        <f>'IS (Adjusted)'!AQ26-'IS (Base)'!AQ26</f>
        <v>0</v>
      </c>
      <c r="AR26" s="104">
        <f>'IS (Adjusted)'!AR26-'IS (Base)'!AR26</f>
        <v>0</v>
      </c>
      <c r="AS26" s="104">
        <f>'IS (Adjusted)'!AS26-'IS (Base)'!AS26</f>
        <v>0</v>
      </c>
      <c r="AT26" s="104">
        <f>'IS (Adjusted)'!AT26-'IS (Base)'!AT26</f>
        <v>0</v>
      </c>
      <c r="AU26" s="104">
        <f>'IS (Adjusted)'!AU26-'IS (Base)'!AU26</f>
        <v>0</v>
      </c>
      <c r="AV26" s="53">
        <f>'IS (Adjusted)'!AV26-'IS (Base)'!AV26</f>
        <v>0</v>
      </c>
    </row>
    <row r="27" spans="1:48" s="8" customFormat="1" x14ac:dyDescent="0.3">
      <c r="A27" s="20"/>
      <c r="B27" s="209" t="s">
        <v>16</v>
      </c>
      <c r="C27" s="202"/>
      <c r="D27" s="103">
        <f>'IS (Adjusted)'!D27-'IS (Base)'!D27</f>
        <v>0</v>
      </c>
      <c r="E27" s="103">
        <f>'IS (Adjusted)'!E27-'IS (Base)'!E27</f>
        <v>0</v>
      </c>
      <c r="F27" s="103">
        <f>'IS (Adjusted)'!F27-'IS (Base)'!F27</f>
        <v>0</v>
      </c>
      <c r="G27" s="103">
        <f>'IS (Adjusted)'!G27-'IS (Base)'!G27</f>
        <v>0</v>
      </c>
      <c r="H27" s="171">
        <f>'IS (Adjusted)'!H27-'IS (Base)'!H27</f>
        <v>0</v>
      </c>
      <c r="I27" s="103">
        <f>'IS (Adjusted)'!I27-'IS (Base)'!I27</f>
        <v>0</v>
      </c>
      <c r="J27" s="103">
        <f>'IS (Adjusted)'!J27-'IS (Base)'!J27</f>
        <v>0</v>
      </c>
      <c r="K27" s="103">
        <f>'IS (Adjusted)'!K27-'IS (Base)'!K27</f>
        <v>0</v>
      </c>
      <c r="L27" s="50">
        <f>'IS (Adjusted)'!L27-'IS (Base)'!L27</f>
        <v>0</v>
      </c>
      <c r="M27" s="51">
        <f>'IS (Adjusted)'!M27-'IS (Base)'!M27</f>
        <v>0</v>
      </c>
      <c r="N27" s="50">
        <f>'IS (Adjusted)'!N27-'IS (Base)'!N27</f>
        <v>0</v>
      </c>
      <c r="O27" s="103">
        <f>'IS (Adjusted)'!O27-'IS (Base)'!O27</f>
        <v>0</v>
      </c>
      <c r="P27" s="103">
        <f>'IS (Adjusted)'!P27-'IS (Base)'!P27</f>
        <v>0</v>
      </c>
      <c r="Q27" s="103">
        <f>'IS (Adjusted)'!Q27-'IS (Base)'!Q27</f>
        <v>0</v>
      </c>
      <c r="R27" s="171">
        <f>'IS (Adjusted)'!R27-'IS (Base)'!R27</f>
        <v>0</v>
      </c>
      <c r="S27" s="50">
        <f>'IS (Adjusted)'!S27-'IS (Base)'!S27</f>
        <v>0</v>
      </c>
      <c r="T27" s="50">
        <f>'IS (Adjusted)'!T27-'IS (Base)'!T27</f>
        <v>0</v>
      </c>
      <c r="U27" s="50">
        <f>'IS (Adjusted)'!U27-'IS (Base)'!U27</f>
        <v>0</v>
      </c>
      <c r="V27" s="103">
        <f>'IS (Adjusted)'!V27-'IS (Base)'!V27</f>
        <v>0</v>
      </c>
      <c r="W27" s="171">
        <f>'IS (Adjusted)'!W27-'IS (Base)'!W27</f>
        <v>0</v>
      </c>
      <c r="X27" s="103">
        <f>'IS (Adjusted)'!X27-'IS (Base)'!X27</f>
        <v>0</v>
      </c>
      <c r="Y27" s="50">
        <f>'IS (Adjusted)'!Y27-'IS (Base)'!Y27</f>
        <v>0</v>
      </c>
      <c r="Z27" s="50">
        <f>'IS (Adjusted)'!Z27-'IS (Base)'!Z27</f>
        <v>0</v>
      </c>
      <c r="AA27" s="50">
        <f>'IS (Adjusted)'!AA27-'IS (Base)'!AA27</f>
        <v>0</v>
      </c>
      <c r="AB27" s="51">
        <f>'IS (Adjusted)'!AB27-'IS (Base)'!AB27</f>
        <v>0</v>
      </c>
      <c r="AC27" s="50">
        <f>'IS (Adjusted)'!AC27-'IS (Base)'!AC27</f>
        <v>0</v>
      </c>
      <c r="AD27" s="50">
        <f>'IS (Adjusted)'!AD27-'IS (Base)'!AD27</f>
        <v>0</v>
      </c>
      <c r="AE27" s="50">
        <f>'IS (Adjusted)'!AE27-'IS (Base)'!AE27</f>
        <v>0</v>
      </c>
      <c r="AF27" s="50">
        <f>'IS (Adjusted)'!AF27-'IS (Base)'!AF27</f>
        <v>0</v>
      </c>
      <c r="AG27" s="51">
        <f>'IS (Adjusted)'!AG27-'IS (Base)'!AG27</f>
        <v>0</v>
      </c>
      <c r="AH27" s="50">
        <f>'IS (Adjusted)'!AH27-'IS (Base)'!AH27</f>
        <v>0</v>
      </c>
      <c r="AI27" s="50">
        <f>'IS (Adjusted)'!AI27-'IS (Base)'!AI27</f>
        <v>0</v>
      </c>
      <c r="AJ27" s="50">
        <f>'IS (Adjusted)'!AJ27-'IS (Base)'!AJ27</f>
        <v>0</v>
      </c>
      <c r="AK27" s="50">
        <f>'IS (Adjusted)'!AK27-'IS (Base)'!AK27</f>
        <v>0</v>
      </c>
      <c r="AL27" s="51">
        <f>'IS (Adjusted)'!AL27-'IS (Base)'!AL27</f>
        <v>0</v>
      </c>
      <c r="AM27" s="50">
        <f>'IS (Adjusted)'!AM27-'IS (Base)'!AM27</f>
        <v>0</v>
      </c>
      <c r="AN27" s="50">
        <f>'IS (Adjusted)'!AN27-'IS (Base)'!AN27</f>
        <v>0</v>
      </c>
      <c r="AO27" s="50">
        <f>'IS (Adjusted)'!AO27-'IS (Base)'!AO27</f>
        <v>0</v>
      </c>
      <c r="AP27" s="50">
        <f>'IS (Adjusted)'!AP27-'IS (Base)'!AP27</f>
        <v>0</v>
      </c>
      <c r="AQ27" s="51">
        <f>'IS (Adjusted)'!AQ27-'IS (Base)'!AQ27</f>
        <v>0</v>
      </c>
      <c r="AR27" s="50">
        <f>'IS (Adjusted)'!AR27-'IS (Base)'!AR27</f>
        <v>0</v>
      </c>
      <c r="AS27" s="50">
        <f>'IS (Adjusted)'!AS27-'IS (Base)'!AS27</f>
        <v>0</v>
      </c>
      <c r="AT27" s="50">
        <f>'IS (Adjusted)'!AT27-'IS (Base)'!AT27</f>
        <v>0</v>
      </c>
      <c r="AU27" s="50">
        <f>'IS (Adjusted)'!AU27-'IS (Base)'!AU27</f>
        <v>0</v>
      </c>
      <c r="AV27" s="51">
        <f>'IS (Adjusted)'!AV27-'IS (Base)'!AV27</f>
        <v>0</v>
      </c>
    </row>
    <row r="28" spans="1:48" s="8" customFormat="1" ht="16.2" x14ac:dyDescent="0.45">
      <c r="A28" s="20"/>
      <c r="B28" s="87" t="s">
        <v>72</v>
      </c>
      <c r="C28" s="84"/>
      <c r="D28" s="109">
        <f>'IS (Adjusted)'!D28-'IS (Base)'!D28</f>
        <v>0</v>
      </c>
      <c r="E28" s="109">
        <f>'IS (Adjusted)'!E28-'IS (Base)'!E28</f>
        <v>0</v>
      </c>
      <c r="F28" s="109">
        <f>'IS (Adjusted)'!F28-'IS (Base)'!F28</f>
        <v>0</v>
      </c>
      <c r="G28" s="109">
        <f>'IS (Adjusted)'!G28-'IS (Base)'!G28</f>
        <v>0</v>
      </c>
      <c r="H28" s="178">
        <f>'IS (Adjusted)'!H28-'IS (Base)'!H28</f>
        <v>0</v>
      </c>
      <c r="I28" s="109">
        <f>'IS (Adjusted)'!I28-'IS (Base)'!I28</f>
        <v>0</v>
      </c>
      <c r="J28" s="109">
        <f>'IS (Adjusted)'!J28-'IS (Base)'!J28</f>
        <v>0</v>
      </c>
      <c r="K28" s="109">
        <f>'IS (Adjusted)'!K28-'IS (Base)'!K28</f>
        <v>0</v>
      </c>
      <c r="L28" s="91">
        <f>'IS (Adjusted)'!L28-'IS (Base)'!L28</f>
        <v>0</v>
      </c>
      <c r="M28" s="92">
        <f>'IS (Adjusted)'!M28-'IS (Base)'!M28</f>
        <v>0</v>
      </c>
      <c r="N28" s="109">
        <f>'IS (Adjusted)'!N28-'IS (Base)'!N28</f>
        <v>0</v>
      </c>
      <c r="O28" s="109">
        <f>'IS (Adjusted)'!O28-'IS (Base)'!O28</f>
        <v>0</v>
      </c>
      <c r="P28" s="109">
        <f>'IS (Adjusted)'!P28-'IS (Base)'!P28</f>
        <v>0</v>
      </c>
      <c r="Q28" s="109">
        <f>'IS (Adjusted)'!Q28-'IS (Base)'!Q28</f>
        <v>0</v>
      </c>
      <c r="R28" s="178">
        <f>'IS (Adjusted)'!R28-'IS (Base)'!R28</f>
        <v>0</v>
      </c>
      <c r="S28" s="91">
        <f>'IS (Adjusted)'!S28-'IS (Base)'!S28</f>
        <v>0</v>
      </c>
      <c r="T28" s="91">
        <f>'IS (Adjusted)'!T28-'IS (Base)'!T28</f>
        <v>0</v>
      </c>
      <c r="U28" s="91">
        <f>'IS (Adjusted)'!U28-'IS (Base)'!U28</f>
        <v>0</v>
      </c>
      <c r="V28" s="109">
        <f>'IS (Adjusted)'!V28-'IS (Base)'!V28</f>
        <v>0</v>
      </c>
      <c r="W28" s="178">
        <f>'IS (Adjusted)'!W28-'IS (Base)'!W28</f>
        <v>0</v>
      </c>
      <c r="X28" s="109">
        <f>'IS (Adjusted)'!X28-'IS (Base)'!X28</f>
        <v>0</v>
      </c>
      <c r="Y28" s="91">
        <f>'IS (Adjusted)'!Y28-'IS (Base)'!Y28</f>
        <v>0</v>
      </c>
      <c r="Z28" s="91">
        <f>'IS (Adjusted)'!Z28-'IS (Base)'!Z28</f>
        <v>0</v>
      </c>
      <c r="AA28" s="91">
        <f>'IS (Adjusted)'!AA28-'IS (Base)'!AA28</f>
        <v>0</v>
      </c>
      <c r="AB28" s="92">
        <f>'IS (Adjusted)'!AB28-'IS (Base)'!AB28</f>
        <v>0</v>
      </c>
      <c r="AC28" s="91">
        <f>'IS (Adjusted)'!AC28-'IS (Base)'!AC28</f>
        <v>0</v>
      </c>
      <c r="AD28" s="91">
        <f>'IS (Adjusted)'!AD28-'IS (Base)'!AD28</f>
        <v>0</v>
      </c>
      <c r="AE28" s="91">
        <f>'IS (Adjusted)'!AE28-'IS (Base)'!AE28</f>
        <v>0</v>
      </c>
      <c r="AF28" s="91">
        <f>'IS (Adjusted)'!AF28-'IS (Base)'!AF28</f>
        <v>0</v>
      </c>
      <c r="AG28" s="92">
        <f>'IS (Adjusted)'!AG28-'IS (Base)'!AG28</f>
        <v>0</v>
      </c>
      <c r="AH28" s="91">
        <f>'IS (Adjusted)'!AH28-'IS (Base)'!AH28</f>
        <v>0</v>
      </c>
      <c r="AI28" s="91">
        <f>'IS (Adjusted)'!AI28-'IS (Base)'!AI28</f>
        <v>0</v>
      </c>
      <c r="AJ28" s="91">
        <f>'IS (Adjusted)'!AJ28-'IS (Base)'!AJ28</f>
        <v>0</v>
      </c>
      <c r="AK28" s="91">
        <f>'IS (Adjusted)'!AK28-'IS (Base)'!AK28</f>
        <v>0</v>
      </c>
      <c r="AL28" s="92">
        <f>'IS (Adjusted)'!AL28-'IS (Base)'!AL28</f>
        <v>0</v>
      </c>
      <c r="AM28" s="91">
        <f>'IS (Adjusted)'!AM28-'IS (Base)'!AM28</f>
        <v>0</v>
      </c>
      <c r="AN28" s="91">
        <f>'IS (Adjusted)'!AN28-'IS (Base)'!AN28</f>
        <v>0</v>
      </c>
      <c r="AO28" s="91">
        <f>'IS (Adjusted)'!AO28-'IS (Base)'!AO28</f>
        <v>0</v>
      </c>
      <c r="AP28" s="91">
        <f>'IS (Adjusted)'!AP28-'IS (Base)'!AP28</f>
        <v>0</v>
      </c>
      <c r="AQ28" s="92">
        <f>'IS (Adjusted)'!AQ28-'IS (Base)'!AQ28</f>
        <v>0</v>
      </c>
      <c r="AR28" s="91">
        <f>'IS (Adjusted)'!AR28-'IS (Base)'!AR28</f>
        <v>0</v>
      </c>
      <c r="AS28" s="91">
        <f>'IS (Adjusted)'!AS28-'IS (Base)'!AS28</f>
        <v>0</v>
      </c>
      <c r="AT28" s="91">
        <f>'IS (Adjusted)'!AT28-'IS (Base)'!AT28</f>
        <v>0</v>
      </c>
      <c r="AU28" s="91">
        <f>'IS (Adjusted)'!AU28-'IS (Base)'!AU28</f>
        <v>0</v>
      </c>
      <c r="AV28" s="92">
        <f>'IS (Adjusted)'!AV28-'IS (Base)'!AV28</f>
        <v>0</v>
      </c>
    </row>
    <row r="29" spans="1:48" s="8" customFormat="1" x14ac:dyDescent="0.3">
      <c r="A29" s="20"/>
      <c r="B29" s="85" t="s">
        <v>73</v>
      </c>
      <c r="C29" s="86"/>
      <c r="D29" s="108">
        <f>'IS (Adjusted)'!D29-'IS (Base)'!D29</f>
        <v>0</v>
      </c>
      <c r="E29" s="108">
        <f>'IS (Adjusted)'!E29-'IS (Base)'!E29</f>
        <v>0</v>
      </c>
      <c r="F29" s="108">
        <f>'IS (Adjusted)'!F29-'IS (Base)'!F29</f>
        <v>0</v>
      </c>
      <c r="G29" s="108">
        <f>'IS (Adjusted)'!G29-'IS (Base)'!G29</f>
        <v>0</v>
      </c>
      <c r="H29" s="177">
        <f>'IS (Adjusted)'!H29-'IS (Base)'!H29</f>
        <v>0</v>
      </c>
      <c r="I29" s="108">
        <f>'IS (Adjusted)'!I29-'IS (Base)'!I29</f>
        <v>0</v>
      </c>
      <c r="J29" s="108">
        <f>'IS (Adjusted)'!J29-'IS (Base)'!J29</f>
        <v>0</v>
      </c>
      <c r="K29" s="108">
        <f>'IS (Adjusted)'!K29-'IS (Base)'!K29</f>
        <v>0</v>
      </c>
      <c r="L29" s="80">
        <f>'IS (Adjusted)'!L29-'IS (Base)'!L29</f>
        <v>0</v>
      </c>
      <c r="M29" s="81">
        <f>'IS (Adjusted)'!M29-'IS (Base)'!M29</f>
        <v>0</v>
      </c>
      <c r="N29" s="108">
        <f>'IS (Adjusted)'!N29-'IS (Base)'!N29</f>
        <v>0</v>
      </c>
      <c r="O29" s="108">
        <f>'IS (Adjusted)'!O29-'IS (Base)'!O29</f>
        <v>0</v>
      </c>
      <c r="P29" s="108">
        <f>'IS (Adjusted)'!P29-'IS (Base)'!P29</f>
        <v>0</v>
      </c>
      <c r="Q29" s="108">
        <f>'IS (Adjusted)'!Q29-'IS (Base)'!Q29</f>
        <v>0</v>
      </c>
      <c r="R29" s="177">
        <f>'IS (Adjusted)'!R29-'IS (Base)'!R29</f>
        <v>0</v>
      </c>
      <c r="S29" s="80">
        <f>'IS (Adjusted)'!S29-'IS (Base)'!S29</f>
        <v>0</v>
      </c>
      <c r="T29" s="80">
        <f>'IS (Adjusted)'!T29-'IS (Base)'!T29</f>
        <v>0</v>
      </c>
      <c r="U29" s="80">
        <f>'IS (Adjusted)'!U29-'IS (Base)'!U29</f>
        <v>0</v>
      </c>
      <c r="V29" s="108">
        <f>'IS (Adjusted)'!V29-'IS (Base)'!V29</f>
        <v>0</v>
      </c>
      <c r="W29" s="177">
        <f>'IS (Adjusted)'!W29-'IS (Base)'!W29</f>
        <v>0</v>
      </c>
      <c r="X29" s="108">
        <f>'IS (Adjusted)'!X29-'IS (Base)'!X29</f>
        <v>0</v>
      </c>
      <c r="Y29" s="80">
        <f>'IS (Adjusted)'!Y29-'IS (Base)'!Y29</f>
        <v>0</v>
      </c>
      <c r="Z29" s="80">
        <f>'IS (Adjusted)'!Z29-'IS (Base)'!Z29</f>
        <v>0</v>
      </c>
      <c r="AA29" s="80">
        <f>'IS (Adjusted)'!AA29-'IS (Base)'!AA29</f>
        <v>0</v>
      </c>
      <c r="AB29" s="81">
        <f>'IS (Adjusted)'!AB29-'IS (Base)'!AB29</f>
        <v>0</v>
      </c>
      <c r="AC29" s="80">
        <f>'IS (Adjusted)'!AC29-'IS (Base)'!AC29</f>
        <v>0</v>
      </c>
      <c r="AD29" s="80">
        <f>'IS (Adjusted)'!AD29-'IS (Base)'!AD29</f>
        <v>0</v>
      </c>
      <c r="AE29" s="80">
        <f>'IS (Adjusted)'!AE29-'IS (Base)'!AE29</f>
        <v>0</v>
      </c>
      <c r="AF29" s="80">
        <f>'IS (Adjusted)'!AF29-'IS (Base)'!AF29</f>
        <v>0</v>
      </c>
      <c r="AG29" s="81">
        <f>'IS (Adjusted)'!AG29-'IS (Base)'!AG29</f>
        <v>0</v>
      </c>
      <c r="AH29" s="80">
        <f>'IS (Adjusted)'!AH29-'IS (Base)'!AH29</f>
        <v>0</v>
      </c>
      <c r="AI29" s="80">
        <f>'IS (Adjusted)'!AI29-'IS (Base)'!AI29</f>
        <v>0</v>
      </c>
      <c r="AJ29" s="80">
        <f>'IS (Adjusted)'!AJ29-'IS (Base)'!AJ29</f>
        <v>0</v>
      </c>
      <c r="AK29" s="80">
        <f>'IS (Adjusted)'!AK29-'IS (Base)'!AK29</f>
        <v>0</v>
      </c>
      <c r="AL29" s="81">
        <f>'IS (Adjusted)'!AL29-'IS (Base)'!AL29</f>
        <v>0</v>
      </c>
      <c r="AM29" s="80">
        <f>'IS (Adjusted)'!AM29-'IS (Base)'!AM29</f>
        <v>0</v>
      </c>
      <c r="AN29" s="80">
        <f>'IS (Adjusted)'!AN29-'IS (Base)'!AN29</f>
        <v>0</v>
      </c>
      <c r="AO29" s="80">
        <f>'IS (Adjusted)'!AO29-'IS (Base)'!AO29</f>
        <v>0</v>
      </c>
      <c r="AP29" s="80">
        <f>'IS (Adjusted)'!AP29-'IS (Base)'!AP29</f>
        <v>0</v>
      </c>
      <c r="AQ29" s="81">
        <f>'IS (Adjusted)'!AQ29-'IS (Base)'!AQ29</f>
        <v>0</v>
      </c>
      <c r="AR29" s="80">
        <f>'IS (Adjusted)'!AR29-'IS (Base)'!AR29</f>
        <v>0</v>
      </c>
      <c r="AS29" s="80">
        <f>'IS (Adjusted)'!AS29-'IS (Base)'!AS29</f>
        <v>0</v>
      </c>
      <c r="AT29" s="80">
        <f>'IS (Adjusted)'!AT29-'IS (Base)'!AT29</f>
        <v>0</v>
      </c>
      <c r="AU29" s="80">
        <f>'IS (Adjusted)'!AU29-'IS (Base)'!AU29</f>
        <v>0</v>
      </c>
      <c r="AV29" s="81">
        <f>'IS (Adjusted)'!AV29-'IS (Base)'!AV29</f>
        <v>0</v>
      </c>
    </row>
    <row r="30" spans="1:48" x14ac:dyDescent="0.3">
      <c r="B30" s="580" t="s">
        <v>0</v>
      </c>
      <c r="C30" s="581"/>
      <c r="D30" s="101">
        <f>'IS (Adjusted)'!D30-'IS (Base)'!D30</f>
        <v>0</v>
      </c>
      <c r="E30" s="101">
        <f>'IS (Adjusted)'!E30-'IS (Base)'!E30</f>
        <v>0</v>
      </c>
      <c r="F30" s="101">
        <f>'IS (Adjusted)'!F30-'IS (Base)'!F30</f>
        <v>0</v>
      </c>
      <c r="G30" s="101">
        <f>'IS (Adjusted)'!G30-'IS (Base)'!G30</f>
        <v>0</v>
      </c>
      <c r="H30" s="169">
        <f>'IS (Adjusted)'!H30-'IS (Base)'!H30</f>
        <v>0</v>
      </c>
      <c r="I30" s="101">
        <f>'IS (Adjusted)'!I30-'IS (Base)'!I30</f>
        <v>0</v>
      </c>
      <c r="J30" s="101">
        <f>'IS (Adjusted)'!J30-'IS (Base)'!J30</f>
        <v>0</v>
      </c>
      <c r="K30" s="101">
        <f>'IS (Adjusted)'!K30-'IS (Base)'!K30</f>
        <v>0</v>
      </c>
      <c r="L30" s="101">
        <f>'IS (Adjusted)'!L30-'IS (Base)'!L30</f>
        <v>0</v>
      </c>
      <c r="M30" s="17">
        <f>'IS (Adjusted)'!M30-'IS (Base)'!M30</f>
        <v>0</v>
      </c>
      <c r="N30" s="101">
        <f>'IS (Adjusted)'!N30-'IS (Base)'!N30</f>
        <v>0</v>
      </c>
      <c r="O30" s="101">
        <f>'IS (Adjusted)'!O30-'IS (Base)'!O30</f>
        <v>0</v>
      </c>
      <c r="P30" s="101">
        <f>'IS (Adjusted)'!P30-'IS (Base)'!P30</f>
        <v>0</v>
      </c>
      <c r="Q30" s="101">
        <f>'IS (Adjusted)'!Q30-'IS (Base)'!Q30</f>
        <v>0</v>
      </c>
      <c r="R30" s="169">
        <f>'IS (Adjusted)'!R30-'IS (Base)'!R30</f>
        <v>0</v>
      </c>
      <c r="S30" s="16">
        <f>'IS (Adjusted)'!S30-'IS (Base)'!S30</f>
        <v>0</v>
      </c>
      <c r="T30" s="16">
        <f>'IS (Adjusted)'!T30-'IS (Base)'!T30</f>
        <v>0</v>
      </c>
      <c r="U30" s="16">
        <f>'IS (Adjusted)'!U30-'IS (Base)'!U30</f>
        <v>0</v>
      </c>
      <c r="V30" s="101">
        <f>'IS (Adjusted)'!V30-'IS (Base)'!V30</f>
        <v>0</v>
      </c>
      <c r="W30" s="169">
        <f>'IS (Adjusted)'!W30-'IS (Base)'!W30</f>
        <v>0</v>
      </c>
      <c r="X30" s="101">
        <f>'IS (Adjusted)'!X30-'IS (Base)'!X30</f>
        <v>0</v>
      </c>
      <c r="Y30" s="16">
        <f>'IS (Adjusted)'!Y30-'IS (Base)'!Y30</f>
        <v>0</v>
      </c>
      <c r="Z30" s="16">
        <f>'IS (Adjusted)'!Z30-'IS (Base)'!Z30</f>
        <v>0</v>
      </c>
      <c r="AA30" s="16">
        <f>'IS (Adjusted)'!AA30-'IS (Base)'!AA30</f>
        <v>0</v>
      </c>
      <c r="AB30" s="17">
        <f>'IS (Adjusted)'!AB30-'IS (Base)'!AB30</f>
        <v>0</v>
      </c>
      <c r="AC30" s="16">
        <f>'IS (Adjusted)'!AC30-'IS (Base)'!AC30</f>
        <v>0</v>
      </c>
      <c r="AD30" s="16">
        <f>'IS (Adjusted)'!AD30-'IS (Base)'!AD30</f>
        <v>0</v>
      </c>
      <c r="AE30" s="16">
        <f>'IS (Adjusted)'!AE30-'IS (Base)'!AE30</f>
        <v>0</v>
      </c>
      <c r="AF30" s="16">
        <f>'IS (Adjusted)'!AF30-'IS (Base)'!AF30</f>
        <v>0</v>
      </c>
      <c r="AG30" s="17">
        <f>'IS (Adjusted)'!AG30-'IS (Base)'!AG30</f>
        <v>0</v>
      </c>
      <c r="AH30" s="16">
        <f>'IS (Adjusted)'!AH30-'IS (Base)'!AH30</f>
        <v>0</v>
      </c>
      <c r="AI30" s="16">
        <f>'IS (Adjusted)'!AI30-'IS (Base)'!AI30</f>
        <v>0</v>
      </c>
      <c r="AJ30" s="16">
        <f>'IS (Adjusted)'!AJ30-'IS (Base)'!AJ30</f>
        <v>0</v>
      </c>
      <c r="AK30" s="16">
        <f>'IS (Adjusted)'!AK30-'IS (Base)'!AK30</f>
        <v>0</v>
      </c>
      <c r="AL30" s="17">
        <f>'IS (Adjusted)'!AL30-'IS (Base)'!AL30</f>
        <v>0</v>
      </c>
      <c r="AM30" s="16">
        <f>'IS (Adjusted)'!AM30-'IS (Base)'!AM30</f>
        <v>0</v>
      </c>
      <c r="AN30" s="16">
        <f>'IS (Adjusted)'!AN30-'IS (Base)'!AN30</f>
        <v>0</v>
      </c>
      <c r="AO30" s="16">
        <f>'IS (Adjusted)'!AO30-'IS (Base)'!AO30</f>
        <v>0</v>
      </c>
      <c r="AP30" s="16">
        <f>'IS (Adjusted)'!AP30-'IS (Base)'!AP30</f>
        <v>0</v>
      </c>
      <c r="AQ30" s="17">
        <f>'IS (Adjusted)'!AQ30-'IS (Base)'!AQ30</f>
        <v>0</v>
      </c>
      <c r="AR30" s="16">
        <f>'IS (Adjusted)'!AR30-'IS (Base)'!AR30</f>
        <v>0</v>
      </c>
      <c r="AS30" s="16">
        <f>'IS (Adjusted)'!AS30-'IS (Base)'!AS30</f>
        <v>0</v>
      </c>
      <c r="AT30" s="16">
        <f>'IS (Adjusted)'!AT30-'IS (Base)'!AT30</f>
        <v>0</v>
      </c>
      <c r="AU30" s="16">
        <f>'IS (Adjusted)'!AU30-'IS (Base)'!AU30</f>
        <v>0</v>
      </c>
      <c r="AV30" s="17">
        <f>'IS (Adjusted)'!AV30-'IS (Base)'!AV30</f>
        <v>0</v>
      </c>
    </row>
    <row r="31" spans="1:48" ht="15.75" customHeight="1" x14ac:dyDescent="0.3">
      <c r="B31" s="580" t="s">
        <v>1</v>
      </c>
      <c r="C31" s="581"/>
      <c r="D31" s="101">
        <f>'IS (Adjusted)'!D31-'IS (Base)'!D31</f>
        <v>0</v>
      </c>
      <c r="E31" s="101">
        <f>'IS (Adjusted)'!E31-'IS (Base)'!E31</f>
        <v>0</v>
      </c>
      <c r="F31" s="101">
        <f>'IS (Adjusted)'!F31-'IS (Base)'!F31</f>
        <v>0</v>
      </c>
      <c r="G31" s="101">
        <f>'IS (Adjusted)'!G31-'IS (Base)'!G31</f>
        <v>0</v>
      </c>
      <c r="H31" s="169">
        <f>'IS (Adjusted)'!H31-'IS (Base)'!H31</f>
        <v>0</v>
      </c>
      <c r="I31" s="101">
        <f>'IS (Adjusted)'!I31-'IS (Base)'!I31</f>
        <v>0</v>
      </c>
      <c r="J31" s="101">
        <f>'IS (Adjusted)'!J31-'IS (Base)'!J31</f>
        <v>0</v>
      </c>
      <c r="K31" s="101">
        <f>'IS (Adjusted)'!K31-'IS (Base)'!K31</f>
        <v>0</v>
      </c>
      <c r="L31" s="101">
        <f>'IS (Adjusted)'!L31-'IS (Base)'!L31</f>
        <v>0</v>
      </c>
      <c r="M31" s="17">
        <f>'IS (Adjusted)'!M31-'IS (Base)'!M31</f>
        <v>0</v>
      </c>
      <c r="N31" s="101">
        <f>'IS (Adjusted)'!N31-'IS (Base)'!N31</f>
        <v>0</v>
      </c>
      <c r="O31" s="101">
        <f>'IS (Adjusted)'!O31-'IS (Base)'!O31</f>
        <v>0</v>
      </c>
      <c r="P31" s="101">
        <f>'IS (Adjusted)'!P31-'IS (Base)'!P31</f>
        <v>0</v>
      </c>
      <c r="Q31" s="101">
        <f>'IS (Adjusted)'!Q31-'IS (Base)'!Q31</f>
        <v>0</v>
      </c>
      <c r="R31" s="169">
        <f>'IS (Adjusted)'!R31-'IS (Base)'!R31</f>
        <v>0</v>
      </c>
      <c r="S31" s="16">
        <f>'IS (Adjusted)'!S31-'IS (Base)'!S31</f>
        <v>0</v>
      </c>
      <c r="T31" s="16">
        <f>'IS (Adjusted)'!T31-'IS (Base)'!T31</f>
        <v>0</v>
      </c>
      <c r="U31" s="16">
        <f>'IS (Adjusted)'!U31-'IS (Base)'!U31</f>
        <v>0</v>
      </c>
      <c r="V31" s="16">
        <f>'IS (Adjusted)'!V31-'IS (Base)'!V31</f>
        <v>0</v>
      </c>
      <c r="W31" s="169">
        <f>'IS (Adjusted)'!W31-'IS (Base)'!W31</f>
        <v>0</v>
      </c>
      <c r="X31" s="101">
        <f>'IS (Adjusted)'!X31-'IS (Base)'!X31</f>
        <v>0</v>
      </c>
      <c r="Y31" s="16">
        <f>'IS (Adjusted)'!Y31-'IS (Base)'!Y31</f>
        <v>0</v>
      </c>
      <c r="Z31" s="16">
        <f>'IS (Adjusted)'!Z31-'IS (Base)'!Z31</f>
        <v>0</v>
      </c>
      <c r="AA31" s="16">
        <f>'IS (Adjusted)'!AA31-'IS (Base)'!AA31</f>
        <v>0</v>
      </c>
      <c r="AB31" s="17">
        <f>'IS (Adjusted)'!AB31-'IS (Base)'!AB31</f>
        <v>0</v>
      </c>
      <c r="AC31" s="16">
        <f>'IS (Adjusted)'!AC31-'IS (Base)'!AC31</f>
        <v>0</v>
      </c>
      <c r="AD31" s="16">
        <f>'IS (Adjusted)'!AD31-'IS (Base)'!AD31</f>
        <v>0</v>
      </c>
      <c r="AE31" s="16">
        <f>'IS (Adjusted)'!AE31-'IS (Base)'!AE31</f>
        <v>0</v>
      </c>
      <c r="AF31" s="16">
        <f>'IS (Adjusted)'!AF31-'IS (Base)'!AF31</f>
        <v>0</v>
      </c>
      <c r="AG31" s="17">
        <f>'IS (Adjusted)'!AG31-'IS (Base)'!AG31</f>
        <v>0</v>
      </c>
      <c r="AH31" s="16">
        <f>'IS (Adjusted)'!AH31-'IS (Base)'!AH31</f>
        <v>0</v>
      </c>
      <c r="AI31" s="16">
        <f>'IS (Adjusted)'!AI31-'IS (Base)'!AI31</f>
        <v>0</v>
      </c>
      <c r="AJ31" s="16">
        <f>'IS (Adjusted)'!AJ31-'IS (Base)'!AJ31</f>
        <v>0</v>
      </c>
      <c r="AK31" s="16">
        <f>'IS (Adjusted)'!AK31-'IS (Base)'!AK31</f>
        <v>0</v>
      </c>
      <c r="AL31" s="17">
        <f>'IS (Adjusted)'!AL31-'IS (Base)'!AL31</f>
        <v>0</v>
      </c>
      <c r="AM31" s="16">
        <f>'IS (Adjusted)'!AM31-'IS (Base)'!AM31</f>
        <v>0</v>
      </c>
      <c r="AN31" s="16">
        <f>'IS (Adjusted)'!AN31-'IS (Base)'!AN31</f>
        <v>0</v>
      </c>
      <c r="AO31" s="16">
        <f>'IS (Adjusted)'!AO31-'IS (Base)'!AO31</f>
        <v>0</v>
      </c>
      <c r="AP31" s="16">
        <f>'IS (Adjusted)'!AP31-'IS (Base)'!AP31</f>
        <v>0</v>
      </c>
      <c r="AQ31" s="17">
        <f>'IS (Adjusted)'!AQ31-'IS (Base)'!AQ31</f>
        <v>0</v>
      </c>
      <c r="AR31" s="16">
        <f>'IS (Adjusted)'!AR31-'IS (Base)'!AR31</f>
        <v>0</v>
      </c>
      <c r="AS31" s="16">
        <f>'IS (Adjusted)'!AS31-'IS (Base)'!AS31</f>
        <v>0</v>
      </c>
      <c r="AT31" s="16">
        <f>'IS (Adjusted)'!AT31-'IS (Base)'!AT31</f>
        <v>0</v>
      </c>
      <c r="AU31" s="16">
        <f>'IS (Adjusted)'!AU31-'IS (Base)'!AU31</f>
        <v>0</v>
      </c>
      <c r="AV31" s="17">
        <f>'IS (Adjusted)'!AV31-'IS (Base)'!AV31</f>
        <v>0</v>
      </c>
    </row>
    <row r="32" spans="1:48" ht="15.75" customHeight="1" x14ac:dyDescent="0.3">
      <c r="B32" s="587" t="s">
        <v>6</v>
      </c>
      <c r="C32" s="588"/>
      <c r="D32" s="110">
        <f>'IS (Adjusted)'!D32-'IS (Base)'!D32</f>
        <v>0</v>
      </c>
      <c r="E32" s="110">
        <f>'IS (Adjusted)'!E32-'IS (Base)'!E32</f>
        <v>0</v>
      </c>
      <c r="F32" s="110">
        <f>'IS (Adjusted)'!F32-'IS (Base)'!F32</f>
        <v>0</v>
      </c>
      <c r="G32" s="110">
        <f>'IS (Adjusted)'!G32-'IS (Base)'!G32</f>
        <v>0</v>
      </c>
      <c r="H32" s="174">
        <f>'IS (Adjusted)'!H32-'IS (Base)'!H32</f>
        <v>0</v>
      </c>
      <c r="I32" s="110">
        <f>'IS (Adjusted)'!I32-'IS (Base)'!I32</f>
        <v>0</v>
      </c>
      <c r="J32" s="110">
        <f>'IS (Adjusted)'!J32-'IS (Base)'!J32</f>
        <v>0</v>
      </c>
      <c r="K32" s="110">
        <f>'IS (Adjusted)'!K32-'IS (Base)'!K32</f>
        <v>0</v>
      </c>
      <c r="L32" s="110">
        <f>'IS (Adjusted)'!L32-'IS (Base)'!L32</f>
        <v>0</v>
      </c>
      <c r="M32" s="25">
        <f>'IS (Adjusted)'!M32-'IS (Base)'!M32</f>
        <v>0</v>
      </c>
      <c r="N32" s="110">
        <f>'IS (Adjusted)'!N32-'IS (Base)'!N32</f>
        <v>0</v>
      </c>
      <c r="O32" s="110">
        <f>'IS (Adjusted)'!O32-'IS (Base)'!O32</f>
        <v>0</v>
      </c>
      <c r="P32" s="110">
        <f>'IS (Adjusted)'!P32-'IS (Base)'!P32</f>
        <v>0</v>
      </c>
      <c r="Q32" s="110">
        <f>'IS (Adjusted)'!Q32-'IS (Base)'!Q32</f>
        <v>0</v>
      </c>
      <c r="R32" s="174">
        <f>'IS (Adjusted)'!R32-'IS (Base)'!R32</f>
        <v>0</v>
      </c>
      <c r="S32" s="24">
        <f>'IS (Adjusted)'!S32-'IS (Base)'!S32</f>
        <v>0</v>
      </c>
      <c r="T32" s="24">
        <f>'IS (Adjusted)'!T32-'IS (Base)'!T32</f>
        <v>0</v>
      </c>
      <c r="U32" s="24">
        <f>'IS (Adjusted)'!U32-'IS (Base)'!U32</f>
        <v>0</v>
      </c>
      <c r="V32" s="24">
        <f>'IS (Adjusted)'!V32-'IS (Base)'!V32</f>
        <v>0</v>
      </c>
      <c r="W32" s="174">
        <f>'IS (Adjusted)'!W32-'IS (Base)'!W32</f>
        <v>0</v>
      </c>
      <c r="X32" s="110">
        <f>'IS (Adjusted)'!X32-'IS (Base)'!X32</f>
        <v>0</v>
      </c>
      <c r="Y32" s="24">
        <f>'IS (Adjusted)'!Y32-'IS (Base)'!Y32</f>
        <v>0</v>
      </c>
      <c r="Z32" s="24">
        <f>'IS (Adjusted)'!Z32-'IS (Base)'!Z32</f>
        <v>0</v>
      </c>
      <c r="AA32" s="24">
        <f>'IS (Adjusted)'!AA32-'IS (Base)'!AA32</f>
        <v>0</v>
      </c>
      <c r="AB32" s="25">
        <f>'IS (Adjusted)'!AB32-'IS (Base)'!AB32</f>
        <v>0</v>
      </c>
      <c r="AC32" s="24">
        <f>'IS (Adjusted)'!AC32-'IS (Base)'!AC32</f>
        <v>0</v>
      </c>
      <c r="AD32" s="24">
        <f>'IS (Adjusted)'!AD32-'IS (Base)'!AD32</f>
        <v>0</v>
      </c>
      <c r="AE32" s="24">
        <f>'IS (Adjusted)'!AE32-'IS (Base)'!AE32</f>
        <v>0</v>
      </c>
      <c r="AF32" s="24">
        <f>'IS (Adjusted)'!AF32-'IS (Base)'!AF32</f>
        <v>0</v>
      </c>
      <c r="AG32" s="25">
        <f>'IS (Adjusted)'!AG32-'IS (Base)'!AG32</f>
        <v>0</v>
      </c>
      <c r="AH32" s="24">
        <f>'IS (Adjusted)'!AH32-'IS (Base)'!AH32</f>
        <v>0</v>
      </c>
      <c r="AI32" s="24">
        <f>'IS (Adjusted)'!AI32-'IS (Base)'!AI32</f>
        <v>0</v>
      </c>
      <c r="AJ32" s="24">
        <f>'IS (Adjusted)'!AJ32-'IS (Base)'!AJ32</f>
        <v>0</v>
      </c>
      <c r="AK32" s="24">
        <f>'IS (Adjusted)'!AK32-'IS (Base)'!AK32</f>
        <v>0</v>
      </c>
      <c r="AL32" s="25">
        <f>'IS (Adjusted)'!AL32-'IS (Base)'!AL32</f>
        <v>0</v>
      </c>
      <c r="AM32" s="24">
        <f>'IS (Adjusted)'!AM32-'IS (Base)'!AM32</f>
        <v>0</v>
      </c>
      <c r="AN32" s="24">
        <f>'IS (Adjusted)'!AN32-'IS (Base)'!AN32</f>
        <v>0</v>
      </c>
      <c r="AO32" s="24">
        <f>'IS (Adjusted)'!AO32-'IS (Base)'!AO32</f>
        <v>0</v>
      </c>
      <c r="AP32" s="24">
        <f>'IS (Adjusted)'!AP32-'IS (Base)'!AP32</f>
        <v>0</v>
      </c>
      <c r="AQ32" s="25">
        <f>'IS (Adjusted)'!AQ32-'IS (Base)'!AQ32</f>
        <v>0</v>
      </c>
      <c r="AR32" s="24">
        <f>'IS (Adjusted)'!AR32-'IS (Base)'!AR32</f>
        <v>0</v>
      </c>
      <c r="AS32" s="24">
        <f>'IS (Adjusted)'!AS32-'IS (Base)'!AS32</f>
        <v>0</v>
      </c>
      <c r="AT32" s="24">
        <f>'IS (Adjusted)'!AT32-'IS (Base)'!AT32</f>
        <v>0</v>
      </c>
      <c r="AU32" s="24">
        <f>'IS (Adjusted)'!AU32-'IS (Base)'!AU32</f>
        <v>0</v>
      </c>
      <c r="AV32" s="25">
        <f>'IS (Adjusted)'!AV32-'IS (Base)'!AV32</f>
        <v>0</v>
      </c>
    </row>
    <row r="33" spans="2:48" x14ac:dyDescent="0.3">
      <c r="B33" s="587" t="s">
        <v>7</v>
      </c>
      <c r="C33" s="588"/>
      <c r="D33" s="110">
        <f>'IS (Adjusted)'!D33-'IS (Base)'!D33</f>
        <v>0</v>
      </c>
      <c r="E33" s="110">
        <f>'IS (Adjusted)'!E33-'IS (Base)'!E33</f>
        <v>0</v>
      </c>
      <c r="F33" s="110">
        <f>'IS (Adjusted)'!F33-'IS (Base)'!F33</f>
        <v>0</v>
      </c>
      <c r="G33" s="110">
        <f>'IS (Adjusted)'!G33-'IS (Base)'!G33</f>
        <v>0</v>
      </c>
      <c r="H33" s="174">
        <f>'IS (Adjusted)'!H33-'IS (Base)'!H33</f>
        <v>0</v>
      </c>
      <c r="I33" s="110">
        <f>'IS (Adjusted)'!I33-'IS (Base)'!I33</f>
        <v>0</v>
      </c>
      <c r="J33" s="110">
        <f>'IS (Adjusted)'!J33-'IS (Base)'!J33</f>
        <v>0</v>
      </c>
      <c r="K33" s="110">
        <f>'IS (Adjusted)'!K33-'IS (Base)'!K33</f>
        <v>0</v>
      </c>
      <c r="L33" s="110">
        <f>'IS (Adjusted)'!L33-'IS (Base)'!L33</f>
        <v>0</v>
      </c>
      <c r="M33" s="174">
        <f>'IS (Adjusted)'!M33-'IS (Base)'!M33</f>
        <v>0</v>
      </c>
      <c r="N33" s="110">
        <f>'IS (Adjusted)'!N33-'IS (Base)'!N33</f>
        <v>0</v>
      </c>
      <c r="O33" s="110">
        <f>'IS (Adjusted)'!O33-'IS (Base)'!O33</f>
        <v>0</v>
      </c>
      <c r="P33" s="110">
        <f>'IS (Adjusted)'!P33-'IS (Base)'!P33</f>
        <v>0</v>
      </c>
      <c r="Q33" s="110">
        <f>'IS (Adjusted)'!Q33-'IS (Base)'!Q33</f>
        <v>0</v>
      </c>
      <c r="R33" s="174">
        <f>'IS (Adjusted)'!R33-'IS (Base)'!R33</f>
        <v>0</v>
      </c>
      <c r="S33" s="24">
        <f>'IS (Adjusted)'!S33-'IS (Base)'!S33</f>
        <v>0</v>
      </c>
      <c r="T33" s="24">
        <f>'IS (Adjusted)'!T33-'IS (Base)'!T33</f>
        <v>0</v>
      </c>
      <c r="U33" s="24">
        <f>'IS (Adjusted)'!U33-'IS (Base)'!U33</f>
        <v>0</v>
      </c>
      <c r="V33" s="24">
        <f>'IS (Adjusted)'!V33-'IS (Base)'!V33</f>
        <v>0</v>
      </c>
      <c r="W33" s="174">
        <f>'IS (Adjusted)'!W33-'IS (Base)'!W33</f>
        <v>0</v>
      </c>
      <c r="X33" s="110">
        <f>'IS (Adjusted)'!X33-'IS (Base)'!X33</f>
        <v>0</v>
      </c>
      <c r="Y33" s="24">
        <f>'IS (Adjusted)'!Y33-'IS (Base)'!Y33</f>
        <v>0</v>
      </c>
      <c r="Z33" s="24">
        <f>'IS (Adjusted)'!Z33-'IS (Base)'!Z33</f>
        <v>0</v>
      </c>
      <c r="AA33" s="24">
        <f>'IS (Adjusted)'!AA33-'IS (Base)'!AA33</f>
        <v>0</v>
      </c>
      <c r="AB33" s="25">
        <f>'IS (Adjusted)'!AB33-'IS (Base)'!AB33</f>
        <v>0</v>
      </c>
      <c r="AC33" s="24">
        <f>'IS (Adjusted)'!AC33-'IS (Base)'!AC33</f>
        <v>0</v>
      </c>
      <c r="AD33" s="24">
        <f>'IS (Adjusted)'!AD33-'IS (Base)'!AD33</f>
        <v>0</v>
      </c>
      <c r="AE33" s="24">
        <f>'IS (Adjusted)'!AE33-'IS (Base)'!AE33</f>
        <v>0</v>
      </c>
      <c r="AF33" s="24">
        <f>'IS (Adjusted)'!AF33-'IS (Base)'!AF33</f>
        <v>0</v>
      </c>
      <c r="AG33" s="25">
        <f>'IS (Adjusted)'!AG33-'IS (Base)'!AG33</f>
        <v>0</v>
      </c>
      <c r="AH33" s="24">
        <f>'IS (Adjusted)'!AH33-'IS (Base)'!AH33</f>
        <v>0</v>
      </c>
      <c r="AI33" s="24">
        <f>'IS (Adjusted)'!AI33-'IS (Base)'!AI33</f>
        <v>0</v>
      </c>
      <c r="AJ33" s="24">
        <f>'IS (Adjusted)'!AJ33-'IS (Base)'!AJ33</f>
        <v>0</v>
      </c>
      <c r="AK33" s="24">
        <f>'IS (Adjusted)'!AK33-'IS (Base)'!AK33</f>
        <v>0</v>
      </c>
      <c r="AL33" s="25">
        <f>'IS (Adjusted)'!AL33-'IS (Base)'!AL33</f>
        <v>0</v>
      </c>
      <c r="AM33" s="24">
        <f>'IS (Adjusted)'!AM33-'IS (Base)'!AM33</f>
        <v>0</v>
      </c>
      <c r="AN33" s="24">
        <f>'IS (Adjusted)'!AN33-'IS (Base)'!AN33</f>
        <v>0</v>
      </c>
      <c r="AO33" s="24">
        <f>'IS (Adjusted)'!AO33-'IS (Base)'!AO33</f>
        <v>0</v>
      </c>
      <c r="AP33" s="24">
        <f>'IS (Adjusted)'!AP33-'IS (Base)'!AP33</f>
        <v>0</v>
      </c>
      <c r="AQ33" s="25">
        <f>'IS (Adjusted)'!AQ33-'IS (Base)'!AQ33</f>
        <v>0</v>
      </c>
      <c r="AR33" s="24">
        <f>'IS (Adjusted)'!AR33-'IS (Base)'!AR33</f>
        <v>0</v>
      </c>
      <c r="AS33" s="24">
        <f>'IS (Adjusted)'!AS33-'IS (Base)'!AS33</f>
        <v>0</v>
      </c>
      <c r="AT33" s="24">
        <f>'IS (Adjusted)'!AT33-'IS (Base)'!AT33</f>
        <v>0</v>
      </c>
      <c r="AU33" s="24">
        <f>'IS (Adjusted)'!AU33-'IS (Base)'!AU33</f>
        <v>0</v>
      </c>
      <c r="AV33" s="25">
        <f>'IS (Adjusted)'!AV33-'IS (Base)'!AV33</f>
        <v>0</v>
      </c>
    </row>
    <row r="34" spans="2:48" x14ac:dyDescent="0.3">
      <c r="B34" s="93" t="s">
        <v>74</v>
      </c>
      <c r="C34" s="100"/>
      <c r="D34" s="111">
        <f>'IS (Adjusted)'!D34-'IS (Base)'!D34</f>
        <v>0</v>
      </c>
      <c r="E34" s="111">
        <f>'IS (Adjusted)'!E34-'IS (Base)'!E34</f>
        <v>0</v>
      </c>
      <c r="F34" s="111">
        <f>'IS (Adjusted)'!F34-'IS (Base)'!F34</f>
        <v>0</v>
      </c>
      <c r="G34" s="111">
        <f>'IS (Adjusted)'!G34-'IS (Base)'!G34</f>
        <v>0</v>
      </c>
      <c r="H34" s="172">
        <f>'IS (Adjusted)'!H34-'IS (Base)'!H34</f>
        <v>0</v>
      </c>
      <c r="I34" s="111">
        <f>'IS (Adjusted)'!I34-'IS (Base)'!I34</f>
        <v>0</v>
      </c>
      <c r="J34" s="111">
        <f>'IS (Adjusted)'!J34-'IS (Base)'!J34</f>
        <v>0</v>
      </c>
      <c r="K34" s="111">
        <f>'IS (Adjusted)'!K34-'IS (Base)'!K34</f>
        <v>0</v>
      </c>
      <c r="L34" s="111">
        <f>'IS (Adjusted)'!L34-'IS (Base)'!L34</f>
        <v>0</v>
      </c>
      <c r="M34" s="172">
        <f>'IS (Adjusted)'!M34-'IS (Base)'!M34</f>
        <v>0</v>
      </c>
      <c r="N34" s="111">
        <f>'IS (Adjusted)'!N34-'IS (Base)'!N34</f>
        <v>0</v>
      </c>
      <c r="O34" s="111">
        <f>'IS (Adjusted)'!O34-'IS (Base)'!O34</f>
        <v>0</v>
      </c>
      <c r="P34" s="111">
        <f>'IS (Adjusted)'!P34-'IS (Base)'!P34</f>
        <v>0</v>
      </c>
      <c r="Q34" s="111">
        <f>'IS (Adjusted)'!Q34-'IS (Base)'!Q34</f>
        <v>0</v>
      </c>
      <c r="R34" s="172">
        <f>'IS (Adjusted)'!R34-'IS (Base)'!R34</f>
        <v>0</v>
      </c>
      <c r="S34" s="111">
        <f>'IS (Adjusted)'!S34-'IS (Base)'!S34</f>
        <v>0</v>
      </c>
      <c r="T34" s="111">
        <f>'IS (Adjusted)'!T34-'IS (Base)'!T34</f>
        <v>0</v>
      </c>
      <c r="U34" s="111">
        <f>'IS (Adjusted)'!U34-'IS (Base)'!U34</f>
        <v>0</v>
      </c>
      <c r="V34" s="111">
        <f>'IS (Adjusted)'!V34-'IS (Base)'!V34</f>
        <v>0</v>
      </c>
      <c r="W34" s="172">
        <f>'IS (Adjusted)'!W34-'IS (Base)'!W34</f>
        <v>0</v>
      </c>
      <c r="X34" s="111">
        <f>'IS (Adjusted)'!X34-'IS (Base)'!X34</f>
        <v>0</v>
      </c>
      <c r="Y34" s="82">
        <f>'IS (Adjusted)'!Y34-'IS (Base)'!Y34</f>
        <v>0</v>
      </c>
      <c r="Z34" s="82">
        <f>'IS (Adjusted)'!Z34-'IS (Base)'!Z34</f>
        <v>0</v>
      </c>
      <c r="AA34" s="82">
        <f>'IS (Adjusted)'!AA34-'IS (Base)'!AA34</f>
        <v>0</v>
      </c>
      <c r="AB34" s="415">
        <f>'IS (Adjusted)'!AB34-'IS (Base)'!AB34</f>
        <v>0</v>
      </c>
      <c r="AC34" s="82">
        <f>'IS (Adjusted)'!AC34-'IS (Base)'!AC34</f>
        <v>0</v>
      </c>
      <c r="AD34" s="82">
        <f>'IS (Adjusted)'!AD34-'IS (Base)'!AD34</f>
        <v>0</v>
      </c>
      <c r="AE34" s="82">
        <f>'IS (Adjusted)'!AE34-'IS (Base)'!AE34</f>
        <v>0</v>
      </c>
      <c r="AF34" s="82">
        <f>'IS (Adjusted)'!AF34-'IS (Base)'!AF34</f>
        <v>0</v>
      </c>
      <c r="AG34" s="83">
        <f>'IS (Adjusted)'!AG34-'IS (Base)'!AG34</f>
        <v>0</v>
      </c>
      <c r="AH34" s="82">
        <f>'IS (Adjusted)'!AH34-'IS (Base)'!AH34</f>
        <v>0</v>
      </c>
      <c r="AI34" s="82">
        <f>'IS (Adjusted)'!AI34-'IS (Base)'!AI34</f>
        <v>0</v>
      </c>
      <c r="AJ34" s="82">
        <f>'IS (Adjusted)'!AJ34-'IS (Base)'!AJ34</f>
        <v>0</v>
      </c>
      <c r="AK34" s="82">
        <f>'IS (Adjusted)'!AK34-'IS (Base)'!AK34</f>
        <v>0</v>
      </c>
      <c r="AL34" s="415">
        <f>'IS (Adjusted)'!AL34-'IS (Base)'!AL34</f>
        <v>0</v>
      </c>
      <c r="AM34" s="82">
        <f>'IS (Adjusted)'!AM34-'IS (Base)'!AM34</f>
        <v>0</v>
      </c>
      <c r="AN34" s="82">
        <f>'IS (Adjusted)'!AN34-'IS (Base)'!AN34</f>
        <v>0</v>
      </c>
      <c r="AO34" s="82">
        <f>'IS (Adjusted)'!AO34-'IS (Base)'!AO34</f>
        <v>0</v>
      </c>
      <c r="AP34" s="82">
        <f>'IS (Adjusted)'!AP34-'IS (Base)'!AP34</f>
        <v>0</v>
      </c>
      <c r="AQ34" s="83">
        <f>'IS (Adjusted)'!AQ34-'IS (Base)'!AQ34</f>
        <v>0</v>
      </c>
      <c r="AR34" s="82">
        <f>'IS (Adjusted)'!AR34-'IS (Base)'!AR34</f>
        <v>0</v>
      </c>
      <c r="AS34" s="82">
        <f>'IS (Adjusted)'!AS34-'IS (Base)'!AS34</f>
        <v>0</v>
      </c>
      <c r="AT34" s="82">
        <f>'IS (Adjusted)'!AT34-'IS (Base)'!AT34</f>
        <v>0</v>
      </c>
      <c r="AU34" s="82">
        <f>'IS (Adjusted)'!AU34-'IS (Base)'!AU34</f>
        <v>0</v>
      </c>
      <c r="AV34" s="83">
        <f>'IS (Adjusted)'!AV34-'IS (Base)'!AV34</f>
        <v>0</v>
      </c>
    </row>
    <row r="35" spans="2:48" x14ac:dyDescent="0.3">
      <c r="B35" s="38" t="s">
        <v>41</v>
      </c>
      <c r="C35" s="207"/>
      <c r="D35" s="239">
        <f>'IS (Adjusted)'!D35-'IS (Base)'!D35</f>
        <v>0</v>
      </c>
      <c r="E35" s="239">
        <f>'IS (Adjusted)'!E35-'IS (Base)'!E35</f>
        <v>0</v>
      </c>
      <c r="F35" s="239">
        <f>'IS (Adjusted)'!F35-'IS (Base)'!F35</f>
        <v>0</v>
      </c>
      <c r="G35" s="239">
        <f>'IS (Adjusted)'!G35-'IS (Base)'!G35</f>
        <v>0</v>
      </c>
      <c r="H35" s="174">
        <f>'IS (Adjusted)'!H35-'IS (Base)'!H35</f>
        <v>0</v>
      </c>
      <c r="I35" s="239">
        <f>'IS (Adjusted)'!I35-'IS (Base)'!I35</f>
        <v>0</v>
      </c>
      <c r="J35" s="239">
        <f>'IS (Adjusted)'!J35-'IS (Base)'!J35</f>
        <v>0</v>
      </c>
      <c r="K35" s="239">
        <f>'IS (Adjusted)'!K35-'IS (Base)'!K35</f>
        <v>0</v>
      </c>
      <c r="L35" s="239">
        <f>'IS (Adjusted)'!L35-'IS (Base)'!L35</f>
        <v>0</v>
      </c>
      <c r="M35" s="25">
        <f>'IS (Adjusted)'!M35-'IS (Base)'!M35</f>
        <v>0</v>
      </c>
      <c r="N35" s="239">
        <f>'IS (Adjusted)'!N35-'IS (Base)'!N35</f>
        <v>0</v>
      </c>
      <c r="O35" s="239">
        <f>'IS (Adjusted)'!O35-'IS (Base)'!O35</f>
        <v>0</v>
      </c>
      <c r="P35" s="239">
        <f>'IS (Adjusted)'!P35-'IS (Base)'!P35</f>
        <v>0</v>
      </c>
      <c r="Q35" s="239">
        <f>'IS (Adjusted)'!Q35-'IS (Base)'!Q35</f>
        <v>0</v>
      </c>
      <c r="R35" s="25">
        <f>'IS (Adjusted)'!R35-'IS (Base)'!R35</f>
        <v>0</v>
      </c>
      <c r="S35" s="239">
        <f>'IS (Adjusted)'!S35-'IS (Base)'!S35</f>
        <v>0</v>
      </c>
      <c r="T35" s="239">
        <f>'IS (Adjusted)'!T35-'IS (Base)'!T35</f>
        <v>0</v>
      </c>
      <c r="U35" s="239">
        <f>'IS (Adjusted)'!U35-'IS (Base)'!U35</f>
        <v>0</v>
      </c>
      <c r="V35" s="239">
        <f>'IS (Adjusted)'!V35-'IS (Base)'!V35</f>
        <v>0</v>
      </c>
      <c r="W35" s="25">
        <f>'IS (Adjusted)'!W35-'IS (Base)'!W35</f>
        <v>0</v>
      </c>
      <c r="X35" s="239">
        <f>'IS (Adjusted)'!X35-'IS (Base)'!X35</f>
        <v>0</v>
      </c>
      <c r="Y35" s="240">
        <f>'IS (Adjusted)'!Y35-'IS (Base)'!Y35</f>
        <v>0</v>
      </c>
      <c r="Z35" s="240">
        <f>'IS (Adjusted)'!Z35-'IS (Base)'!Z35</f>
        <v>0</v>
      </c>
      <c r="AA35" s="240">
        <f>'IS (Adjusted)'!AA35-'IS (Base)'!AA35</f>
        <v>0</v>
      </c>
      <c r="AB35" s="25">
        <f>'IS (Adjusted)'!AB35-'IS (Base)'!AB35</f>
        <v>0</v>
      </c>
      <c r="AC35" s="240">
        <f>'IS (Adjusted)'!AC35-'IS (Base)'!AC35</f>
        <v>0</v>
      </c>
      <c r="AD35" s="240">
        <f>'IS (Adjusted)'!AD35-'IS (Base)'!AD35</f>
        <v>0</v>
      </c>
      <c r="AE35" s="240">
        <f>'IS (Adjusted)'!AE35-'IS (Base)'!AE35</f>
        <v>0</v>
      </c>
      <c r="AF35" s="240">
        <f>'IS (Adjusted)'!AF35-'IS (Base)'!AF35</f>
        <v>0</v>
      </c>
      <c r="AG35" s="25">
        <f>'IS (Adjusted)'!AG35-'IS (Base)'!AG35</f>
        <v>0</v>
      </c>
      <c r="AH35" s="240">
        <f>'IS (Adjusted)'!AH35-'IS (Base)'!AH35</f>
        <v>0</v>
      </c>
      <c r="AI35" s="240">
        <f>'IS (Adjusted)'!AI35-'IS (Base)'!AI35</f>
        <v>0</v>
      </c>
      <c r="AJ35" s="240">
        <f>'IS (Adjusted)'!AJ35-'IS (Base)'!AJ35</f>
        <v>0</v>
      </c>
      <c r="AK35" s="240">
        <f>'IS (Adjusted)'!AK35-'IS (Base)'!AK35</f>
        <v>0</v>
      </c>
      <c r="AL35" s="25">
        <f>'IS (Adjusted)'!AL35-'IS (Base)'!AL35</f>
        <v>0</v>
      </c>
      <c r="AM35" s="240">
        <f>'IS (Adjusted)'!AM35-'IS (Base)'!AM35</f>
        <v>0</v>
      </c>
      <c r="AN35" s="240">
        <f>'IS (Adjusted)'!AN35-'IS (Base)'!AN35</f>
        <v>0</v>
      </c>
      <c r="AO35" s="240">
        <f>'IS (Adjusted)'!AO35-'IS (Base)'!AO35</f>
        <v>0</v>
      </c>
      <c r="AP35" s="240">
        <f>'IS (Adjusted)'!AP35-'IS (Base)'!AP35</f>
        <v>0</v>
      </c>
      <c r="AQ35" s="25">
        <f>'IS (Adjusted)'!AQ35-'IS (Base)'!AQ35</f>
        <v>0</v>
      </c>
      <c r="AR35" s="240">
        <f>'IS (Adjusted)'!AR35-'IS (Base)'!AR35</f>
        <v>0</v>
      </c>
      <c r="AS35" s="240">
        <f>'IS (Adjusted)'!AS35-'IS (Base)'!AS35</f>
        <v>0</v>
      </c>
      <c r="AT35" s="240">
        <f>'IS (Adjusted)'!AT35-'IS (Base)'!AT35</f>
        <v>0</v>
      </c>
      <c r="AU35" s="240">
        <f>'IS (Adjusted)'!AU35-'IS (Base)'!AU35</f>
        <v>0</v>
      </c>
      <c r="AV35" s="25">
        <f>'IS (Adjusted)'!AV35-'IS (Base)'!AV35</f>
        <v>0</v>
      </c>
    </row>
    <row r="36" spans="2:48" s="241" customFormat="1" x14ac:dyDescent="0.3">
      <c r="B36" s="242" t="s">
        <v>170</v>
      </c>
      <c r="C36" s="243"/>
      <c r="D36" s="211">
        <f>'IS (Adjusted)'!D36-'IS (Base)'!D36</f>
        <v>0</v>
      </c>
      <c r="E36" s="211">
        <f>'IS (Adjusted)'!E36-'IS (Base)'!E36</f>
        <v>0</v>
      </c>
      <c r="F36" s="211">
        <f>'IS (Adjusted)'!F36-'IS (Base)'!F36</f>
        <v>0</v>
      </c>
      <c r="G36" s="211">
        <f>'IS (Adjusted)'!G36-'IS (Base)'!G36</f>
        <v>0</v>
      </c>
      <c r="H36" s="244">
        <f>'IS (Adjusted)'!H36-'IS (Base)'!H36</f>
        <v>0</v>
      </c>
      <c r="I36" s="211">
        <f>'IS (Adjusted)'!I36-'IS (Base)'!I36</f>
        <v>0</v>
      </c>
      <c r="J36" s="211">
        <f>'IS (Adjusted)'!J36-'IS (Base)'!J36</f>
        <v>0</v>
      </c>
      <c r="K36" s="211">
        <f>'IS (Adjusted)'!K36-'IS (Base)'!K36</f>
        <v>0</v>
      </c>
      <c r="L36" s="211">
        <f>'IS (Adjusted)'!L36-'IS (Base)'!L36</f>
        <v>0</v>
      </c>
      <c r="M36" s="244">
        <f>'IS (Adjusted)'!M36-'IS (Base)'!M36</f>
        <v>0</v>
      </c>
      <c r="N36" s="211">
        <f>'IS (Adjusted)'!N36-'IS (Base)'!N36</f>
        <v>0</v>
      </c>
      <c r="O36" s="211">
        <f>'IS (Adjusted)'!O36-'IS (Base)'!O36</f>
        <v>0</v>
      </c>
      <c r="P36" s="211">
        <f>'IS (Adjusted)'!P36-'IS (Base)'!P36</f>
        <v>0</v>
      </c>
      <c r="Q36" s="211">
        <f>'IS (Adjusted)'!Q36-'IS (Base)'!Q36</f>
        <v>0</v>
      </c>
      <c r="R36" s="244">
        <f>'IS (Adjusted)'!R36-'IS (Base)'!R36</f>
        <v>0</v>
      </c>
      <c r="S36" s="211">
        <f>'IS (Adjusted)'!S36-'IS (Base)'!S36</f>
        <v>0</v>
      </c>
      <c r="T36" s="211">
        <f>'IS (Adjusted)'!T36-'IS (Base)'!T36</f>
        <v>0</v>
      </c>
      <c r="U36" s="211">
        <f>'IS (Adjusted)'!U36-'IS (Base)'!U36</f>
        <v>0</v>
      </c>
      <c r="V36" s="211">
        <f>'IS (Adjusted)'!V36-'IS (Base)'!V36</f>
        <v>0</v>
      </c>
      <c r="W36" s="244">
        <f>'IS (Adjusted)'!W36-'IS (Base)'!W36</f>
        <v>0</v>
      </c>
      <c r="X36" s="211">
        <f>'IS (Adjusted)'!X36-'IS (Base)'!X36</f>
        <v>0</v>
      </c>
      <c r="Y36" s="211">
        <f>'IS (Adjusted)'!Y36-'IS (Base)'!Y36</f>
        <v>0</v>
      </c>
      <c r="Z36" s="211">
        <f>'IS (Adjusted)'!Z36-'IS (Base)'!Z36</f>
        <v>0</v>
      </c>
      <c r="AA36" s="211">
        <f>'IS (Adjusted)'!AA36-'IS (Base)'!AA36</f>
        <v>0</v>
      </c>
      <c r="AB36" s="244">
        <f>'IS (Adjusted)'!AB36-'IS (Base)'!AB36</f>
        <v>0</v>
      </c>
      <c r="AC36" s="211">
        <f>'IS (Adjusted)'!AC36-'IS (Base)'!AC36</f>
        <v>0</v>
      </c>
      <c r="AD36" s="211">
        <f>'IS (Adjusted)'!AD36-'IS (Base)'!AD36</f>
        <v>0</v>
      </c>
      <c r="AE36" s="211">
        <f>'IS (Adjusted)'!AE36-'IS (Base)'!AE36</f>
        <v>0</v>
      </c>
      <c r="AF36" s="211">
        <f>'IS (Adjusted)'!AF36-'IS (Base)'!AF36</f>
        <v>0</v>
      </c>
      <c r="AG36" s="244">
        <f>'IS (Adjusted)'!AG36-'IS (Base)'!AG36</f>
        <v>0</v>
      </c>
      <c r="AH36" s="211">
        <f>'IS (Adjusted)'!AH36-'IS (Base)'!AH36</f>
        <v>0</v>
      </c>
      <c r="AI36" s="211">
        <f>'IS (Adjusted)'!AI36-'IS (Base)'!AI36</f>
        <v>0</v>
      </c>
      <c r="AJ36" s="211">
        <f>'IS (Adjusted)'!AJ36-'IS (Base)'!AJ36</f>
        <v>0</v>
      </c>
      <c r="AK36" s="211">
        <f>'IS (Adjusted)'!AK36-'IS (Base)'!AK36</f>
        <v>0</v>
      </c>
      <c r="AL36" s="431">
        <f>'IS (Adjusted)'!AL36-'IS (Base)'!AL36</f>
        <v>0</v>
      </c>
      <c r="AM36" s="211">
        <f>'IS (Adjusted)'!AM36-'IS (Base)'!AM36</f>
        <v>0</v>
      </c>
      <c r="AN36" s="211">
        <f>'IS (Adjusted)'!AN36-'IS (Base)'!AN36</f>
        <v>0</v>
      </c>
      <c r="AO36" s="211">
        <f>'IS (Adjusted)'!AO36-'IS (Base)'!AO36</f>
        <v>0</v>
      </c>
      <c r="AP36" s="211">
        <f>'IS (Adjusted)'!AP36-'IS (Base)'!AP36</f>
        <v>0</v>
      </c>
      <c r="AQ36" s="244">
        <f>'IS (Adjusted)'!AQ36-'IS (Base)'!AQ36</f>
        <v>0</v>
      </c>
      <c r="AR36" s="211">
        <f>'IS (Adjusted)'!AR36-'IS (Base)'!AR36</f>
        <v>0</v>
      </c>
      <c r="AS36" s="211">
        <f>'IS (Adjusted)'!AS36-'IS (Base)'!AS36</f>
        <v>0</v>
      </c>
      <c r="AT36" s="211">
        <f>'IS (Adjusted)'!AT36-'IS (Base)'!AT36</f>
        <v>0</v>
      </c>
      <c r="AU36" s="211">
        <f>'IS (Adjusted)'!AU36-'IS (Base)'!AU36</f>
        <v>0</v>
      </c>
      <c r="AV36" s="244">
        <f>'IS (Adjusted)'!AV36-'IS (Base)'!AV36</f>
        <v>0</v>
      </c>
    </row>
    <row r="37" spans="2:48" s="63" customFormat="1" x14ac:dyDescent="0.3">
      <c r="B37" s="198"/>
      <c r="C37" s="371"/>
      <c r="D37" s="372"/>
      <c r="E37" s="196"/>
      <c r="F37" s="196"/>
      <c r="G37" s="196"/>
      <c r="H37" s="196"/>
      <c r="I37" s="196"/>
      <c r="J37" s="196"/>
      <c r="K37" s="196"/>
      <c r="L37" s="196"/>
      <c r="M37" s="196"/>
      <c r="N37" s="196"/>
      <c r="O37" s="196"/>
      <c r="P37" s="196"/>
      <c r="Q37" s="196"/>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583" t="s">
        <v>13</v>
      </c>
      <c r="C38" s="584"/>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3" t="s">
        <v>407</v>
      </c>
      <c r="Y38" s="13" t="s">
        <v>451</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85"/>
      <c r="C39" s="586"/>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4" t="s">
        <v>408</v>
      </c>
      <c r="Y39" s="14" t="s">
        <v>452</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99" t="s">
        <v>174</v>
      </c>
      <c r="C40" s="600"/>
      <c r="D40" s="14"/>
      <c r="E40" s="14"/>
      <c r="F40" s="14"/>
      <c r="G40" s="14"/>
      <c r="H40" s="40"/>
      <c r="I40" s="14"/>
      <c r="J40" s="14"/>
      <c r="K40" s="14"/>
      <c r="L40" s="14"/>
      <c r="M40" s="40"/>
      <c r="N40" s="14"/>
      <c r="O40" s="14"/>
      <c r="P40" s="14"/>
      <c r="Q40" s="14"/>
      <c r="R40" s="40"/>
      <c r="S40" s="14"/>
      <c r="T40" s="14"/>
      <c r="U40" s="14"/>
      <c r="V40" s="14"/>
      <c r="W40" s="40"/>
      <c r="X40" s="14"/>
      <c r="Y40" s="14"/>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601" t="s">
        <v>175</v>
      </c>
      <c r="C41" s="602"/>
      <c r="D41" s="21">
        <f>'IS (Adjusted)'!D41-'IS (Base)'!D41</f>
        <v>0</v>
      </c>
      <c r="E41" s="21">
        <f>'IS (Adjusted)'!E41-'IS (Base)'!E41</f>
        <v>0</v>
      </c>
      <c r="F41" s="116">
        <f>'IS (Adjusted)'!F41-'IS (Base)'!F41</f>
        <v>0</v>
      </c>
      <c r="G41" s="21">
        <f>'IS (Adjusted)'!G41-'IS (Base)'!G41</f>
        <v>0</v>
      </c>
      <c r="H41" s="57">
        <f>'IS (Adjusted)'!H41-'IS (Base)'!H41</f>
        <v>0</v>
      </c>
      <c r="I41" s="21">
        <f>'IS (Adjusted)'!I41-'IS (Base)'!I41</f>
        <v>0</v>
      </c>
      <c r="J41" s="21">
        <f>'IS (Adjusted)'!J41-'IS (Base)'!J41</f>
        <v>0</v>
      </c>
      <c r="K41" s="21">
        <f>'IS (Adjusted)'!K41-'IS (Base)'!K41</f>
        <v>0</v>
      </c>
      <c r="L41" s="21">
        <f>'IS (Adjusted)'!L41-'IS (Base)'!L41</f>
        <v>0</v>
      </c>
      <c r="M41" s="57">
        <f>'IS (Adjusted)'!M41-'IS (Base)'!M41</f>
        <v>0</v>
      </c>
      <c r="N41" s="21">
        <f>'IS (Adjusted)'!N41-'IS (Base)'!N41</f>
        <v>0</v>
      </c>
      <c r="O41" s="21">
        <f>'IS (Adjusted)'!O41-'IS (Base)'!O41</f>
        <v>0</v>
      </c>
      <c r="P41" s="21">
        <f>'IS (Adjusted)'!P41-'IS (Base)'!P41</f>
        <v>0</v>
      </c>
      <c r="Q41" s="21">
        <f>'IS (Adjusted)'!Q41-'IS (Base)'!Q41</f>
        <v>0</v>
      </c>
      <c r="R41" s="191">
        <f>'IS (Adjusted)'!R41-'IS (Base)'!R41</f>
        <v>0</v>
      </c>
      <c r="S41" s="21">
        <f>'IS (Adjusted)'!S41-'IS (Base)'!S41</f>
        <v>0</v>
      </c>
      <c r="T41" s="21">
        <f>'IS (Adjusted)'!T41-'IS (Base)'!T41</f>
        <v>0</v>
      </c>
      <c r="U41" s="21">
        <f>'IS (Adjusted)'!U41-'IS (Base)'!U41</f>
        <v>0</v>
      </c>
      <c r="V41" s="21">
        <f>'IS (Adjusted)'!V41-'IS (Base)'!V41</f>
        <v>0</v>
      </c>
      <c r="W41" s="191">
        <f>'IS (Adjusted)'!W41-'IS (Base)'!W41</f>
        <v>0</v>
      </c>
      <c r="X41" s="21">
        <f>'IS (Adjusted)'!X41-'IS (Base)'!X41</f>
        <v>0</v>
      </c>
      <c r="Y41" s="21">
        <f>'IS (Adjusted)'!Y41-'IS (Base)'!Y41</f>
        <v>0</v>
      </c>
      <c r="Z41" s="21">
        <f>'IS (Adjusted)'!Z41-'IS (Base)'!Z41</f>
        <v>0</v>
      </c>
      <c r="AA41" s="21">
        <f>'IS (Adjusted)'!AA41-'IS (Base)'!AA41</f>
        <v>0</v>
      </c>
      <c r="AB41" s="191">
        <f>'IS (Adjusted)'!AB41-'IS (Base)'!AB41</f>
        <v>0</v>
      </c>
      <c r="AC41" s="21">
        <f>'IS (Adjusted)'!AC41-'IS (Base)'!AC41</f>
        <v>0</v>
      </c>
      <c r="AD41" s="21">
        <f>'IS (Adjusted)'!AD41-'IS (Base)'!AD41</f>
        <v>0</v>
      </c>
      <c r="AE41" s="21">
        <f>'IS (Adjusted)'!AE41-'IS (Base)'!AE41</f>
        <v>0</v>
      </c>
      <c r="AF41" s="21">
        <f>'IS (Adjusted)'!AF41-'IS (Base)'!AF41</f>
        <v>0</v>
      </c>
      <c r="AG41" s="191">
        <f>'IS (Adjusted)'!AG41-'IS (Base)'!AG41</f>
        <v>0</v>
      </c>
      <c r="AH41" s="21">
        <f>'IS (Adjusted)'!AH41-'IS (Base)'!AH41</f>
        <v>0</v>
      </c>
      <c r="AI41" s="21">
        <f>'IS (Adjusted)'!AI41-'IS (Base)'!AI41</f>
        <v>0</v>
      </c>
      <c r="AJ41" s="21">
        <f>'IS (Adjusted)'!AJ41-'IS (Base)'!AJ41</f>
        <v>0</v>
      </c>
      <c r="AK41" s="21">
        <f>'IS (Adjusted)'!AK41-'IS (Base)'!AK41</f>
        <v>0</v>
      </c>
      <c r="AL41" s="191">
        <f>'IS (Adjusted)'!AL41-'IS (Base)'!AL41</f>
        <v>0</v>
      </c>
      <c r="AM41" s="21">
        <f>'IS (Adjusted)'!AM41-'IS (Base)'!AM41</f>
        <v>0</v>
      </c>
      <c r="AN41" s="21">
        <f>'IS (Adjusted)'!AN41-'IS (Base)'!AN41</f>
        <v>0</v>
      </c>
      <c r="AO41" s="21">
        <f>'IS (Adjusted)'!AO41-'IS (Base)'!AO41</f>
        <v>0</v>
      </c>
      <c r="AP41" s="21">
        <f>'IS (Adjusted)'!AP41-'IS (Base)'!AP41</f>
        <v>0</v>
      </c>
      <c r="AQ41" s="191">
        <f>'IS (Adjusted)'!AQ41-'IS (Base)'!AQ41</f>
        <v>0</v>
      </c>
      <c r="AR41" s="21">
        <f>'IS (Adjusted)'!AR41-'IS (Base)'!AR41</f>
        <v>0</v>
      </c>
      <c r="AS41" s="21">
        <f>'IS (Adjusted)'!AS41-'IS (Base)'!AS41</f>
        <v>0</v>
      </c>
      <c r="AT41" s="21">
        <f>'IS (Adjusted)'!AT41-'IS (Base)'!AT41</f>
        <v>0</v>
      </c>
      <c r="AU41" s="21">
        <f>'IS (Adjusted)'!AU41-'IS (Base)'!AU41</f>
        <v>0</v>
      </c>
      <c r="AV41" s="191">
        <f>'IS (Adjusted)'!AV41-'IS (Base)'!AV41</f>
        <v>0</v>
      </c>
    </row>
    <row r="42" spans="2:48" outlineLevel="1" x14ac:dyDescent="0.3">
      <c r="B42" s="180" t="s">
        <v>46</v>
      </c>
      <c r="C42" s="201"/>
      <c r="D42" s="101">
        <f>'IS (Adjusted)'!D42-'IS (Base)'!D42</f>
        <v>0</v>
      </c>
      <c r="E42" s="101">
        <f>'IS (Adjusted)'!E42-'IS (Base)'!E42</f>
        <v>0</v>
      </c>
      <c r="F42" s="101">
        <f>'IS (Adjusted)'!F42-'IS (Base)'!F42</f>
        <v>0</v>
      </c>
      <c r="G42" s="101">
        <f>'IS (Adjusted)'!G42-'IS (Base)'!G42</f>
        <v>0</v>
      </c>
      <c r="H42" s="122">
        <f>'IS (Adjusted)'!H42-'IS (Base)'!H42</f>
        <v>0</v>
      </c>
      <c r="I42" s="101">
        <f>'IS (Adjusted)'!I42-'IS (Base)'!I42</f>
        <v>0</v>
      </c>
      <c r="J42" s="101">
        <f>'IS (Adjusted)'!J42-'IS (Base)'!J42</f>
        <v>0</v>
      </c>
      <c r="K42" s="101">
        <f>'IS (Adjusted)'!K42-'IS (Base)'!K42</f>
        <v>0</v>
      </c>
      <c r="L42" s="101">
        <f>'IS (Adjusted)'!L42-'IS (Base)'!L42</f>
        <v>0</v>
      </c>
      <c r="M42" s="122">
        <f>'IS (Adjusted)'!M42-'IS (Base)'!M42</f>
        <v>0</v>
      </c>
      <c r="N42" s="101">
        <f>'IS (Adjusted)'!N42-'IS (Base)'!N42</f>
        <v>0</v>
      </c>
      <c r="O42" s="101">
        <f>'IS (Adjusted)'!O42-'IS (Base)'!O42</f>
        <v>0</v>
      </c>
      <c r="P42" s="101">
        <f>'IS (Adjusted)'!P42-'IS (Base)'!P42</f>
        <v>0</v>
      </c>
      <c r="Q42" s="101">
        <f>'IS (Adjusted)'!Q42-'IS (Base)'!Q42</f>
        <v>0</v>
      </c>
      <c r="R42" s="26">
        <f>'IS (Adjusted)'!R42-'IS (Base)'!R42</f>
        <v>0</v>
      </c>
      <c r="S42" s="101">
        <f>'IS (Adjusted)'!S42-'IS (Base)'!S42</f>
        <v>0</v>
      </c>
      <c r="T42" s="101">
        <f>'IS (Adjusted)'!T42-'IS (Base)'!T42</f>
        <v>0</v>
      </c>
      <c r="U42" s="101">
        <f>'IS (Adjusted)'!U42-'IS (Base)'!U42</f>
        <v>0</v>
      </c>
      <c r="V42" s="101">
        <f>'IS (Adjusted)'!V42-'IS (Base)'!V42</f>
        <v>0</v>
      </c>
      <c r="W42" s="122">
        <f>'IS (Adjusted)'!W42-'IS (Base)'!W42</f>
        <v>0</v>
      </c>
      <c r="X42" s="101">
        <f>'IS (Adjusted)'!X42-'IS (Base)'!X42</f>
        <v>0</v>
      </c>
      <c r="Y42" s="33">
        <f>'IS (Adjusted)'!Y42-'IS (Base)'!Y42</f>
        <v>0</v>
      </c>
      <c r="Z42" s="33">
        <f>'IS (Adjusted)'!Z42-'IS (Base)'!Z42</f>
        <v>0</v>
      </c>
      <c r="AA42" s="33">
        <f>'IS (Adjusted)'!AA42-'IS (Base)'!AA42</f>
        <v>0</v>
      </c>
      <c r="AB42" s="26">
        <f>'IS (Adjusted)'!AB42-'IS (Base)'!AB42</f>
        <v>0</v>
      </c>
      <c r="AC42" s="33">
        <f>'IS (Adjusted)'!AC42-'IS (Base)'!AC42</f>
        <v>0</v>
      </c>
      <c r="AD42" s="33">
        <f>'IS (Adjusted)'!AD42-'IS (Base)'!AD42</f>
        <v>0</v>
      </c>
      <c r="AE42" s="33">
        <f>'IS (Adjusted)'!AE42-'IS (Base)'!AE42</f>
        <v>0</v>
      </c>
      <c r="AF42" s="33">
        <f>'IS (Adjusted)'!AF42-'IS (Base)'!AF42</f>
        <v>0</v>
      </c>
      <c r="AG42" s="26">
        <f>'IS (Adjusted)'!AG42-'IS (Base)'!AG42</f>
        <v>0</v>
      </c>
      <c r="AH42" s="33">
        <f>'IS (Adjusted)'!AH42-'IS (Base)'!AH42</f>
        <v>0</v>
      </c>
      <c r="AI42" s="33">
        <f>'IS (Adjusted)'!AI42-'IS (Base)'!AI42</f>
        <v>0</v>
      </c>
      <c r="AJ42" s="33">
        <f>'IS (Adjusted)'!AJ42-'IS (Base)'!AJ42</f>
        <v>0</v>
      </c>
      <c r="AK42" s="33">
        <f>'IS (Adjusted)'!AK42-'IS (Base)'!AK42</f>
        <v>0</v>
      </c>
      <c r="AL42" s="26">
        <f>'IS (Adjusted)'!AL42-'IS (Base)'!AL42</f>
        <v>0</v>
      </c>
      <c r="AM42" s="33">
        <f>'IS (Adjusted)'!AM42-'IS (Base)'!AM42</f>
        <v>0</v>
      </c>
      <c r="AN42" s="33">
        <f>'IS (Adjusted)'!AN42-'IS (Base)'!AN42</f>
        <v>0</v>
      </c>
      <c r="AO42" s="33">
        <f>'IS (Adjusted)'!AO42-'IS (Base)'!AO42</f>
        <v>0</v>
      </c>
      <c r="AP42" s="33">
        <f>'IS (Adjusted)'!AP42-'IS (Base)'!AP42</f>
        <v>0</v>
      </c>
      <c r="AQ42" s="26">
        <f>'IS (Adjusted)'!AQ42-'IS (Base)'!AQ42</f>
        <v>0</v>
      </c>
      <c r="AR42" s="33">
        <f>'IS (Adjusted)'!AR42-'IS (Base)'!AR42</f>
        <v>0</v>
      </c>
      <c r="AS42" s="33">
        <f>'IS (Adjusted)'!AS42-'IS (Base)'!AS42</f>
        <v>0</v>
      </c>
      <c r="AT42" s="33">
        <f>'IS (Adjusted)'!AT42-'IS (Base)'!AT42</f>
        <v>0</v>
      </c>
      <c r="AU42" s="33">
        <f>'IS (Adjusted)'!AU42-'IS (Base)'!AU42</f>
        <v>0</v>
      </c>
      <c r="AV42" s="26">
        <f>'IS (Adjusted)'!AV42-'IS (Base)'!AV42</f>
        <v>0</v>
      </c>
    </row>
    <row r="43" spans="2:48" outlineLevel="1" x14ac:dyDescent="0.3">
      <c r="B43" s="180" t="s">
        <v>201</v>
      </c>
      <c r="C43" s="201"/>
      <c r="D43" s="101">
        <f>'IS (Adjusted)'!D43-'IS (Base)'!D43</f>
        <v>0</v>
      </c>
      <c r="E43" s="101">
        <f>'IS (Adjusted)'!E43-'IS (Base)'!E43</f>
        <v>0</v>
      </c>
      <c r="F43" s="101">
        <f>'IS (Adjusted)'!F43-'IS (Base)'!F43</f>
        <v>0</v>
      </c>
      <c r="G43" s="101">
        <f>'IS (Adjusted)'!G43-'IS (Base)'!G43</f>
        <v>0</v>
      </c>
      <c r="H43" s="122">
        <f>'IS (Adjusted)'!H43-'IS (Base)'!H43</f>
        <v>0</v>
      </c>
      <c r="I43" s="101">
        <f>'IS (Adjusted)'!I43-'IS (Base)'!I43</f>
        <v>0</v>
      </c>
      <c r="J43" s="101">
        <f>'IS (Adjusted)'!J43-'IS (Base)'!J43</f>
        <v>0</v>
      </c>
      <c r="K43" s="101">
        <f>'IS (Adjusted)'!K43-'IS (Base)'!K43</f>
        <v>0</v>
      </c>
      <c r="L43" s="101">
        <f>'IS (Adjusted)'!L43-'IS (Base)'!L43</f>
        <v>0</v>
      </c>
      <c r="M43" s="122">
        <f>'IS (Adjusted)'!M43-'IS (Base)'!M43</f>
        <v>0</v>
      </c>
      <c r="N43" s="101">
        <f>'IS (Adjusted)'!N43-'IS (Base)'!N43</f>
        <v>0</v>
      </c>
      <c r="O43" s="101">
        <f>'IS (Adjusted)'!O43-'IS (Base)'!O43</f>
        <v>0</v>
      </c>
      <c r="P43" s="101">
        <f>'IS (Adjusted)'!P43-'IS (Base)'!P43</f>
        <v>0</v>
      </c>
      <c r="Q43" s="101">
        <f>'IS (Adjusted)'!Q43-'IS (Base)'!Q43</f>
        <v>0</v>
      </c>
      <c r="R43" s="122">
        <f>'IS (Adjusted)'!R43-'IS (Base)'!R43</f>
        <v>0</v>
      </c>
      <c r="S43" s="101">
        <f>'IS (Adjusted)'!S43-'IS (Base)'!S43</f>
        <v>0</v>
      </c>
      <c r="T43" s="101">
        <f>'IS (Adjusted)'!T43-'IS (Base)'!T43</f>
        <v>0</v>
      </c>
      <c r="U43" s="101">
        <f>'IS (Adjusted)'!U43-'IS (Base)'!U43</f>
        <v>0</v>
      </c>
      <c r="V43" s="101">
        <f>'IS (Adjusted)'!V43-'IS (Base)'!V43</f>
        <v>0</v>
      </c>
      <c r="W43" s="122">
        <f>'IS (Adjusted)'!W43-'IS (Base)'!W43</f>
        <v>0</v>
      </c>
      <c r="X43" s="101">
        <f>'IS (Adjusted)'!X43-'IS (Base)'!X43</f>
        <v>0</v>
      </c>
      <c r="Y43" s="101">
        <f>'IS (Adjusted)'!Y43-'IS (Base)'!Y43</f>
        <v>0</v>
      </c>
      <c r="Z43" s="101">
        <f>'IS (Adjusted)'!Z43-'IS (Base)'!Z43</f>
        <v>0</v>
      </c>
      <c r="AA43" s="101">
        <f>'IS (Adjusted)'!AA43-'IS (Base)'!AA43</f>
        <v>0</v>
      </c>
      <c r="AB43" s="122">
        <f>'IS (Adjusted)'!AB43-'IS (Base)'!AB43</f>
        <v>0</v>
      </c>
      <c r="AC43" s="101">
        <f>'IS (Adjusted)'!AC43-'IS (Base)'!AC43</f>
        <v>0</v>
      </c>
      <c r="AD43" s="101">
        <f>'IS (Adjusted)'!AD43-'IS (Base)'!AD43</f>
        <v>0</v>
      </c>
      <c r="AE43" s="101">
        <f>'IS (Adjusted)'!AE43-'IS (Base)'!AE43</f>
        <v>0</v>
      </c>
      <c r="AF43" s="101">
        <f>'IS (Adjusted)'!AF43-'IS (Base)'!AF43</f>
        <v>0</v>
      </c>
      <c r="AG43" s="122">
        <f>'IS (Adjusted)'!AG43-'IS (Base)'!AG43</f>
        <v>0</v>
      </c>
      <c r="AH43" s="101">
        <f>'IS (Adjusted)'!AH43-'IS (Base)'!AH43</f>
        <v>0</v>
      </c>
      <c r="AI43" s="101">
        <f>'IS (Adjusted)'!AI43-'IS (Base)'!AI43</f>
        <v>0</v>
      </c>
      <c r="AJ43" s="101">
        <f>'IS (Adjusted)'!AJ43-'IS (Base)'!AJ43</f>
        <v>0</v>
      </c>
      <c r="AK43" s="101">
        <f>'IS (Adjusted)'!AK43-'IS (Base)'!AK43</f>
        <v>0</v>
      </c>
      <c r="AL43" s="122">
        <f>'IS (Adjusted)'!AL43-'IS (Base)'!AL43</f>
        <v>0</v>
      </c>
      <c r="AM43" s="101">
        <f>'IS (Adjusted)'!AM43-'IS (Base)'!AM43</f>
        <v>0</v>
      </c>
      <c r="AN43" s="101">
        <f>'IS (Adjusted)'!AN43-'IS (Base)'!AN43</f>
        <v>0</v>
      </c>
      <c r="AO43" s="101">
        <f>'IS (Adjusted)'!AO43-'IS (Base)'!AO43</f>
        <v>0</v>
      </c>
      <c r="AP43" s="101">
        <f>'IS (Adjusted)'!AP43-'IS (Base)'!AP43</f>
        <v>0</v>
      </c>
      <c r="AQ43" s="122">
        <f>'IS (Adjusted)'!AQ43-'IS (Base)'!AQ43</f>
        <v>0</v>
      </c>
      <c r="AR43" s="101">
        <f>'IS (Adjusted)'!AR43-'IS (Base)'!AR43</f>
        <v>0</v>
      </c>
      <c r="AS43" s="101">
        <f>'IS (Adjusted)'!AS43-'IS (Base)'!AS43</f>
        <v>0</v>
      </c>
      <c r="AT43" s="101">
        <f>'IS (Adjusted)'!AT43-'IS (Base)'!AT43</f>
        <v>0</v>
      </c>
      <c r="AU43" s="101">
        <f>'IS (Adjusted)'!AU43-'IS (Base)'!AU43</f>
        <v>0</v>
      </c>
      <c r="AV43" s="122">
        <f>'IS (Adjusted)'!AV43-'IS (Base)'!AV43</f>
        <v>0</v>
      </c>
    </row>
    <row r="44" spans="2:48" s="8" customFormat="1" outlineLevel="1" x14ac:dyDescent="0.3">
      <c r="B44" s="180" t="s">
        <v>205</v>
      </c>
      <c r="C44" s="206"/>
      <c r="D44" s="472">
        <f>'IS (Adjusted)'!D44-'IS (Base)'!D44</f>
        <v>0</v>
      </c>
      <c r="E44" s="43">
        <f>'IS (Adjusted)'!E44-'IS (Base)'!E44</f>
        <v>0</v>
      </c>
      <c r="F44" s="43">
        <f>'IS (Adjusted)'!F44-'IS (Base)'!F44</f>
        <v>0</v>
      </c>
      <c r="G44" s="43">
        <f>'IS (Adjusted)'!G44-'IS (Base)'!G44</f>
        <v>0</v>
      </c>
      <c r="H44" s="471">
        <f>'IS (Adjusted)'!H44-'IS (Base)'!H44</f>
        <v>0</v>
      </c>
      <c r="I44" s="43">
        <f>'IS (Adjusted)'!I44-'IS (Base)'!I44</f>
        <v>0</v>
      </c>
      <c r="J44" s="43">
        <f>'IS (Adjusted)'!J44-'IS (Base)'!J44</f>
        <v>0</v>
      </c>
      <c r="K44" s="43">
        <f>'IS (Adjusted)'!K44-'IS (Base)'!K44</f>
        <v>0</v>
      </c>
      <c r="L44" s="43">
        <f>'IS (Adjusted)'!L44-'IS (Base)'!L44</f>
        <v>0</v>
      </c>
      <c r="M44" s="471">
        <f>'IS (Adjusted)'!M44-'IS (Base)'!M44</f>
        <v>0</v>
      </c>
      <c r="N44" s="43">
        <f>'IS (Adjusted)'!N44-'IS (Base)'!N44</f>
        <v>0</v>
      </c>
      <c r="O44" s="43">
        <f>'IS (Adjusted)'!O44-'IS (Base)'!O44</f>
        <v>0</v>
      </c>
      <c r="P44" s="43">
        <f>'IS (Adjusted)'!P44-'IS (Base)'!P44</f>
        <v>0</v>
      </c>
      <c r="Q44" s="43">
        <f>'IS (Adjusted)'!Q44-'IS (Base)'!Q44</f>
        <v>0</v>
      </c>
      <c r="R44" s="97">
        <f>'IS (Adjusted)'!R44-'IS (Base)'!R44</f>
        <v>0</v>
      </c>
      <c r="S44" s="43">
        <f>'IS (Adjusted)'!S44-'IS (Base)'!S44</f>
        <v>0</v>
      </c>
      <c r="T44" s="43">
        <f>'IS (Adjusted)'!T44-'IS (Base)'!T44</f>
        <v>0</v>
      </c>
      <c r="U44" s="43">
        <f>'IS (Adjusted)'!U44-'IS (Base)'!U44</f>
        <v>0</v>
      </c>
      <c r="V44" s="43">
        <f>'IS (Adjusted)'!V44-'IS (Base)'!V44</f>
        <v>0</v>
      </c>
      <c r="W44" s="132">
        <f>'IS (Adjusted)'!W44-'IS (Base)'!W44</f>
        <v>0</v>
      </c>
      <c r="X44" s="114">
        <f>'IS (Adjusted)'!X44-'IS (Base)'!X44</f>
        <v>0</v>
      </c>
      <c r="Y44" s="219">
        <f>'IS (Adjusted)'!Y44-'IS (Base)'!Y44</f>
        <v>0</v>
      </c>
      <c r="Z44" s="219">
        <f>'IS (Adjusted)'!Z44-'IS (Base)'!Z44</f>
        <v>0</v>
      </c>
      <c r="AA44" s="219">
        <f>'IS (Adjusted)'!AA44-'IS (Base)'!AA44</f>
        <v>0</v>
      </c>
      <c r="AB44" s="97">
        <f>'IS (Adjusted)'!AB44-'IS (Base)'!AB44</f>
        <v>0</v>
      </c>
      <c r="AC44" s="219">
        <f>'IS (Adjusted)'!AC44-'IS (Base)'!AC44</f>
        <v>0</v>
      </c>
      <c r="AD44" s="219">
        <f>'IS (Adjusted)'!AD44-'IS (Base)'!AD44</f>
        <v>0</v>
      </c>
      <c r="AE44" s="219">
        <f>'IS (Adjusted)'!AE44-'IS (Base)'!AE44</f>
        <v>0</v>
      </c>
      <c r="AF44" s="219">
        <f>'IS (Adjusted)'!AF44-'IS (Base)'!AF44</f>
        <v>0</v>
      </c>
      <c r="AG44" s="97">
        <f>'IS (Adjusted)'!AG44-'IS (Base)'!AG44</f>
        <v>0</v>
      </c>
      <c r="AH44" s="219">
        <f>'IS (Adjusted)'!AH44-'IS (Base)'!AH44</f>
        <v>0</v>
      </c>
      <c r="AI44" s="219">
        <f>'IS (Adjusted)'!AI44-'IS (Base)'!AI44</f>
        <v>0</v>
      </c>
      <c r="AJ44" s="219">
        <f>'IS (Adjusted)'!AJ44-'IS (Base)'!AJ44</f>
        <v>0</v>
      </c>
      <c r="AK44" s="219">
        <f>'IS (Adjusted)'!AK44-'IS (Base)'!AK44</f>
        <v>0</v>
      </c>
      <c r="AL44" s="97">
        <f>'IS (Adjusted)'!AL44-'IS (Base)'!AL44</f>
        <v>0</v>
      </c>
      <c r="AM44" s="477">
        <f>'IS (Adjusted)'!AM44-'IS (Base)'!AM44</f>
        <v>0</v>
      </c>
      <c r="AN44" s="477">
        <f>'IS (Adjusted)'!AN44-'IS (Base)'!AN44</f>
        <v>0</v>
      </c>
      <c r="AO44" s="477">
        <f>'IS (Adjusted)'!AO44-'IS (Base)'!AO44</f>
        <v>0</v>
      </c>
      <c r="AP44" s="477">
        <f>'IS (Adjusted)'!AP44-'IS (Base)'!AP44</f>
        <v>0</v>
      </c>
      <c r="AQ44" s="97">
        <f>'IS (Adjusted)'!AQ44-'IS (Base)'!AQ44</f>
        <v>0</v>
      </c>
      <c r="AR44" s="477">
        <f>'IS (Adjusted)'!AR44-'IS (Base)'!AR44</f>
        <v>0</v>
      </c>
      <c r="AS44" s="477">
        <f>'IS (Adjusted)'!AS44-'IS (Base)'!AS44</f>
        <v>0</v>
      </c>
      <c r="AT44" s="477">
        <f>'IS (Adjusted)'!AT44-'IS (Base)'!AT44</f>
        <v>0</v>
      </c>
      <c r="AU44" s="477">
        <f>'IS (Adjusted)'!AU44-'IS (Base)'!AU44</f>
        <v>0</v>
      </c>
      <c r="AV44" s="97">
        <f>'IS (Adjusted)'!AV44-'IS (Base)'!AV44</f>
        <v>0</v>
      </c>
    </row>
    <row r="45" spans="2:48" s="8" customFormat="1" outlineLevel="1" x14ac:dyDescent="0.3">
      <c r="B45" s="587" t="s">
        <v>176</v>
      </c>
      <c r="C45" s="588"/>
      <c r="D45" s="50">
        <f>'IS (Adjusted)'!D45-'IS (Base)'!D45</f>
        <v>0</v>
      </c>
      <c r="E45" s="50">
        <f>'IS (Adjusted)'!E45-'IS (Base)'!E45</f>
        <v>0</v>
      </c>
      <c r="F45" s="50">
        <f>'IS (Adjusted)'!F45-'IS (Base)'!F45</f>
        <v>0</v>
      </c>
      <c r="G45" s="50">
        <f>'IS (Adjusted)'!G45-'IS (Base)'!G45</f>
        <v>0</v>
      </c>
      <c r="H45" s="97">
        <f>'IS (Adjusted)'!H45-'IS (Base)'!H45</f>
        <v>0</v>
      </c>
      <c r="I45" s="50">
        <f>'IS (Adjusted)'!I45-'IS (Base)'!I45</f>
        <v>0</v>
      </c>
      <c r="J45" s="50">
        <f>'IS (Adjusted)'!J45-'IS (Base)'!J45</f>
        <v>0</v>
      </c>
      <c r="K45" s="103">
        <f>'IS (Adjusted)'!K45-'IS (Base)'!K45</f>
        <v>0</v>
      </c>
      <c r="L45" s="50">
        <f>'IS (Adjusted)'!L45-'IS (Base)'!L45</f>
        <v>0</v>
      </c>
      <c r="M45" s="132">
        <f>'IS (Adjusted)'!M45-'IS (Base)'!M45</f>
        <v>0</v>
      </c>
      <c r="N45" s="50">
        <f>'IS (Adjusted)'!N45-'IS (Base)'!N45</f>
        <v>0</v>
      </c>
      <c r="O45" s="50">
        <f>'IS (Adjusted)'!O45-'IS (Base)'!O45</f>
        <v>0</v>
      </c>
      <c r="P45" s="50">
        <f>'IS (Adjusted)'!P45-'IS (Base)'!P45</f>
        <v>0</v>
      </c>
      <c r="Q45" s="103">
        <f>'IS (Adjusted)'!Q45-'IS (Base)'!Q45</f>
        <v>0</v>
      </c>
      <c r="R45" s="132">
        <f>'IS (Adjusted)'!R45-'IS (Base)'!R45</f>
        <v>0</v>
      </c>
      <c r="S45" s="50">
        <f>'IS (Adjusted)'!S45-'IS (Base)'!S45</f>
        <v>0</v>
      </c>
      <c r="T45" s="50">
        <f>'IS (Adjusted)'!T45-'IS (Base)'!T45</f>
        <v>0</v>
      </c>
      <c r="U45" s="50">
        <f>'IS (Adjusted)'!U45-'IS (Base)'!U45</f>
        <v>0</v>
      </c>
      <c r="V45" s="50">
        <f>'IS (Adjusted)'!V45-'IS (Base)'!V45</f>
        <v>0</v>
      </c>
      <c r="W45" s="132">
        <f>'IS (Adjusted)'!W45-'IS (Base)'!W45</f>
        <v>0</v>
      </c>
      <c r="X45" s="103">
        <f>'IS (Adjusted)'!X45-'IS (Base)'!X45</f>
        <v>0</v>
      </c>
      <c r="Y45" s="50">
        <f>'IS (Adjusted)'!Y45-'IS (Base)'!Y45</f>
        <v>0</v>
      </c>
      <c r="Z45" s="50">
        <f>'IS (Adjusted)'!Z45-'IS (Base)'!Z45</f>
        <v>0</v>
      </c>
      <c r="AA45" s="50">
        <f>'IS (Adjusted)'!AA45-'IS (Base)'!AA45</f>
        <v>0</v>
      </c>
      <c r="AB45" s="97">
        <f>'IS (Adjusted)'!AB45-'IS (Base)'!AB45</f>
        <v>0</v>
      </c>
      <c r="AC45" s="50">
        <f>'IS (Adjusted)'!AC45-'IS (Base)'!AC45</f>
        <v>0</v>
      </c>
      <c r="AD45" s="50">
        <f>'IS (Adjusted)'!AD45-'IS (Base)'!AD45</f>
        <v>0</v>
      </c>
      <c r="AE45" s="50">
        <f>'IS (Adjusted)'!AE45-'IS (Base)'!AE45</f>
        <v>0</v>
      </c>
      <c r="AF45" s="50">
        <f>'IS (Adjusted)'!AF45-'IS (Base)'!AF45</f>
        <v>0</v>
      </c>
      <c r="AG45" s="97">
        <f>'IS (Adjusted)'!AG45-'IS (Base)'!AG45</f>
        <v>0</v>
      </c>
      <c r="AH45" s="50">
        <f>'IS (Adjusted)'!AH45-'IS (Base)'!AH45</f>
        <v>0</v>
      </c>
      <c r="AI45" s="50">
        <f>'IS (Adjusted)'!AI45-'IS (Base)'!AI45</f>
        <v>0</v>
      </c>
      <c r="AJ45" s="50">
        <f>'IS (Adjusted)'!AJ45-'IS (Base)'!AJ45</f>
        <v>0</v>
      </c>
      <c r="AK45" s="50">
        <f>'IS (Adjusted)'!AK45-'IS (Base)'!AK45</f>
        <v>0</v>
      </c>
      <c r="AL45" s="97">
        <f>'IS (Adjusted)'!AL45-'IS (Base)'!AL45</f>
        <v>0</v>
      </c>
      <c r="AM45" s="50">
        <f>'IS (Adjusted)'!AM45-'IS (Base)'!AM45</f>
        <v>0</v>
      </c>
      <c r="AN45" s="50">
        <f>'IS (Adjusted)'!AN45-'IS (Base)'!AN45</f>
        <v>0</v>
      </c>
      <c r="AO45" s="50">
        <f>'IS (Adjusted)'!AO45-'IS (Base)'!AO45</f>
        <v>0</v>
      </c>
      <c r="AP45" s="50">
        <f>'IS (Adjusted)'!AP45-'IS (Base)'!AP45</f>
        <v>0</v>
      </c>
      <c r="AQ45" s="97">
        <f>'IS (Adjusted)'!AQ45-'IS (Base)'!AQ45</f>
        <v>0</v>
      </c>
      <c r="AR45" s="50">
        <f>'IS (Adjusted)'!AR45-'IS (Base)'!AR45</f>
        <v>0</v>
      </c>
      <c r="AS45" s="50">
        <f>'IS (Adjusted)'!AS45-'IS (Base)'!AS45</f>
        <v>0</v>
      </c>
      <c r="AT45" s="50">
        <f>'IS (Adjusted)'!AT45-'IS (Base)'!AT45</f>
        <v>0</v>
      </c>
      <c r="AU45" s="50">
        <f>'IS (Adjusted)'!AU45-'IS (Base)'!AU45</f>
        <v>0</v>
      </c>
      <c r="AV45" s="97">
        <f>'IS (Adjusted)'!AV45-'IS (Base)'!AV45</f>
        <v>0</v>
      </c>
    </row>
    <row r="46" spans="2:48" s="8" customFormat="1" outlineLevel="1" x14ac:dyDescent="0.3">
      <c r="B46" s="38" t="s">
        <v>200</v>
      </c>
      <c r="C46" s="206"/>
      <c r="D46" s="43">
        <f>'IS (Adjusted)'!D46-'IS (Base)'!D46</f>
        <v>0</v>
      </c>
      <c r="E46" s="43">
        <f>'IS (Adjusted)'!E46-'IS (Base)'!E46</f>
        <v>0</v>
      </c>
      <c r="F46" s="43">
        <f>'IS (Adjusted)'!F46-'IS (Base)'!F46</f>
        <v>0</v>
      </c>
      <c r="G46" s="43">
        <f>'IS (Adjusted)'!G46-'IS (Base)'!G46</f>
        <v>0</v>
      </c>
      <c r="H46" s="97">
        <f>'IS (Adjusted)'!H46-'IS (Base)'!H46</f>
        <v>0</v>
      </c>
      <c r="I46" s="27">
        <f>'IS (Adjusted)'!I46-'IS (Base)'!I46</f>
        <v>0</v>
      </c>
      <c r="J46" s="27">
        <f>'IS (Adjusted)'!J46-'IS (Base)'!J46</f>
        <v>0</v>
      </c>
      <c r="K46" s="27">
        <f>'IS (Adjusted)'!K46-'IS (Base)'!K46</f>
        <v>0</v>
      </c>
      <c r="L46" s="27">
        <f>'IS (Adjusted)'!L46-'IS (Base)'!L46</f>
        <v>0</v>
      </c>
      <c r="M46" s="97">
        <f>'IS (Adjusted)'!M46-'IS (Base)'!M46</f>
        <v>0</v>
      </c>
      <c r="N46" s="27">
        <f>'IS (Adjusted)'!N46-'IS (Base)'!N46</f>
        <v>0</v>
      </c>
      <c r="O46" s="27">
        <f>'IS (Adjusted)'!O46-'IS (Base)'!O46</f>
        <v>0</v>
      </c>
      <c r="P46" s="27">
        <f>'IS (Adjusted)'!P46-'IS (Base)'!P46</f>
        <v>0</v>
      </c>
      <c r="Q46" s="27">
        <f>'IS (Adjusted)'!Q46-'IS (Base)'!Q46</f>
        <v>0</v>
      </c>
      <c r="R46" s="97">
        <f>'IS (Adjusted)'!R46-'IS (Base)'!R46</f>
        <v>0</v>
      </c>
      <c r="S46" s="27">
        <f>'IS (Adjusted)'!S46-'IS (Base)'!S46</f>
        <v>0</v>
      </c>
      <c r="T46" s="27">
        <f>'IS (Adjusted)'!T46-'IS (Base)'!T46</f>
        <v>0</v>
      </c>
      <c r="U46" s="27">
        <f>'IS (Adjusted)'!U46-'IS (Base)'!U46</f>
        <v>0</v>
      </c>
      <c r="V46" s="27">
        <f>'IS (Adjusted)'!V46-'IS (Base)'!V46</f>
        <v>0</v>
      </c>
      <c r="W46" s="98">
        <f>'IS (Adjusted)'!W46-'IS (Base)'!W46</f>
        <v>0</v>
      </c>
      <c r="X46" s="113">
        <f>'IS (Adjusted)'!X46-'IS (Base)'!X46</f>
        <v>0</v>
      </c>
      <c r="Y46" s="27">
        <f>'IS (Adjusted)'!Y46-'IS (Base)'!Y46</f>
        <v>0</v>
      </c>
      <c r="Z46" s="27">
        <f>'IS (Adjusted)'!Z46-'IS (Base)'!Z46</f>
        <v>0</v>
      </c>
      <c r="AA46" s="27">
        <f>'IS (Adjusted)'!AA46-'IS (Base)'!AA46</f>
        <v>0</v>
      </c>
      <c r="AB46" s="98">
        <f>'IS (Adjusted)'!AB46-'IS (Base)'!AB46</f>
        <v>0</v>
      </c>
      <c r="AC46" s="27">
        <f>'IS (Adjusted)'!AC46-'IS (Base)'!AC46</f>
        <v>0</v>
      </c>
      <c r="AD46" s="27">
        <f>'IS (Adjusted)'!AD46-'IS (Base)'!AD46</f>
        <v>0</v>
      </c>
      <c r="AE46" s="27">
        <f>'IS (Adjusted)'!AE46-'IS (Base)'!AE46</f>
        <v>0</v>
      </c>
      <c r="AF46" s="27">
        <f>'IS (Adjusted)'!AF46-'IS (Base)'!AF46</f>
        <v>0</v>
      </c>
      <c r="AG46" s="98">
        <f>'IS (Adjusted)'!AG46-'IS (Base)'!AG46</f>
        <v>0</v>
      </c>
      <c r="AH46" s="27">
        <f>'IS (Adjusted)'!AH46-'IS (Base)'!AH46</f>
        <v>0</v>
      </c>
      <c r="AI46" s="27">
        <f>'IS (Adjusted)'!AI46-'IS (Base)'!AI46</f>
        <v>0</v>
      </c>
      <c r="AJ46" s="27">
        <f>'IS (Adjusted)'!AJ46-'IS (Base)'!AJ46</f>
        <v>0</v>
      </c>
      <c r="AK46" s="27">
        <f>'IS (Adjusted)'!AK46-'IS (Base)'!AK46</f>
        <v>0</v>
      </c>
      <c r="AL46" s="98">
        <f>'IS (Adjusted)'!AL46-'IS (Base)'!AL46</f>
        <v>0</v>
      </c>
      <c r="AM46" s="27">
        <f>'IS (Adjusted)'!AM46-'IS (Base)'!AM46</f>
        <v>0</v>
      </c>
      <c r="AN46" s="27">
        <f>'IS (Adjusted)'!AN46-'IS (Base)'!AN46</f>
        <v>0</v>
      </c>
      <c r="AO46" s="27">
        <f>'IS (Adjusted)'!AO46-'IS (Base)'!AO46</f>
        <v>0</v>
      </c>
      <c r="AP46" s="27">
        <f>'IS (Adjusted)'!AP46-'IS (Base)'!AP46</f>
        <v>0</v>
      </c>
      <c r="AQ46" s="98">
        <f>'IS (Adjusted)'!AQ46-'IS (Base)'!AQ46</f>
        <v>0</v>
      </c>
      <c r="AR46" s="27">
        <f>'IS (Adjusted)'!AR46-'IS (Base)'!AR46</f>
        <v>0</v>
      </c>
      <c r="AS46" s="27">
        <f>'IS (Adjusted)'!AS46-'IS (Base)'!AS46</f>
        <v>0</v>
      </c>
      <c r="AT46" s="27">
        <f>'IS (Adjusted)'!AT46-'IS (Base)'!AT46</f>
        <v>0</v>
      </c>
      <c r="AU46" s="27">
        <f>'IS (Adjusted)'!AU46-'IS (Base)'!AU46</f>
        <v>0</v>
      </c>
      <c r="AV46" s="98">
        <f>'IS (Adjusted)'!AV46-'IS (Base)'!AV46</f>
        <v>0</v>
      </c>
    </row>
    <row r="47" spans="2:48" outlineLevel="1" x14ac:dyDescent="0.3">
      <c r="B47" s="220" t="s">
        <v>44</v>
      </c>
      <c r="C47" s="221"/>
      <c r="D47" s="222">
        <f>'IS (Adjusted)'!D47-'IS (Base)'!D47</f>
        <v>0</v>
      </c>
      <c r="E47" s="222">
        <f>'IS (Adjusted)'!E47-'IS (Base)'!E47</f>
        <v>0</v>
      </c>
      <c r="F47" s="222">
        <f>'IS (Adjusted)'!F47-'IS (Base)'!F47</f>
        <v>0</v>
      </c>
      <c r="G47" s="222">
        <f>'IS (Adjusted)'!G47-'IS (Base)'!G47</f>
        <v>0</v>
      </c>
      <c r="H47" s="223">
        <f>'IS (Adjusted)'!H47-'IS (Base)'!H47</f>
        <v>0</v>
      </c>
      <c r="I47" s="222">
        <f>'IS (Adjusted)'!I47-'IS (Base)'!I47</f>
        <v>0</v>
      </c>
      <c r="J47" s="222">
        <f>'IS (Adjusted)'!J47-'IS (Base)'!J47</f>
        <v>0</v>
      </c>
      <c r="K47" s="222">
        <f>'IS (Adjusted)'!K47-'IS (Base)'!K47</f>
        <v>0</v>
      </c>
      <c r="L47" s="224">
        <f>'IS (Adjusted)'!L47-'IS (Base)'!L47</f>
        <v>0</v>
      </c>
      <c r="M47" s="223">
        <f>'IS (Adjusted)'!M47-'IS (Base)'!M47</f>
        <v>0</v>
      </c>
      <c r="N47" s="222">
        <f>'IS (Adjusted)'!N47-'IS (Base)'!N47</f>
        <v>0</v>
      </c>
      <c r="O47" s="222">
        <f>'IS (Adjusted)'!O47-'IS (Base)'!O47</f>
        <v>0</v>
      </c>
      <c r="P47" s="222">
        <f>'IS (Adjusted)'!P47-'IS (Base)'!P47</f>
        <v>0</v>
      </c>
      <c r="Q47" s="222">
        <f>'IS (Adjusted)'!Q47-'IS (Base)'!Q47</f>
        <v>0</v>
      </c>
      <c r="R47" s="225">
        <f>'IS (Adjusted)'!R47-'IS (Base)'!R47</f>
        <v>0</v>
      </c>
      <c r="S47" s="224">
        <f>'IS (Adjusted)'!S47-'IS (Base)'!S47</f>
        <v>0</v>
      </c>
      <c r="T47" s="224">
        <f>'IS (Adjusted)'!T47-'IS (Base)'!T47</f>
        <v>0</v>
      </c>
      <c r="U47" s="224">
        <f>'IS (Adjusted)'!U47-'IS (Base)'!U47</f>
        <v>0</v>
      </c>
      <c r="V47" s="224">
        <f>'IS (Adjusted)'!V47-'IS (Base)'!V47</f>
        <v>0</v>
      </c>
      <c r="W47" s="223">
        <f>'IS (Adjusted)'!W47-'IS (Base)'!W47</f>
        <v>0</v>
      </c>
      <c r="X47" s="222">
        <f>'IS (Adjusted)'!X47-'IS (Base)'!X47</f>
        <v>0</v>
      </c>
      <c r="Y47" s="224">
        <f>'IS (Adjusted)'!Y47-'IS (Base)'!Y47</f>
        <v>0</v>
      </c>
      <c r="Z47" s="224">
        <f>'IS (Adjusted)'!Z47-'IS (Base)'!Z47</f>
        <v>0</v>
      </c>
      <c r="AA47" s="224">
        <f>'IS (Adjusted)'!AA47-'IS (Base)'!AA47</f>
        <v>0</v>
      </c>
      <c r="AB47" s="376">
        <f>'IS (Adjusted)'!AB47-'IS (Base)'!AB47</f>
        <v>0</v>
      </c>
      <c r="AC47" s="224">
        <f>'IS (Adjusted)'!AC47-'IS (Base)'!AC47</f>
        <v>0</v>
      </c>
      <c r="AD47" s="224">
        <f>'IS (Adjusted)'!AD47-'IS (Base)'!AD47</f>
        <v>0</v>
      </c>
      <c r="AE47" s="224">
        <f>'IS (Adjusted)'!AE47-'IS (Base)'!AE47</f>
        <v>0</v>
      </c>
      <c r="AF47" s="224">
        <f>'IS (Adjusted)'!AF47-'IS (Base)'!AF47</f>
        <v>0</v>
      </c>
      <c r="AG47" s="225">
        <f>'IS (Adjusted)'!AG47-'IS (Base)'!AG47</f>
        <v>0</v>
      </c>
      <c r="AH47" s="224">
        <f>'IS (Adjusted)'!AH47-'IS (Base)'!AH47</f>
        <v>0</v>
      </c>
      <c r="AI47" s="224">
        <f>'IS (Adjusted)'!AI47-'IS (Base)'!AI47</f>
        <v>0</v>
      </c>
      <c r="AJ47" s="224">
        <f>'IS (Adjusted)'!AJ47-'IS (Base)'!AJ47</f>
        <v>0</v>
      </c>
      <c r="AK47" s="224">
        <f>'IS (Adjusted)'!AK47-'IS (Base)'!AK47</f>
        <v>0</v>
      </c>
      <c r="AL47" s="225">
        <f>'IS (Adjusted)'!AL47-'IS (Base)'!AL47</f>
        <v>0</v>
      </c>
      <c r="AM47" s="224">
        <f>'IS (Adjusted)'!AM47-'IS (Base)'!AM47</f>
        <v>0</v>
      </c>
      <c r="AN47" s="224">
        <f>'IS (Adjusted)'!AN47-'IS (Base)'!AN47</f>
        <v>0</v>
      </c>
      <c r="AO47" s="224">
        <f>'IS (Adjusted)'!AO47-'IS (Base)'!AO47</f>
        <v>0</v>
      </c>
      <c r="AP47" s="224">
        <f>'IS (Adjusted)'!AP47-'IS (Base)'!AP47</f>
        <v>0</v>
      </c>
      <c r="AQ47" s="225">
        <f>'IS (Adjusted)'!AQ47-'IS (Base)'!AQ47</f>
        <v>0</v>
      </c>
      <c r="AR47" s="224">
        <f>'IS (Adjusted)'!AR47-'IS (Base)'!AR47</f>
        <v>0</v>
      </c>
      <c r="AS47" s="224">
        <f>'IS (Adjusted)'!AS47-'IS (Base)'!AS47</f>
        <v>0</v>
      </c>
      <c r="AT47" s="224">
        <f>'IS (Adjusted)'!AT47-'IS (Base)'!AT47</f>
        <v>0</v>
      </c>
      <c r="AU47" s="224">
        <f>'IS (Adjusted)'!AU47-'IS (Base)'!AU47</f>
        <v>0</v>
      </c>
      <c r="AV47" s="225">
        <f>'IS (Adjusted)'!AV47-'IS (Base)'!AV47</f>
        <v>0</v>
      </c>
    </row>
    <row r="48" spans="2:48" outlineLevel="1" x14ac:dyDescent="0.3">
      <c r="B48" s="38" t="s">
        <v>43</v>
      </c>
      <c r="C48" s="207"/>
      <c r="D48" s="226">
        <f>'IS (Adjusted)'!D48-'IS (Base)'!D48</f>
        <v>0</v>
      </c>
      <c r="E48" s="226">
        <f>'IS (Adjusted)'!E48-'IS (Base)'!E48</f>
        <v>0</v>
      </c>
      <c r="F48" s="226">
        <f>'IS (Adjusted)'!F48-'IS (Base)'!F48</f>
        <v>0</v>
      </c>
      <c r="G48" s="226">
        <f>'IS (Adjusted)'!G48-'IS (Base)'!G48</f>
        <v>0</v>
      </c>
      <c r="H48" s="217">
        <f>'IS (Adjusted)'!H48-'IS (Base)'!H48</f>
        <v>0</v>
      </c>
      <c r="I48" s="226">
        <f>'IS (Adjusted)'!I48-'IS (Base)'!I48</f>
        <v>0</v>
      </c>
      <c r="J48" s="226">
        <f>'IS (Adjusted)'!J48-'IS (Base)'!J48</f>
        <v>0</v>
      </c>
      <c r="K48" s="226">
        <f>'IS (Adjusted)'!K48-'IS (Base)'!K48</f>
        <v>0</v>
      </c>
      <c r="L48" s="227">
        <f>'IS (Adjusted)'!L48-'IS (Base)'!L48</f>
        <v>0</v>
      </c>
      <c r="M48" s="217">
        <f>'IS (Adjusted)'!M48-'IS (Base)'!M48</f>
        <v>0</v>
      </c>
      <c r="N48" s="226">
        <f>'IS (Adjusted)'!N48-'IS (Base)'!N48</f>
        <v>0</v>
      </c>
      <c r="O48" s="226">
        <f>'IS (Adjusted)'!O48-'IS (Base)'!O48</f>
        <v>0</v>
      </c>
      <c r="P48" s="226">
        <f>'IS (Adjusted)'!P48-'IS (Base)'!P48</f>
        <v>0</v>
      </c>
      <c r="Q48" s="226">
        <f>'IS (Adjusted)'!Q48-'IS (Base)'!Q48</f>
        <v>0</v>
      </c>
      <c r="R48" s="218">
        <f>'IS (Adjusted)'!R48-'IS (Base)'!R48</f>
        <v>0</v>
      </c>
      <c r="S48" s="227">
        <f>'IS (Adjusted)'!S48-'IS (Base)'!S48</f>
        <v>0</v>
      </c>
      <c r="T48" s="227">
        <f>'IS (Adjusted)'!T48-'IS (Base)'!T48</f>
        <v>0</v>
      </c>
      <c r="U48" s="228">
        <f>'IS (Adjusted)'!U48-'IS (Base)'!U48</f>
        <v>0</v>
      </c>
      <c r="V48" s="228">
        <f>'IS (Adjusted)'!V48-'IS (Base)'!V48</f>
        <v>0</v>
      </c>
      <c r="W48" s="148">
        <f>'IS (Adjusted)'!W48-'IS (Base)'!W48</f>
        <v>0</v>
      </c>
      <c r="X48" s="226">
        <f>'IS (Adjusted)'!X48-'IS (Base)'!X48</f>
        <v>0</v>
      </c>
      <c r="Y48" s="228">
        <f>'IS (Adjusted)'!Y48-'IS (Base)'!Y48</f>
        <v>0</v>
      </c>
      <c r="Z48" s="228">
        <f>'IS (Adjusted)'!Z48-'IS (Base)'!Z48</f>
        <v>0</v>
      </c>
      <c r="AA48" s="228">
        <f>'IS (Adjusted)'!AA48-'IS (Base)'!AA48</f>
        <v>0</v>
      </c>
      <c r="AB48" s="362">
        <f>'IS (Adjusted)'!AB48-'IS (Base)'!AB48</f>
        <v>0</v>
      </c>
      <c r="AC48" s="228">
        <f>'IS (Adjusted)'!AC48-'IS (Base)'!AC48</f>
        <v>0</v>
      </c>
      <c r="AD48" s="228">
        <f>'IS (Adjusted)'!AD48-'IS (Base)'!AD48</f>
        <v>0</v>
      </c>
      <c r="AE48" s="228">
        <f>'IS (Adjusted)'!AE48-'IS (Base)'!AE48</f>
        <v>0</v>
      </c>
      <c r="AF48" s="228">
        <f>'IS (Adjusted)'!AF48-'IS (Base)'!AF48</f>
        <v>0</v>
      </c>
      <c r="AG48" s="60">
        <f>'IS (Adjusted)'!AG48-'IS (Base)'!AG48</f>
        <v>0</v>
      </c>
      <c r="AH48" s="228">
        <f>'IS (Adjusted)'!AH48-'IS (Base)'!AH48</f>
        <v>0</v>
      </c>
      <c r="AI48" s="228">
        <f>'IS (Adjusted)'!AI48-'IS (Base)'!AI48</f>
        <v>0</v>
      </c>
      <c r="AJ48" s="228">
        <f>'IS (Adjusted)'!AJ48-'IS (Base)'!AJ48</f>
        <v>0</v>
      </c>
      <c r="AK48" s="228">
        <f>'IS (Adjusted)'!AK48-'IS (Base)'!AK48</f>
        <v>0</v>
      </c>
      <c r="AL48" s="60">
        <f>'IS (Adjusted)'!AL48-'IS (Base)'!AL48</f>
        <v>0</v>
      </c>
      <c r="AM48" s="228">
        <f>'IS (Adjusted)'!AM48-'IS (Base)'!AM48</f>
        <v>0</v>
      </c>
      <c r="AN48" s="228">
        <f>'IS (Adjusted)'!AN48-'IS (Base)'!AN48</f>
        <v>0</v>
      </c>
      <c r="AO48" s="228">
        <f>'IS (Adjusted)'!AO48-'IS (Base)'!AO48</f>
        <v>0</v>
      </c>
      <c r="AP48" s="228">
        <f>'IS (Adjusted)'!AP48-'IS (Base)'!AP48</f>
        <v>0</v>
      </c>
      <c r="AQ48" s="60">
        <f>'IS (Adjusted)'!AQ48-'IS (Base)'!AQ48</f>
        <v>0</v>
      </c>
      <c r="AR48" s="228">
        <f>'IS (Adjusted)'!AR48-'IS (Base)'!AR48</f>
        <v>0</v>
      </c>
      <c r="AS48" s="228">
        <f>'IS (Adjusted)'!AS48-'IS (Base)'!AS48</f>
        <v>0</v>
      </c>
      <c r="AT48" s="228">
        <f>'IS (Adjusted)'!AT48-'IS (Base)'!AT48</f>
        <v>0</v>
      </c>
      <c r="AU48" s="228">
        <f>'IS (Adjusted)'!AU48-'IS (Base)'!AU48</f>
        <v>0</v>
      </c>
      <c r="AV48" s="60">
        <f>'IS (Adjusted)'!AV48-'IS (Base)'!AV48</f>
        <v>0</v>
      </c>
    </row>
    <row r="49" spans="2:48" s="8" customFormat="1" outlineLevel="1" x14ac:dyDescent="0.3">
      <c r="B49" s="229" t="s">
        <v>45</v>
      </c>
      <c r="C49" s="230"/>
      <c r="D49" s="231">
        <f>'IS (Adjusted)'!D49-'IS (Base)'!D49</f>
        <v>0</v>
      </c>
      <c r="E49" s="231">
        <f>'IS (Adjusted)'!E49-'IS (Base)'!E49</f>
        <v>0</v>
      </c>
      <c r="F49" s="231">
        <f>'IS (Adjusted)'!F49-'IS (Base)'!F49</f>
        <v>0</v>
      </c>
      <c r="G49" s="231">
        <f>'IS (Adjusted)'!G49-'IS (Base)'!G49</f>
        <v>0</v>
      </c>
      <c r="H49" s="232">
        <f>'IS (Adjusted)'!H49-'IS (Base)'!H49</f>
        <v>0</v>
      </c>
      <c r="I49" s="231">
        <f>'IS (Adjusted)'!I49-'IS (Base)'!I49</f>
        <v>0</v>
      </c>
      <c r="J49" s="231">
        <f>'IS (Adjusted)'!J49-'IS (Base)'!J49</f>
        <v>0</v>
      </c>
      <c r="K49" s="231">
        <f>'IS (Adjusted)'!K49-'IS (Base)'!K49</f>
        <v>0</v>
      </c>
      <c r="L49" s="233">
        <f>'IS (Adjusted)'!L49-'IS (Base)'!L49</f>
        <v>0</v>
      </c>
      <c r="M49" s="234">
        <f>'IS (Adjusted)'!M49-'IS (Base)'!M49</f>
        <v>0</v>
      </c>
      <c r="N49" s="233">
        <f>'IS (Adjusted)'!N49-'IS (Base)'!N49</f>
        <v>0</v>
      </c>
      <c r="O49" s="233">
        <f>'IS (Adjusted)'!O49-'IS (Base)'!O49</f>
        <v>0</v>
      </c>
      <c r="P49" s="231">
        <f>'IS (Adjusted)'!P49-'IS (Base)'!P49</f>
        <v>0</v>
      </c>
      <c r="Q49" s="231">
        <f>'IS (Adjusted)'!Q49-'IS (Base)'!Q49</f>
        <v>0</v>
      </c>
      <c r="R49" s="235">
        <f>'IS (Adjusted)'!R49-'IS (Base)'!R49</f>
        <v>0</v>
      </c>
      <c r="S49" s="233">
        <f>'IS (Adjusted)'!S49-'IS (Base)'!S49</f>
        <v>0</v>
      </c>
      <c r="T49" s="233">
        <f>'IS (Adjusted)'!T49-'IS (Base)'!T49</f>
        <v>0</v>
      </c>
      <c r="U49" s="231">
        <f>'IS (Adjusted)'!U49-'IS (Base)'!U49</f>
        <v>0</v>
      </c>
      <c r="V49" s="231">
        <f>'IS (Adjusted)'!V49-'IS (Base)'!V49</f>
        <v>0</v>
      </c>
      <c r="W49" s="232">
        <f>'IS (Adjusted)'!W49-'IS (Base)'!W49</f>
        <v>0</v>
      </c>
      <c r="X49" s="233">
        <f>'IS (Adjusted)'!X49-'IS (Base)'!X49</f>
        <v>0</v>
      </c>
      <c r="Y49" s="233">
        <f>'IS (Adjusted)'!Y49-'IS (Base)'!Y49</f>
        <v>0</v>
      </c>
      <c r="Z49" s="233">
        <f>'IS (Adjusted)'!Z49-'IS (Base)'!Z49</f>
        <v>0</v>
      </c>
      <c r="AA49" s="233">
        <f>'IS (Adjusted)'!AA49-'IS (Base)'!AA49</f>
        <v>0</v>
      </c>
      <c r="AB49" s="361">
        <f>'IS (Adjusted)'!AB49-'IS (Base)'!AB49</f>
        <v>0</v>
      </c>
      <c r="AC49" s="233">
        <f>'IS (Adjusted)'!AC49-'IS (Base)'!AC49</f>
        <v>0</v>
      </c>
      <c r="AD49" s="233">
        <f>'IS (Adjusted)'!AD49-'IS (Base)'!AD49</f>
        <v>0</v>
      </c>
      <c r="AE49" s="233">
        <f>'IS (Adjusted)'!AE49-'IS (Base)'!AE49</f>
        <v>0</v>
      </c>
      <c r="AF49" s="233">
        <f>'IS (Adjusted)'!AF49-'IS (Base)'!AF49</f>
        <v>0</v>
      </c>
      <c r="AG49" s="232">
        <f>'IS (Adjusted)'!AG49-'IS (Base)'!AG49</f>
        <v>0</v>
      </c>
      <c r="AH49" s="233">
        <f>'IS (Adjusted)'!AH49-'IS (Base)'!AH49</f>
        <v>0</v>
      </c>
      <c r="AI49" s="233">
        <f>'IS (Adjusted)'!AI49-'IS (Base)'!AI49</f>
        <v>0</v>
      </c>
      <c r="AJ49" s="233">
        <f>'IS (Adjusted)'!AJ49-'IS (Base)'!AJ49</f>
        <v>0</v>
      </c>
      <c r="AK49" s="233">
        <f>'IS (Adjusted)'!AK49-'IS (Base)'!AK49</f>
        <v>0</v>
      </c>
      <c r="AL49" s="232">
        <f>'IS (Adjusted)'!AL49-'IS (Base)'!AL49</f>
        <v>0</v>
      </c>
      <c r="AM49" s="233">
        <f>'IS (Adjusted)'!AM49-'IS (Base)'!AM49</f>
        <v>0</v>
      </c>
      <c r="AN49" s="233">
        <f>'IS (Adjusted)'!AN49-'IS (Base)'!AN49</f>
        <v>0</v>
      </c>
      <c r="AO49" s="233">
        <f>'IS (Adjusted)'!AO49-'IS (Base)'!AO49</f>
        <v>0</v>
      </c>
      <c r="AP49" s="233">
        <f>'IS (Adjusted)'!AP49-'IS (Base)'!AP49</f>
        <v>0</v>
      </c>
      <c r="AQ49" s="232">
        <f>'IS (Adjusted)'!AQ49-'IS (Base)'!AQ49</f>
        <v>0</v>
      </c>
      <c r="AR49" s="233">
        <f>'IS (Adjusted)'!AR49-'IS (Base)'!AR49</f>
        <v>0</v>
      </c>
      <c r="AS49" s="233">
        <f>'IS (Adjusted)'!AS49-'IS (Base)'!AS49</f>
        <v>0</v>
      </c>
      <c r="AT49" s="233">
        <f>'IS (Adjusted)'!AT49-'IS (Base)'!AT49</f>
        <v>0</v>
      </c>
      <c r="AU49" s="233">
        <f>'IS (Adjusted)'!AU49-'IS (Base)'!AU49</f>
        <v>0</v>
      </c>
      <c r="AV49" s="232">
        <f>'IS (Adjusted)'!AV49-'IS (Base)'!AV49</f>
        <v>0</v>
      </c>
    </row>
    <row r="50" spans="2:48" s="8" customFormat="1" outlineLevel="1" x14ac:dyDescent="0.3">
      <c r="B50" s="597" t="s">
        <v>177</v>
      </c>
      <c r="C50" s="598"/>
      <c r="D50" s="67">
        <f>'IS (Adjusted)'!D50-'IS (Base)'!D50</f>
        <v>0</v>
      </c>
      <c r="E50" s="67">
        <f>'IS (Adjusted)'!E50-'IS (Base)'!E50</f>
        <v>0</v>
      </c>
      <c r="F50" s="117">
        <f>'IS (Adjusted)'!F50-'IS (Base)'!F50</f>
        <v>0</v>
      </c>
      <c r="G50" s="67">
        <f>'IS (Adjusted)'!G50-'IS (Base)'!G50</f>
        <v>0</v>
      </c>
      <c r="H50" s="68">
        <f>'IS (Adjusted)'!H50-'IS (Base)'!H50</f>
        <v>0</v>
      </c>
      <c r="I50" s="67">
        <f>'IS (Adjusted)'!I50-'IS (Base)'!I50</f>
        <v>0</v>
      </c>
      <c r="J50" s="67">
        <f>'IS (Adjusted)'!J50-'IS (Base)'!J50</f>
        <v>0</v>
      </c>
      <c r="K50" s="67">
        <f>'IS (Adjusted)'!K50-'IS (Base)'!K50</f>
        <v>0</v>
      </c>
      <c r="L50" s="67">
        <f>'IS (Adjusted)'!L50-'IS (Base)'!L50</f>
        <v>0</v>
      </c>
      <c r="M50" s="68">
        <f>'IS (Adjusted)'!M50-'IS (Base)'!M50</f>
        <v>0</v>
      </c>
      <c r="N50" s="67">
        <f>'IS (Adjusted)'!N50-'IS (Base)'!N50</f>
        <v>0</v>
      </c>
      <c r="O50" s="67">
        <f>'IS (Adjusted)'!O50-'IS (Base)'!O50</f>
        <v>0</v>
      </c>
      <c r="P50" s="67">
        <f>'IS (Adjusted)'!P50-'IS (Base)'!P50</f>
        <v>0</v>
      </c>
      <c r="Q50" s="67">
        <f>'IS (Adjusted)'!Q50-'IS (Base)'!Q50</f>
        <v>0</v>
      </c>
      <c r="R50" s="192">
        <f>'IS (Adjusted)'!R50-'IS (Base)'!R50</f>
        <v>0</v>
      </c>
      <c r="S50" s="67">
        <f>'IS (Adjusted)'!S50-'IS (Base)'!S50</f>
        <v>0</v>
      </c>
      <c r="T50" s="67">
        <f>'IS (Adjusted)'!T50-'IS (Base)'!T50</f>
        <v>0</v>
      </c>
      <c r="U50" s="67">
        <f>'IS (Adjusted)'!U50-'IS (Base)'!U50</f>
        <v>0</v>
      </c>
      <c r="V50" s="67">
        <f>'IS (Adjusted)'!V50-'IS (Base)'!V50</f>
        <v>0</v>
      </c>
      <c r="W50" s="253">
        <f>'IS (Adjusted)'!W50-'IS (Base)'!W50</f>
        <v>0</v>
      </c>
      <c r="X50" s="117">
        <f>'IS (Adjusted)'!X50-'IS (Base)'!X50</f>
        <v>0</v>
      </c>
      <c r="Y50" s="67">
        <f>'IS (Adjusted)'!Y50-'IS (Base)'!Y50</f>
        <v>0</v>
      </c>
      <c r="Z50" s="67">
        <f>'IS (Adjusted)'!Z50-'IS (Base)'!Z50</f>
        <v>0</v>
      </c>
      <c r="AA50" s="67">
        <f>'IS (Adjusted)'!AA50-'IS (Base)'!AA50</f>
        <v>0</v>
      </c>
      <c r="AB50" s="192">
        <f>'IS (Adjusted)'!AB50-'IS (Base)'!AB50</f>
        <v>0</v>
      </c>
      <c r="AC50" s="67">
        <f>'IS (Adjusted)'!AC50-'IS (Base)'!AC50</f>
        <v>0</v>
      </c>
      <c r="AD50" s="67">
        <f>'IS (Adjusted)'!AD50-'IS (Base)'!AD50</f>
        <v>0</v>
      </c>
      <c r="AE50" s="67">
        <f>'IS (Adjusted)'!AE50-'IS (Base)'!AE50</f>
        <v>0</v>
      </c>
      <c r="AF50" s="67">
        <f>'IS (Adjusted)'!AF50-'IS (Base)'!AF50</f>
        <v>0</v>
      </c>
      <c r="AG50" s="192">
        <f>'IS (Adjusted)'!AG50-'IS (Base)'!AG50</f>
        <v>0</v>
      </c>
      <c r="AH50" s="67">
        <f>'IS (Adjusted)'!AH50-'IS (Base)'!AH50</f>
        <v>0</v>
      </c>
      <c r="AI50" s="67">
        <f>'IS (Adjusted)'!AI50-'IS (Base)'!AI50</f>
        <v>0</v>
      </c>
      <c r="AJ50" s="67">
        <f>'IS (Adjusted)'!AJ50-'IS (Base)'!AJ50</f>
        <v>0</v>
      </c>
      <c r="AK50" s="67">
        <f>'IS (Adjusted)'!AK50-'IS (Base)'!AK50</f>
        <v>0</v>
      </c>
      <c r="AL50" s="192">
        <f>'IS (Adjusted)'!AL50-'IS (Base)'!AL50</f>
        <v>0</v>
      </c>
      <c r="AM50" s="67">
        <f>'IS (Adjusted)'!AM50-'IS (Base)'!AM50</f>
        <v>0</v>
      </c>
      <c r="AN50" s="67">
        <f>'IS (Adjusted)'!AN50-'IS (Base)'!AN50</f>
        <v>0</v>
      </c>
      <c r="AO50" s="67">
        <f>'IS (Adjusted)'!AO50-'IS (Base)'!AO50</f>
        <v>0</v>
      </c>
      <c r="AP50" s="67">
        <f>'IS (Adjusted)'!AP50-'IS (Base)'!AP50</f>
        <v>0</v>
      </c>
      <c r="AQ50" s="192">
        <f>'IS (Adjusted)'!AQ50-'IS (Base)'!AQ50</f>
        <v>0</v>
      </c>
      <c r="AR50" s="67">
        <f>'IS (Adjusted)'!AR50-'IS (Base)'!AR50</f>
        <v>0</v>
      </c>
      <c r="AS50" s="67">
        <f>'IS (Adjusted)'!AS50-'IS (Base)'!AS50</f>
        <v>0</v>
      </c>
      <c r="AT50" s="67">
        <f>'IS (Adjusted)'!AT50-'IS (Base)'!AT50</f>
        <v>0</v>
      </c>
      <c r="AU50" s="67">
        <f>'IS (Adjusted)'!AU50-'IS (Base)'!AU50</f>
        <v>0</v>
      </c>
      <c r="AV50" s="192">
        <f>'IS (Adjusted)'!AV50-'IS (Base)'!AV50</f>
        <v>0</v>
      </c>
    </row>
    <row r="51" spans="2:48" outlineLevel="1" x14ac:dyDescent="0.3">
      <c r="B51" s="180" t="s">
        <v>47</v>
      </c>
      <c r="C51" s="201"/>
      <c r="D51" s="101">
        <f>'IS (Adjusted)'!D51-'IS (Base)'!D51</f>
        <v>0</v>
      </c>
      <c r="E51" s="101">
        <f>'IS (Adjusted)'!E51-'IS (Base)'!E51</f>
        <v>0</v>
      </c>
      <c r="F51" s="101">
        <f>'IS (Adjusted)'!F51-'IS (Base)'!F51</f>
        <v>0</v>
      </c>
      <c r="G51" s="101">
        <f>'IS (Adjusted)'!G51-'IS (Base)'!G51</f>
        <v>0</v>
      </c>
      <c r="H51" s="122">
        <f>'IS (Adjusted)'!H51-'IS (Base)'!H51</f>
        <v>0</v>
      </c>
      <c r="I51" s="101">
        <f>'IS (Adjusted)'!I51-'IS (Base)'!I51</f>
        <v>0</v>
      </c>
      <c r="J51" s="101">
        <f>'IS (Adjusted)'!J51-'IS (Base)'!J51</f>
        <v>0</v>
      </c>
      <c r="K51" s="101">
        <f>'IS (Adjusted)'!K51-'IS (Base)'!K51</f>
        <v>0</v>
      </c>
      <c r="L51" s="101">
        <f>'IS (Adjusted)'!L51-'IS (Base)'!L51</f>
        <v>0</v>
      </c>
      <c r="M51" s="122">
        <f>'IS (Adjusted)'!M51-'IS (Base)'!M51</f>
        <v>0</v>
      </c>
      <c r="N51" s="101">
        <f>'IS (Adjusted)'!N51-'IS (Base)'!N51</f>
        <v>0</v>
      </c>
      <c r="O51" s="101">
        <f>'IS (Adjusted)'!O51-'IS (Base)'!O51</f>
        <v>0</v>
      </c>
      <c r="P51" s="101">
        <f>'IS (Adjusted)'!P51-'IS (Base)'!P51</f>
        <v>0</v>
      </c>
      <c r="Q51" s="101">
        <f>'IS (Adjusted)'!Q51-'IS (Base)'!Q51</f>
        <v>0</v>
      </c>
      <c r="R51" s="26">
        <f>'IS (Adjusted)'!R51-'IS (Base)'!R51</f>
        <v>0</v>
      </c>
      <c r="S51" s="101">
        <f>'IS (Adjusted)'!S51-'IS (Base)'!S51</f>
        <v>0</v>
      </c>
      <c r="T51" s="101">
        <f>'IS (Adjusted)'!T51-'IS (Base)'!T51</f>
        <v>0</v>
      </c>
      <c r="U51" s="101">
        <f>'IS (Adjusted)'!U51-'IS (Base)'!U51</f>
        <v>0</v>
      </c>
      <c r="V51" s="101">
        <f>'IS (Adjusted)'!V51-'IS (Base)'!V51</f>
        <v>0</v>
      </c>
      <c r="W51" s="122">
        <f>'IS (Adjusted)'!W51-'IS (Base)'!W51</f>
        <v>0</v>
      </c>
      <c r="X51" s="101">
        <f>'IS (Adjusted)'!X51-'IS (Base)'!X51</f>
        <v>0</v>
      </c>
      <c r="Y51" s="33">
        <f>'IS (Adjusted)'!Y51-'IS (Base)'!Y51</f>
        <v>0</v>
      </c>
      <c r="Z51" s="33">
        <f>'IS (Adjusted)'!Z51-'IS (Base)'!Z51</f>
        <v>0</v>
      </c>
      <c r="AA51" s="33">
        <f>'IS (Adjusted)'!AA51-'IS (Base)'!AA51</f>
        <v>0</v>
      </c>
      <c r="AB51" s="26">
        <f>'IS (Adjusted)'!AB51-'IS (Base)'!AB51</f>
        <v>0</v>
      </c>
      <c r="AC51" s="33">
        <f>'IS (Adjusted)'!AC51-'IS (Base)'!AC51</f>
        <v>0</v>
      </c>
      <c r="AD51" s="33">
        <f>'IS (Adjusted)'!AD51-'IS (Base)'!AD51</f>
        <v>0</v>
      </c>
      <c r="AE51" s="33">
        <f>'IS (Adjusted)'!AE51-'IS (Base)'!AE51</f>
        <v>0</v>
      </c>
      <c r="AF51" s="33">
        <f>'IS (Adjusted)'!AF51-'IS (Base)'!AF51</f>
        <v>0</v>
      </c>
      <c r="AG51" s="26">
        <f>'IS (Adjusted)'!AG51-'IS (Base)'!AG51</f>
        <v>0</v>
      </c>
      <c r="AH51" s="33">
        <f>'IS (Adjusted)'!AH51-'IS (Base)'!AH51</f>
        <v>0</v>
      </c>
      <c r="AI51" s="33">
        <f>'IS (Adjusted)'!AI51-'IS (Base)'!AI51</f>
        <v>0</v>
      </c>
      <c r="AJ51" s="33">
        <f>'IS (Adjusted)'!AJ51-'IS (Base)'!AJ51</f>
        <v>0</v>
      </c>
      <c r="AK51" s="33">
        <f>'IS (Adjusted)'!AK51-'IS (Base)'!AK51</f>
        <v>0</v>
      </c>
      <c r="AL51" s="26">
        <f>'IS (Adjusted)'!AL51-'IS (Base)'!AL51</f>
        <v>0</v>
      </c>
      <c r="AM51" s="33">
        <f>'IS (Adjusted)'!AM51-'IS (Base)'!AM51</f>
        <v>0</v>
      </c>
      <c r="AN51" s="33">
        <f>'IS (Adjusted)'!AN51-'IS (Base)'!AN51</f>
        <v>0</v>
      </c>
      <c r="AO51" s="33">
        <f>'IS (Adjusted)'!AO51-'IS (Base)'!AO51</f>
        <v>0</v>
      </c>
      <c r="AP51" s="33">
        <f>'IS (Adjusted)'!AP51-'IS (Base)'!AP51</f>
        <v>0</v>
      </c>
      <c r="AQ51" s="26">
        <f>'IS (Adjusted)'!AQ51-'IS (Base)'!AQ51</f>
        <v>0</v>
      </c>
      <c r="AR51" s="33">
        <f>'IS (Adjusted)'!AR51-'IS (Base)'!AR51</f>
        <v>0</v>
      </c>
      <c r="AS51" s="33">
        <f>'IS (Adjusted)'!AS51-'IS (Base)'!AS51</f>
        <v>0</v>
      </c>
      <c r="AT51" s="33">
        <f>'IS (Adjusted)'!AT51-'IS (Base)'!AT51</f>
        <v>0</v>
      </c>
      <c r="AU51" s="33">
        <f>'IS (Adjusted)'!AU51-'IS (Base)'!AU51</f>
        <v>0</v>
      </c>
      <c r="AV51" s="26">
        <f>'IS (Adjusted)'!AV51-'IS (Base)'!AV51</f>
        <v>0</v>
      </c>
    </row>
    <row r="52" spans="2:48" outlineLevel="1" x14ac:dyDescent="0.3">
      <c r="B52" s="180" t="s">
        <v>49</v>
      </c>
      <c r="C52" s="201"/>
      <c r="D52" s="16">
        <f>'IS (Adjusted)'!D52-'IS (Base)'!D52</f>
        <v>0</v>
      </c>
      <c r="E52" s="16">
        <f>'IS (Adjusted)'!E52-'IS (Base)'!E52</f>
        <v>0</v>
      </c>
      <c r="F52" s="16">
        <f>'IS (Adjusted)'!F52-'IS (Base)'!F52</f>
        <v>0</v>
      </c>
      <c r="G52" s="16">
        <f>'IS (Adjusted)'!G52-'IS (Base)'!G52</f>
        <v>0</v>
      </c>
      <c r="H52" s="26">
        <f>'IS (Adjusted)'!H52-'IS (Base)'!H52</f>
        <v>0</v>
      </c>
      <c r="I52" s="16">
        <f>'IS (Adjusted)'!I52-'IS (Base)'!I52</f>
        <v>0</v>
      </c>
      <c r="J52" s="16">
        <f>'IS (Adjusted)'!J52-'IS (Base)'!J52</f>
        <v>0</v>
      </c>
      <c r="K52" s="16">
        <f>'IS (Adjusted)'!K52-'IS (Base)'!K52</f>
        <v>0</v>
      </c>
      <c r="L52" s="16">
        <f>'IS (Adjusted)'!L52-'IS (Base)'!L52</f>
        <v>0</v>
      </c>
      <c r="M52" s="6">
        <f>'IS (Adjusted)'!M52-'IS (Base)'!M52</f>
        <v>0</v>
      </c>
      <c r="N52" s="16">
        <f>'IS (Adjusted)'!N52-'IS (Base)'!N52</f>
        <v>0</v>
      </c>
      <c r="O52" s="16">
        <f>'IS (Adjusted)'!O52-'IS (Base)'!O52</f>
        <v>0</v>
      </c>
      <c r="P52" s="16">
        <f>'IS (Adjusted)'!P52-'IS (Base)'!P52</f>
        <v>0</v>
      </c>
      <c r="Q52" s="16">
        <f>'IS (Adjusted)'!Q52-'IS (Base)'!Q52</f>
        <v>0</v>
      </c>
      <c r="R52" s="6">
        <f>'IS (Adjusted)'!R52-'IS (Base)'!R52</f>
        <v>0</v>
      </c>
      <c r="S52" s="16">
        <f>'IS (Adjusted)'!S52-'IS (Base)'!S52</f>
        <v>0</v>
      </c>
      <c r="T52" s="16">
        <f>'IS (Adjusted)'!T52-'IS (Base)'!T52</f>
        <v>0</v>
      </c>
      <c r="U52" s="16">
        <f>'IS (Adjusted)'!U52-'IS (Base)'!U52</f>
        <v>0</v>
      </c>
      <c r="V52" s="16">
        <f>'IS (Adjusted)'!V52-'IS (Base)'!V52</f>
        <v>0</v>
      </c>
      <c r="W52" s="130">
        <f>'IS (Adjusted)'!W52-'IS (Base)'!W52</f>
        <v>0</v>
      </c>
      <c r="X52" s="101">
        <f>'IS (Adjusted)'!X52-'IS (Base)'!X52</f>
        <v>0</v>
      </c>
      <c r="Y52" s="16">
        <f>'IS (Adjusted)'!Y52-'IS (Base)'!Y52</f>
        <v>0</v>
      </c>
      <c r="Z52" s="16">
        <f>'IS (Adjusted)'!Z52-'IS (Base)'!Z52</f>
        <v>0</v>
      </c>
      <c r="AA52" s="16">
        <f>'IS (Adjusted)'!AA52-'IS (Base)'!AA52</f>
        <v>0</v>
      </c>
      <c r="AB52" s="6">
        <f>'IS (Adjusted)'!AB52-'IS (Base)'!AB52</f>
        <v>0</v>
      </c>
      <c r="AC52" s="16">
        <f>'IS (Adjusted)'!AC52-'IS (Base)'!AC52</f>
        <v>0</v>
      </c>
      <c r="AD52" s="16">
        <f>'IS (Adjusted)'!AD52-'IS (Base)'!AD52</f>
        <v>0</v>
      </c>
      <c r="AE52" s="16">
        <f>'IS (Adjusted)'!AE52-'IS (Base)'!AE52</f>
        <v>0</v>
      </c>
      <c r="AF52" s="16">
        <f>'IS (Adjusted)'!AF52-'IS (Base)'!AF52</f>
        <v>0</v>
      </c>
      <c r="AG52" s="6">
        <f>'IS (Adjusted)'!AG52-'IS (Base)'!AG52</f>
        <v>0</v>
      </c>
      <c r="AH52" s="16">
        <f>'IS (Adjusted)'!AH52-'IS (Base)'!AH52</f>
        <v>0</v>
      </c>
      <c r="AI52" s="16">
        <f>'IS (Adjusted)'!AI52-'IS (Base)'!AI52</f>
        <v>0</v>
      </c>
      <c r="AJ52" s="16">
        <f>'IS (Adjusted)'!AJ52-'IS (Base)'!AJ52</f>
        <v>0</v>
      </c>
      <c r="AK52" s="16">
        <f>'IS (Adjusted)'!AK52-'IS (Base)'!AK52</f>
        <v>0</v>
      </c>
      <c r="AL52" s="6">
        <f>'IS (Adjusted)'!AL52-'IS (Base)'!AL52</f>
        <v>0</v>
      </c>
      <c r="AM52" s="16">
        <f>'IS (Adjusted)'!AM52-'IS (Base)'!AM52</f>
        <v>0</v>
      </c>
      <c r="AN52" s="16">
        <f>'IS (Adjusted)'!AN52-'IS (Base)'!AN52</f>
        <v>0</v>
      </c>
      <c r="AO52" s="16">
        <f>'IS (Adjusted)'!AO52-'IS (Base)'!AO52</f>
        <v>0</v>
      </c>
      <c r="AP52" s="16">
        <f>'IS (Adjusted)'!AP52-'IS (Base)'!AP52</f>
        <v>0</v>
      </c>
      <c r="AQ52" s="6">
        <f>'IS (Adjusted)'!AQ52-'IS (Base)'!AQ52</f>
        <v>0</v>
      </c>
      <c r="AR52" s="16">
        <f>'IS (Adjusted)'!AR52-'IS (Base)'!AR52</f>
        <v>0</v>
      </c>
      <c r="AS52" s="16">
        <f>'IS (Adjusted)'!AS52-'IS (Base)'!AS52</f>
        <v>0</v>
      </c>
      <c r="AT52" s="16">
        <f>'IS (Adjusted)'!AT52-'IS (Base)'!AT52</f>
        <v>0</v>
      </c>
      <c r="AU52" s="16">
        <f>'IS (Adjusted)'!AU52-'IS (Base)'!AU52</f>
        <v>0</v>
      </c>
      <c r="AV52" s="6">
        <f>'IS (Adjusted)'!AV52-'IS (Base)'!AV52</f>
        <v>0</v>
      </c>
    </row>
    <row r="53" spans="2:48" outlineLevel="1" x14ac:dyDescent="0.3">
      <c r="B53" s="180" t="s">
        <v>202</v>
      </c>
      <c r="C53" s="201"/>
      <c r="D53" s="43">
        <f>'IS (Adjusted)'!D53-'IS (Base)'!D53</f>
        <v>0</v>
      </c>
      <c r="E53" s="43">
        <f>'IS (Adjusted)'!E53-'IS (Base)'!E53</f>
        <v>0</v>
      </c>
      <c r="F53" s="43">
        <f>'IS (Adjusted)'!F53-'IS (Base)'!F53</f>
        <v>0</v>
      </c>
      <c r="G53" s="114">
        <f>'IS (Adjusted)'!G53-'IS (Base)'!G53</f>
        <v>0</v>
      </c>
      <c r="H53" s="127">
        <f>'IS (Adjusted)'!H53-'IS (Base)'!H53</f>
        <v>0</v>
      </c>
      <c r="I53" s="114">
        <f>'IS (Adjusted)'!I53-'IS (Base)'!I53</f>
        <v>0</v>
      </c>
      <c r="J53" s="114">
        <f>'IS (Adjusted)'!J53-'IS (Base)'!J53</f>
        <v>0</v>
      </c>
      <c r="K53" s="114">
        <f>'IS (Adjusted)'!K53-'IS (Base)'!K53</f>
        <v>0</v>
      </c>
      <c r="L53" s="114">
        <f>'IS (Adjusted)'!L53-'IS (Base)'!L53</f>
        <v>0</v>
      </c>
      <c r="M53" s="6">
        <f>'IS (Adjusted)'!M53-'IS (Base)'!M53</f>
        <v>0</v>
      </c>
      <c r="N53" s="114">
        <f>'IS (Adjusted)'!N53-'IS (Base)'!N53</f>
        <v>0</v>
      </c>
      <c r="O53" s="114">
        <f>'IS (Adjusted)'!O53-'IS (Base)'!O53</f>
        <v>0</v>
      </c>
      <c r="P53" s="114">
        <f>'IS (Adjusted)'!P53-'IS (Base)'!P53</f>
        <v>0</v>
      </c>
      <c r="Q53" s="114">
        <f>'IS (Adjusted)'!Q53-'IS (Base)'!Q53</f>
        <v>0</v>
      </c>
      <c r="R53" s="6">
        <f>'IS (Adjusted)'!R53-'IS (Base)'!R53</f>
        <v>0</v>
      </c>
      <c r="S53" s="114">
        <f>'IS (Adjusted)'!S53-'IS (Base)'!S53</f>
        <v>0</v>
      </c>
      <c r="T53" s="114">
        <f>'IS (Adjusted)'!T53-'IS (Base)'!T53</f>
        <v>0</v>
      </c>
      <c r="U53" s="114">
        <f>'IS (Adjusted)'!U53-'IS (Base)'!U53</f>
        <v>0</v>
      </c>
      <c r="V53" s="114">
        <f>'IS (Adjusted)'!V53-'IS (Base)'!V53</f>
        <v>0</v>
      </c>
      <c r="W53" s="130">
        <f>'IS (Adjusted)'!W53-'IS (Base)'!W53</f>
        <v>0</v>
      </c>
      <c r="X53" s="114">
        <f>'IS (Adjusted)'!X53-'IS (Base)'!X53</f>
        <v>0</v>
      </c>
      <c r="Y53" s="62">
        <f>'IS (Adjusted)'!Y53-'IS (Base)'!Y53</f>
        <v>0</v>
      </c>
      <c r="Z53" s="62">
        <f>'IS (Adjusted)'!Z53-'IS (Base)'!Z53</f>
        <v>0</v>
      </c>
      <c r="AA53" s="62">
        <f>'IS (Adjusted)'!AA53-'IS (Base)'!AA53</f>
        <v>0</v>
      </c>
      <c r="AB53" s="378">
        <f>'IS (Adjusted)'!AB53-'IS (Base)'!AB53</f>
        <v>0</v>
      </c>
      <c r="AC53" s="62">
        <f>'IS (Adjusted)'!AC53-'IS (Base)'!AC53</f>
        <v>0</v>
      </c>
      <c r="AD53" s="62">
        <f>'IS (Adjusted)'!AD53-'IS (Base)'!AD53</f>
        <v>0</v>
      </c>
      <c r="AE53" s="62">
        <f>'IS (Adjusted)'!AE53-'IS (Base)'!AE53</f>
        <v>0</v>
      </c>
      <c r="AF53" s="62">
        <f>'IS (Adjusted)'!AF53-'IS (Base)'!AF53</f>
        <v>0</v>
      </c>
      <c r="AG53" s="378">
        <f>'IS (Adjusted)'!AG53-'IS (Base)'!AG53</f>
        <v>0</v>
      </c>
      <c r="AH53" s="62">
        <f>'IS (Adjusted)'!AH53-'IS (Base)'!AH53</f>
        <v>0</v>
      </c>
      <c r="AI53" s="62">
        <f>'IS (Adjusted)'!AI53-'IS (Base)'!AI53</f>
        <v>0</v>
      </c>
      <c r="AJ53" s="62">
        <f>'IS (Adjusted)'!AJ53-'IS (Base)'!AJ53</f>
        <v>0</v>
      </c>
      <c r="AK53" s="62">
        <f>'IS (Adjusted)'!AK53-'IS (Base)'!AK53</f>
        <v>0</v>
      </c>
      <c r="AL53" s="379">
        <f>'IS (Adjusted)'!AL53-'IS (Base)'!AL53</f>
        <v>0</v>
      </c>
      <c r="AM53" s="477">
        <f>'IS (Adjusted)'!AM53-'IS (Base)'!AM53</f>
        <v>0</v>
      </c>
      <c r="AN53" s="477">
        <f>'IS (Adjusted)'!AN53-'IS (Base)'!AN53</f>
        <v>0</v>
      </c>
      <c r="AO53" s="477">
        <f>'IS (Adjusted)'!AO53-'IS (Base)'!AO53</f>
        <v>0</v>
      </c>
      <c r="AP53" s="477">
        <f>'IS (Adjusted)'!AP53-'IS (Base)'!AP53</f>
        <v>0</v>
      </c>
      <c r="AQ53" s="97">
        <f>'IS (Adjusted)'!AQ53-'IS (Base)'!AQ53</f>
        <v>0</v>
      </c>
      <c r="AR53" s="477">
        <f>'IS (Adjusted)'!AR53-'IS (Base)'!AR53</f>
        <v>0</v>
      </c>
      <c r="AS53" s="477">
        <f>'IS (Adjusted)'!AS53-'IS (Base)'!AS53</f>
        <v>0</v>
      </c>
      <c r="AT53" s="477">
        <f>'IS (Adjusted)'!AT53-'IS (Base)'!AT53</f>
        <v>0</v>
      </c>
      <c r="AU53" s="477">
        <f>'IS (Adjusted)'!AU53-'IS (Base)'!AU53</f>
        <v>0</v>
      </c>
      <c r="AV53" s="6">
        <f>'IS (Adjusted)'!AV53-'IS (Base)'!AV53</f>
        <v>0</v>
      </c>
    </row>
    <row r="54" spans="2:48" s="8" customFormat="1" outlineLevel="1" x14ac:dyDescent="0.3">
      <c r="B54" s="603" t="s">
        <v>178</v>
      </c>
      <c r="C54" s="604"/>
      <c r="D54" s="115">
        <f>'IS (Adjusted)'!D54-'IS (Base)'!D54</f>
        <v>0</v>
      </c>
      <c r="E54" s="115">
        <f>'IS (Adjusted)'!E54-'IS (Base)'!E54</f>
        <v>0</v>
      </c>
      <c r="F54" s="115">
        <f>'IS (Adjusted)'!F54-'IS (Base)'!F54</f>
        <v>0</v>
      </c>
      <c r="G54" s="115">
        <f>'IS (Adjusted)'!G54-'IS (Base)'!G54</f>
        <v>0</v>
      </c>
      <c r="H54" s="153">
        <f>'IS (Adjusted)'!H54-'IS (Base)'!H54</f>
        <v>0</v>
      </c>
      <c r="I54" s="115">
        <f>'IS (Adjusted)'!I54-'IS (Base)'!I54</f>
        <v>0</v>
      </c>
      <c r="J54" s="115">
        <f>'IS (Adjusted)'!J54-'IS (Base)'!J54</f>
        <v>0</v>
      </c>
      <c r="K54" s="115">
        <f>'IS (Adjusted)'!K54-'IS (Base)'!K54</f>
        <v>0</v>
      </c>
      <c r="L54" s="72">
        <f>'IS (Adjusted)'!L54-'IS (Base)'!L54</f>
        <v>0</v>
      </c>
      <c r="M54" s="73">
        <f>'IS (Adjusted)'!M54-'IS (Base)'!M54</f>
        <v>0</v>
      </c>
      <c r="N54" s="72">
        <f>'IS (Adjusted)'!N54-'IS (Base)'!N54</f>
        <v>0</v>
      </c>
      <c r="O54" s="72">
        <f>'IS (Adjusted)'!O54-'IS (Base)'!O54</f>
        <v>0</v>
      </c>
      <c r="P54" s="72">
        <f>'IS (Adjusted)'!P54-'IS (Base)'!P54</f>
        <v>0</v>
      </c>
      <c r="Q54" s="115">
        <f>'IS (Adjusted)'!Q54-'IS (Base)'!Q54</f>
        <v>0</v>
      </c>
      <c r="R54" s="73">
        <f>'IS (Adjusted)'!R54-'IS (Base)'!R54</f>
        <v>0</v>
      </c>
      <c r="S54" s="72">
        <f>'IS (Adjusted)'!S54-'IS (Base)'!S54</f>
        <v>0</v>
      </c>
      <c r="T54" s="72">
        <f>'IS (Adjusted)'!T54-'IS (Base)'!T54</f>
        <v>0</v>
      </c>
      <c r="U54" s="72">
        <f>'IS (Adjusted)'!U54-'IS (Base)'!U54</f>
        <v>0</v>
      </c>
      <c r="V54" s="72">
        <f>'IS (Adjusted)'!V54-'IS (Base)'!V54</f>
        <v>0</v>
      </c>
      <c r="W54" s="213">
        <f>'IS (Adjusted)'!W54-'IS (Base)'!W54</f>
        <v>0</v>
      </c>
      <c r="X54" s="115">
        <f>'IS (Adjusted)'!X54-'IS (Base)'!X54</f>
        <v>0</v>
      </c>
      <c r="Y54" s="72">
        <f>'IS (Adjusted)'!Y54-'IS (Base)'!Y54</f>
        <v>0</v>
      </c>
      <c r="Z54" s="72">
        <f>'IS (Adjusted)'!Z54-'IS (Base)'!Z54</f>
        <v>0</v>
      </c>
      <c r="AA54" s="72">
        <f>'IS (Adjusted)'!AA54-'IS (Base)'!AA54</f>
        <v>0</v>
      </c>
      <c r="AB54" s="73">
        <f>'IS (Adjusted)'!AB54-'IS (Base)'!AB54</f>
        <v>0</v>
      </c>
      <c r="AC54" s="72">
        <f>'IS (Adjusted)'!AC54-'IS (Base)'!AC54</f>
        <v>0</v>
      </c>
      <c r="AD54" s="72">
        <f>'IS (Adjusted)'!AD54-'IS (Base)'!AD54</f>
        <v>0</v>
      </c>
      <c r="AE54" s="72">
        <f>'IS (Adjusted)'!AE54-'IS (Base)'!AE54</f>
        <v>0</v>
      </c>
      <c r="AF54" s="72">
        <f>'IS (Adjusted)'!AF54-'IS (Base)'!AF54</f>
        <v>0</v>
      </c>
      <c r="AG54" s="73">
        <f>'IS (Adjusted)'!AG54-'IS (Base)'!AG54</f>
        <v>0</v>
      </c>
      <c r="AH54" s="72">
        <f>'IS (Adjusted)'!AH54-'IS (Base)'!AH54</f>
        <v>0</v>
      </c>
      <c r="AI54" s="72">
        <f>'IS (Adjusted)'!AI54-'IS (Base)'!AI54</f>
        <v>0</v>
      </c>
      <c r="AJ54" s="72">
        <f>'IS (Adjusted)'!AJ54-'IS (Base)'!AJ54</f>
        <v>0</v>
      </c>
      <c r="AK54" s="72">
        <f>'IS (Adjusted)'!AK54-'IS (Base)'!AK54</f>
        <v>0</v>
      </c>
      <c r="AL54" s="73">
        <f>'IS (Adjusted)'!AL54-'IS (Base)'!AL54</f>
        <v>0</v>
      </c>
      <c r="AM54" s="72">
        <f>'IS (Adjusted)'!AM54-'IS (Base)'!AM54</f>
        <v>0</v>
      </c>
      <c r="AN54" s="72">
        <f>'IS (Adjusted)'!AN54-'IS (Base)'!AN54</f>
        <v>0</v>
      </c>
      <c r="AO54" s="72">
        <f>'IS (Adjusted)'!AO54-'IS (Base)'!AO54</f>
        <v>0</v>
      </c>
      <c r="AP54" s="72">
        <f>'IS (Adjusted)'!AP54-'IS (Base)'!AP54</f>
        <v>0</v>
      </c>
      <c r="AQ54" s="73">
        <f>'IS (Adjusted)'!AQ54-'IS (Base)'!AQ54</f>
        <v>0</v>
      </c>
      <c r="AR54" s="72">
        <f>'IS (Adjusted)'!AR54-'IS (Base)'!AR54</f>
        <v>0</v>
      </c>
      <c r="AS54" s="72">
        <f>'IS (Adjusted)'!AS54-'IS (Base)'!AS54</f>
        <v>0</v>
      </c>
      <c r="AT54" s="72">
        <f>'IS (Adjusted)'!AT54-'IS (Base)'!AT54</f>
        <v>0</v>
      </c>
      <c r="AU54" s="72">
        <f>'IS (Adjusted)'!AU54-'IS (Base)'!AU54</f>
        <v>0</v>
      </c>
      <c r="AV54" s="73">
        <f>'IS (Adjusted)'!AV54-'IS (Base)'!AV54</f>
        <v>0</v>
      </c>
    </row>
    <row r="55" spans="2:48" s="8" customFormat="1" outlineLevel="1" x14ac:dyDescent="0.3">
      <c r="B55" s="587" t="s">
        <v>179</v>
      </c>
      <c r="C55" s="588"/>
      <c r="D55" s="103">
        <f>'IS (Adjusted)'!D55-'IS (Base)'!D55</f>
        <v>0</v>
      </c>
      <c r="E55" s="103">
        <f>'IS (Adjusted)'!E55-'IS (Base)'!E55</f>
        <v>0</v>
      </c>
      <c r="F55" s="103">
        <f>'IS (Adjusted)'!F55-'IS (Base)'!F55</f>
        <v>0</v>
      </c>
      <c r="G55" s="103">
        <f>'IS (Adjusted)'!G55-'IS (Base)'!G55</f>
        <v>0</v>
      </c>
      <c r="H55" s="154">
        <f>'IS (Adjusted)'!H55-'IS (Base)'!H55</f>
        <v>0</v>
      </c>
      <c r="I55" s="103">
        <f>'IS (Adjusted)'!I55-'IS (Base)'!I55</f>
        <v>0</v>
      </c>
      <c r="J55" s="103">
        <f>'IS (Adjusted)'!J55-'IS (Base)'!J55</f>
        <v>0</v>
      </c>
      <c r="K55" s="103">
        <f>'IS (Adjusted)'!K55-'IS (Base)'!K55</f>
        <v>0</v>
      </c>
      <c r="L55" s="50">
        <f>'IS (Adjusted)'!L55-'IS (Base)'!L55</f>
        <v>0</v>
      </c>
      <c r="M55" s="97">
        <f>'IS (Adjusted)'!M55-'IS (Base)'!M55</f>
        <v>0</v>
      </c>
      <c r="N55" s="50">
        <f>'IS (Adjusted)'!N55-'IS (Base)'!N55</f>
        <v>0</v>
      </c>
      <c r="O55" s="50">
        <f>'IS (Adjusted)'!O55-'IS (Base)'!O55</f>
        <v>0</v>
      </c>
      <c r="P55" s="50">
        <f>'IS (Adjusted)'!P55-'IS (Base)'!P55</f>
        <v>0</v>
      </c>
      <c r="Q55" s="103">
        <f>'IS (Adjusted)'!Q55-'IS (Base)'!Q55</f>
        <v>0</v>
      </c>
      <c r="R55" s="191">
        <f>'IS (Adjusted)'!R55-'IS (Base)'!R55</f>
        <v>0</v>
      </c>
      <c r="S55" s="50">
        <f>'IS (Adjusted)'!S55-'IS (Base)'!S55</f>
        <v>0</v>
      </c>
      <c r="T55" s="50">
        <f>'IS (Adjusted)'!T55-'IS (Base)'!T55</f>
        <v>0</v>
      </c>
      <c r="U55" s="50">
        <f>'IS (Adjusted)'!U55-'IS (Base)'!U55</f>
        <v>0</v>
      </c>
      <c r="V55" s="50">
        <f>'IS (Adjusted)'!V55-'IS (Base)'!V55</f>
        <v>0</v>
      </c>
      <c r="W55" s="166">
        <f>'IS (Adjusted)'!W55-'IS (Base)'!W55</f>
        <v>0</v>
      </c>
      <c r="X55" s="103">
        <f>'IS (Adjusted)'!X55-'IS (Base)'!X55</f>
        <v>0</v>
      </c>
      <c r="Y55" s="50">
        <f>'IS (Adjusted)'!Y55-'IS (Base)'!Y55</f>
        <v>0</v>
      </c>
      <c r="Z55" s="50">
        <f>'IS (Adjusted)'!Z55-'IS (Base)'!Z55</f>
        <v>0</v>
      </c>
      <c r="AA55" s="50">
        <f>'IS (Adjusted)'!AA55-'IS (Base)'!AA55</f>
        <v>0</v>
      </c>
      <c r="AB55" s="191">
        <f>'IS (Adjusted)'!AB55-'IS (Base)'!AB55</f>
        <v>0</v>
      </c>
      <c r="AC55" s="50">
        <f>'IS (Adjusted)'!AC55-'IS (Base)'!AC55</f>
        <v>0</v>
      </c>
      <c r="AD55" s="50">
        <f>'IS (Adjusted)'!AD55-'IS (Base)'!AD55</f>
        <v>0</v>
      </c>
      <c r="AE55" s="50">
        <f>'IS (Adjusted)'!AE55-'IS (Base)'!AE55</f>
        <v>0</v>
      </c>
      <c r="AF55" s="50">
        <f>'IS (Adjusted)'!AF55-'IS (Base)'!AF55</f>
        <v>0</v>
      </c>
      <c r="AG55" s="191">
        <f>'IS (Adjusted)'!AG55-'IS (Base)'!AG55</f>
        <v>0</v>
      </c>
      <c r="AH55" s="50">
        <f>'IS (Adjusted)'!AH55-'IS (Base)'!AH55</f>
        <v>0</v>
      </c>
      <c r="AI55" s="50">
        <f>'IS (Adjusted)'!AI55-'IS (Base)'!AI55</f>
        <v>0</v>
      </c>
      <c r="AJ55" s="50">
        <f>'IS (Adjusted)'!AJ55-'IS (Base)'!AJ55</f>
        <v>0</v>
      </c>
      <c r="AK55" s="50">
        <f>'IS (Adjusted)'!AK55-'IS (Base)'!AK55</f>
        <v>0</v>
      </c>
      <c r="AL55" s="191">
        <f>'IS (Adjusted)'!AL55-'IS (Base)'!AL55</f>
        <v>0</v>
      </c>
      <c r="AM55" s="50">
        <f>'IS (Adjusted)'!AM55-'IS (Base)'!AM55</f>
        <v>0</v>
      </c>
      <c r="AN55" s="50">
        <f>'IS (Adjusted)'!AN55-'IS (Base)'!AN55</f>
        <v>0</v>
      </c>
      <c r="AO55" s="50">
        <f>'IS (Adjusted)'!AO55-'IS (Base)'!AO55</f>
        <v>0</v>
      </c>
      <c r="AP55" s="50">
        <f>'IS (Adjusted)'!AP55-'IS (Base)'!AP55</f>
        <v>0</v>
      </c>
      <c r="AQ55" s="191">
        <f>'IS (Adjusted)'!AQ55-'IS (Base)'!AQ55</f>
        <v>0</v>
      </c>
      <c r="AR55" s="50">
        <f>'IS (Adjusted)'!AR55-'IS (Base)'!AR55</f>
        <v>0</v>
      </c>
      <c r="AS55" s="50">
        <f>'IS (Adjusted)'!AS55-'IS (Base)'!AS55</f>
        <v>0</v>
      </c>
      <c r="AT55" s="50">
        <f>'IS (Adjusted)'!AT55-'IS (Base)'!AT55</f>
        <v>0</v>
      </c>
      <c r="AU55" s="50">
        <f>'IS (Adjusted)'!AU55-'IS (Base)'!AU55</f>
        <v>0</v>
      </c>
      <c r="AV55" s="191">
        <f>'IS (Adjusted)'!AV55-'IS (Base)'!AV55</f>
        <v>0</v>
      </c>
    </row>
    <row r="56" spans="2:48" outlineLevel="1" x14ac:dyDescent="0.3">
      <c r="B56" s="69" t="s">
        <v>50</v>
      </c>
      <c r="C56" s="70"/>
      <c r="D56" s="120">
        <f>'IS (Adjusted)'!D56-'IS (Base)'!D56</f>
        <v>0</v>
      </c>
      <c r="E56" s="120">
        <f>'IS (Adjusted)'!E56-'IS (Base)'!E56</f>
        <v>0</v>
      </c>
      <c r="F56" s="120">
        <f>'IS (Adjusted)'!F56-'IS (Base)'!F56</f>
        <v>0</v>
      </c>
      <c r="G56" s="120">
        <f>'IS (Adjusted)'!G56-'IS (Base)'!G56</f>
        <v>0</v>
      </c>
      <c r="H56" s="155">
        <f>'IS (Adjusted)'!H56-'IS (Base)'!H56</f>
        <v>0</v>
      </c>
      <c r="I56" s="120">
        <f>'IS (Adjusted)'!I56-'IS (Base)'!I56</f>
        <v>0</v>
      </c>
      <c r="J56" s="120">
        <f>'IS (Adjusted)'!J56-'IS (Base)'!J56</f>
        <v>0</v>
      </c>
      <c r="K56" s="120">
        <f>'IS (Adjusted)'!K56-'IS (Base)'!K56</f>
        <v>0</v>
      </c>
      <c r="L56" s="120">
        <f>'IS (Adjusted)'!L56-'IS (Base)'!L56</f>
        <v>0</v>
      </c>
      <c r="M56" s="58">
        <f>'IS (Adjusted)'!M56-'IS (Base)'!M56</f>
        <v>0</v>
      </c>
      <c r="N56" s="120">
        <f>'IS (Adjusted)'!N56-'IS (Base)'!N56</f>
        <v>0</v>
      </c>
      <c r="O56" s="120">
        <f>'IS (Adjusted)'!O56-'IS (Base)'!O56</f>
        <v>0</v>
      </c>
      <c r="P56" s="120">
        <f>'IS (Adjusted)'!P56-'IS (Base)'!P56</f>
        <v>0</v>
      </c>
      <c r="Q56" s="120">
        <f>'IS (Adjusted)'!Q56-'IS (Base)'!Q56</f>
        <v>0</v>
      </c>
      <c r="R56" s="58">
        <f>'IS (Adjusted)'!R56-'IS (Base)'!R56</f>
        <v>0</v>
      </c>
      <c r="S56" s="120">
        <f>'IS (Adjusted)'!S56-'IS (Base)'!S56</f>
        <v>0</v>
      </c>
      <c r="T56" s="120">
        <f>'IS (Adjusted)'!T56-'IS (Base)'!T56</f>
        <v>0</v>
      </c>
      <c r="U56" s="120">
        <f>'IS (Adjusted)'!U56-'IS (Base)'!U56</f>
        <v>0</v>
      </c>
      <c r="V56" s="120">
        <f>'IS (Adjusted)'!V56-'IS (Base)'!V56</f>
        <v>0</v>
      </c>
      <c r="W56" s="155">
        <f>'IS (Adjusted)'!W56-'IS (Base)'!W56</f>
        <v>0</v>
      </c>
      <c r="X56" s="120">
        <f>'IS (Adjusted)'!X56-'IS (Base)'!X56</f>
        <v>0</v>
      </c>
      <c r="Y56" s="71">
        <f>'IS (Adjusted)'!Y56-'IS (Base)'!Y56</f>
        <v>0</v>
      </c>
      <c r="Z56" s="71">
        <f>'IS (Adjusted)'!Z56-'IS (Base)'!Z56</f>
        <v>0</v>
      </c>
      <c r="AA56" s="71">
        <f>'IS (Adjusted)'!AA56-'IS (Base)'!AA56</f>
        <v>0</v>
      </c>
      <c r="AB56" s="374">
        <f>'IS (Adjusted)'!AB56-'IS (Base)'!AB56</f>
        <v>0</v>
      </c>
      <c r="AC56" s="71">
        <f>'IS (Adjusted)'!AC56-'IS (Base)'!AC56</f>
        <v>0</v>
      </c>
      <c r="AD56" s="71">
        <f>'IS (Adjusted)'!AD56-'IS (Base)'!AD56</f>
        <v>0</v>
      </c>
      <c r="AE56" s="71">
        <f>'IS (Adjusted)'!AE56-'IS (Base)'!AE56</f>
        <v>0</v>
      </c>
      <c r="AF56" s="71">
        <f>'IS (Adjusted)'!AF56-'IS (Base)'!AF56</f>
        <v>0</v>
      </c>
      <c r="AG56" s="58">
        <f>'IS (Adjusted)'!AG56-'IS (Base)'!AG56</f>
        <v>0</v>
      </c>
      <c r="AH56" s="71">
        <f>'IS (Adjusted)'!AH56-'IS (Base)'!AH56</f>
        <v>0</v>
      </c>
      <c r="AI56" s="71">
        <f>'IS (Adjusted)'!AI56-'IS (Base)'!AI56</f>
        <v>0</v>
      </c>
      <c r="AJ56" s="71">
        <f>'IS (Adjusted)'!AJ56-'IS (Base)'!AJ56</f>
        <v>0</v>
      </c>
      <c r="AK56" s="71">
        <f>'IS (Adjusted)'!AK56-'IS (Base)'!AK56</f>
        <v>0</v>
      </c>
      <c r="AL56" s="58">
        <f>'IS (Adjusted)'!AL56-'IS (Base)'!AL56</f>
        <v>0</v>
      </c>
      <c r="AM56" s="71">
        <f>'IS (Adjusted)'!AM56-'IS (Base)'!AM56</f>
        <v>0</v>
      </c>
      <c r="AN56" s="71">
        <f>'IS (Adjusted)'!AN56-'IS (Base)'!AN56</f>
        <v>0</v>
      </c>
      <c r="AO56" s="71">
        <f>'IS (Adjusted)'!AO56-'IS (Base)'!AO56</f>
        <v>0</v>
      </c>
      <c r="AP56" s="71">
        <f>'IS (Adjusted)'!AP56-'IS (Base)'!AP56</f>
        <v>0</v>
      </c>
      <c r="AQ56" s="58">
        <f>'IS (Adjusted)'!AQ56-'IS (Base)'!AQ56</f>
        <v>0</v>
      </c>
      <c r="AR56" s="71">
        <f>'IS (Adjusted)'!AR56-'IS (Base)'!AR56</f>
        <v>0</v>
      </c>
      <c r="AS56" s="71">
        <f>'IS (Adjusted)'!AS56-'IS (Base)'!AS56</f>
        <v>0</v>
      </c>
      <c r="AT56" s="71">
        <f>'IS (Adjusted)'!AT56-'IS (Base)'!AT56</f>
        <v>0</v>
      </c>
      <c r="AU56" s="71">
        <f>'IS (Adjusted)'!AU56-'IS (Base)'!AU56</f>
        <v>0</v>
      </c>
      <c r="AV56" s="58">
        <f>'IS (Adjusted)'!AV56-'IS (Base)'!AV56</f>
        <v>0</v>
      </c>
    </row>
    <row r="57" spans="2:48" outlineLevel="1" x14ac:dyDescent="0.3">
      <c r="B57" s="180" t="s">
        <v>180</v>
      </c>
      <c r="C57" s="207"/>
      <c r="D57" s="101">
        <f>'IS (Adjusted)'!D57-'IS (Base)'!D57</f>
        <v>0</v>
      </c>
      <c r="E57" s="101">
        <f>'IS (Adjusted)'!E57-'IS (Base)'!E57</f>
        <v>0</v>
      </c>
      <c r="F57" s="101">
        <f>'IS (Adjusted)'!F57-'IS (Base)'!F57</f>
        <v>0</v>
      </c>
      <c r="G57" s="101">
        <f>'IS (Adjusted)'!G57-'IS (Base)'!G57</f>
        <v>0</v>
      </c>
      <c r="H57" s="122">
        <f>'IS (Adjusted)'!H57-'IS (Base)'!H57</f>
        <v>0</v>
      </c>
      <c r="I57" s="101">
        <f>'IS (Adjusted)'!I57-'IS (Base)'!I57</f>
        <v>0</v>
      </c>
      <c r="J57" s="101">
        <f>'IS (Adjusted)'!J57-'IS (Base)'!J57</f>
        <v>0</v>
      </c>
      <c r="K57" s="101">
        <f>'IS (Adjusted)'!K57-'IS (Base)'!K57</f>
        <v>0</v>
      </c>
      <c r="L57" s="16">
        <f>'IS (Adjusted)'!L57-'IS (Base)'!L57</f>
        <v>0</v>
      </c>
      <c r="M57" s="6">
        <f>'IS (Adjusted)'!M57-'IS (Base)'!M57</f>
        <v>0</v>
      </c>
      <c r="N57" s="16">
        <f>'IS (Adjusted)'!N57-'IS (Base)'!N57</f>
        <v>0</v>
      </c>
      <c r="O57" s="16">
        <f>'IS (Adjusted)'!O57-'IS (Base)'!O57</f>
        <v>0</v>
      </c>
      <c r="P57" s="16">
        <f>'IS (Adjusted)'!P57-'IS (Base)'!P57</f>
        <v>0</v>
      </c>
      <c r="Q57" s="101">
        <f>'IS (Adjusted)'!Q57-'IS (Base)'!Q57</f>
        <v>0</v>
      </c>
      <c r="R57" s="6">
        <f>'IS (Adjusted)'!R57-'IS (Base)'!R57</f>
        <v>0</v>
      </c>
      <c r="S57" s="16">
        <f>'IS (Adjusted)'!S57-'IS (Base)'!S57</f>
        <v>0</v>
      </c>
      <c r="T57" s="16">
        <f>'IS (Adjusted)'!T57-'IS (Base)'!T57</f>
        <v>0</v>
      </c>
      <c r="U57" s="16">
        <f>'IS (Adjusted)'!U57-'IS (Base)'!U57</f>
        <v>0</v>
      </c>
      <c r="V57" s="16">
        <f>'IS (Adjusted)'!V57-'IS (Base)'!V57</f>
        <v>0</v>
      </c>
      <c r="W57" s="254">
        <f>'IS (Adjusted)'!W57-'IS (Base)'!W57</f>
        <v>0</v>
      </c>
      <c r="X57" s="101">
        <f>'IS (Adjusted)'!X57-'IS (Base)'!X57</f>
        <v>0</v>
      </c>
      <c r="Y57" s="16">
        <f>'IS (Adjusted)'!Y57-'IS (Base)'!Y57</f>
        <v>0</v>
      </c>
      <c r="Z57" s="16">
        <f>'IS (Adjusted)'!Z57-'IS (Base)'!Z57</f>
        <v>0</v>
      </c>
      <c r="AA57" s="16">
        <f>'IS (Adjusted)'!AA57-'IS (Base)'!AA57</f>
        <v>0</v>
      </c>
      <c r="AB57" s="254">
        <f>'IS (Adjusted)'!AB57-'IS (Base)'!AB57</f>
        <v>0</v>
      </c>
      <c r="AC57" s="16">
        <f>'IS (Adjusted)'!AC57-'IS (Base)'!AC57</f>
        <v>0</v>
      </c>
      <c r="AD57" s="16">
        <f>'IS (Adjusted)'!AD57-'IS (Base)'!AD57</f>
        <v>0</v>
      </c>
      <c r="AE57" s="16">
        <f>'IS (Adjusted)'!AE57-'IS (Base)'!AE57</f>
        <v>0</v>
      </c>
      <c r="AF57" s="16">
        <f>'IS (Adjusted)'!AF57-'IS (Base)'!AF57</f>
        <v>0</v>
      </c>
      <c r="AG57" s="254">
        <f>'IS (Adjusted)'!AG57-'IS (Base)'!AG57</f>
        <v>0</v>
      </c>
      <c r="AH57" s="16">
        <f>'IS (Adjusted)'!AH57-'IS (Base)'!AH57</f>
        <v>0</v>
      </c>
      <c r="AI57" s="16">
        <f>'IS (Adjusted)'!AI57-'IS (Base)'!AI57</f>
        <v>0</v>
      </c>
      <c r="AJ57" s="16">
        <f>'IS (Adjusted)'!AJ57-'IS (Base)'!AJ57</f>
        <v>0</v>
      </c>
      <c r="AK57" s="16">
        <f>'IS (Adjusted)'!AK57-'IS (Base)'!AK57</f>
        <v>0</v>
      </c>
      <c r="AL57" s="254">
        <f>'IS (Adjusted)'!AL57-'IS (Base)'!AL57</f>
        <v>0</v>
      </c>
      <c r="AM57" s="16">
        <f>'IS (Adjusted)'!AM57-'IS (Base)'!AM57</f>
        <v>0</v>
      </c>
      <c r="AN57" s="16">
        <f>'IS (Adjusted)'!AN57-'IS (Base)'!AN57</f>
        <v>0</v>
      </c>
      <c r="AO57" s="16">
        <f>'IS (Adjusted)'!AO57-'IS (Base)'!AO57</f>
        <v>0</v>
      </c>
      <c r="AP57" s="16">
        <f>'IS (Adjusted)'!AP57-'IS (Base)'!AP57</f>
        <v>0</v>
      </c>
      <c r="AQ57" s="254">
        <f>'IS (Adjusted)'!AQ57-'IS (Base)'!AQ57</f>
        <v>0</v>
      </c>
      <c r="AR57" s="16">
        <f>'IS (Adjusted)'!AR57-'IS (Base)'!AR57</f>
        <v>0</v>
      </c>
      <c r="AS57" s="16">
        <f>'IS (Adjusted)'!AS57-'IS (Base)'!AS57</f>
        <v>0</v>
      </c>
      <c r="AT57" s="16">
        <f>'IS (Adjusted)'!AT57-'IS (Base)'!AT57</f>
        <v>0</v>
      </c>
      <c r="AU57" s="16">
        <f>'IS (Adjusted)'!AU57-'IS (Base)'!AU57</f>
        <v>0</v>
      </c>
      <c r="AV57" s="254">
        <f>'IS (Adjusted)'!AV57-'IS (Base)'!AV57</f>
        <v>0</v>
      </c>
    </row>
    <row r="58" spans="2:48" outlineLevel="1" x14ac:dyDescent="0.3">
      <c r="B58" s="180" t="s">
        <v>181</v>
      </c>
      <c r="C58" s="207"/>
      <c r="D58" s="101">
        <f>'IS (Adjusted)'!D58-'IS (Base)'!D58</f>
        <v>0</v>
      </c>
      <c r="E58" s="101">
        <f>'IS (Adjusted)'!E58-'IS (Base)'!E58</f>
        <v>0</v>
      </c>
      <c r="F58" s="101">
        <f>'IS (Adjusted)'!F58-'IS (Base)'!F58</f>
        <v>0</v>
      </c>
      <c r="G58" s="101">
        <f>'IS (Adjusted)'!G58-'IS (Base)'!G58</f>
        <v>0</v>
      </c>
      <c r="H58" s="122">
        <f>'IS (Adjusted)'!H58-'IS (Base)'!H58</f>
        <v>0</v>
      </c>
      <c r="I58" s="101">
        <f>'IS (Adjusted)'!I58-'IS (Base)'!I58</f>
        <v>0</v>
      </c>
      <c r="J58" s="101">
        <f>'IS (Adjusted)'!J58-'IS (Base)'!J58</f>
        <v>0</v>
      </c>
      <c r="K58" s="101">
        <f>'IS (Adjusted)'!K58-'IS (Base)'!K58</f>
        <v>0</v>
      </c>
      <c r="L58" s="16">
        <f>'IS (Adjusted)'!L58-'IS (Base)'!L58</f>
        <v>0</v>
      </c>
      <c r="M58" s="122">
        <f>'IS (Adjusted)'!M58-'IS (Base)'!M58</f>
        <v>0</v>
      </c>
      <c r="N58" s="16">
        <f>'IS (Adjusted)'!N58-'IS (Base)'!N58</f>
        <v>0</v>
      </c>
      <c r="O58" s="16">
        <f>'IS (Adjusted)'!O58-'IS (Base)'!O58</f>
        <v>0</v>
      </c>
      <c r="P58" s="16">
        <f>'IS (Adjusted)'!P58-'IS (Base)'!P58</f>
        <v>0</v>
      </c>
      <c r="Q58" s="101">
        <f>'IS (Adjusted)'!Q58-'IS (Base)'!Q58</f>
        <v>0</v>
      </c>
      <c r="R58" s="122">
        <f>'IS (Adjusted)'!R58-'IS (Base)'!R58</f>
        <v>0</v>
      </c>
      <c r="S58" s="16">
        <f>'IS (Adjusted)'!S58-'IS (Base)'!S58</f>
        <v>0</v>
      </c>
      <c r="T58" s="16">
        <f>'IS (Adjusted)'!T58-'IS (Base)'!T58</f>
        <v>0</v>
      </c>
      <c r="U58" s="16">
        <f>'IS (Adjusted)'!U58-'IS (Base)'!U58</f>
        <v>0</v>
      </c>
      <c r="V58" s="16">
        <f>'IS (Adjusted)'!V58-'IS (Base)'!V58</f>
        <v>0</v>
      </c>
      <c r="W58" s="122">
        <f>'IS (Adjusted)'!W58-'IS (Base)'!W58</f>
        <v>0</v>
      </c>
      <c r="X58" s="101">
        <f>'IS (Adjusted)'!X58-'IS (Base)'!X58</f>
        <v>0</v>
      </c>
      <c r="Y58" s="16">
        <f>'IS (Adjusted)'!Y58-'IS (Base)'!Y58</f>
        <v>0</v>
      </c>
      <c r="Z58" s="16">
        <f>'IS (Adjusted)'!Z58-'IS (Base)'!Z58</f>
        <v>0</v>
      </c>
      <c r="AA58" s="16">
        <f>'IS (Adjusted)'!AA58-'IS (Base)'!AA58</f>
        <v>0</v>
      </c>
      <c r="AB58" s="122">
        <f>'IS (Adjusted)'!AB58-'IS (Base)'!AB58</f>
        <v>0</v>
      </c>
      <c r="AC58" s="16">
        <f>'IS (Adjusted)'!AC58-'IS (Base)'!AC58</f>
        <v>0</v>
      </c>
      <c r="AD58" s="16">
        <f>'IS (Adjusted)'!AD58-'IS (Base)'!AD58</f>
        <v>0</v>
      </c>
      <c r="AE58" s="16">
        <f>'IS (Adjusted)'!AE58-'IS (Base)'!AE58</f>
        <v>0</v>
      </c>
      <c r="AF58" s="16">
        <f>'IS (Adjusted)'!AF58-'IS (Base)'!AF58</f>
        <v>0</v>
      </c>
      <c r="AG58" s="122">
        <f>'IS (Adjusted)'!AG58-'IS (Base)'!AG58</f>
        <v>0</v>
      </c>
      <c r="AH58" s="16">
        <f>'IS (Adjusted)'!AH58-'IS (Base)'!AH58</f>
        <v>0</v>
      </c>
      <c r="AI58" s="16">
        <f>'IS (Adjusted)'!AI58-'IS (Base)'!AI58</f>
        <v>0</v>
      </c>
      <c r="AJ58" s="16">
        <f>'IS (Adjusted)'!AJ58-'IS (Base)'!AJ58</f>
        <v>0</v>
      </c>
      <c r="AK58" s="16">
        <f>'IS (Adjusted)'!AK58-'IS (Base)'!AK58</f>
        <v>0</v>
      </c>
      <c r="AL58" s="122">
        <f>'IS (Adjusted)'!AL58-'IS (Base)'!AL58</f>
        <v>0</v>
      </c>
      <c r="AM58" s="16">
        <f>'IS (Adjusted)'!AM58-'IS (Base)'!AM58</f>
        <v>0</v>
      </c>
      <c r="AN58" s="16">
        <f>'IS (Adjusted)'!AN58-'IS (Base)'!AN58</f>
        <v>0</v>
      </c>
      <c r="AO58" s="16">
        <f>'IS (Adjusted)'!AO58-'IS (Base)'!AO58</f>
        <v>0</v>
      </c>
      <c r="AP58" s="16">
        <f>'IS (Adjusted)'!AP58-'IS (Base)'!AP58</f>
        <v>0</v>
      </c>
      <c r="AQ58" s="122">
        <f>'IS (Adjusted)'!AQ58-'IS (Base)'!AQ58</f>
        <v>0</v>
      </c>
      <c r="AR58" s="16">
        <f>'IS (Adjusted)'!AR58-'IS (Base)'!AR58</f>
        <v>0</v>
      </c>
      <c r="AS58" s="16">
        <f>'IS (Adjusted)'!AS58-'IS (Base)'!AS58</f>
        <v>0</v>
      </c>
      <c r="AT58" s="16">
        <f>'IS (Adjusted)'!AT58-'IS (Base)'!AT58</f>
        <v>0</v>
      </c>
      <c r="AU58" s="16">
        <f>'IS (Adjusted)'!AU58-'IS (Base)'!AU58</f>
        <v>0</v>
      </c>
      <c r="AV58" s="122">
        <f>'IS (Adjusted)'!AV58-'IS (Base)'!AV58</f>
        <v>0</v>
      </c>
    </row>
    <row r="59" spans="2:48" outlineLevel="1" x14ac:dyDescent="0.3">
      <c r="B59" s="605" t="s">
        <v>182</v>
      </c>
      <c r="C59" s="606"/>
      <c r="D59" s="115">
        <f>'IS (Adjusted)'!D59-'IS (Base)'!D59</f>
        <v>0</v>
      </c>
      <c r="E59" s="115">
        <f>'IS (Adjusted)'!E59-'IS (Base)'!E59</f>
        <v>0</v>
      </c>
      <c r="F59" s="115">
        <f>'IS (Adjusted)'!F59-'IS (Base)'!F59</f>
        <v>0</v>
      </c>
      <c r="G59" s="115">
        <f>'IS (Adjusted)'!G59-'IS (Base)'!G59</f>
        <v>0</v>
      </c>
      <c r="H59" s="132">
        <f>'IS (Adjusted)'!H59-'IS (Base)'!H59</f>
        <v>0</v>
      </c>
      <c r="I59" s="115">
        <f>'IS (Adjusted)'!I59-'IS (Base)'!I59</f>
        <v>0</v>
      </c>
      <c r="J59" s="115">
        <f>'IS (Adjusted)'!J59-'IS (Base)'!J59</f>
        <v>0</v>
      </c>
      <c r="K59" s="115">
        <f>'IS (Adjusted)'!K59-'IS (Base)'!K59</f>
        <v>0</v>
      </c>
      <c r="L59" s="72">
        <f>'IS (Adjusted)'!L59-'IS (Base)'!L59</f>
        <v>0</v>
      </c>
      <c r="M59" s="97">
        <f>'IS (Adjusted)'!M59-'IS (Base)'!M59</f>
        <v>0</v>
      </c>
      <c r="N59" s="72">
        <f>'IS (Adjusted)'!N59-'IS (Base)'!N59</f>
        <v>0</v>
      </c>
      <c r="O59" s="72">
        <f>'IS (Adjusted)'!O59-'IS (Base)'!O59</f>
        <v>0</v>
      </c>
      <c r="P59" s="72">
        <f>'IS (Adjusted)'!P59-'IS (Base)'!P59</f>
        <v>0</v>
      </c>
      <c r="Q59" s="115">
        <f>'IS (Adjusted)'!Q59-'IS (Base)'!Q59</f>
        <v>0</v>
      </c>
      <c r="R59" s="97">
        <f>'IS (Adjusted)'!R59-'IS (Base)'!R59</f>
        <v>0</v>
      </c>
      <c r="S59" s="72">
        <f>'IS (Adjusted)'!S59-'IS (Base)'!S59</f>
        <v>0</v>
      </c>
      <c r="T59" s="72">
        <f>'IS (Adjusted)'!T59-'IS (Base)'!T59</f>
        <v>0</v>
      </c>
      <c r="U59" s="72">
        <f>'IS (Adjusted)'!U59-'IS (Base)'!U59</f>
        <v>0</v>
      </c>
      <c r="V59" s="72">
        <f>'IS (Adjusted)'!V59-'IS (Base)'!V59</f>
        <v>0</v>
      </c>
      <c r="W59" s="97">
        <f>'IS (Adjusted)'!W59-'IS (Base)'!W59</f>
        <v>0</v>
      </c>
      <c r="X59" s="115">
        <f>'IS (Adjusted)'!X59-'IS (Base)'!X59</f>
        <v>0</v>
      </c>
      <c r="Y59" s="72">
        <f>'IS (Adjusted)'!Y59-'IS (Base)'!Y59</f>
        <v>0</v>
      </c>
      <c r="Z59" s="72">
        <f>'IS (Adjusted)'!Z59-'IS (Base)'!Z59</f>
        <v>0</v>
      </c>
      <c r="AA59" s="72">
        <f>'IS (Adjusted)'!AA59-'IS (Base)'!AA59</f>
        <v>0</v>
      </c>
      <c r="AB59" s="97">
        <f>'IS (Adjusted)'!AB59-'IS (Base)'!AB59</f>
        <v>0</v>
      </c>
      <c r="AC59" s="72">
        <f>'IS (Adjusted)'!AC59-'IS (Base)'!AC59</f>
        <v>0</v>
      </c>
      <c r="AD59" s="72">
        <f>'IS (Adjusted)'!AD59-'IS (Base)'!AD59</f>
        <v>0</v>
      </c>
      <c r="AE59" s="72">
        <f>'IS (Adjusted)'!AE59-'IS (Base)'!AE59</f>
        <v>0</v>
      </c>
      <c r="AF59" s="72">
        <f>'IS (Adjusted)'!AF59-'IS (Base)'!AF59</f>
        <v>0</v>
      </c>
      <c r="AG59" s="97">
        <f>'IS (Adjusted)'!AG59-'IS (Base)'!AG59</f>
        <v>0</v>
      </c>
      <c r="AH59" s="72">
        <f>'IS (Adjusted)'!AH59-'IS (Base)'!AH59</f>
        <v>0</v>
      </c>
      <c r="AI59" s="72">
        <f>'IS (Adjusted)'!AI59-'IS (Base)'!AI59</f>
        <v>0</v>
      </c>
      <c r="AJ59" s="72">
        <f>'IS (Adjusted)'!AJ59-'IS (Base)'!AJ59</f>
        <v>0</v>
      </c>
      <c r="AK59" s="72">
        <f>'IS (Adjusted)'!AK59-'IS (Base)'!AK59</f>
        <v>0</v>
      </c>
      <c r="AL59" s="97">
        <f>'IS (Adjusted)'!AL59-'IS (Base)'!AL59</f>
        <v>0</v>
      </c>
      <c r="AM59" s="72">
        <f>'IS (Adjusted)'!AM59-'IS (Base)'!AM59</f>
        <v>0</v>
      </c>
      <c r="AN59" s="72">
        <f>'IS (Adjusted)'!AN59-'IS (Base)'!AN59</f>
        <v>0</v>
      </c>
      <c r="AO59" s="72">
        <f>'IS (Adjusted)'!AO59-'IS (Base)'!AO59</f>
        <v>0</v>
      </c>
      <c r="AP59" s="72">
        <f>'IS (Adjusted)'!AP59-'IS (Base)'!AP59</f>
        <v>0</v>
      </c>
      <c r="AQ59" s="97">
        <f>'IS (Adjusted)'!AQ59-'IS (Base)'!AQ59</f>
        <v>0</v>
      </c>
      <c r="AR59" s="72">
        <f>'IS (Adjusted)'!AR59-'IS (Base)'!AR59</f>
        <v>0</v>
      </c>
      <c r="AS59" s="72">
        <f>'IS (Adjusted)'!AS59-'IS (Base)'!AS59</f>
        <v>0</v>
      </c>
      <c r="AT59" s="72">
        <f>'IS (Adjusted)'!AT59-'IS (Base)'!AT59</f>
        <v>0</v>
      </c>
      <c r="AU59" s="72">
        <f>'IS (Adjusted)'!AU59-'IS (Base)'!AU59</f>
        <v>0</v>
      </c>
      <c r="AV59" s="97">
        <f>'IS (Adjusted)'!AV59-'IS (Base)'!AV59</f>
        <v>0</v>
      </c>
    </row>
    <row r="60" spans="2:48" outlineLevel="1" x14ac:dyDescent="0.3">
      <c r="B60" s="607" t="s">
        <v>100</v>
      </c>
      <c r="C60" s="608"/>
      <c r="D60" s="105">
        <f>'IS (Adjusted)'!D60-'IS (Base)'!D60</f>
        <v>0</v>
      </c>
      <c r="E60" s="105">
        <f>'IS (Adjusted)'!E60-'IS (Base)'!E60</f>
        <v>0</v>
      </c>
      <c r="F60" s="105">
        <f>'IS (Adjusted)'!F60-'IS (Base)'!F60</f>
        <v>0</v>
      </c>
      <c r="G60" s="105">
        <f>'IS (Adjusted)'!G60-'IS (Base)'!G60</f>
        <v>0</v>
      </c>
      <c r="H60" s="129">
        <f>'IS (Adjusted)'!H60-'IS (Base)'!H60</f>
        <v>0</v>
      </c>
      <c r="I60" s="105">
        <f>'IS (Adjusted)'!I60-'IS (Base)'!I60</f>
        <v>0</v>
      </c>
      <c r="J60" s="105">
        <f>'IS (Adjusted)'!J60-'IS (Base)'!J60</f>
        <v>0</v>
      </c>
      <c r="K60" s="105">
        <f>'IS (Adjusted)'!K60-'IS (Base)'!K60</f>
        <v>0</v>
      </c>
      <c r="L60" s="48">
        <f>'IS (Adjusted)'!L60-'IS (Base)'!L60</f>
        <v>0</v>
      </c>
      <c r="M60" s="76">
        <f>'IS (Adjusted)'!M60-'IS (Base)'!M60</f>
        <v>0</v>
      </c>
      <c r="N60" s="48">
        <f>'IS (Adjusted)'!N60-'IS (Base)'!N60</f>
        <v>0</v>
      </c>
      <c r="O60" s="48">
        <f>'IS (Adjusted)'!O60-'IS (Base)'!O60</f>
        <v>0</v>
      </c>
      <c r="P60" s="48">
        <f>'IS (Adjusted)'!P60-'IS (Base)'!P60</f>
        <v>0</v>
      </c>
      <c r="Q60" s="105">
        <f>'IS (Adjusted)'!Q60-'IS (Base)'!Q60</f>
        <v>0</v>
      </c>
      <c r="R60" s="76">
        <f>'IS (Adjusted)'!R60-'IS (Base)'!R60</f>
        <v>0</v>
      </c>
      <c r="S60" s="48">
        <f>'IS (Adjusted)'!S60-'IS (Base)'!S60</f>
        <v>0</v>
      </c>
      <c r="T60" s="48">
        <f>'IS (Adjusted)'!T60-'IS (Base)'!T60</f>
        <v>0</v>
      </c>
      <c r="U60" s="48">
        <f>'IS (Adjusted)'!U60-'IS (Base)'!U60</f>
        <v>0</v>
      </c>
      <c r="V60" s="48">
        <f>'IS (Adjusted)'!V60-'IS (Base)'!V60</f>
        <v>0</v>
      </c>
      <c r="W60" s="76">
        <f>'IS (Adjusted)'!W60-'IS (Base)'!W60</f>
        <v>0</v>
      </c>
      <c r="X60" s="105">
        <f>'IS (Adjusted)'!X60-'IS (Base)'!X60</f>
        <v>0</v>
      </c>
      <c r="Y60" s="48">
        <f>'IS (Adjusted)'!Y60-'IS (Base)'!Y60</f>
        <v>0</v>
      </c>
      <c r="Z60" s="48">
        <f>'IS (Adjusted)'!Z60-'IS (Base)'!Z60</f>
        <v>0</v>
      </c>
      <c r="AA60" s="48">
        <f>'IS (Adjusted)'!AA60-'IS (Base)'!AA60</f>
        <v>0</v>
      </c>
      <c r="AB60" s="76">
        <f>'IS (Adjusted)'!AB60-'IS (Base)'!AB60</f>
        <v>0</v>
      </c>
      <c r="AC60" s="48">
        <f>'IS (Adjusted)'!AC60-'IS (Base)'!AC60</f>
        <v>0</v>
      </c>
      <c r="AD60" s="48">
        <f>'IS (Adjusted)'!AD60-'IS (Base)'!AD60</f>
        <v>0</v>
      </c>
      <c r="AE60" s="48">
        <f>'IS (Adjusted)'!AE60-'IS (Base)'!AE60</f>
        <v>0</v>
      </c>
      <c r="AF60" s="48">
        <f>'IS (Adjusted)'!AF60-'IS (Base)'!AF60</f>
        <v>0</v>
      </c>
      <c r="AG60" s="76">
        <f>'IS (Adjusted)'!AG60-'IS (Base)'!AG60</f>
        <v>0</v>
      </c>
      <c r="AH60" s="48">
        <f>'IS (Adjusted)'!AH60-'IS (Base)'!AH60</f>
        <v>0</v>
      </c>
      <c r="AI60" s="48">
        <f>'IS (Adjusted)'!AI60-'IS (Base)'!AI60</f>
        <v>0</v>
      </c>
      <c r="AJ60" s="48">
        <f>'IS (Adjusted)'!AJ60-'IS (Base)'!AJ60</f>
        <v>0</v>
      </c>
      <c r="AK60" s="48">
        <f>'IS (Adjusted)'!AK60-'IS (Base)'!AK60</f>
        <v>0</v>
      </c>
      <c r="AL60" s="76">
        <f>'IS (Adjusted)'!AL60-'IS (Base)'!AL60</f>
        <v>0</v>
      </c>
      <c r="AM60" s="48">
        <f>'IS (Adjusted)'!AM60-'IS (Base)'!AM60</f>
        <v>0</v>
      </c>
      <c r="AN60" s="48">
        <f>'IS (Adjusted)'!AN60-'IS (Base)'!AN60</f>
        <v>0</v>
      </c>
      <c r="AO60" s="48">
        <f>'IS (Adjusted)'!AO60-'IS (Base)'!AO60</f>
        <v>0</v>
      </c>
      <c r="AP60" s="48">
        <f>'IS (Adjusted)'!AP60-'IS (Base)'!AP60</f>
        <v>0</v>
      </c>
      <c r="AQ60" s="76">
        <f>'IS (Adjusted)'!AQ60-'IS (Base)'!AQ60</f>
        <v>0</v>
      </c>
      <c r="AR60" s="48">
        <f>'IS (Adjusted)'!AR60-'IS (Base)'!AR60</f>
        <v>0</v>
      </c>
      <c r="AS60" s="48">
        <f>'IS (Adjusted)'!AS60-'IS (Base)'!AS60</f>
        <v>0</v>
      </c>
      <c r="AT60" s="48">
        <f>'IS (Adjusted)'!AT60-'IS (Base)'!AT60</f>
        <v>0</v>
      </c>
      <c r="AU60" s="48">
        <f>'IS (Adjusted)'!AU60-'IS (Base)'!AU60</f>
        <v>0</v>
      </c>
      <c r="AV60" s="76">
        <f>'IS (Adjusted)'!AV60-'IS (Base)'!AV60</f>
        <v>0</v>
      </c>
    </row>
    <row r="61" spans="2:48" s="184" customFormat="1" outlineLevel="1" x14ac:dyDescent="0.3">
      <c r="B61" s="181" t="s">
        <v>151</v>
      </c>
      <c r="C61" s="185"/>
      <c r="D61" s="167">
        <f>'IS (Adjusted)'!D61-'IS (Base)'!D61</f>
        <v>0</v>
      </c>
      <c r="E61" s="167">
        <f>'IS (Adjusted)'!E61-'IS (Base)'!E61</f>
        <v>0</v>
      </c>
      <c r="F61" s="167">
        <f>'IS (Adjusted)'!F61-'IS (Base)'!F61</f>
        <v>0</v>
      </c>
      <c r="G61" s="167">
        <f>'IS (Adjusted)'!G61-'IS (Base)'!G61</f>
        <v>0</v>
      </c>
      <c r="H61" s="186">
        <f>'IS (Adjusted)'!H61-'IS (Base)'!H61</f>
        <v>0</v>
      </c>
      <c r="I61" s="167">
        <f>'IS (Adjusted)'!I61-'IS (Base)'!I61</f>
        <v>0</v>
      </c>
      <c r="J61" s="167">
        <f>'IS (Adjusted)'!J61-'IS (Base)'!J61</f>
        <v>0</v>
      </c>
      <c r="K61" s="167">
        <f>'IS (Adjusted)'!K61-'IS (Base)'!K61</f>
        <v>0</v>
      </c>
      <c r="L61" s="187">
        <f>'IS (Adjusted)'!L61-'IS (Base)'!L61</f>
        <v>0</v>
      </c>
      <c r="M61" s="188">
        <f>'IS (Adjusted)'!M61-'IS (Base)'!M61</f>
        <v>0</v>
      </c>
      <c r="N61" s="187">
        <f>'IS (Adjusted)'!N61-'IS (Base)'!N61</f>
        <v>0</v>
      </c>
      <c r="O61" s="167">
        <f>'IS (Adjusted)'!O61-'IS (Base)'!O61</f>
        <v>0</v>
      </c>
      <c r="P61" s="167">
        <f>'IS (Adjusted)'!P61-'IS (Base)'!P61</f>
        <v>0</v>
      </c>
      <c r="Q61" s="167">
        <f>'IS (Adjusted)'!Q61-'IS (Base)'!Q61</f>
        <v>0</v>
      </c>
      <c r="R61" s="188">
        <f>'IS (Adjusted)'!R61-'IS (Base)'!R61</f>
        <v>0</v>
      </c>
      <c r="S61" s="187">
        <f>'IS (Adjusted)'!S61-'IS (Base)'!S61</f>
        <v>0</v>
      </c>
      <c r="T61" s="167">
        <f>'IS (Adjusted)'!T61-'IS (Base)'!T61</f>
        <v>0</v>
      </c>
      <c r="U61" s="167">
        <f>'IS (Adjusted)'!U61-'IS (Base)'!U61</f>
        <v>0</v>
      </c>
      <c r="V61" s="167">
        <f>'IS (Adjusted)'!V61-'IS (Base)'!V61</f>
        <v>0</v>
      </c>
      <c r="W61" s="188">
        <f>'IS (Adjusted)'!W61-'IS (Base)'!W61</f>
        <v>0</v>
      </c>
      <c r="X61" s="167">
        <f>'IS (Adjusted)'!X61-'IS (Base)'!X61</f>
        <v>0</v>
      </c>
      <c r="Y61" s="189">
        <f>'IS (Adjusted)'!Y61-'IS (Base)'!Y61</f>
        <v>0</v>
      </c>
      <c r="Z61" s="189">
        <f>'IS (Adjusted)'!Z61-'IS (Base)'!Z61</f>
        <v>0</v>
      </c>
      <c r="AA61" s="189">
        <f>'IS (Adjusted)'!AA61-'IS (Base)'!AA61</f>
        <v>0</v>
      </c>
      <c r="AB61" s="188">
        <f>'IS (Adjusted)'!AB61-'IS (Base)'!AB61</f>
        <v>0</v>
      </c>
      <c r="AC61" s="189">
        <f>'IS (Adjusted)'!AC61-'IS (Base)'!AC61</f>
        <v>0</v>
      </c>
      <c r="AD61" s="189">
        <f>'IS (Adjusted)'!AD61-'IS (Base)'!AD61</f>
        <v>0</v>
      </c>
      <c r="AE61" s="189">
        <f>'IS (Adjusted)'!AE61-'IS (Base)'!AE61</f>
        <v>0</v>
      </c>
      <c r="AF61" s="189">
        <f>'IS (Adjusted)'!AF61-'IS (Base)'!AF61</f>
        <v>0</v>
      </c>
      <c r="AG61" s="188">
        <f>'IS (Adjusted)'!AG61-'IS (Base)'!AG61</f>
        <v>0</v>
      </c>
      <c r="AH61" s="189">
        <f>'IS (Adjusted)'!AH61-'IS (Base)'!AH61</f>
        <v>0</v>
      </c>
      <c r="AI61" s="189">
        <f>'IS (Adjusted)'!AI61-'IS (Base)'!AI61</f>
        <v>0</v>
      </c>
      <c r="AJ61" s="189">
        <f>'IS (Adjusted)'!AJ61-'IS (Base)'!AJ61</f>
        <v>0</v>
      </c>
      <c r="AK61" s="189">
        <f>'IS (Adjusted)'!AK61-'IS (Base)'!AK61</f>
        <v>0</v>
      </c>
      <c r="AL61" s="188">
        <f>'IS (Adjusted)'!AL61-'IS (Base)'!AL61</f>
        <v>0</v>
      </c>
      <c r="AM61" s="189">
        <f>'IS (Adjusted)'!AM61-'IS (Base)'!AM61</f>
        <v>0</v>
      </c>
      <c r="AN61" s="189">
        <f>'IS (Adjusted)'!AN61-'IS (Base)'!AN61</f>
        <v>0</v>
      </c>
      <c r="AO61" s="189">
        <f>'IS (Adjusted)'!AO61-'IS (Base)'!AO61</f>
        <v>0</v>
      </c>
      <c r="AP61" s="189">
        <f>'IS (Adjusted)'!AP61-'IS (Base)'!AP61</f>
        <v>0</v>
      </c>
      <c r="AQ61" s="188">
        <f>'IS (Adjusted)'!AQ61-'IS (Base)'!AQ61</f>
        <v>0</v>
      </c>
      <c r="AR61" s="189">
        <f>'IS (Adjusted)'!AR61-'IS (Base)'!AR61</f>
        <v>0</v>
      </c>
      <c r="AS61" s="189">
        <f>'IS (Adjusted)'!AS61-'IS (Base)'!AS61</f>
        <v>0</v>
      </c>
      <c r="AT61" s="189">
        <f>'IS (Adjusted)'!AT61-'IS (Base)'!AT61</f>
        <v>0</v>
      </c>
      <c r="AU61" s="189">
        <f>'IS (Adjusted)'!AU61-'IS (Base)'!AU61</f>
        <v>0</v>
      </c>
      <c r="AV61" s="188">
        <f>'IS (Adjusted)'!AV61-'IS (Base)'!AV61</f>
        <v>0</v>
      </c>
    </row>
    <row r="62" spans="2:48" outlineLevel="1" x14ac:dyDescent="0.3">
      <c r="B62" s="180" t="s">
        <v>32</v>
      </c>
      <c r="C62" s="18"/>
      <c r="D62" s="48">
        <f>'IS (Adjusted)'!D62-'IS (Base)'!D62</f>
        <v>0</v>
      </c>
      <c r="E62" s="48">
        <f>'IS (Adjusted)'!E62-'IS (Base)'!E62</f>
        <v>0</v>
      </c>
      <c r="F62" s="48">
        <f>'IS (Adjusted)'!F62-'IS (Base)'!F62</f>
        <v>0</v>
      </c>
      <c r="G62" s="48">
        <f>'IS (Adjusted)'!G62-'IS (Base)'!G62</f>
        <v>0</v>
      </c>
      <c r="H62" s="49">
        <f>'IS (Adjusted)'!H62-'IS (Base)'!H62</f>
        <v>0</v>
      </c>
      <c r="I62" s="48">
        <f>'IS (Adjusted)'!I62-'IS (Base)'!I62</f>
        <v>0</v>
      </c>
      <c r="J62" s="48">
        <f>'IS (Adjusted)'!J62-'IS (Base)'!J62</f>
        <v>0</v>
      </c>
      <c r="K62" s="48">
        <f>'IS (Adjusted)'!K62-'IS (Base)'!K62</f>
        <v>0</v>
      </c>
      <c r="L62" s="48">
        <f>'IS (Adjusted)'!L62-'IS (Base)'!L62</f>
        <v>0</v>
      </c>
      <c r="M62" s="165">
        <f>'IS (Adjusted)'!M62-'IS (Base)'!M62</f>
        <v>0</v>
      </c>
      <c r="N62" s="48">
        <f>'IS (Adjusted)'!N62-'IS (Base)'!N62</f>
        <v>0</v>
      </c>
      <c r="O62" s="48">
        <f>'IS (Adjusted)'!O62-'IS (Base)'!O62</f>
        <v>0</v>
      </c>
      <c r="P62" s="48">
        <f>'IS (Adjusted)'!P62-'IS (Base)'!P62</f>
        <v>0</v>
      </c>
      <c r="Q62" s="105">
        <f>'IS (Adjusted)'!Q62-'IS (Base)'!Q62</f>
        <v>0</v>
      </c>
      <c r="R62" s="49">
        <f>'IS (Adjusted)'!R62-'IS (Base)'!R62</f>
        <v>0</v>
      </c>
      <c r="S62" s="48">
        <f>'IS (Adjusted)'!S62-'IS (Base)'!S62</f>
        <v>0</v>
      </c>
      <c r="T62" s="48">
        <f>'IS (Adjusted)'!T62-'IS (Base)'!T62</f>
        <v>0</v>
      </c>
      <c r="U62" s="48">
        <f>'IS (Adjusted)'!U62-'IS (Base)'!U62</f>
        <v>0</v>
      </c>
      <c r="V62" s="48">
        <f>'IS (Adjusted)'!V62-'IS (Base)'!V62</f>
        <v>0</v>
      </c>
      <c r="W62" s="49">
        <f>'IS (Adjusted)'!W62-'IS (Base)'!W62</f>
        <v>0</v>
      </c>
      <c r="X62" s="105">
        <f>'IS (Adjusted)'!X62-'IS (Base)'!X62</f>
        <v>0</v>
      </c>
      <c r="Y62" s="48">
        <f>'IS (Adjusted)'!Y62-'IS (Base)'!Y62</f>
        <v>0</v>
      </c>
      <c r="Z62" s="48">
        <f>'IS (Adjusted)'!Z62-'IS (Base)'!Z62</f>
        <v>0</v>
      </c>
      <c r="AA62" s="48">
        <f>'IS (Adjusted)'!AA62-'IS (Base)'!AA62</f>
        <v>0</v>
      </c>
      <c r="AB62" s="49">
        <f>'IS (Adjusted)'!AB62-'IS (Base)'!AB62</f>
        <v>0</v>
      </c>
      <c r="AC62" s="48">
        <f>'IS (Adjusted)'!AC62-'IS (Base)'!AC62</f>
        <v>0</v>
      </c>
      <c r="AD62" s="48">
        <f>'IS (Adjusted)'!AD62-'IS (Base)'!AD62</f>
        <v>0</v>
      </c>
      <c r="AE62" s="48">
        <f>'IS (Adjusted)'!AE62-'IS (Base)'!AE62</f>
        <v>0</v>
      </c>
      <c r="AF62" s="48">
        <f>'IS (Adjusted)'!AF62-'IS (Base)'!AF62</f>
        <v>0</v>
      </c>
      <c r="AG62" s="49">
        <f>'IS (Adjusted)'!AG62-'IS (Base)'!AG62</f>
        <v>0</v>
      </c>
      <c r="AH62" s="48">
        <f>'IS (Adjusted)'!AH62-'IS (Base)'!AH62</f>
        <v>0</v>
      </c>
      <c r="AI62" s="48">
        <f>'IS (Adjusted)'!AI62-'IS (Base)'!AI62</f>
        <v>0</v>
      </c>
      <c r="AJ62" s="48">
        <f>'IS (Adjusted)'!AJ62-'IS (Base)'!AJ62</f>
        <v>0</v>
      </c>
      <c r="AK62" s="48">
        <f>'IS (Adjusted)'!AK62-'IS (Base)'!AK62</f>
        <v>0</v>
      </c>
      <c r="AL62" s="49">
        <f>'IS (Adjusted)'!AL62-'IS (Base)'!AL62</f>
        <v>0</v>
      </c>
      <c r="AM62" s="48">
        <f>'IS (Adjusted)'!AM62-'IS (Base)'!AM62</f>
        <v>0</v>
      </c>
      <c r="AN62" s="48">
        <f>'IS (Adjusted)'!AN62-'IS (Base)'!AN62</f>
        <v>0</v>
      </c>
      <c r="AO62" s="48">
        <f>'IS (Adjusted)'!AO62-'IS (Base)'!AO62</f>
        <v>0</v>
      </c>
      <c r="AP62" s="48">
        <f>'IS (Adjusted)'!AP62-'IS (Base)'!AP62</f>
        <v>0</v>
      </c>
      <c r="AQ62" s="49">
        <f>'IS (Adjusted)'!AQ62-'IS (Base)'!AQ62</f>
        <v>0</v>
      </c>
      <c r="AR62" s="48">
        <f>'IS (Adjusted)'!AR62-'IS (Base)'!AR62</f>
        <v>0</v>
      </c>
      <c r="AS62" s="48">
        <f>'IS (Adjusted)'!AS62-'IS (Base)'!AS62</f>
        <v>0</v>
      </c>
      <c r="AT62" s="48">
        <f>'IS (Adjusted)'!AT62-'IS (Base)'!AT62</f>
        <v>0</v>
      </c>
      <c r="AU62" s="48">
        <f>'IS (Adjusted)'!AU62-'IS (Base)'!AU62</f>
        <v>0</v>
      </c>
      <c r="AV62" s="49">
        <f>'IS (Adjusted)'!AV62-'IS (Base)'!AV62</f>
        <v>0</v>
      </c>
    </row>
    <row r="63" spans="2:48" s="184" customFormat="1" outlineLevel="1" x14ac:dyDescent="0.3">
      <c r="B63" s="181" t="s">
        <v>150</v>
      </c>
      <c r="C63" s="190"/>
      <c r="D63" s="187">
        <f>'IS (Adjusted)'!D63-'IS (Base)'!D63</f>
        <v>0</v>
      </c>
      <c r="E63" s="187">
        <f>'IS (Adjusted)'!E63-'IS (Base)'!E63</f>
        <v>0</v>
      </c>
      <c r="F63" s="187">
        <f>'IS (Adjusted)'!F63-'IS (Base)'!F63</f>
        <v>0</v>
      </c>
      <c r="G63" s="187">
        <f>'IS (Adjusted)'!G63-'IS (Base)'!G63</f>
        <v>0</v>
      </c>
      <c r="H63" s="188">
        <f>'IS (Adjusted)'!H63-'IS (Base)'!H63</f>
        <v>0</v>
      </c>
      <c r="I63" s="187">
        <f>'IS (Adjusted)'!I63-'IS (Base)'!I63</f>
        <v>0</v>
      </c>
      <c r="J63" s="187">
        <f>'IS (Adjusted)'!J63-'IS (Base)'!J63</f>
        <v>0</v>
      </c>
      <c r="K63" s="187">
        <f>'IS (Adjusted)'!K63-'IS (Base)'!K63</f>
        <v>0</v>
      </c>
      <c r="L63" s="187">
        <f>'IS (Adjusted)'!L63-'IS (Base)'!L63</f>
        <v>0</v>
      </c>
      <c r="M63" s="188">
        <f>'IS (Adjusted)'!M63-'IS (Base)'!M63</f>
        <v>0</v>
      </c>
      <c r="N63" s="187">
        <f>'IS (Adjusted)'!N63-'IS (Base)'!N63</f>
        <v>0</v>
      </c>
      <c r="O63" s="187">
        <f>'IS (Adjusted)'!O63-'IS (Base)'!O63</f>
        <v>0</v>
      </c>
      <c r="P63" s="187">
        <f>'IS (Adjusted)'!P63-'IS (Base)'!P63</f>
        <v>0</v>
      </c>
      <c r="Q63" s="167">
        <f>'IS (Adjusted)'!Q63-'IS (Base)'!Q63</f>
        <v>0</v>
      </c>
      <c r="R63" s="188">
        <f>'IS (Adjusted)'!R63-'IS (Base)'!R63</f>
        <v>0</v>
      </c>
      <c r="S63" s="187">
        <f>'IS (Adjusted)'!S63-'IS (Base)'!S63</f>
        <v>0</v>
      </c>
      <c r="T63" s="187">
        <f>'IS (Adjusted)'!T63-'IS (Base)'!T63</f>
        <v>0</v>
      </c>
      <c r="U63" s="187">
        <f>'IS (Adjusted)'!U63-'IS (Base)'!U63</f>
        <v>0</v>
      </c>
      <c r="V63" s="187">
        <f>'IS (Adjusted)'!V63-'IS (Base)'!V63</f>
        <v>0</v>
      </c>
      <c r="W63" s="188">
        <f>'IS (Adjusted)'!W63-'IS (Base)'!W63</f>
        <v>0</v>
      </c>
      <c r="X63" s="167">
        <f>'IS (Adjusted)'!X63-'IS (Base)'!X63</f>
        <v>0</v>
      </c>
      <c r="Y63" s="189">
        <f>'IS (Adjusted)'!Y63-'IS (Base)'!Y63</f>
        <v>0</v>
      </c>
      <c r="Z63" s="189">
        <f>'IS (Adjusted)'!Z63-'IS (Base)'!Z63</f>
        <v>0</v>
      </c>
      <c r="AA63" s="189">
        <f>'IS (Adjusted)'!AA63-'IS (Base)'!AA63</f>
        <v>0</v>
      </c>
      <c r="AB63" s="188">
        <f>'IS (Adjusted)'!AB63-'IS (Base)'!AB63</f>
        <v>0</v>
      </c>
      <c r="AC63" s="189">
        <f>'IS (Adjusted)'!AC63-'IS (Base)'!AC63</f>
        <v>0</v>
      </c>
      <c r="AD63" s="189">
        <f>'IS (Adjusted)'!AD63-'IS (Base)'!AD63</f>
        <v>0</v>
      </c>
      <c r="AE63" s="189">
        <f>'IS (Adjusted)'!AE63-'IS (Base)'!AE63</f>
        <v>0</v>
      </c>
      <c r="AF63" s="189">
        <f>'IS (Adjusted)'!AF63-'IS (Base)'!AF63</f>
        <v>0</v>
      </c>
      <c r="AG63" s="188">
        <f>'IS (Adjusted)'!AG63-'IS (Base)'!AG63</f>
        <v>0</v>
      </c>
      <c r="AH63" s="189">
        <f>'IS (Adjusted)'!AH63-'IS (Base)'!AH63</f>
        <v>0</v>
      </c>
      <c r="AI63" s="189">
        <f>'IS (Adjusted)'!AI63-'IS (Base)'!AI63</f>
        <v>0</v>
      </c>
      <c r="AJ63" s="189">
        <f>'IS (Adjusted)'!AJ63-'IS (Base)'!AJ63</f>
        <v>0</v>
      </c>
      <c r="AK63" s="189">
        <f>'IS (Adjusted)'!AK63-'IS (Base)'!AK63</f>
        <v>0</v>
      </c>
      <c r="AL63" s="188">
        <f>'IS (Adjusted)'!AL63-'IS (Base)'!AL63</f>
        <v>0</v>
      </c>
      <c r="AM63" s="189">
        <f>'IS (Adjusted)'!AM63-'IS (Base)'!AM63</f>
        <v>0</v>
      </c>
      <c r="AN63" s="189">
        <f>'IS (Adjusted)'!AN63-'IS (Base)'!AN63</f>
        <v>0</v>
      </c>
      <c r="AO63" s="189">
        <f>'IS (Adjusted)'!AO63-'IS (Base)'!AO63</f>
        <v>0</v>
      </c>
      <c r="AP63" s="189">
        <f>'IS (Adjusted)'!AP63-'IS (Base)'!AP63</f>
        <v>0</v>
      </c>
      <c r="AQ63" s="188">
        <f>'IS (Adjusted)'!AQ63-'IS (Base)'!AQ63</f>
        <v>0</v>
      </c>
      <c r="AR63" s="189">
        <f>'IS (Adjusted)'!AR63-'IS (Base)'!AR63</f>
        <v>0</v>
      </c>
      <c r="AS63" s="189">
        <f>'IS (Adjusted)'!AS63-'IS (Base)'!AS63</f>
        <v>0</v>
      </c>
      <c r="AT63" s="189">
        <f>'IS (Adjusted)'!AT63-'IS (Base)'!AT63</f>
        <v>0</v>
      </c>
      <c r="AU63" s="189">
        <f>'IS (Adjusted)'!AU63-'IS (Base)'!AU63</f>
        <v>0</v>
      </c>
      <c r="AV63" s="188">
        <f>'IS (Adjusted)'!AV63-'IS (Base)'!AV63</f>
        <v>0</v>
      </c>
    </row>
    <row r="64" spans="2:48" outlineLevel="1" x14ac:dyDescent="0.3">
      <c r="B64" s="180" t="s">
        <v>33</v>
      </c>
      <c r="C64" s="18"/>
      <c r="D64" s="48">
        <f>'IS (Adjusted)'!D64-'IS (Base)'!D64</f>
        <v>0</v>
      </c>
      <c r="E64" s="48">
        <f>'IS (Adjusted)'!E64-'IS (Base)'!E64</f>
        <v>0</v>
      </c>
      <c r="F64" s="48">
        <f>'IS (Adjusted)'!F64-'IS (Base)'!F64</f>
        <v>0</v>
      </c>
      <c r="G64" s="48">
        <f>'IS (Adjusted)'!G64-'IS (Base)'!G64</f>
        <v>0</v>
      </c>
      <c r="H64" s="49">
        <f>'IS (Adjusted)'!H64-'IS (Base)'!H64</f>
        <v>0</v>
      </c>
      <c r="I64" s="48">
        <f>'IS (Adjusted)'!I64-'IS (Base)'!I64</f>
        <v>0</v>
      </c>
      <c r="J64" s="48">
        <f>'IS (Adjusted)'!J64-'IS (Base)'!J64</f>
        <v>0</v>
      </c>
      <c r="K64" s="48">
        <f>'IS (Adjusted)'!K64-'IS (Base)'!K64</f>
        <v>0</v>
      </c>
      <c r="L64" s="48">
        <f>'IS (Adjusted)'!L64-'IS (Base)'!L64</f>
        <v>0</v>
      </c>
      <c r="M64" s="49">
        <f>'IS (Adjusted)'!M64-'IS (Base)'!M64</f>
        <v>0</v>
      </c>
      <c r="N64" s="48">
        <f>'IS (Adjusted)'!N64-'IS (Base)'!N64</f>
        <v>0</v>
      </c>
      <c r="O64" s="48">
        <f>'IS (Adjusted)'!O64-'IS (Base)'!O64</f>
        <v>0</v>
      </c>
      <c r="P64" s="48">
        <f>'IS (Adjusted)'!P64-'IS (Base)'!P64</f>
        <v>0</v>
      </c>
      <c r="Q64" s="105">
        <f>'IS (Adjusted)'!Q64-'IS (Base)'!Q64</f>
        <v>0</v>
      </c>
      <c r="R64" s="49">
        <f>'IS (Adjusted)'!R64-'IS (Base)'!R64</f>
        <v>0</v>
      </c>
      <c r="S64" s="48">
        <f>'IS (Adjusted)'!S64-'IS (Base)'!S64</f>
        <v>0</v>
      </c>
      <c r="T64" s="48">
        <f>'IS (Adjusted)'!T64-'IS (Base)'!T64</f>
        <v>0</v>
      </c>
      <c r="U64" s="48">
        <f>'IS (Adjusted)'!U64-'IS (Base)'!U64</f>
        <v>0</v>
      </c>
      <c r="V64" s="48">
        <f>'IS (Adjusted)'!V64-'IS (Base)'!V64</f>
        <v>0</v>
      </c>
      <c r="W64" s="49">
        <f>'IS (Adjusted)'!W64-'IS (Base)'!W64</f>
        <v>0</v>
      </c>
      <c r="X64" s="105">
        <f>'IS (Adjusted)'!X64-'IS (Base)'!X64</f>
        <v>0</v>
      </c>
      <c r="Y64" s="48">
        <f>'IS (Adjusted)'!Y64-'IS (Base)'!Y64</f>
        <v>0</v>
      </c>
      <c r="Z64" s="48">
        <f>'IS (Adjusted)'!Z64-'IS (Base)'!Z64</f>
        <v>0</v>
      </c>
      <c r="AA64" s="48">
        <f>'IS (Adjusted)'!AA64-'IS (Base)'!AA64</f>
        <v>0</v>
      </c>
      <c r="AB64" s="49">
        <f>'IS (Adjusted)'!AB64-'IS (Base)'!AB64</f>
        <v>0</v>
      </c>
      <c r="AC64" s="48">
        <f>'IS (Adjusted)'!AC64-'IS (Base)'!AC64</f>
        <v>0</v>
      </c>
      <c r="AD64" s="48">
        <f>'IS (Adjusted)'!AD64-'IS (Base)'!AD64</f>
        <v>0</v>
      </c>
      <c r="AE64" s="48">
        <f>'IS (Adjusted)'!AE64-'IS (Base)'!AE64</f>
        <v>0</v>
      </c>
      <c r="AF64" s="48">
        <f>'IS (Adjusted)'!AF64-'IS (Base)'!AF64</f>
        <v>0</v>
      </c>
      <c r="AG64" s="49">
        <f>'IS (Adjusted)'!AG64-'IS (Base)'!AG64</f>
        <v>0</v>
      </c>
      <c r="AH64" s="48">
        <f>'IS (Adjusted)'!AH64-'IS (Base)'!AH64</f>
        <v>0</v>
      </c>
      <c r="AI64" s="48">
        <f>'IS (Adjusted)'!AI64-'IS (Base)'!AI64</f>
        <v>0</v>
      </c>
      <c r="AJ64" s="48">
        <f>'IS (Adjusted)'!AJ64-'IS (Base)'!AJ64</f>
        <v>0</v>
      </c>
      <c r="AK64" s="48">
        <f>'IS (Adjusted)'!AK64-'IS (Base)'!AK64</f>
        <v>0</v>
      </c>
      <c r="AL64" s="49">
        <f>'IS (Adjusted)'!AL64-'IS (Base)'!AL64</f>
        <v>0</v>
      </c>
      <c r="AM64" s="48">
        <f>'IS (Adjusted)'!AM64-'IS (Base)'!AM64</f>
        <v>0</v>
      </c>
      <c r="AN64" s="48">
        <f>'IS (Adjusted)'!AN64-'IS (Base)'!AN64</f>
        <v>0</v>
      </c>
      <c r="AO64" s="48">
        <f>'IS (Adjusted)'!AO64-'IS (Base)'!AO64</f>
        <v>0</v>
      </c>
      <c r="AP64" s="48">
        <f>'IS (Adjusted)'!AP64-'IS (Base)'!AP64</f>
        <v>0</v>
      </c>
      <c r="AQ64" s="49">
        <f>'IS (Adjusted)'!AQ64-'IS (Base)'!AQ64</f>
        <v>0</v>
      </c>
      <c r="AR64" s="48">
        <f>'IS (Adjusted)'!AR64-'IS (Base)'!AR64</f>
        <v>0</v>
      </c>
      <c r="AS64" s="48">
        <f>'IS (Adjusted)'!AS64-'IS (Base)'!AS64</f>
        <v>0</v>
      </c>
      <c r="AT64" s="48">
        <f>'IS (Adjusted)'!AT64-'IS (Base)'!AT64</f>
        <v>0</v>
      </c>
      <c r="AU64" s="48">
        <f>'IS (Adjusted)'!AU64-'IS (Base)'!AU64</f>
        <v>0</v>
      </c>
      <c r="AV64" s="49">
        <f>'IS (Adjusted)'!AV64-'IS (Base)'!AV64</f>
        <v>0</v>
      </c>
    </row>
    <row r="65" spans="2:48" s="184" customFormat="1" outlineLevel="1" x14ac:dyDescent="0.3">
      <c r="B65" s="181" t="s">
        <v>152</v>
      </c>
      <c r="C65" s="190"/>
      <c r="D65" s="187">
        <f>'IS (Adjusted)'!D65-'IS (Base)'!D65</f>
        <v>0</v>
      </c>
      <c r="E65" s="187">
        <f>'IS (Adjusted)'!E65-'IS (Base)'!E65</f>
        <v>0</v>
      </c>
      <c r="F65" s="187">
        <f>'IS (Adjusted)'!F65-'IS (Base)'!F65</f>
        <v>0</v>
      </c>
      <c r="G65" s="187">
        <f>'IS (Adjusted)'!G65-'IS (Base)'!G65</f>
        <v>0</v>
      </c>
      <c r="H65" s="188">
        <f>'IS (Adjusted)'!H65-'IS (Base)'!H65</f>
        <v>0</v>
      </c>
      <c r="I65" s="187">
        <f>'IS (Adjusted)'!I65-'IS (Base)'!I65</f>
        <v>0</v>
      </c>
      <c r="J65" s="187">
        <f>'IS (Adjusted)'!J65-'IS (Base)'!J65</f>
        <v>0</v>
      </c>
      <c r="K65" s="187">
        <f>'IS (Adjusted)'!K65-'IS (Base)'!K65</f>
        <v>0</v>
      </c>
      <c r="L65" s="187">
        <f>'IS (Adjusted)'!L65-'IS (Base)'!L65</f>
        <v>0</v>
      </c>
      <c r="M65" s="188">
        <f>'IS (Adjusted)'!M65-'IS (Base)'!M65</f>
        <v>0</v>
      </c>
      <c r="N65" s="187">
        <f>'IS (Adjusted)'!N65-'IS (Base)'!N65</f>
        <v>0</v>
      </c>
      <c r="O65" s="187">
        <f>'IS (Adjusted)'!O65-'IS (Base)'!O65</f>
        <v>0</v>
      </c>
      <c r="P65" s="187">
        <f>'IS (Adjusted)'!P65-'IS (Base)'!P65</f>
        <v>0</v>
      </c>
      <c r="Q65" s="167">
        <f>'IS (Adjusted)'!Q65-'IS (Base)'!Q65</f>
        <v>0</v>
      </c>
      <c r="R65" s="188">
        <f>'IS (Adjusted)'!R65-'IS (Base)'!R65</f>
        <v>0</v>
      </c>
      <c r="S65" s="187">
        <f>'IS (Adjusted)'!S65-'IS (Base)'!S65</f>
        <v>0</v>
      </c>
      <c r="T65" s="187">
        <f>'IS (Adjusted)'!T65-'IS (Base)'!T65</f>
        <v>0</v>
      </c>
      <c r="U65" s="187">
        <f>'IS (Adjusted)'!U65-'IS (Base)'!U65</f>
        <v>0</v>
      </c>
      <c r="V65" s="187">
        <f>'IS (Adjusted)'!V65-'IS (Base)'!V65</f>
        <v>0</v>
      </c>
      <c r="W65" s="188">
        <f>'IS (Adjusted)'!W65-'IS (Base)'!W65</f>
        <v>0</v>
      </c>
      <c r="X65" s="167">
        <f>'IS (Adjusted)'!X65-'IS (Base)'!X65</f>
        <v>0</v>
      </c>
      <c r="Y65" s="189">
        <f>'IS (Adjusted)'!Y65-'IS (Base)'!Y65</f>
        <v>0</v>
      </c>
      <c r="Z65" s="189">
        <f>'IS (Adjusted)'!Z65-'IS (Base)'!Z65</f>
        <v>0</v>
      </c>
      <c r="AA65" s="189">
        <f>'IS (Adjusted)'!AA65-'IS (Base)'!AA65</f>
        <v>0</v>
      </c>
      <c r="AB65" s="188">
        <f>'IS (Adjusted)'!AB65-'IS (Base)'!AB65</f>
        <v>0</v>
      </c>
      <c r="AC65" s="189">
        <f>'IS (Adjusted)'!AC65-'IS (Base)'!AC65</f>
        <v>0</v>
      </c>
      <c r="AD65" s="189">
        <f>'IS (Adjusted)'!AD65-'IS (Base)'!AD65</f>
        <v>0</v>
      </c>
      <c r="AE65" s="189">
        <f>'IS (Adjusted)'!AE65-'IS (Base)'!AE65</f>
        <v>0</v>
      </c>
      <c r="AF65" s="189">
        <f>'IS (Adjusted)'!AF65-'IS (Base)'!AF65</f>
        <v>0</v>
      </c>
      <c r="AG65" s="188">
        <f>'IS (Adjusted)'!AG65-'IS (Base)'!AG65</f>
        <v>0</v>
      </c>
      <c r="AH65" s="189">
        <f>'IS (Adjusted)'!AH65-'IS (Base)'!AH65</f>
        <v>0</v>
      </c>
      <c r="AI65" s="189">
        <f>'IS (Adjusted)'!AI65-'IS (Base)'!AI65</f>
        <v>0</v>
      </c>
      <c r="AJ65" s="189">
        <f>'IS (Adjusted)'!AJ65-'IS (Base)'!AJ65</f>
        <v>0</v>
      </c>
      <c r="AK65" s="189">
        <f>'IS (Adjusted)'!AK65-'IS (Base)'!AK65</f>
        <v>0</v>
      </c>
      <c r="AL65" s="188">
        <f>'IS (Adjusted)'!AL65-'IS (Base)'!AL65</f>
        <v>0</v>
      </c>
      <c r="AM65" s="189">
        <f>'IS (Adjusted)'!AM65-'IS (Base)'!AM65</f>
        <v>0</v>
      </c>
      <c r="AN65" s="189">
        <f>'IS (Adjusted)'!AN65-'IS (Base)'!AN65</f>
        <v>0</v>
      </c>
      <c r="AO65" s="189">
        <f>'IS (Adjusted)'!AO65-'IS (Base)'!AO65</f>
        <v>0</v>
      </c>
      <c r="AP65" s="189">
        <f>'IS (Adjusted)'!AP65-'IS (Base)'!AP65</f>
        <v>0</v>
      </c>
      <c r="AQ65" s="188">
        <f>'IS (Adjusted)'!AQ65-'IS (Base)'!AQ65</f>
        <v>0</v>
      </c>
      <c r="AR65" s="189">
        <f>'IS (Adjusted)'!AR65-'IS (Base)'!AR65</f>
        <v>0</v>
      </c>
      <c r="AS65" s="189">
        <f>'IS (Adjusted)'!AS65-'IS (Base)'!AS65</f>
        <v>0</v>
      </c>
      <c r="AT65" s="189">
        <f>'IS (Adjusted)'!AT65-'IS (Base)'!AT65</f>
        <v>0</v>
      </c>
      <c r="AU65" s="189">
        <f>'IS (Adjusted)'!AU65-'IS (Base)'!AU65</f>
        <v>0</v>
      </c>
      <c r="AV65" s="188">
        <f>'IS (Adjusted)'!AV65-'IS (Base)'!AV65</f>
        <v>0</v>
      </c>
    </row>
    <row r="66" spans="2:48" outlineLevel="1" x14ac:dyDescent="0.3">
      <c r="B66" s="180" t="s">
        <v>34</v>
      </c>
      <c r="C66" s="18"/>
      <c r="D66" s="358">
        <f>'IS (Adjusted)'!D66-'IS (Base)'!D66</f>
        <v>0</v>
      </c>
      <c r="E66" s="358">
        <f>'IS (Adjusted)'!E66-'IS (Base)'!E66</f>
        <v>0</v>
      </c>
      <c r="F66" s="358">
        <f>'IS (Adjusted)'!F66-'IS (Base)'!F66</f>
        <v>0</v>
      </c>
      <c r="G66" s="358">
        <f>'IS (Adjusted)'!G66-'IS (Base)'!G66</f>
        <v>0</v>
      </c>
      <c r="H66" s="130">
        <f>'IS (Adjusted)'!H66-'IS (Base)'!H66</f>
        <v>0</v>
      </c>
      <c r="I66" s="358">
        <f>'IS (Adjusted)'!I66-'IS (Base)'!I66</f>
        <v>0</v>
      </c>
      <c r="J66" s="358">
        <f>'IS (Adjusted)'!J66-'IS (Base)'!J66</f>
        <v>0</v>
      </c>
      <c r="K66" s="358">
        <f>'IS (Adjusted)'!K66-'IS (Base)'!K66</f>
        <v>0</v>
      </c>
      <c r="L66" s="358">
        <f>'IS (Adjusted)'!L66-'IS (Base)'!L66</f>
        <v>0</v>
      </c>
      <c r="M66" s="359">
        <f>'IS (Adjusted)'!M66-'IS (Base)'!M66</f>
        <v>0</v>
      </c>
      <c r="N66" s="358">
        <f>'IS (Adjusted)'!N66-'IS (Base)'!N66</f>
        <v>0</v>
      </c>
      <c r="O66" s="358">
        <f>'IS (Adjusted)'!O66-'IS (Base)'!O66</f>
        <v>0</v>
      </c>
      <c r="P66" s="358">
        <f>'IS (Adjusted)'!P66-'IS (Base)'!P66</f>
        <v>0</v>
      </c>
      <c r="Q66" s="358">
        <f>'IS (Adjusted)'!Q66-'IS (Base)'!Q66</f>
        <v>0</v>
      </c>
      <c r="R66" s="170">
        <f>'IS (Adjusted)'!R66-'IS (Base)'!R66</f>
        <v>0</v>
      </c>
      <c r="S66" s="358">
        <f>'IS (Adjusted)'!S66-'IS (Base)'!S66</f>
        <v>0</v>
      </c>
      <c r="T66" s="358">
        <f>'IS (Adjusted)'!T66-'IS (Base)'!T66</f>
        <v>0</v>
      </c>
      <c r="U66" s="358">
        <f>'IS (Adjusted)'!U66-'IS (Base)'!U66</f>
        <v>0</v>
      </c>
      <c r="V66" s="358">
        <f>'IS (Adjusted)'!V66-'IS (Base)'!V66</f>
        <v>0</v>
      </c>
      <c r="W66" s="170">
        <f>'IS (Adjusted)'!W66-'IS (Base)'!W66</f>
        <v>0</v>
      </c>
      <c r="X66" s="358">
        <f>'IS (Adjusted)'!X66-'IS (Base)'!X66</f>
        <v>0</v>
      </c>
      <c r="Y66" s="358">
        <f>'IS (Adjusted)'!Y66-'IS (Base)'!Y66</f>
        <v>0</v>
      </c>
      <c r="Z66" s="358">
        <f>'IS (Adjusted)'!Z66-'IS (Base)'!Z66</f>
        <v>0</v>
      </c>
      <c r="AA66" s="358">
        <f>'IS (Adjusted)'!AA66-'IS (Base)'!AA66</f>
        <v>0</v>
      </c>
      <c r="AB66" s="170">
        <f>'IS (Adjusted)'!AB66-'IS (Base)'!AB66</f>
        <v>0</v>
      </c>
      <c r="AC66" s="358">
        <f>'IS (Adjusted)'!AC66-'IS (Base)'!AC66</f>
        <v>0</v>
      </c>
      <c r="AD66" s="358">
        <f>'IS (Adjusted)'!AD66-'IS (Base)'!AD66</f>
        <v>0</v>
      </c>
      <c r="AE66" s="358">
        <f>'IS (Adjusted)'!AE66-'IS (Base)'!AE66</f>
        <v>0</v>
      </c>
      <c r="AF66" s="358">
        <f>'IS (Adjusted)'!AF66-'IS (Base)'!AF66</f>
        <v>0</v>
      </c>
      <c r="AG66" s="170">
        <f>'IS (Adjusted)'!AG66-'IS (Base)'!AG66</f>
        <v>0</v>
      </c>
      <c r="AH66" s="358">
        <f>'IS (Adjusted)'!AH66-'IS (Base)'!AH66</f>
        <v>0</v>
      </c>
      <c r="AI66" s="358">
        <f>'IS (Adjusted)'!AI66-'IS (Base)'!AI66</f>
        <v>0</v>
      </c>
      <c r="AJ66" s="358">
        <f>'IS (Adjusted)'!AJ66-'IS (Base)'!AJ66</f>
        <v>0</v>
      </c>
      <c r="AK66" s="358">
        <f>'IS (Adjusted)'!AK66-'IS (Base)'!AK66</f>
        <v>0</v>
      </c>
      <c r="AL66" s="170">
        <f>'IS (Adjusted)'!AL66-'IS (Base)'!AL66</f>
        <v>0</v>
      </c>
      <c r="AM66" s="358">
        <f>'IS (Adjusted)'!AM66-'IS (Base)'!AM66</f>
        <v>0</v>
      </c>
      <c r="AN66" s="358">
        <f>'IS (Adjusted)'!AN66-'IS (Base)'!AN66</f>
        <v>0</v>
      </c>
      <c r="AO66" s="358">
        <f>'IS (Adjusted)'!AO66-'IS (Base)'!AO66</f>
        <v>0</v>
      </c>
      <c r="AP66" s="358">
        <f>'IS (Adjusted)'!AP66-'IS (Base)'!AP66</f>
        <v>0</v>
      </c>
      <c r="AQ66" s="170">
        <f>'IS (Adjusted)'!AQ66-'IS (Base)'!AQ66</f>
        <v>0</v>
      </c>
      <c r="AR66" s="358">
        <f>'IS (Adjusted)'!AR66-'IS (Base)'!AR66</f>
        <v>0</v>
      </c>
      <c r="AS66" s="358">
        <f>'IS (Adjusted)'!AS66-'IS (Base)'!AS66</f>
        <v>0</v>
      </c>
      <c r="AT66" s="358">
        <f>'IS (Adjusted)'!AT66-'IS (Base)'!AT66</f>
        <v>0</v>
      </c>
      <c r="AU66" s="358">
        <f>'IS (Adjusted)'!AU66-'IS (Base)'!AU66</f>
        <v>0</v>
      </c>
      <c r="AV66" s="170">
        <f>'IS (Adjusted)'!AV66-'IS (Base)'!AV66</f>
        <v>0</v>
      </c>
    </row>
    <row r="67" spans="2:48" outlineLevel="1" x14ac:dyDescent="0.3">
      <c r="B67" s="180" t="s">
        <v>35</v>
      </c>
      <c r="C67" s="18"/>
      <c r="D67" s="48">
        <f>'IS (Adjusted)'!D67-'IS (Base)'!D67</f>
        <v>0</v>
      </c>
      <c r="E67" s="48">
        <f>'IS (Adjusted)'!E67-'IS (Base)'!E67</f>
        <v>0</v>
      </c>
      <c r="F67" s="48">
        <f>'IS (Adjusted)'!F67-'IS (Base)'!F67</f>
        <v>0</v>
      </c>
      <c r="G67" s="48">
        <f>'IS (Adjusted)'!G67-'IS (Base)'!G67</f>
        <v>0</v>
      </c>
      <c r="H67" s="49">
        <f>'IS (Adjusted)'!H67-'IS (Base)'!H67</f>
        <v>0</v>
      </c>
      <c r="I67" s="48">
        <f>'IS (Adjusted)'!I67-'IS (Base)'!I67</f>
        <v>0</v>
      </c>
      <c r="J67" s="48">
        <f>'IS (Adjusted)'!J67-'IS (Base)'!J67</f>
        <v>0</v>
      </c>
      <c r="K67" s="48">
        <f>'IS (Adjusted)'!K67-'IS (Base)'!K67</f>
        <v>0</v>
      </c>
      <c r="L67" s="48">
        <f>'IS (Adjusted)'!L67-'IS (Base)'!L67</f>
        <v>0</v>
      </c>
      <c r="M67" s="165">
        <f>'IS (Adjusted)'!M67-'IS (Base)'!M67</f>
        <v>0</v>
      </c>
      <c r="N67" s="48">
        <f>'IS (Adjusted)'!N67-'IS (Base)'!N67</f>
        <v>0</v>
      </c>
      <c r="O67" s="48">
        <f>'IS (Adjusted)'!O67-'IS (Base)'!O67</f>
        <v>0</v>
      </c>
      <c r="P67" s="48">
        <f>'IS (Adjusted)'!P67-'IS (Base)'!P67</f>
        <v>0</v>
      </c>
      <c r="Q67" s="105">
        <f>'IS (Adjusted)'!Q67-'IS (Base)'!Q67</f>
        <v>0</v>
      </c>
      <c r="R67" s="49">
        <f>'IS (Adjusted)'!R67-'IS (Base)'!R67</f>
        <v>0</v>
      </c>
      <c r="S67" s="48">
        <f>'IS (Adjusted)'!S67-'IS (Base)'!S67</f>
        <v>0</v>
      </c>
      <c r="T67" s="48">
        <f>'IS (Adjusted)'!T67-'IS (Base)'!T67</f>
        <v>0</v>
      </c>
      <c r="U67" s="48">
        <f>'IS (Adjusted)'!U67-'IS (Base)'!U67</f>
        <v>0</v>
      </c>
      <c r="V67" s="48">
        <f>'IS (Adjusted)'!V67-'IS (Base)'!V67</f>
        <v>0</v>
      </c>
      <c r="W67" s="49">
        <f>'IS (Adjusted)'!W67-'IS (Base)'!W67</f>
        <v>0</v>
      </c>
      <c r="X67" s="105">
        <f>'IS (Adjusted)'!X67-'IS (Base)'!X67</f>
        <v>0</v>
      </c>
      <c r="Y67" s="48">
        <f>'IS (Adjusted)'!Y67-'IS (Base)'!Y67</f>
        <v>0</v>
      </c>
      <c r="Z67" s="48">
        <f>'IS (Adjusted)'!Z67-'IS (Base)'!Z67</f>
        <v>0</v>
      </c>
      <c r="AA67" s="48">
        <f>'IS (Adjusted)'!AA67-'IS (Base)'!AA67</f>
        <v>0</v>
      </c>
      <c r="AB67" s="49">
        <f>'IS (Adjusted)'!AB67-'IS (Base)'!AB67</f>
        <v>0</v>
      </c>
      <c r="AC67" s="48">
        <f>'IS (Adjusted)'!AC67-'IS (Base)'!AC67</f>
        <v>0</v>
      </c>
      <c r="AD67" s="48">
        <f>'IS (Adjusted)'!AD67-'IS (Base)'!AD67</f>
        <v>0</v>
      </c>
      <c r="AE67" s="48">
        <f>'IS (Adjusted)'!AE67-'IS (Base)'!AE67</f>
        <v>0</v>
      </c>
      <c r="AF67" s="48">
        <f>'IS (Adjusted)'!AF67-'IS (Base)'!AF67</f>
        <v>0</v>
      </c>
      <c r="AG67" s="49">
        <f>'IS (Adjusted)'!AG67-'IS (Base)'!AG67</f>
        <v>0</v>
      </c>
      <c r="AH67" s="48">
        <f>'IS (Adjusted)'!AH67-'IS (Base)'!AH67</f>
        <v>0</v>
      </c>
      <c r="AI67" s="48">
        <f>'IS (Adjusted)'!AI67-'IS (Base)'!AI67</f>
        <v>0</v>
      </c>
      <c r="AJ67" s="48">
        <f>'IS (Adjusted)'!AJ67-'IS (Base)'!AJ67</f>
        <v>0</v>
      </c>
      <c r="AK67" s="48">
        <f>'IS (Adjusted)'!AK67-'IS (Base)'!AK67</f>
        <v>0</v>
      </c>
      <c r="AL67" s="49">
        <f>'IS (Adjusted)'!AL67-'IS (Base)'!AL67</f>
        <v>0</v>
      </c>
      <c r="AM67" s="48">
        <f>'IS (Adjusted)'!AM67-'IS (Base)'!AM67</f>
        <v>0</v>
      </c>
      <c r="AN67" s="48">
        <f>'IS (Adjusted)'!AN67-'IS (Base)'!AN67</f>
        <v>0</v>
      </c>
      <c r="AO67" s="48">
        <f>'IS (Adjusted)'!AO67-'IS (Base)'!AO67</f>
        <v>0</v>
      </c>
      <c r="AP67" s="48">
        <f>'IS (Adjusted)'!AP67-'IS (Base)'!AP67</f>
        <v>0</v>
      </c>
      <c r="AQ67" s="49">
        <f>'IS (Adjusted)'!AQ67-'IS (Base)'!AQ67</f>
        <v>0</v>
      </c>
      <c r="AR67" s="48">
        <f>'IS (Adjusted)'!AR67-'IS (Base)'!AR67</f>
        <v>0</v>
      </c>
      <c r="AS67" s="48">
        <f>'IS (Adjusted)'!AS67-'IS (Base)'!AS67</f>
        <v>0</v>
      </c>
      <c r="AT67" s="48">
        <f>'IS (Adjusted)'!AT67-'IS (Base)'!AT67</f>
        <v>0</v>
      </c>
      <c r="AU67" s="48">
        <f>'IS (Adjusted)'!AU67-'IS (Base)'!AU67</f>
        <v>0</v>
      </c>
      <c r="AV67" s="49">
        <f>'IS (Adjusted)'!AV67-'IS (Base)'!AV67</f>
        <v>0</v>
      </c>
    </row>
    <row r="68" spans="2:48" s="184" customFormat="1" outlineLevel="1" x14ac:dyDescent="0.3">
      <c r="B68" s="181" t="s">
        <v>153</v>
      </c>
      <c r="C68" s="190"/>
      <c r="D68" s="187">
        <f>'IS (Adjusted)'!D68-'IS (Base)'!D68</f>
        <v>0</v>
      </c>
      <c r="E68" s="187">
        <f>'IS (Adjusted)'!E68-'IS (Base)'!E68</f>
        <v>0</v>
      </c>
      <c r="F68" s="187">
        <f>'IS (Adjusted)'!F68-'IS (Base)'!F68</f>
        <v>0</v>
      </c>
      <c r="G68" s="187">
        <f>'IS (Adjusted)'!G68-'IS (Base)'!G68</f>
        <v>0</v>
      </c>
      <c r="H68" s="188">
        <f>'IS (Adjusted)'!H68-'IS (Base)'!H68</f>
        <v>0</v>
      </c>
      <c r="I68" s="187">
        <f>'IS (Adjusted)'!I68-'IS (Base)'!I68</f>
        <v>0</v>
      </c>
      <c r="J68" s="187">
        <f>'IS (Adjusted)'!J68-'IS (Base)'!J68</f>
        <v>0</v>
      </c>
      <c r="K68" s="187">
        <f>'IS (Adjusted)'!K68-'IS (Base)'!K68</f>
        <v>0</v>
      </c>
      <c r="L68" s="187">
        <f>'IS (Adjusted)'!L68-'IS (Base)'!L68</f>
        <v>0</v>
      </c>
      <c r="M68" s="188">
        <f>'IS (Adjusted)'!M68-'IS (Base)'!M68</f>
        <v>0</v>
      </c>
      <c r="N68" s="187">
        <f>'IS (Adjusted)'!N68-'IS (Base)'!N68</f>
        <v>0</v>
      </c>
      <c r="O68" s="187">
        <f>'IS (Adjusted)'!O68-'IS (Base)'!O68</f>
        <v>0</v>
      </c>
      <c r="P68" s="187">
        <f>'IS (Adjusted)'!P68-'IS (Base)'!P68</f>
        <v>0</v>
      </c>
      <c r="Q68" s="167">
        <f>'IS (Adjusted)'!Q68-'IS (Base)'!Q68</f>
        <v>0</v>
      </c>
      <c r="R68" s="188">
        <f>'IS (Adjusted)'!R68-'IS (Base)'!R68</f>
        <v>0</v>
      </c>
      <c r="S68" s="187">
        <f>'IS (Adjusted)'!S68-'IS (Base)'!S68</f>
        <v>0</v>
      </c>
      <c r="T68" s="187">
        <f>'IS (Adjusted)'!T68-'IS (Base)'!T68</f>
        <v>0</v>
      </c>
      <c r="U68" s="187">
        <f>'IS (Adjusted)'!U68-'IS (Base)'!U68</f>
        <v>0</v>
      </c>
      <c r="V68" s="187">
        <f>'IS (Adjusted)'!V68-'IS (Base)'!V68</f>
        <v>0</v>
      </c>
      <c r="W68" s="188">
        <f>'IS (Adjusted)'!W68-'IS (Base)'!W68</f>
        <v>0</v>
      </c>
      <c r="X68" s="167">
        <f>'IS (Adjusted)'!X68-'IS (Base)'!X68</f>
        <v>0</v>
      </c>
      <c r="Y68" s="189">
        <f>'IS (Adjusted)'!Y68-'IS (Base)'!Y68</f>
        <v>0</v>
      </c>
      <c r="Z68" s="189">
        <f>'IS (Adjusted)'!Z68-'IS (Base)'!Z68</f>
        <v>0</v>
      </c>
      <c r="AA68" s="189">
        <f>'IS (Adjusted)'!AA68-'IS (Base)'!AA68</f>
        <v>0</v>
      </c>
      <c r="AB68" s="188">
        <f>'IS (Adjusted)'!AB68-'IS (Base)'!AB68</f>
        <v>0</v>
      </c>
      <c r="AC68" s="189">
        <f>'IS (Adjusted)'!AC68-'IS (Base)'!AC68</f>
        <v>0</v>
      </c>
      <c r="AD68" s="189">
        <f>'IS (Adjusted)'!AD68-'IS (Base)'!AD68</f>
        <v>0</v>
      </c>
      <c r="AE68" s="189">
        <f>'IS (Adjusted)'!AE68-'IS (Base)'!AE68</f>
        <v>0</v>
      </c>
      <c r="AF68" s="189">
        <f>'IS (Adjusted)'!AF68-'IS (Base)'!AF68</f>
        <v>0</v>
      </c>
      <c r="AG68" s="188">
        <f>'IS (Adjusted)'!AG68-'IS (Base)'!AG68</f>
        <v>0</v>
      </c>
      <c r="AH68" s="189">
        <f>'IS (Adjusted)'!AH68-'IS (Base)'!AH68</f>
        <v>0</v>
      </c>
      <c r="AI68" s="189">
        <f>'IS (Adjusted)'!AI68-'IS (Base)'!AI68</f>
        <v>0</v>
      </c>
      <c r="AJ68" s="189">
        <f>'IS (Adjusted)'!AJ68-'IS (Base)'!AJ68</f>
        <v>0</v>
      </c>
      <c r="AK68" s="189">
        <f>'IS (Adjusted)'!AK68-'IS (Base)'!AK68</f>
        <v>0</v>
      </c>
      <c r="AL68" s="188">
        <f>'IS (Adjusted)'!AL68-'IS (Base)'!AL68</f>
        <v>0</v>
      </c>
      <c r="AM68" s="189">
        <f>'IS (Adjusted)'!AM68-'IS (Base)'!AM68</f>
        <v>0</v>
      </c>
      <c r="AN68" s="189">
        <f>'IS (Adjusted)'!AN68-'IS (Base)'!AN68</f>
        <v>0</v>
      </c>
      <c r="AO68" s="189">
        <f>'IS (Adjusted)'!AO68-'IS (Base)'!AO68</f>
        <v>0</v>
      </c>
      <c r="AP68" s="189">
        <f>'IS (Adjusted)'!AP68-'IS (Base)'!AP68</f>
        <v>0</v>
      </c>
      <c r="AQ68" s="188">
        <f>'IS (Adjusted)'!AQ68-'IS (Base)'!AQ68</f>
        <v>0</v>
      </c>
      <c r="AR68" s="189">
        <f>'IS (Adjusted)'!AR68-'IS (Base)'!AR68</f>
        <v>0</v>
      </c>
      <c r="AS68" s="189">
        <f>'IS (Adjusted)'!AS68-'IS (Base)'!AS68</f>
        <v>0</v>
      </c>
      <c r="AT68" s="189">
        <f>'IS (Adjusted)'!AT68-'IS (Base)'!AT68</f>
        <v>0</v>
      </c>
      <c r="AU68" s="189">
        <f>'IS (Adjusted)'!AU68-'IS (Base)'!AU68</f>
        <v>0</v>
      </c>
      <c r="AV68" s="188">
        <f>'IS (Adjusted)'!AV68-'IS (Base)'!AV68</f>
        <v>0</v>
      </c>
    </row>
    <row r="69" spans="2:48" ht="16.2" outlineLevel="1" x14ac:dyDescent="0.45">
      <c r="B69" s="180" t="s">
        <v>42</v>
      </c>
      <c r="C69" s="18"/>
      <c r="D69" s="119">
        <f>'IS (Adjusted)'!D69-'IS (Base)'!D69</f>
        <v>0</v>
      </c>
      <c r="E69" s="119">
        <f>'IS (Adjusted)'!E69-'IS (Base)'!E69</f>
        <v>0</v>
      </c>
      <c r="F69" s="119">
        <f>'IS (Adjusted)'!F69-'IS (Base)'!F69</f>
        <v>0</v>
      </c>
      <c r="G69" s="119">
        <f>'IS (Adjusted)'!G69-'IS (Base)'!G69</f>
        <v>0</v>
      </c>
      <c r="H69" s="131">
        <f>'IS (Adjusted)'!H69-'IS (Base)'!H69</f>
        <v>0</v>
      </c>
      <c r="I69" s="119">
        <f>'IS (Adjusted)'!I69-'IS (Base)'!I69</f>
        <v>0</v>
      </c>
      <c r="J69" s="119">
        <f>'IS (Adjusted)'!J69-'IS (Base)'!J69</f>
        <v>0</v>
      </c>
      <c r="K69" s="119">
        <f>'IS (Adjusted)'!K69-'IS (Base)'!K69</f>
        <v>0</v>
      </c>
      <c r="L69" s="119">
        <f>'IS (Adjusted)'!L69-'IS (Base)'!L69</f>
        <v>0</v>
      </c>
      <c r="M69" s="357">
        <f>'IS (Adjusted)'!M69-'IS (Base)'!M69</f>
        <v>0</v>
      </c>
      <c r="N69" s="119">
        <f>'IS (Adjusted)'!N69-'IS (Base)'!N69</f>
        <v>0</v>
      </c>
      <c r="O69" s="119">
        <f>'IS (Adjusted)'!O69-'IS (Base)'!O69</f>
        <v>0</v>
      </c>
      <c r="P69" s="119">
        <f>'IS (Adjusted)'!P69-'IS (Base)'!P69</f>
        <v>0</v>
      </c>
      <c r="Q69" s="119">
        <f>'IS (Adjusted)'!Q69-'IS (Base)'!Q69</f>
        <v>0</v>
      </c>
      <c r="R69" s="173">
        <f>'IS (Adjusted)'!R69-'IS (Base)'!R69</f>
        <v>0</v>
      </c>
      <c r="S69" s="119">
        <f>'IS (Adjusted)'!S69-'IS (Base)'!S69</f>
        <v>0</v>
      </c>
      <c r="T69" s="119">
        <f>'IS (Adjusted)'!T69-'IS (Base)'!T69</f>
        <v>0</v>
      </c>
      <c r="U69" s="119">
        <f>'IS (Adjusted)'!U69-'IS (Base)'!U69</f>
        <v>0</v>
      </c>
      <c r="V69" s="119">
        <f>'IS (Adjusted)'!V69-'IS (Base)'!V69</f>
        <v>0</v>
      </c>
      <c r="W69" s="173">
        <f>'IS (Adjusted)'!W69-'IS (Base)'!W69</f>
        <v>0</v>
      </c>
      <c r="X69" s="119">
        <f>'IS (Adjusted)'!X69-'IS (Base)'!X69</f>
        <v>0</v>
      </c>
      <c r="Y69" s="119">
        <f>'IS (Adjusted)'!Y69-'IS (Base)'!Y69</f>
        <v>0</v>
      </c>
      <c r="Z69" s="119">
        <f>'IS (Adjusted)'!Z69-'IS (Base)'!Z69</f>
        <v>0</v>
      </c>
      <c r="AA69" s="119">
        <f>'IS (Adjusted)'!AA69-'IS (Base)'!AA69</f>
        <v>0</v>
      </c>
      <c r="AB69" s="173">
        <f>'IS (Adjusted)'!AB69-'IS (Base)'!AB69</f>
        <v>0</v>
      </c>
      <c r="AC69" s="119">
        <f>'IS (Adjusted)'!AC69-'IS (Base)'!AC69</f>
        <v>0</v>
      </c>
      <c r="AD69" s="119">
        <f>'IS (Adjusted)'!AD69-'IS (Base)'!AD69</f>
        <v>0</v>
      </c>
      <c r="AE69" s="119">
        <f>'IS (Adjusted)'!AE69-'IS (Base)'!AE69</f>
        <v>0</v>
      </c>
      <c r="AF69" s="119">
        <f>'IS (Adjusted)'!AF69-'IS (Base)'!AF69</f>
        <v>0</v>
      </c>
      <c r="AG69" s="173">
        <f>'IS (Adjusted)'!AG69-'IS (Base)'!AG69</f>
        <v>0</v>
      </c>
      <c r="AH69" s="119">
        <f>'IS (Adjusted)'!AH69-'IS (Base)'!AH69</f>
        <v>0</v>
      </c>
      <c r="AI69" s="119">
        <f>'IS (Adjusted)'!AI69-'IS (Base)'!AI69</f>
        <v>0</v>
      </c>
      <c r="AJ69" s="119">
        <f>'IS (Adjusted)'!AJ69-'IS (Base)'!AJ69</f>
        <v>0</v>
      </c>
      <c r="AK69" s="119">
        <f>'IS (Adjusted)'!AK69-'IS (Base)'!AK69</f>
        <v>0</v>
      </c>
      <c r="AL69" s="173">
        <f>'IS (Adjusted)'!AL69-'IS (Base)'!AL69</f>
        <v>0</v>
      </c>
      <c r="AM69" s="119">
        <f>'IS (Adjusted)'!AM69-'IS (Base)'!AM69</f>
        <v>0</v>
      </c>
      <c r="AN69" s="119">
        <f>'IS (Adjusted)'!AN69-'IS (Base)'!AN69</f>
        <v>0</v>
      </c>
      <c r="AO69" s="119">
        <f>'IS (Adjusted)'!AO69-'IS (Base)'!AO69</f>
        <v>0</v>
      </c>
      <c r="AP69" s="119">
        <f>'IS (Adjusted)'!AP69-'IS (Base)'!AP69</f>
        <v>0</v>
      </c>
      <c r="AQ69" s="173">
        <f>'IS (Adjusted)'!AQ69-'IS (Base)'!AQ69</f>
        <v>0</v>
      </c>
      <c r="AR69" s="119">
        <f>'IS (Adjusted)'!AR69-'IS (Base)'!AR69</f>
        <v>0</v>
      </c>
      <c r="AS69" s="119">
        <f>'IS (Adjusted)'!AS69-'IS (Base)'!AS69</f>
        <v>0</v>
      </c>
      <c r="AT69" s="119">
        <f>'IS (Adjusted)'!AT69-'IS (Base)'!AT69</f>
        <v>0</v>
      </c>
      <c r="AU69" s="119">
        <f>'IS (Adjusted)'!AU69-'IS (Base)'!AU69</f>
        <v>0</v>
      </c>
      <c r="AV69" s="173">
        <f>'IS (Adjusted)'!AV69-'IS (Base)'!AV69</f>
        <v>0</v>
      </c>
    </row>
    <row r="70" spans="2:48" outlineLevel="1" x14ac:dyDescent="0.3">
      <c r="B70" s="46" t="s">
        <v>183</v>
      </c>
      <c r="C70" s="19"/>
      <c r="D70" s="103">
        <f>'IS (Adjusted)'!D70-'IS (Base)'!D70</f>
        <v>0</v>
      </c>
      <c r="E70" s="103">
        <f>'IS (Adjusted)'!E70-'IS (Base)'!E70</f>
        <v>0</v>
      </c>
      <c r="F70" s="103">
        <f>'IS (Adjusted)'!F70-'IS (Base)'!F70</f>
        <v>0</v>
      </c>
      <c r="G70" s="103">
        <f>'IS (Adjusted)'!G70-'IS (Base)'!G70</f>
        <v>0</v>
      </c>
      <c r="H70" s="166">
        <f>'IS (Adjusted)'!H70-'IS (Base)'!H70</f>
        <v>0</v>
      </c>
      <c r="I70" s="103">
        <f>'IS (Adjusted)'!I70-'IS (Base)'!I70</f>
        <v>0</v>
      </c>
      <c r="J70" s="103">
        <f>'IS (Adjusted)'!J70-'IS (Base)'!J70</f>
        <v>0</v>
      </c>
      <c r="K70" s="103">
        <f>'IS (Adjusted)'!K70-'IS (Base)'!K70</f>
        <v>0</v>
      </c>
      <c r="L70" s="50">
        <f>'IS (Adjusted)'!L70-'IS (Base)'!L70</f>
        <v>0</v>
      </c>
      <c r="M70" s="191">
        <f>'IS (Adjusted)'!M70-'IS (Base)'!M70</f>
        <v>0</v>
      </c>
      <c r="N70" s="50">
        <f>'IS (Adjusted)'!N70-'IS (Base)'!N70</f>
        <v>0</v>
      </c>
      <c r="O70" s="50">
        <f>'IS (Adjusted)'!O70-'IS (Base)'!O70</f>
        <v>0</v>
      </c>
      <c r="P70" s="50">
        <f>'IS (Adjusted)'!P70-'IS (Base)'!P70</f>
        <v>0</v>
      </c>
      <c r="Q70" s="103">
        <f>'IS (Adjusted)'!Q70-'IS (Base)'!Q70</f>
        <v>0</v>
      </c>
      <c r="R70" s="191">
        <f>'IS (Adjusted)'!R70-'IS (Base)'!R70</f>
        <v>0</v>
      </c>
      <c r="S70" s="50">
        <f>'IS (Adjusted)'!S70-'IS (Base)'!S70</f>
        <v>0</v>
      </c>
      <c r="T70" s="50">
        <f>'IS (Adjusted)'!T70-'IS (Base)'!T70</f>
        <v>0</v>
      </c>
      <c r="U70" s="50">
        <f>'IS (Adjusted)'!U70-'IS (Base)'!U70</f>
        <v>0</v>
      </c>
      <c r="V70" s="50">
        <f>'IS (Adjusted)'!V70-'IS (Base)'!V70</f>
        <v>0</v>
      </c>
      <c r="W70" s="191">
        <f>'IS (Adjusted)'!W70-'IS (Base)'!W70</f>
        <v>0</v>
      </c>
      <c r="X70" s="103">
        <f>'IS (Adjusted)'!X70-'IS (Base)'!X70</f>
        <v>0</v>
      </c>
      <c r="Y70" s="50">
        <f>'IS (Adjusted)'!Y70-'IS (Base)'!Y70</f>
        <v>0</v>
      </c>
      <c r="Z70" s="50">
        <f>'IS (Adjusted)'!Z70-'IS (Base)'!Z70</f>
        <v>0</v>
      </c>
      <c r="AA70" s="50">
        <f>'IS (Adjusted)'!AA70-'IS (Base)'!AA70</f>
        <v>0</v>
      </c>
      <c r="AB70" s="191">
        <f>'IS (Adjusted)'!AB70-'IS (Base)'!AB70</f>
        <v>0</v>
      </c>
      <c r="AC70" s="50">
        <f>'IS (Adjusted)'!AC70-'IS (Base)'!AC70</f>
        <v>0</v>
      </c>
      <c r="AD70" s="50">
        <f>'IS (Adjusted)'!AD70-'IS (Base)'!AD70</f>
        <v>0</v>
      </c>
      <c r="AE70" s="50">
        <f>'IS (Adjusted)'!AE70-'IS (Base)'!AE70</f>
        <v>0</v>
      </c>
      <c r="AF70" s="50">
        <f>'IS (Adjusted)'!AF70-'IS (Base)'!AF70</f>
        <v>0</v>
      </c>
      <c r="AG70" s="191">
        <f>'IS (Adjusted)'!AG70-'IS (Base)'!AG70</f>
        <v>0</v>
      </c>
      <c r="AH70" s="50">
        <f>'IS (Adjusted)'!AH70-'IS (Base)'!AH70</f>
        <v>0</v>
      </c>
      <c r="AI70" s="50">
        <f>'IS (Adjusted)'!AI70-'IS (Base)'!AI70</f>
        <v>0</v>
      </c>
      <c r="AJ70" s="50">
        <f>'IS (Adjusted)'!AJ70-'IS (Base)'!AJ70</f>
        <v>0</v>
      </c>
      <c r="AK70" s="50">
        <f>'IS (Adjusted)'!AK70-'IS (Base)'!AK70</f>
        <v>0</v>
      </c>
      <c r="AL70" s="191">
        <f>'IS (Adjusted)'!AL70-'IS (Base)'!AL70</f>
        <v>0</v>
      </c>
      <c r="AM70" s="50">
        <f>'IS (Adjusted)'!AM70-'IS (Base)'!AM70</f>
        <v>0</v>
      </c>
      <c r="AN70" s="50">
        <f>'IS (Adjusted)'!AN70-'IS (Base)'!AN70</f>
        <v>0</v>
      </c>
      <c r="AO70" s="50">
        <f>'IS (Adjusted)'!AO70-'IS (Base)'!AO70</f>
        <v>0</v>
      </c>
      <c r="AP70" s="50">
        <f>'IS (Adjusted)'!AP70-'IS (Base)'!AP70</f>
        <v>0</v>
      </c>
      <c r="AQ70" s="191">
        <f>'IS (Adjusted)'!AQ70-'IS (Base)'!AQ70</f>
        <v>0</v>
      </c>
      <c r="AR70" s="50">
        <f>'IS (Adjusted)'!AR70-'IS (Base)'!AR70</f>
        <v>0</v>
      </c>
      <c r="AS70" s="50">
        <f>'IS (Adjusted)'!AS70-'IS (Base)'!AS70</f>
        <v>0</v>
      </c>
      <c r="AT70" s="50">
        <f>'IS (Adjusted)'!AT70-'IS (Base)'!AT70</f>
        <v>0</v>
      </c>
      <c r="AU70" s="50">
        <f>'IS (Adjusted)'!AU70-'IS (Base)'!AU70</f>
        <v>0</v>
      </c>
      <c r="AV70" s="191">
        <f>'IS (Adjusted)'!AV70-'IS (Base)'!AV70</f>
        <v>0</v>
      </c>
    </row>
    <row r="71" spans="2:48" outlineLevel="1" x14ac:dyDescent="0.3">
      <c r="B71" s="46" t="s">
        <v>184</v>
      </c>
      <c r="C71" s="44"/>
      <c r="D71" s="156">
        <f>'IS (Adjusted)'!D71-'IS (Base)'!D71</f>
        <v>0</v>
      </c>
      <c r="E71" s="156">
        <f>'IS (Adjusted)'!E71-'IS (Base)'!E71</f>
        <v>0</v>
      </c>
      <c r="F71" s="156">
        <f>'IS (Adjusted)'!F71-'IS (Base)'!F71</f>
        <v>0</v>
      </c>
      <c r="G71" s="156">
        <f>'IS (Adjusted)'!G71-'IS (Base)'!G71</f>
        <v>0</v>
      </c>
      <c r="H71" s="132">
        <f>'IS (Adjusted)'!H71-'IS (Base)'!H71</f>
        <v>0</v>
      </c>
      <c r="I71" s="156">
        <f>'IS (Adjusted)'!I71-'IS (Base)'!I71</f>
        <v>0</v>
      </c>
      <c r="J71" s="156">
        <f>'IS (Adjusted)'!J71-'IS (Base)'!J71</f>
        <v>0</v>
      </c>
      <c r="K71" s="156">
        <f>'IS (Adjusted)'!K71-'IS (Base)'!K71</f>
        <v>0</v>
      </c>
      <c r="L71" s="74">
        <f>'IS (Adjusted)'!L71-'IS (Base)'!L71</f>
        <v>0</v>
      </c>
      <c r="M71" s="97">
        <f>'IS (Adjusted)'!M71-'IS (Base)'!M71</f>
        <v>0</v>
      </c>
      <c r="N71" s="74">
        <f>'IS (Adjusted)'!N71-'IS (Base)'!N71</f>
        <v>0</v>
      </c>
      <c r="O71" s="74">
        <f>'IS (Adjusted)'!O71-'IS (Base)'!O71</f>
        <v>0</v>
      </c>
      <c r="P71" s="74">
        <f>'IS (Adjusted)'!P71-'IS (Base)'!P71</f>
        <v>0</v>
      </c>
      <c r="Q71" s="74">
        <f>'IS (Adjusted)'!Q71-'IS (Base)'!Q71</f>
        <v>0</v>
      </c>
      <c r="R71" s="97">
        <f>'IS (Adjusted)'!R71-'IS (Base)'!R71</f>
        <v>0</v>
      </c>
      <c r="S71" s="74">
        <f>'IS (Adjusted)'!S71-'IS (Base)'!S71</f>
        <v>0</v>
      </c>
      <c r="T71" s="74">
        <f>'IS (Adjusted)'!T71-'IS (Base)'!T71</f>
        <v>0</v>
      </c>
      <c r="U71" s="74">
        <f>'IS (Adjusted)'!U71-'IS (Base)'!U71</f>
        <v>0</v>
      </c>
      <c r="V71" s="156">
        <f>'IS (Adjusted)'!V71-'IS (Base)'!V71</f>
        <v>0</v>
      </c>
      <c r="W71" s="97">
        <f>'IS (Adjusted)'!W71-'IS (Base)'!W71</f>
        <v>0</v>
      </c>
      <c r="X71" s="156">
        <f>'IS (Adjusted)'!X71-'IS (Base)'!X71</f>
        <v>0</v>
      </c>
      <c r="Y71" s="74">
        <f>'IS (Adjusted)'!Y71-'IS (Base)'!Y71</f>
        <v>0</v>
      </c>
      <c r="Z71" s="74">
        <f>'IS (Adjusted)'!Z71-'IS (Base)'!Z71</f>
        <v>0</v>
      </c>
      <c r="AA71" s="74">
        <f>'IS (Adjusted)'!AA71-'IS (Base)'!AA71</f>
        <v>0</v>
      </c>
      <c r="AB71" s="97">
        <f>'IS (Adjusted)'!AB71-'IS (Base)'!AB71</f>
        <v>0</v>
      </c>
      <c r="AC71" s="74">
        <f>'IS (Adjusted)'!AC71-'IS (Base)'!AC71</f>
        <v>0</v>
      </c>
      <c r="AD71" s="74">
        <f>'IS (Adjusted)'!AD71-'IS (Base)'!AD71</f>
        <v>0</v>
      </c>
      <c r="AE71" s="74">
        <f>'IS (Adjusted)'!AE71-'IS (Base)'!AE71</f>
        <v>0</v>
      </c>
      <c r="AF71" s="74">
        <f>'IS (Adjusted)'!AF71-'IS (Base)'!AF71</f>
        <v>0</v>
      </c>
      <c r="AG71" s="97">
        <f>'IS (Adjusted)'!AG71-'IS (Base)'!AG71</f>
        <v>0</v>
      </c>
      <c r="AH71" s="74">
        <f>'IS (Adjusted)'!AH71-'IS (Base)'!AH71</f>
        <v>0</v>
      </c>
      <c r="AI71" s="74">
        <f>'IS (Adjusted)'!AI71-'IS (Base)'!AI71</f>
        <v>0</v>
      </c>
      <c r="AJ71" s="74">
        <f>'IS (Adjusted)'!AJ71-'IS (Base)'!AJ71</f>
        <v>0</v>
      </c>
      <c r="AK71" s="74">
        <f>'IS (Adjusted)'!AK71-'IS (Base)'!AK71</f>
        <v>0</v>
      </c>
      <c r="AL71" s="97">
        <f>'IS (Adjusted)'!AL71-'IS (Base)'!AL71</f>
        <v>0</v>
      </c>
      <c r="AM71" s="74">
        <f>'IS (Adjusted)'!AM71-'IS (Base)'!AM71</f>
        <v>0</v>
      </c>
      <c r="AN71" s="74">
        <f>'IS (Adjusted)'!AN71-'IS (Base)'!AN71</f>
        <v>0</v>
      </c>
      <c r="AO71" s="74">
        <f>'IS (Adjusted)'!AO71-'IS (Base)'!AO71</f>
        <v>0</v>
      </c>
      <c r="AP71" s="74">
        <f>'IS (Adjusted)'!AP71-'IS (Base)'!AP71</f>
        <v>0</v>
      </c>
      <c r="AQ71" s="97">
        <f>'IS (Adjusted)'!AQ71-'IS (Base)'!AQ71</f>
        <v>0</v>
      </c>
      <c r="AR71" s="74">
        <f>'IS (Adjusted)'!AR71-'IS (Base)'!AR71</f>
        <v>0</v>
      </c>
      <c r="AS71" s="74">
        <f>'IS (Adjusted)'!AS71-'IS (Base)'!AS71</f>
        <v>0</v>
      </c>
      <c r="AT71" s="74">
        <f>'IS (Adjusted)'!AT71-'IS (Base)'!AT71</f>
        <v>0</v>
      </c>
      <c r="AU71" s="74">
        <f>'IS (Adjusted)'!AU71-'IS (Base)'!AU71</f>
        <v>0</v>
      </c>
      <c r="AV71" s="97">
        <f>'IS (Adjusted)'!AV71-'IS (Base)'!AV71</f>
        <v>0</v>
      </c>
    </row>
    <row r="72" spans="2:48" outlineLevel="1" x14ac:dyDescent="0.3">
      <c r="B72" s="46" t="s">
        <v>185</v>
      </c>
      <c r="C72" s="44"/>
      <c r="D72" s="157">
        <f>'IS (Adjusted)'!D72-'IS (Base)'!D72</f>
        <v>0</v>
      </c>
      <c r="E72" s="157">
        <f>'IS (Adjusted)'!E72-'IS (Base)'!E72</f>
        <v>0</v>
      </c>
      <c r="F72" s="157">
        <f>'IS (Adjusted)'!F72-'IS (Base)'!F72</f>
        <v>0</v>
      </c>
      <c r="G72" s="157">
        <f>'IS (Adjusted)'!G72-'IS (Base)'!G72</f>
        <v>0</v>
      </c>
      <c r="H72" s="133">
        <f>'IS (Adjusted)'!H72-'IS (Base)'!H72</f>
        <v>0</v>
      </c>
      <c r="I72" s="157">
        <f>'IS (Adjusted)'!I72-'IS (Base)'!I72</f>
        <v>0</v>
      </c>
      <c r="J72" s="157">
        <f>'IS (Adjusted)'!J72-'IS (Base)'!J72</f>
        <v>0</v>
      </c>
      <c r="K72" s="157">
        <f>'IS (Adjusted)'!K72-'IS (Base)'!K72</f>
        <v>0</v>
      </c>
      <c r="L72" s="75">
        <f>'IS (Adjusted)'!L72-'IS (Base)'!L72</f>
        <v>0</v>
      </c>
      <c r="M72" s="98">
        <f>'IS (Adjusted)'!M72-'IS (Base)'!M72</f>
        <v>0</v>
      </c>
      <c r="N72" s="75">
        <f>'IS (Adjusted)'!N72-'IS (Base)'!N72</f>
        <v>0</v>
      </c>
      <c r="O72" s="75">
        <f>'IS (Adjusted)'!O72-'IS (Base)'!O72</f>
        <v>0</v>
      </c>
      <c r="P72" s="75">
        <f>'IS (Adjusted)'!P72-'IS (Base)'!P72</f>
        <v>0</v>
      </c>
      <c r="Q72" s="75">
        <f>'IS (Adjusted)'!Q72-'IS (Base)'!Q72</f>
        <v>0</v>
      </c>
      <c r="R72" s="98">
        <f>'IS (Adjusted)'!R72-'IS (Base)'!R72</f>
        <v>0</v>
      </c>
      <c r="S72" s="75">
        <f>'IS (Adjusted)'!S72-'IS (Base)'!S72</f>
        <v>0</v>
      </c>
      <c r="T72" s="75">
        <f>'IS (Adjusted)'!T72-'IS (Base)'!T72</f>
        <v>0</v>
      </c>
      <c r="U72" s="75">
        <f>'IS (Adjusted)'!U72-'IS (Base)'!U72</f>
        <v>0</v>
      </c>
      <c r="V72" s="75">
        <f>'IS (Adjusted)'!V72-'IS (Base)'!V72</f>
        <v>0</v>
      </c>
      <c r="W72" s="98">
        <f>'IS (Adjusted)'!W72-'IS (Base)'!W72</f>
        <v>0</v>
      </c>
      <c r="X72" s="157">
        <f>'IS (Adjusted)'!X72-'IS (Base)'!X72</f>
        <v>0</v>
      </c>
      <c r="Y72" s="75">
        <f>'IS (Adjusted)'!Y72-'IS (Base)'!Y72</f>
        <v>0</v>
      </c>
      <c r="Z72" s="75">
        <f>'IS (Adjusted)'!Z72-'IS (Base)'!Z72</f>
        <v>0</v>
      </c>
      <c r="AA72" s="75">
        <f>'IS (Adjusted)'!AA72-'IS (Base)'!AA72</f>
        <v>0</v>
      </c>
      <c r="AB72" s="98">
        <f>'IS (Adjusted)'!AB72-'IS (Base)'!AB72</f>
        <v>0</v>
      </c>
      <c r="AC72" s="75">
        <f>'IS (Adjusted)'!AC72-'IS (Base)'!AC72</f>
        <v>0</v>
      </c>
      <c r="AD72" s="75">
        <f>'IS (Adjusted)'!AD72-'IS (Base)'!AD72</f>
        <v>0</v>
      </c>
      <c r="AE72" s="75">
        <f>'IS (Adjusted)'!AE72-'IS (Base)'!AE72</f>
        <v>0</v>
      </c>
      <c r="AF72" s="75">
        <f>'IS (Adjusted)'!AF72-'IS (Base)'!AF72</f>
        <v>0</v>
      </c>
      <c r="AG72" s="98">
        <f>'IS (Adjusted)'!AG72-'IS (Base)'!AG72</f>
        <v>0</v>
      </c>
      <c r="AH72" s="75">
        <f>'IS (Adjusted)'!AH72-'IS (Base)'!AH72</f>
        <v>0</v>
      </c>
      <c r="AI72" s="75">
        <f>'IS (Adjusted)'!AI72-'IS (Base)'!AI72</f>
        <v>0</v>
      </c>
      <c r="AJ72" s="75">
        <f>'IS (Adjusted)'!AJ72-'IS (Base)'!AJ72</f>
        <v>0</v>
      </c>
      <c r="AK72" s="75">
        <f>'IS (Adjusted)'!AK72-'IS (Base)'!AK72</f>
        <v>0</v>
      </c>
      <c r="AL72" s="98">
        <f>'IS (Adjusted)'!AL72-'IS (Base)'!AL72</f>
        <v>0</v>
      </c>
      <c r="AM72" s="75">
        <f>'IS (Adjusted)'!AM72-'IS (Base)'!AM72</f>
        <v>0</v>
      </c>
      <c r="AN72" s="75">
        <f>'IS (Adjusted)'!AN72-'IS (Base)'!AN72</f>
        <v>0</v>
      </c>
      <c r="AO72" s="75">
        <f>'IS (Adjusted)'!AO72-'IS (Base)'!AO72</f>
        <v>0</v>
      </c>
      <c r="AP72" s="75">
        <f>'IS (Adjusted)'!AP72-'IS (Base)'!AP72</f>
        <v>0</v>
      </c>
      <c r="AQ72" s="98">
        <f>'IS (Adjusted)'!AQ72-'IS (Base)'!AQ72</f>
        <v>0</v>
      </c>
      <c r="AR72" s="75">
        <f>'IS (Adjusted)'!AR72-'IS (Base)'!AR72</f>
        <v>0</v>
      </c>
      <c r="AS72" s="75">
        <f>'IS (Adjusted)'!AS72-'IS (Base)'!AS72</f>
        <v>0</v>
      </c>
      <c r="AT72" s="75">
        <f>'IS (Adjusted)'!AT72-'IS (Base)'!AT72</f>
        <v>0</v>
      </c>
      <c r="AU72" s="75">
        <f>'IS (Adjusted)'!AU72-'IS (Base)'!AU72</f>
        <v>0</v>
      </c>
      <c r="AV72" s="98">
        <f>'IS (Adjusted)'!AV72-'IS (Base)'!AV72</f>
        <v>0</v>
      </c>
    </row>
    <row r="73" spans="2:48" ht="17.399999999999999" x14ac:dyDescent="0.45">
      <c r="B73" s="599" t="s">
        <v>114</v>
      </c>
      <c r="C73" s="600"/>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4" t="s">
        <v>408</v>
      </c>
      <c r="Y73" s="14" t="s">
        <v>452</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601" t="s">
        <v>115</v>
      </c>
      <c r="C74" s="602"/>
      <c r="D74" s="21">
        <f>'IS (Adjusted)'!D74-'IS (Base)'!D74</f>
        <v>0</v>
      </c>
      <c r="E74" s="21">
        <f>'IS (Adjusted)'!E74-'IS (Base)'!E74</f>
        <v>0</v>
      </c>
      <c r="F74" s="116">
        <f>'IS (Adjusted)'!F74-'IS (Base)'!F74</f>
        <v>0</v>
      </c>
      <c r="G74" s="21">
        <f>'IS (Adjusted)'!G74-'IS (Base)'!G74</f>
        <v>0</v>
      </c>
      <c r="H74" s="191">
        <f>'IS (Adjusted)'!H74-'IS (Base)'!H74</f>
        <v>0</v>
      </c>
      <c r="I74" s="21">
        <f>'IS (Adjusted)'!I74-'IS (Base)'!I74</f>
        <v>0</v>
      </c>
      <c r="J74" s="21">
        <f>'IS (Adjusted)'!J74-'IS (Base)'!J74</f>
        <v>0</v>
      </c>
      <c r="K74" s="21">
        <f>'IS (Adjusted)'!K74-'IS (Base)'!K74</f>
        <v>0</v>
      </c>
      <c r="L74" s="21">
        <f>'IS (Adjusted)'!L74-'IS (Base)'!L74</f>
        <v>0</v>
      </c>
      <c r="M74" s="191">
        <f>'IS (Adjusted)'!M74-'IS (Base)'!M74</f>
        <v>0</v>
      </c>
      <c r="N74" s="21">
        <f>'IS (Adjusted)'!N74-'IS (Base)'!N74</f>
        <v>0</v>
      </c>
      <c r="O74" s="21">
        <f>'IS (Adjusted)'!O74-'IS (Base)'!O74</f>
        <v>0</v>
      </c>
      <c r="P74" s="21">
        <f>'IS (Adjusted)'!P74-'IS (Base)'!P74</f>
        <v>0</v>
      </c>
      <c r="Q74" s="21">
        <f>'IS (Adjusted)'!Q74-'IS (Base)'!Q74</f>
        <v>0</v>
      </c>
      <c r="R74" s="191">
        <f>'IS (Adjusted)'!R74-'IS (Base)'!R74</f>
        <v>0</v>
      </c>
      <c r="S74" s="21">
        <f>'IS (Adjusted)'!S74-'IS (Base)'!S74</f>
        <v>0</v>
      </c>
      <c r="T74" s="21">
        <f>'IS (Adjusted)'!T74-'IS (Base)'!T74</f>
        <v>0</v>
      </c>
      <c r="U74" s="21">
        <f>'IS (Adjusted)'!U74-'IS (Base)'!U74</f>
        <v>0</v>
      </c>
      <c r="V74" s="21">
        <f>'IS (Adjusted)'!V74-'IS (Base)'!V74</f>
        <v>0</v>
      </c>
      <c r="W74" s="191">
        <f>'IS (Adjusted)'!W74-'IS (Base)'!W74</f>
        <v>0</v>
      </c>
      <c r="X74" s="21">
        <f>'IS (Adjusted)'!X74-'IS (Base)'!X74</f>
        <v>0</v>
      </c>
      <c r="Y74" s="21">
        <f>'IS (Adjusted)'!Y74-'IS (Base)'!Y74</f>
        <v>0</v>
      </c>
      <c r="Z74" s="21">
        <f>'IS (Adjusted)'!Z74-'IS (Base)'!Z74</f>
        <v>0</v>
      </c>
      <c r="AA74" s="21">
        <f>'IS (Adjusted)'!AA74-'IS (Base)'!AA74</f>
        <v>0</v>
      </c>
      <c r="AB74" s="191">
        <f>'IS (Adjusted)'!AB74-'IS (Base)'!AB74</f>
        <v>0</v>
      </c>
      <c r="AC74" s="21">
        <f>'IS (Adjusted)'!AC74-'IS (Base)'!AC74</f>
        <v>0</v>
      </c>
      <c r="AD74" s="21">
        <f>'IS (Adjusted)'!AD74-'IS (Base)'!AD74</f>
        <v>0</v>
      </c>
      <c r="AE74" s="21">
        <f>'IS (Adjusted)'!AE74-'IS (Base)'!AE74</f>
        <v>0</v>
      </c>
      <c r="AF74" s="21">
        <f>'IS (Adjusted)'!AF74-'IS (Base)'!AF74</f>
        <v>0</v>
      </c>
      <c r="AG74" s="191">
        <f>'IS (Adjusted)'!AG74-'IS (Base)'!AG74</f>
        <v>0</v>
      </c>
      <c r="AH74" s="21">
        <f>'IS (Adjusted)'!AH74-'IS (Base)'!AH74</f>
        <v>0</v>
      </c>
      <c r="AI74" s="21">
        <f>'IS (Adjusted)'!AI74-'IS (Base)'!AI74</f>
        <v>0</v>
      </c>
      <c r="AJ74" s="21">
        <f>'IS (Adjusted)'!AJ74-'IS (Base)'!AJ74</f>
        <v>0</v>
      </c>
      <c r="AK74" s="21">
        <f>'IS (Adjusted)'!AK74-'IS (Base)'!AK74</f>
        <v>0</v>
      </c>
      <c r="AL74" s="191">
        <f>'IS (Adjusted)'!AL74-'IS (Base)'!AL74</f>
        <v>0</v>
      </c>
      <c r="AM74" s="21">
        <f>'IS (Adjusted)'!AM74-'IS (Base)'!AM74</f>
        <v>0</v>
      </c>
      <c r="AN74" s="21">
        <f>'IS (Adjusted)'!AN74-'IS (Base)'!AN74</f>
        <v>0</v>
      </c>
      <c r="AO74" s="21">
        <f>'IS (Adjusted)'!AO74-'IS (Base)'!AO74</f>
        <v>0</v>
      </c>
      <c r="AP74" s="21">
        <f>'IS (Adjusted)'!AP74-'IS (Base)'!AP74</f>
        <v>0</v>
      </c>
      <c r="AQ74" s="191">
        <f>'IS (Adjusted)'!AQ74-'IS (Base)'!AQ74</f>
        <v>0</v>
      </c>
      <c r="AR74" s="21">
        <f>'IS (Adjusted)'!AR74-'IS (Base)'!AR74</f>
        <v>0</v>
      </c>
      <c r="AS74" s="21">
        <f>'IS (Adjusted)'!AS74-'IS (Base)'!AS74</f>
        <v>0</v>
      </c>
      <c r="AT74" s="21">
        <f>'IS (Adjusted)'!AT74-'IS (Base)'!AT74</f>
        <v>0</v>
      </c>
      <c r="AU74" s="21">
        <f>'IS (Adjusted)'!AU74-'IS (Base)'!AU74</f>
        <v>0</v>
      </c>
      <c r="AV74" s="191">
        <f>'IS (Adjusted)'!AV74-'IS (Base)'!AV74</f>
        <v>0</v>
      </c>
    </row>
    <row r="75" spans="2:48" outlineLevel="1" x14ac:dyDescent="0.3">
      <c r="B75" s="180" t="s">
        <v>46</v>
      </c>
      <c r="C75" s="201"/>
      <c r="D75" s="101">
        <f>'IS (Adjusted)'!D75-'IS (Base)'!D75</f>
        <v>0</v>
      </c>
      <c r="E75" s="101">
        <f>'IS (Adjusted)'!E75-'IS (Base)'!E75</f>
        <v>0</v>
      </c>
      <c r="F75" s="101">
        <f>'IS (Adjusted)'!F75-'IS (Base)'!F75</f>
        <v>0</v>
      </c>
      <c r="G75" s="101">
        <f>'IS (Adjusted)'!G75-'IS (Base)'!G75</f>
        <v>0</v>
      </c>
      <c r="H75" s="26">
        <f>'IS (Adjusted)'!H75-'IS (Base)'!H75</f>
        <v>0</v>
      </c>
      <c r="I75" s="101">
        <f>'IS (Adjusted)'!I75-'IS (Base)'!I75</f>
        <v>0</v>
      </c>
      <c r="J75" s="101">
        <f>'IS (Adjusted)'!J75-'IS (Base)'!J75</f>
        <v>0</v>
      </c>
      <c r="K75" s="101">
        <f>'IS (Adjusted)'!K75-'IS (Base)'!K75</f>
        <v>0</v>
      </c>
      <c r="L75" s="101">
        <f>'IS (Adjusted)'!L75-'IS (Base)'!L75</f>
        <v>0</v>
      </c>
      <c r="M75" s="26">
        <f>'IS (Adjusted)'!M75-'IS (Base)'!M75</f>
        <v>0</v>
      </c>
      <c r="N75" s="101">
        <f>'IS (Adjusted)'!N75-'IS (Base)'!N75</f>
        <v>0</v>
      </c>
      <c r="O75" s="101">
        <f>'IS (Adjusted)'!O75-'IS (Base)'!O75</f>
        <v>0</v>
      </c>
      <c r="P75" s="101">
        <f>'IS (Adjusted)'!P75-'IS (Base)'!P75</f>
        <v>0</v>
      </c>
      <c r="Q75" s="101">
        <f>'IS (Adjusted)'!Q75-'IS (Base)'!Q75</f>
        <v>0</v>
      </c>
      <c r="R75" s="26">
        <f>'IS (Adjusted)'!R75-'IS (Base)'!R75</f>
        <v>0</v>
      </c>
      <c r="S75" s="101">
        <f>'IS (Adjusted)'!S75-'IS (Base)'!S75</f>
        <v>0</v>
      </c>
      <c r="T75" s="101">
        <f>'IS (Adjusted)'!T75-'IS (Base)'!T75</f>
        <v>0</v>
      </c>
      <c r="U75" s="101">
        <f>'IS (Adjusted)'!U75-'IS (Base)'!U75</f>
        <v>0</v>
      </c>
      <c r="V75" s="101">
        <f>'IS (Adjusted)'!V75-'IS (Base)'!V75</f>
        <v>0</v>
      </c>
      <c r="W75" s="122">
        <f>'IS (Adjusted)'!W75-'IS (Base)'!W75</f>
        <v>0</v>
      </c>
      <c r="X75" s="101">
        <f>'IS (Adjusted)'!X75-'IS (Base)'!X75</f>
        <v>0</v>
      </c>
      <c r="Y75" s="33">
        <f>'IS (Adjusted)'!Y75-'IS (Base)'!Y75</f>
        <v>0</v>
      </c>
      <c r="Z75" s="33">
        <f>'IS (Adjusted)'!Z75-'IS (Base)'!Z75</f>
        <v>0</v>
      </c>
      <c r="AA75" s="33">
        <f>'IS (Adjusted)'!AA75-'IS (Base)'!AA75</f>
        <v>0</v>
      </c>
      <c r="AB75" s="26">
        <f>'IS (Adjusted)'!AB75-'IS (Base)'!AB75</f>
        <v>0</v>
      </c>
      <c r="AC75" s="33">
        <f>'IS (Adjusted)'!AC75-'IS (Base)'!AC75</f>
        <v>0</v>
      </c>
      <c r="AD75" s="33">
        <f>'IS (Adjusted)'!AD75-'IS (Base)'!AD75</f>
        <v>0</v>
      </c>
      <c r="AE75" s="33">
        <f>'IS (Adjusted)'!AE75-'IS (Base)'!AE75</f>
        <v>0</v>
      </c>
      <c r="AF75" s="33">
        <f>'IS (Adjusted)'!AF75-'IS (Base)'!AF75</f>
        <v>0</v>
      </c>
      <c r="AG75" s="26">
        <f>'IS (Adjusted)'!AG75-'IS (Base)'!AG75</f>
        <v>0</v>
      </c>
      <c r="AH75" s="95">
        <f>'IS (Adjusted)'!AH75-'IS (Base)'!AH75</f>
        <v>0</v>
      </c>
      <c r="AI75" s="33">
        <f>'IS (Adjusted)'!AI75-'IS (Base)'!AI75</f>
        <v>0</v>
      </c>
      <c r="AJ75" s="33">
        <f>'IS (Adjusted)'!AJ75-'IS (Base)'!AJ75</f>
        <v>0</v>
      </c>
      <c r="AK75" s="33">
        <f>'IS (Adjusted)'!AK75-'IS (Base)'!AK75</f>
        <v>0</v>
      </c>
      <c r="AL75" s="26">
        <f>'IS (Adjusted)'!AL75-'IS (Base)'!AL75</f>
        <v>0</v>
      </c>
      <c r="AM75" s="33">
        <f>'IS (Adjusted)'!AM75-'IS (Base)'!AM75</f>
        <v>0</v>
      </c>
      <c r="AN75" s="33">
        <f>'IS (Adjusted)'!AN75-'IS (Base)'!AN75</f>
        <v>0</v>
      </c>
      <c r="AO75" s="33">
        <f>'IS (Adjusted)'!AO75-'IS (Base)'!AO75</f>
        <v>0</v>
      </c>
      <c r="AP75" s="33">
        <f>'IS (Adjusted)'!AP75-'IS (Base)'!AP75</f>
        <v>0</v>
      </c>
      <c r="AQ75" s="26">
        <f>'IS (Adjusted)'!AQ75-'IS (Base)'!AQ75</f>
        <v>0</v>
      </c>
      <c r="AR75" s="33">
        <f>'IS (Adjusted)'!AR75-'IS (Base)'!AR75</f>
        <v>0</v>
      </c>
      <c r="AS75" s="33">
        <f>'IS (Adjusted)'!AS75-'IS (Base)'!AS75</f>
        <v>0</v>
      </c>
      <c r="AT75" s="33">
        <f>'IS (Adjusted)'!AT75-'IS (Base)'!AT75</f>
        <v>0</v>
      </c>
      <c r="AU75" s="33">
        <f>'IS (Adjusted)'!AU75-'IS (Base)'!AU75</f>
        <v>0</v>
      </c>
      <c r="AV75" s="26">
        <f>'IS (Adjusted)'!AV75-'IS (Base)'!AV75</f>
        <v>0</v>
      </c>
    </row>
    <row r="76" spans="2:48" outlineLevel="1" x14ac:dyDescent="0.3">
      <c r="B76" s="180" t="s">
        <v>201</v>
      </c>
      <c r="C76" s="201"/>
      <c r="D76" s="101">
        <f>'IS (Adjusted)'!D76-'IS (Base)'!D76</f>
        <v>0</v>
      </c>
      <c r="E76" s="101">
        <f>'IS (Adjusted)'!E76-'IS (Base)'!E76</f>
        <v>0</v>
      </c>
      <c r="F76" s="101">
        <f>'IS (Adjusted)'!F76-'IS (Base)'!F76</f>
        <v>0</v>
      </c>
      <c r="G76" s="101">
        <f>'IS (Adjusted)'!G76-'IS (Base)'!G76</f>
        <v>0</v>
      </c>
      <c r="H76" s="26">
        <f>'IS (Adjusted)'!H76-'IS (Base)'!H76</f>
        <v>0</v>
      </c>
      <c r="I76" s="101">
        <f>'IS (Adjusted)'!I76-'IS (Base)'!I76</f>
        <v>0</v>
      </c>
      <c r="J76" s="101">
        <f>'IS (Adjusted)'!J76-'IS (Base)'!J76</f>
        <v>0</v>
      </c>
      <c r="K76" s="101">
        <f>'IS (Adjusted)'!K76-'IS (Base)'!K76</f>
        <v>0</v>
      </c>
      <c r="L76" s="101">
        <f>'IS (Adjusted)'!L76-'IS (Base)'!L76</f>
        <v>0</v>
      </c>
      <c r="M76" s="26">
        <f>'IS (Adjusted)'!M76-'IS (Base)'!M76</f>
        <v>0</v>
      </c>
      <c r="N76" s="101">
        <f>'IS (Adjusted)'!N76-'IS (Base)'!N76</f>
        <v>0</v>
      </c>
      <c r="O76" s="101">
        <f>'IS (Adjusted)'!O76-'IS (Base)'!O76</f>
        <v>0</v>
      </c>
      <c r="P76" s="101">
        <f>'IS (Adjusted)'!P76-'IS (Base)'!P76</f>
        <v>0</v>
      </c>
      <c r="Q76" s="101">
        <f>'IS (Adjusted)'!Q76-'IS (Base)'!Q76</f>
        <v>0</v>
      </c>
      <c r="R76" s="26">
        <f>'IS (Adjusted)'!R76-'IS (Base)'!R76</f>
        <v>0</v>
      </c>
      <c r="S76" s="101">
        <f>'IS (Adjusted)'!S76-'IS (Base)'!S76</f>
        <v>0</v>
      </c>
      <c r="T76" s="101">
        <f>'IS (Adjusted)'!T76-'IS (Base)'!T76</f>
        <v>0</v>
      </c>
      <c r="U76" s="101">
        <f>'IS (Adjusted)'!U76-'IS (Base)'!U76</f>
        <v>0</v>
      </c>
      <c r="V76" s="101">
        <f>'IS (Adjusted)'!V76-'IS (Base)'!V76</f>
        <v>0</v>
      </c>
      <c r="W76" s="122">
        <f>'IS (Adjusted)'!W76-'IS (Base)'!W76</f>
        <v>0</v>
      </c>
      <c r="X76" s="101">
        <f>'IS (Adjusted)'!X76-'IS (Base)'!X76</f>
        <v>0</v>
      </c>
      <c r="Y76" s="101">
        <f>'IS (Adjusted)'!Y76-'IS (Base)'!Y76</f>
        <v>0</v>
      </c>
      <c r="Z76" s="101">
        <f>'IS (Adjusted)'!Z76-'IS (Base)'!Z76</f>
        <v>0</v>
      </c>
      <c r="AA76" s="101">
        <f>'IS (Adjusted)'!AA76-'IS (Base)'!AA76</f>
        <v>0</v>
      </c>
      <c r="AB76" s="26">
        <f>'IS (Adjusted)'!AB76-'IS (Base)'!AB76</f>
        <v>0</v>
      </c>
      <c r="AC76" s="101">
        <f>'IS (Adjusted)'!AC76-'IS (Base)'!AC76</f>
        <v>0</v>
      </c>
      <c r="AD76" s="101">
        <f>'IS (Adjusted)'!AD76-'IS (Base)'!AD76</f>
        <v>0</v>
      </c>
      <c r="AE76" s="101">
        <f>'IS (Adjusted)'!AE76-'IS (Base)'!AE76</f>
        <v>0</v>
      </c>
      <c r="AF76" s="101">
        <f>'IS (Adjusted)'!AF76-'IS (Base)'!AF76</f>
        <v>0</v>
      </c>
      <c r="AG76" s="26">
        <f>'IS (Adjusted)'!AG76-'IS (Base)'!AG76</f>
        <v>0</v>
      </c>
      <c r="AH76" s="101">
        <f>'IS (Adjusted)'!AH76-'IS (Base)'!AH76</f>
        <v>0</v>
      </c>
      <c r="AI76" s="101">
        <f>'IS (Adjusted)'!AI76-'IS (Base)'!AI76</f>
        <v>0</v>
      </c>
      <c r="AJ76" s="101">
        <f>'IS (Adjusted)'!AJ76-'IS (Base)'!AJ76</f>
        <v>0</v>
      </c>
      <c r="AK76" s="101">
        <f>'IS (Adjusted)'!AK76-'IS (Base)'!AK76</f>
        <v>0</v>
      </c>
      <c r="AL76" s="26">
        <f>'IS (Adjusted)'!AL76-'IS (Base)'!AL76</f>
        <v>0</v>
      </c>
      <c r="AM76" s="101">
        <f>'IS (Adjusted)'!AM76-'IS (Base)'!AM76</f>
        <v>0</v>
      </c>
      <c r="AN76" s="101">
        <f>'IS (Adjusted)'!AN76-'IS (Base)'!AN76</f>
        <v>0</v>
      </c>
      <c r="AO76" s="101">
        <f>'IS (Adjusted)'!AO76-'IS (Base)'!AO76</f>
        <v>0</v>
      </c>
      <c r="AP76" s="101">
        <f>'IS (Adjusted)'!AP76-'IS (Base)'!AP76</f>
        <v>0</v>
      </c>
      <c r="AQ76" s="26">
        <f>'IS (Adjusted)'!AQ76-'IS (Base)'!AQ76</f>
        <v>0</v>
      </c>
      <c r="AR76" s="101">
        <f>'IS (Adjusted)'!AR76-'IS (Base)'!AR76</f>
        <v>0</v>
      </c>
      <c r="AS76" s="101">
        <f>'IS (Adjusted)'!AS76-'IS (Base)'!AS76</f>
        <v>0</v>
      </c>
      <c r="AT76" s="101">
        <f>'IS (Adjusted)'!AT76-'IS (Base)'!AT76</f>
        <v>0</v>
      </c>
      <c r="AU76" s="101">
        <f>'IS (Adjusted)'!AU76-'IS (Base)'!AU76</f>
        <v>0</v>
      </c>
      <c r="AV76" s="26">
        <f>'IS (Adjusted)'!AV76-'IS (Base)'!AV76</f>
        <v>0</v>
      </c>
    </row>
    <row r="77" spans="2:48" s="20" customFormat="1" outlineLevel="1" x14ac:dyDescent="0.3">
      <c r="B77" s="180" t="s">
        <v>206</v>
      </c>
      <c r="C77" s="206"/>
      <c r="D77" s="43">
        <f>'IS (Adjusted)'!D77-'IS (Base)'!D77</f>
        <v>0</v>
      </c>
      <c r="E77" s="43">
        <f>'IS (Adjusted)'!E77-'IS (Base)'!E77</f>
        <v>0</v>
      </c>
      <c r="F77" s="114">
        <f>'IS (Adjusted)'!F77-'IS (Base)'!F77</f>
        <v>0</v>
      </c>
      <c r="G77" s="43">
        <f>'IS (Adjusted)'!G77-'IS (Base)'!G77</f>
        <v>0</v>
      </c>
      <c r="H77" s="97">
        <f>'IS (Adjusted)'!H77-'IS (Base)'!H77</f>
        <v>0</v>
      </c>
      <c r="I77" s="43">
        <f>'IS (Adjusted)'!I77-'IS (Base)'!I77</f>
        <v>0</v>
      </c>
      <c r="J77" s="43">
        <f>'IS (Adjusted)'!J77-'IS (Base)'!J77</f>
        <v>0</v>
      </c>
      <c r="K77" s="43">
        <f>'IS (Adjusted)'!K77-'IS (Base)'!K77</f>
        <v>0</v>
      </c>
      <c r="L77" s="43">
        <f>'IS (Adjusted)'!L77-'IS (Base)'!L77</f>
        <v>0</v>
      </c>
      <c r="M77" s="97">
        <f>'IS (Adjusted)'!M77-'IS (Base)'!M77</f>
        <v>0</v>
      </c>
      <c r="N77" s="43">
        <f>'IS (Adjusted)'!N77-'IS (Base)'!N77</f>
        <v>0</v>
      </c>
      <c r="O77" s="43">
        <f>'IS (Adjusted)'!O77-'IS (Base)'!O77</f>
        <v>0</v>
      </c>
      <c r="P77" s="43">
        <f>'IS (Adjusted)'!P77-'IS (Base)'!P77</f>
        <v>0</v>
      </c>
      <c r="Q77" s="43">
        <f>'IS (Adjusted)'!Q77-'IS (Base)'!Q77</f>
        <v>0</v>
      </c>
      <c r="R77" s="97">
        <f>'IS (Adjusted)'!R77-'IS (Base)'!R77</f>
        <v>0</v>
      </c>
      <c r="S77" s="43">
        <f>'IS (Adjusted)'!S77-'IS (Base)'!S77</f>
        <v>0</v>
      </c>
      <c r="T77" s="43">
        <f>'IS (Adjusted)'!T77-'IS (Base)'!T77</f>
        <v>0</v>
      </c>
      <c r="U77" s="43">
        <f>'IS (Adjusted)'!U77-'IS (Base)'!U77</f>
        <v>0</v>
      </c>
      <c r="V77" s="43">
        <f>'IS (Adjusted)'!V77-'IS (Base)'!V77</f>
        <v>0</v>
      </c>
      <c r="W77" s="132">
        <f>'IS (Adjusted)'!W77-'IS (Base)'!W77</f>
        <v>0</v>
      </c>
      <c r="X77" s="114">
        <f>'IS (Adjusted)'!X77-'IS (Base)'!X77</f>
        <v>0</v>
      </c>
      <c r="Y77" s="62">
        <f>'IS (Adjusted)'!Y77-'IS (Base)'!Y77</f>
        <v>0</v>
      </c>
      <c r="Z77" s="62">
        <f>'IS (Adjusted)'!Z77-'IS (Base)'!Z77</f>
        <v>0</v>
      </c>
      <c r="AA77" s="62">
        <f>'IS (Adjusted)'!AA77-'IS (Base)'!AA77</f>
        <v>0</v>
      </c>
      <c r="AB77" s="97">
        <f>'IS (Adjusted)'!AB77-'IS (Base)'!AB77</f>
        <v>0</v>
      </c>
      <c r="AC77" s="62">
        <f>'IS (Adjusted)'!AC77-'IS (Base)'!AC77</f>
        <v>0</v>
      </c>
      <c r="AD77" s="62">
        <f>'IS (Adjusted)'!AD77-'IS (Base)'!AD77</f>
        <v>0</v>
      </c>
      <c r="AE77" s="62">
        <f>'IS (Adjusted)'!AE77-'IS (Base)'!AE77</f>
        <v>0</v>
      </c>
      <c r="AF77" s="62">
        <f>'IS (Adjusted)'!AF77-'IS (Base)'!AF77</f>
        <v>0</v>
      </c>
      <c r="AG77" s="97">
        <f>'IS (Adjusted)'!AG77-'IS (Base)'!AG77</f>
        <v>0</v>
      </c>
      <c r="AH77" s="62">
        <f>'IS (Adjusted)'!AH77-'IS (Base)'!AH77</f>
        <v>0</v>
      </c>
      <c r="AI77" s="62">
        <f>'IS (Adjusted)'!AI77-'IS (Base)'!AI77</f>
        <v>0</v>
      </c>
      <c r="AJ77" s="62">
        <f>'IS (Adjusted)'!AJ77-'IS (Base)'!AJ77</f>
        <v>0</v>
      </c>
      <c r="AK77" s="62">
        <f>'IS (Adjusted)'!AK77-'IS (Base)'!AK77</f>
        <v>0</v>
      </c>
      <c r="AL77" s="97">
        <f>'IS (Adjusted)'!AL77-'IS (Base)'!AL77</f>
        <v>0</v>
      </c>
      <c r="AM77" s="477">
        <f>'IS (Adjusted)'!AM77-'IS (Base)'!AM77</f>
        <v>0</v>
      </c>
      <c r="AN77" s="477">
        <f>'IS (Adjusted)'!AN77-'IS (Base)'!AN77</f>
        <v>0</v>
      </c>
      <c r="AO77" s="477">
        <f>'IS (Adjusted)'!AO77-'IS (Base)'!AO77</f>
        <v>0</v>
      </c>
      <c r="AP77" s="477">
        <f>'IS (Adjusted)'!AP77-'IS (Base)'!AP77</f>
        <v>0</v>
      </c>
      <c r="AQ77" s="97">
        <f>'IS (Adjusted)'!AQ77-'IS (Base)'!AQ77</f>
        <v>0</v>
      </c>
      <c r="AR77" s="477">
        <f>'IS (Adjusted)'!AR77-'IS (Base)'!AR77</f>
        <v>0</v>
      </c>
      <c r="AS77" s="477">
        <f>'IS (Adjusted)'!AS77-'IS (Base)'!AS77</f>
        <v>0</v>
      </c>
      <c r="AT77" s="477">
        <f>'IS (Adjusted)'!AT77-'IS (Base)'!AT77</f>
        <v>0</v>
      </c>
      <c r="AU77" s="477">
        <f>'IS (Adjusted)'!AU77-'IS (Base)'!AU77</f>
        <v>0</v>
      </c>
      <c r="AV77" s="97">
        <f>'IS (Adjusted)'!AV77-'IS (Base)'!AV77</f>
        <v>0</v>
      </c>
    </row>
    <row r="78" spans="2:48" s="8" customFormat="1" outlineLevel="1" x14ac:dyDescent="0.3">
      <c r="B78" s="587" t="s">
        <v>116</v>
      </c>
      <c r="C78" s="588"/>
      <c r="D78" s="50">
        <f>'IS (Adjusted)'!D78-'IS (Base)'!D78</f>
        <v>0</v>
      </c>
      <c r="E78" s="50">
        <f>'IS (Adjusted)'!E78-'IS (Base)'!E78</f>
        <v>0</v>
      </c>
      <c r="F78" s="103">
        <f>'IS (Adjusted)'!F78-'IS (Base)'!F78</f>
        <v>0</v>
      </c>
      <c r="G78" s="50">
        <f>'IS (Adjusted)'!G78-'IS (Base)'!G78</f>
        <v>0</v>
      </c>
      <c r="H78" s="97">
        <f>'IS (Adjusted)'!H78-'IS (Base)'!H78</f>
        <v>0</v>
      </c>
      <c r="I78" s="50">
        <f>'IS (Adjusted)'!I78-'IS (Base)'!I78</f>
        <v>0</v>
      </c>
      <c r="J78" s="50">
        <f>'IS (Adjusted)'!J78-'IS (Base)'!J78</f>
        <v>0</v>
      </c>
      <c r="K78" s="103">
        <f>'IS (Adjusted)'!K78-'IS (Base)'!K78</f>
        <v>0</v>
      </c>
      <c r="L78" s="50">
        <f>'IS (Adjusted)'!L78-'IS (Base)'!L78</f>
        <v>0</v>
      </c>
      <c r="M78" s="97">
        <f>'IS (Adjusted)'!M78-'IS (Base)'!M78</f>
        <v>0</v>
      </c>
      <c r="N78" s="50">
        <f>'IS (Adjusted)'!N78-'IS (Base)'!N78</f>
        <v>0</v>
      </c>
      <c r="O78" s="50">
        <f>'IS (Adjusted)'!O78-'IS (Base)'!O78</f>
        <v>0</v>
      </c>
      <c r="P78" s="50">
        <f>'IS (Adjusted)'!P78-'IS (Base)'!P78</f>
        <v>0</v>
      </c>
      <c r="Q78" s="103">
        <f>'IS (Adjusted)'!Q78-'IS (Base)'!Q78</f>
        <v>0</v>
      </c>
      <c r="R78" s="97">
        <f>'IS (Adjusted)'!R78-'IS (Base)'!R78</f>
        <v>0</v>
      </c>
      <c r="S78" s="50">
        <f>'IS (Adjusted)'!S78-'IS (Base)'!S78</f>
        <v>0</v>
      </c>
      <c r="T78" s="50">
        <f>'IS (Adjusted)'!T78-'IS (Base)'!T78</f>
        <v>0</v>
      </c>
      <c r="U78" s="50">
        <f>'IS (Adjusted)'!U78-'IS (Base)'!U78</f>
        <v>0</v>
      </c>
      <c r="V78" s="50">
        <f>'IS (Adjusted)'!V78-'IS (Base)'!V78</f>
        <v>0</v>
      </c>
      <c r="W78" s="132">
        <f>'IS (Adjusted)'!W78-'IS (Base)'!W78</f>
        <v>0</v>
      </c>
      <c r="X78" s="103">
        <f>'IS (Adjusted)'!X78-'IS (Base)'!X78</f>
        <v>0</v>
      </c>
      <c r="Y78" s="50">
        <f>'IS (Adjusted)'!Y78-'IS (Base)'!Y78</f>
        <v>0</v>
      </c>
      <c r="Z78" s="50">
        <f>'IS (Adjusted)'!Z78-'IS (Base)'!Z78</f>
        <v>0</v>
      </c>
      <c r="AA78" s="50">
        <f>'IS (Adjusted)'!AA78-'IS (Base)'!AA78</f>
        <v>0</v>
      </c>
      <c r="AB78" s="97">
        <f>'IS (Adjusted)'!AB78-'IS (Base)'!AB78</f>
        <v>0</v>
      </c>
      <c r="AC78" s="50">
        <f>'IS (Adjusted)'!AC78-'IS (Base)'!AC78</f>
        <v>0</v>
      </c>
      <c r="AD78" s="50">
        <f>'IS (Adjusted)'!AD78-'IS (Base)'!AD78</f>
        <v>0</v>
      </c>
      <c r="AE78" s="50">
        <f>'IS (Adjusted)'!AE78-'IS (Base)'!AE78</f>
        <v>0</v>
      </c>
      <c r="AF78" s="50">
        <f>'IS (Adjusted)'!AF78-'IS (Base)'!AF78</f>
        <v>0</v>
      </c>
      <c r="AG78" s="97">
        <f>'IS (Adjusted)'!AG78-'IS (Base)'!AG78</f>
        <v>0</v>
      </c>
      <c r="AH78" s="50">
        <f>'IS (Adjusted)'!AH78-'IS (Base)'!AH78</f>
        <v>0</v>
      </c>
      <c r="AI78" s="50">
        <f>'IS (Adjusted)'!AI78-'IS (Base)'!AI78</f>
        <v>0</v>
      </c>
      <c r="AJ78" s="50">
        <f>'IS (Adjusted)'!AJ78-'IS (Base)'!AJ78</f>
        <v>0</v>
      </c>
      <c r="AK78" s="50">
        <f>'IS (Adjusted)'!AK78-'IS (Base)'!AK78</f>
        <v>0</v>
      </c>
      <c r="AL78" s="97">
        <f>'IS (Adjusted)'!AL78-'IS (Base)'!AL78</f>
        <v>0</v>
      </c>
      <c r="AM78" s="50">
        <f>'IS (Adjusted)'!AM78-'IS (Base)'!AM78</f>
        <v>0</v>
      </c>
      <c r="AN78" s="50">
        <f>'IS (Adjusted)'!AN78-'IS (Base)'!AN78</f>
        <v>0</v>
      </c>
      <c r="AO78" s="50">
        <f>'IS (Adjusted)'!AO78-'IS (Base)'!AO78</f>
        <v>0</v>
      </c>
      <c r="AP78" s="50">
        <f>'IS (Adjusted)'!AP78-'IS (Base)'!AP78</f>
        <v>0</v>
      </c>
      <c r="AQ78" s="97">
        <f>'IS (Adjusted)'!AQ78-'IS (Base)'!AQ78</f>
        <v>0</v>
      </c>
      <c r="AR78" s="50">
        <f>'IS (Adjusted)'!AR78-'IS (Base)'!AR78</f>
        <v>0</v>
      </c>
      <c r="AS78" s="50">
        <f>'IS (Adjusted)'!AS78-'IS (Base)'!AS78</f>
        <v>0</v>
      </c>
      <c r="AT78" s="50">
        <f>'IS (Adjusted)'!AT78-'IS (Base)'!AT78</f>
        <v>0</v>
      </c>
      <c r="AU78" s="50">
        <f>'IS (Adjusted)'!AU78-'IS (Base)'!AU78</f>
        <v>0</v>
      </c>
      <c r="AV78" s="97">
        <f>'IS (Adjusted)'!AV78-'IS (Base)'!AV78</f>
        <v>0</v>
      </c>
    </row>
    <row r="79" spans="2:48" s="8" customFormat="1" outlineLevel="1" x14ac:dyDescent="0.3">
      <c r="B79" s="38" t="s">
        <v>200</v>
      </c>
      <c r="C79" s="206"/>
      <c r="D79" s="43">
        <f>'IS (Adjusted)'!D79-'IS (Base)'!D79</f>
        <v>0</v>
      </c>
      <c r="E79" s="43">
        <f>'IS (Adjusted)'!E79-'IS (Base)'!E79</f>
        <v>0</v>
      </c>
      <c r="F79" s="43">
        <f>'IS (Adjusted)'!F79-'IS (Base)'!F79</f>
        <v>0</v>
      </c>
      <c r="G79" s="43">
        <f>'IS (Adjusted)'!G79-'IS (Base)'!G79</f>
        <v>0</v>
      </c>
      <c r="H79" s="97">
        <f>'IS (Adjusted)'!H79-'IS (Base)'!H79</f>
        <v>0</v>
      </c>
      <c r="I79" s="27">
        <f>'IS (Adjusted)'!I79-'IS (Base)'!I79</f>
        <v>0</v>
      </c>
      <c r="J79" s="27">
        <f>'IS (Adjusted)'!J79-'IS (Base)'!J79</f>
        <v>0</v>
      </c>
      <c r="K79" s="27">
        <f>'IS (Adjusted)'!K79-'IS (Base)'!K79</f>
        <v>0</v>
      </c>
      <c r="L79" s="27">
        <f>'IS (Adjusted)'!L79-'IS (Base)'!L79</f>
        <v>0</v>
      </c>
      <c r="M79" s="97">
        <f>'IS (Adjusted)'!M79-'IS (Base)'!M79</f>
        <v>0</v>
      </c>
      <c r="N79" s="27">
        <f>'IS (Adjusted)'!N79-'IS (Base)'!N79</f>
        <v>0</v>
      </c>
      <c r="O79" s="27">
        <f>'IS (Adjusted)'!O79-'IS (Base)'!O79</f>
        <v>0</v>
      </c>
      <c r="P79" s="27">
        <f>'IS (Adjusted)'!P79-'IS (Base)'!P79</f>
        <v>0</v>
      </c>
      <c r="Q79" s="27">
        <f>'IS (Adjusted)'!Q79-'IS (Base)'!Q79</f>
        <v>0</v>
      </c>
      <c r="R79" s="97">
        <f>'IS (Adjusted)'!R79-'IS (Base)'!R79</f>
        <v>0</v>
      </c>
      <c r="S79" s="27">
        <f>'IS (Adjusted)'!S79-'IS (Base)'!S79</f>
        <v>0</v>
      </c>
      <c r="T79" s="27">
        <f>'IS (Adjusted)'!T79-'IS (Base)'!T79</f>
        <v>0</v>
      </c>
      <c r="U79" s="27">
        <f>'IS (Adjusted)'!U79-'IS (Base)'!U79</f>
        <v>0</v>
      </c>
      <c r="V79" s="27">
        <f>'IS (Adjusted)'!V79-'IS (Base)'!V79</f>
        <v>0</v>
      </c>
      <c r="W79" s="375">
        <f>'IS (Adjusted)'!W79-'IS (Base)'!W79</f>
        <v>0</v>
      </c>
      <c r="X79" s="113">
        <f>'IS (Adjusted)'!X79-'IS (Base)'!X79</f>
        <v>0</v>
      </c>
      <c r="Y79" s="27">
        <f>'IS (Adjusted)'!Y79-'IS (Base)'!Y79</f>
        <v>0</v>
      </c>
      <c r="Z79" s="27">
        <f>'IS (Adjusted)'!Z79-'IS (Base)'!Z79</f>
        <v>0</v>
      </c>
      <c r="AA79" s="27">
        <f>'IS (Adjusted)'!AA79-'IS (Base)'!AA79</f>
        <v>0</v>
      </c>
      <c r="AB79" s="375">
        <f>'IS (Adjusted)'!AB79-'IS (Base)'!AB79</f>
        <v>0</v>
      </c>
      <c r="AC79" s="27">
        <f>'IS (Adjusted)'!AC79-'IS (Base)'!AC79</f>
        <v>0</v>
      </c>
      <c r="AD79" s="27">
        <f>'IS (Adjusted)'!AD79-'IS (Base)'!AD79</f>
        <v>0</v>
      </c>
      <c r="AE79" s="27">
        <f>'IS (Adjusted)'!AE79-'IS (Base)'!AE79</f>
        <v>0</v>
      </c>
      <c r="AF79" s="27">
        <f>'IS (Adjusted)'!AF79-'IS (Base)'!AF79</f>
        <v>0</v>
      </c>
      <c r="AG79" s="375">
        <f>'IS (Adjusted)'!AG79-'IS (Base)'!AG79</f>
        <v>0</v>
      </c>
      <c r="AH79" s="27">
        <f>'IS (Adjusted)'!AH79-'IS (Base)'!AH79</f>
        <v>0</v>
      </c>
      <c r="AI79" s="27">
        <f>'IS (Adjusted)'!AI79-'IS (Base)'!AI79</f>
        <v>0</v>
      </c>
      <c r="AJ79" s="27">
        <f>'IS (Adjusted)'!AJ79-'IS (Base)'!AJ79</f>
        <v>0</v>
      </c>
      <c r="AK79" s="27">
        <f>'IS (Adjusted)'!AK79-'IS (Base)'!AK79</f>
        <v>0</v>
      </c>
      <c r="AL79" s="375">
        <f>'IS (Adjusted)'!AL79-'IS (Base)'!AL79</f>
        <v>0</v>
      </c>
      <c r="AM79" s="27">
        <f>'IS (Adjusted)'!AM79-'IS (Base)'!AM79</f>
        <v>0</v>
      </c>
      <c r="AN79" s="27">
        <f>'IS (Adjusted)'!AN79-'IS (Base)'!AN79</f>
        <v>0</v>
      </c>
      <c r="AO79" s="27">
        <f>'IS (Adjusted)'!AO79-'IS (Base)'!AO79</f>
        <v>0</v>
      </c>
      <c r="AP79" s="27">
        <f>'IS (Adjusted)'!AP79-'IS (Base)'!AP79</f>
        <v>0</v>
      </c>
      <c r="AQ79" s="97">
        <f>'IS (Adjusted)'!AQ79-'IS (Base)'!AQ79</f>
        <v>0</v>
      </c>
      <c r="AR79" s="27">
        <f>'IS (Adjusted)'!AR79-'IS (Base)'!AR79</f>
        <v>0</v>
      </c>
      <c r="AS79" s="27">
        <f>'IS (Adjusted)'!AS79-'IS (Base)'!AS79</f>
        <v>0</v>
      </c>
      <c r="AT79" s="27">
        <f>'IS (Adjusted)'!AT79-'IS (Base)'!AT79</f>
        <v>0</v>
      </c>
      <c r="AU79" s="27">
        <f>'IS (Adjusted)'!AU79-'IS (Base)'!AU79</f>
        <v>0</v>
      </c>
      <c r="AV79" s="97">
        <f>'IS (Adjusted)'!AV79-'IS (Base)'!AV79</f>
        <v>0</v>
      </c>
    </row>
    <row r="80" spans="2:48" outlineLevel="1" x14ac:dyDescent="0.3">
      <c r="B80" s="236" t="s">
        <v>44</v>
      </c>
      <c r="C80" s="221"/>
      <c r="D80" s="222">
        <f>'IS (Adjusted)'!D80-'IS (Base)'!D80</f>
        <v>0</v>
      </c>
      <c r="E80" s="222">
        <f>'IS (Adjusted)'!E80-'IS (Base)'!E80</f>
        <v>0</v>
      </c>
      <c r="F80" s="222">
        <f>'IS (Adjusted)'!F80-'IS (Base)'!F80</f>
        <v>0</v>
      </c>
      <c r="G80" s="222">
        <f>'IS (Adjusted)'!G80-'IS (Base)'!G80</f>
        <v>0</v>
      </c>
      <c r="H80" s="223">
        <f>'IS (Adjusted)'!H80-'IS (Base)'!H80</f>
        <v>0</v>
      </c>
      <c r="I80" s="222">
        <f>'IS (Adjusted)'!I80-'IS (Base)'!I80</f>
        <v>0</v>
      </c>
      <c r="J80" s="222">
        <f>'IS (Adjusted)'!J80-'IS (Base)'!J80</f>
        <v>0</v>
      </c>
      <c r="K80" s="222">
        <f>'IS (Adjusted)'!K80-'IS (Base)'!K80</f>
        <v>0</v>
      </c>
      <c r="L80" s="224">
        <f>'IS (Adjusted)'!L80-'IS (Base)'!L80</f>
        <v>0</v>
      </c>
      <c r="M80" s="223">
        <f>'IS (Adjusted)'!M80-'IS (Base)'!M80</f>
        <v>0</v>
      </c>
      <c r="N80" s="222">
        <f>'IS (Adjusted)'!N80-'IS (Base)'!N80</f>
        <v>0</v>
      </c>
      <c r="O80" s="222">
        <f>'IS (Adjusted)'!O80-'IS (Base)'!O80</f>
        <v>0</v>
      </c>
      <c r="P80" s="222">
        <f>'IS (Adjusted)'!P80-'IS (Base)'!P80</f>
        <v>0</v>
      </c>
      <c r="Q80" s="222">
        <f>'IS (Adjusted)'!Q80-'IS (Base)'!Q80</f>
        <v>0</v>
      </c>
      <c r="R80" s="225">
        <f>'IS (Adjusted)'!R80-'IS (Base)'!R80</f>
        <v>0</v>
      </c>
      <c r="S80" s="224">
        <f>'IS (Adjusted)'!S80-'IS (Base)'!S80</f>
        <v>0</v>
      </c>
      <c r="T80" s="224">
        <f>'IS (Adjusted)'!T80-'IS (Base)'!T80</f>
        <v>0</v>
      </c>
      <c r="U80" s="224">
        <f>'IS (Adjusted)'!U80-'IS (Base)'!U80</f>
        <v>0</v>
      </c>
      <c r="V80" s="224">
        <f>'IS (Adjusted)'!V80-'IS (Base)'!V80</f>
        <v>0</v>
      </c>
      <c r="W80" s="223">
        <f>'IS (Adjusted)'!W80-'IS (Base)'!W80</f>
        <v>0</v>
      </c>
      <c r="X80" s="222">
        <f>'IS (Adjusted)'!X80-'IS (Base)'!X80</f>
        <v>0</v>
      </c>
      <c r="Y80" s="224">
        <f>'IS (Adjusted)'!Y80-'IS (Base)'!Y80</f>
        <v>0</v>
      </c>
      <c r="Z80" s="224">
        <f>'IS (Adjusted)'!Z80-'IS (Base)'!Z80</f>
        <v>0</v>
      </c>
      <c r="AA80" s="224">
        <f>'IS (Adjusted)'!AA80-'IS (Base)'!AA80</f>
        <v>0</v>
      </c>
      <c r="AB80" s="225">
        <f>'IS (Adjusted)'!AB80-'IS (Base)'!AB80</f>
        <v>0</v>
      </c>
      <c r="AC80" s="224">
        <f>'IS (Adjusted)'!AC80-'IS (Base)'!AC80</f>
        <v>0</v>
      </c>
      <c r="AD80" s="224">
        <f>'IS (Adjusted)'!AD80-'IS (Base)'!AD80</f>
        <v>0</v>
      </c>
      <c r="AE80" s="224">
        <f>'IS (Adjusted)'!AE80-'IS (Base)'!AE80</f>
        <v>0</v>
      </c>
      <c r="AF80" s="224">
        <f>'IS (Adjusted)'!AF80-'IS (Base)'!AF80</f>
        <v>0</v>
      </c>
      <c r="AG80" s="225">
        <f>'IS (Adjusted)'!AG80-'IS (Base)'!AG80</f>
        <v>0</v>
      </c>
      <c r="AH80" s="224">
        <f>'IS (Adjusted)'!AH80-'IS (Base)'!AH80</f>
        <v>0</v>
      </c>
      <c r="AI80" s="224">
        <f>'IS (Adjusted)'!AI80-'IS (Base)'!AI80</f>
        <v>0</v>
      </c>
      <c r="AJ80" s="224">
        <f>'IS (Adjusted)'!AJ80-'IS (Base)'!AJ80</f>
        <v>0</v>
      </c>
      <c r="AK80" s="224">
        <f>'IS (Adjusted)'!AK80-'IS (Base)'!AK80</f>
        <v>0</v>
      </c>
      <c r="AL80" s="225">
        <f>'IS (Adjusted)'!AL80-'IS (Base)'!AL80</f>
        <v>0</v>
      </c>
      <c r="AM80" s="224">
        <f>'IS (Adjusted)'!AM80-'IS (Base)'!AM80</f>
        <v>0</v>
      </c>
      <c r="AN80" s="224">
        <f>'IS (Adjusted)'!AN80-'IS (Base)'!AN80</f>
        <v>0</v>
      </c>
      <c r="AO80" s="224">
        <f>'IS (Adjusted)'!AO80-'IS (Base)'!AO80</f>
        <v>0</v>
      </c>
      <c r="AP80" s="224">
        <f>'IS (Adjusted)'!AP80-'IS (Base)'!AP80</f>
        <v>0</v>
      </c>
      <c r="AQ80" s="225">
        <f>'IS (Adjusted)'!AQ80-'IS (Base)'!AQ80</f>
        <v>0</v>
      </c>
      <c r="AR80" s="224">
        <f>'IS (Adjusted)'!AR80-'IS (Base)'!AR80</f>
        <v>0</v>
      </c>
      <c r="AS80" s="224">
        <f>'IS (Adjusted)'!AS80-'IS (Base)'!AS80</f>
        <v>0</v>
      </c>
      <c r="AT80" s="224">
        <f>'IS (Adjusted)'!AT80-'IS (Base)'!AT80</f>
        <v>0</v>
      </c>
      <c r="AU80" s="224">
        <f>'IS (Adjusted)'!AU80-'IS (Base)'!AU80</f>
        <v>0</v>
      </c>
      <c r="AV80" s="225">
        <f>'IS (Adjusted)'!AV80-'IS (Base)'!AV80</f>
        <v>0</v>
      </c>
    </row>
    <row r="81" spans="1:48" outlineLevel="1" x14ac:dyDescent="0.3">
      <c r="B81" s="180" t="s">
        <v>43</v>
      </c>
      <c r="C81" s="207"/>
      <c r="D81" s="151">
        <f>'IS (Adjusted)'!D81-'IS (Base)'!D81</f>
        <v>0</v>
      </c>
      <c r="E81" s="151">
        <f>'IS (Adjusted)'!E81-'IS (Base)'!E81</f>
        <v>0</v>
      </c>
      <c r="F81" s="151">
        <f>'IS (Adjusted)'!F81-'IS (Base)'!F81</f>
        <v>0</v>
      </c>
      <c r="G81" s="151">
        <f>'IS (Adjusted)'!G81-'IS (Base)'!G81</f>
        <v>0</v>
      </c>
      <c r="H81" s="60">
        <f>'IS (Adjusted)'!H81-'IS (Base)'!H81</f>
        <v>0</v>
      </c>
      <c r="I81" s="151">
        <f>'IS (Adjusted)'!I81-'IS (Base)'!I81</f>
        <v>0</v>
      </c>
      <c r="J81" s="151">
        <f>'IS (Adjusted)'!J81-'IS (Base)'!J81</f>
        <v>0</v>
      </c>
      <c r="K81" s="151">
        <f>'IS (Adjusted)'!K81-'IS (Base)'!K81</f>
        <v>0</v>
      </c>
      <c r="L81" s="59">
        <f>'IS (Adjusted)'!L81-'IS (Base)'!L81</f>
        <v>0</v>
      </c>
      <c r="M81" s="60">
        <f>'IS (Adjusted)'!M81-'IS (Base)'!M81</f>
        <v>0</v>
      </c>
      <c r="N81" s="151">
        <f>'IS (Adjusted)'!N81-'IS (Base)'!N81</f>
        <v>0</v>
      </c>
      <c r="O81" s="59">
        <f>'IS (Adjusted)'!O81-'IS (Base)'!O81</f>
        <v>0</v>
      </c>
      <c r="P81" s="59">
        <f>'IS (Adjusted)'!P81-'IS (Base)'!P81</f>
        <v>0</v>
      </c>
      <c r="Q81" s="151">
        <f>'IS (Adjusted)'!Q81-'IS (Base)'!Q81</f>
        <v>0</v>
      </c>
      <c r="R81" s="60">
        <f>'IS (Adjusted)'!R81-'IS (Base)'!R81</f>
        <v>0</v>
      </c>
      <c r="S81" s="59">
        <f>'IS (Adjusted)'!S81-'IS (Base)'!S81</f>
        <v>0</v>
      </c>
      <c r="T81" s="59">
        <f>'IS (Adjusted)'!T81-'IS (Base)'!T81</f>
        <v>0</v>
      </c>
      <c r="U81" s="59">
        <f>'IS (Adjusted)'!U81-'IS (Base)'!U81</f>
        <v>0</v>
      </c>
      <c r="V81" s="59">
        <f>'IS (Adjusted)'!V81-'IS (Base)'!V81</f>
        <v>0</v>
      </c>
      <c r="W81" s="148">
        <f>'IS (Adjusted)'!W81-'IS (Base)'!W81</f>
        <v>0</v>
      </c>
      <c r="X81" s="151">
        <f>'IS (Adjusted)'!X81-'IS (Base)'!X81</f>
        <v>0</v>
      </c>
      <c r="Y81" s="59">
        <f>'IS (Adjusted)'!Y81-'IS (Base)'!Y81</f>
        <v>0</v>
      </c>
      <c r="Z81" s="59">
        <f>'IS (Adjusted)'!Z81-'IS (Base)'!Z81</f>
        <v>0</v>
      </c>
      <c r="AA81" s="59">
        <f>'IS (Adjusted)'!AA81-'IS (Base)'!AA81</f>
        <v>0</v>
      </c>
      <c r="AB81" s="60">
        <f>'IS (Adjusted)'!AB81-'IS (Base)'!AB81</f>
        <v>0</v>
      </c>
      <c r="AC81" s="59">
        <f>'IS (Adjusted)'!AC81-'IS (Base)'!AC81</f>
        <v>0</v>
      </c>
      <c r="AD81" s="59">
        <f>'IS (Adjusted)'!AD81-'IS (Base)'!AD81</f>
        <v>0</v>
      </c>
      <c r="AE81" s="59">
        <f>'IS (Adjusted)'!AE81-'IS (Base)'!AE81</f>
        <v>0</v>
      </c>
      <c r="AF81" s="59">
        <f>'IS (Adjusted)'!AF81-'IS (Base)'!AF81</f>
        <v>0</v>
      </c>
      <c r="AG81" s="60">
        <f>'IS (Adjusted)'!AG81-'IS (Base)'!AG81</f>
        <v>0</v>
      </c>
      <c r="AH81" s="59">
        <f>'IS (Adjusted)'!AH81-'IS (Base)'!AH81</f>
        <v>0</v>
      </c>
      <c r="AI81" s="59">
        <f>'IS (Adjusted)'!AI81-'IS (Base)'!AI81</f>
        <v>0</v>
      </c>
      <c r="AJ81" s="59">
        <f>'IS (Adjusted)'!AJ81-'IS (Base)'!AJ81</f>
        <v>0</v>
      </c>
      <c r="AK81" s="59">
        <f>'IS (Adjusted)'!AK81-'IS (Base)'!AK81</f>
        <v>0</v>
      </c>
      <c r="AL81" s="60">
        <f>'IS (Adjusted)'!AL81-'IS (Base)'!AL81</f>
        <v>0</v>
      </c>
      <c r="AM81" s="59">
        <f>'IS (Adjusted)'!AM81-'IS (Base)'!AM81</f>
        <v>0</v>
      </c>
      <c r="AN81" s="59">
        <f>'IS (Adjusted)'!AN81-'IS (Base)'!AN81</f>
        <v>0</v>
      </c>
      <c r="AO81" s="59">
        <f>'IS (Adjusted)'!AO81-'IS (Base)'!AO81</f>
        <v>0</v>
      </c>
      <c r="AP81" s="59">
        <f>'IS (Adjusted)'!AP81-'IS (Base)'!AP81</f>
        <v>0</v>
      </c>
      <c r="AQ81" s="60">
        <f>'IS (Adjusted)'!AQ81-'IS (Base)'!AQ81</f>
        <v>0</v>
      </c>
      <c r="AR81" s="59">
        <f>'IS (Adjusted)'!AR81-'IS (Base)'!AR81</f>
        <v>0</v>
      </c>
      <c r="AS81" s="59">
        <f>'IS (Adjusted)'!AS81-'IS (Base)'!AS81</f>
        <v>0</v>
      </c>
      <c r="AT81" s="59">
        <f>'IS (Adjusted)'!AT81-'IS (Base)'!AT81</f>
        <v>0</v>
      </c>
      <c r="AU81" s="59">
        <f>'IS (Adjusted)'!AU81-'IS (Base)'!AU81</f>
        <v>0</v>
      </c>
      <c r="AV81" s="60">
        <f>'IS (Adjusted)'!AV81-'IS (Base)'!AV81</f>
        <v>0</v>
      </c>
    </row>
    <row r="82" spans="1:48" s="8" customFormat="1" outlineLevel="1" x14ac:dyDescent="0.3">
      <c r="B82" s="208" t="s">
        <v>45</v>
      </c>
      <c r="C82" s="206"/>
      <c r="D82" s="152">
        <f>'IS (Adjusted)'!D82-'IS (Base)'!D82</f>
        <v>0</v>
      </c>
      <c r="E82" s="152">
        <f>'IS (Adjusted)'!E82-'IS (Base)'!E82</f>
        <v>0</v>
      </c>
      <c r="F82" s="152">
        <f>'IS (Adjusted)'!F82-'IS (Base)'!F82</f>
        <v>0</v>
      </c>
      <c r="G82" s="152">
        <f>'IS (Adjusted)'!G82-'IS (Base)'!G82</f>
        <v>0</v>
      </c>
      <c r="H82" s="61">
        <f>'IS (Adjusted)'!H82-'IS (Base)'!H82</f>
        <v>0</v>
      </c>
      <c r="I82" s="152">
        <f>'IS (Adjusted)'!I82-'IS (Base)'!I82</f>
        <v>0</v>
      </c>
      <c r="J82" s="152">
        <f>'IS (Adjusted)'!J82-'IS (Base)'!J82</f>
        <v>0</v>
      </c>
      <c r="K82" s="152">
        <f>'IS (Adjusted)'!K82-'IS (Base)'!K82</f>
        <v>0</v>
      </c>
      <c r="L82" s="157">
        <f>'IS (Adjusted)'!L82-'IS (Base)'!L82</f>
        <v>0</v>
      </c>
      <c r="M82" s="61">
        <f>'IS (Adjusted)'!M82-'IS (Base)'!M82</f>
        <v>0</v>
      </c>
      <c r="N82" s="152">
        <f>'IS (Adjusted)'!N82-'IS (Base)'!N82</f>
        <v>0</v>
      </c>
      <c r="O82" s="152">
        <f>'IS (Adjusted)'!O82-'IS (Base)'!O82</f>
        <v>0</v>
      </c>
      <c r="P82" s="152">
        <f>'IS (Adjusted)'!P82-'IS (Base)'!P82</f>
        <v>0</v>
      </c>
      <c r="Q82" s="152">
        <f>'IS (Adjusted)'!Q82-'IS (Base)'!Q82</f>
        <v>0</v>
      </c>
      <c r="R82" s="377">
        <f>'IS (Adjusted)'!R82-'IS (Base)'!R82</f>
        <v>0</v>
      </c>
      <c r="S82" s="152">
        <f>'IS (Adjusted)'!S82-'IS (Base)'!S82</f>
        <v>0</v>
      </c>
      <c r="T82" s="152">
        <f>'IS (Adjusted)'!T82-'IS (Base)'!T82</f>
        <v>0</v>
      </c>
      <c r="U82" s="152">
        <f>'IS (Adjusted)'!U82-'IS (Base)'!U82</f>
        <v>0</v>
      </c>
      <c r="V82" s="152">
        <f>'IS (Adjusted)'!V82-'IS (Base)'!V82</f>
        <v>0</v>
      </c>
      <c r="W82" s="377">
        <f>'IS (Adjusted)'!W82-'IS (Base)'!W82</f>
        <v>0</v>
      </c>
      <c r="X82" s="152">
        <f>'IS (Adjusted)'!X82-'IS (Base)'!X82</f>
        <v>0</v>
      </c>
      <c r="Y82" s="157">
        <f>'IS (Adjusted)'!Y82-'IS (Base)'!Y82</f>
        <v>0</v>
      </c>
      <c r="Z82" s="157">
        <f>'IS (Adjusted)'!Z82-'IS (Base)'!Z82</f>
        <v>0</v>
      </c>
      <c r="AA82" s="157">
        <f>'IS (Adjusted)'!AA82-'IS (Base)'!AA82</f>
        <v>0</v>
      </c>
      <c r="AB82" s="377">
        <f>'IS (Adjusted)'!AB82-'IS (Base)'!AB82</f>
        <v>0</v>
      </c>
      <c r="AC82" s="157">
        <f>'IS (Adjusted)'!AC82-'IS (Base)'!AC82</f>
        <v>0</v>
      </c>
      <c r="AD82" s="157">
        <f>'IS (Adjusted)'!AD82-'IS (Base)'!AD82</f>
        <v>0</v>
      </c>
      <c r="AE82" s="157">
        <f>'IS (Adjusted)'!AE82-'IS (Base)'!AE82</f>
        <v>0</v>
      </c>
      <c r="AF82" s="157">
        <f>'IS (Adjusted)'!AF82-'IS (Base)'!AF82</f>
        <v>0</v>
      </c>
      <c r="AG82" s="377">
        <f>'IS (Adjusted)'!AG82-'IS (Base)'!AG82</f>
        <v>0</v>
      </c>
      <c r="AH82" s="157">
        <f>'IS (Adjusted)'!AH82-'IS (Base)'!AH82</f>
        <v>0</v>
      </c>
      <c r="AI82" s="157">
        <f>'IS (Adjusted)'!AI82-'IS (Base)'!AI82</f>
        <v>0</v>
      </c>
      <c r="AJ82" s="157">
        <f>'IS (Adjusted)'!AJ82-'IS (Base)'!AJ82</f>
        <v>0</v>
      </c>
      <c r="AK82" s="157">
        <f>'IS (Adjusted)'!AK82-'IS (Base)'!AK82</f>
        <v>0</v>
      </c>
      <c r="AL82" s="377">
        <f>'IS (Adjusted)'!AL82-'IS (Base)'!AL82</f>
        <v>0</v>
      </c>
      <c r="AM82" s="157">
        <f>'IS (Adjusted)'!AM82-'IS (Base)'!AM82</f>
        <v>0</v>
      </c>
      <c r="AN82" s="157">
        <f>'IS (Adjusted)'!AN82-'IS (Base)'!AN82</f>
        <v>0</v>
      </c>
      <c r="AO82" s="157">
        <f>'IS (Adjusted)'!AO82-'IS (Base)'!AO82</f>
        <v>0</v>
      </c>
      <c r="AP82" s="157">
        <f>'IS (Adjusted)'!AP82-'IS (Base)'!AP82</f>
        <v>0</v>
      </c>
      <c r="AQ82" s="134">
        <f>'IS (Adjusted)'!AQ82-'IS (Base)'!AQ82</f>
        <v>0</v>
      </c>
      <c r="AR82" s="157">
        <f>'IS (Adjusted)'!AR82-'IS (Base)'!AR82</f>
        <v>0</v>
      </c>
      <c r="AS82" s="157">
        <f>'IS (Adjusted)'!AS82-'IS (Base)'!AS82</f>
        <v>0</v>
      </c>
      <c r="AT82" s="157">
        <f>'IS (Adjusted)'!AT82-'IS (Base)'!AT82</f>
        <v>0</v>
      </c>
      <c r="AU82" s="157">
        <f>'IS (Adjusted)'!AU82-'IS (Base)'!AU82</f>
        <v>0</v>
      </c>
      <c r="AV82" s="61">
        <f>'IS (Adjusted)'!AV82-'IS (Base)'!AV82</f>
        <v>0</v>
      </c>
    </row>
    <row r="83" spans="1:48" s="8" customFormat="1" outlineLevel="1" x14ac:dyDescent="0.3">
      <c r="B83" s="597" t="s">
        <v>117</v>
      </c>
      <c r="C83" s="598"/>
      <c r="D83" s="117">
        <f>'IS (Adjusted)'!D83-'IS (Base)'!D83</f>
        <v>0</v>
      </c>
      <c r="E83" s="117">
        <f>'IS (Adjusted)'!E83-'IS (Base)'!E83</f>
        <v>0</v>
      </c>
      <c r="F83" s="117">
        <f>'IS (Adjusted)'!F83-'IS (Base)'!F83</f>
        <v>0</v>
      </c>
      <c r="G83" s="117">
        <f>'IS (Adjusted)'!G83-'IS (Base)'!G83</f>
        <v>0</v>
      </c>
      <c r="H83" s="192">
        <f>'IS (Adjusted)'!H83-'IS (Base)'!H83</f>
        <v>0</v>
      </c>
      <c r="I83" s="117">
        <f>'IS (Adjusted)'!I83-'IS (Base)'!I83</f>
        <v>0</v>
      </c>
      <c r="J83" s="117">
        <f>'IS (Adjusted)'!J83-'IS (Base)'!J83</f>
        <v>0</v>
      </c>
      <c r="K83" s="117">
        <f>'IS (Adjusted)'!K83-'IS (Base)'!K83</f>
        <v>0</v>
      </c>
      <c r="L83" s="117">
        <f>'IS (Adjusted)'!L83-'IS (Base)'!L83</f>
        <v>0</v>
      </c>
      <c r="M83" s="192">
        <f>'IS (Adjusted)'!M83-'IS (Base)'!M83</f>
        <v>0</v>
      </c>
      <c r="N83" s="117">
        <f>'IS (Adjusted)'!N83-'IS (Base)'!N83</f>
        <v>0</v>
      </c>
      <c r="O83" s="67">
        <f>'IS (Adjusted)'!O83-'IS (Base)'!O83</f>
        <v>0</v>
      </c>
      <c r="P83" s="67">
        <f>'IS (Adjusted)'!P83-'IS (Base)'!P83</f>
        <v>0</v>
      </c>
      <c r="Q83" s="67">
        <f>'IS (Adjusted)'!Q83-'IS (Base)'!Q83</f>
        <v>0</v>
      </c>
      <c r="R83" s="192">
        <f>'IS (Adjusted)'!R83-'IS (Base)'!R83</f>
        <v>0</v>
      </c>
      <c r="S83" s="67">
        <f>'IS (Adjusted)'!S83-'IS (Base)'!S83</f>
        <v>0</v>
      </c>
      <c r="T83" s="67">
        <f>'IS (Adjusted)'!T83-'IS (Base)'!T83</f>
        <v>0</v>
      </c>
      <c r="U83" s="67">
        <f>'IS (Adjusted)'!U83-'IS (Base)'!U83</f>
        <v>0</v>
      </c>
      <c r="V83" s="67">
        <f>'IS (Adjusted)'!V83-'IS (Base)'!V83</f>
        <v>0</v>
      </c>
      <c r="W83" s="253">
        <f>'IS (Adjusted)'!W83-'IS (Base)'!W83</f>
        <v>0</v>
      </c>
      <c r="X83" s="117">
        <f>'IS (Adjusted)'!X83-'IS (Base)'!X83</f>
        <v>0</v>
      </c>
      <c r="Y83" s="67">
        <f>'IS (Adjusted)'!Y83-'IS (Base)'!Y83</f>
        <v>0</v>
      </c>
      <c r="Z83" s="67">
        <f>'IS (Adjusted)'!Z83-'IS (Base)'!Z83</f>
        <v>0</v>
      </c>
      <c r="AA83" s="67">
        <f>'IS (Adjusted)'!AA83-'IS (Base)'!AA83</f>
        <v>0</v>
      </c>
      <c r="AB83" s="192">
        <f>'IS (Adjusted)'!AB83-'IS (Base)'!AB83</f>
        <v>0</v>
      </c>
      <c r="AC83" s="67">
        <f>'IS (Adjusted)'!AC83-'IS (Base)'!AC83</f>
        <v>0</v>
      </c>
      <c r="AD83" s="67">
        <f>'IS (Adjusted)'!AD83-'IS (Base)'!AD83</f>
        <v>0</v>
      </c>
      <c r="AE83" s="67">
        <f>'IS (Adjusted)'!AE83-'IS (Base)'!AE83</f>
        <v>0</v>
      </c>
      <c r="AF83" s="67">
        <f>'IS (Adjusted)'!AF83-'IS (Base)'!AF83</f>
        <v>0</v>
      </c>
      <c r="AG83" s="192">
        <f>'IS (Adjusted)'!AG83-'IS (Base)'!AG83</f>
        <v>0</v>
      </c>
      <c r="AH83" s="67">
        <f>'IS (Adjusted)'!AH83-'IS (Base)'!AH83</f>
        <v>0</v>
      </c>
      <c r="AI83" s="67">
        <f>'IS (Adjusted)'!AI83-'IS (Base)'!AI83</f>
        <v>0</v>
      </c>
      <c r="AJ83" s="67">
        <f>'IS (Adjusted)'!AJ83-'IS (Base)'!AJ83</f>
        <v>0</v>
      </c>
      <c r="AK83" s="67">
        <f>'IS (Adjusted)'!AK83-'IS (Base)'!AK83</f>
        <v>0</v>
      </c>
      <c r="AL83" s="192">
        <f>'IS (Adjusted)'!AL83-'IS (Base)'!AL83</f>
        <v>0</v>
      </c>
      <c r="AM83" s="67">
        <f>'IS (Adjusted)'!AM83-'IS (Base)'!AM83</f>
        <v>0</v>
      </c>
      <c r="AN83" s="67">
        <f>'IS (Adjusted)'!AN83-'IS (Base)'!AN83</f>
        <v>0</v>
      </c>
      <c r="AO83" s="67">
        <f>'IS (Adjusted)'!AO83-'IS (Base)'!AO83</f>
        <v>0</v>
      </c>
      <c r="AP83" s="67">
        <f>'IS (Adjusted)'!AP83-'IS (Base)'!AP83</f>
        <v>0</v>
      </c>
      <c r="AQ83" s="192">
        <f>'IS (Adjusted)'!AQ83-'IS (Base)'!AQ83</f>
        <v>0</v>
      </c>
      <c r="AR83" s="67">
        <f>'IS (Adjusted)'!AR83-'IS (Base)'!AR83</f>
        <v>0</v>
      </c>
      <c r="AS83" s="67">
        <f>'IS (Adjusted)'!AS83-'IS (Base)'!AS83</f>
        <v>0</v>
      </c>
      <c r="AT83" s="67">
        <f>'IS (Adjusted)'!AT83-'IS (Base)'!AT83</f>
        <v>0</v>
      </c>
      <c r="AU83" s="67">
        <f>'IS (Adjusted)'!AU83-'IS (Base)'!AU83</f>
        <v>0</v>
      </c>
      <c r="AV83" s="192">
        <f>'IS (Adjusted)'!AV83-'IS (Base)'!AV83</f>
        <v>0</v>
      </c>
    </row>
    <row r="84" spans="1:48" outlineLevel="1" x14ac:dyDescent="0.3">
      <c r="B84" s="180" t="s">
        <v>47</v>
      </c>
      <c r="C84" s="201"/>
      <c r="D84" s="101">
        <f>'IS (Adjusted)'!D84-'IS (Base)'!D84</f>
        <v>0</v>
      </c>
      <c r="E84" s="101">
        <f>'IS (Adjusted)'!E84-'IS (Base)'!E84</f>
        <v>0</v>
      </c>
      <c r="F84" s="101">
        <f>'IS (Adjusted)'!F84-'IS (Base)'!F84</f>
        <v>0</v>
      </c>
      <c r="G84" s="101">
        <f>'IS (Adjusted)'!G84-'IS (Base)'!G84</f>
        <v>0</v>
      </c>
      <c r="H84" s="122">
        <f>'IS (Adjusted)'!H84-'IS (Base)'!H84</f>
        <v>0</v>
      </c>
      <c r="I84" s="101">
        <f>'IS (Adjusted)'!I84-'IS (Base)'!I84</f>
        <v>0</v>
      </c>
      <c r="J84" s="101">
        <f>'IS (Adjusted)'!J84-'IS (Base)'!J84</f>
        <v>0</v>
      </c>
      <c r="K84" s="101">
        <f>'IS (Adjusted)'!K84-'IS (Base)'!K84</f>
        <v>0</v>
      </c>
      <c r="L84" s="101">
        <f>'IS (Adjusted)'!L84-'IS (Base)'!L84</f>
        <v>0</v>
      </c>
      <c r="M84" s="122">
        <f>'IS (Adjusted)'!M84-'IS (Base)'!M84</f>
        <v>0</v>
      </c>
      <c r="N84" s="101">
        <f>'IS (Adjusted)'!N84-'IS (Base)'!N84</f>
        <v>0</v>
      </c>
      <c r="O84" s="101">
        <f>'IS (Adjusted)'!O84-'IS (Base)'!O84</f>
        <v>0</v>
      </c>
      <c r="P84" s="101">
        <f>'IS (Adjusted)'!P84-'IS (Base)'!P84</f>
        <v>0</v>
      </c>
      <c r="Q84" s="101">
        <f>'IS (Adjusted)'!Q84-'IS (Base)'!Q84</f>
        <v>0</v>
      </c>
      <c r="R84" s="122">
        <f>'IS (Adjusted)'!R84-'IS (Base)'!R84</f>
        <v>0</v>
      </c>
      <c r="S84" s="101">
        <f>'IS (Adjusted)'!S84-'IS (Base)'!S84</f>
        <v>0</v>
      </c>
      <c r="T84" s="101">
        <f>'IS (Adjusted)'!T84-'IS (Base)'!T84</f>
        <v>0</v>
      </c>
      <c r="U84" s="101">
        <f>'IS (Adjusted)'!U84-'IS (Base)'!U84</f>
        <v>0</v>
      </c>
      <c r="V84" s="101">
        <f>'IS (Adjusted)'!V84-'IS (Base)'!V84</f>
        <v>0</v>
      </c>
      <c r="W84" s="122">
        <f>'IS (Adjusted)'!W84-'IS (Base)'!W84</f>
        <v>0</v>
      </c>
      <c r="X84" s="101">
        <f>'IS (Adjusted)'!X84-'IS (Base)'!X84</f>
        <v>0</v>
      </c>
      <c r="Y84" s="33">
        <f>'IS (Adjusted)'!Y84-'IS (Base)'!Y84</f>
        <v>0</v>
      </c>
      <c r="Z84" s="33">
        <f>'IS (Adjusted)'!Z84-'IS (Base)'!Z84</f>
        <v>0</v>
      </c>
      <c r="AA84" s="33">
        <f>'IS (Adjusted)'!AA84-'IS (Base)'!AA84</f>
        <v>0</v>
      </c>
      <c r="AB84" s="122">
        <f>'IS (Adjusted)'!AB84-'IS (Base)'!AB84</f>
        <v>0</v>
      </c>
      <c r="AC84" s="33">
        <f>'IS (Adjusted)'!AC84-'IS (Base)'!AC84</f>
        <v>0</v>
      </c>
      <c r="AD84" s="33">
        <f>'IS (Adjusted)'!AD84-'IS (Base)'!AD84</f>
        <v>0</v>
      </c>
      <c r="AE84" s="33">
        <f>'IS (Adjusted)'!AE84-'IS (Base)'!AE84</f>
        <v>0</v>
      </c>
      <c r="AF84" s="33">
        <f>'IS (Adjusted)'!AF84-'IS (Base)'!AF84</f>
        <v>0</v>
      </c>
      <c r="AG84" s="122">
        <f>'IS (Adjusted)'!AG84-'IS (Base)'!AG84</f>
        <v>0</v>
      </c>
      <c r="AH84" s="33">
        <f>'IS (Adjusted)'!AH84-'IS (Base)'!AH84</f>
        <v>0</v>
      </c>
      <c r="AI84" s="33">
        <f>'IS (Adjusted)'!AI84-'IS (Base)'!AI84</f>
        <v>0</v>
      </c>
      <c r="AJ84" s="33">
        <f>'IS (Adjusted)'!AJ84-'IS (Base)'!AJ84</f>
        <v>0</v>
      </c>
      <c r="AK84" s="33">
        <f>'IS (Adjusted)'!AK84-'IS (Base)'!AK84</f>
        <v>0</v>
      </c>
      <c r="AL84" s="122">
        <f>'IS (Adjusted)'!AL84-'IS (Base)'!AL84</f>
        <v>0</v>
      </c>
      <c r="AM84" s="33">
        <f>'IS (Adjusted)'!AM84-'IS (Base)'!AM84</f>
        <v>0</v>
      </c>
      <c r="AN84" s="33">
        <f>'IS (Adjusted)'!AN84-'IS (Base)'!AN84</f>
        <v>0</v>
      </c>
      <c r="AO84" s="33">
        <f>'IS (Adjusted)'!AO84-'IS (Base)'!AO84</f>
        <v>0</v>
      </c>
      <c r="AP84" s="33">
        <f>'IS (Adjusted)'!AP84-'IS (Base)'!AP84</f>
        <v>0</v>
      </c>
      <c r="AQ84" s="122">
        <f>'IS (Adjusted)'!AQ84-'IS (Base)'!AQ84</f>
        <v>0</v>
      </c>
      <c r="AR84" s="33">
        <f>'IS (Adjusted)'!AR84-'IS (Base)'!AR84</f>
        <v>0</v>
      </c>
      <c r="AS84" s="33">
        <f>'IS (Adjusted)'!AS84-'IS (Base)'!AS84</f>
        <v>0</v>
      </c>
      <c r="AT84" s="33">
        <f>'IS (Adjusted)'!AT84-'IS (Base)'!AT84</f>
        <v>0</v>
      </c>
      <c r="AU84" s="33">
        <f>'IS (Adjusted)'!AU84-'IS (Base)'!AU84</f>
        <v>0</v>
      </c>
      <c r="AV84" s="122">
        <f>'IS (Adjusted)'!AV84-'IS (Base)'!AV84</f>
        <v>0</v>
      </c>
    </row>
    <row r="85" spans="1:48" outlineLevel="1" x14ac:dyDescent="0.3">
      <c r="B85" s="180" t="s">
        <v>49</v>
      </c>
      <c r="C85" s="201"/>
      <c r="D85" s="16">
        <f>'IS (Adjusted)'!D85-'IS (Base)'!D85</f>
        <v>0</v>
      </c>
      <c r="E85" s="16">
        <f>'IS (Adjusted)'!E85-'IS (Base)'!E85</f>
        <v>0</v>
      </c>
      <c r="F85" s="16">
        <f>'IS (Adjusted)'!F85-'IS (Base)'!F85</f>
        <v>0</v>
      </c>
      <c r="G85" s="16">
        <f>'IS (Adjusted)'!G85-'IS (Base)'!G85</f>
        <v>0</v>
      </c>
      <c r="H85" s="26">
        <f>'IS (Adjusted)'!H85-'IS (Base)'!H85</f>
        <v>0</v>
      </c>
      <c r="I85" s="16">
        <f>'IS (Adjusted)'!I85-'IS (Base)'!I85</f>
        <v>0</v>
      </c>
      <c r="J85" s="16">
        <f>'IS (Adjusted)'!J85-'IS (Base)'!J85</f>
        <v>0</v>
      </c>
      <c r="K85" s="16">
        <f>'IS (Adjusted)'!K85-'IS (Base)'!K85</f>
        <v>0</v>
      </c>
      <c r="L85" s="16">
        <f>'IS (Adjusted)'!L85-'IS (Base)'!L85</f>
        <v>0</v>
      </c>
      <c r="M85" s="6">
        <f>'IS (Adjusted)'!M85-'IS (Base)'!M85</f>
        <v>0</v>
      </c>
      <c r="N85" s="16">
        <f>'IS (Adjusted)'!N85-'IS (Base)'!N85</f>
        <v>0</v>
      </c>
      <c r="O85" s="16">
        <f>'IS (Adjusted)'!O85-'IS (Base)'!O85</f>
        <v>0</v>
      </c>
      <c r="P85" s="16">
        <f>'IS (Adjusted)'!P85-'IS (Base)'!P85</f>
        <v>0</v>
      </c>
      <c r="Q85" s="16">
        <f>'IS (Adjusted)'!Q85-'IS (Base)'!Q85</f>
        <v>0</v>
      </c>
      <c r="R85" s="6">
        <f>'IS (Adjusted)'!R85-'IS (Base)'!R85</f>
        <v>0</v>
      </c>
      <c r="S85" s="16">
        <f>'IS (Adjusted)'!S85-'IS (Base)'!S85</f>
        <v>0</v>
      </c>
      <c r="T85" s="16">
        <f>'IS (Adjusted)'!T85-'IS (Base)'!T85</f>
        <v>0</v>
      </c>
      <c r="U85" s="16">
        <f>'IS (Adjusted)'!U85-'IS (Base)'!U85</f>
        <v>0</v>
      </c>
      <c r="V85" s="16">
        <f>'IS (Adjusted)'!V85-'IS (Base)'!V85</f>
        <v>0</v>
      </c>
      <c r="W85" s="130">
        <f>'IS (Adjusted)'!W85-'IS (Base)'!W85</f>
        <v>0</v>
      </c>
      <c r="X85" s="101">
        <f>'IS (Adjusted)'!X85-'IS (Base)'!X85</f>
        <v>0</v>
      </c>
      <c r="Y85" s="16">
        <f>'IS (Adjusted)'!Y85-'IS (Base)'!Y85</f>
        <v>0</v>
      </c>
      <c r="Z85" s="16">
        <f>'IS (Adjusted)'!Z85-'IS (Base)'!Z85</f>
        <v>0</v>
      </c>
      <c r="AA85" s="16">
        <f>'IS (Adjusted)'!AA85-'IS (Base)'!AA85</f>
        <v>0</v>
      </c>
      <c r="AB85" s="6">
        <f>'IS (Adjusted)'!AB85-'IS (Base)'!AB85</f>
        <v>0</v>
      </c>
      <c r="AC85" s="16">
        <f>'IS (Adjusted)'!AC85-'IS (Base)'!AC85</f>
        <v>0</v>
      </c>
      <c r="AD85" s="16">
        <f>'IS (Adjusted)'!AD85-'IS (Base)'!AD85</f>
        <v>0</v>
      </c>
      <c r="AE85" s="16">
        <f>'IS (Adjusted)'!AE85-'IS (Base)'!AE85</f>
        <v>0</v>
      </c>
      <c r="AF85" s="16">
        <f>'IS (Adjusted)'!AF85-'IS (Base)'!AF85</f>
        <v>0</v>
      </c>
      <c r="AG85" s="6">
        <f>'IS (Adjusted)'!AG85-'IS (Base)'!AG85</f>
        <v>0</v>
      </c>
      <c r="AH85" s="16">
        <f>'IS (Adjusted)'!AH85-'IS (Base)'!AH85</f>
        <v>0</v>
      </c>
      <c r="AI85" s="16">
        <f>'IS (Adjusted)'!AI85-'IS (Base)'!AI85</f>
        <v>0</v>
      </c>
      <c r="AJ85" s="16">
        <f>'IS (Adjusted)'!AJ85-'IS (Base)'!AJ85</f>
        <v>0</v>
      </c>
      <c r="AK85" s="16">
        <f>'IS (Adjusted)'!AK85-'IS (Base)'!AK85</f>
        <v>0</v>
      </c>
      <c r="AL85" s="6">
        <f>'IS (Adjusted)'!AL85-'IS (Base)'!AL85</f>
        <v>0</v>
      </c>
      <c r="AM85" s="16">
        <f>'IS (Adjusted)'!AM85-'IS (Base)'!AM85</f>
        <v>0</v>
      </c>
      <c r="AN85" s="16">
        <f>'IS (Adjusted)'!AN85-'IS (Base)'!AN85</f>
        <v>0</v>
      </c>
      <c r="AO85" s="16">
        <f>'IS (Adjusted)'!AO85-'IS (Base)'!AO85</f>
        <v>0</v>
      </c>
      <c r="AP85" s="16">
        <f>'IS (Adjusted)'!AP85-'IS (Base)'!AP85</f>
        <v>0</v>
      </c>
      <c r="AQ85" s="6">
        <f>'IS (Adjusted)'!AQ85-'IS (Base)'!AQ85</f>
        <v>0</v>
      </c>
      <c r="AR85" s="16">
        <f>'IS (Adjusted)'!AR85-'IS (Base)'!AR85</f>
        <v>0</v>
      </c>
      <c r="AS85" s="16">
        <f>'IS (Adjusted)'!AS85-'IS (Base)'!AS85</f>
        <v>0</v>
      </c>
      <c r="AT85" s="16">
        <f>'IS (Adjusted)'!AT85-'IS (Base)'!AT85</f>
        <v>0</v>
      </c>
      <c r="AU85" s="16">
        <f>'IS (Adjusted)'!AU85-'IS (Base)'!AU85</f>
        <v>0</v>
      </c>
      <c r="AV85" s="6">
        <f>'IS (Adjusted)'!AV85-'IS (Base)'!AV85</f>
        <v>0</v>
      </c>
    </row>
    <row r="86" spans="1:48" outlineLevel="1" x14ac:dyDescent="0.3">
      <c r="B86" s="180" t="s">
        <v>48</v>
      </c>
      <c r="C86" s="201"/>
      <c r="D86" s="43">
        <f>'IS (Adjusted)'!D86-'IS (Base)'!D86</f>
        <v>0</v>
      </c>
      <c r="E86" s="114">
        <f>'IS (Adjusted)'!E86-'IS (Base)'!E86</f>
        <v>0</v>
      </c>
      <c r="F86" s="114">
        <f>'IS (Adjusted)'!F86-'IS (Base)'!F86</f>
        <v>0</v>
      </c>
      <c r="G86" s="114">
        <f>'IS (Adjusted)'!G86-'IS (Base)'!G86</f>
        <v>0</v>
      </c>
      <c r="H86" s="26">
        <f>'IS (Adjusted)'!H86-'IS (Base)'!H86</f>
        <v>0</v>
      </c>
      <c r="I86" s="114">
        <f>'IS (Adjusted)'!I86-'IS (Base)'!I86</f>
        <v>0</v>
      </c>
      <c r="J86" s="114">
        <f>'IS (Adjusted)'!J86-'IS (Base)'!J86</f>
        <v>0</v>
      </c>
      <c r="K86" s="114">
        <f>'IS (Adjusted)'!K86-'IS (Base)'!K86</f>
        <v>0</v>
      </c>
      <c r="L86" s="114">
        <f>'IS (Adjusted)'!L86-'IS (Base)'!L86</f>
        <v>0</v>
      </c>
      <c r="M86" s="6">
        <f>'IS (Adjusted)'!M86-'IS (Base)'!M86</f>
        <v>0</v>
      </c>
      <c r="N86" s="114">
        <f>'IS (Adjusted)'!N86-'IS (Base)'!N86</f>
        <v>0</v>
      </c>
      <c r="O86" s="114">
        <f>'IS (Adjusted)'!O86-'IS (Base)'!O86</f>
        <v>0</v>
      </c>
      <c r="P86" s="114">
        <f>'IS (Adjusted)'!P86-'IS (Base)'!P86</f>
        <v>0</v>
      </c>
      <c r="Q86" s="114">
        <f>'IS (Adjusted)'!Q86-'IS (Base)'!Q86</f>
        <v>0</v>
      </c>
      <c r="R86" s="6">
        <f>'IS (Adjusted)'!R86-'IS (Base)'!R86</f>
        <v>0</v>
      </c>
      <c r="S86" s="114">
        <f>'IS (Adjusted)'!S86-'IS (Base)'!S86</f>
        <v>0</v>
      </c>
      <c r="T86" s="114">
        <f>'IS (Adjusted)'!T86-'IS (Base)'!T86</f>
        <v>0</v>
      </c>
      <c r="U86" s="114">
        <f>'IS (Adjusted)'!U86-'IS (Base)'!U86</f>
        <v>0</v>
      </c>
      <c r="V86" s="114">
        <f>'IS (Adjusted)'!V86-'IS (Base)'!V86</f>
        <v>0</v>
      </c>
      <c r="W86" s="130">
        <f>'IS (Adjusted)'!W86-'IS (Base)'!W86</f>
        <v>0</v>
      </c>
      <c r="X86" s="114">
        <f>'IS (Adjusted)'!X86-'IS (Base)'!X86</f>
        <v>0</v>
      </c>
      <c r="Y86" s="62">
        <f>'IS (Adjusted)'!Y86-'IS (Base)'!Y86</f>
        <v>0</v>
      </c>
      <c r="Z86" s="62">
        <f>'IS (Adjusted)'!Z86-'IS (Base)'!Z86</f>
        <v>0</v>
      </c>
      <c r="AA86" s="62">
        <f>'IS (Adjusted)'!AA86-'IS (Base)'!AA86</f>
        <v>0</v>
      </c>
      <c r="AB86" s="6">
        <f>'IS (Adjusted)'!AB86-'IS (Base)'!AB86</f>
        <v>0</v>
      </c>
      <c r="AC86" s="62">
        <f>'IS (Adjusted)'!AC86-'IS (Base)'!AC86</f>
        <v>0</v>
      </c>
      <c r="AD86" s="62">
        <f>'IS (Adjusted)'!AD86-'IS (Base)'!AD86</f>
        <v>0</v>
      </c>
      <c r="AE86" s="62">
        <f>'IS (Adjusted)'!AE86-'IS (Base)'!AE86</f>
        <v>0</v>
      </c>
      <c r="AF86" s="62">
        <f>'IS (Adjusted)'!AF86-'IS (Base)'!AF86</f>
        <v>0</v>
      </c>
      <c r="AG86" s="6">
        <f>'IS (Adjusted)'!AG86-'IS (Base)'!AG86</f>
        <v>0</v>
      </c>
      <c r="AH86" s="62">
        <f>'IS (Adjusted)'!AH86-'IS (Base)'!AH86</f>
        <v>0</v>
      </c>
      <c r="AI86" s="62">
        <f>'IS (Adjusted)'!AI86-'IS (Base)'!AI86</f>
        <v>0</v>
      </c>
      <c r="AJ86" s="62">
        <f>'IS (Adjusted)'!AJ86-'IS (Base)'!AJ86</f>
        <v>0</v>
      </c>
      <c r="AK86" s="62">
        <f>'IS (Adjusted)'!AK86-'IS (Base)'!AK86</f>
        <v>0</v>
      </c>
      <c r="AL86" s="6">
        <f>'IS (Adjusted)'!AL86-'IS (Base)'!AL86</f>
        <v>0</v>
      </c>
      <c r="AM86" s="477">
        <f>'IS (Adjusted)'!AM86-'IS (Base)'!AM86</f>
        <v>0</v>
      </c>
      <c r="AN86" s="477">
        <f>'IS (Adjusted)'!AN86-'IS (Base)'!AN86</f>
        <v>0</v>
      </c>
      <c r="AO86" s="477">
        <f>'IS (Adjusted)'!AO86-'IS (Base)'!AO86</f>
        <v>0</v>
      </c>
      <c r="AP86" s="477">
        <f>'IS (Adjusted)'!AP86-'IS (Base)'!AP86</f>
        <v>0</v>
      </c>
      <c r="AQ86" s="97">
        <f>'IS (Adjusted)'!AQ86-'IS (Base)'!AQ86</f>
        <v>0</v>
      </c>
      <c r="AR86" s="477">
        <f>'IS (Adjusted)'!AR86-'IS (Base)'!AR86</f>
        <v>0</v>
      </c>
      <c r="AS86" s="477">
        <f>'IS (Adjusted)'!AS86-'IS (Base)'!AS86</f>
        <v>0</v>
      </c>
      <c r="AT86" s="477">
        <f>'IS (Adjusted)'!AT86-'IS (Base)'!AT86</f>
        <v>0</v>
      </c>
      <c r="AU86" s="477">
        <f>'IS (Adjusted)'!AU86-'IS (Base)'!AU86</f>
        <v>0</v>
      </c>
      <c r="AV86" s="6">
        <f>'IS (Adjusted)'!AV86-'IS (Base)'!AV86</f>
        <v>0</v>
      </c>
    </row>
    <row r="87" spans="1:48" s="8" customFormat="1" outlineLevel="1" x14ac:dyDescent="0.3">
      <c r="B87" s="603" t="s">
        <v>118</v>
      </c>
      <c r="C87" s="604"/>
      <c r="D87" s="115">
        <f>'IS (Adjusted)'!D87-'IS (Base)'!D87</f>
        <v>0</v>
      </c>
      <c r="E87" s="115">
        <f>'IS (Adjusted)'!E87-'IS (Base)'!E87</f>
        <v>0</v>
      </c>
      <c r="F87" s="115">
        <f>'IS (Adjusted)'!F87-'IS (Base)'!F87</f>
        <v>0</v>
      </c>
      <c r="G87" s="115">
        <f>'IS (Adjusted)'!G87-'IS (Base)'!G87</f>
        <v>0</v>
      </c>
      <c r="H87" s="73">
        <f>'IS (Adjusted)'!H87-'IS (Base)'!H87</f>
        <v>0</v>
      </c>
      <c r="I87" s="115">
        <f>'IS (Adjusted)'!I87-'IS (Base)'!I87</f>
        <v>0</v>
      </c>
      <c r="J87" s="115">
        <f>'IS (Adjusted)'!J87-'IS (Base)'!J87</f>
        <v>0</v>
      </c>
      <c r="K87" s="115">
        <f>'IS (Adjusted)'!K87-'IS (Base)'!K87</f>
        <v>0</v>
      </c>
      <c r="L87" s="72">
        <f>'IS (Adjusted)'!L87-'IS (Base)'!L87</f>
        <v>0</v>
      </c>
      <c r="M87" s="73">
        <f>'IS (Adjusted)'!M87-'IS (Base)'!M87</f>
        <v>0</v>
      </c>
      <c r="N87" s="72">
        <f>'IS (Adjusted)'!N87-'IS (Base)'!N87</f>
        <v>0</v>
      </c>
      <c r="O87" s="72">
        <f>'IS (Adjusted)'!O87-'IS (Base)'!O87</f>
        <v>0</v>
      </c>
      <c r="P87" s="72">
        <f>'IS (Adjusted)'!P87-'IS (Base)'!P87</f>
        <v>0</v>
      </c>
      <c r="Q87" s="115">
        <f>'IS (Adjusted)'!Q87-'IS (Base)'!Q87</f>
        <v>0</v>
      </c>
      <c r="R87" s="73">
        <f>'IS (Adjusted)'!R87-'IS (Base)'!R87</f>
        <v>0</v>
      </c>
      <c r="S87" s="72">
        <f>'IS (Adjusted)'!S87-'IS (Base)'!S87</f>
        <v>0</v>
      </c>
      <c r="T87" s="72">
        <f>'IS (Adjusted)'!T87-'IS (Base)'!T87</f>
        <v>0</v>
      </c>
      <c r="U87" s="72">
        <f>'IS (Adjusted)'!U87-'IS (Base)'!U87</f>
        <v>0</v>
      </c>
      <c r="V87" s="72">
        <f>'IS (Adjusted)'!V87-'IS (Base)'!V87</f>
        <v>0</v>
      </c>
      <c r="W87" s="213">
        <f>'IS (Adjusted)'!W87-'IS (Base)'!W87</f>
        <v>0</v>
      </c>
      <c r="X87" s="115">
        <f>'IS (Adjusted)'!X87-'IS (Base)'!X87</f>
        <v>0</v>
      </c>
      <c r="Y87" s="72">
        <f>'IS (Adjusted)'!Y87-'IS (Base)'!Y87</f>
        <v>0</v>
      </c>
      <c r="Z87" s="72">
        <f>'IS (Adjusted)'!Z87-'IS (Base)'!Z87</f>
        <v>0</v>
      </c>
      <c r="AA87" s="72">
        <f>'IS (Adjusted)'!AA87-'IS (Base)'!AA87</f>
        <v>0</v>
      </c>
      <c r="AB87" s="73">
        <f>'IS (Adjusted)'!AB87-'IS (Base)'!AB87</f>
        <v>0</v>
      </c>
      <c r="AC87" s="72">
        <f>'IS (Adjusted)'!AC87-'IS (Base)'!AC87</f>
        <v>0</v>
      </c>
      <c r="AD87" s="72">
        <f>'IS (Adjusted)'!AD87-'IS (Base)'!AD87</f>
        <v>0</v>
      </c>
      <c r="AE87" s="72">
        <f>'IS (Adjusted)'!AE87-'IS (Base)'!AE87</f>
        <v>0</v>
      </c>
      <c r="AF87" s="72">
        <f>'IS (Adjusted)'!AF87-'IS (Base)'!AF87</f>
        <v>0</v>
      </c>
      <c r="AG87" s="73">
        <f>'IS (Adjusted)'!AG87-'IS (Base)'!AG87</f>
        <v>0</v>
      </c>
      <c r="AH87" s="72">
        <f>'IS (Adjusted)'!AH87-'IS (Base)'!AH87</f>
        <v>0</v>
      </c>
      <c r="AI87" s="72">
        <f>'IS (Adjusted)'!AI87-'IS (Base)'!AI87</f>
        <v>0</v>
      </c>
      <c r="AJ87" s="72">
        <f>'IS (Adjusted)'!AJ87-'IS (Base)'!AJ87</f>
        <v>0</v>
      </c>
      <c r="AK87" s="72">
        <f>'IS (Adjusted)'!AK87-'IS (Base)'!AK87</f>
        <v>0</v>
      </c>
      <c r="AL87" s="73">
        <f>'IS (Adjusted)'!AL87-'IS (Base)'!AL87</f>
        <v>0</v>
      </c>
      <c r="AM87" s="72">
        <f>'IS (Adjusted)'!AM87-'IS (Base)'!AM87</f>
        <v>0</v>
      </c>
      <c r="AN87" s="72">
        <f>'IS (Adjusted)'!AN87-'IS (Base)'!AN87</f>
        <v>0</v>
      </c>
      <c r="AO87" s="72">
        <f>'IS (Adjusted)'!AO87-'IS (Base)'!AO87</f>
        <v>0</v>
      </c>
      <c r="AP87" s="72">
        <f>'IS (Adjusted)'!AP87-'IS (Base)'!AP87</f>
        <v>0</v>
      </c>
      <c r="AQ87" s="73">
        <f>'IS (Adjusted)'!AQ87-'IS (Base)'!AQ87</f>
        <v>0</v>
      </c>
      <c r="AR87" s="72">
        <f>'IS (Adjusted)'!AR87-'IS (Base)'!AR87</f>
        <v>0</v>
      </c>
      <c r="AS87" s="72">
        <f>'IS (Adjusted)'!AS87-'IS (Base)'!AS87</f>
        <v>0</v>
      </c>
      <c r="AT87" s="72">
        <f>'IS (Adjusted)'!AT87-'IS (Base)'!AT87</f>
        <v>0</v>
      </c>
      <c r="AU87" s="72">
        <f>'IS (Adjusted)'!AU87-'IS (Base)'!AU87</f>
        <v>0</v>
      </c>
      <c r="AV87" s="73">
        <f>'IS (Adjusted)'!AV87-'IS (Base)'!AV87</f>
        <v>0</v>
      </c>
    </row>
    <row r="88" spans="1:48" s="8" customFormat="1" outlineLevel="1" x14ac:dyDescent="0.3">
      <c r="B88" s="587" t="s">
        <v>119</v>
      </c>
      <c r="C88" s="588"/>
      <c r="D88" s="103">
        <f>'IS (Adjusted)'!D88-'IS (Base)'!D88</f>
        <v>0</v>
      </c>
      <c r="E88" s="103">
        <f>'IS (Adjusted)'!E88-'IS (Base)'!E88</f>
        <v>0</v>
      </c>
      <c r="F88" s="103">
        <f>'IS (Adjusted)'!F88-'IS (Base)'!F88</f>
        <v>0</v>
      </c>
      <c r="G88" s="103">
        <f>'IS (Adjusted)'!G88-'IS (Base)'!G88</f>
        <v>0</v>
      </c>
      <c r="H88" s="97">
        <f>'IS (Adjusted)'!H88-'IS (Base)'!H88</f>
        <v>0</v>
      </c>
      <c r="I88" s="103">
        <f>'IS (Adjusted)'!I88-'IS (Base)'!I88</f>
        <v>0</v>
      </c>
      <c r="J88" s="103">
        <f>'IS (Adjusted)'!J88-'IS (Base)'!J88</f>
        <v>0</v>
      </c>
      <c r="K88" s="103">
        <f>'IS (Adjusted)'!K88-'IS (Base)'!K88</f>
        <v>0</v>
      </c>
      <c r="L88" s="50">
        <f>'IS (Adjusted)'!L88-'IS (Base)'!L88</f>
        <v>0</v>
      </c>
      <c r="M88" s="97">
        <f>'IS (Adjusted)'!M88-'IS (Base)'!M88</f>
        <v>0</v>
      </c>
      <c r="N88" s="50">
        <f>'IS (Adjusted)'!N88-'IS (Base)'!N88</f>
        <v>0</v>
      </c>
      <c r="O88" s="50">
        <f>'IS (Adjusted)'!O88-'IS (Base)'!O88</f>
        <v>0</v>
      </c>
      <c r="P88" s="50">
        <f>'IS (Adjusted)'!P88-'IS (Base)'!P88</f>
        <v>0</v>
      </c>
      <c r="Q88" s="103">
        <f>'IS (Adjusted)'!Q88-'IS (Base)'!Q88</f>
        <v>0</v>
      </c>
      <c r="R88" s="97">
        <f>'IS (Adjusted)'!R88-'IS (Base)'!R88</f>
        <v>0</v>
      </c>
      <c r="S88" s="50">
        <f>'IS (Adjusted)'!S88-'IS (Base)'!S88</f>
        <v>0</v>
      </c>
      <c r="T88" s="50">
        <f>'IS (Adjusted)'!T88-'IS (Base)'!T88</f>
        <v>0</v>
      </c>
      <c r="U88" s="50">
        <f>'IS (Adjusted)'!U88-'IS (Base)'!U88</f>
        <v>0</v>
      </c>
      <c r="V88" s="50">
        <f>'IS (Adjusted)'!V88-'IS (Base)'!V88</f>
        <v>0</v>
      </c>
      <c r="W88" s="132">
        <f>'IS (Adjusted)'!W88-'IS (Base)'!W88</f>
        <v>0</v>
      </c>
      <c r="X88" s="103">
        <f>'IS (Adjusted)'!X88-'IS (Base)'!X88</f>
        <v>0</v>
      </c>
      <c r="Y88" s="50">
        <f>'IS (Adjusted)'!Y88-'IS (Base)'!Y88</f>
        <v>0</v>
      </c>
      <c r="Z88" s="50">
        <f>'IS (Adjusted)'!Z88-'IS (Base)'!Z88</f>
        <v>0</v>
      </c>
      <c r="AA88" s="50">
        <f>'IS (Adjusted)'!AA88-'IS (Base)'!AA88</f>
        <v>0</v>
      </c>
      <c r="AB88" s="97">
        <f>'IS (Adjusted)'!AB88-'IS (Base)'!AB88</f>
        <v>0</v>
      </c>
      <c r="AC88" s="50">
        <f>'IS (Adjusted)'!AC88-'IS (Base)'!AC88</f>
        <v>0</v>
      </c>
      <c r="AD88" s="50">
        <f>'IS (Adjusted)'!AD88-'IS (Base)'!AD88</f>
        <v>0</v>
      </c>
      <c r="AE88" s="50">
        <f>'IS (Adjusted)'!AE88-'IS (Base)'!AE88</f>
        <v>0</v>
      </c>
      <c r="AF88" s="50">
        <f>'IS (Adjusted)'!AF88-'IS (Base)'!AF88</f>
        <v>0</v>
      </c>
      <c r="AG88" s="97">
        <f>'IS (Adjusted)'!AG88-'IS (Base)'!AG88</f>
        <v>0</v>
      </c>
      <c r="AH88" s="50">
        <f>'IS (Adjusted)'!AH88-'IS (Base)'!AH88</f>
        <v>0</v>
      </c>
      <c r="AI88" s="50">
        <f>'IS (Adjusted)'!AI88-'IS (Base)'!AI88</f>
        <v>0</v>
      </c>
      <c r="AJ88" s="50">
        <f>'IS (Adjusted)'!AJ88-'IS (Base)'!AJ88</f>
        <v>0</v>
      </c>
      <c r="AK88" s="50">
        <f>'IS (Adjusted)'!AK88-'IS (Base)'!AK88</f>
        <v>0</v>
      </c>
      <c r="AL88" s="97">
        <f>'IS (Adjusted)'!AL88-'IS (Base)'!AL88</f>
        <v>0</v>
      </c>
      <c r="AM88" s="50">
        <f>'IS (Adjusted)'!AM88-'IS (Base)'!AM88</f>
        <v>0</v>
      </c>
      <c r="AN88" s="50">
        <f>'IS (Adjusted)'!AN88-'IS (Base)'!AN88</f>
        <v>0</v>
      </c>
      <c r="AO88" s="50">
        <f>'IS (Adjusted)'!AO88-'IS (Base)'!AO88</f>
        <v>0</v>
      </c>
      <c r="AP88" s="50">
        <f>'IS (Adjusted)'!AP88-'IS (Base)'!AP88</f>
        <v>0</v>
      </c>
      <c r="AQ88" s="97">
        <f>'IS (Adjusted)'!AQ88-'IS (Base)'!AQ88</f>
        <v>0</v>
      </c>
      <c r="AR88" s="50">
        <f>'IS (Adjusted)'!AR88-'IS (Base)'!AR88</f>
        <v>0</v>
      </c>
      <c r="AS88" s="50">
        <f>'IS (Adjusted)'!AS88-'IS (Base)'!AS88</f>
        <v>0</v>
      </c>
      <c r="AT88" s="50">
        <f>'IS (Adjusted)'!AT88-'IS (Base)'!AT88</f>
        <v>0</v>
      </c>
      <c r="AU88" s="50">
        <f>'IS (Adjusted)'!AU88-'IS (Base)'!AU88</f>
        <v>0</v>
      </c>
      <c r="AV88" s="97">
        <f>'IS (Adjusted)'!AV88-'IS (Base)'!AV88</f>
        <v>0</v>
      </c>
    </row>
    <row r="89" spans="1:48" outlineLevel="1" x14ac:dyDescent="0.3">
      <c r="B89" s="69" t="s">
        <v>50</v>
      </c>
      <c r="C89" s="70"/>
      <c r="D89" s="120">
        <f>'IS (Adjusted)'!D89-'IS (Base)'!D89</f>
        <v>0</v>
      </c>
      <c r="E89" s="120">
        <f>'IS (Adjusted)'!E89-'IS (Base)'!E89</f>
        <v>0</v>
      </c>
      <c r="F89" s="120">
        <f>'IS (Adjusted)'!F89-'IS (Base)'!F89</f>
        <v>0</v>
      </c>
      <c r="G89" s="120">
        <f>'IS (Adjusted)'!G89-'IS (Base)'!G89</f>
        <v>0</v>
      </c>
      <c r="H89" s="58">
        <f>'IS (Adjusted)'!H89-'IS (Base)'!H89</f>
        <v>0</v>
      </c>
      <c r="I89" s="120">
        <f>'IS (Adjusted)'!I89-'IS (Base)'!I89</f>
        <v>0</v>
      </c>
      <c r="J89" s="120">
        <f>'IS (Adjusted)'!J89-'IS (Base)'!J89</f>
        <v>0</v>
      </c>
      <c r="K89" s="120">
        <f>'IS (Adjusted)'!K89-'IS (Base)'!K89</f>
        <v>0</v>
      </c>
      <c r="L89" s="120">
        <f>'IS (Adjusted)'!L89-'IS (Base)'!L89</f>
        <v>0</v>
      </c>
      <c r="M89" s="58">
        <f>'IS (Adjusted)'!M89-'IS (Base)'!M89</f>
        <v>0</v>
      </c>
      <c r="N89" s="120">
        <f>'IS (Adjusted)'!N89-'IS (Base)'!N89</f>
        <v>0</v>
      </c>
      <c r="O89" s="120">
        <f>'IS (Adjusted)'!O89-'IS (Base)'!O89</f>
        <v>0</v>
      </c>
      <c r="P89" s="120">
        <f>'IS (Adjusted)'!P89-'IS (Base)'!P89</f>
        <v>0</v>
      </c>
      <c r="Q89" s="120">
        <f>'IS (Adjusted)'!Q89-'IS (Base)'!Q89</f>
        <v>0</v>
      </c>
      <c r="R89" s="58">
        <f>'IS (Adjusted)'!R89-'IS (Base)'!R89</f>
        <v>0</v>
      </c>
      <c r="S89" s="120">
        <f>'IS (Adjusted)'!S89-'IS (Base)'!S89</f>
        <v>0</v>
      </c>
      <c r="T89" s="120">
        <f>'IS (Adjusted)'!T89-'IS (Base)'!T89</f>
        <v>0</v>
      </c>
      <c r="U89" s="120">
        <f>'IS (Adjusted)'!U89-'IS (Base)'!U89</f>
        <v>0</v>
      </c>
      <c r="V89" s="120">
        <f>'IS (Adjusted)'!V89-'IS (Base)'!V89</f>
        <v>0</v>
      </c>
      <c r="W89" s="155">
        <f>'IS (Adjusted)'!W89-'IS (Base)'!W89</f>
        <v>0</v>
      </c>
      <c r="X89" s="120">
        <f>'IS (Adjusted)'!X89-'IS (Base)'!X89</f>
        <v>0</v>
      </c>
      <c r="Y89" s="71">
        <f>'IS (Adjusted)'!Y89-'IS (Base)'!Y89</f>
        <v>0</v>
      </c>
      <c r="Z89" s="71">
        <f>'IS (Adjusted)'!Z89-'IS (Base)'!Z89</f>
        <v>0</v>
      </c>
      <c r="AA89" s="71">
        <f>'IS (Adjusted)'!AA89-'IS (Base)'!AA89</f>
        <v>0</v>
      </c>
      <c r="AB89" s="58">
        <f>'IS (Adjusted)'!AB89-'IS (Base)'!AB89</f>
        <v>0</v>
      </c>
      <c r="AC89" s="71">
        <f>'IS (Adjusted)'!AC89-'IS (Base)'!AC89</f>
        <v>0</v>
      </c>
      <c r="AD89" s="71">
        <f>'IS (Adjusted)'!AD89-'IS (Base)'!AD89</f>
        <v>0</v>
      </c>
      <c r="AE89" s="71">
        <f>'IS (Adjusted)'!AE89-'IS (Base)'!AE89</f>
        <v>0</v>
      </c>
      <c r="AF89" s="71">
        <f>'IS (Adjusted)'!AF89-'IS (Base)'!AF89</f>
        <v>0</v>
      </c>
      <c r="AG89" s="58">
        <f>'IS (Adjusted)'!AG89-'IS (Base)'!AG89</f>
        <v>0</v>
      </c>
      <c r="AH89" s="71">
        <f>'IS (Adjusted)'!AH89-'IS (Base)'!AH89</f>
        <v>0</v>
      </c>
      <c r="AI89" s="71">
        <f>'IS (Adjusted)'!AI89-'IS (Base)'!AI89</f>
        <v>0</v>
      </c>
      <c r="AJ89" s="71">
        <f>'IS (Adjusted)'!AJ89-'IS (Base)'!AJ89</f>
        <v>0</v>
      </c>
      <c r="AK89" s="71">
        <f>'IS (Adjusted)'!AK89-'IS (Base)'!AK89</f>
        <v>0</v>
      </c>
      <c r="AL89" s="58">
        <f>'IS (Adjusted)'!AL89-'IS (Base)'!AL89</f>
        <v>0</v>
      </c>
      <c r="AM89" s="71">
        <f>'IS (Adjusted)'!AM89-'IS (Base)'!AM89</f>
        <v>0</v>
      </c>
      <c r="AN89" s="71">
        <f>'IS (Adjusted)'!AN89-'IS (Base)'!AN89</f>
        <v>0</v>
      </c>
      <c r="AO89" s="71">
        <f>'IS (Adjusted)'!AO89-'IS (Base)'!AO89</f>
        <v>0</v>
      </c>
      <c r="AP89" s="71">
        <f>'IS (Adjusted)'!AP89-'IS (Base)'!AP89</f>
        <v>0</v>
      </c>
      <c r="AQ89" s="58">
        <f>'IS (Adjusted)'!AQ89-'IS (Base)'!AQ89</f>
        <v>0</v>
      </c>
      <c r="AR89" s="71">
        <f>'IS (Adjusted)'!AR89-'IS (Base)'!AR89</f>
        <v>0</v>
      </c>
      <c r="AS89" s="71">
        <f>'IS (Adjusted)'!AS89-'IS (Base)'!AS89</f>
        <v>0</v>
      </c>
      <c r="AT89" s="71">
        <f>'IS (Adjusted)'!AT89-'IS (Base)'!AT89</f>
        <v>0</v>
      </c>
      <c r="AU89" s="71">
        <f>'IS (Adjusted)'!AU89-'IS (Base)'!AU89</f>
        <v>0</v>
      </c>
      <c r="AV89" s="58">
        <f>'IS (Adjusted)'!AV89-'IS (Base)'!AV89</f>
        <v>0</v>
      </c>
    </row>
    <row r="90" spans="1:48" outlineLevel="1" x14ac:dyDescent="0.3">
      <c r="B90" s="180" t="s">
        <v>120</v>
      </c>
      <c r="C90" s="207"/>
      <c r="D90" s="101">
        <f>'IS (Adjusted)'!D90-'IS (Base)'!D90</f>
        <v>0</v>
      </c>
      <c r="E90" s="101">
        <f>'IS (Adjusted)'!E90-'IS (Base)'!E90</f>
        <v>0</v>
      </c>
      <c r="F90" s="101">
        <f>'IS (Adjusted)'!F90-'IS (Base)'!F90</f>
        <v>0</v>
      </c>
      <c r="G90" s="101">
        <f>'IS (Adjusted)'!G90-'IS (Base)'!G90</f>
        <v>0</v>
      </c>
      <c r="H90" s="6">
        <f>'IS (Adjusted)'!H90-'IS (Base)'!H90</f>
        <v>0</v>
      </c>
      <c r="I90" s="101">
        <f>'IS (Adjusted)'!I90-'IS (Base)'!I90</f>
        <v>0</v>
      </c>
      <c r="J90" s="101">
        <f>'IS (Adjusted)'!J90-'IS (Base)'!J90</f>
        <v>0</v>
      </c>
      <c r="K90" s="101">
        <f>'IS (Adjusted)'!K90-'IS (Base)'!K90</f>
        <v>0</v>
      </c>
      <c r="L90" s="16">
        <f>'IS (Adjusted)'!L90-'IS (Base)'!L90</f>
        <v>0</v>
      </c>
      <c r="M90" s="6">
        <f>'IS (Adjusted)'!M90-'IS (Base)'!M90</f>
        <v>0</v>
      </c>
      <c r="N90" s="16">
        <f>'IS (Adjusted)'!N90-'IS (Base)'!N90</f>
        <v>0</v>
      </c>
      <c r="O90" s="16">
        <f>'IS (Adjusted)'!O90-'IS (Base)'!O90</f>
        <v>0</v>
      </c>
      <c r="P90" s="16">
        <f>'IS (Adjusted)'!P90-'IS (Base)'!P90</f>
        <v>0</v>
      </c>
      <c r="Q90" s="16">
        <f>'IS (Adjusted)'!Q90-'IS (Base)'!Q90</f>
        <v>0</v>
      </c>
      <c r="R90" s="6">
        <f>'IS (Adjusted)'!R90-'IS (Base)'!R90</f>
        <v>0</v>
      </c>
      <c r="S90" s="16">
        <f>'IS (Adjusted)'!S90-'IS (Base)'!S90</f>
        <v>0</v>
      </c>
      <c r="T90" s="16">
        <f>'IS (Adjusted)'!T90-'IS (Base)'!T90</f>
        <v>0</v>
      </c>
      <c r="U90" s="16">
        <f>'IS (Adjusted)'!U90-'IS (Base)'!U90</f>
        <v>0</v>
      </c>
      <c r="V90" s="16">
        <f>'IS (Adjusted)'!V90-'IS (Base)'!V90</f>
        <v>0</v>
      </c>
      <c r="W90" s="254">
        <f>'IS (Adjusted)'!W90-'IS (Base)'!W90</f>
        <v>0</v>
      </c>
      <c r="X90" s="101">
        <f>'IS (Adjusted)'!X90-'IS (Base)'!X90</f>
        <v>0</v>
      </c>
      <c r="Y90" s="16">
        <f>'IS (Adjusted)'!Y90-'IS (Base)'!Y90</f>
        <v>0</v>
      </c>
      <c r="Z90" s="16">
        <f>'IS (Adjusted)'!Z90-'IS (Base)'!Z90</f>
        <v>0</v>
      </c>
      <c r="AA90" s="16">
        <f>'IS (Adjusted)'!AA90-'IS (Base)'!AA90</f>
        <v>0</v>
      </c>
      <c r="AB90" s="254">
        <f>'IS (Adjusted)'!AB90-'IS (Base)'!AB90</f>
        <v>0</v>
      </c>
      <c r="AC90" s="16">
        <f>'IS (Adjusted)'!AC90-'IS (Base)'!AC90</f>
        <v>0</v>
      </c>
      <c r="AD90" s="16">
        <f>'IS (Adjusted)'!AD90-'IS (Base)'!AD90</f>
        <v>0</v>
      </c>
      <c r="AE90" s="16">
        <f>'IS (Adjusted)'!AE90-'IS (Base)'!AE90</f>
        <v>0</v>
      </c>
      <c r="AF90" s="16">
        <f>'IS (Adjusted)'!AF90-'IS (Base)'!AF90</f>
        <v>0</v>
      </c>
      <c r="AG90" s="254">
        <f>'IS (Adjusted)'!AG90-'IS (Base)'!AG90</f>
        <v>0</v>
      </c>
      <c r="AH90" s="16">
        <f>'IS (Adjusted)'!AH90-'IS (Base)'!AH90</f>
        <v>0</v>
      </c>
      <c r="AI90" s="16">
        <f>'IS (Adjusted)'!AI90-'IS (Base)'!AI90</f>
        <v>0</v>
      </c>
      <c r="AJ90" s="16">
        <f>'IS (Adjusted)'!AJ90-'IS (Base)'!AJ90</f>
        <v>0</v>
      </c>
      <c r="AK90" s="16">
        <f>'IS (Adjusted)'!AK90-'IS (Base)'!AK90</f>
        <v>0</v>
      </c>
      <c r="AL90" s="254">
        <f>'IS (Adjusted)'!AL90-'IS (Base)'!AL90</f>
        <v>0</v>
      </c>
      <c r="AM90" s="16">
        <f>'IS (Adjusted)'!AM90-'IS (Base)'!AM90</f>
        <v>0</v>
      </c>
      <c r="AN90" s="16">
        <f>'IS (Adjusted)'!AN90-'IS (Base)'!AN90</f>
        <v>0</v>
      </c>
      <c r="AO90" s="16">
        <f>'IS (Adjusted)'!AO90-'IS (Base)'!AO90</f>
        <v>0</v>
      </c>
      <c r="AP90" s="16">
        <f>'IS (Adjusted)'!AP90-'IS (Base)'!AP90</f>
        <v>0</v>
      </c>
      <c r="AQ90" s="254">
        <f>'IS (Adjusted)'!AQ90-'IS (Base)'!AQ90</f>
        <v>0</v>
      </c>
      <c r="AR90" s="16">
        <f>'IS (Adjusted)'!AR90-'IS (Base)'!AR90</f>
        <v>0</v>
      </c>
      <c r="AS90" s="16">
        <f>'IS (Adjusted)'!AS90-'IS (Base)'!AS90</f>
        <v>0</v>
      </c>
      <c r="AT90" s="16">
        <f>'IS (Adjusted)'!AT90-'IS (Base)'!AT90</f>
        <v>0</v>
      </c>
      <c r="AU90" s="16">
        <f>'IS (Adjusted)'!AU90-'IS (Base)'!AU90</f>
        <v>0</v>
      </c>
      <c r="AV90" s="254">
        <f>'IS (Adjusted)'!AV90-'IS (Base)'!AV90</f>
        <v>0</v>
      </c>
    </row>
    <row r="91" spans="1:48" outlineLevel="1" x14ac:dyDescent="0.3">
      <c r="B91" s="180" t="s">
        <v>121</v>
      </c>
      <c r="C91" s="207"/>
      <c r="D91" s="101">
        <f>'IS (Adjusted)'!D91-'IS (Base)'!D91</f>
        <v>0</v>
      </c>
      <c r="E91" s="101">
        <f>'IS (Adjusted)'!E91-'IS (Base)'!E91</f>
        <v>0</v>
      </c>
      <c r="F91" s="101">
        <f>'IS (Adjusted)'!F91-'IS (Base)'!F91</f>
        <v>0</v>
      </c>
      <c r="G91" s="101">
        <f>'IS (Adjusted)'!G91-'IS (Base)'!G91</f>
        <v>0</v>
      </c>
      <c r="H91" s="122">
        <f>'IS (Adjusted)'!H91-'IS (Base)'!H91</f>
        <v>0</v>
      </c>
      <c r="I91" s="101">
        <f>'IS (Adjusted)'!I91-'IS (Base)'!I91</f>
        <v>0</v>
      </c>
      <c r="J91" s="101">
        <f>'IS (Adjusted)'!J91-'IS (Base)'!J91</f>
        <v>0</v>
      </c>
      <c r="K91" s="101">
        <f>'IS (Adjusted)'!K91-'IS (Base)'!K91</f>
        <v>0</v>
      </c>
      <c r="L91" s="101">
        <f>'IS (Adjusted)'!L91-'IS (Base)'!L91</f>
        <v>0</v>
      </c>
      <c r="M91" s="122">
        <f>'IS (Adjusted)'!M91-'IS (Base)'!M91</f>
        <v>0</v>
      </c>
      <c r="N91" s="101">
        <f>'IS (Adjusted)'!N91-'IS (Base)'!N91</f>
        <v>0</v>
      </c>
      <c r="O91" s="101">
        <f>'IS (Adjusted)'!O91-'IS (Base)'!O91</f>
        <v>0</v>
      </c>
      <c r="P91" s="101">
        <f>'IS (Adjusted)'!P91-'IS (Base)'!P91</f>
        <v>0</v>
      </c>
      <c r="Q91" s="101">
        <f>'IS (Adjusted)'!Q91-'IS (Base)'!Q91</f>
        <v>0</v>
      </c>
      <c r="R91" s="122">
        <f>'IS (Adjusted)'!R91-'IS (Base)'!R91</f>
        <v>0</v>
      </c>
      <c r="S91" s="16">
        <f>'IS (Adjusted)'!S91-'IS (Base)'!S91</f>
        <v>0</v>
      </c>
      <c r="T91" s="16">
        <f>'IS (Adjusted)'!T91-'IS (Base)'!T91</f>
        <v>0</v>
      </c>
      <c r="U91" s="16">
        <f>'IS (Adjusted)'!U91-'IS (Base)'!U91</f>
        <v>0</v>
      </c>
      <c r="V91" s="16">
        <f>'IS (Adjusted)'!V91-'IS (Base)'!V91</f>
        <v>0</v>
      </c>
      <c r="W91" s="122">
        <f>'IS (Adjusted)'!W91-'IS (Base)'!W91</f>
        <v>0</v>
      </c>
      <c r="X91" s="101">
        <f>'IS (Adjusted)'!X91-'IS (Base)'!X91</f>
        <v>0</v>
      </c>
      <c r="Y91" s="16">
        <f>'IS (Adjusted)'!Y91-'IS (Base)'!Y91</f>
        <v>0</v>
      </c>
      <c r="Z91" s="16">
        <f>'IS (Adjusted)'!Z91-'IS (Base)'!Z91</f>
        <v>0</v>
      </c>
      <c r="AA91" s="16">
        <f>'IS (Adjusted)'!AA91-'IS (Base)'!AA91</f>
        <v>0</v>
      </c>
      <c r="AB91" s="26">
        <f>'IS (Adjusted)'!AB91-'IS (Base)'!AB91</f>
        <v>0</v>
      </c>
      <c r="AC91" s="16">
        <f>'IS (Adjusted)'!AC91-'IS (Base)'!AC91</f>
        <v>0</v>
      </c>
      <c r="AD91" s="16">
        <f>'IS (Adjusted)'!AD91-'IS (Base)'!AD91</f>
        <v>0</v>
      </c>
      <c r="AE91" s="16">
        <f>'IS (Adjusted)'!AE91-'IS (Base)'!AE91</f>
        <v>0</v>
      </c>
      <c r="AF91" s="16">
        <f>'IS (Adjusted)'!AF91-'IS (Base)'!AF91</f>
        <v>0</v>
      </c>
      <c r="AG91" s="26">
        <f>'IS (Adjusted)'!AG91-'IS (Base)'!AG91</f>
        <v>0</v>
      </c>
      <c r="AH91" s="16">
        <f>'IS (Adjusted)'!AH91-'IS (Base)'!AH91</f>
        <v>0</v>
      </c>
      <c r="AI91" s="16">
        <f>'IS (Adjusted)'!AI91-'IS (Base)'!AI91</f>
        <v>0</v>
      </c>
      <c r="AJ91" s="16">
        <f>'IS (Adjusted)'!AJ91-'IS (Base)'!AJ91</f>
        <v>0</v>
      </c>
      <c r="AK91" s="16">
        <f>'IS (Adjusted)'!AK91-'IS (Base)'!AK91</f>
        <v>0</v>
      </c>
      <c r="AL91" s="26">
        <f>'IS (Adjusted)'!AL91-'IS (Base)'!AL91</f>
        <v>0</v>
      </c>
      <c r="AM91" s="16">
        <f>'IS (Adjusted)'!AM91-'IS (Base)'!AM91</f>
        <v>0</v>
      </c>
      <c r="AN91" s="16">
        <f>'IS (Adjusted)'!AN91-'IS (Base)'!AN91</f>
        <v>0</v>
      </c>
      <c r="AO91" s="16">
        <f>'IS (Adjusted)'!AO91-'IS (Base)'!AO91</f>
        <v>0</v>
      </c>
      <c r="AP91" s="16">
        <f>'IS (Adjusted)'!AP91-'IS (Base)'!AP91</f>
        <v>0</v>
      </c>
      <c r="AQ91" s="26">
        <f>'IS (Adjusted)'!AQ91-'IS (Base)'!AQ91</f>
        <v>0</v>
      </c>
      <c r="AR91" s="16">
        <f>'IS (Adjusted)'!AR91-'IS (Base)'!AR91</f>
        <v>0</v>
      </c>
      <c r="AS91" s="16">
        <f>'IS (Adjusted)'!AS91-'IS (Base)'!AS91</f>
        <v>0</v>
      </c>
      <c r="AT91" s="16">
        <f>'IS (Adjusted)'!AT91-'IS (Base)'!AT91</f>
        <v>0</v>
      </c>
      <c r="AU91" s="16">
        <f>'IS (Adjusted)'!AU91-'IS (Base)'!AU91</f>
        <v>0</v>
      </c>
      <c r="AV91" s="26">
        <f>'IS (Adjusted)'!AV91-'IS (Base)'!AV91</f>
        <v>0</v>
      </c>
    </row>
    <row r="92" spans="1:48" outlineLevel="1" x14ac:dyDescent="0.3">
      <c r="B92" s="605" t="s">
        <v>122</v>
      </c>
      <c r="C92" s="606"/>
      <c r="D92" s="115">
        <f>'IS (Adjusted)'!D92-'IS (Base)'!D92</f>
        <v>0</v>
      </c>
      <c r="E92" s="115">
        <f>'IS (Adjusted)'!E92-'IS (Base)'!E92</f>
        <v>0</v>
      </c>
      <c r="F92" s="115">
        <f>'IS (Adjusted)'!F92-'IS (Base)'!F92</f>
        <v>0</v>
      </c>
      <c r="G92" s="115">
        <f>'IS (Adjusted)'!G92-'IS (Base)'!G92</f>
        <v>0</v>
      </c>
      <c r="H92" s="213">
        <f>'IS (Adjusted)'!H92-'IS (Base)'!H92</f>
        <v>0</v>
      </c>
      <c r="I92" s="115">
        <f>'IS (Adjusted)'!I92-'IS (Base)'!I92</f>
        <v>0</v>
      </c>
      <c r="J92" s="115">
        <f>'IS (Adjusted)'!J92-'IS (Base)'!J92</f>
        <v>0</v>
      </c>
      <c r="K92" s="115">
        <f>'IS (Adjusted)'!K92-'IS (Base)'!K92</f>
        <v>0</v>
      </c>
      <c r="L92" s="115">
        <f>'IS (Adjusted)'!L92-'IS (Base)'!L92</f>
        <v>0</v>
      </c>
      <c r="M92" s="213">
        <f>'IS (Adjusted)'!M92-'IS (Base)'!M92</f>
        <v>0</v>
      </c>
      <c r="N92" s="115">
        <f>'IS (Adjusted)'!N92-'IS (Base)'!N92</f>
        <v>0</v>
      </c>
      <c r="O92" s="115">
        <f>'IS (Adjusted)'!O92-'IS (Base)'!O92</f>
        <v>0</v>
      </c>
      <c r="P92" s="115">
        <f>'IS (Adjusted)'!P92-'IS (Base)'!P92</f>
        <v>0</v>
      </c>
      <c r="Q92" s="115">
        <f>'IS (Adjusted)'!Q92-'IS (Base)'!Q92</f>
        <v>0</v>
      </c>
      <c r="R92" s="73">
        <f>'IS (Adjusted)'!R92-'IS (Base)'!R92</f>
        <v>0</v>
      </c>
      <c r="S92" s="72">
        <f>'IS (Adjusted)'!S92-'IS (Base)'!S92</f>
        <v>0</v>
      </c>
      <c r="T92" s="72">
        <f>'IS (Adjusted)'!T92-'IS (Base)'!T92</f>
        <v>0</v>
      </c>
      <c r="U92" s="72">
        <f>'IS (Adjusted)'!U92-'IS (Base)'!U92</f>
        <v>0</v>
      </c>
      <c r="V92" s="72">
        <f>'IS (Adjusted)'!V92-'IS (Base)'!V92</f>
        <v>0</v>
      </c>
      <c r="W92" s="213">
        <f>'IS (Adjusted)'!W92-'IS (Base)'!W92</f>
        <v>0</v>
      </c>
      <c r="X92" s="115">
        <f>'IS (Adjusted)'!X92-'IS (Base)'!X92</f>
        <v>0</v>
      </c>
      <c r="Y92" s="72">
        <f>'IS (Adjusted)'!Y92-'IS (Base)'!Y92</f>
        <v>0</v>
      </c>
      <c r="Z92" s="72">
        <f>'IS (Adjusted)'!Z92-'IS (Base)'!Z92</f>
        <v>0</v>
      </c>
      <c r="AA92" s="72">
        <f>'IS (Adjusted)'!AA92-'IS (Base)'!AA92</f>
        <v>0</v>
      </c>
      <c r="AB92" s="73">
        <f>'IS (Adjusted)'!AB92-'IS (Base)'!AB92</f>
        <v>0</v>
      </c>
      <c r="AC92" s="72">
        <f>'IS (Adjusted)'!AC92-'IS (Base)'!AC92</f>
        <v>0</v>
      </c>
      <c r="AD92" s="72">
        <f>'IS (Adjusted)'!AD92-'IS (Base)'!AD92</f>
        <v>0</v>
      </c>
      <c r="AE92" s="72">
        <f>'IS (Adjusted)'!AE92-'IS (Base)'!AE92</f>
        <v>0</v>
      </c>
      <c r="AF92" s="72">
        <f>'IS (Adjusted)'!AF92-'IS (Base)'!AF92</f>
        <v>0</v>
      </c>
      <c r="AG92" s="73">
        <f>'IS (Adjusted)'!AG92-'IS (Base)'!AG92</f>
        <v>0</v>
      </c>
      <c r="AH92" s="72">
        <f>'IS (Adjusted)'!AH92-'IS (Base)'!AH92</f>
        <v>0</v>
      </c>
      <c r="AI92" s="72">
        <f>'IS (Adjusted)'!AI92-'IS (Base)'!AI92</f>
        <v>0</v>
      </c>
      <c r="AJ92" s="72">
        <f>'IS (Adjusted)'!AJ92-'IS (Base)'!AJ92</f>
        <v>0</v>
      </c>
      <c r="AK92" s="72">
        <f>'IS (Adjusted)'!AK92-'IS (Base)'!AK92</f>
        <v>0</v>
      </c>
      <c r="AL92" s="73">
        <f>'IS (Adjusted)'!AL92-'IS (Base)'!AL92</f>
        <v>0</v>
      </c>
      <c r="AM92" s="72">
        <f>'IS (Adjusted)'!AM92-'IS (Base)'!AM92</f>
        <v>0</v>
      </c>
      <c r="AN92" s="72">
        <f>'IS (Adjusted)'!AN92-'IS (Base)'!AN92</f>
        <v>0</v>
      </c>
      <c r="AO92" s="72">
        <f>'IS (Adjusted)'!AO92-'IS (Base)'!AO92</f>
        <v>0</v>
      </c>
      <c r="AP92" s="72">
        <f>'IS (Adjusted)'!AP92-'IS (Base)'!AP92</f>
        <v>0</v>
      </c>
      <c r="AQ92" s="73">
        <f>'IS (Adjusted)'!AQ92-'IS (Base)'!AQ92</f>
        <v>0</v>
      </c>
      <c r="AR92" s="72">
        <f>'IS (Adjusted)'!AR92-'IS (Base)'!AR92</f>
        <v>0</v>
      </c>
      <c r="AS92" s="72">
        <f>'IS (Adjusted)'!AS92-'IS (Base)'!AS92</f>
        <v>0</v>
      </c>
      <c r="AT92" s="72">
        <f>'IS (Adjusted)'!AT92-'IS (Base)'!AT92</f>
        <v>0</v>
      </c>
      <c r="AU92" s="72">
        <f>'IS (Adjusted)'!AU92-'IS (Base)'!AU92</f>
        <v>0</v>
      </c>
      <c r="AV92" s="73">
        <f>'IS (Adjusted)'!AV92-'IS (Base)'!AV92</f>
        <v>0</v>
      </c>
    </row>
    <row r="93" spans="1:48" outlineLevel="1" x14ac:dyDescent="0.3">
      <c r="B93" s="607" t="s">
        <v>100</v>
      </c>
      <c r="C93" s="608"/>
      <c r="D93" s="105">
        <f>'IS (Adjusted)'!D93-'IS (Base)'!D93</f>
        <v>0</v>
      </c>
      <c r="E93" s="105">
        <f>'IS (Adjusted)'!E93-'IS (Base)'!E93</f>
        <v>0</v>
      </c>
      <c r="F93" s="105">
        <f>'IS (Adjusted)'!F93-'IS (Base)'!F93</f>
        <v>0</v>
      </c>
      <c r="G93" s="105">
        <f>'IS (Adjusted)'!G93-'IS (Base)'!G93</f>
        <v>0</v>
      </c>
      <c r="H93" s="129">
        <f>'IS (Adjusted)'!H93-'IS (Base)'!H93</f>
        <v>0</v>
      </c>
      <c r="I93" s="105">
        <f>'IS (Adjusted)'!I93-'IS (Base)'!I93</f>
        <v>0</v>
      </c>
      <c r="J93" s="105">
        <f>'IS (Adjusted)'!J93-'IS (Base)'!J93</f>
        <v>0</v>
      </c>
      <c r="K93" s="105">
        <f>'IS (Adjusted)'!K93-'IS (Base)'!K93</f>
        <v>0</v>
      </c>
      <c r="L93" s="105">
        <f>'IS (Adjusted)'!L93-'IS (Base)'!L93</f>
        <v>0</v>
      </c>
      <c r="M93" s="129">
        <f>'IS (Adjusted)'!M93-'IS (Base)'!M93</f>
        <v>0</v>
      </c>
      <c r="N93" s="105">
        <f>'IS (Adjusted)'!N93-'IS (Base)'!N93</f>
        <v>0</v>
      </c>
      <c r="O93" s="105">
        <f>'IS (Adjusted)'!O93-'IS (Base)'!O93</f>
        <v>0</v>
      </c>
      <c r="P93" s="105">
        <f>'IS (Adjusted)'!P93-'IS (Base)'!P93</f>
        <v>0</v>
      </c>
      <c r="Q93" s="105">
        <f>'IS (Adjusted)'!Q93-'IS (Base)'!Q93</f>
        <v>0</v>
      </c>
      <c r="R93" s="76">
        <f>'IS (Adjusted)'!R93-'IS (Base)'!R93</f>
        <v>0</v>
      </c>
      <c r="S93" s="48">
        <f>'IS (Adjusted)'!S93-'IS (Base)'!S93</f>
        <v>0</v>
      </c>
      <c r="T93" s="48">
        <f>'IS (Adjusted)'!T93-'IS (Base)'!T93</f>
        <v>0</v>
      </c>
      <c r="U93" s="48">
        <f>'IS (Adjusted)'!U93-'IS (Base)'!U93</f>
        <v>0</v>
      </c>
      <c r="V93" s="48">
        <f>'IS (Adjusted)'!V93-'IS (Base)'!V93</f>
        <v>0</v>
      </c>
      <c r="W93" s="76">
        <f>'IS (Adjusted)'!W93-'IS (Base)'!W93</f>
        <v>0</v>
      </c>
      <c r="X93" s="105">
        <f>'IS (Adjusted)'!X93-'IS (Base)'!X93</f>
        <v>0</v>
      </c>
      <c r="Y93" s="48">
        <f>'IS (Adjusted)'!Y93-'IS (Base)'!Y93</f>
        <v>0</v>
      </c>
      <c r="Z93" s="48">
        <f>'IS (Adjusted)'!Z93-'IS (Base)'!Z93</f>
        <v>0</v>
      </c>
      <c r="AA93" s="48">
        <f>'IS (Adjusted)'!AA93-'IS (Base)'!AA93</f>
        <v>0</v>
      </c>
      <c r="AB93" s="76">
        <f>'IS (Adjusted)'!AB93-'IS (Base)'!AB93</f>
        <v>0</v>
      </c>
      <c r="AC93" s="48">
        <f>'IS (Adjusted)'!AC93-'IS (Base)'!AC93</f>
        <v>0</v>
      </c>
      <c r="AD93" s="48">
        <f>'IS (Adjusted)'!AD93-'IS (Base)'!AD93</f>
        <v>0</v>
      </c>
      <c r="AE93" s="48">
        <f>'IS (Adjusted)'!AE93-'IS (Base)'!AE93</f>
        <v>0</v>
      </c>
      <c r="AF93" s="48">
        <f>'IS (Adjusted)'!AF93-'IS (Base)'!AF93</f>
        <v>0</v>
      </c>
      <c r="AG93" s="76">
        <f>'IS (Adjusted)'!AG93-'IS (Base)'!AG93</f>
        <v>0</v>
      </c>
      <c r="AH93" s="48">
        <f>'IS (Adjusted)'!AH93-'IS (Base)'!AH93</f>
        <v>0</v>
      </c>
      <c r="AI93" s="48">
        <f>'IS (Adjusted)'!AI93-'IS (Base)'!AI93</f>
        <v>0</v>
      </c>
      <c r="AJ93" s="48">
        <f>'IS (Adjusted)'!AJ93-'IS (Base)'!AJ93</f>
        <v>0</v>
      </c>
      <c r="AK93" s="48">
        <f>'IS (Adjusted)'!AK93-'IS (Base)'!AK93</f>
        <v>0</v>
      </c>
      <c r="AL93" s="76">
        <f>'IS (Adjusted)'!AL93-'IS (Base)'!AL93</f>
        <v>0</v>
      </c>
      <c r="AM93" s="48">
        <f>'IS (Adjusted)'!AM93-'IS (Base)'!AM93</f>
        <v>0</v>
      </c>
      <c r="AN93" s="48">
        <f>'IS (Adjusted)'!AN93-'IS (Base)'!AN93</f>
        <v>0</v>
      </c>
      <c r="AO93" s="48">
        <f>'IS (Adjusted)'!AO93-'IS (Base)'!AO93</f>
        <v>0</v>
      </c>
      <c r="AP93" s="48">
        <f>'IS (Adjusted)'!AP93-'IS (Base)'!AP93</f>
        <v>0</v>
      </c>
      <c r="AQ93" s="76">
        <f>'IS (Adjusted)'!AQ93-'IS (Base)'!AQ93</f>
        <v>0</v>
      </c>
      <c r="AR93" s="48">
        <f>'IS (Adjusted)'!AR93-'IS (Base)'!AR93</f>
        <v>0</v>
      </c>
      <c r="AS93" s="48">
        <f>'IS (Adjusted)'!AS93-'IS (Base)'!AS93</f>
        <v>0</v>
      </c>
      <c r="AT93" s="48">
        <f>'IS (Adjusted)'!AT93-'IS (Base)'!AT93</f>
        <v>0</v>
      </c>
      <c r="AU93" s="48">
        <f>'IS (Adjusted)'!AU93-'IS (Base)'!AU93</f>
        <v>0</v>
      </c>
      <c r="AV93" s="76">
        <f>'IS (Adjusted)'!AV93-'IS (Base)'!AV93</f>
        <v>0</v>
      </c>
    </row>
    <row r="94" spans="1:48" s="183" customFormat="1" outlineLevel="1" x14ac:dyDescent="0.3">
      <c r="A94" s="238"/>
      <c r="B94" s="181" t="s">
        <v>151</v>
      </c>
      <c r="C94" s="182"/>
      <c r="D94" s="167">
        <f>'IS (Adjusted)'!D94-'IS (Base)'!D94</f>
        <v>0</v>
      </c>
      <c r="E94" s="167">
        <f>'IS (Adjusted)'!E94-'IS (Base)'!E94</f>
        <v>0</v>
      </c>
      <c r="F94" s="167">
        <f>'IS (Adjusted)'!F94-'IS (Base)'!F94</f>
        <v>0</v>
      </c>
      <c r="G94" s="167">
        <f>'IS (Adjusted)'!G94-'IS (Base)'!G94</f>
        <v>0</v>
      </c>
      <c r="H94" s="186">
        <f>'IS (Adjusted)'!H94-'IS (Base)'!H94</f>
        <v>0</v>
      </c>
      <c r="I94" s="167">
        <f>'IS (Adjusted)'!I94-'IS (Base)'!I94</f>
        <v>0</v>
      </c>
      <c r="J94" s="167">
        <f>'IS (Adjusted)'!J94-'IS (Base)'!J94</f>
        <v>0</v>
      </c>
      <c r="K94" s="167">
        <f>'IS (Adjusted)'!K94-'IS (Base)'!K94</f>
        <v>0</v>
      </c>
      <c r="L94" s="167">
        <f>'IS (Adjusted)'!L94-'IS (Base)'!L94</f>
        <v>0</v>
      </c>
      <c r="M94" s="186">
        <f>'IS (Adjusted)'!M94-'IS (Base)'!M94</f>
        <v>0</v>
      </c>
      <c r="N94" s="167">
        <f>'IS (Adjusted)'!N94-'IS (Base)'!N94</f>
        <v>0</v>
      </c>
      <c r="O94" s="167">
        <f>'IS (Adjusted)'!O94-'IS (Base)'!O94</f>
        <v>0</v>
      </c>
      <c r="P94" s="167">
        <f>'IS (Adjusted)'!P94-'IS (Base)'!P94</f>
        <v>0</v>
      </c>
      <c r="Q94" s="167">
        <f>'IS (Adjusted)'!Q94-'IS (Base)'!Q94</f>
        <v>0</v>
      </c>
      <c r="R94" s="188">
        <f>'IS (Adjusted)'!R94-'IS (Base)'!R94</f>
        <v>0</v>
      </c>
      <c r="S94" s="167">
        <f>'IS (Adjusted)'!S94-'IS (Base)'!S94</f>
        <v>0</v>
      </c>
      <c r="T94" s="167">
        <f>'IS (Adjusted)'!T94-'IS (Base)'!T94</f>
        <v>0</v>
      </c>
      <c r="U94" s="167">
        <f>'IS (Adjusted)'!U94-'IS (Base)'!U94</f>
        <v>0</v>
      </c>
      <c r="V94" s="167">
        <f>'IS (Adjusted)'!V94-'IS (Base)'!V94</f>
        <v>0</v>
      </c>
      <c r="W94" s="188">
        <f>'IS (Adjusted)'!W94-'IS (Base)'!W94</f>
        <v>0</v>
      </c>
      <c r="X94" s="167">
        <f>'IS (Adjusted)'!X94-'IS (Base)'!X94</f>
        <v>0</v>
      </c>
      <c r="Y94" s="189">
        <f>'IS (Adjusted)'!Y94-'IS (Base)'!Y94</f>
        <v>0</v>
      </c>
      <c r="Z94" s="189">
        <f>'IS (Adjusted)'!Z94-'IS (Base)'!Z94</f>
        <v>0</v>
      </c>
      <c r="AA94" s="189">
        <f>'IS (Adjusted)'!AA94-'IS (Base)'!AA94</f>
        <v>0</v>
      </c>
      <c r="AB94" s="188">
        <f>'IS (Adjusted)'!AB94-'IS (Base)'!AB94</f>
        <v>0</v>
      </c>
      <c r="AC94" s="189">
        <f>'IS (Adjusted)'!AC94-'IS (Base)'!AC94</f>
        <v>0</v>
      </c>
      <c r="AD94" s="189">
        <f>'IS (Adjusted)'!AD94-'IS (Base)'!AD94</f>
        <v>0</v>
      </c>
      <c r="AE94" s="189">
        <f>'IS (Adjusted)'!AE94-'IS (Base)'!AE94</f>
        <v>0</v>
      </c>
      <c r="AF94" s="189">
        <f>'IS (Adjusted)'!AF94-'IS (Base)'!AF94</f>
        <v>0</v>
      </c>
      <c r="AG94" s="188">
        <f>'IS (Adjusted)'!AG94-'IS (Base)'!AG94</f>
        <v>0</v>
      </c>
      <c r="AH94" s="189">
        <f>'IS (Adjusted)'!AH94-'IS (Base)'!AH94</f>
        <v>0</v>
      </c>
      <c r="AI94" s="189">
        <f>'IS (Adjusted)'!AI94-'IS (Base)'!AI94</f>
        <v>0</v>
      </c>
      <c r="AJ94" s="189">
        <f>'IS (Adjusted)'!AJ94-'IS (Base)'!AJ94</f>
        <v>0</v>
      </c>
      <c r="AK94" s="189">
        <f>'IS (Adjusted)'!AK94-'IS (Base)'!AK94</f>
        <v>0</v>
      </c>
      <c r="AL94" s="188">
        <f>'IS (Adjusted)'!AL94-'IS (Base)'!AL94</f>
        <v>0</v>
      </c>
      <c r="AM94" s="189">
        <f>'IS (Adjusted)'!AM94-'IS (Base)'!AM94</f>
        <v>0</v>
      </c>
      <c r="AN94" s="189">
        <f>'IS (Adjusted)'!AN94-'IS (Base)'!AN94</f>
        <v>0</v>
      </c>
      <c r="AO94" s="189">
        <f>'IS (Adjusted)'!AO94-'IS (Base)'!AO94</f>
        <v>0</v>
      </c>
      <c r="AP94" s="189">
        <f>'IS (Adjusted)'!AP94-'IS (Base)'!AP94</f>
        <v>0</v>
      </c>
      <c r="AQ94" s="188">
        <f>'IS (Adjusted)'!AQ94-'IS (Base)'!AQ94</f>
        <v>0</v>
      </c>
      <c r="AR94" s="189">
        <f>'IS (Adjusted)'!AR94-'IS (Base)'!AR94</f>
        <v>0</v>
      </c>
      <c r="AS94" s="189">
        <f>'IS (Adjusted)'!AS94-'IS (Base)'!AS94</f>
        <v>0</v>
      </c>
      <c r="AT94" s="189">
        <f>'IS (Adjusted)'!AT94-'IS (Base)'!AT94</f>
        <v>0</v>
      </c>
      <c r="AU94" s="189">
        <f>'IS (Adjusted)'!AU94-'IS (Base)'!AU94</f>
        <v>0</v>
      </c>
      <c r="AV94" s="188">
        <f>'IS (Adjusted)'!AV94-'IS (Base)'!AV94</f>
        <v>0</v>
      </c>
    </row>
    <row r="95" spans="1:48" outlineLevel="1" x14ac:dyDescent="0.3">
      <c r="B95" s="180" t="s">
        <v>32</v>
      </c>
      <c r="C95" s="18"/>
      <c r="D95" s="105">
        <f>'IS (Adjusted)'!D95-'IS (Base)'!D95</f>
        <v>0</v>
      </c>
      <c r="E95" s="105">
        <f>'IS (Adjusted)'!E95-'IS (Base)'!E95</f>
        <v>0</v>
      </c>
      <c r="F95" s="105">
        <f>'IS (Adjusted)'!F95-'IS (Base)'!F95</f>
        <v>0</v>
      </c>
      <c r="G95" s="105">
        <f>'IS (Adjusted)'!G95-'IS (Base)'!G95</f>
        <v>0</v>
      </c>
      <c r="H95" s="170">
        <f>'IS (Adjusted)'!H95-'IS (Base)'!H95</f>
        <v>0</v>
      </c>
      <c r="I95" s="105">
        <f>'IS (Adjusted)'!I95-'IS (Base)'!I95</f>
        <v>0</v>
      </c>
      <c r="J95" s="105">
        <f>'IS (Adjusted)'!J95-'IS (Base)'!J95</f>
        <v>0</v>
      </c>
      <c r="K95" s="105">
        <f>'IS (Adjusted)'!K95-'IS (Base)'!K95</f>
        <v>0</v>
      </c>
      <c r="L95" s="105">
        <f>'IS (Adjusted)'!L95-'IS (Base)'!L95</f>
        <v>0</v>
      </c>
      <c r="M95" s="170">
        <f>'IS (Adjusted)'!M95-'IS (Base)'!M95</f>
        <v>0</v>
      </c>
      <c r="N95" s="105">
        <f>'IS (Adjusted)'!N95-'IS (Base)'!N95</f>
        <v>0</v>
      </c>
      <c r="O95" s="105">
        <f>'IS (Adjusted)'!O95-'IS (Base)'!O95</f>
        <v>0</v>
      </c>
      <c r="P95" s="105">
        <f>'IS (Adjusted)'!P95-'IS (Base)'!P95</f>
        <v>0</v>
      </c>
      <c r="Q95" s="105">
        <f>'IS (Adjusted)'!Q95-'IS (Base)'!Q95</f>
        <v>0</v>
      </c>
      <c r="R95" s="49">
        <f>'IS (Adjusted)'!R95-'IS (Base)'!R95</f>
        <v>0</v>
      </c>
      <c r="S95" s="48">
        <f>'IS (Adjusted)'!S95-'IS (Base)'!S95</f>
        <v>0</v>
      </c>
      <c r="T95" s="48">
        <f>'IS (Adjusted)'!T95-'IS (Base)'!T95</f>
        <v>0</v>
      </c>
      <c r="U95" s="48">
        <f>'IS (Adjusted)'!U95-'IS (Base)'!U95</f>
        <v>0</v>
      </c>
      <c r="V95" s="48">
        <f>'IS (Adjusted)'!V95-'IS (Base)'!V95</f>
        <v>0</v>
      </c>
      <c r="W95" s="49">
        <f>'IS (Adjusted)'!W95-'IS (Base)'!W95</f>
        <v>0</v>
      </c>
      <c r="X95" s="105">
        <f>'IS (Adjusted)'!X95-'IS (Base)'!X95</f>
        <v>0</v>
      </c>
      <c r="Y95" s="48">
        <f>'IS (Adjusted)'!Y95-'IS (Base)'!Y95</f>
        <v>0</v>
      </c>
      <c r="Z95" s="48">
        <f>'IS (Adjusted)'!Z95-'IS (Base)'!Z95</f>
        <v>0</v>
      </c>
      <c r="AA95" s="48">
        <f>'IS (Adjusted)'!AA95-'IS (Base)'!AA95</f>
        <v>0</v>
      </c>
      <c r="AB95" s="49">
        <f>'IS (Adjusted)'!AB95-'IS (Base)'!AB95</f>
        <v>0</v>
      </c>
      <c r="AC95" s="48">
        <f>'IS (Adjusted)'!AC95-'IS (Base)'!AC95</f>
        <v>0</v>
      </c>
      <c r="AD95" s="48">
        <f>'IS (Adjusted)'!AD95-'IS (Base)'!AD95</f>
        <v>0</v>
      </c>
      <c r="AE95" s="48">
        <f>'IS (Adjusted)'!AE95-'IS (Base)'!AE95</f>
        <v>0</v>
      </c>
      <c r="AF95" s="48">
        <f>'IS (Adjusted)'!AF95-'IS (Base)'!AF95</f>
        <v>0</v>
      </c>
      <c r="AG95" s="49">
        <f>'IS (Adjusted)'!AG95-'IS (Base)'!AG95</f>
        <v>0</v>
      </c>
      <c r="AH95" s="48">
        <f>'IS (Adjusted)'!AH95-'IS (Base)'!AH95</f>
        <v>0</v>
      </c>
      <c r="AI95" s="48">
        <f>'IS (Adjusted)'!AI95-'IS (Base)'!AI95</f>
        <v>0</v>
      </c>
      <c r="AJ95" s="48">
        <f>'IS (Adjusted)'!AJ95-'IS (Base)'!AJ95</f>
        <v>0</v>
      </c>
      <c r="AK95" s="48">
        <f>'IS (Adjusted)'!AK95-'IS (Base)'!AK95</f>
        <v>0</v>
      </c>
      <c r="AL95" s="49">
        <f>'IS (Adjusted)'!AL95-'IS (Base)'!AL95</f>
        <v>0</v>
      </c>
      <c r="AM95" s="48">
        <f>'IS (Adjusted)'!AM95-'IS (Base)'!AM95</f>
        <v>0</v>
      </c>
      <c r="AN95" s="48">
        <f>'IS (Adjusted)'!AN95-'IS (Base)'!AN95</f>
        <v>0</v>
      </c>
      <c r="AO95" s="48">
        <f>'IS (Adjusted)'!AO95-'IS (Base)'!AO95</f>
        <v>0</v>
      </c>
      <c r="AP95" s="48">
        <f>'IS (Adjusted)'!AP95-'IS (Base)'!AP95</f>
        <v>0</v>
      </c>
      <c r="AQ95" s="49">
        <f>'IS (Adjusted)'!AQ95-'IS (Base)'!AQ95</f>
        <v>0</v>
      </c>
      <c r="AR95" s="48">
        <f>'IS (Adjusted)'!AR95-'IS (Base)'!AR95</f>
        <v>0</v>
      </c>
      <c r="AS95" s="48">
        <f>'IS (Adjusted)'!AS95-'IS (Base)'!AS95</f>
        <v>0</v>
      </c>
      <c r="AT95" s="48">
        <f>'IS (Adjusted)'!AT95-'IS (Base)'!AT95</f>
        <v>0</v>
      </c>
      <c r="AU95" s="48">
        <f>'IS (Adjusted)'!AU95-'IS (Base)'!AU95</f>
        <v>0</v>
      </c>
      <c r="AV95" s="49">
        <f>'IS (Adjusted)'!AV95-'IS (Base)'!AV95</f>
        <v>0</v>
      </c>
    </row>
    <row r="96" spans="1:48" s="184" customFormat="1" outlineLevel="1" x14ac:dyDescent="0.3">
      <c r="B96" s="181" t="s">
        <v>150</v>
      </c>
      <c r="C96" s="190"/>
      <c r="D96" s="167">
        <f>'IS (Adjusted)'!D96-'IS (Base)'!D96</f>
        <v>0</v>
      </c>
      <c r="E96" s="167">
        <f>'IS (Adjusted)'!E96-'IS (Base)'!E96</f>
        <v>0</v>
      </c>
      <c r="F96" s="167">
        <f>'IS (Adjusted)'!F96-'IS (Base)'!F96</f>
        <v>0</v>
      </c>
      <c r="G96" s="167">
        <f>'IS (Adjusted)'!G96-'IS (Base)'!G96</f>
        <v>0</v>
      </c>
      <c r="H96" s="186">
        <f>'IS (Adjusted)'!H96-'IS (Base)'!H96</f>
        <v>0</v>
      </c>
      <c r="I96" s="167">
        <f>'IS (Adjusted)'!I96-'IS (Base)'!I96</f>
        <v>0</v>
      </c>
      <c r="J96" s="167">
        <f>'IS (Adjusted)'!J96-'IS (Base)'!J96</f>
        <v>0</v>
      </c>
      <c r="K96" s="167">
        <f>'IS (Adjusted)'!K96-'IS (Base)'!K96</f>
        <v>0</v>
      </c>
      <c r="L96" s="167">
        <f>'IS (Adjusted)'!L96-'IS (Base)'!L96</f>
        <v>0</v>
      </c>
      <c r="M96" s="186">
        <f>'IS (Adjusted)'!M96-'IS (Base)'!M96</f>
        <v>0</v>
      </c>
      <c r="N96" s="167">
        <f>'IS (Adjusted)'!N96-'IS (Base)'!N96</f>
        <v>0</v>
      </c>
      <c r="O96" s="167">
        <f>'IS (Adjusted)'!O96-'IS (Base)'!O96</f>
        <v>0</v>
      </c>
      <c r="P96" s="167">
        <f>'IS (Adjusted)'!P96-'IS (Base)'!P96</f>
        <v>0</v>
      </c>
      <c r="Q96" s="167">
        <f>'IS (Adjusted)'!Q96-'IS (Base)'!Q96</f>
        <v>0</v>
      </c>
      <c r="R96" s="188">
        <f>'IS (Adjusted)'!R96-'IS (Base)'!R96</f>
        <v>0</v>
      </c>
      <c r="S96" s="167">
        <f>'IS (Adjusted)'!S96-'IS (Base)'!S96</f>
        <v>0</v>
      </c>
      <c r="T96" s="167">
        <f>'IS (Adjusted)'!T96-'IS (Base)'!T96</f>
        <v>0</v>
      </c>
      <c r="U96" s="167">
        <f>'IS (Adjusted)'!U96-'IS (Base)'!U96</f>
        <v>0</v>
      </c>
      <c r="V96" s="167">
        <f>'IS (Adjusted)'!V96-'IS (Base)'!V96</f>
        <v>0</v>
      </c>
      <c r="W96" s="188">
        <f>'IS (Adjusted)'!W96-'IS (Base)'!W96</f>
        <v>0</v>
      </c>
      <c r="X96" s="167">
        <f>'IS (Adjusted)'!X96-'IS (Base)'!X96</f>
        <v>0</v>
      </c>
      <c r="Y96" s="189">
        <f>'IS (Adjusted)'!Y96-'IS (Base)'!Y96</f>
        <v>0</v>
      </c>
      <c r="Z96" s="189">
        <f>'IS (Adjusted)'!Z96-'IS (Base)'!Z96</f>
        <v>0</v>
      </c>
      <c r="AA96" s="189">
        <f>'IS (Adjusted)'!AA96-'IS (Base)'!AA96</f>
        <v>0</v>
      </c>
      <c r="AB96" s="188">
        <f>'IS (Adjusted)'!AB96-'IS (Base)'!AB96</f>
        <v>0</v>
      </c>
      <c r="AC96" s="189">
        <f>'IS (Adjusted)'!AC96-'IS (Base)'!AC96</f>
        <v>0</v>
      </c>
      <c r="AD96" s="189">
        <f>'IS (Adjusted)'!AD96-'IS (Base)'!AD96</f>
        <v>0</v>
      </c>
      <c r="AE96" s="189">
        <f>'IS (Adjusted)'!AE96-'IS (Base)'!AE96</f>
        <v>0</v>
      </c>
      <c r="AF96" s="189">
        <f>'IS (Adjusted)'!AF96-'IS (Base)'!AF96</f>
        <v>0</v>
      </c>
      <c r="AG96" s="188">
        <f>'IS (Adjusted)'!AG96-'IS (Base)'!AG96</f>
        <v>0</v>
      </c>
      <c r="AH96" s="189">
        <f>'IS (Adjusted)'!AH96-'IS (Base)'!AH96</f>
        <v>0</v>
      </c>
      <c r="AI96" s="189">
        <f>'IS (Adjusted)'!AI96-'IS (Base)'!AI96</f>
        <v>0</v>
      </c>
      <c r="AJ96" s="189">
        <f>'IS (Adjusted)'!AJ96-'IS (Base)'!AJ96</f>
        <v>0</v>
      </c>
      <c r="AK96" s="189">
        <f>'IS (Adjusted)'!AK96-'IS (Base)'!AK96</f>
        <v>0</v>
      </c>
      <c r="AL96" s="188">
        <f>'IS (Adjusted)'!AL96-'IS (Base)'!AL96</f>
        <v>0</v>
      </c>
      <c r="AM96" s="189">
        <f>'IS (Adjusted)'!AM96-'IS (Base)'!AM96</f>
        <v>0</v>
      </c>
      <c r="AN96" s="189">
        <f>'IS (Adjusted)'!AN96-'IS (Base)'!AN96</f>
        <v>0</v>
      </c>
      <c r="AO96" s="189">
        <f>'IS (Adjusted)'!AO96-'IS (Base)'!AO96</f>
        <v>0</v>
      </c>
      <c r="AP96" s="189">
        <f>'IS (Adjusted)'!AP96-'IS (Base)'!AP96</f>
        <v>0</v>
      </c>
      <c r="AQ96" s="188">
        <f>'IS (Adjusted)'!AQ96-'IS (Base)'!AQ96</f>
        <v>0</v>
      </c>
      <c r="AR96" s="189">
        <f>'IS (Adjusted)'!AR96-'IS (Base)'!AR96</f>
        <v>0</v>
      </c>
      <c r="AS96" s="189">
        <f>'IS (Adjusted)'!AS96-'IS (Base)'!AS96</f>
        <v>0</v>
      </c>
      <c r="AT96" s="189">
        <f>'IS (Adjusted)'!AT96-'IS (Base)'!AT96</f>
        <v>0</v>
      </c>
      <c r="AU96" s="189">
        <f>'IS (Adjusted)'!AU96-'IS (Base)'!AU96</f>
        <v>0</v>
      </c>
      <c r="AV96" s="188">
        <f>'IS (Adjusted)'!AV96-'IS (Base)'!AV96</f>
        <v>0</v>
      </c>
    </row>
    <row r="97" spans="1:48" outlineLevel="1" x14ac:dyDescent="0.3">
      <c r="B97" s="180" t="s">
        <v>33</v>
      </c>
      <c r="C97" s="18"/>
      <c r="D97" s="105">
        <f>'IS (Adjusted)'!D97-'IS (Base)'!D97</f>
        <v>0</v>
      </c>
      <c r="E97" s="105">
        <f>'IS (Adjusted)'!E97-'IS (Base)'!E97</f>
        <v>0</v>
      </c>
      <c r="F97" s="105">
        <f>'IS (Adjusted)'!F97-'IS (Base)'!F97</f>
        <v>0</v>
      </c>
      <c r="G97" s="105">
        <f>'IS (Adjusted)'!G97-'IS (Base)'!G97</f>
        <v>0</v>
      </c>
      <c r="H97" s="170">
        <f>'IS (Adjusted)'!H97-'IS (Base)'!H97</f>
        <v>0</v>
      </c>
      <c r="I97" s="105">
        <f>'IS (Adjusted)'!I97-'IS (Base)'!I97</f>
        <v>0</v>
      </c>
      <c r="J97" s="105">
        <f>'IS (Adjusted)'!J97-'IS (Base)'!J97</f>
        <v>0</v>
      </c>
      <c r="K97" s="105">
        <f>'IS (Adjusted)'!K97-'IS (Base)'!K97</f>
        <v>0</v>
      </c>
      <c r="L97" s="105">
        <f>'IS (Adjusted)'!L97-'IS (Base)'!L97</f>
        <v>0</v>
      </c>
      <c r="M97" s="170">
        <f>'IS (Adjusted)'!M97-'IS (Base)'!M97</f>
        <v>0</v>
      </c>
      <c r="N97" s="105">
        <f>'IS (Adjusted)'!N97-'IS (Base)'!N97</f>
        <v>0</v>
      </c>
      <c r="O97" s="105">
        <f>'IS (Adjusted)'!O97-'IS (Base)'!O97</f>
        <v>0</v>
      </c>
      <c r="P97" s="105">
        <f>'IS (Adjusted)'!P97-'IS (Base)'!P97</f>
        <v>0</v>
      </c>
      <c r="Q97" s="105">
        <f>'IS (Adjusted)'!Q97-'IS (Base)'!Q97</f>
        <v>0</v>
      </c>
      <c r="R97" s="49">
        <f>'IS (Adjusted)'!R97-'IS (Base)'!R97</f>
        <v>0</v>
      </c>
      <c r="S97" s="48">
        <f>'IS (Adjusted)'!S97-'IS (Base)'!S97</f>
        <v>0</v>
      </c>
      <c r="T97" s="48">
        <f>'IS (Adjusted)'!T97-'IS (Base)'!T97</f>
        <v>0</v>
      </c>
      <c r="U97" s="48">
        <f>'IS (Adjusted)'!U97-'IS (Base)'!U97</f>
        <v>0</v>
      </c>
      <c r="V97" s="48">
        <f>'IS (Adjusted)'!V97-'IS (Base)'!V97</f>
        <v>0</v>
      </c>
      <c r="W97" s="49">
        <f>'IS (Adjusted)'!W97-'IS (Base)'!W97</f>
        <v>0</v>
      </c>
      <c r="X97" s="105">
        <f>'IS (Adjusted)'!X97-'IS (Base)'!X97</f>
        <v>0</v>
      </c>
      <c r="Y97" s="48">
        <f>'IS (Adjusted)'!Y97-'IS (Base)'!Y97</f>
        <v>0</v>
      </c>
      <c r="Z97" s="48">
        <f>'IS (Adjusted)'!Z97-'IS (Base)'!Z97</f>
        <v>0</v>
      </c>
      <c r="AA97" s="48">
        <f>'IS (Adjusted)'!AA97-'IS (Base)'!AA97</f>
        <v>0</v>
      </c>
      <c r="AB97" s="49">
        <f>'IS (Adjusted)'!AB97-'IS (Base)'!AB97</f>
        <v>0</v>
      </c>
      <c r="AC97" s="48">
        <f>'IS (Adjusted)'!AC97-'IS (Base)'!AC97</f>
        <v>0</v>
      </c>
      <c r="AD97" s="48">
        <f>'IS (Adjusted)'!AD97-'IS (Base)'!AD97</f>
        <v>0</v>
      </c>
      <c r="AE97" s="48">
        <f>'IS (Adjusted)'!AE97-'IS (Base)'!AE97</f>
        <v>0</v>
      </c>
      <c r="AF97" s="48">
        <f>'IS (Adjusted)'!AF97-'IS (Base)'!AF97</f>
        <v>0</v>
      </c>
      <c r="AG97" s="49">
        <f>'IS (Adjusted)'!AG97-'IS (Base)'!AG97</f>
        <v>0</v>
      </c>
      <c r="AH97" s="48">
        <f>'IS (Adjusted)'!AH97-'IS (Base)'!AH97</f>
        <v>0</v>
      </c>
      <c r="AI97" s="48">
        <f>'IS (Adjusted)'!AI97-'IS (Base)'!AI97</f>
        <v>0</v>
      </c>
      <c r="AJ97" s="48">
        <f>'IS (Adjusted)'!AJ97-'IS (Base)'!AJ97</f>
        <v>0</v>
      </c>
      <c r="AK97" s="48">
        <f>'IS (Adjusted)'!AK97-'IS (Base)'!AK97</f>
        <v>0</v>
      </c>
      <c r="AL97" s="49">
        <f>'IS (Adjusted)'!AL97-'IS (Base)'!AL97</f>
        <v>0</v>
      </c>
      <c r="AM97" s="48">
        <f>'IS (Adjusted)'!AM97-'IS (Base)'!AM97</f>
        <v>0</v>
      </c>
      <c r="AN97" s="48">
        <f>'IS (Adjusted)'!AN97-'IS (Base)'!AN97</f>
        <v>0</v>
      </c>
      <c r="AO97" s="48">
        <f>'IS (Adjusted)'!AO97-'IS (Base)'!AO97</f>
        <v>0</v>
      </c>
      <c r="AP97" s="48">
        <f>'IS (Adjusted)'!AP97-'IS (Base)'!AP97</f>
        <v>0</v>
      </c>
      <c r="AQ97" s="49">
        <f>'IS (Adjusted)'!AQ97-'IS (Base)'!AQ97</f>
        <v>0</v>
      </c>
      <c r="AR97" s="48">
        <f>'IS (Adjusted)'!AR97-'IS (Base)'!AR97</f>
        <v>0</v>
      </c>
      <c r="AS97" s="48">
        <f>'IS (Adjusted)'!AS97-'IS (Base)'!AS97</f>
        <v>0</v>
      </c>
      <c r="AT97" s="48">
        <f>'IS (Adjusted)'!AT97-'IS (Base)'!AT97</f>
        <v>0</v>
      </c>
      <c r="AU97" s="48">
        <f>'IS (Adjusted)'!AU97-'IS (Base)'!AU97</f>
        <v>0</v>
      </c>
      <c r="AV97" s="49">
        <f>'IS (Adjusted)'!AV97-'IS (Base)'!AV97</f>
        <v>0</v>
      </c>
    </row>
    <row r="98" spans="1:48" s="184" customFormat="1" outlineLevel="1" x14ac:dyDescent="0.3">
      <c r="B98" s="181" t="s">
        <v>152</v>
      </c>
      <c r="C98" s="190"/>
      <c r="D98" s="167">
        <f>'IS (Adjusted)'!D98-'IS (Base)'!D98</f>
        <v>0</v>
      </c>
      <c r="E98" s="167">
        <f>'IS (Adjusted)'!E98-'IS (Base)'!E98</f>
        <v>0</v>
      </c>
      <c r="F98" s="167">
        <f>'IS (Adjusted)'!F98-'IS (Base)'!F98</f>
        <v>0</v>
      </c>
      <c r="G98" s="167">
        <f>'IS (Adjusted)'!G98-'IS (Base)'!G98</f>
        <v>0</v>
      </c>
      <c r="H98" s="186">
        <f>'IS (Adjusted)'!H98-'IS (Base)'!H98</f>
        <v>0</v>
      </c>
      <c r="I98" s="167">
        <f>'IS (Adjusted)'!I98-'IS (Base)'!I98</f>
        <v>0</v>
      </c>
      <c r="J98" s="167">
        <f>'IS (Adjusted)'!J98-'IS (Base)'!J98</f>
        <v>0</v>
      </c>
      <c r="K98" s="167">
        <f>'IS (Adjusted)'!K98-'IS (Base)'!K98</f>
        <v>0</v>
      </c>
      <c r="L98" s="167">
        <f>'IS (Adjusted)'!L98-'IS (Base)'!L98</f>
        <v>0</v>
      </c>
      <c r="M98" s="186">
        <f>'IS (Adjusted)'!M98-'IS (Base)'!M98</f>
        <v>0</v>
      </c>
      <c r="N98" s="167">
        <f>'IS (Adjusted)'!N98-'IS (Base)'!N98</f>
        <v>0</v>
      </c>
      <c r="O98" s="167">
        <f>'IS (Adjusted)'!O98-'IS (Base)'!O98</f>
        <v>0</v>
      </c>
      <c r="P98" s="167">
        <f>'IS (Adjusted)'!P98-'IS (Base)'!P98</f>
        <v>0</v>
      </c>
      <c r="Q98" s="167">
        <f>'IS (Adjusted)'!Q98-'IS (Base)'!Q98</f>
        <v>0</v>
      </c>
      <c r="R98" s="188">
        <f>'IS (Adjusted)'!R98-'IS (Base)'!R98</f>
        <v>0</v>
      </c>
      <c r="S98" s="167">
        <f>'IS (Adjusted)'!S98-'IS (Base)'!S98</f>
        <v>0</v>
      </c>
      <c r="T98" s="167">
        <f>'IS (Adjusted)'!T98-'IS (Base)'!T98</f>
        <v>0</v>
      </c>
      <c r="U98" s="167">
        <f>'IS (Adjusted)'!U98-'IS (Base)'!U98</f>
        <v>0</v>
      </c>
      <c r="V98" s="167">
        <f>'IS (Adjusted)'!V98-'IS (Base)'!V98</f>
        <v>0</v>
      </c>
      <c r="W98" s="188">
        <f>'IS (Adjusted)'!W98-'IS (Base)'!W98</f>
        <v>0</v>
      </c>
      <c r="X98" s="167">
        <f>'IS (Adjusted)'!X98-'IS (Base)'!X98</f>
        <v>0</v>
      </c>
      <c r="Y98" s="189">
        <f>'IS (Adjusted)'!Y98-'IS (Base)'!Y98</f>
        <v>0</v>
      </c>
      <c r="Z98" s="189">
        <f>'IS (Adjusted)'!Z98-'IS (Base)'!Z98</f>
        <v>0</v>
      </c>
      <c r="AA98" s="189">
        <f>'IS (Adjusted)'!AA98-'IS (Base)'!AA98</f>
        <v>0</v>
      </c>
      <c r="AB98" s="188">
        <f>'IS (Adjusted)'!AB98-'IS (Base)'!AB98</f>
        <v>0</v>
      </c>
      <c r="AC98" s="189">
        <f>'IS (Adjusted)'!AC98-'IS (Base)'!AC98</f>
        <v>0</v>
      </c>
      <c r="AD98" s="189">
        <f>'IS (Adjusted)'!AD98-'IS (Base)'!AD98</f>
        <v>0</v>
      </c>
      <c r="AE98" s="189">
        <f>'IS (Adjusted)'!AE98-'IS (Base)'!AE98</f>
        <v>0</v>
      </c>
      <c r="AF98" s="189">
        <f>'IS (Adjusted)'!AF98-'IS (Base)'!AF98</f>
        <v>0</v>
      </c>
      <c r="AG98" s="188">
        <f>'IS (Adjusted)'!AG98-'IS (Base)'!AG98</f>
        <v>0</v>
      </c>
      <c r="AH98" s="189">
        <f>'IS (Adjusted)'!AH98-'IS (Base)'!AH98</f>
        <v>0</v>
      </c>
      <c r="AI98" s="189">
        <f>'IS (Adjusted)'!AI98-'IS (Base)'!AI98</f>
        <v>0</v>
      </c>
      <c r="AJ98" s="189">
        <f>'IS (Adjusted)'!AJ98-'IS (Base)'!AJ98</f>
        <v>0</v>
      </c>
      <c r="AK98" s="189">
        <f>'IS (Adjusted)'!AK98-'IS (Base)'!AK98</f>
        <v>0</v>
      </c>
      <c r="AL98" s="188">
        <f>'IS (Adjusted)'!AL98-'IS (Base)'!AL98</f>
        <v>0</v>
      </c>
      <c r="AM98" s="189">
        <f>'IS (Adjusted)'!AM98-'IS (Base)'!AM98</f>
        <v>0</v>
      </c>
      <c r="AN98" s="189">
        <f>'IS (Adjusted)'!AN98-'IS (Base)'!AN98</f>
        <v>0</v>
      </c>
      <c r="AO98" s="189">
        <f>'IS (Adjusted)'!AO98-'IS (Base)'!AO98</f>
        <v>0</v>
      </c>
      <c r="AP98" s="189">
        <f>'IS (Adjusted)'!AP98-'IS (Base)'!AP98</f>
        <v>0</v>
      </c>
      <c r="AQ98" s="188">
        <f>'IS (Adjusted)'!AQ98-'IS (Base)'!AQ98</f>
        <v>0</v>
      </c>
      <c r="AR98" s="189">
        <f>'IS (Adjusted)'!AR98-'IS (Base)'!AR98</f>
        <v>0</v>
      </c>
      <c r="AS98" s="189">
        <f>'IS (Adjusted)'!AS98-'IS (Base)'!AS98</f>
        <v>0</v>
      </c>
      <c r="AT98" s="189">
        <f>'IS (Adjusted)'!AT98-'IS (Base)'!AT98</f>
        <v>0</v>
      </c>
      <c r="AU98" s="189">
        <f>'IS (Adjusted)'!AU98-'IS (Base)'!AU98</f>
        <v>0</v>
      </c>
      <c r="AV98" s="188">
        <f>'IS (Adjusted)'!AV98-'IS (Base)'!AV98</f>
        <v>0</v>
      </c>
    </row>
    <row r="99" spans="1:48" outlineLevel="1" x14ac:dyDescent="0.3">
      <c r="B99" s="180" t="s">
        <v>34</v>
      </c>
      <c r="C99" s="18"/>
      <c r="D99" s="358">
        <f>'IS (Adjusted)'!D99-'IS (Base)'!D99</f>
        <v>0</v>
      </c>
      <c r="E99" s="358">
        <f>'IS (Adjusted)'!E99-'IS (Base)'!E99</f>
        <v>0</v>
      </c>
      <c r="F99" s="358">
        <f>'IS (Adjusted)'!F99-'IS (Base)'!F99</f>
        <v>0</v>
      </c>
      <c r="G99" s="358">
        <f>'IS (Adjusted)'!G99-'IS (Base)'!G99</f>
        <v>0</v>
      </c>
      <c r="H99" s="126">
        <f>'IS (Adjusted)'!H99-'IS (Base)'!H99</f>
        <v>0</v>
      </c>
      <c r="I99" s="358">
        <f>'IS (Adjusted)'!I99-'IS (Base)'!I99</f>
        <v>0</v>
      </c>
      <c r="J99" s="358">
        <f>'IS (Adjusted)'!J99-'IS (Base)'!J99</f>
        <v>0</v>
      </c>
      <c r="K99" s="358">
        <f>'IS (Adjusted)'!K99-'IS (Base)'!K99</f>
        <v>0</v>
      </c>
      <c r="L99" s="358">
        <f>'IS (Adjusted)'!L99-'IS (Base)'!L99</f>
        <v>0</v>
      </c>
      <c r="M99" s="126">
        <f>'IS (Adjusted)'!M99-'IS (Base)'!M99</f>
        <v>0</v>
      </c>
      <c r="N99" s="358">
        <f>'IS (Adjusted)'!N99-'IS (Base)'!N99</f>
        <v>0</v>
      </c>
      <c r="O99" s="358">
        <f>'IS (Adjusted)'!O99-'IS (Base)'!O99</f>
        <v>0</v>
      </c>
      <c r="P99" s="358">
        <f>'IS (Adjusted)'!P99-'IS (Base)'!P99</f>
        <v>0</v>
      </c>
      <c r="Q99" s="358">
        <f>'IS (Adjusted)'!Q99-'IS (Base)'!Q99</f>
        <v>0</v>
      </c>
      <c r="R99" s="126">
        <f>'IS (Adjusted)'!R99-'IS (Base)'!R99</f>
        <v>0</v>
      </c>
      <c r="S99" s="358">
        <f>'IS (Adjusted)'!S99-'IS (Base)'!S99</f>
        <v>0</v>
      </c>
      <c r="T99" s="358">
        <f>'IS (Adjusted)'!T99-'IS (Base)'!T99</f>
        <v>0</v>
      </c>
      <c r="U99" s="358">
        <f>'IS (Adjusted)'!U99-'IS (Base)'!U99</f>
        <v>0</v>
      </c>
      <c r="V99" s="358">
        <f>'IS (Adjusted)'!V99-'IS (Base)'!V99</f>
        <v>0</v>
      </c>
      <c r="W99" s="126">
        <f>'IS (Adjusted)'!W99-'IS (Base)'!W99</f>
        <v>0</v>
      </c>
      <c r="X99" s="358">
        <f>'IS (Adjusted)'!X99-'IS (Base)'!X99</f>
        <v>0</v>
      </c>
      <c r="Y99" s="358">
        <f>'IS (Adjusted)'!Y99-'IS (Base)'!Y99</f>
        <v>0</v>
      </c>
      <c r="Z99" s="358">
        <f>'IS (Adjusted)'!Z99-'IS (Base)'!Z99</f>
        <v>0</v>
      </c>
      <c r="AA99" s="358">
        <f>'IS (Adjusted)'!AA99-'IS (Base)'!AA99</f>
        <v>0</v>
      </c>
      <c r="AB99" s="126">
        <f>'IS (Adjusted)'!AB99-'IS (Base)'!AB99</f>
        <v>0</v>
      </c>
      <c r="AC99" s="358">
        <f>'IS (Adjusted)'!AC99-'IS (Base)'!AC99</f>
        <v>0</v>
      </c>
      <c r="AD99" s="358">
        <f>'IS (Adjusted)'!AD99-'IS (Base)'!AD99</f>
        <v>0</v>
      </c>
      <c r="AE99" s="358">
        <f>'IS (Adjusted)'!AE99-'IS (Base)'!AE99</f>
        <v>0</v>
      </c>
      <c r="AF99" s="358">
        <f>'IS (Adjusted)'!AF99-'IS (Base)'!AF99</f>
        <v>0</v>
      </c>
      <c r="AG99" s="126">
        <f>'IS (Adjusted)'!AG99-'IS (Base)'!AG99</f>
        <v>0</v>
      </c>
      <c r="AH99" s="358">
        <f>'IS (Adjusted)'!AH99-'IS (Base)'!AH99</f>
        <v>0</v>
      </c>
      <c r="AI99" s="358">
        <f>'IS (Adjusted)'!AI99-'IS (Base)'!AI99</f>
        <v>0</v>
      </c>
      <c r="AJ99" s="358">
        <f>'IS (Adjusted)'!AJ99-'IS (Base)'!AJ99</f>
        <v>0</v>
      </c>
      <c r="AK99" s="358">
        <f>'IS (Adjusted)'!AK99-'IS (Base)'!AK99</f>
        <v>0</v>
      </c>
      <c r="AL99" s="126">
        <f>'IS (Adjusted)'!AL99-'IS (Base)'!AL99</f>
        <v>0</v>
      </c>
      <c r="AM99" s="358">
        <f>'IS (Adjusted)'!AM99-'IS (Base)'!AM99</f>
        <v>0</v>
      </c>
      <c r="AN99" s="358">
        <f>'IS (Adjusted)'!AN99-'IS (Base)'!AN99</f>
        <v>0</v>
      </c>
      <c r="AO99" s="358">
        <f>'IS (Adjusted)'!AO99-'IS (Base)'!AO99</f>
        <v>0</v>
      </c>
      <c r="AP99" s="358">
        <f>'IS (Adjusted)'!AP99-'IS (Base)'!AP99</f>
        <v>0</v>
      </c>
      <c r="AQ99" s="126">
        <f>'IS (Adjusted)'!AQ99-'IS (Base)'!AQ99</f>
        <v>0</v>
      </c>
      <c r="AR99" s="358">
        <f>'IS (Adjusted)'!AR99-'IS (Base)'!AR99</f>
        <v>0</v>
      </c>
      <c r="AS99" s="358">
        <f>'IS (Adjusted)'!AS99-'IS (Base)'!AS99</f>
        <v>0</v>
      </c>
      <c r="AT99" s="358">
        <f>'IS (Adjusted)'!AT99-'IS (Base)'!AT99</f>
        <v>0</v>
      </c>
      <c r="AU99" s="358">
        <f>'IS (Adjusted)'!AU99-'IS (Base)'!AU99</f>
        <v>0</v>
      </c>
      <c r="AV99" s="126">
        <f>'IS (Adjusted)'!AV99-'IS (Base)'!AV99</f>
        <v>0</v>
      </c>
    </row>
    <row r="100" spans="1:48" outlineLevel="1" x14ac:dyDescent="0.3">
      <c r="B100" s="180" t="s">
        <v>35</v>
      </c>
      <c r="C100" s="18"/>
      <c r="D100" s="105">
        <f>'IS (Adjusted)'!D100-'IS (Base)'!D100</f>
        <v>0</v>
      </c>
      <c r="E100" s="105">
        <f>'IS (Adjusted)'!E100-'IS (Base)'!E100</f>
        <v>0</v>
      </c>
      <c r="F100" s="105">
        <f>'IS (Adjusted)'!F100-'IS (Base)'!F100</f>
        <v>0</v>
      </c>
      <c r="G100" s="105">
        <f>'IS (Adjusted)'!G100-'IS (Base)'!G100</f>
        <v>0</v>
      </c>
      <c r="H100" s="170">
        <f>'IS (Adjusted)'!H100-'IS (Base)'!H100</f>
        <v>0</v>
      </c>
      <c r="I100" s="105">
        <f>'IS (Adjusted)'!I100-'IS (Base)'!I100</f>
        <v>0</v>
      </c>
      <c r="J100" s="105">
        <f>'IS (Adjusted)'!J100-'IS (Base)'!J100</f>
        <v>0</v>
      </c>
      <c r="K100" s="105">
        <f>'IS (Adjusted)'!K100-'IS (Base)'!K100</f>
        <v>0</v>
      </c>
      <c r="L100" s="105">
        <f>'IS (Adjusted)'!L100-'IS (Base)'!L100</f>
        <v>0</v>
      </c>
      <c r="M100" s="170">
        <f>'IS (Adjusted)'!M100-'IS (Base)'!M100</f>
        <v>0</v>
      </c>
      <c r="N100" s="105">
        <f>'IS (Adjusted)'!N100-'IS (Base)'!N100</f>
        <v>0</v>
      </c>
      <c r="O100" s="105">
        <f>'IS (Adjusted)'!O100-'IS (Base)'!O100</f>
        <v>0</v>
      </c>
      <c r="P100" s="105">
        <f>'IS (Adjusted)'!P100-'IS (Base)'!P100</f>
        <v>0</v>
      </c>
      <c r="Q100" s="105">
        <f>'IS (Adjusted)'!Q100-'IS (Base)'!Q100</f>
        <v>0</v>
      </c>
      <c r="R100" s="49">
        <f>'IS (Adjusted)'!R100-'IS (Base)'!R100</f>
        <v>0</v>
      </c>
      <c r="S100" s="48">
        <f>'IS (Adjusted)'!S100-'IS (Base)'!S100</f>
        <v>0</v>
      </c>
      <c r="T100" s="48">
        <f>'IS (Adjusted)'!T100-'IS (Base)'!T100</f>
        <v>0</v>
      </c>
      <c r="U100" s="48">
        <f>'IS (Adjusted)'!U100-'IS (Base)'!U100</f>
        <v>0</v>
      </c>
      <c r="V100" s="48">
        <f>'IS (Adjusted)'!V100-'IS (Base)'!V100</f>
        <v>0</v>
      </c>
      <c r="W100" s="49">
        <f>'IS (Adjusted)'!W100-'IS (Base)'!W100</f>
        <v>0</v>
      </c>
      <c r="X100" s="105">
        <f>'IS (Adjusted)'!X100-'IS (Base)'!X100</f>
        <v>0</v>
      </c>
      <c r="Y100" s="48">
        <f>'IS (Adjusted)'!Y100-'IS (Base)'!Y100</f>
        <v>0</v>
      </c>
      <c r="Z100" s="48">
        <f>'IS (Adjusted)'!Z100-'IS (Base)'!Z100</f>
        <v>0</v>
      </c>
      <c r="AA100" s="48">
        <f>'IS (Adjusted)'!AA100-'IS (Base)'!AA100</f>
        <v>0</v>
      </c>
      <c r="AB100" s="49">
        <f>'IS (Adjusted)'!AB100-'IS (Base)'!AB100</f>
        <v>0</v>
      </c>
      <c r="AC100" s="48">
        <f>'IS (Adjusted)'!AC100-'IS (Base)'!AC100</f>
        <v>0</v>
      </c>
      <c r="AD100" s="48">
        <f>'IS (Adjusted)'!AD100-'IS (Base)'!AD100</f>
        <v>0</v>
      </c>
      <c r="AE100" s="48">
        <f>'IS (Adjusted)'!AE100-'IS (Base)'!AE100</f>
        <v>0</v>
      </c>
      <c r="AF100" s="48">
        <f>'IS (Adjusted)'!AF100-'IS (Base)'!AF100</f>
        <v>0</v>
      </c>
      <c r="AG100" s="49">
        <f>'IS (Adjusted)'!AG100-'IS (Base)'!AG100</f>
        <v>0</v>
      </c>
      <c r="AH100" s="48">
        <f>'IS (Adjusted)'!AH100-'IS (Base)'!AH100</f>
        <v>0</v>
      </c>
      <c r="AI100" s="48">
        <f>'IS (Adjusted)'!AI100-'IS (Base)'!AI100</f>
        <v>0</v>
      </c>
      <c r="AJ100" s="48">
        <f>'IS (Adjusted)'!AJ100-'IS (Base)'!AJ100</f>
        <v>0</v>
      </c>
      <c r="AK100" s="48">
        <f>'IS (Adjusted)'!AK100-'IS (Base)'!AK100</f>
        <v>0</v>
      </c>
      <c r="AL100" s="49">
        <f>'IS (Adjusted)'!AL100-'IS (Base)'!AL100</f>
        <v>0</v>
      </c>
      <c r="AM100" s="48">
        <f>'IS (Adjusted)'!AM100-'IS (Base)'!AM100</f>
        <v>0</v>
      </c>
      <c r="AN100" s="48">
        <f>'IS (Adjusted)'!AN100-'IS (Base)'!AN100</f>
        <v>0</v>
      </c>
      <c r="AO100" s="48">
        <f>'IS (Adjusted)'!AO100-'IS (Base)'!AO100</f>
        <v>0</v>
      </c>
      <c r="AP100" s="48">
        <f>'IS (Adjusted)'!AP100-'IS (Base)'!AP100</f>
        <v>0</v>
      </c>
      <c r="AQ100" s="49">
        <f>'IS (Adjusted)'!AQ100-'IS (Base)'!AQ100</f>
        <v>0</v>
      </c>
      <c r="AR100" s="48">
        <f>'IS (Adjusted)'!AR100-'IS (Base)'!AR100</f>
        <v>0</v>
      </c>
      <c r="AS100" s="48">
        <f>'IS (Adjusted)'!AS100-'IS (Base)'!AS100</f>
        <v>0</v>
      </c>
      <c r="AT100" s="48">
        <f>'IS (Adjusted)'!AT100-'IS (Base)'!AT100</f>
        <v>0</v>
      </c>
      <c r="AU100" s="48">
        <f>'IS (Adjusted)'!AU100-'IS (Base)'!AU100</f>
        <v>0</v>
      </c>
      <c r="AV100" s="49">
        <f>'IS (Adjusted)'!AV100-'IS (Base)'!AV100</f>
        <v>0</v>
      </c>
    </row>
    <row r="101" spans="1:48" s="184" customFormat="1" outlineLevel="1" x14ac:dyDescent="0.3">
      <c r="B101" s="181" t="s">
        <v>153</v>
      </c>
      <c r="C101" s="190"/>
      <c r="D101" s="167">
        <f>'IS (Adjusted)'!D101-'IS (Base)'!D101</f>
        <v>0</v>
      </c>
      <c r="E101" s="167">
        <f>'IS (Adjusted)'!E101-'IS (Base)'!E101</f>
        <v>0</v>
      </c>
      <c r="F101" s="167">
        <f>'IS (Adjusted)'!F101-'IS (Base)'!F101</f>
        <v>0</v>
      </c>
      <c r="G101" s="167">
        <f>'IS (Adjusted)'!G101-'IS (Base)'!G101</f>
        <v>0</v>
      </c>
      <c r="H101" s="186">
        <f>'IS (Adjusted)'!H101-'IS (Base)'!H101</f>
        <v>0</v>
      </c>
      <c r="I101" s="167">
        <f>'IS (Adjusted)'!I101-'IS (Base)'!I101</f>
        <v>0</v>
      </c>
      <c r="J101" s="167">
        <f>'IS (Adjusted)'!J101-'IS (Base)'!J101</f>
        <v>0</v>
      </c>
      <c r="K101" s="167">
        <f>'IS (Adjusted)'!K101-'IS (Base)'!K101</f>
        <v>0</v>
      </c>
      <c r="L101" s="167">
        <f>'IS (Adjusted)'!L101-'IS (Base)'!L101</f>
        <v>0</v>
      </c>
      <c r="M101" s="186">
        <f>'IS (Adjusted)'!M101-'IS (Base)'!M101</f>
        <v>0</v>
      </c>
      <c r="N101" s="167">
        <f>'IS (Adjusted)'!N101-'IS (Base)'!N101</f>
        <v>0</v>
      </c>
      <c r="O101" s="167">
        <f>'IS (Adjusted)'!O101-'IS (Base)'!O101</f>
        <v>0</v>
      </c>
      <c r="P101" s="167">
        <f>'IS (Adjusted)'!P101-'IS (Base)'!P101</f>
        <v>0</v>
      </c>
      <c r="Q101" s="167">
        <f>'IS (Adjusted)'!Q101-'IS (Base)'!Q101</f>
        <v>0</v>
      </c>
      <c r="R101" s="188">
        <f>'IS (Adjusted)'!R101-'IS (Base)'!R101</f>
        <v>0</v>
      </c>
      <c r="S101" s="167">
        <f>'IS (Adjusted)'!S101-'IS (Base)'!S101</f>
        <v>0</v>
      </c>
      <c r="T101" s="167">
        <f>'IS (Adjusted)'!T101-'IS (Base)'!T101</f>
        <v>0</v>
      </c>
      <c r="U101" s="167">
        <f>'IS (Adjusted)'!U101-'IS (Base)'!U101</f>
        <v>0</v>
      </c>
      <c r="V101" s="167">
        <f>'IS (Adjusted)'!V101-'IS (Base)'!V101</f>
        <v>0</v>
      </c>
      <c r="W101" s="188">
        <f>'IS (Adjusted)'!W101-'IS (Base)'!W101</f>
        <v>0</v>
      </c>
      <c r="X101" s="167">
        <f>'IS (Adjusted)'!X101-'IS (Base)'!X101</f>
        <v>0</v>
      </c>
      <c r="Y101" s="189">
        <f>'IS (Adjusted)'!Y101-'IS (Base)'!Y101</f>
        <v>0</v>
      </c>
      <c r="Z101" s="189">
        <f>'IS (Adjusted)'!Z101-'IS (Base)'!Z101</f>
        <v>0</v>
      </c>
      <c r="AA101" s="189">
        <f>'IS (Adjusted)'!AA101-'IS (Base)'!AA101</f>
        <v>0</v>
      </c>
      <c r="AB101" s="188">
        <f>'IS (Adjusted)'!AB101-'IS (Base)'!AB101</f>
        <v>0</v>
      </c>
      <c r="AC101" s="189">
        <f>'IS (Adjusted)'!AC101-'IS (Base)'!AC101</f>
        <v>0</v>
      </c>
      <c r="AD101" s="189">
        <f>'IS (Adjusted)'!AD101-'IS (Base)'!AD101</f>
        <v>0</v>
      </c>
      <c r="AE101" s="189">
        <f>'IS (Adjusted)'!AE101-'IS (Base)'!AE101</f>
        <v>0</v>
      </c>
      <c r="AF101" s="189">
        <f>'IS (Adjusted)'!AF101-'IS (Base)'!AF101</f>
        <v>0</v>
      </c>
      <c r="AG101" s="188">
        <f>'IS (Adjusted)'!AG101-'IS (Base)'!AG101</f>
        <v>0</v>
      </c>
      <c r="AH101" s="189">
        <f>'IS (Adjusted)'!AH101-'IS (Base)'!AH101</f>
        <v>0</v>
      </c>
      <c r="AI101" s="189">
        <f>'IS (Adjusted)'!AI101-'IS (Base)'!AI101</f>
        <v>0</v>
      </c>
      <c r="AJ101" s="189">
        <f>'IS (Adjusted)'!AJ101-'IS (Base)'!AJ101</f>
        <v>0</v>
      </c>
      <c r="AK101" s="189">
        <f>'IS (Adjusted)'!AK101-'IS (Base)'!AK101</f>
        <v>0</v>
      </c>
      <c r="AL101" s="188">
        <f>'IS (Adjusted)'!AL101-'IS (Base)'!AL101</f>
        <v>0</v>
      </c>
      <c r="AM101" s="189">
        <f>'IS (Adjusted)'!AM101-'IS (Base)'!AM101</f>
        <v>0</v>
      </c>
      <c r="AN101" s="189">
        <f>'IS (Adjusted)'!AN101-'IS (Base)'!AN101</f>
        <v>0</v>
      </c>
      <c r="AO101" s="189">
        <f>'IS (Adjusted)'!AO101-'IS (Base)'!AO101</f>
        <v>0</v>
      </c>
      <c r="AP101" s="189">
        <f>'IS (Adjusted)'!AP101-'IS (Base)'!AP101</f>
        <v>0</v>
      </c>
      <c r="AQ101" s="188">
        <f>'IS (Adjusted)'!AQ101-'IS (Base)'!AQ101</f>
        <v>0</v>
      </c>
      <c r="AR101" s="189">
        <f>'IS (Adjusted)'!AR101-'IS (Base)'!AR101</f>
        <v>0</v>
      </c>
      <c r="AS101" s="189">
        <f>'IS (Adjusted)'!AS101-'IS (Base)'!AS101</f>
        <v>0</v>
      </c>
      <c r="AT101" s="189">
        <f>'IS (Adjusted)'!AT101-'IS (Base)'!AT101</f>
        <v>0</v>
      </c>
      <c r="AU101" s="189">
        <f>'IS (Adjusted)'!AU101-'IS (Base)'!AU101</f>
        <v>0</v>
      </c>
      <c r="AV101" s="188">
        <f>'IS (Adjusted)'!AV101-'IS (Base)'!AV101</f>
        <v>0</v>
      </c>
    </row>
    <row r="102" spans="1:48" ht="16.2" outlineLevel="1" x14ac:dyDescent="0.45">
      <c r="B102" s="180" t="s">
        <v>42</v>
      </c>
      <c r="C102" s="18"/>
      <c r="D102" s="119">
        <f>'IS (Adjusted)'!D102-'IS (Base)'!D102</f>
        <v>0</v>
      </c>
      <c r="E102" s="119">
        <f>'IS (Adjusted)'!E102-'IS (Base)'!E102</f>
        <v>0</v>
      </c>
      <c r="F102" s="119">
        <f>'IS (Adjusted)'!F102-'IS (Base)'!F102</f>
        <v>0</v>
      </c>
      <c r="G102" s="119">
        <f>'IS (Adjusted)'!G102-'IS (Base)'!G102</f>
        <v>0</v>
      </c>
      <c r="H102" s="131">
        <f>'IS (Adjusted)'!H102-'IS (Base)'!H102</f>
        <v>0</v>
      </c>
      <c r="I102" s="119">
        <f>'IS (Adjusted)'!I102-'IS (Base)'!I102</f>
        <v>0</v>
      </c>
      <c r="J102" s="119">
        <f>'IS (Adjusted)'!J102-'IS (Base)'!J102</f>
        <v>0</v>
      </c>
      <c r="K102" s="119">
        <f>'IS (Adjusted)'!K102-'IS (Base)'!K102</f>
        <v>0</v>
      </c>
      <c r="L102" s="119">
        <f>'IS (Adjusted)'!L102-'IS (Base)'!L102</f>
        <v>0</v>
      </c>
      <c r="M102" s="131">
        <f>'IS (Adjusted)'!M102-'IS (Base)'!M102</f>
        <v>0</v>
      </c>
      <c r="N102" s="119">
        <f>'IS (Adjusted)'!N102-'IS (Base)'!N102</f>
        <v>0</v>
      </c>
      <c r="O102" s="119">
        <f>'IS (Adjusted)'!O102-'IS (Base)'!O102</f>
        <v>0</v>
      </c>
      <c r="P102" s="119">
        <f>'IS (Adjusted)'!P102-'IS (Base)'!P102</f>
        <v>0</v>
      </c>
      <c r="Q102" s="119">
        <f>'IS (Adjusted)'!Q102-'IS (Base)'!Q102</f>
        <v>0</v>
      </c>
      <c r="R102" s="131">
        <f>'IS (Adjusted)'!R102-'IS (Base)'!R102</f>
        <v>0</v>
      </c>
      <c r="S102" s="119">
        <f>'IS (Adjusted)'!S102-'IS (Base)'!S102</f>
        <v>0</v>
      </c>
      <c r="T102" s="119">
        <f>'IS (Adjusted)'!T102-'IS (Base)'!T102</f>
        <v>0</v>
      </c>
      <c r="U102" s="119">
        <f>'IS (Adjusted)'!U102-'IS (Base)'!U102</f>
        <v>0</v>
      </c>
      <c r="V102" s="119">
        <f>'IS (Adjusted)'!V102-'IS (Base)'!V102</f>
        <v>0</v>
      </c>
      <c r="W102" s="131">
        <f>'IS (Adjusted)'!W102-'IS (Base)'!W102</f>
        <v>0</v>
      </c>
      <c r="X102" s="119">
        <f>'IS (Adjusted)'!X102-'IS (Base)'!X102</f>
        <v>0</v>
      </c>
      <c r="Y102" s="119">
        <f>'IS (Adjusted)'!Y102-'IS (Base)'!Y102</f>
        <v>0</v>
      </c>
      <c r="Z102" s="119">
        <f>'IS (Adjusted)'!Z102-'IS (Base)'!Z102</f>
        <v>0</v>
      </c>
      <c r="AA102" s="119">
        <f>'IS (Adjusted)'!AA102-'IS (Base)'!AA102</f>
        <v>0</v>
      </c>
      <c r="AB102" s="131">
        <f>'IS (Adjusted)'!AB102-'IS (Base)'!AB102</f>
        <v>0</v>
      </c>
      <c r="AC102" s="119">
        <f>'IS (Adjusted)'!AC102-'IS (Base)'!AC102</f>
        <v>0</v>
      </c>
      <c r="AD102" s="119">
        <f>'IS (Adjusted)'!AD102-'IS (Base)'!AD102</f>
        <v>0</v>
      </c>
      <c r="AE102" s="119">
        <f>'IS (Adjusted)'!AE102-'IS (Base)'!AE102</f>
        <v>0</v>
      </c>
      <c r="AF102" s="119">
        <f>'IS (Adjusted)'!AF102-'IS (Base)'!AF102</f>
        <v>0</v>
      </c>
      <c r="AG102" s="131">
        <f>'IS (Adjusted)'!AG102-'IS (Base)'!AG102</f>
        <v>0</v>
      </c>
      <c r="AH102" s="119">
        <f>'IS (Adjusted)'!AH102-'IS (Base)'!AH102</f>
        <v>0</v>
      </c>
      <c r="AI102" s="119">
        <f>'IS (Adjusted)'!AI102-'IS (Base)'!AI102</f>
        <v>0</v>
      </c>
      <c r="AJ102" s="119">
        <f>'IS (Adjusted)'!AJ102-'IS (Base)'!AJ102</f>
        <v>0</v>
      </c>
      <c r="AK102" s="119">
        <f>'IS (Adjusted)'!AK102-'IS (Base)'!AK102</f>
        <v>0</v>
      </c>
      <c r="AL102" s="131">
        <f>'IS (Adjusted)'!AL102-'IS (Base)'!AL102</f>
        <v>0</v>
      </c>
      <c r="AM102" s="119">
        <f>'IS (Adjusted)'!AM102-'IS (Base)'!AM102</f>
        <v>0</v>
      </c>
      <c r="AN102" s="119">
        <f>'IS (Adjusted)'!AN102-'IS (Base)'!AN102</f>
        <v>0</v>
      </c>
      <c r="AO102" s="119">
        <f>'IS (Adjusted)'!AO102-'IS (Base)'!AO102</f>
        <v>0</v>
      </c>
      <c r="AP102" s="119">
        <f>'IS (Adjusted)'!AP102-'IS (Base)'!AP102</f>
        <v>0</v>
      </c>
      <c r="AQ102" s="131">
        <f>'IS (Adjusted)'!AQ102-'IS (Base)'!AQ102</f>
        <v>0</v>
      </c>
      <c r="AR102" s="119">
        <f>'IS (Adjusted)'!AR102-'IS (Base)'!AR102</f>
        <v>0</v>
      </c>
      <c r="AS102" s="119">
        <f>'IS (Adjusted)'!AS102-'IS (Base)'!AS102</f>
        <v>0</v>
      </c>
      <c r="AT102" s="119">
        <f>'IS (Adjusted)'!AT102-'IS (Base)'!AT102</f>
        <v>0</v>
      </c>
      <c r="AU102" s="119">
        <f>'IS (Adjusted)'!AU102-'IS (Base)'!AU102</f>
        <v>0</v>
      </c>
      <c r="AV102" s="131">
        <f>'IS (Adjusted)'!AV102-'IS (Base)'!AV102</f>
        <v>0</v>
      </c>
    </row>
    <row r="103" spans="1:48" outlineLevel="1" x14ac:dyDescent="0.3">
      <c r="B103" s="46" t="s">
        <v>123</v>
      </c>
      <c r="C103" s="19"/>
      <c r="D103" s="103">
        <f>'IS (Adjusted)'!D103-'IS (Base)'!D103</f>
        <v>0</v>
      </c>
      <c r="E103" s="103">
        <f>'IS (Adjusted)'!E103-'IS (Base)'!E103</f>
        <v>0</v>
      </c>
      <c r="F103" s="103">
        <f>'IS (Adjusted)'!F103-'IS (Base)'!F103</f>
        <v>0</v>
      </c>
      <c r="G103" s="103">
        <f>'IS (Adjusted)'!G103-'IS (Base)'!G103</f>
        <v>0</v>
      </c>
      <c r="H103" s="171">
        <f>'IS (Adjusted)'!H103-'IS (Base)'!H103</f>
        <v>0</v>
      </c>
      <c r="I103" s="103">
        <f>'IS (Adjusted)'!I103-'IS (Base)'!I103</f>
        <v>0</v>
      </c>
      <c r="J103" s="103">
        <f>'IS (Adjusted)'!J103-'IS (Base)'!J103</f>
        <v>0</v>
      </c>
      <c r="K103" s="103">
        <f>'IS (Adjusted)'!K103-'IS (Base)'!K103</f>
        <v>0</v>
      </c>
      <c r="L103" s="103">
        <f>'IS (Adjusted)'!L103-'IS (Base)'!L103</f>
        <v>0</v>
      </c>
      <c r="M103" s="171">
        <f>'IS (Adjusted)'!M103-'IS (Base)'!M103</f>
        <v>0</v>
      </c>
      <c r="N103" s="103">
        <f>'IS (Adjusted)'!N103-'IS (Base)'!N103</f>
        <v>0</v>
      </c>
      <c r="O103" s="103">
        <f>'IS (Adjusted)'!O103-'IS (Base)'!O103</f>
        <v>0</v>
      </c>
      <c r="P103" s="103">
        <f>'IS (Adjusted)'!P103-'IS (Base)'!P103</f>
        <v>0</v>
      </c>
      <c r="Q103" s="103">
        <f>'IS (Adjusted)'!Q103-'IS (Base)'!Q103</f>
        <v>0</v>
      </c>
      <c r="R103" s="171">
        <f>'IS (Adjusted)'!R103-'IS (Base)'!R103</f>
        <v>0</v>
      </c>
      <c r="S103" s="103">
        <f>'IS (Adjusted)'!S103-'IS (Base)'!S103</f>
        <v>0</v>
      </c>
      <c r="T103" s="103">
        <f>'IS (Adjusted)'!T103-'IS (Base)'!T103</f>
        <v>0</v>
      </c>
      <c r="U103" s="103">
        <f>'IS (Adjusted)'!U103-'IS (Base)'!U103</f>
        <v>0</v>
      </c>
      <c r="V103" s="103">
        <f>'IS (Adjusted)'!V103-'IS (Base)'!V103</f>
        <v>0</v>
      </c>
      <c r="W103" s="171">
        <f>'IS (Adjusted)'!W103-'IS (Base)'!W103</f>
        <v>0</v>
      </c>
      <c r="X103" s="103">
        <f>'IS (Adjusted)'!X103-'IS (Base)'!X103</f>
        <v>0</v>
      </c>
      <c r="Y103" s="103">
        <f>'IS (Adjusted)'!Y103-'IS (Base)'!Y103</f>
        <v>0</v>
      </c>
      <c r="Z103" s="103">
        <f>'IS (Adjusted)'!Z103-'IS (Base)'!Z103</f>
        <v>0</v>
      </c>
      <c r="AA103" s="103">
        <f>'IS (Adjusted)'!AA103-'IS (Base)'!AA103</f>
        <v>0</v>
      </c>
      <c r="AB103" s="171">
        <f>'IS (Adjusted)'!AB103-'IS (Base)'!AB103</f>
        <v>0</v>
      </c>
      <c r="AC103" s="103">
        <f>'IS (Adjusted)'!AC103-'IS (Base)'!AC103</f>
        <v>0</v>
      </c>
      <c r="AD103" s="103">
        <f>'IS (Adjusted)'!AD103-'IS (Base)'!AD103</f>
        <v>0</v>
      </c>
      <c r="AE103" s="103">
        <f>'IS (Adjusted)'!AE103-'IS (Base)'!AE103</f>
        <v>0</v>
      </c>
      <c r="AF103" s="103">
        <f>'IS (Adjusted)'!AF103-'IS (Base)'!AF103</f>
        <v>0</v>
      </c>
      <c r="AG103" s="171">
        <f>'IS (Adjusted)'!AG103-'IS (Base)'!AG103</f>
        <v>0</v>
      </c>
      <c r="AH103" s="103">
        <f>'IS (Adjusted)'!AH103-'IS (Base)'!AH103</f>
        <v>0</v>
      </c>
      <c r="AI103" s="103">
        <f>'IS (Adjusted)'!AI103-'IS (Base)'!AI103</f>
        <v>0</v>
      </c>
      <c r="AJ103" s="103">
        <f>'IS (Adjusted)'!AJ103-'IS (Base)'!AJ103</f>
        <v>0</v>
      </c>
      <c r="AK103" s="103">
        <f>'IS (Adjusted)'!AK103-'IS (Base)'!AK103</f>
        <v>0</v>
      </c>
      <c r="AL103" s="171">
        <f>'IS (Adjusted)'!AL103-'IS (Base)'!AL103</f>
        <v>0</v>
      </c>
      <c r="AM103" s="103">
        <f>'IS (Adjusted)'!AM103-'IS (Base)'!AM103</f>
        <v>0</v>
      </c>
      <c r="AN103" s="103">
        <f>'IS (Adjusted)'!AN103-'IS (Base)'!AN103</f>
        <v>0</v>
      </c>
      <c r="AO103" s="103">
        <f>'IS (Adjusted)'!AO103-'IS (Base)'!AO103</f>
        <v>0</v>
      </c>
      <c r="AP103" s="103">
        <f>'IS (Adjusted)'!AP103-'IS (Base)'!AP103</f>
        <v>0</v>
      </c>
      <c r="AQ103" s="171">
        <f>'IS (Adjusted)'!AQ103-'IS (Base)'!AQ103</f>
        <v>0</v>
      </c>
      <c r="AR103" s="103">
        <f>'IS (Adjusted)'!AR103-'IS (Base)'!AR103</f>
        <v>0</v>
      </c>
      <c r="AS103" s="103">
        <f>'IS (Adjusted)'!AS103-'IS (Base)'!AS103</f>
        <v>0</v>
      </c>
      <c r="AT103" s="103">
        <f>'IS (Adjusted)'!AT103-'IS (Base)'!AT103</f>
        <v>0</v>
      </c>
      <c r="AU103" s="103">
        <f>'IS (Adjusted)'!AU103-'IS (Base)'!AU103</f>
        <v>0</v>
      </c>
      <c r="AV103" s="171">
        <f>'IS (Adjusted)'!AV103-'IS (Base)'!AV103</f>
        <v>0</v>
      </c>
    </row>
    <row r="104" spans="1:48" ht="16.2" outlineLevel="1" x14ac:dyDescent="0.45">
      <c r="B104" s="180" t="s">
        <v>36</v>
      </c>
      <c r="C104" s="18"/>
      <c r="D104" s="119">
        <f>'IS (Adjusted)'!D104-'IS (Base)'!D104</f>
        <v>0</v>
      </c>
      <c r="E104" s="104">
        <f>'IS (Adjusted)'!E104-'IS (Base)'!E104</f>
        <v>0</v>
      </c>
      <c r="F104" s="104">
        <f>'IS (Adjusted)'!F104-'IS (Base)'!F104</f>
        <v>0</v>
      </c>
      <c r="G104" s="104">
        <f>'IS (Adjusted)'!G104-'IS (Base)'!G104</f>
        <v>0</v>
      </c>
      <c r="H104" s="214">
        <f>'IS (Adjusted)'!H104-'IS (Base)'!H104</f>
        <v>0</v>
      </c>
      <c r="I104" s="104">
        <f>'IS (Adjusted)'!I104-'IS (Base)'!I104</f>
        <v>0</v>
      </c>
      <c r="J104" s="104">
        <f>'IS (Adjusted)'!J104-'IS (Base)'!J104</f>
        <v>0</v>
      </c>
      <c r="K104" s="104">
        <f>'IS (Adjusted)'!K104-'IS (Base)'!K104</f>
        <v>0</v>
      </c>
      <c r="L104" s="104">
        <f>'IS (Adjusted)'!L104-'IS (Base)'!L104</f>
        <v>0</v>
      </c>
      <c r="M104" s="214">
        <f>'IS (Adjusted)'!M104-'IS (Base)'!M104</f>
        <v>0</v>
      </c>
      <c r="N104" s="104">
        <f>'IS (Adjusted)'!N104-'IS (Base)'!N104</f>
        <v>0</v>
      </c>
      <c r="O104" s="104">
        <f>'IS (Adjusted)'!O104-'IS (Base)'!O104</f>
        <v>0</v>
      </c>
      <c r="P104" s="104">
        <f>'IS (Adjusted)'!P104-'IS (Base)'!P104</f>
        <v>0</v>
      </c>
      <c r="Q104" s="104">
        <f>'IS (Adjusted)'!Q104-'IS (Base)'!Q104</f>
        <v>0</v>
      </c>
      <c r="R104" s="193">
        <f>'IS (Adjusted)'!R104-'IS (Base)'!R104</f>
        <v>0</v>
      </c>
      <c r="S104" s="104">
        <f>'IS (Adjusted)'!S104-'IS (Base)'!S104</f>
        <v>0</v>
      </c>
      <c r="T104" s="104">
        <f>'IS (Adjusted)'!T104-'IS (Base)'!T104</f>
        <v>0</v>
      </c>
      <c r="U104" s="104">
        <f>'IS (Adjusted)'!U104-'IS (Base)'!U104</f>
        <v>0</v>
      </c>
      <c r="V104" s="104">
        <f>'IS (Adjusted)'!V104-'IS (Base)'!V104</f>
        <v>0</v>
      </c>
      <c r="W104" s="193">
        <f>'IS (Adjusted)'!W104-'IS (Base)'!W104</f>
        <v>0</v>
      </c>
      <c r="X104" s="104">
        <f>'IS (Adjusted)'!X104-'IS (Base)'!X104</f>
        <v>0</v>
      </c>
      <c r="Y104" s="56">
        <f>'IS (Adjusted)'!Y104-'IS (Base)'!Y104</f>
        <v>0</v>
      </c>
      <c r="Z104" s="56">
        <f>'IS (Adjusted)'!Z104-'IS (Base)'!Z104</f>
        <v>0</v>
      </c>
      <c r="AA104" s="56">
        <f>'IS (Adjusted)'!AA104-'IS (Base)'!AA104</f>
        <v>0</v>
      </c>
      <c r="AB104" s="193">
        <f>'IS (Adjusted)'!AB104-'IS (Base)'!AB104</f>
        <v>0</v>
      </c>
      <c r="AC104" s="56">
        <f>'IS (Adjusted)'!AC104-'IS (Base)'!AC104</f>
        <v>0</v>
      </c>
      <c r="AD104" s="56">
        <f>'IS (Adjusted)'!AD104-'IS (Base)'!AD104</f>
        <v>0</v>
      </c>
      <c r="AE104" s="56">
        <f>'IS (Adjusted)'!AE104-'IS (Base)'!AE104</f>
        <v>0</v>
      </c>
      <c r="AF104" s="56">
        <f>'IS (Adjusted)'!AF104-'IS (Base)'!AF104</f>
        <v>0</v>
      </c>
      <c r="AG104" s="193">
        <f>'IS (Adjusted)'!AG104-'IS (Base)'!AG104</f>
        <v>0</v>
      </c>
      <c r="AH104" s="56">
        <f>'IS (Adjusted)'!AH104-'IS (Base)'!AH104</f>
        <v>0</v>
      </c>
      <c r="AI104" s="56">
        <f>'IS (Adjusted)'!AI104-'IS (Base)'!AI104</f>
        <v>0</v>
      </c>
      <c r="AJ104" s="56">
        <f>'IS (Adjusted)'!AJ104-'IS (Base)'!AJ104</f>
        <v>0</v>
      </c>
      <c r="AK104" s="56">
        <f>'IS (Adjusted)'!AK104-'IS (Base)'!AK104</f>
        <v>0</v>
      </c>
      <c r="AL104" s="193">
        <f>'IS (Adjusted)'!AL104-'IS (Base)'!AL104</f>
        <v>0</v>
      </c>
      <c r="AM104" s="56">
        <f>'IS (Adjusted)'!AM104-'IS (Base)'!AM104</f>
        <v>0</v>
      </c>
      <c r="AN104" s="56">
        <f>'IS (Adjusted)'!AN104-'IS (Base)'!AN104</f>
        <v>0</v>
      </c>
      <c r="AO104" s="56">
        <f>'IS (Adjusted)'!AO104-'IS (Base)'!AO104</f>
        <v>0</v>
      </c>
      <c r="AP104" s="56">
        <f>'IS (Adjusted)'!AP104-'IS (Base)'!AP104</f>
        <v>0</v>
      </c>
      <c r="AQ104" s="193">
        <f>'IS (Adjusted)'!AQ104-'IS (Base)'!AQ104</f>
        <v>0</v>
      </c>
      <c r="AR104" s="56">
        <f>'IS (Adjusted)'!AR104-'IS (Base)'!AR104</f>
        <v>0</v>
      </c>
      <c r="AS104" s="56">
        <f>'IS (Adjusted)'!AS104-'IS (Base)'!AS104</f>
        <v>0</v>
      </c>
      <c r="AT104" s="56">
        <f>'IS (Adjusted)'!AT104-'IS (Base)'!AT104</f>
        <v>0</v>
      </c>
      <c r="AU104" s="56">
        <f>'IS (Adjusted)'!AU104-'IS (Base)'!AU104</f>
        <v>0</v>
      </c>
      <c r="AV104" s="193">
        <f>'IS (Adjusted)'!AV104-'IS (Base)'!AV104</f>
        <v>0</v>
      </c>
    </row>
    <row r="105" spans="1:48" outlineLevel="1" x14ac:dyDescent="0.3">
      <c r="B105" s="46" t="s">
        <v>124</v>
      </c>
      <c r="C105" s="44"/>
      <c r="D105" s="156">
        <f>'IS (Adjusted)'!D105-'IS (Base)'!D105</f>
        <v>0</v>
      </c>
      <c r="E105" s="156">
        <f>'IS (Adjusted)'!E105-'IS (Base)'!E105</f>
        <v>0</v>
      </c>
      <c r="F105" s="156">
        <f>'IS (Adjusted)'!F105-'IS (Base)'!F105</f>
        <v>0</v>
      </c>
      <c r="G105" s="156">
        <f>'IS (Adjusted)'!G105-'IS (Base)'!G105</f>
        <v>0</v>
      </c>
      <c r="H105" s="132">
        <f>'IS (Adjusted)'!H105-'IS (Base)'!H105</f>
        <v>0</v>
      </c>
      <c r="I105" s="156">
        <f>'IS (Adjusted)'!I105-'IS (Base)'!I105</f>
        <v>0</v>
      </c>
      <c r="J105" s="156">
        <f>'IS (Adjusted)'!J105-'IS (Base)'!J105</f>
        <v>0</v>
      </c>
      <c r="K105" s="156">
        <f>'IS (Adjusted)'!K105-'IS (Base)'!K105</f>
        <v>0</v>
      </c>
      <c r="L105" s="156">
        <f>'IS (Adjusted)'!L105-'IS (Base)'!L105</f>
        <v>0</v>
      </c>
      <c r="M105" s="132">
        <f>'IS (Adjusted)'!M105-'IS (Base)'!M105</f>
        <v>0</v>
      </c>
      <c r="N105" s="156">
        <f>'IS (Adjusted)'!N105-'IS (Base)'!N105</f>
        <v>0</v>
      </c>
      <c r="O105" s="156">
        <f>'IS (Adjusted)'!O105-'IS (Base)'!O105</f>
        <v>0</v>
      </c>
      <c r="P105" s="156">
        <f>'IS (Adjusted)'!P105-'IS (Base)'!P105</f>
        <v>0</v>
      </c>
      <c r="Q105" s="156">
        <f>'IS (Adjusted)'!Q105-'IS (Base)'!Q105</f>
        <v>0</v>
      </c>
      <c r="R105" s="97">
        <f>'IS (Adjusted)'!R105-'IS (Base)'!R105</f>
        <v>0</v>
      </c>
      <c r="S105" s="74">
        <f>'IS (Adjusted)'!S105-'IS (Base)'!S105</f>
        <v>0</v>
      </c>
      <c r="T105" s="74">
        <f>'IS (Adjusted)'!T105-'IS (Base)'!T105</f>
        <v>0</v>
      </c>
      <c r="U105" s="74">
        <f>'IS (Adjusted)'!U105-'IS (Base)'!U105</f>
        <v>0</v>
      </c>
      <c r="V105" s="74">
        <f>'IS (Adjusted)'!V105-'IS (Base)'!V105</f>
        <v>0</v>
      </c>
      <c r="W105" s="97">
        <f>'IS (Adjusted)'!W105-'IS (Base)'!W105</f>
        <v>0</v>
      </c>
      <c r="X105" s="156">
        <f>'IS (Adjusted)'!X105-'IS (Base)'!X105</f>
        <v>0</v>
      </c>
      <c r="Y105" s="74">
        <f>'IS (Adjusted)'!Y105-'IS (Base)'!Y105</f>
        <v>0</v>
      </c>
      <c r="Z105" s="74">
        <f>'IS (Adjusted)'!Z105-'IS (Base)'!Z105</f>
        <v>0</v>
      </c>
      <c r="AA105" s="74">
        <f>'IS (Adjusted)'!AA105-'IS (Base)'!AA105</f>
        <v>0</v>
      </c>
      <c r="AB105" s="97">
        <f>'IS (Adjusted)'!AB105-'IS (Base)'!AB105</f>
        <v>0</v>
      </c>
      <c r="AC105" s="74">
        <f>'IS (Adjusted)'!AC105-'IS (Base)'!AC105</f>
        <v>0</v>
      </c>
      <c r="AD105" s="74">
        <f>'IS (Adjusted)'!AD105-'IS (Base)'!AD105</f>
        <v>0</v>
      </c>
      <c r="AE105" s="74">
        <f>'IS (Adjusted)'!AE105-'IS (Base)'!AE105</f>
        <v>0</v>
      </c>
      <c r="AF105" s="74">
        <f>'IS (Adjusted)'!AF105-'IS (Base)'!AF105</f>
        <v>0</v>
      </c>
      <c r="AG105" s="97">
        <f>'IS (Adjusted)'!AG105-'IS (Base)'!AG105</f>
        <v>0</v>
      </c>
      <c r="AH105" s="74">
        <f>'IS (Adjusted)'!AH105-'IS (Base)'!AH105</f>
        <v>0</v>
      </c>
      <c r="AI105" s="74">
        <f>'IS (Adjusted)'!AI105-'IS (Base)'!AI105</f>
        <v>0</v>
      </c>
      <c r="AJ105" s="74">
        <f>'IS (Adjusted)'!AJ105-'IS (Base)'!AJ105</f>
        <v>0</v>
      </c>
      <c r="AK105" s="74">
        <f>'IS (Adjusted)'!AK105-'IS (Base)'!AK105</f>
        <v>0</v>
      </c>
      <c r="AL105" s="97">
        <f>'IS (Adjusted)'!AL105-'IS (Base)'!AL105</f>
        <v>0</v>
      </c>
      <c r="AM105" s="74">
        <f>'IS (Adjusted)'!AM105-'IS (Base)'!AM105</f>
        <v>0</v>
      </c>
      <c r="AN105" s="74">
        <f>'IS (Adjusted)'!AN105-'IS (Base)'!AN105</f>
        <v>0</v>
      </c>
      <c r="AO105" s="74">
        <f>'IS (Adjusted)'!AO105-'IS (Base)'!AO105</f>
        <v>0</v>
      </c>
      <c r="AP105" s="74">
        <f>'IS (Adjusted)'!AP105-'IS (Base)'!AP105</f>
        <v>0</v>
      </c>
      <c r="AQ105" s="97">
        <f>'IS (Adjusted)'!AQ105-'IS (Base)'!AQ105</f>
        <v>0</v>
      </c>
      <c r="AR105" s="74">
        <f>'IS (Adjusted)'!AR105-'IS (Base)'!AR105</f>
        <v>0</v>
      </c>
      <c r="AS105" s="74">
        <f>'IS (Adjusted)'!AS105-'IS (Base)'!AS105</f>
        <v>0</v>
      </c>
      <c r="AT105" s="74">
        <f>'IS (Adjusted)'!AT105-'IS (Base)'!AT105</f>
        <v>0</v>
      </c>
      <c r="AU105" s="74">
        <f>'IS (Adjusted)'!AU105-'IS (Base)'!AU105</f>
        <v>0</v>
      </c>
      <c r="AV105" s="97">
        <f>'IS (Adjusted)'!AV105-'IS (Base)'!AV105</f>
        <v>0</v>
      </c>
    </row>
    <row r="106" spans="1:48" outlineLevel="1" x14ac:dyDescent="0.3">
      <c r="B106" s="46" t="s">
        <v>125</v>
      </c>
      <c r="C106" s="44"/>
      <c r="D106" s="157">
        <f>'IS (Adjusted)'!D106-'IS (Base)'!D106</f>
        <v>0</v>
      </c>
      <c r="E106" s="157">
        <f>'IS (Adjusted)'!E106-'IS (Base)'!E106</f>
        <v>0</v>
      </c>
      <c r="F106" s="157">
        <f>'IS (Adjusted)'!F106-'IS (Base)'!F106</f>
        <v>0</v>
      </c>
      <c r="G106" s="157">
        <f>'IS (Adjusted)'!G106-'IS (Base)'!G106</f>
        <v>0</v>
      </c>
      <c r="H106" s="133">
        <f>'IS (Adjusted)'!H106-'IS (Base)'!H106</f>
        <v>0</v>
      </c>
      <c r="I106" s="157">
        <f>'IS (Adjusted)'!I106-'IS (Base)'!I106</f>
        <v>0</v>
      </c>
      <c r="J106" s="157">
        <f>'IS (Adjusted)'!J106-'IS (Base)'!J106</f>
        <v>0</v>
      </c>
      <c r="K106" s="157">
        <f>'IS (Adjusted)'!K106-'IS (Base)'!K106</f>
        <v>0</v>
      </c>
      <c r="L106" s="157">
        <f>'IS (Adjusted)'!L106-'IS (Base)'!L106</f>
        <v>0</v>
      </c>
      <c r="M106" s="133">
        <f>'IS (Adjusted)'!M106-'IS (Base)'!M106</f>
        <v>0</v>
      </c>
      <c r="N106" s="157">
        <f>'IS (Adjusted)'!N106-'IS (Base)'!N106</f>
        <v>0</v>
      </c>
      <c r="O106" s="157">
        <f>'IS (Adjusted)'!O106-'IS (Base)'!O106</f>
        <v>0</v>
      </c>
      <c r="P106" s="157">
        <f>'IS (Adjusted)'!P106-'IS (Base)'!P106</f>
        <v>0</v>
      </c>
      <c r="Q106" s="157">
        <f>'IS (Adjusted)'!Q106-'IS (Base)'!Q106</f>
        <v>0</v>
      </c>
      <c r="R106" s="98">
        <f>'IS (Adjusted)'!R106-'IS (Base)'!R106</f>
        <v>0</v>
      </c>
      <c r="S106" s="75">
        <f>'IS (Adjusted)'!S106-'IS (Base)'!S106</f>
        <v>0</v>
      </c>
      <c r="T106" s="75">
        <f>'IS (Adjusted)'!T106-'IS (Base)'!T106</f>
        <v>0</v>
      </c>
      <c r="U106" s="75">
        <f>'IS (Adjusted)'!U106-'IS (Base)'!U106</f>
        <v>0</v>
      </c>
      <c r="V106" s="75">
        <f>'IS (Adjusted)'!V106-'IS (Base)'!V106</f>
        <v>0</v>
      </c>
      <c r="W106" s="98">
        <f>'IS (Adjusted)'!W106-'IS (Base)'!W106</f>
        <v>0</v>
      </c>
      <c r="X106" s="157">
        <f>'IS (Adjusted)'!X106-'IS (Base)'!X106</f>
        <v>0</v>
      </c>
      <c r="Y106" s="75">
        <f>'IS (Adjusted)'!Y106-'IS (Base)'!Y106</f>
        <v>0</v>
      </c>
      <c r="Z106" s="75">
        <f>'IS (Adjusted)'!Z106-'IS (Base)'!Z106</f>
        <v>0</v>
      </c>
      <c r="AA106" s="75">
        <f>'IS (Adjusted)'!AA106-'IS (Base)'!AA106</f>
        <v>0</v>
      </c>
      <c r="AB106" s="98">
        <f>'IS (Adjusted)'!AB106-'IS (Base)'!AB106</f>
        <v>0</v>
      </c>
      <c r="AC106" s="75">
        <f>'IS (Adjusted)'!AC106-'IS (Base)'!AC106</f>
        <v>0</v>
      </c>
      <c r="AD106" s="75">
        <f>'IS (Adjusted)'!AD106-'IS (Base)'!AD106</f>
        <v>0</v>
      </c>
      <c r="AE106" s="75">
        <f>'IS (Adjusted)'!AE106-'IS (Base)'!AE106</f>
        <v>0</v>
      </c>
      <c r="AF106" s="75">
        <f>'IS (Adjusted)'!AF106-'IS (Base)'!AF106</f>
        <v>0</v>
      </c>
      <c r="AG106" s="98">
        <f>'IS (Adjusted)'!AG106-'IS (Base)'!AG106</f>
        <v>0</v>
      </c>
      <c r="AH106" s="75">
        <f>'IS (Adjusted)'!AH106-'IS (Base)'!AH106</f>
        <v>0</v>
      </c>
      <c r="AI106" s="75">
        <f>'IS (Adjusted)'!AI106-'IS (Base)'!AI106</f>
        <v>0</v>
      </c>
      <c r="AJ106" s="75">
        <f>'IS (Adjusted)'!AJ106-'IS (Base)'!AJ106</f>
        <v>0</v>
      </c>
      <c r="AK106" s="75">
        <f>'IS (Adjusted)'!AK106-'IS (Base)'!AK106</f>
        <v>0</v>
      </c>
      <c r="AL106" s="98">
        <f>'IS (Adjusted)'!AL106-'IS (Base)'!AL106</f>
        <v>0</v>
      </c>
      <c r="AM106" s="75">
        <f>'IS (Adjusted)'!AM106-'IS (Base)'!AM106</f>
        <v>0</v>
      </c>
      <c r="AN106" s="75">
        <f>'IS (Adjusted)'!AN106-'IS (Base)'!AN106</f>
        <v>0</v>
      </c>
      <c r="AO106" s="75">
        <f>'IS (Adjusted)'!AO106-'IS (Base)'!AO106</f>
        <v>0</v>
      </c>
      <c r="AP106" s="75">
        <f>'IS (Adjusted)'!AP106-'IS (Base)'!AP106</f>
        <v>0</v>
      </c>
      <c r="AQ106" s="98">
        <f>'IS (Adjusted)'!AQ106-'IS (Base)'!AQ106</f>
        <v>0</v>
      </c>
      <c r="AR106" s="75">
        <f>'IS (Adjusted)'!AR106-'IS (Base)'!AR106</f>
        <v>0</v>
      </c>
      <c r="AS106" s="75">
        <f>'IS (Adjusted)'!AS106-'IS (Base)'!AS106</f>
        <v>0</v>
      </c>
      <c r="AT106" s="75">
        <f>'IS (Adjusted)'!AT106-'IS (Base)'!AT106</f>
        <v>0</v>
      </c>
      <c r="AU106" s="75">
        <f>'IS (Adjusted)'!AU106-'IS (Base)'!AU106</f>
        <v>0</v>
      </c>
      <c r="AV106" s="98">
        <f>'IS (Adjusted)'!AV106-'IS (Base)'!AV106</f>
        <v>0</v>
      </c>
    </row>
    <row r="107" spans="1:48" ht="17.399999999999999" x14ac:dyDescent="0.45">
      <c r="B107" s="583" t="s">
        <v>51</v>
      </c>
      <c r="C107" s="584"/>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4" t="s">
        <v>408</v>
      </c>
      <c r="Y107" s="14" t="s">
        <v>452</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87" t="s">
        <v>126</v>
      </c>
      <c r="C108" s="588"/>
      <c r="D108" s="50">
        <f>'IS (Adjusted)'!D108-'IS (Base)'!D108</f>
        <v>0</v>
      </c>
      <c r="E108" s="50">
        <f>'IS (Adjusted)'!E108-'IS (Base)'!E108</f>
        <v>0</v>
      </c>
      <c r="F108" s="103">
        <f>'IS (Adjusted)'!F108-'IS (Base)'!F108</f>
        <v>0</v>
      </c>
      <c r="G108" s="50">
        <f>'IS (Adjusted)'!G108-'IS (Base)'!G108</f>
        <v>0</v>
      </c>
      <c r="H108" s="31">
        <f>'IS (Adjusted)'!H108-'IS (Base)'!H108</f>
        <v>0</v>
      </c>
      <c r="I108" s="50">
        <f>'IS (Adjusted)'!I108-'IS (Base)'!I108</f>
        <v>0</v>
      </c>
      <c r="J108" s="50">
        <f>'IS (Adjusted)'!J108-'IS (Base)'!J108</f>
        <v>0</v>
      </c>
      <c r="K108" s="50">
        <f>'IS (Adjusted)'!K108-'IS (Base)'!K108</f>
        <v>0</v>
      </c>
      <c r="L108" s="50">
        <f>'IS (Adjusted)'!L108-'IS (Base)'!L108</f>
        <v>0</v>
      </c>
      <c r="M108" s="31">
        <f>'IS (Adjusted)'!M108-'IS (Base)'!M108</f>
        <v>0</v>
      </c>
      <c r="N108" s="50">
        <f>'IS (Adjusted)'!N108-'IS (Base)'!N108</f>
        <v>0</v>
      </c>
      <c r="O108" s="50">
        <f>'IS (Adjusted)'!O108-'IS (Base)'!O108</f>
        <v>0</v>
      </c>
      <c r="P108" s="50">
        <f>'IS (Adjusted)'!P108-'IS (Base)'!P108</f>
        <v>0</v>
      </c>
      <c r="Q108" s="103">
        <f>'IS (Adjusted)'!Q108-'IS (Base)'!Q108</f>
        <v>0</v>
      </c>
      <c r="R108" s="126">
        <f>'IS (Adjusted)'!R108-'IS (Base)'!R108</f>
        <v>0</v>
      </c>
      <c r="S108" s="50">
        <f>'IS (Adjusted)'!S108-'IS (Base)'!S108</f>
        <v>0</v>
      </c>
      <c r="T108" s="50">
        <f>'IS (Adjusted)'!T108-'IS (Base)'!T108</f>
        <v>0</v>
      </c>
      <c r="U108" s="50">
        <f>'IS (Adjusted)'!U108-'IS (Base)'!U108</f>
        <v>0</v>
      </c>
      <c r="V108" s="103">
        <f>'IS (Adjusted)'!V108-'IS (Base)'!V108</f>
        <v>0</v>
      </c>
      <c r="W108" s="126">
        <f>'IS (Adjusted)'!W108-'IS (Base)'!W108</f>
        <v>0</v>
      </c>
      <c r="X108" s="103">
        <f>'IS (Adjusted)'!X108-'IS (Base)'!X108</f>
        <v>0</v>
      </c>
      <c r="Y108" s="50">
        <f>'IS (Adjusted)'!Y108-'IS (Base)'!Y108</f>
        <v>0</v>
      </c>
      <c r="Z108" s="50">
        <f>'IS (Adjusted)'!Z108-'IS (Base)'!Z108</f>
        <v>0</v>
      </c>
      <c r="AA108" s="50">
        <f>'IS (Adjusted)'!AA108-'IS (Base)'!AA108</f>
        <v>0</v>
      </c>
      <c r="AB108" s="31">
        <f>'IS (Adjusted)'!AB108-'IS (Base)'!AB108</f>
        <v>0</v>
      </c>
      <c r="AC108" s="50">
        <f>'IS (Adjusted)'!AC108-'IS (Base)'!AC108</f>
        <v>0</v>
      </c>
      <c r="AD108" s="50">
        <f>'IS (Adjusted)'!AD108-'IS (Base)'!AD108</f>
        <v>0</v>
      </c>
      <c r="AE108" s="50">
        <f>'IS (Adjusted)'!AE108-'IS (Base)'!AE108</f>
        <v>0</v>
      </c>
      <c r="AF108" s="50">
        <f>'IS (Adjusted)'!AF108-'IS (Base)'!AF108</f>
        <v>0</v>
      </c>
      <c r="AG108" s="31">
        <f>'IS (Adjusted)'!AG108-'IS (Base)'!AG108</f>
        <v>0</v>
      </c>
      <c r="AH108" s="50">
        <f>'IS (Adjusted)'!AH108-'IS (Base)'!AH108</f>
        <v>0</v>
      </c>
      <c r="AI108" s="50">
        <f>'IS (Adjusted)'!AI108-'IS (Base)'!AI108</f>
        <v>0</v>
      </c>
      <c r="AJ108" s="50">
        <f>'IS (Adjusted)'!AJ108-'IS (Base)'!AJ108</f>
        <v>0</v>
      </c>
      <c r="AK108" s="50">
        <f>'IS (Adjusted)'!AK108-'IS (Base)'!AK108</f>
        <v>0</v>
      </c>
      <c r="AL108" s="31">
        <f>'IS (Adjusted)'!AL108-'IS (Base)'!AL108</f>
        <v>0</v>
      </c>
      <c r="AM108" s="50">
        <f>'IS (Adjusted)'!AM108-'IS (Base)'!AM108</f>
        <v>0</v>
      </c>
      <c r="AN108" s="50">
        <f>'IS (Adjusted)'!AN108-'IS (Base)'!AN108</f>
        <v>0</v>
      </c>
      <c r="AO108" s="50">
        <f>'IS (Adjusted)'!AO108-'IS (Base)'!AO108</f>
        <v>0</v>
      </c>
      <c r="AP108" s="50">
        <f>'IS (Adjusted)'!AP108-'IS (Base)'!AP108</f>
        <v>0</v>
      </c>
      <c r="AQ108" s="31">
        <f>'IS (Adjusted)'!AQ108-'IS (Base)'!AQ108</f>
        <v>0</v>
      </c>
      <c r="AR108" s="50">
        <f>'IS (Adjusted)'!AR108-'IS (Base)'!AR108</f>
        <v>0</v>
      </c>
      <c r="AS108" s="50">
        <f>'IS (Adjusted)'!AS108-'IS (Base)'!AS108</f>
        <v>0</v>
      </c>
      <c r="AT108" s="50">
        <f>'IS (Adjusted)'!AT108-'IS (Base)'!AT108</f>
        <v>0</v>
      </c>
      <c r="AU108" s="50">
        <f>'IS (Adjusted)'!AU108-'IS (Base)'!AU108</f>
        <v>0</v>
      </c>
      <c r="AV108" s="31">
        <f>'IS (Adjusted)'!AV108-'IS (Base)'!AV108</f>
        <v>0</v>
      </c>
    </row>
    <row r="109" spans="1:48" outlineLevel="1" x14ac:dyDescent="0.3">
      <c r="B109" s="69" t="s">
        <v>58</v>
      </c>
      <c r="C109" s="70"/>
      <c r="D109" s="120">
        <f>'IS (Adjusted)'!D109-'IS (Base)'!D109</f>
        <v>0</v>
      </c>
      <c r="E109" s="120">
        <f>'IS (Adjusted)'!E109-'IS (Base)'!E109</f>
        <v>0</v>
      </c>
      <c r="F109" s="120">
        <f>'IS (Adjusted)'!F109-'IS (Base)'!F109</f>
        <v>0</v>
      </c>
      <c r="G109" s="120">
        <f>'IS (Adjusted)'!G109-'IS (Base)'!G109</f>
        <v>0</v>
      </c>
      <c r="H109" s="58">
        <f>'IS (Adjusted)'!H109-'IS (Base)'!H109</f>
        <v>0</v>
      </c>
      <c r="I109" s="120">
        <f>'IS (Adjusted)'!I109-'IS (Base)'!I109</f>
        <v>0</v>
      </c>
      <c r="J109" s="120">
        <f>'IS (Adjusted)'!J109-'IS (Base)'!J109</f>
        <v>0</v>
      </c>
      <c r="K109" s="120">
        <f>'IS (Adjusted)'!K109-'IS (Base)'!K109</f>
        <v>0</v>
      </c>
      <c r="L109" s="120">
        <f>'IS (Adjusted)'!L109-'IS (Base)'!L109</f>
        <v>0</v>
      </c>
      <c r="M109" s="168">
        <f>'IS (Adjusted)'!M109-'IS (Base)'!M109</f>
        <v>0</v>
      </c>
      <c r="N109" s="120">
        <f>'IS (Adjusted)'!N109-'IS (Base)'!N109</f>
        <v>0</v>
      </c>
      <c r="O109" s="120">
        <f>'IS (Adjusted)'!O109-'IS (Base)'!O109</f>
        <v>0</v>
      </c>
      <c r="P109" s="120">
        <f>'IS (Adjusted)'!P109-'IS (Base)'!P109</f>
        <v>0</v>
      </c>
      <c r="Q109" s="120">
        <f>'IS (Adjusted)'!Q109-'IS (Base)'!Q109</f>
        <v>0</v>
      </c>
      <c r="R109" s="168">
        <f>'IS (Adjusted)'!R109-'IS (Base)'!R109</f>
        <v>0</v>
      </c>
      <c r="S109" s="120">
        <f>'IS (Adjusted)'!S109-'IS (Base)'!S109</f>
        <v>0</v>
      </c>
      <c r="T109" s="120">
        <f>'IS (Adjusted)'!T109-'IS (Base)'!T109</f>
        <v>0</v>
      </c>
      <c r="U109" s="120">
        <f>'IS (Adjusted)'!U109-'IS (Base)'!U109</f>
        <v>0</v>
      </c>
      <c r="V109" s="120">
        <f>'IS (Adjusted)'!V109-'IS (Base)'!V109</f>
        <v>0</v>
      </c>
      <c r="W109" s="168">
        <f>'IS (Adjusted)'!W109-'IS (Base)'!W109</f>
        <v>0</v>
      </c>
      <c r="X109" s="120">
        <f>'IS (Adjusted)'!X109-'IS (Base)'!X109</f>
        <v>0</v>
      </c>
      <c r="Y109" s="197">
        <f>'IS (Adjusted)'!Y109-'IS (Base)'!Y109</f>
        <v>0</v>
      </c>
      <c r="Z109" s="197">
        <f>'IS (Adjusted)'!Z109-'IS (Base)'!Z109</f>
        <v>0</v>
      </c>
      <c r="AA109" s="197">
        <f>'IS (Adjusted)'!AA109-'IS (Base)'!AA109</f>
        <v>0</v>
      </c>
      <c r="AB109" s="168">
        <f>'IS (Adjusted)'!AB109-'IS (Base)'!AB109</f>
        <v>0</v>
      </c>
      <c r="AC109" s="197">
        <f>'IS (Adjusted)'!AC109-'IS (Base)'!AC109</f>
        <v>0</v>
      </c>
      <c r="AD109" s="197">
        <f>'IS (Adjusted)'!AD109-'IS (Base)'!AD109</f>
        <v>0</v>
      </c>
      <c r="AE109" s="197">
        <f>'IS (Adjusted)'!AE109-'IS (Base)'!AE109</f>
        <v>0</v>
      </c>
      <c r="AF109" s="197">
        <f>'IS (Adjusted)'!AF109-'IS (Base)'!AF109</f>
        <v>0</v>
      </c>
      <c r="AG109" s="168">
        <f>'IS (Adjusted)'!AG109-'IS (Base)'!AG109</f>
        <v>0</v>
      </c>
      <c r="AH109" s="197">
        <f>'IS (Adjusted)'!AH109-'IS (Base)'!AH109</f>
        <v>0</v>
      </c>
      <c r="AI109" s="197">
        <f>'IS (Adjusted)'!AI109-'IS (Base)'!AI109</f>
        <v>0</v>
      </c>
      <c r="AJ109" s="197">
        <f>'IS (Adjusted)'!AJ109-'IS (Base)'!AJ109</f>
        <v>0</v>
      </c>
      <c r="AK109" s="197">
        <f>'IS (Adjusted)'!AK109-'IS (Base)'!AK109</f>
        <v>0</v>
      </c>
      <c r="AL109" s="168">
        <f>'IS (Adjusted)'!AL109-'IS (Base)'!AL109</f>
        <v>0</v>
      </c>
      <c r="AM109" s="197">
        <f>'IS (Adjusted)'!AM109-'IS (Base)'!AM109</f>
        <v>0</v>
      </c>
      <c r="AN109" s="197">
        <f>'IS (Adjusted)'!AN109-'IS (Base)'!AN109</f>
        <v>0</v>
      </c>
      <c r="AO109" s="197">
        <f>'IS (Adjusted)'!AO109-'IS (Base)'!AO109</f>
        <v>0</v>
      </c>
      <c r="AP109" s="197">
        <f>'IS (Adjusted)'!AP109-'IS (Base)'!AP109</f>
        <v>0</v>
      </c>
      <c r="AQ109" s="168">
        <f>'IS (Adjusted)'!AQ109-'IS (Base)'!AQ109</f>
        <v>0</v>
      </c>
      <c r="AR109" s="197">
        <f>'IS (Adjusted)'!AR109-'IS (Base)'!AR109</f>
        <v>0</v>
      </c>
      <c r="AS109" s="197">
        <f>'IS (Adjusted)'!AS109-'IS (Base)'!AS109</f>
        <v>0</v>
      </c>
      <c r="AT109" s="197">
        <f>'IS (Adjusted)'!AT109-'IS (Base)'!AT109</f>
        <v>0</v>
      </c>
      <c r="AU109" s="197">
        <f>'IS (Adjusted)'!AU109-'IS (Base)'!AU109</f>
        <v>0</v>
      </c>
      <c r="AV109" s="168">
        <f>'IS (Adjusted)'!AV109-'IS (Base)'!AV109</f>
        <v>0</v>
      </c>
    </row>
    <row r="110" spans="1:48" outlineLevel="1" x14ac:dyDescent="0.3">
      <c r="B110" s="607" t="s">
        <v>100</v>
      </c>
      <c r="C110" s="608"/>
      <c r="D110" s="48">
        <f>'IS (Adjusted)'!D110-'IS (Base)'!D110</f>
        <v>0</v>
      </c>
      <c r="E110" s="48">
        <f>'IS (Adjusted)'!E110-'IS (Base)'!E110</f>
        <v>0</v>
      </c>
      <c r="F110" s="48">
        <f>'IS (Adjusted)'!F110-'IS (Base)'!F110</f>
        <v>0</v>
      </c>
      <c r="G110" s="48">
        <f>'IS (Adjusted)'!G110-'IS (Base)'!G110</f>
        <v>0</v>
      </c>
      <c r="H110" s="76">
        <f>'IS (Adjusted)'!H110-'IS (Base)'!H110</f>
        <v>0</v>
      </c>
      <c r="I110" s="48">
        <f>'IS (Adjusted)'!I110-'IS (Base)'!I110</f>
        <v>0</v>
      </c>
      <c r="J110" s="48">
        <f>'IS (Adjusted)'!J110-'IS (Base)'!J110</f>
        <v>0</v>
      </c>
      <c r="K110" s="48">
        <f>'IS (Adjusted)'!K110-'IS (Base)'!K110</f>
        <v>0</v>
      </c>
      <c r="L110" s="48">
        <f>'IS (Adjusted)'!L110-'IS (Base)'!L110</f>
        <v>0</v>
      </c>
      <c r="M110" s="76">
        <f>'IS (Adjusted)'!M110-'IS (Base)'!M110</f>
        <v>0</v>
      </c>
      <c r="N110" s="48">
        <f>'IS (Adjusted)'!N110-'IS (Base)'!N110</f>
        <v>0</v>
      </c>
      <c r="O110" s="48">
        <f>'IS (Adjusted)'!O110-'IS (Base)'!O110</f>
        <v>0</v>
      </c>
      <c r="P110" s="48">
        <f>'IS (Adjusted)'!P110-'IS (Base)'!P110</f>
        <v>0</v>
      </c>
      <c r="Q110" s="105">
        <f>'IS (Adjusted)'!Q110-'IS (Base)'!Q110</f>
        <v>0</v>
      </c>
      <c r="R110" s="76">
        <f>'IS (Adjusted)'!R110-'IS (Base)'!R110</f>
        <v>0</v>
      </c>
      <c r="S110" s="48">
        <f>'IS (Adjusted)'!S110-'IS (Base)'!S110</f>
        <v>0</v>
      </c>
      <c r="T110" s="48">
        <f>'IS (Adjusted)'!T110-'IS (Base)'!T110</f>
        <v>0</v>
      </c>
      <c r="U110" s="48">
        <f>'IS (Adjusted)'!U110-'IS (Base)'!U110</f>
        <v>0</v>
      </c>
      <c r="V110" s="105">
        <f>'IS (Adjusted)'!V110-'IS (Base)'!V110</f>
        <v>0</v>
      </c>
      <c r="W110" s="129">
        <f>'IS (Adjusted)'!W110-'IS (Base)'!W110</f>
        <v>0</v>
      </c>
      <c r="X110" s="105">
        <f>'IS (Adjusted)'!X110-'IS (Base)'!X110</f>
        <v>0</v>
      </c>
      <c r="Y110" s="48">
        <f>'IS (Adjusted)'!Y110-'IS (Base)'!Y110</f>
        <v>0</v>
      </c>
      <c r="Z110" s="48">
        <f>'IS (Adjusted)'!Z110-'IS (Base)'!Z110</f>
        <v>0</v>
      </c>
      <c r="AA110" s="48">
        <f>'IS (Adjusted)'!AA110-'IS (Base)'!AA110</f>
        <v>0</v>
      </c>
      <c r="AB110" s="76">
        <f>'IS (Adjusted)'!AB110-'IS (Base)'!AB110</f>
        <v>0</v>
      </c>
      <c r="AC110" s="48">
        <f>'IS (Adjusted)'!AC110-'IS (Base)'!AC110</f>
        <v>0</v>
      </c>
      <c r="AD110" s="48">
        <f>'IS (Adjusted)'!AD110-'IS (Base)'!AD110</f>
        <v>0</v>
      </c>
      <c r="AE110" s="48">
        <f>'IS (Adjusted)'!AE110-'IS (Base)'!AE110</f>
        <v>0</v>
      </c>
      <c r="AF110" s="48">
        <f>'IS (Adjusted)'!AF110-'IS (Base)'!AF110</f>
        <v>0</v>
      </c>
      <c r="AG110" s="76">
        <f>'IS (Adjusted)'!AG110-'IS (Base)'!AG110</f>
        <v>0</v>
      </c>
      <c r="AH110" s="48">
        <f>'IS (Adjusted)'!AH110-'IS (Base)'!AH110</f>
        <v>0</v>
      </c>
      <c r="AI110" s="48">
        <f>'IS (Adjusted)'!AI110-'IS (Base)'!AI110</f>
        <v>0</v>
      </c>
      <c r="AJ110" s="48">
        <f>'IS (Adjusted)'!AJ110-'IS (Base)'!AJ110</f>
        <v>0</v>
      </c>
      <c r="AK110" s="48">
        <f>'IS (Adjusted)'!AK110-'IS (Base)'!AK110</f>
        <v>0</v>
      </c>
      <c r="AL110" s="76">
        <f>'IS (Adjusted)'!AL110-'IS (Base)'!AL110</f>
        <v>0</v>
      </c>
      <c r="AM110" s="48">
        <f>'IS (Adjusted)'!AM110-'IS (Base)'!AM110</f>
        <v>0</v>
      </c>
      <c r="AN110" s="48">
        <f>'IS (Adjusted)'!AN110-'IS (Base)'!AN110</f>
        <v>0</v>
      </c>
      <c r="AO110" s="48">
        <f>'IS (Adjusted)'!AO110-'IS (Base)'!AO110</f>
        <v>0</v>
      </c>
      <c r="AP110" s="48">
        <f>'IS (Adjusted)'!AP110-'IS (Base)'!AP110</f>
        <v>0</v>
      </c>
      <c r="AQ110" s="76">
        <f>'IS (Adjusted)'!AQ110-'IS (Base)'!AQ110</f>
        <v>0</v>
      </c>
      <c r="AR110" s="48">
        <f>'IS (Adjusted)'!AR110-'IS (Base)'!AR110</f>
        <v>0</v>
      </c>
      <c r="AS110" s="48">
        <f>'IS (Adjusted)'!AS110-'IS (Base)'!AS110</f>
        <v>0</v>
      </c>
      <c r="AT110" s="48">
        <f>'IS (Adjusted)'!AT110-'IS (Base)'!AT110</f>
        <v>0</v>
      </c>
      <c r="AU110" s="48">
        <f>'IS (Adjusted)'!AU110-'IS (Base)'!AU110</f>
        <v>0</v>
      </c>
      <c r="AV110" s="76">
        <f>'IS (Adjusted)'!AV110-'IS (Base)'!AV110</f>
        <v>0</v>
      </c>
    </row>
    <row r="111" spans="1:48" s="183" customFormat="1" outlineLevel="1" x14ac:dyDescent="0.3">
      <c r="A111" s="238"/>
      <c r="B111" s="181" t="s">
        <v>151</v>
      </c>
      <c r="C111" s="182"/>
      <c r="D111" s="167">
        <f>'IS (Adjusted)'!D111-'IS (Base)'!D111</f>
        <v>0</v>
      </c>
      <c r="E111" s="167">
        <f>'IS (Adjusted)'!E111-'IS (Base)'!E111</f>
        <v>0</v>
      </c>
      <c r="F111" s="167">
        <f>'IS (Adjusted)'!F111-'IS (Base)'!F111</f>
        <v>0</v>
      </c>
      <c r="G111" s="167">
        <f>'IS (Adjusted)'!G111-'IS (Base)'!G111</f>
        <v>0</v>
      </c>
      <c r="H111" s="188">
        <f>'IS (Adjusted)'!H111-'IS (Base)'!H111</f>
        <v>0</v>
      </c>
      <c r="I111" s="167">
        <f>'IS (Adjusted)'!I111-'IS (Base)'!I111</f>
        <v>0</v>
      </c>
      <c r="J111" s="167">
        <f>'IS (Adjusted)'!J111-'IS (Base)'!J111</f>
        <v>0</v>
      </c>
      <c r="K111" s="167">
        <f>'IS (Adjusted)'!K111-'IS (Base)'!K111</f>
        <v>0</v>
      </c>
      <c r="L111" s="187">
        <f>'IS (Adjusted)'!L111-'IS (Base)'!L111</f>
        <v>0</v>
      </c>
      <c r="M111" s="188">
        <f>'IS (Adjusted)'!M111-'IS (Base)'!M111</f>
        <v>0</v>
      </c>
      <c r="N111" s="187">
        <f>'IS (Adjusted)'!N111-'IS (Base)'!N111</f>
        <v>0</v>
      </c>
      <c r="O111" s="167">
        <f>'IS (Adjusted)'!O111-'IS (Base)'!O111</f>
        <v>0</v>
      </c>
      <c r="P111" s="167">
        <f>'IS (Adjusted)'!P111-'IS (Base)'!P111</f>
        <v>0</v>
      </c>
      <c r="Q111" s="167">
        <f>'IS (Adjusted)'!Q111-'IS (Base)'!Q111</f>
        <v>0</v>
      </c>
      <c r="R111" s="188">
        <f>'IS (Adjusted)'!R111-'IS (Base)'!R111</f>
        <v>0</v>
      </c>
      <c r="S111" s="187">
        <f>'IS (Adjusted)'!S111-'IS (Base)'!S111</f>
        <v>0</v>
      </c>
      <c r="T111" s="167">
        <f>'IS (Adjusted)'!T111-'IS (Base)'!T111</f>
        <v>0</v>
      </c>
      <c r="U111" s="167">
        <f>'IS (Adjusted)'!U111-'IS (Base)'!U111</f>
        <v>0</v>
      </c>
      <c r="V111" s="167">
        <f>'IS (Adjusted)'!V111-'IS (Base)'!V111</f>
        <v>0</v>
      </c>
      <c r="W111" s="186">
        <f>'IS (Adjusted)'!W111-'IS (Base)'!W111</f>
        <v>0</v>
      </c>
      <c r="X111" s="167">
        <f>'IS (Adjusted)'!X111-'IS (Base)'!X111</f>
        <v>0</v>
      </c>
      <c r="Y111" s="189">
        <f>'IS (Adjusted)'!Y111-'IS (Base)'!Y111</f>
        <v>0</v>
      </c>
      <c r="Z111" s="189">
        <f>'IS (Adjusted)'!Z111-'IS (Base)'!Z111</f>
        <v>0</v>
      </c>
      <c r="AA111" s="189">
        <f>'IS (Adjusted)'!AA111-'IS (Base)'!AA111</f>
        <v>0</v>
      </c>
      <c r="AB111" s="188">
        <f>'IS (Adjusted)'!AB111-'IS (Base)'!AB111</f>
        <v>0</v>
      </c>
      <c r="AC111" s="189">
        <f>'IS (Adjusted)'!AC111-'IS (Base)'!AC111</f>
        <v>0</v>
      </c>
      <c r="AD111" s="189">
        <f>'IS (Adjusted)'!AD111-'IS (Base)'!AD111</f>
        <v>0</v>
      </c>
      <c r="AE111" s="189">
        <f>'IS (Adjusted)'!AE111-'IS (Base)'!AE111</f>
        <v>0</v>
      </c>
      <c r="AF111" s="189">
        <f>'IS (Adjusted)'!AF111-'IS (Base)'!AF111</f>
        <v>0</v>
      </c>
      <c r="AG111" s="188">
        <f>'IS (Adjusted)'!AG111-'IS (Base)'!AG111</f>
        <v>0</v>
      </c>
      <c r="AH111" s="189">
        <f>'IS (Adjusted)'!AH111-'IS (Base)'!AH111</f>
        <v>0</v>
      </c>
      <c r="AI111" s="189">
        <f>'IS (Adjusted)'!AI111-'IS (Base)'!AI111</f>
        <v>0</v>
      </c>
      <c r="AJ111" s="189">
        <f>'IS (Adjusted)'!AJ111-'IS (Base)'!AJ111</f>
        <v>0</v>
      </c>
      <c r="AK111" s="189">
        <f>'IS (Adjusted)'!AK111-'IS (Base)'!AK111</f>
        <v>0</v>
      </c>
      <c r="AL111" s="188">
        <f>'IS (Adjusted)'!AL111-'IS (Base)'!AL111</f>
        <v>0</v>
      </c>
      <c r="AM111" s="189">
        <f>'IS (Adjusted)'!AM111-'IS (Base)'!AM111</f>
        <v>0</v>
      </c>
      <c r="AN111" s="189">
        <f>'IS (Adjusted)'!AN111-'IS (Base)'!AN111</f>
        <v>0</v>
      </c>
      <c r="AO111" s="189">
        <f>'IS (Adjusted)'!AO111-'IS (Base)'!AO111</f>
        <v>0</v>
      </c>
      <c r="AP111" s="189">
        <f>'IS (Adjusted)'!AP111-'IS (Base)'!AP111</f>
        <v>0</v>
      </c>
      <c r="AQ111" s="188">
        <f>'IS (Adjusted)'!AQ111-'IS (Base)'!AQ111</f>
        <v>0</v>
      </c>
      <c r="AR111" s="189">
        <f>'IS (Adjusted)'!AR111-'IS (Base)'!AR111</f>
        <v>0</v>
      </c>
      <c r="AS111" s="189">
        <f>'IS (Adjusted)'!AS111-'IS (Base)'!AS111</f>
        <v>0</v>
      </c>
      <c r="AT111" s="189">
        <f>'IS (Adjusted)'!AT111-'IS (Base)'!AT111</f>
        <v>0</v>
      </c>
      <c r="AU111" s="189">
        <f>'IS (Adjusted)'!AU111-'IS (Base)'!AU111</f>
        <v>0</v>
      </c>
      <c r="AV111" s="188">
        <f>'IS (Adjusted)'!AV111-'IS (Base)'!AV111</f>
        <v>0</v>
      </c>
    </row>
    <row r="112" spans="1:48" outlineLevel="1" x14ac:dyDescent="0.3">
      <c r="B112" s="180" t="s">
        <v>33</v>
      </c>
      <c r="C112" s="18"/>
      <c r="D112" s="48">
        <f>'IS (Adjusted)'!D112-'IS (Base)'!D112</f>
        <v>0</v>
      </c>
      <c r="E112" s="48">
        <f>'IS (Adjusted)'!E112-'IS (Base)'!E112</f>
        <v>0</v>
      </c>
      <c r="F112" s="48">
        <f>'IS (Adjusted)'!F112-'IS (Base)'!F112</f>
        <v>0</v>
      </c>
      <c r="G112" s="48">
        <f>'IS (Adjusted)'!G112-'IS (Base)'!G112</f>
        <v>0</v>
      </c>
      <c r="H112" s="49">
        <f>'IS (Adjusted)'!H112-'IS (Base)'!H112</f>
        <v>0</v>
      </c>
      <c r="I112" s="48">
        <f>'IS (Adjusted)'!I112-'IS (Base)'!I112</f>
        <v>0</v>
      </c>
      <c r="J112" s="48">
        <f>'IS (Adjusted)'!J112-'IS (Base)'!J112</f>
        <v>0</v>
      </c>
      <c r="K112" s="48">
        <f>'IS (Adjusted)'!K112-'IS (Base)'!K112</f>
        <v>0</v>
      </c>
      <c r="L112" s="48">
        <f>'IS (Adjusted)'!L112-'IS (Base)'!L112</f>
        <v>0</v>
      </c>
      <c r="M112" s="49">
        <f>'IS (Adjusted)'!M112-'IS (Base)'!M112</f>
        <v>0</v>
      </c>
      <c r="N112" s="48">
        <f>'IS (Adjusted)'!N112-'IS (Base)'!N112</f>
        <v>0</v>
      </c>
      <c r="O112" s="48">
        <f>'IS (Adjusted)'!O112-'IS (Base)'!O112</f>
        <v>0</v>
      </c>
      <c r="P112" s="48">
        <f>'IS (Adjusted)'!P112-'IS (Base)'!P112</f>
        <v>0</v>
      </c>
      <c r="Q112" s="105">
        <f>'IS (Adjusted)'!Q112-'IS (Base)'!Q112</f>
        <v>0</v>
      </c>
      <c r="R112" s="49">
        <f>'IS (Adjusted)'!R112-'IS (Base)'!R112</f>
        <v>0</v>
      </c>
      <c r="S112" s="48">
        <f>'IS (Adjusted)'!S112-'IS (Base)'!S112</f>
        <v>0</v>
      </c>
      <c r="T112" s="48">
        <f>'IS (Adjusted)'!T112-'IS (Base)'!T112</f>
        <v>0</v>
      </c>
      <c r="U112" s="48">
        <f>'IS (Adjusted)'!U112-'IS (Base)'!U112</f>
        <v>0</v>
      </c>
      <c r="V112" s="105">
        <f>'IS (Adjusted)'!V112-'IS (Base)'!V112</f>
        <v>0</v>
      </c>
      <c r="W112" s="170">
        <f>'IS (Adjusted)'!W112-'IS (Base)'!W112</f>
        <v>0</v>
      </c>
      <c r="X112" s="105">
        <f>'IS (Adjusted)'!X112-'IS (Base)'!X112</f>
        <v>0</v>
      </c>
      <c r="Y112" s="48">
        <f>'IS (Adjusted)'!Y112-'IS (Base)'!Y112</f>
        <v>0</v>
      </c>
      <c r="Z112" s="48">
        <f>'IS (Adjusted)'!Z112-'IS (Base)'!Z112</f>
        <v>0</v>
      </c>
      <c r="AA112" s="48">
        <f>'IS (Adjusted)'!AA112-'IS (Base)'!AA112</f>
        <v>0</v>
      </c>
      <c r="AB112" s="49">
        <f>'IS (Adjusted)'!AB112-'IS (Base)'!AB112</f>
        <v>0</v>
      </c>
      <c r="AC112" s="48">
        <f>'IS (Adjusted)'!AC112-'IS (Base)'!AC112</f>
        <v>0</v>
      </c>
      <c r="AD112" s="48">
        <f>'IS (Adjusted)'!AD112-'IS (Base)'!AD112</f>
        <v>0</v>
      </c>
      <c r="AE112" s="48">
        <f>'IS (Adjusted)'!AE112-'IS (Base)'!AE112</f>
        <v>0</v>
      </c>
      <c r="AF112" s="48">
        <f>'IS (Adjusted)'!AF112-'IS (Base)'!AF112</f>
        <v>0</v>
      </c>
      <c r="AG112" s="49">
        <f>'IS (Adjusted)'!AG112-'IS (Base)'!AG112</f>
        <v>0</v>
      </c>
      <c r="AH112" s="48">
        <f>'IS (Adjusted)'!AH112-'IS (Base)'!AH112</f>
        <v>0</v>
      </c>
      <c r="AI112" s="48">
        <f>'IS (Adjusted)'!AI112-'IS (Base)'!AI112</f>
        <v>0</v>
      </c>
      <c r="AJ112" s="48">
        <f>'IS (Adjusted)'!AJ112-'IS (Base)'!AJ112</f>
        <v>0</v>
      </c>
      <c r="AK112" s="48">
        <f>'IS (Adjusted)'!AK112-'IS (Base)'!AK112</f>
        <v>0</v>
      </c>
      <c r="AL112" s="49">
        <f>'IS (Adjusted)'!AL112-'IS (Base)'!AL112</f>
        <v>0</v>
      </c>
      <c r="AM112" s="48">
        <f>'IS (Adjusted)'!AM112-'IS (Base)'!AM112</f>
        <v>0</v>
      </c>
      <c r="AN112" s="48">
        <f>'IS (Adjusted)'!AN112-'IS (Base)'!AN112</f>
        <v>0</v>
      </c>
      <c r="AO112" s="48">
        <f>'IS (Adjusted)'!AO112-'IS (Base)'!AO112</f>
        <v>0</v>
      </c>
      <c r="AP112" s="48">
        <f>'IS (Adjusted)'!AP112-'IS (Base)'!AP112</f>
        <v>0</v>
      </c>
      <c r="AQ112" s="49">
        <f>'IS (Adjusted)'!AQ112-'IS (Base)'!AQ112</f>
        <v>0</v>
      </c>
      <c r="AR112" s="48">
        <f>'IS (Adjusted)'!AR112-'IS (Base)'!AR112</f>
        <v>0</v>
      </c>
      <c r="AS112" s="48">
        <f>'IS (Adjusted)'!AS112-'IS (Base)'!AS112</f>
        <v>0</v>
      </c>
      <c r="AT112" s="48">
        <f>'IS (Adjusted)'!AT112-'IS (Base)'!AT112</f>
        <v>0</v>
      </c>
      <c r="AU112" s="48">
        <f>'IS (Adjusted)'!AU112-'IS (Base)'!AU112</f>
        <v>0</v>
      </c>
      <c r="AV112" s="49">
        <f>'IS (Adjusted)'!AV112-'IS (Base)'!AV112</f>
        <v>0</v>
      </c>
    </row>
    <row r="113" spans="2:48" s="184" customFormat="1" outlineLevel="1" x14ac:dyDescent="0.3">
      <c r="B113" s="181" t="s">
        <v>154</v>
      </c>
      <c r="C113" s="190"/>
      <c r="D113" s="187">
        <f>'IS (Adjusted)'!D113-'IS (Base)'!D113</f>
        <v>0</v>
      </c>
      <c r="E113" s="187">
        <f>'IS (Adjusted)'!E113-'IS (Base)'!E113</f>
        <v>0</v>
      </c>
      <c r="F113" s="187">
        <f>'IS (Adjusted)'!F113-'IS (Base)'!F113</f>
        <v>0</v>
      </c>
      <c r="G113" s="187">
        <f>'IS (Adjusted)'!G113-'IS (Base)'!G113</f>
        <v>0</v>
      </c>
      <c r="H113" s="188">
        <f>'IS (Adjusted)'!H113-'IS (Base)'!H113</f>
        <v>0</v>
      </c>
      <c r="I113" s="187">
        <f>'IS (Adjusted)'!I113-'IS (Base)'!I113</f>
        <v>0</v>
      </c>
      <c r="J113" s="187">
        <f>'IS (Adjusted)'!J113-'IS (Base)'!J113</f>
        <v>0</v>
      </c>
      <c r="K113" s="187">
        <f>'IS (Adjusted)'!K113-'IS (Base)'!K113</f>
        <v>0</v>
      </c>
      <c r="L113" s="187">
        <f>'IS (Adjusted)'!L113-'IS (Base)'!L113</f>
        <v>0</v>
      </c>
      <c r="M113" s="188">
        <f>'IS (Adjusted)'!M113-'IS (Base)'!M113</f>
        <v>0</v>
      </c>
      <c r="N113" s="187">
        <f>'IS (Adjusted)'!N113-'IS (Base)'!N113</f>
        <v>0</v>
      </c>
      <c r="O113" s="187">
        <f>'IS (Adjusted)'!O113-'IS (Base)'!O113</f>
        <v>0</v>
      </c>
      <c r="P113" s="187">
        <f>'IS (Adjusted)'!P113-'IS (Base)'!P113</f>
        <v>0</v>
      </c>
      <c r="Q113" s="167">
        <f>'IS (Adjusted)'!Q113-'IS (Base)'!Q113</f>
        <v>0</v>
      </c>
      <c r="R113" s="188">
        <f>'IS (Adjusted)'!R113-'IS (Base)'!R113</f>
        <v>0</v>
      </c>
      <c r="S113" s="187">
        <f>'IS (Adjusted)'!S113-'IS (Base)'!S113</f>
        <v>0</v>
      </c>
      <c r="T113" s="187">
        <f>'IS (Adjusted)'!T113-'IS (Base)'!T113</f>
        <v>0</v>
      </c>
      <c r="U113" s="187">
        <f>'IS (Adjusted)'!U113-'IS (Base)'!U113</f>
        <v>0</v>
      </c>
      <c r="V113" s="167">
        <f>'IS (Adjusted)'!V113-'IS (Base)'!V113</f>
        <v>0</v>
      </c>
      <c r="W113" s="186">
        <f>'IS (Adjusted)'!W113-'IS (Base)'!W113</f>
        <v>0</v>
      </c>
      <c r="X113" s="167">
        <f>'IS (Adjusted)'!X113-'IS (Base)'!X113</f>
        <v>0</v>
      </c>
      <c r="Y113" s="189">
        <f>'IS (Adjusted)'!Y113-'IS (Base)'!Y113</f>
        <v>0</v>
      </c>
      <c r="Z113" s="189">
        <f>'IS (Adjusted)'!Z113-'IS (Base)'!Z113</f>
        <v>0</v>
      </c>
      <c r="AA113" s="189">
        <f>'IS (Adjusted)'!AA113-'IS (Base)'!AA113</f>
        <v>0</v>
      </c>
      <c r="AB113" s="188">
        <f>'IS (Adjusted)'!AB113-'IS (Base)'!AB113</f>
        <v>0</v>
      </c>
      <c r="AC113" s="189">
        <f>'IS (Adjusted)'!AC113-'IS (Base)'!AC113</f>
        <v>0</v>
      </c>
      <c r="AD113" s="189">
        <f>'IS (Adjusted)'!AD113-'IS (Base)'!AD113</f>
        <v>0</v>
      </c>
      <c r="AE113" s="189">
        <f>'IS (Adjusted)'!AE113-'IS (Base)'!AE113</f>
        <v>0</v>
      </c>
      <c r="AF113" s="189">
        <f>'IS (Adjusted)'!AF113-'IS (Base)'!AF113</f>
        <v>0</v>
      </c>
      <c r="AG113" s="188">
        <f>'IS (Adjusted)'!AG113-'IS (Base)'!AG113</f>
        <v>0</v>
      </c>
      <c r="AH113" s="189">
        <f>'IS (Adjusted)'!AH113-'IS (Base)'!AH113</f>
        <v>0</v>
      </c>
      <c r="AI113" s="189">
        <f>'IS (Adjusted)'!AI113-'IS (Base)'!AI113</f>
        <v>0</v>
      </c>
      <c r="AJ113" s="189">
        <f>'IS (Adjusted)'!AJ113-'IS (Base)'!AJ113</f>
        <v>0</v>
      </c>
      <c r="AK113" s="189">
        <f>'IS (Adjusted)'!AK113-'IS (Base)'!AK113</f>
        <v>0</v>
      </c>
      <c r="AL113" s="188">
        <f>'IS (Adjusted)'!AL113-'IS (Base)'!AL113</f>
        <v>0</v>
      </c>
      <c r="AM113" s="189">
        <f>'IS (Adjusted)'!AM113-'IS (Base)'!AM113</f>
        <v>0</v>
      </c>
      <c r="AN113" s="189">
        <f>'IS (Adjusted)'!AN113-'IS (Base)'!AN113</f>
        <v>0</v>
      </c>
      <c r="AO113" s="189">
        <f>'IS (Adjusted)'!AO113-'IS (Base)'!AO113</f>
        <v>0</v>
      </c>
      <c r="AP113" s="189">
        <f>'IS (Adjusted)'!AP113-'IS (Base)'!AP113</f>
        <v>0</v>
      </c>
      <c r="AQ113" s="188">
        <f>'IS (Adjusted)'!AQ113-'IS (Base)'!AQ113</f>
        <v>0</v>
      </c>
      <c r="AR113" s="189">
        <f>'IS (Adjusted)'!AR113-'IS (Base)'!AR113</f>
        <v>0</v>
      </c>
      <c r="AS113" s="189">
        <f>'IS (Adjusted)'!AS113-'IS (Base)'!AS113</f>
        <v>0</v>
      </c>
      <c r="AT113" s="189">
        <f>'IS (Adjusted)'!AT113-'IS (Base)'!AT113</f>
        <v>0</v>
      </c>
      <c r="AU113" s="189">
        <f>'IS (Adjusted)'!AU113-'IS (Base)'!AU113</f>
        <v>0</v>
      </c>
      <c r="AV113" s="188">
        <f>'IS (Adjusted)'!AV113-'IS (Base)'!AV113</f>
        <v>0</v>
      </c>
    </row>
    <row r="114" spans="2:48" outlineLevel="1" x14ac:dyDescent="0.3">
      <c r="B114" s="180" t="s">
        <v>34</v>
      </c>
      <c r="C114" s="18"/>
      <c r="D114" s="358">
        <f>'IS (Adjusted)'!D114-'IS (Base)'!D114</f>
        <v>0</v>
      </c>
      <c r="E114" s="358">
        <f>'IS (Adjusted)'!E114-'IS (Base)'!E114</f>
        <v>0</v>
      </c>
      <c r="F114" s="358">
        <f>'IS (Adjusted)'!F114-'IS (Base)'!F114</f>
        <v>0</v>
      </c>
      <c r="G114" s="358">
        <f>'IS (Adjusted)'!G114-'IS (Base)'!G114</f>
        <v>0</v>
      </c>
      <c r="H114" s="126">
        <f>'IS (Adjusted)'!H114-'IS (Base)'!H114</f>
        <v>0</v>
      </c>
      <c r="I114" s="358">
        <f>'IS (Adjusted)'!I114-'IS (Base)'!I114</f>
        <v>0</v>
      </c>
      <c r="J114" s="358">
        <f>'IS (Adjusted)'!J114-'IS (Base)'!J114</f>
        <v>0</v>
      </c>
      <c r="K114" s="358">
        <f>'IS (Adjusted)'!K114-'IS (Base)'!K114</f>
        <v>0</v>
      </c>
      <c r="L114" s="358">
        <f>'IS (Adjusted)'!L114-'IS (Base)'!L114</f>
        <v>0</v>
      </c>
      <c r="M114" s="126">
        <f>'IS (Adjusted)'!M114-'IS (Base)'!M114</f>
        <v>0</v>
      </c>
      <c r="N114" s="358">
        <f>'IS (Adjusted)'!N114-'IS (Base)'!N114</f>
        <v>0</v>
      </c>
      <c r="O114" s="358">
        <f>'IS (Adjusted)'!O114-'IS (Base)'!O114</f>
        <v>0</v>
      </c>
      <c r="P114" s="358">
        <f>'IS (Adjusted)'!P114-'IS (Base)'!P114</f>
        <v>0</v>
      </c>
      <c r="Q114" s="358">
        <f>'IS (Adjusted)'!Q114-'IS (Base)'!Q114</f>
        <v>0</v>
      </c>
      <c r="R114" s="126">
        <f>'IS (Adjusted)'!R114-'IS (Base)'!R114</f>
        <v>0</v>
      </c>
      <c r="S114" s="358">
        <f>'IS (Adjusted)'!S114-'IS (Base)'!S114</f>
        <v>0</v>
      </c>
      <c r="T114" s="358">
        <f>'IS (Adjusted)'!T114-'IS (Base)'!T114</f>
        <v>0</v>
      </c>
      <c r="U114" s="358">
        <f>'IS (Adjusted)'!U114-'IS (Base)'!U114</f>
        <v>0</v>
      </c>
      <c r="V114" s="358">
        <f>'IS (Adjusted)'!V114-'IS (Base)'!V114</f>
        <v>0</v>
      </c>
      <c r="W114" s="126">
        <f>'IS (Adjusted)'!W114-'IS (Base)'!W114</f>
        <v>0</v>
      </c>
      <c r="X114" s="358">
        <f>'IS (Adjusted)'!X114-'IS (Base)'!X114</f>
        <v>0</v>
      </c>
      <c r="Y114" s="360">
        <f>'IS (Adjusted)'!Y114-'IS (Base)'!Y114</f>
        <v>0</v>
      </c>
      <c r="Z114" s="360">
        <f>'IS (Adjusted)'!Z114-'IS (Base)'!Z114</f>
        <v>0</v>
      </c>
      <c r="AA114" s="360">
        <f>'IS (Adjusted)'!AA114-'IS (Base)'!AA114</f>
        <v>0</v>
      </c>
      <c r="AB114" s="126">
        <f>'IS (Adjusted)'!AB114-'IS (Base)'!AB114</f>
        <v>0</v>
      </c>
      <c r="AC114" s="360">
        <f>'IS (Adjusted)'!AC114-'IS (Base)'!AC114</f>
        <v>0</v>
      </c>
      <c r="AD114" s="360">
        <f>'IS (Adjusted)'!AD114-'IS (Base)'!AD114</f>
        <v>0</v>
      </c>
      <c r="AE114" s="360">
        <f>'IS (Adjusted)'!AE114-'IS (Base)'!AE114</f>
        <v>0</v>
      </c>
      <c r="AF114" s="360">
        <f>'IS (Adjusted)'!AF114-'IS (Base)'!AF114</f>
        <v>0</v>
      </c>
      <c r="AG114" s="126">
        <f>'IS (Adjusted)'!AG114-'IS (Base)'!AG114</f>
        <v>0</v>
      </c>
      <c r="AH114" s="360">
        <f>'IS (Adjusted)'!AH114-'IS (Base)'!AH114</f>
        <v>0</v>
      </c>
      <c r="AI114" s="360">
        <f>'IS (Adjusted)'!AI114-'IS (Base)'!AI114</f>
        <v>0</v>
      </c>
      <c r="AJ114" s="360">
        <f>'IS (Adjusted)'!AJ114-'IS (Base)'!AJ114</f>
        <v>0</v>
      </c>
      <c r="AK114" s="360">
        <f>'IS (Adjusted)'!AK114-'IS (Base)'!AK114</f>
        <v>0</v>
      </c>
      <c r="AL114" s="126">
        <f>'IS (Adjusted)'!AL114-'IS (Base)'!AL114</f>
        <v>0</v>
      </c>
      <c r="AM114" s="360">
        <f>'IS (Adjusted)'!AM114-'IS (Base)'!AM114</f>
        <v>0</v>
      </c>
      <c r="AN114" s="360">
        <f>'IS (Adjusted)'!AN114-'IS (Base)'!AN114</f>
        <v>0</v>
      </c>
      <c r="AO114" s="360">
        <f>'IS (Adjusted)'!AO114-'IS (Base)'!AO114</f>
        <v>0</v>
      </c>
      <c r="AP114" s="360">
        <f>'IS (Adjusted)'!AP114-'IS (Base)'!AP114</f>
        <v>0</v>
      </c>
      <c r="AQ114" s="126">
        <f>'IS (Adjusted)'!AQ114-'IS (Base)'!AQ114</f>
        <v>0</v>
      </c>
      <c r="AR114" s="360">
        <f>'IS (Adjusted)'!AR114-'IS (Base)'!AR114</f>
        <v>0</v>
      </c>
      <c r="AS114" s="360">
        <f>'IS (Adjusted)'!AS114-'IS (Base)'!AS114</f>
        <v>0</v>
      </c>
      <c r="AT114" s="360">
        <f>'IS (Adjusted)'!AT114-'IS (Base)'!AT114</f>
        <v>0</v>
      </c>
      <c r="AU114" s="360">
        <f>'IS (Adjusted)'!AU114-'IS (Base)'!AU114</f>
        <v>0</v>
      </c>
      <c r="AV114" s="126">
        <f>'IS (Adjusted)'!AV114-'IS (Base)'!AV114</f>
        <v>0</v>
      </c>
    </row>
    <row r="115" spans="2:48" outlineLevel="1" x14ac:dyDescent="0.3">
      <c r="B115" s="180" t="s">
        <v>35</v>
      </c>
      <c r="C115" s="18"/>
      <c r="D115" s="48">
        <f>'IS (Adjusted)'!D115-'IS (Base)'!D115</f>
        <v>0</v>
      </c>
      <c r="E115" s="48">
        <f>'IS (Adjusted)'!E115-'IS (Base)'!E115</f>
        <v>0</v>
      </c>
      <c r="F115" s="48">
        <f>'IS (Adjusted)'!F115-'IS (Base)'!F115</f>
        <v>0</v>
      </c>
      <c r="G115" s="48">
        <f>'IS (Adjusted)'!G115-'IS (Base)'!G115</f>
        <v>0</v>
      </c>
      <c r="H115" s="49">
        <f>'IS (Adjusted)'!H115-'IS (Base)'!H115</f>
        <v>0</v>
      </c>
      <c r="I115" s="48">
        <f>'IS (Adjusted)'!I115-'IS (Base)'!I115</f>
        <v>0</v>
      </c>
      <c r="J115" s="48">
        <f>'IS (Adjusted)'!J115-'IS (Base)'!J115</f>
        <v>0</v>
      </c>
      <c r="K115" s="48">
        <f>'IS (Adjusted)'!K115-'IS (Base)'!K115</f>
        <v>0</v>
      </c>
      <c r="L115" s="48">
        <f>'IS (Adjusted)'!L115-'IS (Base)'!L115</f>
        <v>0</v>
      </c>
      <c r="M115" s="49">
        <f>'IS (Adjusted)'!M115-'IS (Base)'!M115</f>
        <v>0</v>
      </c>
      <c r="N115" s="48">
        <f>'IS (Adjusted)'!N115-'IS (Base)'!N115</f>
        <v>0</v>
      </c>
      <c r="O115" s="48">
        <f>'IS (Adjusted)'!O115-'IS (Base)'!O115</f>
        <v>0</v>
      </c>
      <c r="P115" s="48">
        <f>'IS (Adjusted)'!P115-'IS (Base)'!P115</f>
        <v>0</v>
      </c>
      <c r="Q115" s="105">
        <f>'IS (Adjusted)'!Q115-'IS (Base)'!Q115</f>
        <v>0</v>
      </c>
      <c r="R115" s="49">
        <f>'IS (Adjusted)'!R115-'IS (Base)'!R115</f>
        <v>0</v>
      </c>
      <c r="S115" s="48">
        <f>'IS (Adjusted)'!S115-'IS (Base)'!S115</f>
        <v>0</v>
      </c>
      <c r="T115" s="48">
        <f>'IS (Adjusted)'!T115-'IS (Base)'!T115</f>
        <v>0</v>
      </c>
      <c r="U115" s="48">
        <f>'IS (Adjusted)'!U115-'IS (Base)'!U115</f>
        <v>0</v>
      </c>
      <c r="V115" s="105">
        <f>'IS (Adjusted)'!V115-'IS (Base)'!V115</f>
        <v>0</v>
      </c>
      <c r="W115" s="170">
        <f>'IS (Adjusted)'!W115-'IS (Base)'!W115</f>
        <v>0</v>
      </c>
      <c r="X115" s="105">
        <f>'IS (Adjusted)'!X115-'IS (Base)'!X115</f>
        <v>0</v>
      </c>
      <c r="Y115" s="48">
        <f>'IS (Adjusted)'!Y115-'IS (Base)'!Y115</f>
        <v>0</v>
      </c>
      <c r="Z115" s="48">
        <f>'IS (Adjusted)'!Z115-'IS (Base)'!Z115</f>
        <v>0</v>
      </c>
      <c r="AA115" s="48">
        <f>'IS (Adjusted)'!AA115-'IS (Base)'!AA115</f>
        <v>0</v>
      </c>
      <c r="AB115" s="49">
        <f>'IS (Adjusted)'!AB115-'IS (Base)'!AB115</f>
        <v>0</v>
      </c>
      <c r="AC115" s="48">
        <f>'IS (Adjusted)'!AC115-'IS (Base)'!AC115</f>
        <v>0</v>
      </c>
      <c r="AD115" s="48">
        <f>'IS (Adjusted)'!AD115-'IS (Base)'!AD115</f>
        <v>0</v>
      </c>
      <c r="AE115" s="48">
        <f>'IS (Adjusted)'!AE115-'IS (Base)'!AE115</f>
        <v>0</v>
      </c>
      <c r="AF115" s="48">
        <f>'IS (Adjusted)'!AF115-'IS (Base)'!AF115</f>
        <v>0</v>
      </c>
      <c r="AG115" s="49">
        <f>'IS (Adjusted)'!AG115-'IS (Base)'!AG115</f>
        <v>0</v>
      </c>
      <c r="AH115" s="48">
        <f>'IS (Adjusted)'!AH115-'IS (Base)'!AH115</f>
        <v>0</v>
      </c>
      <c r="AI115" s="48">
        <f>'IS (Adjusted)'!AI115-'IS (Base)'!AI115</f>
        <v>0</v>
      </c>
      <c r="AJ115" s="48">
        <f>'IS (Adjusted)'!AJ115-'IS (Base)'!AJ115</f>
        <v>0</v>
      </c>
      <c r="AK115" s="48">
        <f>'IS (Adjusted)'!AK115-'IS (Base)'!AK115</f>
        <v>0</v>
      </c>
      <c r="AL115" s="49">
        <f>'IS (Adjusted)'!AL115-'IS (Base)'!AL115</f>
        <v>0</v>
      </c>
      <c r="AM115" s="48">
        <f>'IS (Adjusted)'!AM115-'IS (Base)'!AM115</f>
        <v>0</v>
      </c>
      <c r="AN115" s="48">
        <f>'IS (Adjusted)'!AN115-'IS (Base)'!AN115</f>
        <v>0</v>
      </c>
      <c r="AO115" s="48">
        <f>'IS (Adjusted)'!AO115-'IS (Base)'!AO115</f>
        <v>0</v>
      </c>
      <c r="AP115" s="48">
        <f>'IS (Adjusted)'!AP115-'IS (Base)'!AP115</f>
        <v>0</v>
      </c>
      <c r="AQ115" s="49">
        <f>'IS (Adjusted)'!AQ115-'IS (Base)'!AQ115</f>
        <v>0</v>
      </c>
      <c r="AR115" s="48">
        <f>'IS (Adjusted)'!AR115-'IS (Base)'!AR115</f>
        <v>0</v>
      </c>
      <c r="AS115" s="48">
        <f>'IS (Adjusted)'!AS115-'IS (Base)'!AS115</f>
        <v>0</v>
      </c>
      <c r="AT115" s="48">
        <f>'IS (Adjusted)'!AT115-'IS (Base)'!AT115</f>
        <v>0</v>
      </c>
      <c r="AU115" s="48">
        <f>'IS (Adjusted)'!AU115-'IS (Base)'!AU115</f>
        <v>0</v>
      </c>
      <c r="AV115" s="49">
        <f>'IS (Adjusted)'!AV115-'IS (Base)'!AV115</f>
        <v>0</v>
      </c>
    </row>
    <row r="116" spans="2:48" s="184" customFormat="1" outlineLevel="1" x14ac:dyDescent="0.3">
      <c r="B116" s="181" t="s">
        <v>153</v>
      </c>
      <c r="C116" s="190"/>
      <c r="D116" s="187">
        <f>'IS (Adjusted)'!D116-'IS (Base)'!D116</f>
        <v>0</v>
      </c>
      <c r="E116" s="187">
        <f>'IS (Adjusted)'!E116-'IS (Base)'!E116</f>
        <v>0</v>
      </c>
      <c r="F116" s="187">
        <f>'IS (Adjusted)'!F116-'IS (Base)'!F116</f>
        <v>0</v>
      </c>
      <c r="G116" s="187">
        <f>'IS (Adjusted)'!G116-'IS (Base)'!G116</f>
        <v>0</v>
      </c>
      <c r="H116" s="188">
        <f>'IS (Adjusted)'!H116-'IS (Base)'!H116</f>
        <v>0</v>
      </c>
      <c r="I116" s="187">
        <f>'IS (Adjusted)'!I116-'IS (Base)'!I116</f>
        <v>0</v>
      </c>
      <c r="J116" s="187">
        <f>'IS (Adjusted)'!J116-'IS (Base)'!J116</f>
        <v>0</v>
      </c>
      <c r="K116" s="187">
        <f>'IS (Adjusted)'!K116-'IS (Base)'!K116</f>
        <v>0</v>
      </c>
      <c r="L116" s="187">
        <f>'IS (Adjusted)'!L116-'IS (Base)'!L116</f>
        <v>0</v>
      </c>
      <c r="M116" s="188">
        <f>'IS (Adjusted)'!M116-'IS (Base)'!M116</f>
        <v>0</v>
      </c>
      <c r="N116" s="187">
        <f>'IS (Adjusted)'!N116-'IS (Base)'!N116</f>
        <v>0</v>
      </c>
      <c r="O116" s="187">
        <f>'IS (Adjusted)'!O116-'IS (Base)'!O116</f>
        <v>0</v>
      </c>
      <c r="P116" s="187">
        <f>'IS (Adjusted)'!P116-'IS (Base)'!P116</f>
        <v>0</v>
      </c>
      <c r="Q116" s="167">
        <f>'IS (Adjusted)'!Q116-'IS (Base)'!Q116</f>
        <v>0</v>
      </c>
      <c r="R116" s="188">
        <f>'IS (Adjusted)'!R116-'IS (Base)'!R116</f>
        <v>0</v>
      </c>
      <c r="S116" s="187">
        <f>'IS (Adjusted)'!S116-'IS (Base)'!S116</f>
        <v>0</v>
      </c>
      <c r="T116" s="187">
        <f>'IS (Adjusted)'!T116-'IS (Base)'!T116</f>
        <v>0</v>
      </c>
      <c r="U116" s="187">
        <f>'IS (Adjusted)'!U116-'IS (Base)'!U116</f>
        <v>0</v>
      </c>
      <c r="V116" s="167">
        <f>'IS (Adjusted)'!V116-'IS (Base)'!V116</f>
        <v>0</v>
      </c>
      <c r="W116" s="186">
        <f>'IS (Adjusted)'!W116-'IS (Base)'!W116</f>
        <v>0</v>
      </c>
      <c r="X116" s="167">
        <f>'IS (Adjusted)'!X116-'IS (Base)'!X116</f>
        <v>0</v>
      </c>
      <c r="Y116" s="189">
        <f>'IS (Adjusted)'!Y116-'IS (Base)'!Y116</f>
        <v>0</v>
      </c>
      <c r="Z116" s="189">
        <f>'IS (Adjusted)'!Z116-'IS (Base)'!Z116</f>
        <v>0</v>
      </c>
      <c r="AA116" s="189">
        <f>'IS (Adjusted)'!AA116-'IS (Base)'!AA116</f>
        <v>0</v>
      </c>
      <c r="AB116" s="188">
        <f>'IS (Adjusted)'!AB116-'IS (Base)'!AB116</f>
        <v>0</v>
      </c>
      <c r="AC116" s="189">
        <f>'IS (Adjusted)'!AC116-'IS (Base)'!AC116</f>
        <v>0</v>
      </c>
      <c r="AD116" s="189">
        <f>'IS (Adjusted)'!AD116-'IS (Base)'!AD116</f>
        <v>0</v>
      </c>
      <c r="AE116" s="189">
        <f>'IS (Adjusted)'!AE116-'IS (Base)'!AE116</f>
        <v>0</v>
      </c>
      <c r="AF116" s="189">
        <f>'IS (Adjusted)'!AF116-'IS (Base)'!AF116</f>
        <v>0</v>
      </c>
      <c r="AG116" s="188">
        <f>'IS (Adjusted)'!AG116-'IS (Base)'!AG116</f>
        <v>0</v>
      </c>
      <c r="AH116" s="189">
        <f>'IS (Adjusted)'!AH116-'IS (Base)'!AH116</f>
        <v>0</v>
      </c>
      <c r="AI116" s="189">
        <f>'IS (Adjusted)'!AI116-'IS (Base)'!AI116</f>
        <v>0</v>
      </c>
      <c r="AJ116" s="189">
        <f>'IS (Adjusted)'!AJ116-'IS (Base)'!AJ116</f>
        <v>0</v>
      </c>
      <c r="AK116" s="189">
        <f>'IS (Adjusted)'!AK116-'IS (Base)'!AK116</f>
        <v>0</v>
      </c>
      <c r="AL116" s="188">
        <f>'IS (Adjusted)'!AL116-'IS (Base)'!AL116</f>
        <v>0</v>
      </c>
      <c r="AM116" s="189">
        <f>'IS (Adjusted)'!AM116-'IS (Base)'!AM116</f>
        <v>0</v>
      </c>
      <c r="AN116" s="189">
        <f>'IS (Adjusted)'!AN116-'IS (Base)'!AN116</f>
        <v>0</v>
      </c>
      <c r="AO116" s="189">
        <f>'IS (Adjusted)'!AO116-'IS (Base)'!AO116</f>
        <v>0</v>
      </c>
      <c r="AP116" s="189">
        <f>'IS (Adjusted)'!AP116-'IS (Base)'!AP116</f>
        <v>0</v>
      </c>
      <c r="AQ116" s="188">
        <f>'IS (Adjusted)'!AQ116-'IS (Base)'!AQ116</f>
        <v>0</v>
      </c>
      <c r="AR116" s="189">
        <f>'IS (Adjusted)'!AR116-'IS (Base)'!AR116</f>
        <v>0</v>
      </c>
      <c r="AS116" s="189">
        <f>'IS (Adjusted)'!AS116-'IS (Base)'!AS116</f>
        <v>0</v>
      </c>
      <c r="AT116" s="189">
        <f>'IS (Adjusted)'!AT116-'IS (Base)'!AT116</f>
        <v>0</v>
      </c>
      <c r="AU116" s="189">
        <f>'IS (Adjusted)'!AU116-'IS (Base)'!AU116</f>
        <v>0</v>
      </c>
      <c r="AV116" s="188">
        <f>'IS (Adjusted)'!AV116-'IS (Base)'!AV116</f>
        <v>0</v>
      </c>
    </row>
    <row r="117" spans="2:48" ht="16.2" outlineLevel="1" x14ac:dyDescent="0.45">
      <c r="B117" s="180" t="s">
        <v>42</v>
      </c>
      <c r="C117" s="18"/>
      <c r="D117" s="119">
        <f>'IS (Adjusted)'!D117-'IS (Base)'!D117</f>
        <v>0</v>
      </c>
      <c r="E117" s="119">
        <f>'IS (Adjusted)'!E117-'IS (Base)'!E117</f>
        <v>0</v>
      </c>
      <c r="F117" s="119">
        <f>'IS (Adjusted)'!F117-'IS (Base)'!F117</f>
        <v>0</v>
      </c>
      <c r="G117" s="119">
        <f>'IS (Adjusted)'!G117-'IS (Base)'!G117</f>
        <v>0</v>
      </c>
      <c r="H117" s="131">
        <f>'IS (Adjusted)'!H117-'IS (Base)'!H117</f>
        <v>0</v>
      </c>
      <c r="I117" s="119">
        <f>'IS (Adjusted)'!I117-'IS (Base)'!I117</f>
        <v>0</v>
      </c>
      <c r="J117" s="119">
        <f>'IS (Adjusted)'!J117-'IS (Base)'!J117</f>
        <v>0</v>
      </c>
      <c r="K117" s="119">
        <f>'IS (Adjusted)'!K117-'IS (Base)'!K117</f>
        <v>0</v>
      </c>
      <c r="L117" s="119">
        <f>'IS (Adjusted)'!L117-'IS (Base)'!L117</f>
        <v>0</v>
      </c>
      <c r="M117" s="131">
        <f>'IS (Adjusted)'!M117-'IS (Base)'!M117</f>
        <v>0</v>
      </c>
      <c r="N117" s="119">
        <f>'IS (Adjusted)'!N117-'IS (Base)'!N117</f>
        <v>0</v>
      </c>
      <c r="O117" s="119">
        <f>'IS (Adjusted)'!O117-'IS (Base)'!O117</f>
        <v>0</v>
      </c>
      <c r="P117" s="119">
        <f>'IS (Adjusted)'!P117-'IS (Base)'!P117</f>
        <v>0</v>
      </c>
      <c r="Q117" s="119">
        <f>'IS (Adjusted)'!Q117-'IS (Base)'!Q117</f>
        <v>0</v>
      </c>
      <c r="R117" s="131">
        <f>'IS (Adjusted)'!R117-'IS (Base)'!R117</f>
        <v>0</v>
      </c>
      <c r="S117" s="119">
        <f>'IS (Adjusted)'!S117-'IS (Base)'!S117</f>
        <v>0</v>
      </c>
      <c r="T117" s="119">
        <f>'IS (Adjusted)'!T117-'IS (Base)'!T117</f>
        <v>0</v>
      </c>
      <c r="U117" s="119">
        <f>'IS (Adjusted)'!U117-'IS (Base)'!U117</f>
        <v>0</v>
      </c>
      <c r="V117" s="119">
        <f>'IS (Adjusted)'!V117-'IS (Base)'!V117</f>
        <v>0</v>
      </c>
      <c r="W117" s="131">
        <f>'IS (Adjusted)'!W117-'IS (Base)'!W117</f>
        <v>0</v>
      </c>
      <c r="X117" s="119">
        <f>'IS (Adjusted)'!X117-'IS (Base)'!X117</f>
        <v>0</v>
      </c>
      <c r="Y117" s="119">
        <f>'IS (Adjusted)'!Y117-'IS (Base)'!Y117</f>
        <v>0</v>
      </c>
      <c r="Z117" s="119">
        <f>'IS (Adjusted)'!Z117-'IS (Base)'!Z117</f>
        <v>0</v>
      </c>
      <c r="AA117" s="119">
        <f>'IS (Adjusted)'!AA117-'IS (Base)'!AA117</f>
        <v>0</v>
      </c>
      <c r="AB117" s="131">
        <f>'IS (Adjusted)'!AB117-'IS (Base)'!AB117</f>
        <v>0</v>
      </c>
      <c r="AC117" s="119">
        <f>'IS (Adjusted)'!AC117-'IS (Base)'!AC117</f>
        <v>0</v>
      </c>
      <c r="AD117" s="119">
        <f>'IS (Adjusted)'!AD117-'IS (Base)'!AD117</f>
        <v>0</v>
      </c>
      <c r="AE117" s="119">
        <f>'IS (Adjusted)'!AE117-'IS (Base)'!AE117</f>
        <v>0</v>
      </c>
      <c r="AF117" s="119">
        <f>'IS (Adjusted)'!AF117-'IS (Base)'!AF117</f>
        <v>0</v>
      </c>
      <c r="AG117" s="131">
        <f>'IS (Adjusted)'!AG117-'IS (Base)'!AG117</f>
        <v>0</v>
      </c>
      <c r="AH117" s="119">
        <f>'IS (Adjusted)'!AH117-'IS (Base)'!AH117</f>
        <v>0</v>
      </c>
      <c r="AI117" s="119">
        <f>'IS (Adjusted)'!AI117-'IS (Base)'!AI117</f>
        <v>0</v>
      </c>
      <c r="AJ117" s="119">
        <f>'IS (Adjusted)'!AJ117-'IS (Base)'!AJ117</f>
        <v>0</v>
      </c>
      <c r="AK117" s="119">
        <f>'IS (Adjusted)'!AK117-'IS (Base)'!AK117</f>
        <v>0</v>
      </c>
      <c r="AL117" s="131">
        <f>'IS (Adjusted)'!AL117-'IS (Base)'!AL117</f>
        <v>0</v>
      </c>
      <c r="AM117" s="119">
        <f>'IS (Adjusted)'!AM117-'IS (Base)'!AM117</f>
        <v>0</v>
      </c>
      <c r="AN117" s="119">
        <f>'IS (Adjusted)'!AN117-'IS (Base)'!AN117</f>
        <v>0</v>
      </c>
      <c r="AO117" s="119">
        <f>'IS (Adjusted)'!AO117-'IS (Base)'!AO117</f>
        <v>0</v>
      </c>
      <c r="AP117" s="119">
        <f>'IS (Adjusted)'!AP117-'IS (Base)'!AP117</f>
        <v>0</v>
      </c>
      <c r="AQ117" s="131">
        <f>'IS (Adjusted)'!AQ117-'IS (Base)'!AQ117</f>
        <v>0</v>
      </c>
      <c r="AR117" s="119">
        <f>'IS (Adjusted)'!AR117-'IS (Base)'!AR117</f>
        <v>0</v>
      </c>
      <c r="AS117" s="119">
        <f>'IS (Adjusted)'!AS117-'IS (Base)'!AS117</f>
        <v>0</v>
      </c>
      <c r="AT117" s="119">
        <f>'IS (Adjusted)'!AT117-'IS (Base)'!AT117</f>
        <v>0</v>
      </c>
      <c r="AU117" s="119">
        <f>'IS (Adjusted)'!AU117-'IS (Base)'!AU117</f>
        <v>0</v>
      </c>
      <c r="AV117" s="131">
        <f>'IS (Adjusted)'!AV117-'IS (Base)'!AV117</f>
        <v>0</v>
      </c>
    </row>
    <row r="118" spans="2:48" outlineLevel="1" x14ac:dyDescent="0.3">
      <c r="B118" s="46" t="s">
        <v>52</v>
      </c>
      <c r="C118" s="19"/>
      <c r="D118" s="50">
        <f>'IS (Adjusted)'!D118-'IS (Base)'!D118</f>
        <v>0</v>
      </c>
      <c r="E118" s="50">
        <f>'IS (Adjusted)'!E118-'IS (Base)'!E118</f>
        <v>0</v>
      </c>
      <c r="F118" s="50">
        <f>'IS (Adjusted)'!F118-'IS (Base)'!F118</f>
        <v>0</v>
      </c>
      <c r="G118" s="50">
        <f>'IS (Adjusted)'!G118-'IS (Base)'!G118</f>
        <v>0</v>
      </c>
      <c r="H118" s="26">
        <f>'IS (Adjusted)'!H118-'IS (Base)'!H118</f>
        <v>0</v>
      </c>
      <c r="I118" s="50">
        <f>'IS (Adjusted)'!I118-'IS (Base)'!I118</f>
        <v>0</v>
      </c>
      <c r="J118" s="50">
        <f>'IS (Adjusted)'!J118-'IS (Base)'!J118</f>
        <v>0</v>
      </c>
      <c r="K118" s="50">
        <f>'IS (Adjusted)'!K118-'IS (Base)'!K118</f>
        <v>0</v>
      </c>
      <c r="L118" s="50">
        <f>'IS (Adjusted)'!L118-'IS (Base)'!L118</f>
        <v>0</v>
      </c>
      <c r="M118" s="26">
        <f>'IS (Adjusted)'!M118-'IS (Base)'!M118</f>
        <v>0</v>
      </c>
      <c r="N118" s="50">
        <f>'IS (Adjusted)'!N118-'IS (Base)'!N118</f>
        <v>0</v>
      </c>
      <c r="O118" s="50">
        <f>'IS (Adjusted)'!O118-'IS (Base)'!O118</f>
        <v>0</v>
      </c>
      <c r="P118" s="50">
        <f>'IS (Adjusted)'!P118-'IS (Base)'!P118</f>
        <v>0</v>
      </c>
      <c r="Q118" s="103">
        <f>'IS (Adjusted)'!Q118-'IS (Base)'!Q118</f>
        <v>0</v>
      </c>
      <c r="R118" s="26">
        <f>'IS (Adjusted)'!R118-'IS (Base)'!R118</f>
        <v>0</v>
      </c>
      <c r="S118" s="50">
        <f>'IS (Adjusted)'!S118-'IS (Base)'!S118</f>
        <v>0</v>
      </c>
      <c r="T118" s="50">
        <f>'IS (Adjusted)'!T118-'IS (Base)'!T118</f>
        <v>0</v>
      </c>
      <c r="U118" s="50">
        <f>'IS (Adjusted)'!U118-'IS (Base)'!U118</f>
        <v>0</v>
      </c>
      <c r="V118" s="103">
        <f>'IS (Adjusted)'!V118-'IS (Base)'!V118</f>
        <v>0</v>
      </c>
      <c r="W118" s="122">
        <f>'IS (Adjusted)'!W118-'IS (Base)'!W118</f>
        <v>0</v>
      </c>
      <c r="X118" s="103">
        <f>'IS (Adjusted)'!X118-'IS (Base)'!X118</f>
        <v>0</v>
      </c>
      <c r="Y118" s="50">
        <f>'IS (Adjusted)'!Y118-'IS (Base)'!Y118</f>
        <v>0</v>
      </c>
      <c r="Z118" s="50">
        <f>'IS (Adjusted)'!Z118-'IS (Base)'!Z118</f>
        <v>0</v>
      </c>
      <c r="AA118" s="50">
        <f>'IS (Adjusted)'!AA118-'IS (Base)'!AA118</f>
        <v>0</v>
      </c>
      <c r="AB118" s="26">
        <f>'IS (Adjusted)'!AB118-'IS (Base)'!AB118</f>
        <v>0</v>
      </c>
      <c r="AC118" s="50">
        <f>'IS (Adjusted)'!AC118-'IS (Base)'!AC118</f>
        <v>0</v>
      </c>
      <c r="AD118" s="50">
        <f>'IS (Adjusted)'!AD118-'IS (Base)'!AD118</f>
        <v>0</v>
      </c>
      <c r="AE118" s="50">
        <f>'IS (Adjusted)'!AE118-'IS (Base)'!AE118</f>
        <v>0</v>
      </c>
      <c r="AF118" s="50">
        <f>'IS (Adjusted)'!AF118-'IS (Base)'!AF118</f>
        <v>0</v>
      </c>
      <c r="AG118" s="26">
        <f>'IS (Adjusted)'!AG118-'IS (Base)'!AG118</f>
        <v>0</v>
      </c>
      <c r="AH118" s="50">
        <f>'IS (Adjusted)'!AH118-'IS (Base)'!AH118</f>
        <v>0</v>
      </c>
      <c r="AI118" s="50">
        <f>'IS (Adjusted)'!AI118-'IS (Base)'!AI118</f>
        <v>0</v>
      </c>
      <c r="AJ118" s="50">
        <f>'IS (Adjusted)'!AJ118-'IS (Base)'!AJ118</f>
        <v>0</v>
      </c>
      <c r="AK118" s="50">
        <f>'IS (Adjusted)'!AK118-'IS (Base)'!AK118</f>
        <v>0</v>
      </c>
      <c r="AL118" s="26">
        <f>'IS (Adjusted)'!AL118-'IS (Base)'!AL118</f>
        <v>0</v>
      </c>
      <c r="AM118" s="50">
        <f>'IS (Adjusted)'!AM118-'IS (Base)'!AM118</f>
        <v>0</v>
      </c>
      <c r="AN118" s="50">
        <f>'IS (Adjusted)'!AN118-'IS (Base)'!AN118</f>
        <v>0</v>
      </c>
      <c r="AO118" s="50">
        <f>'IS (Adjusted)'!AO118-'IS (Base)'!AO118</f>
        <v>0</v>
      </c>
      <c r="AP118" s="50">
        <f>'IS (Adjusted)'!AP118-'IS (Base)'!AP118</f>
        <v>0</v>
      </c>
      <c r="AQ118" s="26">
        <f>'IS (Adjusted)'!AQ118-'IS (Base)'!AQ118</f>
        <v>0</v>
      </c>
      <c r="AR118" s="50">
        <f>'IS (Adjusted)'!AR118-'IS (Base)'!AR118</f>
        <v>0</v>
      </c>
      <c r="AS118" s="50">
        <f>'IS (Adjusted)'!AS118-'IS (Base)'!AS118</f>
        <v>0</v>
      </c>
      <c r="AT118" s="50">
        <f>'IS (Adjusted)'!AT118-'IS (Base)'!AT118</f>
        <v>0</v>
      </c>
      <c r="AU118" s="50">
        <f>'IS (Adjusted)'!AU118-'IS (Base)'!AU118</f>
        <v>0</v>
      </c>
      <c r="AV118" s="26">
        <f>'IS (Adjusted)'!AV118-'IS (Base)'!AV118</f>
        <v>0</v>
      </c>
    </row>
    <row r="119" spans="2:48" ht="16.2" outlineLevel="1" x14ac:dyDescent="0.45">
      <c r="B119" s="47" t="s">
        <v>36</v>
      </c>
      <c r="C119" s="44"/>
      <c r="D119" s="52">
        <f>'IS (Adjusted)'!D119-'IS (Base)'!D119</f>
        <v>0</v>
      </c>
      <c r="E119" s="104">
        <f>'IS (Adjusted)'!E119-'IS (Base)'!E119</f>
        <v>0</v>
      </c>
      <c r="F119" s="104">
        <f>'IS (Adjusted)'!F119-'IS (Base)'!F119</f>
        <v>0</v>
      </c>
      <c r="G119" s="104">
        <f>'IS (Adjusted)'!G119-'IS (Base)'!G119</f>
        <v>0</v>
      </c>
      <c r="H119" s="193">
        <f>'IS (Adjusted)'!H119-'IS (Base)'!H119</f>
        <v>0</v>
      </c>
      <c r="I119" s="104">
        <f>'IS (Adjusted)'!I119-'IS (Base)'!I119</f>
        <v>0</v>
      </c>
      <c r="J119" s="104">
        <f>'IS (Adjusted)'!J119-'IS (Base)'!J119</f>
        <v>0</v>
      </c>
      <c r="K119" s="104">
        <f>'IS (Adjusted)'!K119-'IS (Base)'!K119</f>
        <v>0</v>
      </c>
      <c r="L119" s="104">
        <f>'IS (Adjusted)'!L119-'IS (Base)'!L119</f>
        <v>0</v>
      </c>
      <c r="M119" s="193">
        <f>'IS (Adjusted)'!M119-'IS (Base)'!M119</f>
        <v>0</v>
      </c>
      <c r="N119" s="104">
        <f>'IS (Adjusted)'!N119-'IS (Base)'!N119</f>
        <v>0</v>
      </c>
      <c r="O119" s="104">
        <f>'IS (Adjusted)'!O119-'IS (Base)'!O119</f>
        <v>0</v>
      </c>
      <c r="P119" s="104">
        <f>'IS (Adjusted)'!P119-'IS (Base)'!P119</f>
        <v>0</v>
      </c>
      <c r="Q119" s="104">
        <f>'IS (Adjusted)'!Q119-'IS (Base)'!Q119</f>
        <v>0</v>
      </c>
      <c r="R119" s="193">
        <f>'IS (Adjusted)'!R119-'IS (Base)'!R119</f>
        <v>0</v>
      </c>
      <c r="S119" s="104">
        <f>'IS (Adjusted)'!S119-'IS (Base)'!S119</f>
        <v>0</v>
      </c>
      <c r="T119" s="104">
        <f>'IS (Adjusted)'!T119-'IS (Base)'!T119</f>
        <v>0</v>
      </c>
      <c r="U119" s="104">
        <f>'IS (Adjusted)'!U119-'IS (Base)'!U119</f>
        <v>0</v>
      </c>
      <c r="V119" s="104">
        <f>'IS (Adjusted)'!V119-'IS (Base)'!V119</f>
        <v>0</v>
      </c>
      <c r="W119" s="214">
        <f>'IS (Adjusted)'!W119-'IS (Base)'!W119</f>
        <v>0</v>
      </c>
      <c r="X119" s="104">
        <f>'IS (Adjusted)'!X119-'IS (Base)'!X119</f>
        <v>0</v>
      </c>
      <c r="Y119" s="56">
        <f>'IS (Adjusted)'!Y119-'IS (Base)'!Y119</f>
        <v>0</v>
      </c>
      <c r="Z119" s="56">
        <f>'IS (Adjusted)'!Z119-'IS (Base)'!Z119</f>
        <v>0</v>
      </c>
      <c r="AA119" s="56">
        <f>'IS (Adjusted)'!AA119-'IS (Base)'!AA119</f>
        <v>0</v>
      </c>
      <c r="AB119" s="193">
        <f>'IS (Adjusted)'!AB119-'IS (Base)'!AB119</f>
        <v>0</v>
      </c>
      <c r="AC119" s="56">
        <f>'IS (Adjusted)'!AC119-'IS (Base)'!AC119</f>
        <v>0</v>
      </c>
      <c r="AD119" s="56">
        <f>'IS (Adjusted)'!AD119-'IS (Base)'!AD119</f>
        <v>0</v>
      </c>
      <c r="AE119" s="56">
        <f>'IS (Adjusted)'!AE119-'IS (Base)'!AE119</f>
        <v>0</v>
      </c>
      <c r="AF119" s="56">
        <f>'IS (Adjusted)'!AF119-'IS (Base)'!AF119</f>
        <v>0</v>
      </c>
      <c r="AG119" s="193">
        <f>'IS (Adjusted)'!AG119-'IS (Base)'!AG119</f>
        <v>0</v>
      </c>
      <c r="AH119" s="56">
        <f>'IS (Adjusted)'!AH119-'IS (Base)'!AH119</f>
        <v>0</v>
      </c>
      <c r="AI119" s="56">
        <f>'IS (Adjusted)'!AI119-'IS (Base)'!AI119</f>
        <v>0</v>
      </c>
      <c r="AJ119" s="56">
        <f>'IS (Adjusted)'!AJ119-'IS (Base)'!AJ119</f>
        <v>0</v>
      </c>
      <c r="AK119" s="56">
        <f>'IS (Adjusted)'!AK119-'IS (Base)'!AK119</f>
        <v>0</v>
      </c>
      <c r="AL119" s="193">
        <f>'IS (Adjusted)'!AL119-'IS (Base)'!AL119</f>
        <v>0</v>
      </c>
      <c r="AM119" s="56">
        <f>'IS (Adjusted)'!AM119-'IS (Base)'!AM119</f>
        <v>0</v>
      </c>
      <c r="AN119" s="56">
        <f>'IS (Adjusted)'!AN119-'IS (Base)'!AN119</f>
        <v>0</v>
      </c>
      <c r="AO119" s="56">
        <f>'IS (Adjusted)'!AO119-'IS (Base)'!AO119</f>
        <v>0</v>
      </c>
      <c r="AP119" s="56">
        <f>'IS (Adjusted)'!AP119-'IS (Base)'!AP119</f>
        <v>0</v>
      </c>
      <c r="AQ119" s="193">
        <f>'IS (Adjusted)'!AQ119-'IS (Base)'!AQ119</f>
        <v>0</v>
      </c>
      <c r="AR119" s="56">
        <f>'IS (Adjusted)'!AR119-'IS (Base)'!AR119</f>
        <v>0</v>
      </c>
      <c r="AS119" s="56">
        <f>'IS (Adjusted)'!AS119-'IS (Base)'!AS119</f>
        <v>0</v>
      </c>
      <c r="AT119" s="56">
        <f>'IS (Adjusted)'!AT119-'IS (Base)'!AT119</f>
        <v>0</v>
      </c>
      <c r="AU119" s="56">
        <f>'IS (Adjusted)'!AU119-'IS (Base)'!AU119</f>
        <v>0</v>
      </c>
      <c r="AV119" s="193">
        <f>'IS (Adjusted)'!AV119-'IS (Base)'!AV119</f>
        <v>0</v>
      </c>
    </row>
    <row r="120" spans="2:48" outlineLevel="1" x14ac:dyDescent="0.3">
      <c r="B120" s="46" t="s">
        <v>53</v>
      </c>
      <c r="C120" s="44"/>
      <c r="D120" s="156">
        <f>'IS (Adjusted)'!D120-'IS (Base)'!D120</f>
        <v>0</v>
      </c>
      <c r="E120" s="156">
        <f>'IS (Adjusted)'!E120-'IS (Base)'!E120</f>
        <v>0</v>
      </c>
      <c r="F120" s="156">
        <f>'IS (Adjusted)'!F120-'IS (Base)'!F120</f>
        <v>0</v>
      </c>
      <c r="G120" s="156">
        <f>'IS (Adjusted)'!G120-'IS (Base)'!G120</f>
        <v>0</v>
      </c>
      <c r="H120" s="97">
        <f>'IS (Adjusted)'!H120-'IS (Base)'!H120</f>
        <v>0</v>
      </c>
      <c r="I120" s="156">
        <f>'IS (Adjusted)'!I120-'IS (Base)'!I120</f>
        <v>0</v>
      </c>
      <c r="J120" s="156">
        <f>'IS (Adjusted)'!J120-'IS (Base)'!J120</f>
        <v>0</v>
      </c>
      <c r="K120" s="156">
        <f>'IS (Adjusted)'!K120-'IS (Base)'!K120</f>
        <v>0</v>
      </c>
      <c r="L120" s="74">
        <f>'IS (Adjusted)'!L120-'IS (Base)'!L120</f>
        <v>0</v>
      </c>
      <c r="M120" s="97">
        <f>'IS (Adjusted)'!M120-'IS (Base)'!M120</f>
        <v>0</v>
      </c>
      <c r="N120" s="74">
        <f>'IS (Adjusted)'!N120-'IS (Base)'!N120</f>
        <v>0</v>
      </c>
      <c r="O120" s="74">
        <f>'IS (Adjusted)'!O120-'IS (Base)'!O120</f>
        <v>0</v>
      </c>
      <c r="P120" s="74">
        <f>'IS (Adjusted)'!P120-'IS (Base)'!P120</f>
        <v>0</v>
      </c>
      <c r="Q120" s="74">
        <f>'IS (Adjusted)'!Q120-'IS (Base)'!Q120</f>
        <v>0</v>
      </c>
      <c r="R120" s="97">
        <f>'IS (Adjusted)'!R120-'IS (Base)'!R120</f>
        <v>0</v>
      </c>
      <c r="S120" s="74">
        <f>'IS (Adjusted)'!S120-'IS (Base)'!S120</f>
        <v>0</v>
      </c>
      <c r="T120" s="74">
        <f>'IS (Adjusted)'!T120-'IS (Base)'!T120</f>
        <v>0</v>
      </c>
      <c r="U120" s="74">
        <f>'IS (Adjusted)'!U120-'IS (Base)'!U120</f>
        <v>0</v>
      </c>
      <c r="V120" s="156">
        <f>'IS (Adjusted)'!V120-'IS (Base)'!V120</f>
        <v>0</v>
      </c>
      <c r="W120" s="132">
        <f>'IS (Adjusted)'!W120-'IS (Base)'!W120</f>
        <v>0</v>
      </c>
      <c r="X120" s="156">
        <f>'IS (Adjusted)'!X120-'IS (Base)'!X120</f>
        <v>0</v>
      </c>
      <c r="Y120" s="74">
        <f>'IS (Adjusted)'!Y120-'IS (Base)'!Y120</f>
        <v>0</v>
      </c>
      <c r="Z120" s="74">
        <f>'IS (Adjusted)'!Z120-'IS (Base)'!Z120</f>
        <v>0</v>
      </c>
      <c r="AA120" s="74">
        <f>'IS (Adjusted)'!AA120-'IS (Base)'!AA120</f>
        <v>0</v>
      </c>
      <c r="AB120" s="97">
        <f>'IS (Adjusted)'!AB120-'IS (Base)'!AB120</f>
        <v>0</v>
      </c>
      <c r="AC120" s="74">
        <f>'IS (Adjusted)'!AC120-'IS (Base)'!AC120</f>
        <v>0</v>
      </c>
      <c r="AD120" s="74">
        <f>'IS (Adjusted)'!AD120-'IS (Base)'!AD120</f>
        <v>0</v>
      </c>
      <c r="AE120" s="74">
        <f>'IS (Adjusted)'!AE120-'IS (Base)'!AE120</f>
        <v>0</v>
      </c>
      <c r="AF120" s="74">
        <f>'IS (Adjusted)'!AF120-'IS (Base)'!AF120</f>
        <v>0</v>
      </c>
      <c r="AG120" s="97">
        <f>'IS (Adjusted)'!AG120-'IS (Base)'!AG120</f>
        <v>0</v>
      </c>
      <c r="AH120" s="74">
        <f>'IS (Adjusted)'!AH120-'IS (Base)'!AH120</f>
        <v>0</v>
      </c>
      <c r="AI120" s="74">
        <f>'IS (Adjusted)'!AI120-'IS (Base)'!AI120</f>
        <v>0</v>
      </c>
      <c r="AJ120" s="74">
        <f>'IS (Adjusted)'!AJ120-'IS (Base)'!AJ120</f>
        <v>0</v>
      </c>
      <c r="AK120" s="74">
        <f>'IS (Adjusted)'!AK120-'IS (Base)'!AK120</f>
        <v>0</v>
      </c>
      <c r="AL120" s="97">
        <f>'IS (Adjusted)'!AL120-'IS (Base)'!AL120</f>
        <v>0</v>
      </c>
      <c r="AM120" s="74">
        <f>'IS (Adjusted)'!AM120-'IS (Base)'!AM120</f>
        <v>0</v>
      </c>
      <c r="AN120" s="74">
        <f>'IS (Adjusted)'!AN120-'IS (Base)'!AN120</f>
        <v>0</v>
      </c>
      <c r="AO120" s="74">
        <f>'IS (Adjusted)'!AO120-'IS (Base)'!AO120</f>
        <v>0</v>
      </c>
      <c r="AP120" s="74">
        <f>'IS (Adjusted)'!AP120-'IS (Base)'!AP120</f>
        <v>0</v>
      </c>
      <c r="AQ120" s="97">
        <f>'IS (Adjusted)'!AQ120-'IS (Base)'!AQ120</f>
        <v>0</v>
      </c>
      <c r="AR120" s="74">
        <f>'IS (Adjusted)'!AR120-'IS (Base)'!AR120</f>
        <v>0</v>
      </c>
      <c r="AS120" s="74">
        <f>'IS (Adjusted)'!AS120-'IS (Base)'!AS120</f>
        <v>0</v>
      </c>
      <c r="AT120" s="74">
        <f>'IS (Adjusted)'!AT120-'IS (Base)'!AT120</f>
        <v>0</v>
      </c>
      <c r="AU120" s="74">
        <f>'IS (Adjusted)'!AU120-'IS (Base)'!AU120</f>
        <v>0</v>
      </c>
      <c r="AV120" s="97">
        <f>'IS (Adjusted)'!AV120-'IS (Base)'!AV120</f>
        <v>0</v>
      </c>
    </row>
    <row r="121" spans="2:48" outlineLevel="1" x14ac:dyDescent="0.3">
      <c r="B121" s="46" t="s">
        <v>54</v>
      </c>
      <c r="C121" s="44"/>
      <c r="D121" s="157">
        <f>'IS (Adjusted)'!D121-'IS (Base)'!D121</f>
        <v>0</v>
      </c>
      <c r="E121" s="157">
        <f>'IS (Adjusted)'!E121-'IS (Base)'!E121</f>
        <v>0</v>
      </c>
      <c r="F121" s="157">
        <f>'IS (Adjusted)'!F121-'IS (Base)'!F121</f>
        <v>0</v>
      </c>
      <c r="G121" s="157">
        <f>'IS (Adjusted)'!G121-'IS (Base)'!G121</f>
        <v>0</v>
      </c>
      <c r="H121" s="125">
        <f>'IS (Adjusted)'!H121-'IS (Base)'!H121</f>
        <v>0</v>
      </c>
      <c r="I121" s="157">
        <f>'IS (Adjusted)'!I121-'IS (Base)'!I121</f>
        <v>0</v>
      </c>
      <c r="J121" s="157">
        <f>'IS (Adjusted)'!J121-'IS (Base)'!J121</f>
        <v>0</v>
      </c>
      <c r="K121" s="157">
        <f>'IS (Adjusted)'!K121-'IS (Base)'!K121</f>
        <v>0</v>
      </c>
      <c r="L121" s="75">
        <f>'IS (Adjusted)'!L121-'IS (Base)'!L121</f>
        <v>0</v>
      </c>
      <c r="M121" s="98">
        <f>'IS (Adjusted)'!M121-'IS (Base)'!M121</f>
        <v>0</v>
      </c>
      <c r="N121" s="75">
        <f>'IS (Adjusted)'!N121-'IS (Base)'!N121</f>
        <v>0</v>
      </c>
      <c r="O121" s="75">
        <f>'IS (Adjusted)'!O121-'IS (Base)'!O121</f>
        <v>0</v>
      </c>
      <c r="P121" s="75">
        <f>'IS (Adjusted)'!P121-'IS (Base)'!P121</f>
        <v>0</v>
      </c>
      <c r="Q121" s="75">
        <f>'IS (Adjusted)'!Q121-'IS (Base)'!Q121</f>
        <v>0</v>
      </c>
      <c r="R121" s="98">
        <f>'IS (Adjusted)'!R121-'IS (Base)'!R121</f>
        <v>0</v>
      </c>
      <c r="S121" s="75">
        <f>'IS (Adjusted)'!S121-'IS (Base)'!S121</f>
        <v>0</v>
      </c>
      <c r="T121" s="75">
        <f>'IS (Adjusted)'!T121-'IS (Base)'!T121</f>
        <v>0</v>
      </c>
      <c r="U121" s="75">
        <f>'IS (Adjusted)'!U121-'IS (Base)'!U121</f>
        <v>0</v>
      </c>
      <c r="V121" s="157">
        <f>'IS (Adjusted)'!V121-'IS (Base)'!V121</f>
        <v>0</v>
      </c>
      <c r="W121" s="133">
        <f>'IS (Adjusted)'!W121-'IS (Base)'!W121</f>
        <v>0</v>
      </c>
      <c r="X121" s="157">
        <f>'IS (Adjusted)'!X121-'IS (Base)'!X121</f>
        <v>0</v>
      </c>
      <c r="Y121" s="75">
        <f>'IS (Adjusted)'!Y121-'IS (Base)'!Y121</f>
        <v>0</v>
      </c>
      <c r="Z121" s="75">
        <f>'IS (Adjusted)'!Z121-'IS (Base)'!Z121</f>
        <v>0</v>
      </c>
      <c r="AA121" s="75">
        <f>'IS (Adjusted)'!AA121-'IS (Base)'!AA121</f>
        <v>0</v>
      </c>
      <c r="AB121" s="98">
        <f>'IS (Adjusted)'!AB121-'IS (Base)'!AB121</f>
        <v>0</v>
      </c>
      <c r="AC121" s="75">
        <f>'IS (Adjusted)'!AC121-'IS (Base)'!AC121</f>
        <v>0</v>
      </c>
      <c r="AD121" s="75">
        <f>'IS (Adjusted)'!AD121-'IS (Base)'!AD121</f>
        <v>0</v>
      </c>
      <c r="AE121" s="75">
        <f>'IS (Adjusted)'!AE121-'IS (Base)'!AE121</f>
        <v>0</v>
      </c>
      <c r="AF121" s="75">
        <f>'IS (Adjusted)'!AF121-'IS (Base)'!AF121</f>
        <v>0</v>
      </c>
      <c r="AG121" s="98">
        <f>'IS (Adjusted)'!AG121-'IS (Base)'!AG121</f>
        <v>0</v>
      </c>
      <c r="AH121" s="75">
        <f>'IS (Adjusted)'!AH121-'IS (Base)'!AH121</f>
        <v>0</v>
      </c>
      <c r="AI121" s="75">
        <f>'IS (Adjusted)'!AI121-'IS (Base)'!AI121</f>
        <v>0</v>
      </c>
      <c r="AJ121" s="75">
        <f>'IS (Adjusted)'!AJ121-'IS (Base)'!AJ121</f>
        <v>0</v>
      </c>
      <c r="AK121" s="75">
        <f>'IS (Adjusted)'!AK121-'IS (Base)'!AK121</f>
        <v>0</v>
      </c>
      <c r="AL121" s="98">
        <f>'IS (Adjusted)'!AL121-'IS (Base)'!AL121</f>
        <v>0</v>
      </c>
      <c r="AM121" s="75">
        <f>'IS (Adjusted)'!AM121-'IS (Base)'!AM121</f>
        <v>0</v>
      </c>
      <c r="AN121" s="75">
        <f>'IS (Adjusted)'!AN121-'IS (Base)'!AN121</f>
        <v>0</v>
      </c>
      <c r="AO121" s="75">
        <f>'IS (Adjusted)'!AO121-'IS (Base)'!AO121</f>
        <v>0</v>
      </c>
      <c r="AP121" s="75">
        <f>'IS (Adjusted)'!AP121-'IS (Base)'!AP121</f>
        <v>0</v>
      </c>
      <c r="AQ121" s="98">
        <f>'IS (Adjusted)'!AQ121-'IS (Base)'!AQ121</f>
        <v>0</v>
      </c>
      <c r="AR121" s="75">
        <f>'IS (Adjusted)'!AR121-'IS (Base)'!AR121</f>
        <v>0</v>
      </c>
      <c r="AS121" s="75">
        <f>'IS (Adjusted)'!AS121-'IS (Base)'!AS121</f>
        <v>0</v>
      </c>
      <c r="AT121" s="75">
        <f>'IS (Adjusted)'!AT121-'IS (Base)'!AT121</f>
        <v>0</v>
      </c>
      <c r="AU121" s="75">
        <f>'IS (Adjusted)'!AU121-'IS (Base)'!AU121</f>
        <v>0</v>
      </c>
      <c r="AV121" s="98">
        <f>'IS (Adjusted)'!AV121-'IS (Base)'!AV121</f>
        <v>0</v>
      </c>
    </row>
    <row r="122" spans="2:48" ht="17.399999999999999" x14ac:dyDescent="0.45">
      <c r="B122" s="583" t="s">
        <v>55</v>
      </c>
      <c r="C122" s="584"/>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4" t="s">
        <v>408</v>
      </c>
      <c r="Y122" s="14" t="s">
        <v>452</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580" t="s">
        <v>127</v>
      </c>
      <c r="C123" s="581"/>
      <c r="D123" s="48">
        <f>'IS (Adjusted)'!D123-'IS (Base)'!D123</f>
        <v>0</v>
      </c>
      <c r="E123" s="48">
        <f>'IS (Adjusted)'!E123-'IS (Base)'!E123</f>
        <v>0</v>
      </c>
      <c r="F123" s="48">
        <f>'IS (Adjusted)'!F123-'IS (Base)'!F123</f>
        <v>0</v>
      </c>
      <c r="G123" s="48">
        <f>'IS (Adjusted)'!G123-'IS (Base)'!G123</f>
        <v>0</v>
      </c>
      <c r="H123" s="31">
        <f>'IS (Adjusted)'!H123-'IS (Base)'!H123</f>
        <v>0</v>
      </c>
      <c r="I123" s="48">
        <f>'IS (Adjusted)'!I123-'IS (Base)'!I123</f>
        <v>0</v>
      </c>
      <c r="J123" s="48">
        <f>'IS (Adjusted)'!J123-'IS (Base)'!J123</f>
        <v>0</v>
      </c>
      <c r="K123" s="48">
        <f>'IS (Adjusted)'!K123-'IS (Base)'!K123</f>
        <v>0</v>
      </c>
      <c r="L123" s="48">
        <f>'IS (Adjusted)'!L123-'IS (Base)'!L123</f>
        <v>0</v>
      </c>
      <c r="M123" s="31">
        <f>'IS (Adjusted)'!M123-'IS (Base)'!M123</f>
        <v>0</v>
      </c>
      <c r="N123" s="48">
        <f>'IS (Adjusted)'!N123-'IS (Base)'!N123</f>
        <v>0</v>
      </c>
      <c r="O123" s="48">
        <f>'IS (Adjusted)'!O123-'IS (Base)'!O123</f>
        <v>0</v>
      </c>
      <c r="P123" s="48">
        <f>'IS (Adjusted)'!P123-'IS (Base)'!P123</f>
        <v>0</v>
      </c>
      <c r="Q123" s="105">
        <f>'IS (Adjusted)'!Q123-'IS (Base)'!Q123</f>
        <v>0</v>
      </c>
      <c r="R123" s="31">
        <f>'IS (Adjusted)'!R123-'IS (Base)'!R123</f>
        <v>0</v>
      </c>
      <c r="S123" s="48">
        <f>'IS (Adjusted)'!S123-'IS (Base)'!S123</f>
        <v>0</v>
      </c>
      <c r="T123" s="48">
        <f>'IS (Adjusted)'!T123-'IS (Base)'!T123</f>
        <v>0</v>
      </c>
      <c r="U123" s="48">
        <f>'IS (Adjusted)'!U123-'IS (Base)'!U123</f>
        <v>0</v>
      </c>
      <c r="V123" s="48">
        <f>'IS (Adjusted)'!V123-'IS (Base)'!V123</f>
        <v>0</v>
      </c>
      <c r="W123" s="31">
        <f>'IS (Adjusted)'!W123-'IS (Base)'!W123</f>
        <v>0</v>
      </c>
      <c r="X123" s="105">
        <f>'IS (Adjusted)'!X123-'IS (Base)'!X123</f>
        <v>0</v>
      </c>
      <c r="Y123" s="48">
        <f>'IS (Adjusted)'!Y123-'IS (Base)'!Y123</f>
        <v>0</v>
      </c>
      <c r="Z123" s="48">
        <f>'IS (Adjusted)'!Z123-'IS (Base)'!Z123</f>
        <v>0</v>
      </c>
      <c r="AA123" s="48">
        <f>'IS (Adjusted)'!AA123-'IS (Base)'!AA123</f>
        <v>0</v>
      </c>
      <c r="AB123" s="31">
        <f>'IS (Adjusted)'!AB123-'IS (Base)'!AB123</f>
        <v>0</v>
      </c>
      <c r="AC123" s="48">
        <f>'IS (Adjusted)'!AC123-'IS (Base)'!AC123</f>
        <v>0</v>
      </c>
      <c r="AD123" s="48">
        <f>'IS (Adjusted)'!AD123-'IS (Base)'!AD123</f>
        <v>0</v>
      </c>
      <c r="AE123" s="48">
        <f>'IS (Adjusted)'!AE123-'IS (Base)'!AE123</f>
        <v>0</v>
      </c>
      <c r="AF123" s="48">
        <f>'IS (Adjusted)'!AF123-'IS (Base)'!AF123</f>
        <v>0</v>
      </c>
      <c r="AG123" s="31">
        <f>'IS (Adjusted)'!AG123-'IS (Base)'!AG123</f>
        <v>0</v>
      </c>
      <c r="AH123" s="48">
        <f>'IS (Adjusted)'!AH123-'IS (Base)'!AH123</f>
        <v>0</v>
      </c>
      <c r="AI123" s="48">
        <f>'IS (Adjusted)'!AI123-'IS (Base)'!AI123</f>
        <v>0</v>
      </c>
      <c r="AJ123" s="48">
        <f>'IS (Adjusted)'!AJ123-'IS (Base)'!AJ123</f>
        <v>0</v>
      </c>
      <c r="AK123" s="48">
        <f>'IS (Adjusted)'!AK123-'IS (Base)'!AK123</f>
        <v>0</v>
      </c>
      <c r="AL123" s="31">
        <f>'IS (Adjusted)'!AL123-'IS (Base)'!AL123</f>
        <v>0</v>
      </c>
      <c r="AM123" s="48">
        <f>'IS (Adjusted)'!AM123-'IS (Base)'!AM123</f>
        <v>0</v>
      </c>
      <c r="AN123" s="48">
        <f>'IS (Adjusted)'!AN123-'IS (Base)'!AN123</f>
        <v>0</v>
      </c>
      <c r="AO123" s="48">
        <f>'IS (Adjusted)'!AO123-'IS (Base)'!AO123</f>
        <v>0</v>
      </c>
      <c r="AP123" s="48">
        <f>'IS (Adjusted)'!AP123-'IS (Base)'!AP123</f>
        <v>0</v>
      </c>
      <c r="AQ123" s="31">
        <f>'IS (Adjusted)'!AQ123-'IS (Base)'!AQ123</f>
        <v>0</v>
      </c>
      <c r="AR123" s="48">
        <f>'IS (Adjusted)'!AR123-'IS (Base)'!AR123</f>
        <v>0</v>
      </c>
      <c r="AS123" s="48">
        <f>'IS (Adjusted)'!AS123-'IS (Base)'!AS123</f>
        <v>0</v>
      </c>
      <c r="AT123" s="48">
        <f>'IS (Adjusted)'!AT123-'IS (Base)'!AT123</f>
        <v>0</v>
      </c>
      <c r="AU123" s="48">
        <f>'IS (Adjusted)'!AU123-'IS (Base)'!AU123</f>
        <v>0</v>
      </c>
      <c r="AV123" s="31">
        <f>'IS (Adjusted)'!AV123-'IS (Base)'!AV123</f>
        <v>0</v>
      </c>
    </row>
    <row r="124" spans="2:48" s="8" customFormat="1" outlineLevel="1" x14ac:dyDescent="0.3">
      <c r="B124" s="38" t="s">
        <v>128</v>
      </c>
      <c r="C124" s="201"/>
      <c r="D124" s="30">
        <f>'IS (Adjusted)'!D124-'IS (Base)'!D124</f>
        <v>0</v>
      </c>
      <c r="E124" s="30">
        <f>'IS (Adjusted)'!E124-'IS (Base)'!E124</f>
        <v>0</v>
      </c>
      <c r="F124" s="30">
        <f>'IS (Adjusted)'!F124-'IS (Base)'!F124</f>
        <v>0</v>
      </c>
      <c r="G124" s="118">
        <f>'IS (Adjusted)'!G124-'IS (Base)'!G124</f>
        <v>0</v>
      </c>
      <c r="H124" s="130">
        <f>'IS (Adjusted)'!H124-'IS (Base)'!H124</f>
        <v>0</v>
      </c>
      <c r="I124" s="118">
        <f>'IS (Adjusted)'!I124-'IS (Base)'!I124</f>
        <v>0</v>
      </c>
      <c r="J124" s="118">
        <f>'IS (Adjusted)'!J124-'IS (Base)'!J124</f>
        <v>0</v>
      </c>
      <c r="K124" s="118">
        <f>'IS (Adjusted)'!K124-'IS (Base)'!K124</f>
        <v>0</v>
      </c>
      <c r="L124" s="118">
        <f>'IS (Adjusted)'!L124-'IS (Base)'!L124</f>
        <v>0</v>
      </c>
      <c r="M124" s="128">
        <f>'IS (Adjusted)'!M124-'IS (Base)'!M124</f>
        <v>0</v>
      </c>
      <c r="N124" s="118">
        <f>'IS (Adjusted)'!N124-'IS (Base)'!N124</f>
        <v>0</v>
      </c>
      <c r="O124" s="118">
        <f>'IS (Adjusted)'!O124-'IS (Base)'!O124</f>
        <v>0</v>
      </c>
      <c r="P124" s="118">
        <f>'IS (Adjusted)'!P124-'IS (Base)'!P124</f>
        <v>0</v>
      </c>
      <c r="Q124" s="118">
        <f>'IS (Adjusted)'!Q124-'IS (Base)'!Q124</f>
        <v>0</v>
      </c>
      <c r="R124" s="128">
        <f>'IS (Adjusted)'!R124-'IS (Base)'!R124</f>
        <v>0</v>
      </c>
      <c r="S124" s="118">
        <f>'IS (Adjusted)'!S124-'IS (Base)'!S124</f>
        <v>0</v>
      </c>
      <c r="T124" s="118">
        <f>'IS (Adjusted)'!T124-'IS (Base)'!T124</f>
        <v>0</v>
      </c>
      <c r="U124" s="118">
        <f>'IS (Adjusted)'!U124-'IS (Base)'!U124</f>
        <v>0</v>
      </c>
      <c r="V124" s="118">
        <f>'IS (Adjusted)'!V124-'IS (Base)'!V124</f>
        <v>0</v>
      </c>
      <c r="W124" s="128">
        <f>'IS (Adjusted)'!W124-'IS (Base)'!W124</f>
        <v>0</v>
      </c>
      <c r="X124" s="118">
        <f>'IS (Adjusted)'!X124-'IS (Base)'!X124</f>
        <v>0</v>
      </c>
      <c r="Y124" s="34">
        <f>'IS (Adjusted)'!Y124-'IS (Base)'!Y124</f>
        <v>0</v>
      </c>
      <c r="Z124" s="34">
        <f>'IS (Adjusted)'!Z124-'IS (Base)'!Z124</f>
        <v>0</v>
      </c>
      <c r="AA124" s="34">
        <f>'IS (Adjusted)'!AA124-'IS (Base)'!AA124</f>
        <v>0</v>
      </c>
      <c r="AB124" s="128">
        <f>'IS (Adjusted)'!AB124-'IS (Base)'!AB124</f>
        <v>0</v>
      </c>
      <c r="AC124" s="34">
        <f>'IS (Adjusted)'!AC124-'IS (Base)'!AC124</f>
        <v>0</v>
      </c>
      <c r="AD124" s="34">
        <f>'IS (Adjusted)'!AD124-'IS (Base)'!AD124</f>
        <v>0</v>
      </c>
      <c r="AE124" s="34">
        <f>'IS (Adjusted)'!AE124-'IS (Base)'!AE124</f>
        <v>0</v>
      </c>
      <c r="AF124" s="34">
        <f>'IS (Adjusted)'!AF124-'IS (Base)'!AF124</f>
        <v>0</v>
      </c>
      <c r="AG124" s="128">
        <f>'IS (Adjusted)'!AG124-'IS (Base)'!AG124</f>
        <v>0</v>
      </c>
      <c r="AH124" s="34">
        <f>'IS (Adjusted)'!AH124-'IS (Base)'!AH124</f>
        <v>0</v>
      </c>
      <c r="AI124" s="34">
        <f>'IS (Adjusted)'!AI124-'IS (Base)'!AI124</f>
        <v>0</v>
      </c>
      <c r="AJ124" s="34">
        <f>'IS (Adjusted)'!AJ124-'IS (Base)'!AJ124</f>
        <v>0</v>
      </c>
      <c r="AK124" s="34">
        <f>'IS (Adjusted)'!AK124-'IS (Base)'!AK124</f>
        <v>0</v>
      </c>
      <c r="AL124" s="128">
        <f>'IS (Adjusted)'!AL124-'IS (Base)'!AL124</f>
        <v>0</v>
      </c>
      <c r="AM124" s="34">
        <f>'IS (Adjusted)'!AM124-'IS (Base)'!AM124</f>
        <v>0</v>
      </c>
      <c r="AN124" s="34">
        <f>'IS (Adjusted)'!AN124-'IS (Base)'!AN124</f>
        <v>0</v>
      </c>
      <c r="AO124" s="34">
        <f>'IS (Adjusted)'!AO124-'IS (Base)'!AO124</f>
        <v>0</v>
      </c>
      <c r="AP124" s="34">
        <f>'IS (Adjusted)'!AP124-'IS (Base)'!AP124</f>
        <v>0</v>
      </c>
      <c r="AQ124" s="128">
        <f>'IS (Adjusted)'!AQ124-'IS (Base)'!AQ124</f>
        <v>0</v>
      </c>
      <c r="AR124" s="34">
        <f>'IS (Adjusted)'!AR124-'IS (Base)'!AR124</f>
        <v>0</v>
      </c>
      <c r="AS124" s="34">
        <f>'IS (Adjusted)'!AS124-'IS (Base)'!AS124</f>
        <v>0</v>
      </c>
      <c r="AT124" s="34">
        <f>'IS (Adjusted)'!AT124-'IS (Base)'!AT124</f>
        <v>0</v>
      </c>
      <c r="AU124" s="34">
        <f>'IS (Adjusted)'!AU124-'IS (Base)'!AU124</f>
        <v>0</v>
      </c>
      <c r="AV124" s="128">
        <f>'IS (Adjusted)'!AV124-'IS (Base)'!AV124</f>
        <v>0</v>
      </c>
    </row>
    <row r="125" spans="2:48" outlineLevel="1" x14ac:dyDescent="0.3">
      <c r="B125" s="607" t="s">
        <v>100</v>
      </c>
      <c r="C125" s="608"/>
      <c r="D125" s="48">
        <f>'IS (Adjusted)'!D125-'IS (Base)'!D125</f>
        <v>0</v>
      </c>
      <c r="E125" s="48">
        <f>'IS (Adjusted)'!E125-'IS (Base)'!E125</f>
        <v>0</v>
      </c>
      <c r="F125" s="48">
        <f>'IS (Adjusted)'!F125-'IS (Base)'!F125</f>
        <v>0</v>
      </c>
      <c r="G125" s="105">
        <f>'IS (Adjusted)'!G125-'IS (Base)'!G125</f>
        <v>0</v>
      </c>
      <c r="H125" s="170">
        <f>'IS (Adjusted)'!H125-'IS (Base)'!H125</f>
        <v>0</v>
      </c>
      <c r="I125" s="105">
        <f>'IS (Adjusted)'!I125-'IS (Base)'!I125</f>
        <v>0</v>
      </c>
      <c r="J125" s="105">
        <f>'IS (Adjusted)'!J125-'IS (Base)'!J125</f>
        <v>0</v>
      </c>
      <c r="K125" s="105">
        <f>'IS (Adjusted)'!K125-'IS (Base)'!K125</f>
        <v>0</v>
      </c>
      <c r="L125" s="105">
        <f>'IS (Adjusted)'!L125-'IS (Base)'!L125</f>
        <v>0</v>
      </c>
      <c r="M125" s="31">
        <f>'IS (Adjusted)'!M125-'IS (Base)'!M125</f>
        <v>0</v>
      </c>
      <c r="N125" s="105">
        <f>'IS (Adjusted)'!N125-'IS (Base)'!N125</f>
        <v>0</v>
      </c>
      <c r="O125" s="105">
        <f>'IS (Adjusted)'!O125-'IS (Base)'!O125</f>
        <v>0</v>
      </c>
      <c r="P125" s="105">
        <f>'IS (Adjusted)'!P125-'IS (Base)'!P125</f>
        <v>0</v>
      </c>
      <c r="Q125" s="105">
        <f>'IS (Adjusted)'!Q125-'IS (Base)'!Q125</f>
        <v>0</v>
      </c>
      <c r="R125" s="31">
        <f>'IS (Adjusted)'!R125-'IS (Base)'!R125</f>
        <v>0</v>
      </c>
      <c r="S125" s="105">
        <f>'IS (Adjusted)'!S125-'IS (Base)'!S125</f>
        <v>0</v>
      </c>
      <c r="T125" s="105">
        <f>'IS (Adjusted)'!T125-'IS (Base)'!T125</f>
        <v>0</v>
      </c>
      <c r="U125" s="105">
        <f>'IS (Adjusted)'!U125-'IS (Base)'!U125</f>
        <v>0</v>
      </c>
      <c r="V125" s="105">
        <f>'IS (Adjusted)'!V125-'IS (Base)'!V125</f>
        <v>0</v>
      </c>
      <c r="W125" s="31">
        <f>'IS (Adjusted)'!W125-'IS (Base)'!W125</f>
        <v>0</v>
      </c>
      <c r="X125" s="105">
        <f>'IS (Adjusted)'!X125-'IS (Base)'!X125</f>
        <v>0</v>
      </c>
      <c r="Y125" s="105">
        <f>'IS (Adjusted)'!Y125-'IS (Base)'!Y125</f>
        <v>0</v>
      </c>
      <c r="Z125" s="105">
        <f>'IS (Adjusted)'!Z125-'IS (Base)'!Z125</f>
        <v>0</v>
      </c>
      <c r="AA125" s="105">
        <f>'IS (Adjusted)'!AA125-'IS (Base)'!AA125</f>
        <v>0</v>
      </c>
      <c r="AB125" s="126">
        <f>'IS (Adjusted)'!AB125-'IS (Base)'!AB125</f>
        <v>0</v>
      </c>
      <c r="AC125" s="105">
        <f>'IS (Adjusted)'!AC125-'IS (Base)'!AC125</f>
        <v>0</v>
      </c>
      <c r="AD125" s="105">
        <f>'IS (Adjusted)'!AD125-'IS (Base)'!AD125</f>
        <v>0</v>
      </c>
      <c r="AE125" s="105">
        <f>'IS (Adjusted)'!AE125-'IS (Base)'!AE125</f>
        <v>0</v>
      </c>
      <c r="AF125" s="105">
        <f>'IS (Adjusted)'!AF125-'IS (Base)'!AF125</f>
        <v>0</v>
      </c>
      <c r="AG125" s="31">
        <f>'IS (Adjusted)'!AG125-'IS (Base)'!AG125</f>
        <v>0</v>
      </c>
      <c r="AH125" s="105">
        <f>'IS (Adjusted)'!AH125-'IS (Base)'!AH125</f>
        <v>0</v>
      </c>
      <c r="AI125" s="105">
        <f>'IS (Adjusted)'!AI125-'IS (Base)'!AI125</f>
        <v>0</v>
      </c>
      <c r="AJ125" s="105">
        <f>'IS (Adjusted)'!AJ125-'IS (Base)'!AJ125</f>
        <v>0</v>
      </c>
      <c r="AK125" s="105">
        <f>'IS (Adjusted)'!AK125-'IS (Base)'!AK125</f>
        <v>0</v>
      </c>
      <c r="AL125" s="31">
        <f>'IS (Adjusted)'!AL125-'IS (Base)'!AL125</f>
        <v>0</v>
      </c>
      <c r="AM125" s="105">
        <f>'IS (Adjusted)'!AM125-'IS (Base)'!AM125</f>
        <v>0</v>
      </c>
      <c r="AN125" s="105">
        <f>'IS (Adjusted)'!AN125-'IS (Base)'!AN125</f>
        <v>0</v>
      </c>
      <c r="AO125" s="105">
        <f>'IS (Adjusted)'!AO125-'IS (Base)'!AO125</f>
        <v>0</v>
      </c>
      <c r="AP125" s="105">
        <f>'IS (Adjusted)'!AP125-'IS (Base)'!AP125</f>
        <v>0</v>
      </c>
      <c r="AQ125" s="31">
        <f>'IS (Adjusted)'!AQ125-'IS (Base)'!AQ125</f>
        <v>0</v>
      </c>
      <c r="AR125" s="105">
        <f>'IS (Adjusted)'!AR125-'IS (Base)'!AR125</f>
        <v>0</v>
      </c>
      <c r="AS125" s="105">
        <f>'IS (Adjusted)'!AS125-'IS (Base)'!AS125</f>
        <v>0</v>
      </c>
      <c r="AT125" s="105">
        <f>'IS (Adjusted)'!AT125-'IS (Base)'!AT125</f>
        <v>0</v>
      </c>
      <c r="AU125" s="105">
        <f>'IS (Adjusted)'!AU125-'IS (Base)'!AU125</f>
        <v>0</v>
      </c>
      <c r="AV125" s="31">
        <f>'IS (Adjusted)'!AV125-'IS (Base)'!AV125</f>
        <v>0</v>
      </c>
    </row>
    <row r="126" spans="2:48" outlineLevel="1" x14ac:dyDescent="0.3">
      <c r="B126" s="180" t="s">
        <v>33</v>
      </c>
      <c r="C126" s="18"/>
      <c r="D126" s="48">
        <f>'IS (Adjusted)'!D126-'IS (Base)'!D126</f>
        <v>0</v>
      </c>
      <c r="E126" s="48">
        <f>'IS (Adjusted)'!E126-'IS (Base)'!E126</f>
        <v>0</v>
      </c>
      <c r="F126" s="48">
        <f>'IS (Adjusted)'!F126-'IS (Base)'!F126</f>
        <v>0</v>
      </c>
      <c r="G126" s="105">
        <f>'IS (Adjusted)'!G126-'IS (Base)'!G126</f>
        <v>0</v>
      </c>
      <c r="H126" s="170">
        <f>'IS (Adjusted)'!H126-'IS (Base)'!H126</f>
        <v>0</v>
      </c>
      <c r="I126" s="105">
        <f>'IS (Adjusted)'!I126-'IS (Base)'!I126</f>
        <v>0</v>
      </c>
      <c r="J126" s="105">
        <f>'IS (Adjusted)'!J126-'IS (Base)'!J126</f>
        <v>0</v>
      </c>
      <c r="K126" s="105">
        <f>'IS (Adjusted)'!K126-'IS (Base)'!K126</f>
        <v>0</v>
      </c>
      <c r="L126" s="105">
        <f>'IS (Adjusted)'!L126-'IS (Base)'!L126</f>
        <v>0</v>
      </c>
      <c r="M126" s="31">
        <f>'IS (Adjusted)'!M126-'IS (Base)'!M126</f>
        <v>0</v>
      </c>
      <c r="N126" s="105">
        <f>'IS (Adjusted)'!N126-'IS (Base)'!N126</f>
        <v>0</v>
      </c>
      <c r="O126" s="105">
        <f>'IS (Adjusted)'!O126-'IS (Base)'!O126</f>
        <v>0</v>
      </c>
      <c r="P126" s="105">
        <f>'IS (Adjusted)'!P126-'IS (Base)'!P126</f>
        <v>0</v>
      </c>
      <c r="Q126" s="105">
        <f>'IS (Adjusted)'!Q126-'IS (Base)'!Q126</f>
        <v>0</v>
      </c>
      <c r="R126" s="31">
        <f>'IS (Adjusted)'!R126-'IS (Base)'!R126</f>
        <v>0</v>
      </c>
      <c r="S126" s="105">
        <f>'IS (Adjusted)'!S126-'IS (Base)'!S126</f>
        <v>0</v>
      </c>
      <c r="T126" s="105">
        <f>'IS (Adjusted)'!T126-'IS (Base)'!T126</f>
        <v>0</v>
      </c>
      <c r="U126" s="105">
        <f>'IS (Adjusted)'!U126-'IS (Base)'!U126</f>
        <v>0</v>
      </c>
      <c r="V126" s="105">
        <f>'IS (Adjusted)'!V126-'IS (Base)'!V126</f>
        <v>0</v>
      </c>
      <c r="W126" s="31">
        <f>'IS (Adjusted)'!W126-'IS (Base)'!W126</f>
        <v>0</v>
      </c>
      <c r="X126" s="105">
        <f>'IS (Adjusted)'!X126-'IS (Base)'!X126</f>
        <v>0</v>
      </c>
      <c r="Y126" s="105">
        <f>'IS (Adjusted)'!Y126-'IS (Base)'!Y126</f>
        <v>0</v>
      </c>
      <c r="Z126" s="105">
        <f>'IS (Adjusted)'!Z126-'IS (Base)'!Z126</f>
        <v>0</v>
      </c>
      <c r="AA126" s="105">
        <f>'IS (Adjusted)'!AA126-'IS (Base)'!AA126</f>
        <v>0</v>
      </c>
      <c r="AB126" s="31">
        <f>'IS (Adjusted)'!AB126-'IS (Base)'!AB126</f>
        <v>0</v>
      </c>
      <c r="AC126" s="105">
        <f>'IS (Adjusted)'!AC126-'IS (Base)'!AC126</f>
        <v>0</v>
      </c>
      <c r="AD126" s="105">
        <f>'IS (Adjusted)'!AD126-'IS (Base)'!AD126</f>
        <v>0</v>
      </c>
      <c r="AE126" s="105">
        <f>'IS (Adjusted)'!AE126-'IS (Base)'!AE126</f>
        <v>0</v>
      </c>
      <c r="AF126" s="105">
        <f>'IS (Adjusted)'!AF126-'IS (Base)'!AF126</f>
        <v>0</v>
      </c>
      <c r="AG126" s="31">
        <f>'IS (Adjusted)'!AG126-'IS (Base)'!AG126</f>
        <v>0</v>
      </c>
      <c r="AH126" s="105">
        <f>'IS (Adjusted)'!AH126-'IS (Base)'!AH126</f>
        <v>0</v>
      </c>
      <c r="AI126" s="105">
        <f>'IS (Adjusted)'!AI126-'IS (Base)'!AI126</f>
        <v>0</v>
      </c>
      <c r="AJ126" s="105">
        <f>'IS (Adjusted)'!AJ126-'IS (Base)'!AJ126</f>
        <v>0</v>
      </c>
      <c r="AK126" s="105">
        <f>'IS (Adjusted)'!AK126-'IS (Base)'!AK126</f>
        <v>0</v>
      </c>
      <c r="AL126" s="31">
        <f>'IS (Adjusted)'!AL126-'IS (Base)'!AL126</f>
        <v>0</v>
      </c>
      <c r="AM126" s="105">
        <f>'IS (Adjusted)'!AM126-'IS (Base)'!AM126</f>
        <v>0</v>
      </c>
      <c r="AN126" s="105">
        <f>'IS (Adjusted)'!AN126-'IS (Base)'!AN126</f>
        <v>0</v>
      </c>
      <c r="AO126" s="105">
        <f>'IS (Adjusted)'!AO126-'IS (Base)'!AO126</f>
        <v>0</v>
      </c>
      <c r="AP126" s="105">
        <f>'IS (Adjusted)'!AP126-'IS (Base)'!AP126</f>
        <v>0</v>
      </c>
      <c r="AQ126" s="31">
        <f>'IS (Adjusted)'!AQ126-'IS (Base)'!AQ126</f>
        <v>0</v>
      </c>
      <c r="AR126" s="105">
        <f>'IS (Adjusted)'!AR126-'IS (Base)'!AR126</f>
        <v>0</v>
      </c>
      <c r="AS126" s="105">
        <f>'IS (Adjusted)'!AS126-'IS (Base)'!AS126</f>
        <v>0</v>
      </c>
      <c r="AT126" s="105">
        <f>'IS (Adjusted)'!AT126-'IS (Base)'!AT126</f>
        <v>0</v>
      </c>
      <c r="AU126" s="105">
        <f>'IS (Adjusted)'!AU126-'IS (Base)'!AU126</f>
        <v>0</v>
      </c>
      <c r="AV126" s="31">
        <f>'IS (Adjusted)'!AV126-'IS (Base)'!AV126</f>
        <v>0</v>
      </c>
    </row>
    <row r="127" spans="2:48" outlineLevel="1" x14ac:dyDescent="0.3">
      <c r="B127" s="180" t="s">
        <v>34</v>
      </c>
      <c r="C127" s="18"/>
      <c r="D127" s="358">
        <f>'IS (Adjusted)'!D127-'IS (Base)'!D127</f>
        <v>0</v>
      </c>
      <c r="E127" s="358">
        <f>'IS (Adjusted)'!E127-'IS (Base)'!E127</f>
        <v>0</v>
      </c>
      <c r="F127" s="358">
        <f>'IS (Adjusted)'!F127-'IS (Base)'!F127</f>
        <v>0</v>
      </c>
      <c r="G127" s="358">
        <f>'IS (Adjusted)'!G127-'IS (Base)'!G127</f>
        <v>0</v>
      </c>
      <c r="H127" s="130">
        <f>'IS (Adjusted)'!H127-'IS (Base)'!H127</f>
        <v>0</v>
      </c>
      <c r="I127" s="358">
        <f>'IS (Adjusted)'!I127-'IS (Base)'!I127</f>
        <v>0</v>
      </c>
      <c r="J127" s="358">
        <f>'IS (Adjusted)'!J127-'IS (Base)'!J127</f>
        <v>0</v>
      </c>
      <c r="K127" s="358">
        <f>'IS (Adjusted)'!K127-'IS (Base)'!K127</f>
        <v>0</v>
      </c>
      <c r="L127" s="358">
        <f>'IS (Adjusted)'!L127-'IS (Base)'!L127</f>
        <v>0</v>
      </c>
      <c r="M127" s="126">
        <f>'IS (Adjusted)'!M127-'IS (Base)'!M127</f>
        <v>0</v>
      </c>
      <c r="N127" s="358">
        <f>'IS (Adjusted)'!N127-'IS (Base)'!N127</f>
        <v>0</v>
      </c>
      <c r="O127" s="358">
        <f>'IS (Adjusted)'!O127-'IS (Base)'!O127</f>
        <v>0</v>
      </c>
      <c r="P127" s="358">
        <f>'IS (Adjusted)'!P127-'IS (Base)'!P127</f>
        <v>0</v>
      </c>
      <c r="Q127" s="358">
        <f>'IS (Adjusted)'!Q127-'IS (Base)'!Q127</f>
        <v>0</v>
      </c>
      <c r="R127" s="126">
        <f>'IS (Adjusted)'!R127-'IS (Base)'!R127</f>
        <v>0</v>
      </c>
      <c r="S127" s="358">
        <f>'IS (Adjusted)'!S127-'IS (Base)'!S127</f>
        <v>0</v>
      </c>
      <c r="T127" s="358">
        <f>'IS (Adjusted)'!T127-'IS (Base)'!T127</f>
        <v>0</v>
      </c>
      <c r="U127" s="358">
        <f>'IS (Adjusted)'!U127-'IS (Base)'!U127</f>
        <v>0</v>
      </c>
      <c r="V127" s="358">
        <f>'IS (Adjusted)'!V127-'IS (Base)'!V127</f>
        <v>0</v>
      </c>
      <c r="W127" s="126">
        <f>'IS (Adjusted)'!W127-'IS (Base)'!W127</f>
        <v>0</v>
      </c>
      <c r="X127" s="358">
        <f>'IS (Adjusted)'!X127-'IS (Base)'!X127</f>
        <v>0</v>
      </c>
      <c r="Y127" s="358">
        <f>'IS (Adjusted)'!Y127-'IS (Base)'!Y127</f>
        <v>0</v>
      </c>
      <c r="Z127" s="358">
        <f>'IS (Adjusted)'!Z127-'IS (Base)'!Z127</f>
        <v>0</v>
      </c>
      <c r="AA127" s="358">
        <f>'IS (Adjusted)'!AA127-'IS (Base)'!AA127</f>
        <v>0</v>
      </c>
      <c r="AB127" s="126">
        <f>'IS (Adjusted)'!AB127-'IS (Base)'!AB127</f>
        <v>0</v>
      </c>
      <c r="AC127" s="358">
        <f>'IS (Adjusted)'!AC127-'IS (Base)'!AC127</f>
        <v>0</v>
      </c>
      <c r="AD127" s="358">
        <f>'IS (Adjusted)'!AD127-'IS (Base)'!AD127</f>
        <v>0</v>
      </c>
      <c r="AE127" s="358">
        <f>'IS (Adjusted)'!AE127-'IS (Base)'!AE127</f>
        <v>0</v>
      </c>
      <c r="AF127" s="358">
        <f>'IS (Adjusted)'!AF127-'IS (Base)'!AF127</f>
        <v>0</v>
      </c>
      <c r="AG127" s="126">
        <f>'IS (Adjusted)'!AG127-'IS (Base)'!AG127</f>
        <v>0</v>
      </c>
      <c r="AH127" s="358">
        <f>'IS (Adjusted)'!AH127-'IS (Base)'!AH127</f>
        <v>0</v>
      </c>
      <c r="AI127" s="358">
        <f>'IS (Adjusted)'!AI127-'IS (Base)'!AI127</f>
        <v>0</v>
      </c>
      <c r="AJ127" s="358">
        <f>'IS (Adjusted)'!AJ127-'IS (Base)'!AJ127</f>
        <v>0</v>
      </c>
      <c r="AK127" s="358">
        <f>'IS (Adjusted)'!AK127-'IS (Base)'!AK127</f>
        <v>0</v>
      </c>
      <c r="AL127" s="126">
        <f>'IS (Adjusted)'!AL127-'IS (Base)'!AL127</f>
        <v>0</v>
      </c>
      <c r="AM127" s="358">
        <f>'IS (Adjusted)'!AM127-'IS (Base)'!AM127</f>
        <v>0</v>
      </c>
      <c r="AN127" s="358">
        <f>'IS (Adjusted)'!AN127-'IS (Base)'!AN127</f>
        <v>0</v>
      </c>
      <c r="AO127" s="358">
        <f>'IS (Adjusted)'!AO127-'IS (Base)'!AO127</f>
        <v>0</v>
      </c>
      <c r="AP127" s="358">
        <f>'IS (Adjusted)'!AP127-'IS (Base)'!AP127</f>
        <v>0</v>
      </c>
      <c r="AQ127" s="126">
        <f>'IS (Adjusted)'!AQ127-'IS (Base)'!AQ127</f>
        <v>0</v>
      </c>
      <c r="AR127" s="358">
        <f>'IS (Adjusted)'!AR127-'IS (Base)'!AR127</f>
        <v>0</v>
      </c>
      <c r="AS127" s="358">
        <f>'IS (Adjusted)'!AS127-'IS (Base)'!AS127</f>
        <v>0</v>
      </c>
      <c r="AT127" s="358">
        <f>'IS (Adjusted)'!AT127-'IS (Base)'!AT127</f>
        <v>0</v>
      </c>
      <c r="AU127" s="358">
        <f>'IS (Adjusted)'!AU127-'IS (Base)'!AU127</f>
        <v>0</v>
      </c>
      <c r="AV127" s="126">
        <f>'IS (Adjusted)'!AV127-'IS (Base)'!AV127</f>
        <v>0</v>
      </c>
    </row>
    <row r="128" spans="2:48" outlineLevel="1" x14ac:dyDescent="0.3">
      <c r="B128" s="180" t="s">
        <v>35</v>
      </c>
      <c r="C128" s="18"/>
      <c r="D128" s="48">
        <f>'IS (Adjusted)'!D128-'IS (Base)'!D128</f>
        <v>0</v>
      </c>
      <c r="E128" s="48">
        <f>'IS (Adjusted)'!E128-'IS (Base)'!E128</f>
        <v>0</v>
      </c>
      <c r="F128" s="48">
        <f>'IS (Adjusted)'!F128-'IS (Base)'!F128</f>
        <v>0</v>
      </c>
      <c r="G128" s="105">
        <f>'IS (Adjusted)'!G128-'IS (Base)'!G128</f>
        <v>0</v>
      </c>
      <c r="H128" s="170">
        <f>'IS (Adjusted)'!H128-'IS (Base)'!H128</f>
        <v>0</v>
      </c>
      <c r="I128" s="105">
        <f>'IS (Adjusted)'!I128-'IS (Base)'!I128</f>
        <v>0</v>
      </c>
      <c r="J128" s="105">
        <f>'IS (Adjusted)'!J128-'IS (Base)'!J128</f>
        <v>0</v>
      </c>
      <c r="K128" s="105">
        <f>'IS (Adjusted)'!K128-'IS (Base)'!K128</f>
        <v>0</v>
      </c>
      <c r="L128" s="105">
        <f>'IS (Adjusted)'!L128-'IS (Base)'!L128</f>
        <v>0</v>
      </c>
      <c r="M128" s="31">
        <f>'IS (Adjusted)'!M128-'IS (Base)'!M128</f>
        <v>0</v>
      </c>
      <c r="N128" s="105">
        <f>'IS (Adjusted)'!N128-'IS (Base)'!N128</f>
        <v>0</v>
      </c>
      <c r="O128" s="105">
        <f>'IS (Adjusted)'!O128-'IS (Base)'!O128</f>
        <v>0</v>
      </c>
      <c r="P128" s="105">
        <f>'IS (Adjusted)'!P128-'IS (Base)'!P128</f>
        <v>0</v>
      </c>
      <c r="Q128" s="105">
        <f>'IS (Adjusted)'!Q128-'IS (Base)'!Q128</f>
        <v>0</v>
      </c>
      <c r="R128" s="31">
        <f>'IS (Adjusted)'!R128-'IS (Base)'!R128</f>
        <v>0</v>
      </c>
      <c r="S128" s="105">
        <f>'IS (Adjusted)'!S128-'IS (Base)'!S128</f>
        <v>0</v>
      </c>
      <c r="T128" s="105">
        <f>'IS (Adjusted)'!T128-'IS (Base)'!T128</f>
        <v>0</v>
      </c>
      <c r="U128" s="105">
        <f>'IS (Adjusted)'!U128-'IS (Base)'!U128</f>
        <v>0</v>
      </c>
      <c r="V128" s="105">
        <f>'IS (Adjusted)'!V128-'IS (Base)'!V128</f>
        <v>0</v>
      </c>
      <c r="W128" s="31">
        <f>'IS (Adjusted)'!W128-'IS (Base)'!W128</f>
        <v>0</v>
      </c>
      <c r="X128" s="105">
        <f>'IS (Adjusted)'!X128-'IS (Base)'!X128</f>
        <v>0</v>
      </c>
      <c r="Y128" s="105">
        <f>'IS (Adjusted)'!Y128-'IS (Base)'!Y128</f>
        <v>0</v>
      </c>
      <c r="Z128" s="105">
        <f>'IS (Adjusted)'!Z128-'IS (Base)'!Z128</f>
        <v>0</v>
      </c>
      <c r="AA128" s="105">
        <f>'IS (Adjusted)'!AA128-'IS (Base)'!AA128</f>
        <v>0</v>
      </c>
      <c r="AB128" s="31">
        <f>'IS (Adjusted)'!AB128-'IS (Base)'!AB128</f>
        <v>0</v>
      </c>
      <c r="AC128" s="105">
        <f>'IS (Adjusted)'!AC128-'IS (Base)'!AC128</f>
        <v>0</v>
      </c>
      <c r="AD128" s="105">
        <f>'IS (Adjusted)'!AD128-'IS (Base)'!AD128</f>
        <v>0</v>
      </c>
      <c r="AE128" s="105">
        <f>'IS (Adjusted)'!AE128-'IS (Base)'!AE128</f>
        <v>0</v>
      </c>
      <c r="AF128" s="105">
        <f>'IS (Adjusted)'!AF128-'IS (Base)'!AF128</f>
        <v>0</v>
      </c>
      <c r="AG128" s="31">
        <f>'IS (Adjusted)'!AG128-'IS (Base)'!AG128</f>
        <v>0</v>
      </c>
      <c r="AH128" s="105">
        <f>'IS (Adjusted)'!AH128-'IS (Base)'!AH128</f>
        <v>0</v>
      </c>
      <c r="AI128" s="105">
        <f>'IS (Adjusted)'!AI128-'IS (Base)'!AI128</f>
        <v>0</v>
      </c>
      <c r="AJ128" s="105">
        <f>'IS (Adjusted)'!AJ128-'IS (Base)'!AJ128</f>
        <v>0</v>
      </c>
      <c r="AK128" s="105">
        <f>'IS (Adjusted)'!AK128-'IS (Base)'!AK128</f>
        <v>0</v>
      </c>
      <c r="AL128" s="31">
        <f>'IS (Adjusted)'!AL128-'IS (Base)'!AL128</f>
        <v>0</v>
      </c>
      <c r="AM128" s="105">
        <f>'IS (Adjusted)'!AM128-'IS (Base)'!AM128</f>
        <v>0</v>
      </c>
      <c r="AN128" s="105">
        <f>'IS (Adjusted)'!AN128-'IS (Base)'!AN128</f>
        <v>0</v>
      </c>
      <c r="AO128" s="105">
        <f>'IS (Adjusted)'!AO128-'IS (Base)'!AO128</f>
        <v>0</v>
      </c>
      <c r="AP128" s="105">
        <f>'IS (Adjusted)'!AP128-'IS (Base)'!AP128</f>
        <v>0</v>
      </c>
      <c r="AQ128" s="31">
        <f>'IS (Adjusted)'!AQ128-'IS (Base)'!AQ128</f>
        <v>0</v>
      </c>
      <c r="AR128" s="105">
        <f>'IS (Adjusted)'!AR128-'IS (Base)'!AR128</f>
        <v>0</v>
      </c>
      <c r="AS128" s="105">
        <f>'IS (Adjusted)'!AS128-'IS (Base)'!AS128</f>
        <v>0</v>
      </c>
      <c r="AT128" s="105">
        <f>'IS (Adjusted)'!AT128-'IS (Base)'!AT128</f>
        <v>0</v>
      </c>
      <c r="AU128" s="105">
        <f>'IS (Adjusted)'!AU128-'IS (Base)'!AU128</f>
        <v>0</v>
      </c>
      <c r="AV128" s="31">
        <f>'IS (Adjusted)'!AV128-'IS (Base)'!AV128</f>
        <v>0</v>
      </c>
    </row>
    <row r="129" spans="2:48" ht="16.2" outlineLevel="1" x14ac:dyDescent="0.45">
      <c r="B129" s="180" t="s">
        <v>42</v>
      </c>
      <c r="C129" s="18"/>
      <c r="D129" s="119">
        <f>'IS (Adjusted)'!D129-'IS (Base)'!D129</f>
        <v>0</v>
      </c>
      <c r="E129" s="119">
        <f>'IS (Adjusted)'!E129-'IS (Base)'!E129</f>
        <v>0</v>
      </c>
      <c r="F129" s="119">
        <f>'IS (Adjusted)'!F129-'IS (Base)'!F129</f>
        <v>0</v>
      </c>
      <c r="G129" s="119">
        <f>'IS (Adjusted)'!G129-'IS (Base)'!G129</f>
        <v>0</v>
      </c>
      <c r="H129" s="131">
        <f>'IS (Adjusted)'!H129-'IS (Base)'!H129</f>
        <v>0</v>
      </c>
      <c r="I129" s="119">
        <f>'IS (Adjusted)'!I129-'IS (Base)'!I129</f>
        <v>0</v>
      </c>
      <c r="J129" s="119">
        <f>'IS (Adjusted)'!J129-'IS (Base)'!J129</f>
        <v>0</v>
      </c>
      <c r="K129" s="119">
        <f>'IS (Adjusted)'!K129-'IS (Base)'!K129</f>
        <v>0</v>
      </c>
      <c r="L129" s="119">
        <f>'IS (Adjusted)'!L129-'IS (Base)'!L129</f>
        <v>0</v>
      </c>
      <c r="M129" s="193">
        <f>'IS (Adjusted)'!M129-'IS (Base)'!M129</f>
        <v>0</v>
      </c>
      <c r="N129" s="119">
        <f>'IS (Adjusted)'!N129-'IS (Base)'!N129</f>
        <v>0</v>
      </c>
      <c r="O129" s="119">
        <f>'IS (Adjusted)'!O129-'IS (Base)'!O129</f>
        <v>0</v>
      </c>
      <c r="P129" s="119">
        <f>'IS (Adjusted)'!P129-'IS (Base)'!P129</f>
        <v>0</v>
      </c>
      <c r="Q129" s="119">
        <f>'IS (Adjusted)'!Q129-'IS (Base)'!Q129</f>
        <v>0</v>
      </c>
      <c r="R129" s="193">
        <f>'IS (Adjusted)'!R129-'IS (Base)'!R129</f>
        <v>0</v>
      </c>
      <c r="S129" s="119">
        <f>'IS (Adjusted)'!S129-'IS (Base)'!S129</f>
        <v>0</v>
      </c>
      <c r="T129" s="119">
        <f>'IS (Adjusted)'!T129-'IS (Base)'!T129</f>
        <v>0</v>
      </c>
      <c r="U129" s="119">
        <f>'IS (Adjusted)'!U129-'IS (Base)'!U129</f>
        <v>0</v>
      </c>
      <c r="V129" s="119">
        <f>'IS (Adjusted)'!V129-'IS (Base)'!V129</f>
        <v>0</v>
      </c>
      <c r="W129" s="193">
        <f>'IS (Adjusted)'!W129-'IS (Base)'!W129</f>
        <v>0</v>
      </c>
      <c r="X129" s="119">
        <f>'IS (Adjusted)'!X129-'IS (Base)'!X129</f>
        <v>0</v>
      </c>
      <c r="Y129" s="119">
        <f>'IS (Adjusted)'!Y129-'IS (Base)'!Y129</f>
        <v>0</v>
      </c>
      <c r="Z129" s="119">
        <f>'IS (Adjusted)'!Z129-'IS (Base)'!Z129</f>
        <v>0</v>
      </c>
      <c r="AA129" s="119">
        <f>'IS (Adjusted)'!AA129-'IS (Base)'!AA129</f>
        <v>0</v>
      </c>
      <c r="AB129" s="193">
        <f>'IS (Adjusted)'!AB129-'IS (Base)'!AB129</f>
        <v>0</v>
      </c>
      <c r="AC129" s="119">
        <f>'IS (Adjusted)'!AC129-'IS (Base)'!AC129</f>
        <v>0</v>
      </c>
      <c r="AD129" s="119">
        <f>'IS (Adjusted)'!AD129-'IS (Base)'!AD129</f>
        <v>0</v>
      </c>
      <c r="AE129" s="119">
        <f>'IS (Adjusted)'!AE129-'IS (Base)'!AE129</f>
        <v>0</v>
      </c>
      <c r="AF129" s="119">
        <f>'IS (Adjusted)'!AF129-'IS (Base)'!AF129</f>
        <v>0</v>
      </c>
      <c r="AG129" s="193">
        <f>'IS (Adjusted)'!AG129-'IS (Base)'!AG129</f>
        <v>0</v>
      </c>
      <c r="AH129" s="119">
        <f>'IS (Adjusted)'!AH129-'IS (Base)'!AH129</f>
        <v>0</v>
      </c>
      <c r="AI129" s="119">
        <f>'IS (Adjusted)'!AI129-'IS (Base)'!AI129</f>
        <v>0</v>
      </c>
      <c r="AJ129" s="119">
        <f>'IS (Adjusted)'!AJ129-'IS (Base)'!AJ129</f>
        <v>0</v>
      </c>
      <c r="AK129" s="119">
        <f>'IS (Adjusted)'!AK129-'IS (Base)'!AK129</f>
        <v>0</v>
      </c>
      <c r="AL129" s="193">
        <f>'IS (Adjusted)'!AL129-'IS (Base)'!AL129</f>
        <v>0</v>
      </c>
      <c r="AM129" s="119">
        <f>'IS (Adjusted)'!AM129-'IS (Base)'!AM129</f>
        <v>0</v>
      </c>
      <c r="AN129" s="119">
        <f>'IS (Adjusted)'!AN129-'IS (Base)'!AN129</f>
        <v>0</v>
      </c>
      <c r="AO129" s="119">
        <f>'IS (Adjusted)'!AO129-'IS (Base)'!AO129</f>
        <v>0</v>
      </c>
      <c r="AP129" s="119">
        <f>'IS (Adjusted)'!AP129-'IS (Base)'!AP129</f>
        <v>0</v>
      </c>
      <c r="AQ129" s="193">
        <f>'IS (Adjusted)'!AQ129-'IS (Base)'!AQ129</f>
        <v>0</v>
      </c>
      <c r="AR129" s="119">
        <f>'IS (Adjusted)'!AR129-'IS (Base)'!AR129</f>
        <v>0</v>
      </c>
      <c r="AS129" s="119">
        <f>'IS (Adjusted)'!AS129-'IS (Base)'!AS129</f>
        <v>0</v>
      </c>
      <c r="AT129" s="119">
        <f>'IS (Adjusted)'!AT129-'IS (Base)'!AT129</f>
        <v>0</v>
      </c>
      <c r="AU129" s="119">
        <f>'IS (Adjusted)'!AU129-'IS (Base)'!AU129</f>
        <v>0</v>
      </c>
      <c r="AV129" s="193">
        <f>'IS (Adjusted)'!AV129-'IS (Base)'!AV129</f>
        <v>0</v>
      </c>
    </row>
    <row r="130" spans="2:48" outlineLevel="1" x14ac:dyDescent="0.3">
      <c r="B130" s="46" t="s">
        <v>56</v>
      </c>
      <c r="C130" s="19"/>
      <c r="D130" s="103">
        <f>'IS (Adjusted)'!D130-'IS (Base)'!D130</f>
        <v>0</v>
      </c>
      <c r="E130" s="103">
        <f>'IS (Adjusted)'!E130-'IS (Base)'!E130</f>
        <v>0</v>
      </c>
      <c r="F130" s="103">
        <f>'IS (Adjusted)'!F130-'IS (Base)'!F130</f>
        <v>0</v>
      </c>
      <c r="G130" s="103">
        <f>'IS (Adjusted)'!G130-'IS (Base)'!G130</f>
        <v>0</v>
      </c>
      <c r="H130" s="130">
        <f>'IS (Adjusted)'!H130-'IS (Base)'!H130</f>
        <v>0</v>
      </c>
      <c r="I130" s="103">
        <f>'IS (Adjusted)'!I130-'IS (Base)'!I130</f>
        <v>0</v>
      </c>
      <c r="J130" s="103">
        <f>'IS (Adjusted)'!J130-'IS (Base)'!J130</f>
        <v>0</v>
      </c>
      <c r="K130" s="103">
        <f>'IS (Adjusted)'!K130-'IS (Base)'!K130</f>
        <v>0</v>
      </c>
      <c r="L130" s="50">
        <f>'IS (Adjusted)'!L130-'IS (Base)'!L130</f>
        <v>0</v>
      </c>
      <c r="M130" s="51">
        <f>'IS (Adjusted)'!M130-'IS (Base)'!M130</f>
        <v>0</v>
      </c>
      <c r="N130" s="50">
        <f>'IS (Adjusted)'!N130-'IS (Base)'!N130</f>
        <v>0</v>
      </c>
      <c r="O130" s="50">
        <f>'IS (Adjusted)'!O130-'IS (Base)'!O130</f>
        <v>0</v>
      </c>
      <c r="P130" s="50">
        <f>'IS (Adjusted)'!P130-'IS (Base)'!P130</f>
        <v>0</v>
      </c>
      <c r="Q130" s="50">
        <f>'IS (Adjusted)'!Q130-'IS (Base)'!Q130</f>
        <v>0</v>
      </c>
      <c r="R130" s="51">
        <f>'IS (Adjusted)'!R130-'IS (Base)'!R130</f>
        <v>0</v>
      </c>
      <c r="S130" s="50">
        <f>'IS (Adjusted)'!S130-'IS (Base)'!S130</f>
        <v>0</v>
      </c>
      <c r="T130" s="50">
        <f>'IS (Adjusted)'!T130-'IS (Base)'!T130</f>
        <v>0</v>
      </c>
      <c r="U130" s="50">
        <f>'IS (Adjusted)'!U130-'IS (Base)'!U130</f>
        <v>0</v>
      </c>
      <c r="V130" s="50">
        <f>'IS (Adjusted)'!V130-'IS (Base)'!V130</f>
        <v>0</v>
      </c>
      <c r="W130" s="51">
        <f>'IS (Adjusted)'!W130-'IS (Base)'!W130</f>
        <v>0</v>
      </c>
      <c r="X130" s="103">
        <f>'IS (Adjusted)'!X130-'IS (Base)'!X130</f>
        <v>0</v>
      </c>
      <c r="Y130" s="50">
        <f>'IS (Adjusted)'!Y130-'IS (Base)'!Y130</f>
        <v>0</v>
      </c>
      <c r="Z130" s="50">
        <f>'IS (Adjusted)'!Z130-'IS (Base)'!Z130</f>
        <v>0</v>
      </c>
      <c r="AA130" s="50">
        <f>'IS (Adjusted)'!AA130-'IS (Base)'!AA130</f>
        <v>0</v>
      </c>
      <c r="AB130" s="51">
        <f>'IS (Adjusted)'!AB130-'IS (Base)'!AB130</f>
        <v>0</v>
      </c>
      <c r="AC130" s="50">
        <f>'IS (Adjusted)'!AC130-'IS (Base)'!AC130</f>
        <v>0</v>
      </c>
      <c r="AD130" s="50">
        <f>'IS (Adjusted)'!AD130-'IS (Base)'!AD130</f>
        <v>0</v>
      </c>
      <c r="AE130" s="50">
        <f>'IS (Adjusted)'!AE130-'IS (Base)'!AE130</f>
        <v>0</v>
      </c>
      <c r="AF130" s="50">
        <f>'IS (Adjusted)'!AF130-'IS (Base)'!AF130</f>
        <v>0</v>
      </c>
      <c r="AG130" s="51">
        <f>'IS (Adjusted)'!AG130-'IS (Base)'!AG130</f>
        <v>0</v>
      </c>
      <c r="AH130" s="50">
        <f>'IS (Adjusted)'!AH130-'IS (Base)'!AH130</f>
        <v>0</v>
      </c>
      <c r="AI130" s="50">
        <f>'IS (Adjusted)'!AI130-'IS (Base)'!AI130</f>
        <v>0</v>
      </c>
      <c r="AJ130" s="50">
        <f>'IS (Adjusted)'!AJ130-'IS (Base)'!AJ130</f>
        <v>0</v>
      </c>
      <c r="AK130" s="50">
        <f>'IS (Adjusted)'!AK130-'IS (Base)'!AK130</f>
        <v>0</v>
      </c>
      <c r="AL130" s="51">
        <f>'IS (Adjusted)'!AL130-'IS (Base)'!AL130</f>
        <v>0</v>
      </c>
      <c r="AM130" s="50">
        <f>'IS (Adjusted)'!AM130-'IS (Base)'!AM130</f>
        <v>0</v>
      </c>
      <c r="AN130" s="50">
        <f>'IS (Adjusted)'!AN130-'IS (Base)'!AN130</f>
        <v>0</v>
      </c>
      <c r="AO130" s="50">
        <f>'IS (Adjusted)'!AO130-'IS (Base)'!AO130</f>
        <v>0</v>
      </c>
      <c r="AP130" s="50">
        <f>'IS (Adjusted)'!AP130-'IS (Base)'!AP130</f>
        <v>0</v>
      </c>
      <c r="AQ130" s="51">
        <f>'IS (Adjusted)'!AQ130-'IS (Base)'!AQ130</f>
        <v>0</v>
      </c>
      <c r="AR130" s="50">
        <f>'IS (Adjusted)'!AR130-'IS (Base)'!AR130</f>
        <v>0</v>
      </c>
      <c r="AS130" s="50">
        <f>'IS (Adjusted)'!AS130-'IS (Base)'!AS130</f>
        <v>0</v>
      </c>
      <c r="AT130" s="50">
        <f>'IS (Adjusted)'!AT130-'IS (Base)'!AT130</f>
        <v>0</v>
      </c>
      <c r="AU130" s="50">
        <f>'IS (Adjusted)'!AU130-'IS (Base)'!AU130</f>
        <v>0</v>
      </c>
      <c r="AV130" s="51">
        <f>'IS (Adjusted)'!AV130-'IS (Base)'!AV130</f>
        <v>0</v>
      </c>
    </row>
    <row r="131" spans="2:48" outlineLevel="1" x14ac:dyDescent="0.3">
      <c r="B131" s="46" t="s">
        <v>57</v>
      </c>
      <c r="C131" s="44"/>
      <c r="D131" s="156">
        <f>'IS (Adjusted)'!D131-'IS (Base)'!D131</f>
        <v>0</v>
      </c>
      <c r="E131" s="156">
        <f>'IS (Adjusted)'!E131-'IS (Base)'!E131</f>
        <v>0</v>
      </c>
      <c r="F131" s="156">
        <f>'IS (Adjusted)'!F131-'IS (Base)'!F131</f>
        <v>0</v>
      </c>
      <c r="G131" s="156">
        <f>'IS (Adjusted)'!G131-'IS (Base)'!G131</f>
        <v>0</v>
      </c>
      <c r="H131" s="158">
        <f>'IS (Adjusted)'!H131-'IS (Base)'!H131</f>
        <v>0</v>
      </c>
      <c r="I131" s="156">
        <f>'IS (Adjusted)'!I131-'IS (Base)'!I131</f>
        <v>0</v>
      </c>
      <c r="J131" s="156">
        <f>'IS (Adjusted)'!J131-'IS (Base)'!J131</f>
        <v>0</v>
      </c>
      <c r="K131" s="156">
        <f>'IS (Adjusted)'!K131-'IS (Base)'!K131</f>
        <v>0</v>
      </c>
      <c r="L131" s="74">
        <f>'IS (Adjusted)'!L131-'IS (Base)'!L131</f>
        <v>0</v>
      </c>
      <c r="M131" s="194">
        <f>'IS (Adjusted)'!M131-'IS (Base)'!M131</f>
        <v>0</v>
      </c>
      <c r="N131" s="74">
        <f>'IS (Adjusted)'!N131-'IS (Base)'!N131</f>
        <v>0</v>
      </c>
      <c r="O131" s="74">
        <f>'IS (Adjusted)'!O131-'IS (Base)'!O131</f>
        <v>0</v>
      </c>
      <c r="P131" s="74">
        <f>'IS (Adjusted)'!P131-'IS (Base)'!P131</f>
        <v>0</v>
      </c>
      <c r="Q131" s="74">
        <f>'IS (Adjusted)'!Q131-'IS (Base)'!Q131</f>
        <v>0</v>
      </c>
      <c r="R131" s="194">
        <f>'IS (Adjusted)'!R131-'IS (Base)'!R131</f>
        <v>0</v>
      </c>
      <c r="S131" s="74">
        <f>'IS (Adjusted)'!S131-'IS (Base)'!S131</f>
        <v>0</v>
      </c>
      <c r="T131" s="74">
        <f>'IS (Adjusted)'!T131-'IS (Base)'!T131</f>
        <v>0</v>
      </c>
      <c r="U131" s="74">
        <f>'IS (Adjusted)'!U131-'IS (Base)'!U131</f>
        <v>0</v>
      </c>
      <c r="V131" s="74">
        <f>'IS (Adjusted)'!V131-'IS (Base)'!V131</f>
        <v>0</v>
      </c>
      <c r="W131" s="194">
        <f>'IS (Adjusted)'!W131-'IS (Base)'!W131</f>
        <v>0</v>
      </c>
      <c r="X131" s="156">
        <f>'IS (Adjusted)'!X131-'IS (Base)'!X131</f>
        <v>0</v>
      </c>
      <c r="Y131" s="74">
        <f>'IS (Adjusted)'!Y131-'IS (Base)'!Y131</f>
        <v>0</v>
      </c>
      <c r="Z131" s="74">
        <f>'IS (Adjusted)'!Z131-'IS (Base)'!Z131</f>
        <v>0</v>
      </c>
      <c r="AA131" s="74">
        <f>'IS (Adjusted)'!AA131-'IS (Base)'!AA131</f>
        <v>0</v>
      </c>
      <c r="AB131" s="194">
        <f>'IS (Adjusted)'!AB131-'IS (Base)'!AB131</f>
        <v>0</v>
      </c>
      <c r="AC131" s="74">
        <f>'IS (Adjusted)'!AC131-'IS (Base)'!AC131</f>
        <v>0</v>
      </c>
      <c r="AD131" s="74">
        <f>'IS (Adjusted)'!AD131-'IS (Base)'!AD131</f>
        <v>0</v>
      </c>
      <c r="AE131" s="74">
        <f>'IS (Adjusted)'!AE131-'IS (Base)'!AE131</f>
        <v>0</v>
      </c>
      <c r="AF131" s="74">
        <f>'IS (Adjusted)'!AF131-'IS (Base)'!AF131</f>
        <v>0</v>
      </c>
      <c r="AG131" s="194">
        <f>'IS (Adjusted)'!AG131-'IS (Base)'!AG131</f>
        <v>0</v>
      </c>
      <c r="AH131" s="74">
        <f>'IS (Adjusted)'!AH131-'IS (Base)'!AH131</f>
        <v>0</v>
      </c>
      <c r="AI131" s="74">
        <f>'IS (Adjusted)'!AI131-'IS (Base)'!AI131</f>
        <v>0</v>
      </c>
      <c r="AJ131" s="74">
        <f>'IS (Adjusted)'!AJ131-'IS (Base)'!AJ131</f>
        <v>0</v>
      </c>
      <c r="AK131" s="74">
        <f>'IS (Adjusted)'!AK131-'IS (Base)'!AK131</f>
        <v>0</v>
      </c>
      <c r="AL131" s="194">
        <f>'IS (Adjusted)'!AL131-'IS (Base)'!AL131</f>
        <v>0</v>
      </c>
      <c r="AM131" s="74">
        <f>'IS (Adjusted)'!AM131-'IS (Base)'!AM131</f>
        <v>0</v>
      </c>
      <c r="AN131" s="74">
        <f>'IS (Adjusted)'!AN131-'IS (Base)'!AN131</f>
        <v>0</v>
      </c>
      <c r="AO131" s="74">
        <f>'IS (Adjusted)'!AO131-'IS (Base)'!AO131</f>
        <v>0</v>
      </c>
      <c r="AP131" s="74">
        <f>'IS (Adjusted)'!AP131-'IS (Base)'!AP131</f>
        <v>0</v>
      </c>
      <c r="AQ131" s="194">
        <f>'IS (Adjusted)'!AQ131-'IS (Base)'!AQ131</f>
        <v>0</v>
      </c>
      <c r="AR131" s="74">
        <f>'IS (Adjusted)'!AR131-'IS (Base)'!AR131</f>
        <v>0</v>
      </c>
      <c r="AS131" s="74">
        <f>'IS (Adjusted)'!AS131-'IS (Base)'!AS131</f>
        <v>0</v>
      </c>
      <c r="AT131" s="74">
        <f>'IS (Adjusted)'!AT131-'IS (Base)'!AT131</f>
        <v>0</v>
      </c>
      <c r="AU131" s="74">
        <f>'IS (Adjusted)'!AU131-'IS (Base)'!AU131</f>
        <v>0</v>
      </c>
      <c r="AV131" s="194">
        <f>'IS (Adjusted)'!AV131-'IS (Base)'!AV131</f>
        <v>0</v>
      </c>
    </row>
    <row r="132" spans="2:48" ht="17.399999999999999" x14ac:dyDescent="0.45">
      <c r="B132" s="583" t="s">
        <v>14</v>
      </c>
      <c r="C132" s="584"/>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4" t="s">
        <v>408</v>
      </c>
      <c r="Y132" s="14" t="s">
        <v>452</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'IS (Adjusted)'!D133-'IS (Base)'!D133</f>
        <v>0</v>
      </c>
      <c r="E133" s="65">
        <f>'IS (Adjusted)'!E133-'IS (Base)'!E133</f>
        <v>0</v>
      </c>
      <c r="F133" s="121">
        <f>'IS (Adjusted)'!F133-'IS (Base)'!F133</f>
        <v>0</v>
      </c>
      <c r="G133" s="65">
        <f>'IS (Adjusted)'!G133-'IS (Base)'!G133</f>
        <v>0</v>
      </c>
      <c r="H133" s="66">
        <f>'IS (Adjusted)'!H133-'IS (Base)'!H133</f>
        <v>0</v>
      </c>
      <c r="I133" s="65">
        <f>'IS (Adjusted)'!I133-'IS (Base)'!I133</f>
        <v>0</v>
      </c>
      <c r="J133" s="65">
        <f>'IS (Adjusted)'!J133-'IS (Base)'!J133</f>
        <v>0</v>
      </c>
      <c r="K133" s="121">
        <f>'IS (Adjusted)'!K133-'IS (Base)'!K133</f>
        <v>0</v>
      </c>
      <c r="L133" s="65">
        <f>'IS (Adjusted)'!L133-'IS (Base)'!L133</f>
        <v>0</v>
      </c>
      <c r="M133" s="66">
        <f>'IS (Adjusted)'!M133-'IS (Base)'!M133</f>
        <v>0</v>
      </c>
      <c r="N133" s="65">
        <f>'IS (Adjusted)'!N133-'IS (Base)'!N133</f>
        <v>0</v>
      </c>
      <c r="O133" s="65">
        <f>'IS (Adjusted)'!O133-'IS (Base)'!O133</f>
        <v>0</v>
      </c>
      <c r="P133" s="121">
        <f>'IS (Adjusted)'!P133-'IS (Base)'!P133</f>
        <v>0</v>
      </c>
      <c r="Q133" s="65">
        <f>'IS (Adjusted)'!Q133-'IS (Base)'!Q133</f>
        <v>0</v>
      </c>
      <c r="R133" s="66">
        <f>'IS (Adjusted)'!R133-'IS (Base)'!R133</f>
        <v>0</v>
      </c>
      <c r="S133" s="65">
        <f>'IS (Adjusted)'!S133-'IS (Base)'!S133</f>
        <v>0</v>
      </c>
      <c r="T133" s="65">
        <f>'IS (Adjusted)'!T133-'IS (Base)'!T133</f>
        <v>0</v>
      </c>
      <c r="U133" s="121">
        <f>'IS (Adjusted)'!U133-'IS (Base)'!U133</f>
        <v>0</v>
      </c>
      <c r="V133" s="65">
        <f>'IS (Adjusted)'!V133-'IS (Base)'!V133</f>
        <v>0</v>
      </c>
      <c r="W133" s="66">
        <f>'IS (Adjusted)'!W133-'IS (Base)'!W133</f>
        <v>0</v>
      </c>
      <c r="X133" s="65">
        <f>'IS (Adjusted)'!X133-'IS (Base)'!X133</f>
        <v>0</v>
      </c>
      <c r="Y133" s="65">
        <f>'IS (Adjusted)'!Y133-'IS (Base)'!Y133</f>
        <v>0</v>
      </c>
      <c r="Z133" s="121">
        <f>'IS (Adjusted)'!Z133-'IS (Base)'!Z133</f>
        <v>0</v>
      </c>
      <c r="AA133" s="65">
        <f>'IS (Adjusted)'!AA133-'IS (Base)'!AA133</f>
        <v>0</v>
      </c>
      <c r="AB133" s="66">
        <f>'IS (Adjusted)'!AB133-'IS (Base)'!AB133</f>
        <v>0</v>
      </c>
      <c r="AC133" s="65">
        <f>'IS (Adjusted)'!AC133-'IS (Base)'!AC133</f>
        <v>0</v>
      </c>
      <c r="AD133" s="65">
        <f>'IS (Adjusted)'!AD133-'IS (Base)'!AD133</f>
        <v>0</v>
      </c>
      <c r="AE133" s="121">
        <f>'IS (Adjusted)'!AE133-'IS (Base)'!AE133</f>
        <v>0</v>
      </c>
      <c r="AF133" s="65">
        <f>'IS (Adjusted)'!AF133-'IS (Base)'!AF133</f>
        <v>0</v>
      </c>
      <c r="AG133" s="66">
        <f>'IS (Adjusted)'!AG133-'IS (Base)'!AG133</f>
        <v>0</v>
      </c>
      <c r="AH133" s="65">
        <f>'IS (Adjusted)'!AH133-'IS (Base)'!AH133</f>
        <v>0</v>
      </c>
      <c r="AI133" s="65">
        <f>'IS (Adjusted)'!AI133-'IS (Base)'!AI133</f>
        <v>0</v>
      </c>
      <c r="AJ133" s="121">
        <f>'IS (Adjusted)'!AJ133-'IS (Base)'!AJ133</f>
        <v>0</v>
      </c>
      <c r="AK133" s="65">
        <f>'IS (Adjusted)'!AK133-'IS (Base)'!AK133</f>
        <v>0</v>
      </c>
      <c r="AL133" s="66">
        <f>'IS (Adjusted)'!AL133-'IS (Base)'!AL133</f>
        <v>0</v>
      </c>
      <c r="AM133" s="65">
        <f>'IS (Adjusted)'!AM133-'IS (Base)'!AM133</f>
        <v>0</v>
      </c>
      <c r="AN133" s="65">
        <f>'IS (Adjusted)'!AN133-'IS (Base)'!AN133</f>
        <v>0</v>
      </c>
      <c r="AO133" s="121">
        <f>'IS (Adjusted)'!AO133-'IS (Base)'!AO133</f>
        <v>0</v>
      </c>
      <c r="AP133" s="65">
        <f>'IS (Adjusted)'!AP133-'IS (Base)'!AP133</f>
        <v>0</v>
      </c>
      <c r="AQ133" s="66">
        <f>'IS (Adjusted)'!AQ133-'IS (Base)'!AQ133</f>
        <v>0</v>
      </c>
      <c r="AR133" s="65">
        <f>'IS (Adjusted)'!AR133-'IS (Base)'!AR133</f>
        <v>0</v>
      </c>
      <c r="AS133" s="65">
        <f>'IS (Adjusted)'!AS133-'IS (Base)'!AS133</f>
        <v>0</v>
      </c>
      <c r="AT133" s="121">
        <f>'IS (Adjusted)'!AT133-'IS (Base)'!AT133</f>
        <v>0</v>
      </c>
      <c r="AU133" s="65">
        <f>'IS (Adjusted)'!AU133-'IS (Base)'!AU133</f>
        <v>0</v>
      </c>
      <c r="AV133" s="66">
        <f>'IS (Adjusted)'!AV133-'IS (Base)'!AV133</f>
        <v>0</v>
      </c>
    </row>
    <row r="134" spans="2:48" s="77" customFormat="1" ht="15.6" customHeight="1" outlineLevel="1" x14ac:dyDescent="0.3">
      <c r="B134" s="64" t="s">
        <v>60</v>
      </c>
      <c r="C134" s="78"/>
      <c r="D134" s="65">
        <f>'IS (Adjusted)'!D134-'IS (Base)'!D134</f>
        <v>0</v>
      </c>
      <c r="E134" s="65">
        <f>'IS (Adjusted)'!E134-'IS (Base)'!E134</f>
        <v>0</v>
      </c>
      <c r="F134" s="121">
        <f>'IS (Adjusted)'!F134-'IS (Base)'!F134</f>
        <v>0</v>
      </c>
      <c r="G134" s="65">
        <f>'IS (Adjusted)'!G134-'IS (Base)'!G134</f>
        <v>0</v>
      </c>
      <c r="H134" s="66">
        <f>'IS (Adjusted)'!H134-'IS (Base)'!H134</f>
        <v>0</v>
      </c>
      <c r="I134" s="65">
        <f>'IS (Adjusted)'!I134-'IS (Base)'!I134</f>
        <v>0</v>
      </c>
      <c r="J134" s="65">
        <f>'IS (Adjusted)'!J134-'IS (Base)'!J134</f>
        <v>0</v>
      </c>
      <c r="K134" s="121">
        <f>'IS (Adjusted)'!K134-'IS (Base)'!K134</f>
        <v>0</v>
      </c>
      <c r="L134" s="65">
        <f>'IS (Adjusted)'!L134-'IS (Base)'!L134</f>
        <v>0</v>
      </c>
      <c r="M134" s="66">
        <f>'IS (Adjusted)'!M134-'IS (Base)'!M134</f>
        <v>0</v>
      </c>
      <c r="N134" s="65">
        <f>'IS (Adjusted)'!N134-'IS (Base)'!N134</f>
        <v>0</v>
      </c>
      <c r="O134" s="65">
        <f>'IS (Adjusted)'!O134-'IS (Base)'!O134</f>
        <v>0</v>
      </c>
      <c r="P134" s="121">
        <f>'IS (Adjusted)'!P134-'IS (Base)'!P134</f>
        <v>0</v>
      </c>
      <c r="Q134" s="65">
        <f>'IS (Adjusted)'!Q134-'IS (Base)'!Q134</f>
        <v>0</v>
      </c>
      <c r="R134" s="66">
        <f>'IS (Adjusted)'!R134-'IS (Base)'!R134</f>
        <v>0</v>
      </c>
      <c r="S134" s="65">
        <f>'IS (Adjusted)'!S134-'IS (Base)'!S134</f>
        <v>0</v>
      </c>
      <c r="T134" s="65">
        <f>'IS (Adjusted)'!T134-'IS (Base)'!T134</f>
        <v>0</v>
      </c>
      <c r="U134" s="121">
        <f>'IS (Adjusted)'!U134-'IS (Base)'!U134</f>
        <v>0</v>
      </c>
      <c r="V134" s="65">
        <f>'IS (Adjusted)'!V134-'IS (Base)'!V134</f>
        <v>0</v>
      </c>
      <c r="W134" s="66">
        <f>'IS (Adjusted)'!W134-'IS (Base)'!W134</f>
        <v>0</v>
      </c>
      <c r="X134" s="65">
        <f>'IS (Adjusted)'!X134-'IS (Base)'!X134</f>
        <v>0</v>
      </c>
      <c r="Y134" s="65">
        <f>'IS (Adjusted)'!Y134-'IS (Base)'!Y134</f>
        <v>0</v>
      </c>
      <c r="Z134" s="121">
        <f>'IS (Adjusted)'!Z134-'IS (Base)'!Z134</f>
        <v>0</v>
      </c>
      <c r="AA134" s="65">
        <f>'IS (Adjusted)'!AA134-'IS (Base)'!AA134</f>
        <v>0</v>
      </c>
      <c r="AB134" s="66">
        <f>'IS (Adjusted)'!AB134-'IS (Base)'!AB134</f>
        <v>0</v>
      </c>
      <c r="AC134" s="65">
        <f>'IS (Adjusted)'!AC134-'IS (Base)'!AC134</f>
        <v>0</v>
      </c>
      <c r="AD134" s="65">
        <f>'IS (Adjusted)'!AD134-'IS (Base)'!AD134</f>
        <v>0</v>
      </c>
      <c r="AE134" s="121">
        <f>'IS (Adjusted)'!AE134-'IS (Base)'!AE134</f>
        <v>0</v>
      </c>
      <c r="AF134" s="65">
        <f>'IS (Adjusted)'!AF134-'IS (Base)'!AF134</f>
        <v>0</v>
      </c>
      <c r="AG134" s="66">
        <f>'IS (Adjusted)'!AG134-'IS (Base)'!AG134</f>
        <v>0</v>
      </c>
      <c r="AH134" s="65">
        <f>'IS (Adjusted)'!AH134-'IS (Base)'!AH134</f>
        <v>0</v>
      </c>
      <c r="AI134" s="65">
        <f>'IS (Adjusted)'!AI134-'IS (Base)'!AI134</f>
        <v>0</v>
      </c>
      <c r="AJ134" s="121">
        <f>'IS (Adjusted)'!AJ134-'IS (Base)'!AJ134</f>
        <v>0</v>
      </c>
      <c r="AK134" s="65">
        <f>'IS (Adjusted)'!AK134-'IS (Base)'!AK134</f>
        <v>0</v>
      </c>
      <c r="AL134" s="66">
        <f>'IS (Adjusted)'!AL134-'IS (Base)'!AL134</f>
        <v>0</v>
      </c>
      <c r="AM134" s="65">
        <f>'IS (Adjusted)'!AM134-'IS (Base)'!AM134</f>
        <v>0</v>
      </c>
      <c r="AN134" s="65">
        <f>'IS (Adjusted)'!AN134-'IS (Base)'!AN134</f>
        <v>0</v>
      </c>
      <c r="AO134" s="121">
        <f>'IS (Adjusted)'!AO134-'IS (Base)'!AO134</f>
        <v>0</v>
      </c>
      <c r="AP134" s="65">
        <f>'IS (Adjusted)'!AP134-'IS (Base)'!AP134</f>
        <v>0</v>
      </c>
      <c r="AQ134" s="66">
        <f>'IS (Adjusted)'!AQ134-'IS (Base)'!AQ134</f>
        <v>0</v>
      </c>
      <c r="AR134" s="65">
        <f>'IS (Adjusted)'!AR134-'IS (Base)'!AR134</f>
        <v>0</v>
      </c>
      <c r="AS134" s="65">
        <f>'IS (Adjusted)'!AS134-'IS (Base)'!AS134</f>
        <v>0</v>
      </c>
      <c r="AT134" s="121">
        <f>'IS (Adjusted)'!AT134-'IS (Base)'!AT134</f>
        <v>0</v>
      </c>
      <c r="AU134" s="65">
        <f>'IS (Adjusted)'!AU134-'IS (Base)'!AU134</f>
        <v>0</v>
      </c>
      <c r="AV134" s="66">
        <f>'IS (Adjusted)'!AV134-'IS (Base)'!AV134</f>
        <v>0</v>
      </c>
    </row>
    <row r="135" spans="2:48" s="77" customFormat="1" ht="15.6" customHeight="1" outlineLevel="1" x14ac:dyDescent="0.3">
      <c r="B135" s="64" t="s">
        <v>61</v>
      </c>
      <c r="C135" s="78"/>
      <c r="D135" s="65">
        <f>'IS (Adjusted)'!D135-'IS (Base)'!D135</f>
        <v>0</v>
      </c>
      <c r="E135" s="65">
        <f>'IS (Adjusted)'!E135-'IS (Base)'!E135</f>
        <v>0</v>
      </c>
      <c r="F135" s="121">
        <f>'IS (Adjusted)'!F135-'IS (Base)'!F135</f>
        <v>0</v>
      </c>
      <c r="G135" s="65">
        <f>'IS (Adjusted)'!G135-'IS (Base)'!G135</f>
        <v>0</v>
      </c>
      <c r="H135" s="66">
        <f>'IS (Adjusted)'!H135-'IS (Base)'!H135</f>
        <v>0</v>
      </c>
      <c r="I135" s="65">
        <f>'IS (Adjusted)'!I135-'IS (Base)'!I135</f>
        <v>0</v>
      </c>
      <c r="J135" s="65">
        <f>'IS (Adjusted)'!J135-'IS (Base)'!J135</f>
        <v>0</v>
      </c>
      <c r="K135" s="121">
        <f>'IS (Adjusted)'!K135-'IS (Base)'!K135</f>
        <v>0</v>
      </c>
      <c r="L135" s="65">
        <f>'IS (Adjusted)'!L135-'IS (Base)'!L135</f>
        <v>0</v>
      </c>
      <c r="M135" s="66">
        <f>'IS (Adjusted)'!M135-'IS (Base)'!M135</f>
        <v>0</v>
      </c>
      <c r="N135" s="65">
        <f>'IS (Adjusted)'!N135-'IS (Base)'!N135</f>
        <v>0</v>
      </c>
      <c r="O135" s="65">
        <f>'IS (Adjusted)'!O135-'IS (Base)'!O135</f>
        <v>0</v>
      </c>
      <c r="P135" s="121">
        <f>'IS (Adjusted)'!P135-'IS (Base)'!P135</f>
        <v>0</v>
      </c>
      <c r="Q135" s="65">
        <f>'IS (Adjusted)'!Q135-'IS (Base)'!Q135</f>
        <v>0</v>
      </c>
      <c r="R135" s="66">
        <f>'IS (Adjusted)'!R135-'IS (Base)'!R135</f>
        <v>0</v>
      </c>
      <c r="S135" s="65">
        <f>'IS (Adjusted)'!S135-'IS (Base)'!S135</f>
        <v>0</v>
      </c>
      <c r="T135" s="65">
        <f>'IS (Adjusted)'!T135-'IS (Base)'!T135</f>
        <v>0</v>
      </c>
      <c r="U135" s="121">
        <f>'IS (Adjusted)'!U135-'IS (Base)'!U135</f>
        <v>0</v>
      </c>
      <c r="V135" s="65">
        <f>'IS (Adjusted)'!V135-'IS (Base)'!V135</f>
        <v>0</v>
      </c>
      <c r="W135" s="66">
        <f>'IS (Adjusted)'!W135-'IS (Base)'!W135</f>
        <v>0</v>
      </c>
      <c r="X135" s="65">
        <f>'IS (Adjusted)'!X135-'IS (Base)'!X135</f>
        <v>0</v>
      </c>
      <c r="Y135" s="65">
        <f>'IS (Adjusted)'!Y135-'IS (Base)'!Y135</f>
        <v>0</v>
      </c>
      <c r="Z135" s="121">
        <f>'IS (Adjusted)'!Z135-'IS (Base)'!Z135</f>
        <v>0</v>
      </c>
      <c r="AA135" s="65">
        <f>'IS (Adjusted)'!AA135-'IS (Base)'!AA135</f>
        <v>0</v>
      </c>
      <c r="AB135" s="66">
        <f>'IS (Adjusted)'!AB135-'IS (Base)'!AB135</f>
        <v>0</v>
      </c>
      <c r="AC135" s="65">
        <f>'IS (Adjusted)'!AC135-'IS (Base)'!AC135</f>
        <v>0</v>
      </c>
      <c r="AD135" s="65">
        <f>'IS (Adjusted)'!AD135-'IS (Base)'!AD135</f>
        <v>0</v>
      </c>
      <c r="AE135" s="121">
        <f>'IS (Adjusted)'!AE135-'IS (Base)'!AE135</f>
        <v>0</v>
      </c>
      <c r="AF135" s="65">
        <f>'IS (Adjusted)'!AF135-'IS (Base)'!AF135</f>
        <v>0</v>
      </c>
      <c r="AG135" s="66">
        <f>'IS (Adjusted)'!AG135-'IS (Base)'!AG135</f>
        <v>0</v>
      </c>
      <c r="AH135" s="65">
        <f>'IS (Adjusted)'!AH135-'IS (Base)'!AH135</f>
        <v>0</v>
      </c>
      <c r="AI135" s="65">
        <f>'IS (Adjusted)'!AI135-'IS (Base)'!AI135</f>
        <v>0</v>
      </c>
      <c r="AJ135" s="121">
        <f>'IS (Adjusted)'!AJ135-'IS (Base)'!AJ135</f>
        <v>0</v>
      </c>
      <c r="AK135" s="65">
        <f>'IS (Adjusted)'!AK135-'IS (Base)'!AK135</f>
        <v>0</v>
      </c>
      <c r="AL135" s="66">
        <f>'IS (Adjusted)'!AL135-'IS (Base)'!AL135</f>
        <v>0</v>
      </c>
      <c r="AM135" s="65">
        <f>'IS (Adjusted)'!AM135-'IS (Base)'!AM135</f>
        <v>0</v>
      </c>
      <c r="AN135" s="65">
        <f>'IS (Adjusted)'!AN135-'IS (Base)'!AN135</f>
        <v>0</v>
      </c>
      <c r="AO135" s="121">
        <f>'IS (Adjusted)'!AO135-'IS (Base)'!AO135</f>
        <v>0</v>
      </c>
      <c r="AP135" s="65">
        <f>'IS (Adjusted)'!AP135-'IS (Base)'!AP135</f>
        <v>0</v>
      </c>
      <c r="AQ135" s="66">
        <f>'IS (Adjusted)'!AQ135-'IS (Base)'!AQ135</f>
        <v>0</v>
      </c>
      <c r="AR135" s="65">
        <f>'IS (Adjusted)'!AR135-'IS (Base)'!AR135</f>
        <v>0</v>
      </c>
      <c r="AS135" s="65">
        <f>'IS (Adjusted)'!AS135-'IS (Base)'!AS135</f>
        <v>0</v>
      </c>
      <c r="AT135" s="121">
        <f>'IS (Adjusted)'!AT135-'IS (Base)'!AT135</f>
        <v>0</v>
      </c>
      <c r="AU135" s="65">
        <f>'IS (Adjusted)'!AU135-'IS (Base)'!AU135</f>
        <v>0</v>
      </c>
      <c r="AV135" s="66">
        <f>'IS (Adjusted)'!AV135-'IS (Base)'!AV135</f>
        <v>0</v>
      </c>
    </row>
    <row r="136" spans="2:48" s="77" customFormat="1" ht="15.6" customHeight="1" outlineLevel="1" x14ac:dyDescent="0.3">
      <c r="B136" s="64" t="s">
        <v>36</v>
      </c>
      <c r="C136" s="78"/>
      <c r="D136" s="65">
        <f>'IS (Adjusted)'!D136-'IS (Base)'!D136</f>
        <v>0</v>
      </c>
      <c r="E136" s="65">
        <f>'IS (Adjusted)'!E136-'IS (Base)'!E136</f>
        <v>0</v>
      </c>
      <c r="F136" s="121">
        <f>'IS (Adjusted)'!F136-'IS (Base)'!F136</f>
        <v>0</v>
      </c>
      <c r="G136" s="65">
        <f>'IS (Adjusted)'!G136-'IS (Base)'!G136</f>
        <v>0</v>
      </c>
      <c r="H136" s="66">
        <f>'IS (Adjusted)'!H136-'IS (Base)'!H136</f>
        <v>0</v>
      </c>
      <c r="I136" s="65">
        <f>'IS (Adjusted)'!I136-'IS (Base)'!I136</f>
        <v>0</v>
      </c>
      <c r="J136" s="65">
        <f>'IS (Adjusted)'!J136-'IS (Base)'!J136</f>
        <v>0</v>
      </c>
      <c r="K136" s="121">
        <f>'IS (Adjusted)'!K136-'IS (Base)'!K136</f>
        <v>0</v>
      </c>
      <c r="L136" s="65">
        <f>'IS (Adjusted)'!L136-'IS (Base)'!L136</f>
        <v>0</v>
      </c>
      <c r="M136" s="66">
        <f>'IS (Adjusted)'!M136-'IS (Base)'!M136</f>
        <v>0</v>
      </c>
      <c r="N136" s="65">
        <f>'IS (Adjusted)'!N136-'IS (Base)'!N136</f>
        <v>0</v>
      </c>
      <c r="O136" s="65">
        <f>'IS (Adjusted)'!O136-'IS (Base)'!O136</f>
        <v>0</v>
      </c>
      <c r="P136" s="121">
        <f>'IS (Adjusted)'!P136-'IS (Base)'!P136</f>
        <v>0</v>
      </c>
      <c r="Q136" s="65">
        <f>'IS (Adjusted)'!Q136-'IS (Base)'!Q136</f>
        <v>0</v>
      </c>
      <c r="R136" s="66">
        <f>'IS (Adjusted)'!R136-'IS (Base)'!R136</f>
        <v>0</v>
      </c>
      <c r="S136" s="65">
        <f>'IS (Adjusted)'!S136-'IS (Base)'!S136</f>
        <v>0</v>
      </c>
      <c r="T136" s="65">
        <f>'IS (Adjusted)'!T136-'IS (Base)'!T136</f>
        <v>0</v>
      </c>
      <c r="U136" s="121">
        <f>'IS (Adjusted)'!U136-'IS (Base)'!U136</f>
        <v>0</v>
      </c>
      <c r="V136" s="65">
        <f>'IS (Adjusted)'!V136-'IS (Base)'!V136</f>
        <v>0</v>
      </c>
      <c r="W136" s="66">
        <f>'IS (Adjusted)'!W136-'IS (Base)'!W136</f>
        <v>0</v>
      </c>
      <c r="X136" s="65">
        <f>'IS (Adjusted)'!X136-'IS (Base)'!X136</f>
        <v>0</v>
      </c>
      <c r="Y136" s="65">
        <f>'IS (Adjusted)'!Y136-'IS (Base)'!Y136</f>
        <v>0</v>
      </c>
      <c r="Z136" s="121">
        <f>'IS (Adjusted)'!Z136-'IS (Base)'!Z136</f>
        <v>0</v>
      </c>
      <c r="AA136" s="65">
        <f>'IS (Adjusted)'!AA136-'IS (Base)'!AA136</f>
        <v>0</v>
      </c>
      <c r="AB136" s="66">
        <f>'IS (Adjusted)'!AB136-'IS (Base)'!AB136</f>
        <v>0</v>
      </c>
      <c r="AC136" s="65">
        <f>'IS (Adjusted)'!AC136-'IS (Base)'!AC136</f>
        <v>0</v>
      </c>
      <c r="AD136" s="65">
        <f>'IS (Adjusted)'!AD136-'IS (Base)'!AD136</f>
        <v>0</v>
      </c>
      <c r="AE136" s="121">
        <f>'IS (Adjusted)'!AE136-'IS (Base)'!AE136</f>
        <v>0</v>
      </c>
      <c r="AF136" s="65">
        <f>'IS (Adjusted)'!AF136-'IS (Base)'!AF136</f>
        <v>0</v>
      </c>
      <c r="AG136" s="66">
        <f>'IS (Adjusted)'!AG136-'IS (Base)'!AG136</f>
        <v>0</v>
      </c>
      <c r="AH136" s="65">
        <f>'IS (Adjusted)'!AH136-'IS (Base)'!AH136</f>
        <v>0</v>
      </c>
      <c r="AI136" s="65">
        <f>'IS (Adjusted)'!AI136-'IS (Base)'!AI136</f>
        <v>0</v>
      </c>
      <c r="AJ136" s="121">
        <f>'IS (Adjusted)'!AJ136-'IS (Base)'!AJ136</f>
        <v>0</v>
      </c>
      <c r="AK136" s="65">
        <f>'IS (Adjusted)'!AK136-'IS (Base)'!AK136</f>
        <v>0</v>
      </c>
      <c r="AL136" s="66">
        <f>'IS (Adjusted)'!AL136-'IS (Base)'!AL136</f>
        <v>0</v>
      </c>
      <c r="AM136" s="65">
        <f>'IS (Adjusted)'!AM136-'IS (Base)'!AM136</f>
        <v>0</v>
      </c>
      <c r="AN136" s="65">
        <f>'IS (Adjusted)'!AN136-'IS (Base)'!AN136</f>
        <v>0</v>
      </c>
      <c r="AO136" s="121">
        <f>'IS (Adjusted)'!AO136-'IS (Base)'!AO136</f>
        <v>0</v>
      </c>
      <c r="AP136" s="65">
        <f>'IS (Adjusted)'!AP136-'IS (Base)'!AP136</f>
        <v>0</v>
      </c>
      <c r="AQ136" s="66">
        <f>'IS (Adjusted)'!AQ136-'IS (Base)'!AQ136</f>
        <v>0</v>
      </c>
      <c r="AR136" s="65">
        <f>'IS (Adjusted)'!AR136-'IS (Base)'!AR136</f>
        <v>0</v>
      </c>
      <c r="AS136" s="65">
        <f>'IS (Adjusted)'!AS136-'IS (Base)'!AS136</f>
        <v>0</v>
      </c>
      <c r="AT136" s="121">
        <f>'IS (Adjusted)'!AT136-'IS (Base)'!AT136</f>
        <v>0</v>
      </c>
      <c r="AU136" s="65">
        <f>'IS (Adjusted)'!AU136-'IS (Base)'!AU136</f>
        <v>0</v>
      </c>
      <c r="AV136" s="66">
        <f>'IS (Adjusted)'!AV136-'IS (Base)'!AV136</f>
        <v>0</v>
      </c>
    </row>
    <row r="137" spans="2:48" s="77" customFormat="1" ht="15.6" customHeight="1" outlineLevel="1" x14ac:dyDescent="0.3">
      <c r="B137" s="64" t="s">
        <v>62</v>
      </c>
      <c r="C137" s="78"/>
      <c r="D137" s="65">
        <f>'IS (Adjusted)'!D137-'IS (Base)'!D137</f>
        <v>0</v>
      </c>
      <c r="E137" s="65">
        <f>'IS (Adjusted)'!E137-'IS (Base)'!E137</f>
        <v>0</v>
      </c>
      <c r="F137" s="121">
        <f>'IS (Adjusted)'!F137-'IS (Base)'!F137</f>
        <v>0</v>
      </c>
      <c r="G137" s="65">
        <f>'IS (Adjusted)'!G137-'IS (Base)'!G137</f>
        <v>0</v>
      </c>
      <c r="H137" s="66">
        <f>'IS (Adjusted)'!H137-'IS (Base)'!H137</f>
        <v>0</v>
      </c>
      <c r="I137" s="65">
        <f>'IS (Adjusted)'!I137-'IS (Base)'!I137</f>
        <v>0</v>
      </c>
      <c r="J137" s="65">
        <f>'IS (Adjusted)'!J137-'IS (Base)'!J137</f>
        <v>0</v>
      </c>
      <c r="K137" s="121">
        <f>'IS (Adjusted)'!K137-'IS (Base)'!K137</f>
        <v>0</v>
      </c>
      <c r="L137" s="65">
        <f>'IS (Adjusted)'!L137-'IS (Base)'!L137</f>
        <v>0</v>
      </c>
      <c r="M137" s="66">
        <f>'IS (Adjusted)'!M137-'IS (Base)'!M137</f>
        <v>0</v>
      </c>
      <c r="N137" s="65">
        <f>'IS (Adjusted)'!N137-'IS (Base)'!N137</f>
        <v>0</v>
      </c>
      <c r="O137" s="65">
        <f>'IS (Adjusted)'!O137-'IS (Base)'!O137</f>
        <v>0</v>
      </c>
      <c r="P137" s="121">
        <f>'IS (Adjusted)'!P137-'IS (Base)'!P137</f>
        <v>0</v>
      </c>
      <c r="Q137" s="65">
        <f>'IS (Adjusted)'!Q137-'IS (Base)'!Q137</f>
        <v>0</v>
      </c>
      <c r="R137" s="66">
        <f>'IS (Adjusted)'!R137-'IS (Base)'!R137</f>
        <v>0</v>
      </c>
      <c r="S137" s="65">
        <f>'IS (Adjusted)'!S137-'IS (Base)'!S137</f>
        <v>0</v>
      </c>
      <c r="T137" s="65">
        <f>'IS (Adjusted)'!T137-'IS (Base)'!T137</f>
        <v>0</v>
      </c>
      <c r="U137" s="121">
        <f>'IS (Adjusted)'!U137-'IS (Base)'!U137</f>
        <v>0</v>
      </c>
      <c r="V137" s="65">
        <f>'IS (Adjusted)'!V137-'IS (Base)'!V137</f>
        <v>0</v>
      </c>
      <c r="W137" s="66">
        <f>'IS (Adjusted)'!W137-'IS (Base)'!W137</f>
        <v>0</v>
      </c>
      <c r="X137" s="65">
        <f>'IS (Adjusted)'!X137-'IS (Base)'!X137</f>
        <v>0</v>
      </c>
      <c r="Y137" s="65">
        <f>'IS (Adjusted)'!Y137-'IS (Base)'!Y137</f>
        <v>0</v>
      </c>
      <c r="Z137" s="121">
        <f>'IS (Adjusted)'!Z137-'IS (Base)'!Z137</f>
        <v>0</v>
      </c>
      <c r="AA137" s="65">
        <f>'IS (Adjusted)'!AA137-'IS (Base)'!AA137</f>
        <v>0</v>
      </c>
      <c r="AB137" s="66">
        <f>'IS (Adjusted)'!AB137-'IS (Base)'!AB137</f>
        <v>0</v>
      </c>
      <c r="AC137" s="65">
        <f>'IS (Adjusted)'!AC137-'IS (Base)'!AC137</f>
        <v>0</v>
      </c>
      <c r="AD137" s="65">
        <f>'IS (Adjusted)'!AD137-'IS (Base)'!AD137</f>
        <v>0</v>
      </c>
      <c r="AE137" s="121">
        <f>'IS (Adjusted)'!AE137-'IS (Base)'!AE137</f>
        <v>0</v>
      </c>
      <c r="AF137" s="65">
        <f>'IS (Adjusted)'!AF137-'IS (Base)'!AF137</f>
        <v>0</v>
      </c>
      <c r="AG137" s="66">
        <f>'IS (Adjusted)'!AG137-'IS (Base)'!AG137</f>
        <v>0</v>
      </c>
      <c r="AH137" s="65">
        <f>'IS (Adjusted)'!AH137-'IS (Base)'!AH137</f>
        <v>0</v>
      </c>
      <c r="AI137" s="65">
        <f>'IS (Adjusted)'!AI137-'IS (Base)'!AI137</f>
        <v>0</v>
      </c>
      <c r="AJ137" s="121">
        <f>'IS (Adjusted)'!AJ137-'IS (Base)'!AJ137</f>
        <v>0</v>
      </c>
      <c r="AK137" s="65">
        <f>'IS (Adjusted)'!AK137-'IS (Base)'!AK137</f>
        <v>0</v>
      </c>
      <c r="AL137" s="66">
        <f>'IS (Adjusted)'!AL137-'IS (Base)'!AL137</f>
        <v>0</v>
      </c>
      <c r="AM137" s="65">
        <f>'IS (Adjusted)'!AM137-'IS (Base)'!AM137</f>
        <v>0</v>
      </c>
      <c r="AN137" s="65">
        <f>'IS (Adjusted)'!AN137-'IS (Base)'!AN137</f>
        <v>0</v>
      </c>
      <c r="AO137" s="121">
        <f>'IS (Adjusted)'!AO137-'IS (Base)'!AO137</f>
        <v>0</v>
      </c>
      <c r="AP137" s="65">
        <f>'IS (Adjusted)'!AP137-'IS (Base)'!AP137</f>
        <v>0</v>
      </c>
      <c r="AQ137" s="66">
        <f>'IS (Adjusted)'!AQ137-'IS (Base)'!AQ137</f>
        <v>0</v>
      </c>
      <c r="AR137" s="65">
        <f>'IS (Adjusted)'!AR137-'IS (Base)'!AR137</f>
        <v>0</v>
      </c>
      <c r="AS137" s="65">
        <f>'IS (Adjusted)'!AS137-'IS (Base)'!AS137</f>
        <v>0</v>
      </c>
      <c r="AT137" s="121">
        <f>'IS (Adjusted)'!AT137-'IS (Base)'!AT137</f>
        <v>0</v>
      </c>
      <c r="AU137" s="65">
        <f>'IS (Adjusted)'!AU137-'IS (Base)'!AU137</f>
        <v>0</v>
      </c>
      <c r="AV137" s="66">
        <f>'IS (Adjusted)'!AV137-'IS (Base)'!AV137</f>
        <v>0</v>
      </c>
    </row>
    <row r="138" spans="2:48" ht="15" customHeight="1" x14ac:dyDescent="0.45">
      <c r="B138" s="583" t="s">
        <v>9</v>
      </c>
      <c r="C138" s="584"/>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4" t="s">
        <v>408</v>
      </c>
      <c r="Y138" s="14" t="s">
        <v>452</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f>'IS (Adjusted)'!D139-'IS (Base)'!D139</f>
        <v>0</v>
      </c>
      <c r="E139" s="27">
        <f>'IS (Adjusted)'!E139-'IS (Base)'!E139</f>
        <v>0</v>
      </c>
      <c r="F139" s="27">
        <f>'IS (Adjusted)'!F139-'IS (Base)'!F139</f>
        <v>0</v>
      </c>
      <c r="G139" s="27">
        <f>'IS (Adjusted)'!G139-'IS (Base)'!G139</f>
        <v>0</v>
      </c>
      <c r="H139" s="29">
        <f>'IS (Adjusted)'!H139-'IS (Base)'!H139</f>
        <v>0</v>
      </c>
      <c r="I139" s="27">
        <f>'IS (Adjusted)'!I139-'IS (Base)'!I139</f>
        <v>0</v>
      </c>
      <c r="J139" s="27">
        <f>'IS (Adjusted)'!J139-'IS (Base)'!J139</f>
        <v>0</v>
      </c>
      <c r="K139" s="27">
        <f>'IS (Adjusted)'!K139-'IS (Base)'!K139</f>
        <v>0</v>
      </c>
      <c r="L139" s="113">
        <f>'IS (Adjusted)'!L139-'IS (Base)'!L139</f>
        <v>0</v>
      </c>
      <c r="M139" s="137">
        <f>'IS (Adjusted)'!M139-'IS (Base)'!M139</f>
        <v>0</v>
      </c>
      <c r="N139" s="113">
        <f>'IS (Adjusted)'!N139-'IS (Base)'!N139</f>
        <v>0</v>
      </c>
      <c r="O139" s="113">
        <f>'IS (Adjusted)'!O139-'IS (Base)'!O139</f>
        <v>0</v>
      </c>
      <c r="P139" s="113">
        <f>'IS (Adjusted)'!P139-'IS (Base)'!P139</f>
        <v>0</v>
      </c>
      <c r="Q139" s="113">
        <f>'IS (Adjusted)'!Q139-'IS (Base)'!Q139</f>
        <v>0</v>
      </c>
      <c r="R139" s="29">
        <f>'IS (Adjusted)'!R139-'IS (Base)'!R139</f>
        <v>0</v>
      </c>
      <c r="S139" s="113">
        <f>'IS (Adjusted)'!S139-'IS (Base)'!S139</f>
        <v>0</v>
      </c>
      <c r="T139" s="113">
        <f>'IS (Adjusted)'!T139-'IS (Base)'!T139</f>
        <v>0</v>
      </c>
      <c r="U139" s="113">
        <f>'IS (Adjusted)'!U139-'IS (Base)'!U139</f>
        <v>0</v>
      </c>
      <c r="V139" s="113">
        <f>'IS (Adjusted)'!V139-'IS (Base)'!V139</f>
        <v>0</v>
      </c>
      <c r="W139" s="137">
        <f>'IS (Adjusted)'!W139-'IS (Base)'!W139</f>
        <v>0</v>
      </c>
      <c r="X139" s="113">
        <f>'IS (Adjusted)'!X139-'IS (Base)'!X139</f>
        <v>0</v>
      </c>
      <c r="Y139" s="113">
        <f>'IS (Adjusted)'!Y139-'IS (Base)'!Y139</f>
        <v>0</v>
      </c>
      <c r="Z139" s="113">
        <f>'IS (Adjusted)'!Z139-'IS (Base)'!Z139</f>
        <v>0</v>
      </c>
      <c r="AA139" s="113">
        <f>'IS (Adjusted)'!AA139-'IS (Base)'!AA139</f>
        <v>0</v>
      </c>
      <c r="AB139" s="137">
        <f>'IS (Adjusted)'!AB139-'IS (Base)'!AB139</f>
        <v>0</v>
      </c>
      <c r="AC139" s="113">
        <f>'IS (Adjusted)'!AC139-'IS (Base)'!AC139</f>
        <v>0</v>
      </c>
      <c r="AD139" s="113">
        <f>'IS (Adjusted)'!AD139-'IS (Base)'!AD139</f>
        <v>0</v>
      </c>
      <c r="AE139" s="113">
        <f>'IS (Adjusted)'!AE139-'IS (Base)'!AE139</f>
        <v>0</v>
      </c>
      <c r="AF139" s="113">
        <f>'IS (Adjusted)'!AF139-'IS (Base)'!AF139</f>
        <v>0</v>
      </c>
      <c r="AG139" s="137">
        <f>'IS (Adjusted)'!AG139-'IS (Base)'!AG139</f>
        <v>0</v>
      </c>
      <c r="AH139" s="113">
        <f>'IS (Adjusted)'!AH139-'IS (Base)'!AH139</f>
        <v>0</v>
      </c>
      <c r="AI139" s="113">
        <f>'IS (Adjusted)'!AI139-'IS (Base)'!AI139</f>
        <v>0</v>
      </c>
      <c r="AJ139" s="113">
        <f>'IS (Adjusted)'!AJ139-'IS (Base)'!AJ139</f>
        <v>0</v>
      </c>
      <c r="AK139" s="113">
        <f>'IS (Adjusted)'!AK139-'IS (Base)'!AK139</f>
        <v>0</v>
      </c>
      <c r="AL139" s="406">
        <f>'IS (Adjusted)'!AL139-'IS (Base)'!AL139</f>
        <v>0</v>
      </c>
      <c r="AM139" s="113">
        <f>'IS (Adjusted)'!AM139-'IS (Base)'!AM139</f>
        <v>0</v>
      </c>
      <c r="AN139" s="113">
        <f>'IS (Adjusted)'!AN139-'IS (Base)'!AN139</f>
        <v>0</v>
      </c>
      <c r="AO139" s="113">
        <f>'IS (Adjusted)'!AO139-'IS (Base)'!AO139</f>
        <v>0</v>
      </c>
      <c r="AP139" s="113">
        <f>'IS (Adjusted)'!AP139-'IS (Base)'!AP139</f>
        <v>0</v>
      </c>
      <c r="AQ139" s="137">
        <f>'IS (Adjusted)'!AQ139-'IS (Base)'!AQ139</f>
        <v>0</v>
      </c>
      <c r="AR139" s="113">
        <f>'IS (Adjusted)'!AR139-'IS (Base)'!AR139</f>
        <v>0</v>
      </c>
      <c r="AS139" s="113">
        <f>'IS (Adjusted)'!AS139-'IS (Base)'!AS139</f>
        <v>0</v>
      </c>
      <c r="AT139" s="113">
        <f>'IS (Adjusted)'!AT139-'IS (Base)'!AT139</f>
        <v>0</v>
      </c>
      <c r="AU139" s="113">
        <f>'IS (Adjusted)'!AU139-'IS (Base)'!AU139</f>
        <v>0</v>
      </c>
      <c r="AV139" s="137">
        <f>'IS (Adjusted)'!AV139-'IS (Base)'!AV139</f>
        <v>0</v>
      </c>
    </row>
    <row r="140" spans="2:48" s="23" customFormat="1" outlineLevel="1" x14ac:dyDescent="0.3">
      <c r="B140" s="580" t="s">
        <v>17</v>
      </c>
      <c r="C140" s="581"/>
      <c r="D140" s="30">
        <f>'IS (Adjusted)'!D140-'IS (Base)'!D140</f>
        <v>0</v>
      </c>
      <c r="E140" s="30">
        <f>'IS (Adjusted)'!E140-'IS (Base)'!E140</f>
        <v>0</v>
      </c>
      <c r="F140" s="30">
        <f>'IS (Adjusted)'!F140-'IS (Base)'!F140</f>
        <v>0</v>
      </c>
      <c r="G140" s="30">
        <f>'IS (Adjusted)'!G140-'IS (Base)'!G140</f>
        <v>0</v>
      </c>
      <c r="H140" s="137">
        <f>'IS (Adjusted)'!H140-'IS (Base)'!H140</f>
        <v>0</v>
      </c>
      <c r="I140" s="30">
        <f>'IS (Adjusted)'!I140-'IS (Base)'!I140</f>
        <v>0</v>
      </c>
      <c r="J140" s="30">
        <f>'IS (Adjusted)'!J140-'IS (Base)'!J140</f>
        <v>0</v>
      </c>
      <c r="K140" s="30">
        <f>'IS (Adjusted)'!K140-'IS (Base)'!K140</f>
        <v>0</v>
      </c>
      <c r="L140" s="113">
        <f>'IS (Adjusted)'!L140-'IS (Base)'!L140</f>
        <v>0</v>
      </c>
      <c r="M140" s="128">
        <f>'IS (Adjusted)'!M140-'IS (Base)'!M140</f>
        <v>0</v>
      </c>
      <c r="N140" s="30">
        <f>'IS (Adjusted)'!N140-'IS (Base)'!N140</f>
        <v>0</v>
      </c>
      <c r="O140" s="30">
        <f>'IS (Adjusted)'!O140-'IS (Base)'!O140</f>
        <v>0</v>
      </c>
      <c r="P140" s="30">
        <f>'IS (Adjusted)'!P140-'IS (Base)'!P140</f>
        <v>0</v>
      </c>
      <c r="Q140" s="30">
        <f>'IS (Adjusted)'!Q140-'IS (Base)'!Q140</f>
        <v>0</v>
      </c>
      <c r="R140" s="128">
        <f>'IS (Adjusted)'!R140-'IS (Base)'!R140</f>
        <v>0</v>
      </c>
      <c r="S140" s="30">
        <f>'IS (Adjusted)'!S140-'IS (Base)'!S140</f>
        <v>0</v>
      </c>
      <c r="T140" s="30">
        <f>'IS (Adjusted)'!T140-'IS (Base)'!T140</f>
        <v>0</v>
      </c>
      <c r="U140" s="30">
        <f>'IS (Adjusted)'!U140-'IS (Base)'!U140</f>
        <v>0</v>
      </c>
      <c r="V140" s="30">
        <f>'IS (Adjusted)'!V140-'IS (Base)'!V140</f>
        <v>0</v>
      </c>
      <c r="W140" s="28">
        <f>'IS (Adjusted)'!W140-'IS (Base)'!W140</f>
        <v>0</v>
      </c>
      <c r="X140" s="30">
        <f>'IS (Adjusted)'!X140-'IS (Base)'!X140</f>
        <v>0</v>
      </c>
      <c r="Y140" s="30">
        <f>'IS (Adjusted)'!Y140-'IS (Base)'!Y140</f>
        <v>0</v>
      </c>
      <c r="Z140" s="30">
        <f>'IS (Adjusted)'!Z140-'IS (Base)'!Z140</f>
        <v>0</v>
      </c>
      <c r="AA140" s="30">
        <f>'IS (Adjusted)'!AA140-'IS (Base)'!AA140</f>
        <v>0</v>
      </c>
      <c r="AB140" s="137">
        <f>'IS (Adjusted)'!AB140-'IS (Base)'!AB140</f>
        <v>0</v>
      </c>
      <c r="AC140" s="30">
        <f>'IS (Adjusted)'!AC140-'IS (Base)'!AC140</f>
        <v>0</v>
      </c>
      <c r="AD140" s="30">
        <f>'IS (Adjusted)'!AD140-'IS (Base)'!AD140</f>
        <v>0</v>
      </c>
      <c r="AE140" s="30">
        <f>'IS (Adjusted)'!AE140-'IS (Base)'!AE140</f>
        <v>0</v>
      </c>
      <c r="AF140" s="30">
        <f>'IS (Adjusted)'!AF140-'IS (Base)'!AF140</f>
        <v>0</v>
      </c>
      <c r="AG140" s="137">
        <f>'IS (Adjusted)'!AG140-'IS (Base)'!AG140</f>
        <v>0</v>
      </c>
      <c r="AH140" s="30">
        <f>'IS (Adjusted)'!AH140-'IS (Base)'!AH140</f>
        <v>0</v>
      </c>
      <c r="AI140" s="30">
        <f>'IS (Adjusted)'!AI140-'IS (Base)'!AI140</f>
        <v>0</v>
      </c>
      <c r="AJ140" s="30">
        <f>'IS (Adjusted)'!AJ140-'IS (Base)'!AJ140</f>
        <v>0</v>
      </c>
      <c r="AK140" s="30">
        <f>'IS (Adjusted)'!AK140-'IS (Base)'!AK140</f>
        <v>0</v>
      </c>
      <c r="AL140" s="406">
        <f>'IS (Adjusted)'!AL140-'IS (Base)'!AL140</f>
        <v>0</v>
      </c>
      <c r="AM140" s="30">
        <f>'IS (Adjusted)'!AM140-'IS (Base)'!AM140</f>
        <v>0</v>
      </c>
      <c r="AN140" s="30">
        <f>'IS (Adjusted)'!AN140-'IS (Base)'!AN140</f>
        <v>0</v>
      </c>
      <c r="AO140" s="30">
        <f>'IS (Adjusted)'!AO140-'IS (Base)'!AO140</f>
        <v>0</v>
      </c>
      <c r="AP140" s="30">
        <f>'IS (Adjusted)'!AP140-'IS (Base)'!AP140</f>
        <v>0</v>
      </c>
      <c r="AQ140" s="28">
        <f>'IS (Adjusted)'!AQ140-'IS (Base)'!AQ140</f>
        <v>0</v>
      </c>
      <c r="AR140" s="30">
        <f>'IS (Adjusted)'!AR140-'IS (Base)'!AR140</f>
        <v>0</v>
      </c>
      <c r="AS140" s="30">
        <f>'IS (Adjusted)'!AS140-'IS (Base)'!AS140</f>
        <v>0</v>
      </c>
      <c r="AT140" s="30">
        <f>'IS (Adjusted)'!AT140-'IS (Base)'!AT140</f>
        <v>0</v>
      </c>
      <c r="AU140" s="30">
        <f>'IS (Adjusted)'!AU140-'IS (Base)'!AU140</f>
        <v>0</v>
      </c>
      <c r="AV140" s="28">
        <f>'IS (Adjusted)'!AV140-'IS (Base)'!AV140</f>
        <v>0</v>
      </c>
    </row>
    <row r="141" spans="2:48" s="23" customFormat="1" outlineLevel="1" x14ac:dyDescent="0.3">
      <c r="B141" s="580" t="s">
        <v>4</v>
      </c>
      <c r="C141" s="581"/>
      <c r="D141" s="27">
        <f>'IS (Adjusted)'!D141-'IS (Base)'!D141</f>
        <v>0</v>
      </c>
      <c r="E141" s="27">
        <f>'IS (Adjusted)'!E141-'IS (Base)'!E141</f>
        <v>0</v>
      </c>
      <c r="F141" s="27">
        <f>'IS (Adjusted)'!F141-'IS (Base)'!F141</f>
        <v>0</v>
      </c>
      <c r="G141" s="27">
        <f>'IS (Adjusted)'!G141-'IS (Base)'!G141</f>
        <v>0</v>
      </c>
      <c r="H141" s="29">
        <f>'IS (Adjusted)'!H141-'IS (Base)'!H141</f>
        <v>0</v>
      </c>
      <c r="I141" s="27">
        <f>'IS (Adjusted)'!I141-'IS (Base)'!I141</f>
        <v>0</v>
      </c>
      <c r="J141" s="27">
        <f>'IS (Adjusted)'!J141-'IS (Base)'!J141</f>
        <v>0</v>
      </c>
      <c r="K141" s="27">
        <f>'IS (Adjusted)'!K141-'IS (Base)'!K141</f>
        <v>0</v>
      </c>
      <c r="L141" s="113">
        <f>'IS (Adjusted)'!L141-'IS (Base)'!L141</f>
        <v>0</v>
      </c>
      <c r="M141" s="137">
        <f>'IS (Adjusted)'!M141-'IS (Base)'!M141</f>
        <v>0</v>
      </c>
      <c r="N141" s="27">
        <f>'IS (Adjusted)'!N141-'IS (Base)'!N141</f>
        <v>0</v>
      </c>
      <c r="O141" s="27">
        <f>'IS (Adjusted)'!O141-'IS (Base)'!O141</f>
        <v>0</v>
      </c>
      <c r="P141" s="27">
        <f>'IS (Adjusted)'!P141-'IS (Base)'!P141</f>
        <v>0</v>
      </c>
      <c r="Q141" s="27">
        <f>'IS (Adjusted)'!Q141-'IS (Base)'!Q141</f>
        <v>0</v>
      </c>
      <c r="R141" s="137">
        <f>'IS (Adjusted)'!R141-'IS (Base)'!R141</f>
        <v>0</v>
      </c>
      <c r="S141" s="27">
        <f>'IS (Adjusted)'!S141-'IS (Base)'!S141</f>
        <v>0</v>
      </c>
      <c r="T141" s="27">
        <f>'IS (Adjusted)'!T141-'IS (Base)'!T141</f>
        <v>0</v>
      </c>
      <c r="U141" s="27">
        <f>'IS (Adjusted)'!U141-'IS (Base)'!U141</f>
        <v>0</v>
      </c>
      <c r="V141" s="27">
        <f>'IS (Adjusted)'!V141-'IS (Base)'!V141</f>
        <v>0</v>
      </c>
      <c r="W141" s="137">
        <f>'IS (Adjusted)'!W141-'IS (Base)'!W141</f>
        <v>0</v>
      </c>
      <c r="X141" s="27">
        <f>'IS (Adjusted)'!X141-'IS (Base)'!X141</f>
        <v>0</v>
      </c>
      <c r="Y141" s="27">
        <f>'IS (Adjusted)'!Y141-'IS (Base)'!Y141</f>
        <v>0</v>
      </c>
      <c r="Z141" s="27">
        <f>'IS (Adjusted)'!Z141-'IS (Base)'!Z141</f>
        <v>0</v>
      </c>
      <c r="AA141" s="27">
        <f>'IS (Adjusted)'!AA141-'IS (Base)'!AA141</f>
        <v>0</v>
      </c>
      <c r="AB141" s="137">
        <f>'IS (Adjusted)'!AB141-'IS (Base)'!AB141</f>
        <v>0</v>
      </c>
      <c r="AC141" s="27">
        <f>'IS (Adjusted)'!AC141-'IS (Base)'!AC141</f>
        <v>0</v>
      </c>
      <c r="AD141" s="27">
        <f>'IS (Adjusted)'!AD141-'IS (Base)'!AD141</f>
        <v>0</v>
      </c>
      <c r="AE141" s="27">
        <f>'IS (Adjusted)'!AE141-'IS (Base)'!AE141</f>
        <v>0</v>
      </c>
      <c r="AF141" s="27">
        <f>'IS (Adjusted)'!AF141-'IS (Base)'!AF141</f>
        <v>0</v>
      </c>
      <c r="AG141" s="137">
        <f>'IS (Adjusted)'!AG141-'IS (Base)'!AG141</f>
        <v>0</v>
      </c>
      <c r="AH141" s="27">
        <f>'IS (Adjusted)'!AH141-'IS (Base)'!AH141</f>
        <v>0</v>
      </c>
      <c r="AI141" s="27">
        <f>'IS (Adjusted)'!AI141-'IS (Base)'!AI141</f>
        <v>0</v>
      </c>
      <c r="AJ141" s="27">
        <f>'IS (Adjusted)'!AJ141-'IS (Base)'!AJ141</f>
        <v>0</v>
      </c>
      <c r="AK141" s="27">
        <f>'IS (Adjusted)'!AK141-'IS (Base)'!AK141</f>
        <v>0</v>
      </c>
      <c r="AL141" s="29">
        <f>'IS (Adjusted)'!AL141-'IS (Base)'!AL141</f>
        <v>0</v>
      </c>
      <c r="AM141" s="27">
        <f>'IS (Adjusted)'!AM141-'IS (Base)'!AM141</f>
        <v>0</v>
      </c>
      <c r="AN141" s="27">
        <f>'IS (Adjusted)'!AN141-'IS (Base)'!AN141</f>
        <v>0</v>
      </c>
      <c r="AO141" s="27">
        <f>'IS (Adjusted)'!AO141-'IS (Base)'!AO141</f>
        <v>0</v>
      </c>
      <c r="AP141" s="27">
        <f>'IS (Adjusted)'!AP141-'IS (Base)'!AP141</f>
        <v>0</v>
      </c>
      <c r="AQ141" s="29">
        <f>'IS (Adjusted)'!AQ141-'IS (Base)'!AQ141</f>
        <v>0</v>
      </c>
      <c r="AR141" s="27">
        <f>'IS (Adjusted)'!AR141-'IS (Base)'!AR141</f>
        <v>0</v>
      </c>
      <c r="AS141" s="27">
        <f>'IS (Adjusted)'!AS141-'IS (Base)'!AS141</f>
        <v>0</v>
      </c>
      <c r="AT141" s="27">
        <f>'IS (Adjusted)'!AT141-'IS (Base)'!AT141</f>
        <v>0</v>
      </c>
      <c r="AU141" s="27">
        <f>'IS (Adjusted)'!AU141-'IS (Base)'!AU141</f>
        <v>0</v>
      </c>
      <c r="AV141" s="29">
        <f>'IS (Adjusted)'!AV141-'IS (Base)'!AV141</f>
        <v>0</v>
      </c>
    </row>
    <row r="142" spans="2:48" s="23" customFormat="1" outlineLevel="1" x14ac:dyDescent="0.3">
      <c r="B142" s="580" t="s">
        <v>77</v>
      </c>
      <c r="C142" s="581"/>
      <c r="D142" s="27">
        <f>'IS (Adjusted)'!D142-'IS (Base)'!D142</f>
        <v>0</v>
      </c>
      <c r="E142" s="27">
        <f>'IS (Adjusted)'!E142-'IS (Base)'!E142</f>
        <v>0</v>
      </c>
      <c r="F142" s="27">
        <f>'IS (Adjusted)'!F142-'IS (Base)'!F142</f>
        <v>0</v>
      </c>
      <c r="G142" s="27">
        <f>'IS (Adjusted)'!G142-'IS (Base)'!G142</f>
        <v>0</v>
      </c>
      <c r="H142" s="29">
        <f>'IS (Adjusted)'!H142-'IS (Base)'!H142</f>
        <v>0</v>
      </c>
      <c r="I142" s="27">
        <f>'IS (Adjusted)'!I142-'IS (Base)'!I142</f>
        <v>0</v>
      </c>
      <c r="J142" s="27">
        <f>'IS (Adjusted)'!J142-'IS (Base)'!J142</f>
        <v>0</v>
      </c>
      <c r="K142" s="27">
        <f>'IS (Adjusted)'!K142-'IS (Base)'!K142</f>
        <v>0</v>
      </c>
      <c r="L142" s="113">
        <f>'IS (Adjusted)'!L142-'IS (Base)'!L142</f>
        <v>0</v>
      </c>
      <c r="M142" s="137">
        <f>'IS (Adjusted)'!M142-'IS (Base)'!M142</f>
        <v>0</v>
      </c>
      <c r="N142" s="27">
        <f>'IS (Adjusted)'!N142-'IS (Base)'!N142</f>
        <v>0</v>
      </c>
      <c r="O142" s="27">
        <f>'IS (Adjusted)'!O142-'IS (Base)'!O142</f>
        <v>0</v>
      </c>
      <c r="P142" s="27">
        <f>'IS (Adjusted)'!P142-'IS (Base)'!P142</f>
        <v>0</v>
      </c>
      <c r="Q142" s="27">
        <f>'IS (Adjusted)'!Q142-'IS (Base)'!Q142</f>
        <v>0</v>
      </c>
      <c r="R142" s="137">
        <f>'IS (Adjusted)'!R142-'IS (Base)'!R142</f>
        <v>0</v>
      </c>
      <c r="S142" s="27">
        <f>'IS (Adjusted)'!S142-'IS (Base)'!S142</f>
        <v>0</v>
      </c>
      <c r="T142" s="27">
        <f>'IS (Adjusted)'!T142-'IS (Base)'!T142</f>
        <v>0</v>
      </c>
      <c r="U142" s="27">
        <f>'IS (Adjusted)'!U142-'IS (Base)'!U142</f>
        <v>0</v>
      </c>
      <c r="V142" s="27">
        <f>'IS (Adjusted)'!V142-'IS (Base)'!V142</f>
        <v>0</v>
      </c>
      <c r="W142" s="137">
        <f>'IS (Adjusted)'!W142-'IS (Base)'!W142</f>
        <v>0</v>
      </c>
      <c r="X142" s="27">
        <f>'IS (Adjusted)'!X142-'IS (Base)'!X142</f>
        <v>0</v>
      </c>
      <c r="Y142" s="27">
        <f>'IS (Adjusted)'!Y142-'IS (Base)'!Y142</f>
        <v>0</v>
      </c>
      <c r="Z142" s="27">
        <f>'IS (Adjusted)'!Z142-'IS (Base)'!Z142</f>
        <v>0</v>
      </c>
      <c r="AA142" s="27">
        <f>'IS (Adjusted)'!AA142-'IS (Base)'!AA142</f>
        <v>0</v>
      </c>
      <c r="AB142" s="137">
        <f>'IS (Adjusted)'!AB142-'IS (Base)'!AB142</f>
        <v>0</v>
      </c>
      <c r="AC142" s="27">
        <f>'IS (Adjusted)'!AC142-'IS (Base)'!AC142</f>
        <v>0</v>
      </c>
      <c r="AD142" s="27">
        <f>'IS (Adjusted)'!AD142-'IS (Base)'!AD142</f>
        <v>0</v>
      </c>
      <c r="AE142" s="27">
        <f>'IS (Adjusted)'!AE142-'IS (Base)'!AE142</f>
        <v>0</v>
      </c>
      <c r="AF142" s="27">
        <f>'IS (Adjusted)'!AF142-'IS (Base)'!AF142</f>
        <v>0</v>
      </c>
      <c r="AG142" s="137">
        <f>'IS (Adjusted)'!AG142-'IS (Base)'!AG142</f>
        <v>0</v>
      </c>
      <c r="AH142" s="27">
        <f>'IS (Adjusted)'!AH142-'IS (Base)'!AH142</f>
        <v>0</v>
      </c>
      <c r="AI142" s="27">
        <f>'IS (Adjusted)'!AI142-'IS (Base)'!AI142</f>
        <v>0</v>
      </c>
      <c r="AJ142" s="27">
        <f>'IS (Adjusted)'!AJ142-'IS (Base)'!AJ142</f>
        <v>0</v>
      </c>
      <c r="AK142" s="27">
        <f>'IS (Adjusted)'!AK142-'IS (Base)'!AK142</f>
        <v>0</v>
      </c>
      <c r="AL142" s="406">
        <f>'IS (Adjusted)'!AL142-'IS (Base)'!AL142</f>
        <v>0</v>
      </c>
      <c r="AM142" s="27">
        <f>'IS (Adjusted)'!AM142-'IS (Base)'!AM142</f>
        <v>0</v>
      </c>
      <c r="AN142" s="27">
        <f>'IS (Adjusted)'!AN142-'IS (Base)'!AN142</f>
        <v>0</v>
      </c>
      <c r="AO142" s="27">
        <f>'IS (Adjusted)'!AO142-'IS (Base)'!AO142</f>
        <v>0</v>
      </c>
      <c r="AP142" s="27">
        <f>'IS (Adjusted)'!AP142-'IS (Base)'!AP142</f>
        <v>0</v>
      </c>
      <c r="AQ142" s="29">
        <f>'IS (Adjusted)'!AQ142-'IS (Base)'!AQ142</f>
        <v>0</v>
      </c>
      <c r="AR142" s="27">
        <f>'IS (Adjusted)'!AR142-'IS (Base)'!AR142</f>
        <v>0</v>
      </c>
      <c r="AS142" s="27">
        <f>'IS (Adjusted)'!AS142-'IS (Base)'!AS142</f>
        <v>0</v>
      </c>
      <c r="AT142" s="27">
        <f>'IS (Adjusted)'!AT142-'IS (Base)'!AT142</f>
        <v>0</v>
      </c>
      <c r="AU142" s="27">
        <f>'IS (Adjusted)'!AU142-'IS (Base)'!AU142</f>
        <v>0</v>
      </c>
      <c r="AV142" s="29">
        <f>'IS (Adjusted)'!AV142-'IS (Base)'!AV142</f>
        <v>0</v>
      </c>
    </row>
    <row r="143" spans="2:48" s="23" customFormat="1" outlineLevel="1" x14ac:dyDescent="0.3">
      <c r="B143" s="580" t="s">
        <v>2</v>
      </c>
      <c r="C143" s="581"/>
      <c r="D143" s="27">
        <f>'IS (Adjusted)'!D143-'IS (Base)'!D143</f>
        <v>0</v>
      </c>
      <c r="E143" s="27">
        <f>'IS (Adjusted)'!E143-'IS (Base)'!E143</f>
        <v>0</v>
      </c>
      <c r="F143" s="27">
        <f>'IS (Adjusted)'!F143-'IS (Base)'!F143</f>
        <v>0</v>
      </c>
      <c r="G143" s="118">
        <f>'IS (Adjusted)'!G143-'IS (Base)'!G143</f>
        <v>0</v>
      </c>
      <c r="H143" s="137">
        <f>'IS (Adjusted)'!H143-'IS (Base)'!H143</f>
        <v>0</v>
      </c>
      <c r="I143" s="118">
        <f>'IS (Adjusted)'!I143-'IS (Base)'!I143</f>
        <v>0</v>
      </c>
      <c r="J143" s="118">
        <f>'IS (Adjusted)'!J143-'IS (Base)'!J143</f>
        <v>0</v>
      </c>
      <c r="K143" s="118">
        <f>'IS (Adjusted)'!K143-'IS (Base)'!K143</f>
        <v>0</v>
      </c>
      <c r="L143" s="118">
        <f>'IS (Adjusted)'!L143-'IS (Base)'!L143</f>
        <v>0</v>
      </c>
      <c r="M143" s="137">
        <f>'IS (Adjusted)'!M143-'IS (Base)'!M143</f>
        <v>0</v>
      </c>
      <c r="N143" s="118">
        <f>'IS (Adjusted)'!N143-'IS (Base)'!N143</f>
        <v>0</v>
      </c>
      <c r="O143" s="118">
        <f>'IS (Adjusted)'!O143-'IS (Base)'!O143</f>
        <v>0</v>
      </c>
      <c r="P143" s="118">
        <f>'IS (Adjusted)'!P143-'IS (Base)'!P143</f>
        <v>0</v>
      </c>
      <c r="Q143" s="118">
        <f>'IS (Adjusted)'!Q143-'IS (Base)'!Q143</f>
        <v>0</v>
      </c>
      <c r="R143" s="137">
        <f>'IS (Adjusted)'!R143-'IS (Base)'!R143</f>
        <v>0</v>
      </c>
      <c r="S143" s="118">
        <f>'IS (Adjusted)'!S143-'IS (Base)'!S143</f>
        <v>0</v>
      </c>
      <c r="T143" s="118">
        <f>'IS (Adjusted)'!T143-'IS (Base)'!T143</f>
        <v>0</v>
      </c>
      <c r="U143" s="118">
        <f>'IS (Adjusted)'!U143-'IS (Base)'!U143</f>
        <v>0</v>
      </c>
      <c r="V143" s="118">
        <f>'IS (Adjusted)'!V143-'IS (Base)'!V143</f>
        <v>0</v>
      </c>
      <c r="W143" s="137">
        <f>'IS (Adjusted)'!W143-'IS (Base)'!W143</f>
        <v>0</v>
      </c>
      <c r="X143" s="113">
        <f>'IS (Adjusted)'!X143-'IS (Base)'!X143</f>
        <v>0</v>
      </c>
      <c r="Y143" s="35">
        <f>'IS (Adjusted)'!Y143-'IS (Base)'!Y143</f>
        <v>0</v>
      </c>
      <c r="Z143" s="35">
        <f>'IS (Adjusted)'!Z143-'IS (Base)'!Z143</f>
        <v>0</v>
      </c>
      <c r="AA143" s="35">
        <f>'IS (Adjusted)'!AA143-'IS (Base)'!AA143</f>
        <v>0</v>
      </c>
      <c r="AB143" s="406">
        <f>'IS (Adjusted)'!AB143-'IS (Base)'!AB143</f>
        <v>0</v>
      </c>
      <c r="AC143" s="34">
        <f>'IS (Adjusted)'!AC143-'IS (Base)'!AC143</f>
        <v>0</v>
      </c>
      <c r="AD143" s="34">
        <f>'IS (Adjusted)'!AD143-'IS (Base)'!AD143</f>
        <v>0</v>
      </c>
      <c r="AE143" s="34">
        <f>'IS (Adjusted)'!AE143-'IS (Base)'!AE143</f>
        <v>0</v>
      </c>
      <c r="AF143" s="34">
        <f>'IS (Adjusted)'!AF143-'IS (Base)'!AF143</f>
        <v>0</v>
      </c>
      <c r="AG143" s="29">
        <f>'IS (Adjusted)'!AG143-'IS (Base)'!AG143</f>
        <v>0</v>
      </c>
      <c r="AH143" s="34">
        <f>'IS (Adjusted)'!AH143-'IS (Base)'!AH143</f>
        <v>0</v>
      </c>
      <c r="AI143" s="34">
        <f>'IS (Adjusted)'!AI143-'IS (Base)'!AI143</f>
        <v>0</v>
      </c>
      <c r="AJ143" s="34">
        <f>'IS (Adjusted)'!AJ143-'IS (Base)'!AJ143</f>
        <v>0</v>
      </c>
      <c r="AK143" s="34">
        <f>'IS (Adjusted)'!AK143-'IS (Base)'!AK143</f>
        <v>0</v>
      </c>
      <c r="AL143" s="29">
        <f>'IS (Adjusted)'!AL143-'IS (Base)'!AL143</f>
        <v>0</v>
      </c>
      <c r="AM143" s="34">
        <f>'IS (Adjusted)'!AM143-'IS (Base)'!AM143</f>
        <v>0</v>
      </c>
      <c r="AN143" s="34">
        <f>'IS (Adjusted)'!AN143-'IS (Base)'!AN143</f>
        <v>0</v>
      </c>
      <c r="AO143" s="34">
        <f>'IS (Adjusted)'!AO143-'IS (Base)'!AO143</f>
        <v>0</v>
      </c>
      <c r="AP143" s="34">
        <f>'IS (Adjusted)'!AP143-'IS (Base)'!AP143</f>
        <v>0</v>
      </c>
      <c r="AQ143" s="29">
        <f>'IS (Adjusted)'!AQ143-'IS (Base)'!AQ143</f>
        <v>0</v>
      </c>
      <c r="AR143" s="34">
        <f>'IS (Adjusted)'!AR143-'IS (Base)'!AR143</f>
        <v>0</v>
      </c>
      <c r="AS143" s="34">
        <f>'IS (Adjusted)'!AS143-'IS (Base)'!AS143</f>
        <v>0</v>
      </c>
      <c r="AT143" s="34">
        <f>'IS (Adjusted)'!AT143-'IS (Base)'!AT143</f>
        <v>0</v>
      </c>
      <c r="AU143" s="34">
        <f>'IS (Adjusted)'!AU143-'IS (Base)'!AU143</f>
        <v>0</v>
      </c>
      <c r="AV143" s="29">
        <f>'IS (Adjusted)'!AV143-'IS (Base)'!AV143</f>
        <v>0</v>
      </c>
    </row>
    <row r="144" spans="2:48" s="23" customFormat="1" outlineLevel="1" x14ac:dyDescent="0.3">
      <c r="B144" s="580" t="s">
        <v>78</v>
      </c>
      <c r="C144" s="581"/>
      <c r="D144" s="27">
        <f>'IS (Adjusted)'!D144-'IS (Base)'!D144</f>
        <v>0</v>
      </c>
      <c r="E144" s="27">
        <f>'IS (Adjusted)'!E144-'IS (Base)'!E144</f>
        <v>0</v>
      </c>
      <c r="F144" s="27">
        <f>'IS (Adjusted)'!F144-'IS (Base)'!F144</f>
        <v>0</v>
      </c>
      <c r="G144" s="27">
        <f>'IS (Adjusted)'!G144-'IS (Base)'!G144</f>
        <v>0</v>
      </c>
      <c r="H144" s="29">
        <f>'IS (Adjusted)'!H144-'IS (Base)'!H144</f>
        <v>0</v>
      </c>
      <c r="I144" s="27">
        <f>'IS (Adjusted)'!I144-'IS (Base)'!I144</f>
        <v>0</v>
      </c>
      <c r="J144" s="27">
        <f>'IS (Adjusted)'!J144-'IS (Base)'!J144</f>
        <v>0</v>
      </c>
      <c r="K144" s="27">
        <f>'IS (Adjusted)'!K144-'IS (Base)'!K144</f>
        <v>0</v>
      </c>
      <c r="L144" s="27">
        <f>'IS (Adjusted)'!L144-'IS (Base)'!L144</f>
        <v>0</v>
      </c>
      <c r="M144" s="29">
        <f>'IS (Adjusted)'!M144-'IS (Base)'!M144</f>
        <v>0</v>
      </c>
      <c r="N144" s="27">
        <f>'IS (Adjusted)'!N144-'IS (Base)'!N144</f>
        <v>0</v>
      </c>
      <c r="O144" s="27">
        <f>'IS (Adjusted)'!O144-'IS (Base)'!O144</f>
        <v>0</v>
      </c>
      <c r="P144" s="27">
        <f>'IS (Adjusted)'!P144-'IS (Base)'!P144</f>
        <v>0</v>
      </c>
      <c r="Q144" s="27">
        <f>'IS (Adjusted)'!Q144-'IS (Base)'!Q144</f>
        <v>0</v>
      </c>
      <c r="R144" s="137">
        <f>'IS (Adjusted)'!R144-'IS (Base)'!R144</f>
        <v>0</v>
      </c>
      <c r="S144" s="27">
        <f>'IS (Adjusted)'!S144-'IS (Base)'!S144</f>
        <v>0</v>
      </c>
      <c r="T144" s="27">
        <f>'IS (Adjusted)'!T144-'IS (Base)'!T144</f>
        <v>0</v>
      </c>
      <c r="U144" s="27">
        <f>'IS (Adjusted)'!U144-'IS (Base)'!U144</f>
        <v>0</v>
      </c>
      <c r="V144" s="27">
        <f>'IS (Adjusted)'!V144-'IS (Base)'!V144</f>
        <v>0</v>
      </c>
      <c r="W144" s="137">
        <f>'IS (Adjusted)'!W144-'IS (Base)'!W144</f>
        <v>0</v>
      </c>
      <c r="X144" s="27">
        <f>'IS (Adjusted)'!X144-'IS (Base)'!X144</f>
        <v>0</v>
      </c>
      <c r="Y144" s="35">
        <f>'IS (Adjusted)'!Y144-'IS (Base)'!Y144</f>
        <v>0</v>
      </c>
      <c r="Z144" s="35">
        <f>'IS (Adjusted)'!Z144-'IS (Base)'!Z144</f>
        <v>0</v>
      </c>
      <c r="AA144" s="35">
        <f>'IS (Adjusted)'!AA144-'IS (Base)'!AA144</f>
        <v>0</v>
      </c>
      <c r="AB144" s="137">
        <f>'IS (Adjusted)'!AB144-'IS (Base)'!AB144</f>
        <v>0</v>
      </c>
      <c r="AC144" s="35">
        <f>'IS (Adjusted)'!AC144-'IS (Base)'!AC144</f>
        <v>0</v>
      </c>
      <c r="AD144" s="35">
        <f>'IS (Adjusted)'!AD144-'IS (Base)'!AD144</f>
        <v>0</v>
      </c>
      <c r="AE144" s="35">
        <f>'IS (Adjusted)'!AE144-'IS (Base)'!AE144</f>
        <v>0</v>
      </c>
      <c r="AF144" s="35">
        <f>'IS (Adjusted)'!AF144-'IS (Base)'!AF144</f>
        <v>0</v>
      </c>
      <c r="AG144" s="29">
        <f>'IS (Adjusted)'!AG144-'IS (Base)'!AG144</f>
        <v>0</v>
      </c>
      <c r="AH144" s="35">
        <f>'IS (Adjusted)'!AH144-'IS (Base)'!AH144</f>
        <v>0</v>
      </c>
      <c r="AI144" s="35">
        <f>'IS (Adjusted)'!AI144-'IS (Base)'!AI144</f>
        <v>0</v>
      </c>
      <c r="AJ144" s="35">
        <f>'IS (Adjusted)'!AJ144-'IS (Base)'!AJ144</f>
        <v>0</v>
      </c>
      <c r="AK144" s="35">
        <f>'IS (Adjusted)'!AK144-'IS (Base)'!AK144</f>
        <v>0</v>
      </c>
      <c r="AL144" s="29">
        <f>'IS (Adjusted)'!AL144-'IS (Base)'!AL144</f>
        <v>0</v>
      </c>
      <c r="AM144" s="35">
        <f>'IS (Adjusted)'!AM144-'IS (Base)'!AM144</f>
        <v>0</v>
      </c>
      <c r="AN144" s="35">
        <f>'IS (Adjusted)'!AN144-'IS (Base)'!AN144</f>
        <v>0</v>
      </c>
      <c r="AO144" s="35">
        <f>'IS (Adjusted)'!AO144-'IS (Base)'!AO144</f>
        <v>0</v>
      </c>
      <c r="AP144" s="35">
        <f>'IS (Adjusted)'!AP144-'IS (Base)'!AP144</f>
        <v>0</v>
      </c>
      <c r="AQ144" s="29">
        <f>'IS (Adjusted)'!AQ144-'IS (Base)'!AQ144</f>
        <v>0</v>
      </c>
      <c r="AR144" s="35">
        <f>'IS (Adjusted)'!AR144-'IS (Base)'!AR144</f>
        <v>0</v>
      </c>
      <c r="AS144" s="35">
        <f>'IS (Adjusted)'!AS144-'IS (Base)'!AS144</f>
        <v>0</v>
      </c>
      <c r="AT144" s="35">
        <f>'IS (Adjusted)'!AT144-'IS (Base)'!AT144</f>
        <v>0</v>
      </c>
      <c r="AU144" s="35">
        <f>'IS (Adjusted)'!AU144-'IS (Base)'!AU144</f>
        <v>0</v>
      </c>
      <c r="AV144" s="29">
        <f>'IS (Adjusted)'!AV144-'IS (Base)'!AV144</f>
        <v>0</v>
      </c>
    </row>
    <row r="145" spans="2:48" s="23" customFormat="1" outlineLevel="1" x14ac:dyDescent="0.3">
      <c r="B145" s="580" t="s">
        <v>79</v>
      </c>
      <c r="C145" s="581"/>
      <c r="D145" s="27">
        <f>'IS (Adjusted)'!D145-'IS (Base)'!D145</f>
        <v>0</v>
      </c>
      <c r="E145" s="215">
        <f>'IS (Adjusted)'!E145-'IS (Base)'!E145</f>
        <v>0</v>
      </c>
      <c r="F145" s="215">
        <f>'IS (Adjusted)'!F145-'IS (Base)'!F145</f>
        <v>0</v>
      </c>
      <c r="G145" s="215">
        <f>'IS (Adjusted)'!G145-'IS (Base)'!G145</f>
        <v>0</v>
      </c>
      <c r="H145" s="29">
        <f>'IS (Adjusted)'!H145-'IS (Base)'!H145</f>
        <v>0</v>
      </c>
      <c r="I145" s="215">
        <f>'IS (Adjusted)'!I145-'IS (Base)'!I145</f>
        <v>0</v>
      </c>
      <c r="J145" s="215">
        <f>'IS (Adjusted)'!J145-'IS (Base)'!J145</f>
        <v>0</v>
      </c>
      <c r="K145" s="215">
        <f>'IS (Adjusted)'!K145-'IS (Base)'!K145</f>
        <v>0</v>
      </c>
      <c r="L145" s="215">
        <f>'IS (Adjusted)'!L145-'IS (Base)'!L145</f>
        <v>0</v>
      </c>
      <c r="M145" s="29">
        <f>'IS (Adjusted)'!M145-'IS (Base)'!M145</f>
        <v>0</v>
      </c>
      <c r="N145" s="215">
        <f>'IS (Adjusted)'!N145-'IS (Base)'!N145</f>
        <v>0</v>
      </c>
      <c r="O145" s="215">
        <f>'IS (Adjusted)'!O145-'IS (Base)'!O145</f>
        <v>0</v>
      </c>
      <c r="P145" s="215">
        <f>'IS (Adjusted)'!P145-'IS (Base)'!P145</f>
        <v>0</v>
      </c>
      <c r="Q145" s="215">
        <f>'IS (Adjusted)'!Q145-'IS (Base)'!Q145</f>
        <v>0</v>
      </c>
      <c r="R145" s="29">
        <f>'IS (Adjusted)'!R145-'IS (Base)'!R145</f>
        <v>0</v>
      </c>
      <c r="S145" s="215">
        <f>'IS (Adjusted)'!S145-'IS (Base)'!S145</f>
        <v>0</v>
      </c>
      <c r="T145" s="215">
        <f>'IS (Adjusted)'!T145-'IS (Base)'!T145</f>
        <v>0</v>
      </c>
      <c r="U145" s="215">
        <f>'IS (Adjusted)'!U145-'IS (Base)'!U145</f>
        <v>0</v>
      </c>
      <c r="V145" s="215">
        <f>'IS (Adjusted)'!V145-'IS (Base)'!V145</f>
        <v>0</v>
      </c>
      <c r="W145" s="137">
        <f>'IS (Adjusted)'!W145-'IS (Base)'!W145</f>
        <v>0</v>
      </c>
      <c r="X145" s="215">
        <f>'IS (Adjusted)'!X145-'IS (Base)'!X145</f>
        <v>0</v>
      </c>
      <c r="Y145" s="35">
        <f>'IS (Adjusted)'!Y145-'IS (Base)'!Y145</f>
        <v>0</v>
      </c>
      <c r="Z145" s="35">
        <f>'IS (Adjusted)'!Z145-'IS (Base)'!Z145</f>
        <v>0</v>
      </c>
      <c r="AA145" s="35">
        <f>'IS (Adjusted)'!AA145-'IS (Base)'!AA145</f>
        <v>0</v>
      </c>
      <c r="AB145" s="137">
        <f>'IS (Adjusted)'!AB145-'IS (Base)'!AB145</f>
        <v>0</v>
      </c>
      <c r="AC145" s="35">
        <f>'IS (Adjusted)'!AC145-'IS (Base)'!AC145</f>
        <v>0</v>
      </c>
      <c r="AD145" s="35">
        <f>'IS (Adjusted)'!AD145-'IS (Base)'!AD145</f>
        <v>0</v>
      </c>
      <c r="AE145" s="35">
        <f>'IS (Adjusted)'!AE145-'IS (Base)'!AE145</f>
        <v>0</v>
      </c>
      <c r="AF145" s="35">
        <f>'IS (Adjusted)'!AF145-'IS (Base)'!AF145</f>
        <v>0</v>
      </c>
      <c r="AG145" s="29">
        <f>'IS (Adjusted)'!AG145-'IS (Base)'!AG145</f>
        <v>0</v>
      </c>
      <c r="AH145" s="35">
        <f>'IS (Adjusted)'!AH145-'IS (Base)'!AH145</f>
        <v>0</v>
      </c>
      <c r="AI145" s="35">
        <f>'IS (Adjusted)'!AI145-'IS (Base)'!AI145</f>
        <v>0</v>
      </c>
      <c r="AJ145" s="35">
        <f>'IS (Adjusted)'!AJ145-'IS (Base)'!AJ145</f>
        <v>0</v>
      </c>
      <c r="AK145" s="35">
        <f>'IS (Adjusted)'!AK145-'IS (Base)'!AK145</f>
        <v>0</v>
      </c>
      <c r="AL145" s="29">
        <f>'IS (Adjusted)'!AL145-'IS (Base)'!AL145</f>
        <v>0</v>
      </c>
      <c r="AM145" s="35">
        <f>'IS (Adjusted)'!AM145-'IS (Base)'!AM145</f>
        <v>0</v>
      </c>
      <c r="AN145" s="35">
        <f>'IS (Adjusted)'!AN145-'IS (Base)'!AN145</f>
        <v>0</v>
      </c>
      <c r="AO145" s="35">
        <f>'IS (Adjusted)'!AO145-'IS (Base)'!AO145</f>
        <v>0</v>
      </c>
      <c r="AP145" s="35">
        <f>'IS (Adjusted)'!AP145-'IS (Base)'!AP145</f>
        <v>0</v>
      </c>
      <c r="AQ145" s="29">
        <f>'IS (Adjusted)'!AQ145-'IS (Base)'!AQ145</f>
        <v>0</v>
      </c>
      <c r="AR145" s="35">
        <f>'IS (Adjusted)'!AR145-'IS (Base)'!AR145</f>
        <v>0</v>
      </c>
      <c r="AS145" s="35">
        <f>'IS (Adjusted)'!AS145-'IS (Base)'!AS145</f>
        <v>0</v>
      </c>
      <c r="AT145" s="35">
        <f>'IS (Adjusted)'!AT145-'IS (Base)'!AT145</f>
        <v>0</v>
      </c>
      <c r="AU145" s="35">
        <f>'IS (Adjusted)'!AU145-'IS (Base)'!AU145</f>
        <v>0</v>
      </c>
      <c r="AV145" s="29">
        <f>'IS (Adjusted)'!AV145-'IS (Base)'!AV145</f>
        <v>0</v>
      </c>
    </row>
    <row r="146" spans="2:48" s="23" customFormat="1" outlineLevel="1" x14ac:dyDescent="0.3">
      <c r="B146" s="200" t="s">
        <v>186</v>
      </c>
      <c r="C146" s="201"/>
      <c r="D146" s="113">
        <f>'IS (Adjusted)'!D146-'IS (Base)'!D146</f>
        <v>0</v>
      </c>
      <c r="E146" s="113">
        <f>'IS (Adjusted)'!E146-'IS (Base)'!E146</f>
        <v>0</v>
      </c>
      <c r="F146" s="113">
        <f>'IS (Adjusted)'!F146-'IS (Base)'!F146</f>
        <v>0</v>
      </c>
      <c r="G146" s="113">
        <f>'IS (Adjusted)'!G146-'IS (Base)'!G146</f>
        <v>0</v>
      </c>
      <c r="H146" s="137">
        <f>'IS (Adjusted)'!H146-'IS (Base)'!H146</f>
        <v>0</v>
      </c>
      <c r="I146" s="113">
        <f>'IS (Adjusted)'!I146-'IS (Base)'!I146</f>
        <v>0</v>
      </c>
      <c r="J146" s="113">
        <f>'IS (Adjusted)'!J146-'IS (Base)'!J146</f>
        <v>0</v>
      </c>
      <c r="K146" s="113">
        <f>'IS (Adjusted)'!K146-'IS (Base)'!K146</f>
        <v>0</v>
      </c>
      <c r="L146" s="113">
        <f>'IS (Adjusted)'!L146-'IS (Base)'!L146</f>
        <v>0</v>
      </c>
      <c r="M146" s="137">
        <f>'IS (Adjusted)'!M146-'IS (Base)'!M146</f>
        <v>0</v>
      </c>
      <c r="N146" s="113">
        <f>'IS (Adjusted)'!N146-'IS (Base)'!N146</f>
        <v>0</v>
      </c>
      <c r="O146" s="113">
        <f>'IS (Adjusted)'!O146-'IS (Base)'!O146</f>
        <v>0</v>
      </c>
      <c r="P146" s="113">
        <f>'IS (Adjusted)'!P146-'IS (Base)'!P146</f>
        <v>0</v>
      </c>
      <c r="Q146" s="113">
        <f>'IS (Adjusted)'!Q146-'IS (Base)'!Q146</f>
        <v>0</v>
      </c>
      <c r="R146" s="137">
        <f>'IS (Adjusted)'!R146-'IS (Base)'!R146</f>
        <v>0</v>
      </c>
      <c r="S146" s="113">
        <f>'IS (Adjusted)'!S146-'IS (Base)'!S146</f>
        <v>0</v>
      </c>
      <c r="T146" s="113">
        <f>'IS (Adjusted)'!T146-'IS (Base)'!T146</f>
        <v>0</v>
      </c>
      <c r="U146" s="113">
        <f>'IS (Adjusted)'!U146-'IS (Base)'!U146</f>
        <v>0</v>
      </c>
      <c r="V146" s="113">
        <f>'IS (Adjusted)'!V146-'IS (Base)'!V146</f>
        <v>0</v>
      </c>
      <c r="W146" s="137">
        <f>'IS (Adjusted)'!W146-'IS (Base)'!W146</f>
        <v>0</v>
      </c>
      <c r="X146" s="113">
        <f>'IS (Adjusted)'!X146-'IS (Base)'!X146</f>
        <v>0</v>
      </c>
      <c r="Y146" s="113">
        <f>'IS (Adjusted)'!Y146-'IS (Base)'!Y146</f>
        <v>0</v>
      </c>
      <c r="Z146" s="113">
        <f>'IS (Adjusted)'!Z146-'IS (Base)'!Z146</f>
        <v>0</v>
      </c>
      <c r="AA146" s="113">
        <f>'IS (Adjusted)'!AA146-'IS (Base)'!AA146</f>
        <v>0</v>
      </c>
      <c r="AB146" s="137">
        <f>'IS (Adjusted)'!AB146-'IS (Base)'!AB146</f>
        <v>0</v>
      </c>
      <c r="AC146" s="113">
        <f>'IS (Adjusted)'!AC146-'IS (Base)'!AC146</f>
        <v>0</v>
      </c>
      <c r="AD146" s="113">
        <f>'IS (Adjusted)'!AD146-'IS (Base)'!AD146</f>
        <v>0</v>
      </c>
      <c r="AE146" s="113">
        <f>'IS (Adjusted)'!AE146-'IS (Base)'!AE146</f>
        <v>0</v>
      </c>
      <c r="AF146" s="113">
        <f>'IS (Adjusted)'!AF146-'IS (Base)'!AF146</f>
        <v>0</v>
      </c>
      <c r="AG146" s="137">
        <f>'IS (Adjusted)'!AG146-'IS (Base)'!AG146</f>
        <v>0</v>
      </c>
      <c r="AH146" s="113">
        <f>'IS (Adjusted)'!AH146-'IS (Base)'!AH146</f>
        <v>0</v>
      </c>
      <c r="AI146" s="113">
        <f>'IS (Adjusted)'!AI146-'IS (Base)'!AI146</f>
        <v>0</v>
      </c>
      <c r="AJ146" s="113">
        <f>'IS (Adjusted)'!AJ146-'IS (Base)'!AJ146</f>
        <v>0</v>
      </c>
      <c r="AK146" s="113">
        <f>'IS (Adjusted)'!AK146-'IS (Base)'!AK146</f>
        <v>0</v>
      </c>
      <c r="AL146" s="137">
        <f>'IS (Adjusted)'!AL146-'IS (Base)'!AL146</f>
        <v>0</v>
      </c>
      <c r="AM146" s="113">
        <f>'IS (Adjusted)'!AM146-'IS (Base)'!AM146</f>
        <v>0</v>
      </c>
      <c r="AN146" s="113">
        <f>'IS (Adjusted)'!AN146-'IS (Base)'!AN146</f>
        <v>0</v>
      </c>
      <c r="AO146" s="113">
        <f>'IS (Adjusted)'!AO146-'IS (Base)'!AO146</f>
        <v>0</v>
      </c>
      <c r="AP146" s="113">
        <f>'IS (Adjusted)'!AP146-'IS (Base)'!AP146</f>
        <v>0</v>
      </c>
      <c r="AQ146" s="137">
        <f>'IS (Adjusted)'!AQ146-'IS (Base)'!AQ146</f>
        <v>0</v>
      </c>
      <c r="AR146" s="113">
        <f>'IS (Adjusted)'!AR146-'IS (Base)'!AR146</f>
        <v>0</v>
      </c>
      <c r="AS146" s="113">
        <f>'IS (Adjusted)'!AS146-'IS (Base)'!AS146</f>
        <v>0</v>
      </c>
      <c r="AT146" s="113">
        <f>'IS (Adjusted)'!AT146-'IS (Base)'!AT146</f>
        <v>0</v>
      </c>
      <c r="AU146" s="113">
        <f>'IS (Adjusted)'!AU146-'IS (Base)'!AU146</f>
        <v>0</v>
      </c>
      <c r="AV146" s="137">
        <f>'IS (Adjusted)'!AV146-'IS (Base)'!AV146</f>
        <v>0</v>
      </c>
    </row>
    <row r="147" spans="2:48" s="23" customFormat="1" outlineLevel="1" x14ac:dyDescent="0.3">
      <c r="B147" s="200" t="s">
        <v>139</v>
      </c>
      <c r="C147" s="201"/>
      <c r="D147" s="27">
        <f>'IS (Adjusted)'!D147-'IS (Base)'!D147</f>
        <v>0</v>
      </c>
      <c r="E147" s="27">
        <f>'IS (Adjusted)'!E147-'IS (Base)'!E147</f>
        <v>0</v>
      </c>
      <c r="F147" s="27">
        <f>'IS (Adjusted)'!F147-'IS (Base)'!F147</f>
        <v>0</v>
      </c>
      <c r="G147" s="27">
        <f>'IS (Adjusted)'!G147-'IS (Base)'!G147</f>
        <v>0</v>
      </c>
      <c r="H147" s="29">
        <f>'IS (Adjusted)'!H147-'IS (Base)'!H147</f>
        <v>0</v>
      </c>
      <c r="I147" s="27">
        <f>'IS (Adjusted)'!I147-'IS (Base)'!I147</f>
        <v>0</v>
      </c>
      <c r="J147" s="27">
        <f>'IS (Adjusted)'!J147-'IS (Base)'!J147</f>
        <v>0</v>
      </c>
      <c r="K147" s="27">
        <f>'IS (Adjusted)'!K147-'IS (Base)'!K147</f>
        <v>0</v>
      </c>
      <c r="L147" s="113">
        <f>'IS (Adjusted)'!L147-'IS (Base)'!L147</f>
        <v>0</v>
      </c>
      <c r="M147" s="137">
        <f>'IS (Adjusted)'!M147-'IS (Base)'!M147</f>
        <v>0</v>
      </c>
      <c r="N147" s="113">
        <f>'IS (Adjusted)'!N147-'IS (Base)'!N147</f>
        <v>0</v>
      </c>
      <c r="O147" s="113">
        <f>'IS (Adjusted)'!O147-'IS (Base)'!O147</f>
        <v>0</v>
      </c>
      <c r="P147" s="113">
        <f>'IS (Adjusted)'!P147-'IS (Base)'!P147</f>
        <v>0</v>
      </c>
      <c r="Q147" s="113">
        <f>'IS (Adjusted)'!Q147-'IS (Base)'!Q147</f>
        <v>0</v>
      </c>
      <c r="R147" s="29">
        <f>'IS (Adjusted)'!R147-'IS (Base)'!R147</f>
        <v>0</v>
      </c>
      <c r="S147" s="113">
        <f>'IS (Adjusted)'!S147-'IS (Base)'!S147</f>
        <v>0</v>
      </c>
      <c r="T147" s="113">
        <f>'IS (Adjusted)'!T147-'IS (Base)'!T147</f>
        <v>0</v>
      </c>
      <c r="U147" s="113">
        <f>'IS (Adjusted)'!U147-'IS (Base)'!U147</f>
        <v>0</v>
      </c>
      <c r="V147" s="113">
        <f>'IS (Adjusted)'!V147-'IS (Base)'!V147</f>
        <v>0</v>
      </c>
      <c r="W147" s="137">
        <f>'IS (Adjusted)'!W147-'IS (Base)'!W147</f>
        <v>0</v>
      </c>
      <c r="X147" s="113">
        <f>'IS (Adjusted)'!X147-'IS (Base)'!X147</f>
        <v>0</v>
      </c>
      <c r="Y147" s="113">
        <f>'IS (Adjusted)'!Y147-'IS (Base)'!Y147</f>
        <v>0</v>
      </c>
      <c r="Z147" s="113">
        <f>'IS (Adjusted)'!Z147-'IS (Base)'!Z147</f>
        <v>0</v>
      </c>
      <c r="AA147" s="113">
        <f>'IS (Adjusted)'!AA147-'IS (Base)'!AA147</f>
        <v>0</v>
      </c>
      <c r="AB147" s="137">
        <f>'IS (Adjusted)'!AB147-'IS (Base)'!AB147</f>
        <v>0</v>
      </c>
      <c r="AC147" s="113">
        <f>'IS (Adjusted)'!AC147-'IS (Base)'!AC147</f>
        <v>0</v>
      </c>
      <c r="AD147" s="113">
        <f>'IS (Adjusted)'!AD147-'IS (Base)'!AD147</f>
        <v>0</v>
      </c>
      <c r="AE147" s="113">
        <f>'IS (Adjusted)'!AE147-'IS (Base)'!AE147</f>
        <v>0</v>
      </c>
      <c r="AF147" s="113">
        <f>'IS (Adjusted)'!AF147-'IS (Base)'!AF147</f>
        <v>0</v>
      </c>
      <c r="AG147" s="137">
        <f>'IS (Adjusted)'!AG147-'IS (Base)'!AG147</f>
        <v>0</v>
      </c>
      <c r="AH147" s="113">
        <f>'IS (Adjusted)'!AH147-'IS (Base)'!AH147</f>
        <v>0</v>
      </c>
      <c r="AI147" s="113">
        <f>'IS (Adjusted)'!AI147-'IS (Base)'!AI147</f>
        <v>0</v>
      </c>
      <c r="AJ147" s="113">
        <f>'IS (Adjusted)'!AJ147-'IS (Base)'!AJ147</f>
        <v>0</v>
      </c>
      <c r="AK147" s="113">
        <f>'IS (Adjusted)'!AK147-'IS (Base)'!AK147</f>
        <v>0</v>
      </c>
      <c r="AL147" s="137">
        <f>'IS (Adjusted)'!AL147-'IS (Base)'!AL147</f>
        <v>0</v>
      </c>
      <c r="AM147" s="113">
        <f>'IS (Adjusted)'!AM147-'IS (Base)'!AM147</f>
        <v>0</v>
      </c>
      <c r="AN147" s="113">
        <f>'IS (Adjusted)'!AN147-'IS (Base)'!AN147</f>
        <v>0</v>
      </c>
      <c r="AO147" s="113">
        <f>'IS (Adjusted)'!AO147-'IS (Base)'!AO147</f>
        <v>0</v>
      </c>
      <c r="AP147" s="113">
        <f>'IS (Adjusted)'!AP147-'IS (Base)'!AP147</f>
        <v>0</v>
      </c>
      <c r="AQ147" s="29">
        <f>'IS (Adjusted)'!AQ147-'IS (Base)'!AQ147</f>
        <v>0</v>
      </c>
      <c r="AR147" s="113">
        <f>'IS (Adjusted)'!AR147-'IS (Base)'!AR147</f>
        <v>0</v>
      </c>
      <c r="AS147" s="113">
        <f>'IS (Adjusted)'!AS147-'IS (Base)'!AS147</f>
        <v>0</v>
      </c>
      <c r="AT147" s="113">
        <f>'IS (Adjusted)'!AT147-'IS (Base)'!AT147</f>
        <v>0</v>
      </c>
      <c r="AU147" s="113">
        <f>'IS (Adjusted)'!AU147-'IS (Base)'!AU147</f>
        <v>0</v>
      </c>
      <c r="AV147" s="29">
        <f>'IS (Adjusted)'!AV147-'IS (Base)'!AV147</f>
        <v>0</v>
      </c>
    </row>
    <row r="148" spans="2:48" s="23" customFormat="1" outlineLevel="1" x14ac:dyDescent="0.3">
      <c r="B148" s="200" t="s">
        <v>140</v>
      </c>
      <c r="C148" s="201"/>
      <c r="D148" s="27">
        <f>'IS (Adjusted)'!D148-'IS (Base)'!D148</f>
        <v>0</v>
      </c>
      <c r="E148" s="27">
        <f>'IS (Adjusted)'!E148-'IS (Base)'!E148</f>
        <v>0</v>
      </c>
      <c r="F148" s="27">
        <f>'IS (Adjusted)'!F148-'IS (Base)'!F148</f>
        <v>0</v>
      </c>
      <c r="G148" s="27">
        <f>'IS (Adjusted)'!G148-'IS (Base)'!G148</f>
        <v>0</v>
      </c>
      <c r="H148" s="29">
        <f>'IS (Adjusted)'!H148-'IS (Base)'!H148</f>
        <v>0</v>
      </c>
      <c r="I148" s="27">
        <f>'IS (Adjusted)'!I148-'IS (Base)'!I148</f>
        <v>0</v>
      </c>
      <c r="J148" s="27">
        <f>'IS (Adjusted)'!J148-'IS (Base)'!J148</f>
        <v>0</v>
      </c>
      <c r="K148" s="27">
        <f>'IS (Adjusted)'!K148-'IS (Base)'!K148</f>
        <v>0</v>
      </c>
      <c r="L148" s="113">
        <f>'IS (Adjusted)'!L148-'IS (Base)'!L148</f>
        <v>0</v>
      </c>
      <c r="M148" s="137">
        <f>'IS (Adjusted)'!M148-'IS (Base)'!M148</f>
        <v>0</v>
      </c>
      <c r="N148" s="113">
        <f>'IS (Adjusted)'!N148-'IS (Base)'!N148</f>
        <v>0</v>
      </c>
      <c r="O148" s="113">
        <f>'IS (Adjusted)'!O148-'IS (Base)'!O148</f>
        <v>0</v>
      </c>
      <c r="P148" s="113">
        <f>'IS (Adjusted)'!P148-'IS (Base)'!P148</f>
        <v>0</v>
      </c>
      <c r="Q148" s="113">
        <f>'IS (Adjusted)'!Q148-'IS (Base)'!Q148</f>
        <v>0</v>
      </c>
      <c r="R148" s="29">
        <f>'IS (Adjusted)'!R148-'IS (Base)'!R148</f>
        <v>0</v>
      </c>
      <c r="S148" s="113">
        <f>'IS (Adjusted)'!S148-'IS (Base)'!S148</f>
        <v>0</v>
      </c>
      <c r="T148" s="113">
        <f>'IS (Adjusted)'!T148-'IS (Base)'!T148</f>
        <v>0</v>
      </c>
      <c r="U148" s="113">
        <f>'IS (Adjusted)'!U148-'IS (Base)'!U148</f>
        <v>0</v>
      </c>
      <c r="V148" s="113">
        <f>'IS (Adjusted)'!V148-'IS (Base)'!V148</f>
        <v>0</v>
      </c>
      <c r="W148" s="137">
        <f>'IS (Adjusted)'!W148-'IS (Base)'!W148</f>
        <v>0</v>
      </c>
      <c r="X148" s="113">
        <f>'IS (Adjusted)'!X148-'IS (Base)'!X148</f>
        <v>0</v>
      </c>
      <c r="Y148" s="113">
        <f>'IS (Adjusted)'!Y148-'IS (Base)'!Y148</f>
        <v>0</v>
      </c>
      <c r="Z148" s="113">
        <f>'IS (Adjusted)'!Z148-'IS (Base)'!Z148</f>
        <v>0</v>
      </c>
      <c r="AA148" s="113">
        <f>'IS (Adjusted)'!AA148-'IS (Base)'!AA148</f>
        <v>0</v>
      </c>
      <c r="AB148" s="137">
        <f>'IS (Adjusted)'!AB148-'IS (Base)'!AB148</f>
        <v>0</v>
      </c>
      <c r="AC148" s="113">
        <f>'IS (Adjusted)'!AC148-'IS (Base)'!AC148</f>
        <v>0</v>
      </c>
      <c r="AD148" s="113">
        <f>'IS (Adjusted)'!AD148-'IS (Base)'!AD148</f>
        <v>0</v>
      </c>
      <c r="AE148" s="113">
        <f>'IS (Adjusted)'!AE148-'IS (Base)'!AE148</f>
        <v>0</v>
      </c>
      <c r="AF148" s="113">
        <f>'IS (Adjusted)'!AF148-'IS (Base)'!AF148</f>
        <v>0</v>
      </c>
      <c r="AG148" s="137">
        <f>'IS (Adjusted)'!AG148-'IS (Base)'!AG148</f>
        <v>0</v>
      </c>
      <c r="AH148" s="113">
        <f>'IS (Adjusted)'!AH148-'IS (Base)'!AH148</f>
        <v>0</v>
      </c>
      <c r="AI148" s="113">
        <f>'IS (Adjusted)'!AI148-'IS (Base)'!AI148</f>
        <v>0</v>
      </c>
      <c r="AJ148" s="113">
        <f>'IS (Adjusted)'!AJ148-'IS (Base)'!AJ148</f>
        <v>0</v>
      </c>
      <c r="AK148" s="113">
        <f>'IS (Adjusted)'!AK148-'IS (Base)'!AK148</f>
        <v>0</v>
      </c>
      <c r="AL148" s="29">
        <f>'IS (Adjusted)'!AL148-'IS (Base)'!AL148</f>
        <v>0</v>
      </c>
      <c r="AM148" s="113">
        <f>'IS (Adjusted)'!AM148-'IS (Base)'!AM148</f>
        <v>0</v>
      </c>
      <c r="AN148" s="113">
        <f>'IS (Adjusted)'!AN148-'IS (Base)'!AN148</f>
        <v>0</v>
      </c>
      <c r="AO148" s="113">
        <f>'IS (Adjusted)'!AO148-'IS (Base)'!AO148</f>
        <v>0</v>
      </c>
      <c r="AP148" s="113">
        <f>'IS (Adjusted)'!AP148-'IS (Base)'!AP148</f>
        <v>0</v>
      </c>
      <c r="AQ148" s="29">
        <f>'IS (Adjusted)'!AQ148-'IS (Base)'!AQ148</f>
        <v>0</v>
      </c>
      <c r="AR148" s="113">
        <f>'IS (Adjusted)'!AR148-'IS (Base)'!AR148</f>
        <v>0</v>
      </c>
      <c r="AS148" s="113">
        <f>'IS (Adjusted)'!AS148-'IS (Base)'!AS148</f>
        <v>0</v>
      </c>
      <c r="AT148" s="113">
        <f>'IS (Adjusted)'!AT148-'IS (Base)'!AT148</f>
        <v>0</v>
      </c>
      <c r="AU148" s="113">
        <f>'IS (Adjusted)'!AU148-'IS (Base)'!AU148</f>
        <v>0</v>
      </c>
      <c r="AV148" s="29">
        <f>'IS (Adjusted)'!AV148-'IS (Base)'!AV148</f>
        <v>0</v>
      </c>
    </row>
    <row r="149" spans="2:48" s="23" customFormat="1" outlineLevel="1" x14ac:dyDescent="0.3">
      <c r="B149" s="200" t="s">
        <v>334</v>
      </c>
      <c r="C149" s="201"/>
      <c r="D149" s="27">
        <f>'IS (Adjusted)'!D149-'IS (Base)'!D149</f>
        <v>0</v>
      </c>
      <c r="E149" s="27">
        <f>'IS (Adjusted)'!E149-'IS (Base)'!E149</f>
        <v>0</v>
      </c>
      <c r="F149" s="27">
        <f>'IS (Adjusted)'!F149-'IS (Base)'!F149</f>
        <v>0</v>
      </c>
      <c r="G149" s="27">
        <f>'IS (Adjusted)'!G149-'IS (Base)'!G149</f>
        <v>0</v>
      </c>
      <c r="H149" s="29">
        <f>'IS (Adjusted)'!H149-'IS (Base)'!H149</f>
        <v>0</v>
      </c>
      <c r="I149" s="27">
        <f>'IS (Adjusted)'!I149-'IS (Base)'!I149</f>
        <v>0</v>
      </c>
      <c r="J149" s="27">
        <f>'IS (Adjusted)'!J149-'IS (Base)'!J149</f>
        <v>0</v>
      </c>
      <c r="K149" s="27">
        <f>'IS (Adjusted)'!K149-'IS (Base)'!K149</f>
        <v>0</v>
      </c>
      <c r="L149" s="113">
        <f>'IS (Adjusted)'!L149-'IS (Base)'!L149</f>
        <v>0</v>
      </c>
      <c r="M149" s="137">
        <f>'IS (Adjusted)'!M149-'IS (Base)'!M149</f>
        <v>0</v>
      </c>
      <c r="N149" s="113">
        <f>'IS (Adjusted)'!N149-'IS (Base)'!N149</f>
        <v>0</v>
      </c>
      <c r="O149" s="113">
        <f>'IS (Adjusted)'!O149-'IS (Base)'!O149</f>
        <v>0</v>
      </c>
      <c r="P149" s="113">
        <f>'IS (Adjusted)'!P149-'IS (Base)'!P149</f>
        <v>0</v>
      </c>
      <c r="Q149" s="113">
        <f>'IS (Adjusted)'!Q149-'IS (Base)'!Q149</f>
        <v>0</v>
      </c>
      <c r="R149" s="29">
        <f>'IS (Adjusted)'!R149-'IS (Base)'!R149</f>
        <v>0</v>
      </c>
      <c r="S149" s="113">
        <f>'IS (Adjusted)'!S149-'IS (Base)'!S149</f>
        <v>0</v>
      </c>
      <c r="T149" s="113">
        <f>'IS (Adjusted)'!T149-'IS (Base)'!T149</f>
        <v>0</v>
      </c>
      <c r="U149" s="113">
        <f>'IS (Adjusted)'!U149-'IS (Base)'!U149</f>
        <v>0</v>
      </c>
      <c r="V149" s="113">
        <f>'IS (Adjusted)'!V149-'IS (Base)'!V149</f>
        <v>0</v>
      </c>
      <c r="W149" s="137">
        <f>'IS (Adjusted)'!W149-'IS (Base)'!W149</f>
        <v>0</v>
      </c>
      <c r="X149" s="113">
        <f>'IS (Adjusted)'!X149-'IS (Base)'!X149</f>
        <v>0</v>
      </c>
      <c r="Y149" s="113">
        <f>'IS (Adjusted)'!Y149-'IS (Base)'!Y149</f>
        <v>0</v>
      </c>
      <c r="Z149" s="113">
        <f>'IS (Adjusted)'!Z149-'IS (Base)'!Z149</f>
        <v>0</v>
      </c>
      <c r="AA149" s="113">
        <f>'IS (Adjusted)'!AA149-'IS (Base)'!AA149</f>
        <v>0</v>
      </c>
      <c r="AB149" s="137">
        <f>'IS (Adjusted)'!AB149-'IS (Base)'!AB149</f>
        <v>0</v>
      </c>
      <c r="AC149" s="113">
        <f>'IS (Adjusted)'!AC149-'IS (Base)'!AC149</f>
        <v>0</v>
      </c>
      <c r="AD149" s="113">
        <f>'IS (Adjusted)'!AD149-'IS (Base)'!AD149</f>
        <v>0</v>
      </c>
      <c r="AE149" s="113">
        <f>'IS (Adjusted)'!AE149-'IS (Base)'!AE149</f>
        <v>0</v>
      </c>
      <c r="AF149" s="113">
        <f>'IS (Adjusted)'!AF149-'IS (Base)'!AF149</f>
        <v>0</v>
      </c>
      <c r="AG149" s="137">
        <f>'IS (Adjusted)'!AG149-'IS (Base)'!AG149</f>
        <v>0</v>
      </c>
      <c r="AH149" s="113">
        <f>'IS (Adjusted)'!AH149-'IS (Base)'!AH149</f>
        <v>0</v>
      </c>
      <c r="AI149" s="113">
        <f>'IS (Adjusted)'!AI149-'IS (Base)'!AI149</f>
        <v>0</v>
      </c>
      <c r="AJ149" s="113">
        <f>'IS (Adjusted)'!AJ149-'IS (Base)'!AJ149</f>
        <v>0</v>
      </c>
      <c r="AK149" s="113">
        <f>'IS (Adjusted)'!AK149-'IS (Base)'!AK149</f>
        <v>0</v>
      </c>
      <c r="AL149" s="406">
        <f>'IS (Adjusted)'!AL149-'IS (Base)'!AL149</f>
        <v>0</v>
      </c>
      <c r="AM149" s="113">
        <f>'IS (Adjusted)'!AM149-'IS (Base)'!AM149</f>
        <v>0</v>
      </c>
      <c r="AN149" s="113">
        <f>'IS (Adjusted)'!AN149-'IS (Base)'!AN149</f>
        <v>0</v>
      </c>
      <c r="AO149" s="113">
        <f>'IS (Adjusted)'!AO149-'IS (Base)'!AO149</f>
        <v>0</v>
      </c>
      <c r="AP149" s="113">
        <f>'IS (Adjusted)'!AP149-'IS (Base)'!AP149</f>
        <v>0</v>
      </c>
      <c r="AQ149" s="29">
        <f>'IS (Adjusted)'!AQ149-'IS (Base)'!AQ149</f>
        <v>0</v>
      </c>
      <c r="AR149" s="113">
        <f>'IS (Adjusted)'!AR149-'IS (Base)'!AR149</f>
        <v>0</v>
      </c>
      <c r="AS149" s="113">
        <f>'IS (Adjusted)'!AS149-'IS (Base)'!AS149</f>
        <v>0</v>
      </c>
      <c r="AT149" s="113">
        <f>'IS (Adjusted)'!AT149-'IS (Base)'!AT149</f>
        <v>0</v>
      </c>
      <c r="AU149" s="113">
        <f>'IS (Adjusted)'!AU149-'IS (Base)'!AU149</f>
        <v>0</v>
      </c>
      <c r="AV149" s="29">
        <f>'IS (Adjusted)'!AV149-'IS (Base)'!AV149</f>
        <v>0</v>
      </c>
    </row>
    <row r="150" spans="2:48" ht="17.399999999999999" x14ac:dyDescent="0.45">
      <c r="B150" s="583" t="s">
        <v>130</v>
      </c>
      <c r="C150" s="584"/>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4" t="s">
        <v>408</v>
      </c>
      <c r="Y150" s="14" t="s">
        <v>452</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580" t="s">
        <v>208</v>
      </c>
      <c r="C151" s="581"/>
      <c r="D151" s="27">
        <f>'IS (Adjusted)'!D151-'IS (Base)'!D151</f>
        <v>0</v>
      </c>
      <c r="E151" s="27">
        <f>'IS (Adjusted)'!E151-'IS (Base)'!E151</f>
        <v>0</v>
      </c>
      <c r="F151" s="27">
        <f>'IS (Adjusted)'!F151-'IS (Base)'!F151</f>
        <v>0</v>
      </c>
      <c r="G151" s="27">
        <f>'IS (Adjusted)'!G151-'IS (Base)'!G151</f>
        <v>0</v>
      </c>
      <c r="H151" s="9">
        <f>'IS (Adjusted)'!H151-'IS (Base)'!H151</f>
        <v>0</v>
      </c>
      <c r="I151" s="27">
        <f>'IS (Adjusted)'!I151-'IS (Base)'!I151</f>
        <v>0</v>
      </c>
      <c r="J151" s="27">
        <f>'IS (Adjusted)'!J151-'IS (Base)'!J151</f>
        <v>0</v>
      </c>
      <c r="K151" s="27">
        <f>'IS (Adjusted)'!K151-'IS (Base)'!K151</f>
        <v>0</v>
      </c>
      <c r="L151" s="27">
        <f>'IS (Adjusted)'!L151-'IS (Base)'!L151</f>
        <v>0</v>
      </c>
      <c r="M151" s="9">
        <f>'IS (Adjusted)'!M151-'IS (Base)'!M151</f>
        <v>0</v>
      </c>
      <c r="N151" s="27">
        <f>'IS (Adjusted)'!N151-'IS (Base)'!N151</f>
        <v>0</v>
      </c>
      <c r="O151" s="27">
        <f>'IS (Adjusted)'!O151-'IS (Base)'!O151</f>
        <v>0</v>
      </c>
      <c r="P151" s="27">
        <f>'IS (Adjusted)'!P151-'IS (Base)'!P151</f>
        <v>0</v>
      </c>
      <c r="Q151" s="27">
        <f>'IS (Adjusted)'!Q151-'IS (Base)'!Q151</f>
        <v>0</v>
      </c>
      <c r="R151" s="9">
        <f>'IS (Adjusted)'!R151-'IS (Base)'!R151</f>
        <v>0</v>
      </c>
      <c r="S151" s="27">
        <f>'IS (Adjusted)'!S151-'IS (Base)'!S151</f>
        <v>0</v>
      </c>
      <c r="T151" s="27">
        <f>'IS (Adjusted)'!T151-'IS (Base)'!T151</f>
        <v>0</v>
      </c>
      <c r="U151" s="27">
        <f>'IS (Adjusted)'!U151-'IS (Base)'!U151</f>
        <v>0</v>
      </c>
      <c r="V151" s="27">
        <f>'IS (Adjusted)'!V151-'IS (Base)'!V151</f>
        <v>0</v>
      </c>
      <c r="W151" s="256">
        <f>'IS (Adjusted)'!W151-'IS (Base)'!W151</f>
        <v>0</v>
      </c>
      <c r="X151" s="27">
        <f>'IS (Adjusted)'!X151-'IS (Base)'!X151</f>
        <v>0</v>
      </c>
      <c r="Y151" s="35">
        <f>'IS (Adjusted)'!Y151-'IS (Base)'!Y151</f>
        <v>0</v>
      </c>
      <c r="Z151" s="35">
        <f>'IS (Adjusted)'!Z151-'IS (Base)'!Z151</f>
        <v>0</v>
      </c>
      <c r="AA151" s="35">
        <f>'IS (Adjusted)'!AA151-'IS (Base)'!AA151</f>
        <v>0</v>
      </c>
      <c r="AB151" s="9">
        <f>'IS (Adjusted)'!AB151-'IS (Base)'!AB151</f>
        <v>0</v>
      </c>
      <c r="AC151" s="35">
        <f>'IS (Adjusted)'!AC151-'IS (Base)'!AC151</f>
        <v>0</v>
      </c>
      <c r="AD151" s="35">
        <f>'IS (Adjusted)'!AD151-'IS (Base)'!AD151</f>
        <v>0</v>
      </c>
      <c r="AE151" s="35">
        <f>'IS (Adjusted)'!AE151-'IS (Base)'!AE151</f>
        <v>0</v>
      </c>
      <c r="AF151" s="35">
        <f>'IS (Adjusted)'!AF151-'IS (Base)'!AF151</f>
        <v>0</v>
      </c>
      <c r="AG151" s="9">
        <f>'IS (Adjusted)'!AG151-'IS (Base)'!AG151</f>
        <v>0</v>
      </c>
      <c r="AH151" s="35">
        <f>'IS (Adjusted)'!AH151-'IS (Base)'!AH151</f>
        <v>0</v>
      </c>
      <c r="AI151" s="35">
        <f>'IS (Adjusted)'!AI151-'IS (Base)'!AI151</f>
        <v>0</v>
      </c>
      <c r="AJ151" s="35">
        <f>'IS (Adjusted)'!AJ151-'IS (Base)'!AJ151</f>
        <v>0</v>
      </c>
      <c r="AK151" s="35">
        <f>'IS (Adjusted)'!AK151-'IS (Base)'!AK151</f>
        <v>0</v>
      </c>
      <c r="AL151" s="9">
        <f>'IS (Adjusted)'!AL151-'IS (Base)'!AL151</f>
        <v>0</v>
      </c>
      <c r="AM151" s="35">
        <f>'IS (Adjusted)'!AM151-'IS (Base)'!AM151</f>
        <v>0</v>
      </c>
      <c r="AN151" s="35">
        <f>'IS (Adjusted)'!AN151-'IS (Base)'!AN151</f>
        <v>0</v>
      </c>
      <c r="AO151" s="35">
        <f>'IS (Adjusted)'!AO151-'IS (Base)'!AO151</f>
        <v>0</v>
      </c>
      <c r="AP151" s="35">
        <f>'IS (Adjusted)'!AP151-'IS (Base)'!AP151</f>
        <v>0</v>
      </c>
      <c r="AQ151" s="9">
        <f>'IS (Adjusted)'!AQ151-'IS (Base)'!AQ151</f>
        <v>0</v>
      </c>
      <c r="AR151" s="35">
        <f>'IS (Adjusted)'!AR151-'IS (Base)'!AR151</f>
        <v>0</v>
      </c>
      <c r="AS151" s="35">
        <f>'IS (Adjusted)'!AS151-'IS (Base)'!AS151</f>
        <v>0</v>
      </c>
      <c r="AT151" s="35">
        <f>'IS (Adjusted)'!AT151-'IS (Base)'!AT151</f>
        <v>0</v>
      </c>
      <c r="AU151" s="35">
        <f>'IS (Adjusted)'!AU151-'IS (Base)'!AU151</f>
        <v>0</v>
      </c>
      <c r="AV151" s="9">
        <f>'IS (Adjusted)'!AV151-'IS (Base)'!AV151</f>
        <v>0</v>
      </c>
    </row>
    <row r="152" spans="2:48" outlineLevel="1" x14ac:dyDescent="0.3">
      <c r="B152" s="580" t="s">
        <v>209</v>
      </c>
      <c r="C152" s="581"/>
      <c r="D152" s="27">
        <f>'IS (Adjusted)'!D152-'IS (Base)'!D152</f>
        <v>0</v>
      </c>
      <c r="E152" s="27">
        <f>'IS (Adjusted)'!E152-'IS (Base)'!E152</f>
        <v>0</v>
      </c>
      <c r="F152" s="27">
        <f>'IS (Adjusted)'!F152-'IS (Base)'!F152</f>
        <v>0</v>
      </c>
      <c r="G152" s="27">
        <f>'IS (Adjusted)'!G152-'IS (Base)'!G152</f>
        <v>0</v>
      </c>
      <c r="H152" s="9">
        <f>'IS (Adjusted)'!H152-'IS (Base)'!H152</f>
        <v>0</v>
      </c>
      <c r="I152" s="27">
        <f>'IS (Adjusted)'!I152-'IS (Base)'!I152</f>
        <v>0</v>
      </c>
      <c r="J152" s="27">
        <f>'IS (Adjusted)'!J152-'IS (Base)'!J152</f>
        <v>0</v>
      </c>
      <c r="K152" s="27">
        <f>'IS (Adjusted)'!K152-'IS (Base)'!K152</f>
        <v>0</v>
      </c>
      <c r="L152" s="27">
        <f>'IS (Adjusted)'!L152-'IS (Base)'!L152</f>
        <v>0</v>
      </c>
      <c r="M152" s="9">
        <f>'IS (Adjusted)'!M152-'IS (Base)'!M152</f>
        <v>0</v>
      </c>
      <c r="N152" s="27">
        <f>'IS (Adjusted)'!N152-'IS (Base)'!N152</f>
        <v>0</v>
      </c>
      <c r="O152" s="27">
        <f>'IS (Adjusted)'!O152-'IS (Base)'!O152</f>
        <v>0</v>
      </c>
      <c r="P152" s="27">
        <f>'IS (Adjusted)'!P152-'IS (Base)'!P152</f>
        <v>0</v>
      </c>
      <c r="Q152" s="27">
        <f>'IS (Adjusted)'!Q152-'IS (Base)'!Q152</f>
        <v>0</v>
      </c>
      <c r="R152" s="9">
        <f>'IS (Adjusted)'!R152-'IS (Base)'!R152</f>
        <v>0</v>
      </c>
      <c r="S152" s="27">
        <f>'IS (Adjusted)'!S152-'IS (Base)'!S152</f>
        <v>0</v>
      </c>
      <c r="T152" s="27">
        <f>'IS (Adjusted)'!T152-'IS (Base)'!T152</f>
        <v>0</v>
      </c>
      <c r="U152" s="27">
        <f>'IS (Adjusted)'!U152-'IS (Base)'!U152</f>
        <v>0</v>
      </c>
      <c r="V152" s="27">
        <f>'IS (Adjusted)'!V152-'IS (Base)'!V152</f>
        <v>0</v>
      </c>
      <c r="W152" s="256">
        <f>'IS (Adjusted)'!W152-'IS (Base)'!W152</f>
        <v>0</v>
      </c>
      <c r="X152" s="27">
        <f>'IS (Adjusted)'!X152-'IS (Base)'!X152</f>
        <v>0</v>
      </c>
      <c r="Y152" s="35">
        <f>'IS (Adjusted)'!Y152-'IS (Base)'!Y152</f>
        <v>0</v>
      </c>
      <c r="Z152" s="35">
        <f>'IS (Adjusted)'!Z152-'IS (Base)'!Z152</f>
        <v>0</v>
      </c>
      <c r="AA152" s="35">
        <f>'IS (Adjusted)'!AA152-'IS (Base)'!AA152</f>
        <v>0</v>
      </c>
      <c r="AB152" s="9">
        <f>'IS (Adjusted)'!AB152-'IS (Base)'!AB152</f>
        <v>0</v>
      </c>
      <c r="AC152" s="35">
        <f>'IS (Adjusted)'!AC152-'IS (Base)'!AC152</f>
        <v>0</v>
      </c>
      <c r="AD152" s="35">
        <f>'IS (Adjusted)'!AD152-'IS (Base)'!AD152</f>
        <v>0</v>
      </c>
      <c r="AE152" s="35">
        <f>'IS (Adjusted)'!AE152-'IS (Base)'!AE152</f>
        <v>0</v>
      </c>
      <c r="AF152" s="35">
        <f>'IS (Adjusted)'!AF152-'IS (Base)'!AF152</f>
        <v>0</v>
      </c>
      <c r="AG152" s="9">
        <f>'IS (Adjusted)'!AG152-'IS (Base)'!AG152</f>
        <v>0</v>
      </c>
      <c r="AH152" s="35">
        <f>'IS (Adjusted)'!AH152-'IS (Base)'!AH152</f>
        <v>0</v>
      </c>
      <c r="AI152" s="35">
        <f>'IS (Adjusted)'!AI152-'IS (Base)'!AI152</f>
        <v>0</v>
      </c>
      <c r="AJ152" s="35">
        <f>'IS (Adjusted)'!AJ152-'IS (Base)'!AJ152</f>
        <v>0</v>
      </c>
      <c r="AK152" s="35">
        <f>'IS (Adjusted)'!AK152-'IS (Base)'!AK152</f>
        <v>0</v>
      </c>
      <c r="AL152" s="9">
        <f>'IS (Adjusted)'!AL152-'IS (Base)'!AL152</f>
        <v>0</v>
      </c>
      <c r="AM152" s="35">
        <f>'IS (Adjusted)'!AM152-'IS (Base)'!AM152</f>
        <v>0</v>
      </c>
      <c r="AN152" s="35">
        <f>'IS (Adjusted)'!AN152-'IS (Base)'!AN152</f>
        <v>0</v>
      </c>
      <c r="AO152" s="35">
        <f>'IS (Adjusted)'!AO152-'IS (Base)'!AO152</f>
        <v>0</v>
      </c>
      <c r="AP152" s="35">
        <f>'IS (Adjusted)'!AP152-'IS (Base)'!AP152</f>
        <v>0</v>
      </c>
      <c r="AQ152" s="9">
        <f>'IS (Adjusted)'!AQ152-'IS (Base)'!AQ152</f>
        <v>0</v>
      </c>
      <c r="AR152" s="35">
        <f>'IS (Adjusted)'!AR152-'IS (Base)'!AR152</f>
        <v>0</v>
      </c>
      <c r="AS152" s="35">
        <f>'IS (Adjusted)'!AS152-'IS (Base)'!AS152</f>
        <v>0</v>
      </c>
      <c r="AT152" s="35">
        <f>'IS (Adjusted)'!AT152-'IS (Base)'!AT152</f>
        <v>0</v>
      </c>
      <c r="AU152" s="35">
        <f>'IS (Adjusted)'!AU152-'IS (Base)'!AU152</f>
        <v>0</v>
      </c>
      <c r="AV152" s="9">
        <f>'IS (Adjusted)'!AV152-'IS (Base)'!AV152</f>
        <v>0</v>
      </c>
    </row>
    <row r="153" spans="2:48" outlineLevel="1" x14ac:dyDescent="0.3">
      <c r="B153" s="609" t="s">
        <v>137</v>
      </c>
      <c r="C153" s="610"/>
      <c r="D153" s="245">
        <f>'IS (Adjusted)'!D153-'IS (Base)'!D153</f>
        <v>0</v>
      </c>
      <c r="E153" s="144">
        <f>'IS (Adjusted)'!E153-'IS (Base)'!E153</f>
        <v>0</v>
      </c>
      <c r="F153" s="144">
        <f>'IS (Adjusted)'!F153-'IS (Base)'!F153</f>
        <v>0</v>
      </c>
      <c r="G153" s="144">
        <f>'IS (Adjusted)'!G153-'IS (Base)'!G153</f>
        <v>0</v>
      </c>
      <c r="H153" s="246">
        <f>'IS (Adjusted)'!H153-'IS (Base)'!H153</f>
        <v>0</v>
      </c>
      <c r="I153" s="144">
        <f>'IS (Adjusted)'!I153-'IS (Base)'!I153</f>
        <v>0</v>
      </c>
      <c r="J153" s="144">
        <f>'IS (Adjusted)'!J153-'IS (Base)'!J153</f>
        <v>0</v>
      </c>
      <c r="K153" s="144">
        <f>'IS (Adjusted)'!K153-'IS (Base)'!K153</f>
        <v>0</v>
      </c>
      <c r="L153" s="144">
        <f>'IS (Adjusted)'!L153-'IS (Base)'!L153</f>
        <v>0</v>
      </c>
      <c r="M153" s="246">
        <f>'IS (Adjusted)'!M153-'IS (Base)'!M153</f>
        <v>0</v>
      </c>
      <c r="N153" s="144">
        <f>'IS (Adjusted)'!N153-'IS (Base)'!N153</f>
        <v>0</v>
      </c>
      <c r="O153" s="144">
        <f>'IS (Adjusted)'!O153-'IS (Base)'!O153</f>
        <v>0</v>
      </c>
      <c r="P153" s="144">
        <f>'IS (Adjusted)'!P153-'IS (Base)'!P153</f>
        <v>0</v>
      </c>
      <c r="Q153" s="144">
        <f>'IS (Adjusted)'!Q153-'IS (Base)'!Q153</f>
        <v>0</v>
      </c>
      <c r="R153" s="246">
        <f>'IS (Adjusted)'!R153-'IS (Base)'!R153</f>
        <v>0</v>
      </c>
      <c r="S153" s="144">
        <f>'IS (Adjusted)'!S153-'IS (Base)'!S153</f>
        <v>0</v>
      </c>
      <c r="T153" s="144">
        <f>'IS (Adjusted)'!T153-'IS (Base)'!T153</f>
        <v>0</v>
      </c>
      <c r="U153" s="144">
        <f>'IS (Adjusted)'!U153-'IS (Base)'!U153</f>
        <v>0</v>
      </c>
      <c r="V153" s="144">
        <f>'IS (Adjusted)'!V153-'IS (Base)'!V153</f>
        <v>0</v>
      </c>
      <c r="W153" s="257">
        <f>'IS (Adjusted)'!W153-'IS (Base)'!W153</f>
        <v>0</v>
      </c>
      <c r="X153" s="144">
        <f>'IS (Adjusted)'!X153-'IS (Base)'!X153</f>
        <v>0</v>
      </c>
      <c r="Y153" s="247">
        <f>'IS (Adjusted)'!Y153-'IS (Base)'!Y153</f>
        <v>0</v>
      </c>
      <c r="Z153" s="247">
        <f>'IS (Adjusted)'!Z153-'IS (Base)'!Z153</f>
        <v>0</v>
      </c>
      <c r="AA153" s="247">
        <f>'IS (Adjusted)'!AA153-'IS (Base)'!AA153</f>
        <v>0</v>
      </c>
      <c r="AB153" s="246">
        <f>'IS (Adjusted)'!AB153-'IS (Base)'!AB153</f>
        <v>0</v>
      </c>
      <c r="AC153" s="393">
        <f>'IS (Adjusted)'!AC153-'IS (Base)'!AC153</f>
        <v>0</v>
      </c>
      <c r="AD153" s="247">
        <f>'IS (Adjusted)'!AD153-'IS (Base)'!AD153</f>
        <v>0</v>
      </c>
      <c r="AE153" s="247">
        <f>'IS (Adjusted)'!AE153-'IS (Base)'!AE153</f>
        <v>0</v>
      </c>
      <c r="AF153" s="247">
        <f>'IS (Adjusted)'!AF153-'IS (Base)'!AF153</f>
        <v>0</v>
      </c>
      <c r="AG153" s="390">
        <f>'IS (Adjusted)'!AG153-'IS (Base)'!AG153</f>
        <v>0</v>
      </c>
      <c r="AH153" s="393">
        <f>'IS (Adjusted)'!AH153-'IS (Base)'!AH153</f>
        <v>0</v>
      </c>
      <c r="AI153" s="247">
        <f>'IS (Adjusted)'!AI153-'IS (Base)'!AI153</f>
        <v>0</v>
      </c>
      <c r="AJ153" s="247">
        <f>'IS (Adjusted)'!AJ153-'IS (Base)'!AJ153</f>
        <v>0</v>
      </c>
      <c r="AK153" s="247">
        <f>'IS (Adjusted)'!AK153-'IS (Base)'!AK153</f>
        <v>0</v>
      </c>
      <c r="AL153" s="390">
        <f>'IS (Adjusted)'!AL153-'IS (Base)'!AL153</f>
        <v>0</v>
      </c>
      <c r="AM153" s="247">
        <f>'IS (Adjusted)'!AM153-'IS (Base)'!AM153</f>
        <v>0</v>
      </c>
      <c r="AN153" s="247">
        <f>'IS (Adjusted)'!AN153-'IS (Base)'!AN153</f>
        <v>0</v>
      </c>
      <c r="AO153" s="247">
        <f>'IS (Adjusted)'!AO153-'IS (Base)'!AO153</f>
        <v>0</v>
      </c>
      <c r="AP153" s="247">
        <f>'IS (Adjusted)'!AP153-'IS (Base)'!AP153</f>
        <v>0</v>
      </c>
      <c r="AQ153" s="246">
        <f>'IS (Adjusted)'!AQ153-'IS (Base)'!AQ153</f>
        <v>0</v>
      </c>
      <c r="AR153" s="247">
        <f>'IS (Adjusted)'!AR153-'IS (Base)'!AR153</f>
        <v>0</v>
      </c>
      <c r="AS153" s="247">
        <f>'IS (Adjusted)'!AS153-'IS (Base)'!AS153</f>
        <v>0</v>
      </c>
      <c r="AT153" s="247">
        <f>'IS (Adjusted)'!AT153-'IS (Base)'!AT153</f>
        <v>0</v>
      </c>
      <c r="AU153" s="247">
        <f>'IS (Adjusted)'!AU153-'IS (Base)'!AU153</f>
        <v>0</v>
      </c>
      <c r="AV153" s="246">
        <f>'IS (Adjusted)'!AV153-'IS (Base)'!AV153</f>
        <v>0</v>
      </c>
    </row>
    <row r="154" spans="2:48" outlineLevel="1" x14ac:dyDescent="0.3">
      <c r="B154" s="580" t="s">
        <v>138</v>
      </c>
      <c r="C154" s="581"/>
      <c r="D154" s="16">
        <f>'IS (Adjusted)'!D154-'IS (Base)'!D154</f>
        <v>0</v>
      </c>
      <c r="E154" s="105">
        <f>'IS (Adjusted)'!E154-'IS (Base)'!E154</f>
        <v>0</v>
      </c>
      <c r="F154" s="105">
        <f>'IS (Adjusted)'!F154-'IS (Base)'!F154</f>
        <v>0</v>
      </c>
      <c r="G154" s="101">
        <f>'IS (Adjusted)'!G154-'IS (Base)'!G154</f>
        <v>0</v>
      </c>
      <c r="H154" s="17">
        <f>'IS (Adjusted)'!H154-'IS (Base)'!H154</f>
        <v>0</v>
      </c>
      <c r="I154" s="101">
        <f>'IS (Adjusted)'!I154-'IS (Base)'!I154</f>
        <v>0</v>
      </c>
      <c r="J154" s="101">
        <f>'IS (Adjusted)'!J154-'IS (Base)'!J154</f>
        <v>0</v>
      </c>
      <c r="K154" s="101">
        <f>'IS (Adjusted)'!K154-'IS (Base)'!K154</f>
        <v>0</v>
      </c>
      <c r="L154" s="101">
        <f>'IS (Adjusted)'!L154-'IS (Base)'!L154</f>
        <v>0</v>
      </c>
      <c r="M154" s="17">
        <f>'IS (Adjusted)'!M154-'IS (Base)'!M154</f>
        <v>0</v>
      </c>
      <c r="N154" s="101">
        <f>'IS (Adjusted)'!N154-'IS (Base)'!N154</f>
        <v>0</v>
      </c>
      <c r="O154" s="101">
        <f>'IS (Adjusted)'!O154-'IS (Base)'!O154</f>
        <v>0</v>
      </c>
      <c r="P154" s="101">
        <f>'IS (Adjusted)'!P154-'IS (Base)'!P154</f>
        <v>0</v>
      </c>
      <c r="Q154" s="101">
        <f>'IS (Adjusted)'!Q154-'IS (Base)'!Q154</f>
        <v>0</v>
      </c>
      <c r="R154" s="17">
        <f>'IS (Adjusted)'!R154-'IS (Base)'!R154</f>
        <v>0</v>
      </c>
      <c r="S154" s="101">
        <f>'IS (Adjusted)'!S154-'IS (Base)'!S154</f>
        <v>0</v>
      </c>
      <c r="T154" s="101">
        <f>'IS (Adjusted)'!T154-'IS (Base)'!T154</f>
        <v>0</v>
      </c>
      <c r="U154" s="101">
        <f>'IS (Adjusted)'!U154-'IS (Base)'!U154</f>
        <v>0</v>
      </c>
      <c r="V154" s="101">
        <f>'IS (Adjusted)'!V154-'IS (Base)'!V154</f>
        <v>0</v>
      </c>
      <c r="W154" s="169">
        <f>'IS (Adjusted)'!W154-'IS (Base)'!W154</f>
        <v>0</v>
      </c>
      <c r="X154" s="101">
        <f>'IS (Adjusted)'!X154-'IS (Base)'!X154</f>
        <v>0</v>
      </c>
      <c r="Y154" s="33">
        <f>'IS (Adjusted)'!Y154-'IS (Base)'!Y154</f>
        <v>0</v>
      </c>
      <c r="Z154" s="33">
        <f>'IS (Adjusted)'!Z154-'IS (Base)'!Z154</f>
        <v>0</v>
      </c>
      <c r="AA154" s="33">
        <f>'IS (Adjusted)'!AA154-'IS (Base)'!AA154</f>
        <v>0</v>
      </c>
      <c r="AB154" s="17">
        <f>'IS (Adjusted)'!AB154-'IS (Base)'!AB154</f>
        <v>0</v>
      </c>
      <c r="AC154" s="33">
        <f>'IS (Adjusted)'!AC154-'IS (Base)'!AC154</f>
        <v>0</v>
      </c>
      <c r="AD154" s="33">
        <f>'IS (Adjusted)'!AD154-'IS (Base)'!AD154</f>
        <v>0</v>
      </c>
      <c r="AE154" s="33">
        <f>'IS (Adjusted)'!AE154-'IS (Base)'!AE154</f>
        <v>0</v>
      </c>
      <c r="AF154" s="33">
        <f>'IS (Adjusted)'!AF154-'IS (Base)'!AF154</f>
        <v>0</v>
      </c>
      <c r="AG154" s="17">
        <f>'IS (Adjusted)'!AG154-'IS (Base)'!AG154</f>
        <v>0</v>
      </c>
      <c r="AH154" s="33">
        <f>'IS (Adjusted)'!AH154-'IS (Base)'!AH154</f>
        <v>0</v>
      </c>
      <c r="AI154" s="33">
        <f>'IS (Adjusted)'!AI154-'IS (Base)'!AI154</f>
        <v>0</v>
      </c>
      <c r="AJ154" s="33">
        <f>'IS (Adjusted)'!AJ154-'IS (Base)'!AJ154</f>
        <v>0</v>
      </c>
      <c r="AK154" s="33">
        <f>'IS (Adjusted)'!AK154-'IS (Base)'!AK154</f>
        <v>0</v>
      </c>
      <c r="AL154" s="17">
        <f>'IS (Adjusted)'!AL154-'IS (Base)'!AL154</f>
        <v>0</v>
      </c>
      <c r="AM154" s="33">
        <f>'IS (Adjusted)'!AM154-'IS (Base)'!AM154</f>
        <v>0</v>
      </c>
      <c r="AN154" s="33">
        <f>'IS (Adjusted)'!AN154-'IS (Base)'!AN154</f>
        <v>0</v>
      </c>
      <c r="AO154" s="33">
        <f>'IS (Adjusted)'!AO154-'IS (Base)'!AO154</f>
        <v>0</v>
      </c>
      <c r="AP154" s="33">
        <f>'IS (Adjusted)'!AP154-'IS (Base)'!AP154</f>
        <v>0</v>
      </c>
      <c r="AQ154" s="17">
        <f>'IS (Adjusted)'!AQ154-'IS (Base)'!AQ154</f>
        <v>0</v>
      </c>
      <c r="AR154" s="33">
        <f>'IS (Adjusted)'!AR154-'IS (Base)'!AR154</f>
        <v>0</v>
      </c>
      <c r="AS154" s="33">
        <f>'IS (Adjusted)'!AS154-'IS (Base)'!AS154</f>
        <v>0</v>
      </c>
      <c r="AT154" s="33">
        <f>'IS (Adjusted)'!AT154-'IS (Base)'!AT154</f>
        <v>0</v>
      </c>
      <c r="AU154" s="33">
        <f>'IS (Adjusted)'!AU154-'IS (Base)'!AU154</f>
        <v>0</v>
      </c>
      <c r="AV154" s="17">
        <f>'IS (Adjusted)'!AV154-'IS (Base)'!AV154</f>
        <v>0</v>
      </c>
    </row>
    <row r="155" spans="2:48" outlineLevel="1" x14ac:dyDescent="0.3">
      <c r="B155" s="580" t="s">
        <v>207</v>
      </c>
      <c r="C155" s="581"/>
      <c r="D155" s="139">
        <f>'IS (Adjusted)'!D155-'IS (Base)'!D155</f>
        <v>0</v>
      </c>
      <c r="E155" s="139">
        <f>'IS (Adjusted)'!E155-'IS (Base)'!E155</f>
        <v>0</v>
      </c>
      <c r="F155" s="142">
        <f>'IS (Adjusted)'!F155-'IS (Base)'!F155</f>
        <v>0</v>
      </c>
      <c r="G155" s="142">
        <f>'IS (Adjusted)'!G155-'IS (Base)'!G155</f>
        <v>0</v>
      </c>
      <c r="H155" s="49">
        <f>'IS (Adjusted)'!H155-'IS (Base)'!H155</f>
        <v>0</v>
      </c>
      <c r="I155" s="139">
        <f>'IS (Adjusted)'!I155-'IS (Base)'!I155</f>
        <v>0</v>
      </c>
      <c r="J155" s="142">
        <f>'IS (Adjusted)'!J155-'IS (Base)'!J155</f>
        <v>0</v>
      </c>
      <c r="K155" s="139">
        <f>'IS (Adjusted)'!K155-'IS (Base)'!K155</f>
        <v>0</v>
      </c>
      <c r="L155" s="139">
        <f>'IS (Adjusted)'!L155-'IS (Base)'!L155</f>
        <v>0</v>
      </c>
      <c r="M155" s="49">
        <f>'IS (Adjusted)'!M155-'IS (Base)'!M155</f>
        <v>0</v>
      </c>
      <c r="N155" s="139">
        <f>'IS (Adjusted)'!N155-'IS (Base)'!N155</f>
        <v>0</v>
      </c>
      <c r="O155" s="139">
        <f>'IS (Adjusted)'!O155-'IS (Base)'!O155</f>
        <v>0</v>
      </c>
      <c r="P155" s="139">
        <f>'IS (Adjusted)'!P155-'IS (Base)'!P155</f>
        <v>0</v>
      </c>
      <c r="Q155" s="139">
        <f>'IS (Adjusted)'!Q155-'IS (Base)'!Q155</f>
        <v>0</v>
      </c>
      <c r="R155" s="49">
        <f>'IS (Adjusted)'!R155-'IS (Base)'!R155</f>
        <v>0</v>
      </c>
      <c r="S155" s="139">
        <f>'IS (Adjusted)'!S155-'IS (Base)'!S155</f>
        <v>0</v>
      </c>
      <c r="T155" s="142">
        <f>'IS (Adjusted)'!T155-'IS (Base)'!T155</f>
        <v>0</v>
      </c>
      <c r="U155" s="142">
        <f>'IS (Adjusted)'!U155-'IS (Base)'!U155</f>
        <v>0</v>
      </c>
      <c r="V155" s="139">
        <f>'IS (Adjusted)'!V155-'IS (Base)'!V155</f>
        <v>0</v>
      </c>
      <c r="W155" s="49">
        <f>'IS (Adjusted)'!W155-'IS (Base)'!W155</f>
        <v>0</v>
      </c>
      <c r="X155" s="139">
        <f>'IS (Adjusted)'!X155-'IS (Base)'!X155</f>
        <v>0</v>
      </c>
      <c r="Y155" s="139">
        <f>'IS (Adjusted)'!Y155-'IS (Base)'!Y155</f>
        <v>0</v>
      </c>
      <c r="Z155" s="139">
        <f>'IS (Adjusted)'!Z155-'IS (Base)'!Z155</f>
        <v>0</v>
      </c>
      <c r="AA155" s="139">
        <f>'IS (Adjusted)'!AA155-'IS (Base)'!AA155</f>
        <v>0</v>
      </c>
      <c r="AB155" s="49">
        <f>'IS (Adjusted)'!AB155-'IS (Base)'!AB155</f>
        <v>0</v>
      </c>
      <c r="AC155" s="139">
        <f>'IS (Adjusted)'!AC155-'IS (Base)'!AC155</f>
        <v>0</v>
      </c>
      <c r="AD155" s="139">
        <f>'IS (Adjusted)'!AD155-'IS (Base)'!AD155</f>
        <v>0</v>
      </c>
      <c r="AE155" s="139">
        <f>'IS (Adjusted)'!AE155-'IS (Base)'!AE155</f>
        <v>0</v>
      </c>
      <c r="AF155" s="139">
        <f>'IS (Adjusted)'!AF155-'IS (Base)'!AF155</f>
        <v>0</v>
      </c>
      <c r="AG155" s="49">
        <f>'IS (Adjusted)'!AG155-'IS (Base)'!AG155</f>
        <v>0</v>
      </c>
      <c r="AH155" s="139">
        <f>'IS (Adjusted)'!AH155-'IS (Base)'!AH155</f>
        <v>0</v>
      </c>
      <c r="AI155" s="139">
        <f>'IS (Adjusted)'!AI155-'IS (Base)'!AI155</f>
        <v>0</v>
      </c>
      <c r="AJ155" s="139">
        <f>'IS (Adjusted)'!AJ155-'IS (Base)'!AJ155</f>
        <v>0</v>
      </c>
      <c r="AK155" s="139">
        <f>'IS (Adjusted)'!AK155-'IS (Base)'!AK155</f>
        <v>0</v>
      </c>
      <c r="AL155" s="49">
        <f>'IS (Adjusted)'!AL155-'IS (Base)'!AL155</f>
        <v>0</v>
      </c>
      <c r="AM155" s="139">
        <f>'IS (Adjusted)'!AM155-'IS (Base)'!AM155</f>
        <v>0</v>
      </c>
      <c r="AN155" s="139">
        <f>'IS (Adjusted)'!AN155-'IS (Base)'!AN155</f>
        <v>0</v>
      </c>
      <c r="AO155" s="139">
        <f>'IS (Adjusted)'!AO155-'IS (Base)'!AO155</f>
        <v>0</v>
      </c>
      <c r="AP155" s="139">
        <f>'IS (Adjusted)'!AP155-'IS (Base)'!AP155</f>
        <v>0</v>
      </c>
      <c r="AQ155" s="49">
        <f>'IS (Adjusted)'!AQ155-'IS (Base)'!AQ155</f>
        <v>0</v>
      </c>
      <c r="AR155" s="139">
        <f>'IS (Adjusted)'!AR155-'IS (Base)'!AR155</f>
        <v>0</v>
      </c>
      <c r="AS155" s="139">
        <f>'IS (Adjusted)'!AS155-'IS (Base)'!AS155</f>
        <v>0</v>
      </c>
      <c r="AT155" s="139">
        <f>'IS (Adjusted)'!AT155-'IS (Base)'!AT155</f>
        <v>0</v>
      </c>
      <c r="AU155" s="139">
        <f>'IS (Adjusted)'!AU155-'IS (Base)'!AU155</f>
        <v>0</v>
      </c>
      <c r="AV155" s="49">
        <f>'IS (Adjusted)'!AV155-'IS (Base)'!AV155</f>
        <v>0</v>
      </c>
    </row>
    <row r="156" spans="2:48" outlineLevel="1" x14ac:dyDescent="0.3">
      <c r="B156" s="611" t="s">
        <v>131</v>
      </c>
      <c r="C156" s="612"/>
      <c r="D156" s="143">
        <f>'IS (Adjusted)'!D156-'IS (Base)'!D156</f>
        <v>0</v>
      </c>
      <c r="E156" s="144">
        <f>'IS (Adjusted)'!E156-'IS (Base)'!E156</f>
        <v>0</v>
      </c>
      <c r="F156" s="96">
        <f>'IS (Adjusted)'!F156-'IS (Base)'!F156</f>
        <v>0</v>
      </c>
      <c r="G156" s="96">
        <f>'IS (Adjusted)'!G156-'IS (Base)'!G156</f>
        <v>0</v>
      </c>
      <c r="H156" s="76">
        <f>'IS (Adjusted)'!H156-'IS (Base)'!H156</f>
        <v>0</v>
      </c>
      <c r="I156" s="96">
        <f>'IS (Adjusted)'!I156-'IS (Base)'!I156</f>
        <v>0</v>
      </c>
      <c r="J156" s="96">
        <f>'IS (Adjusted)'!J156-'IS (Base)'!J156</f>
        <v>0</v>
      </c>
      <c r="K156" s="96">
        <f>'IS (Adjusted)'!K156-'IS (Base)'!K156</f>
        <v>0</v>
      </c>
      <c r="L156" s="96">
        <f>'IS (Adjusted)'!L156-'IS (Base)'!L156</f>
        <v>0</v>
      </c>
      <c r="M156" s="76">
        <f>'IS (Adjusted)'!M156-'IS (Base)'!M156</f>
        <v>0</v>
      </c>
      <c r="N156" s="96">
        <f>'IS (Adjusted)'!N156-'IS (Base)'!N156</f>
        <v>0</v>
      </c>
      <c r="O156" s="96">
        <f>'IS (Adjusted)'!O156-'IS (Base)'!O156</f>
        <v>0</v>
      </c>
      <c r="P156" s="96">
        <f>'IS (Adjusted)'!P156-'IS (Base)'!P156</f>
        <v>0</v>
      </c>
      <c r="Q156" s="96">
        <f>'IS (Adjusted)'!Q156-'IS (Base)'!Q156</f>
        <v>0</v>
      </c>
      <c r="R156" s="76">
        <f>'IS (Adjusted)'!R156-'IS (Base)'!R156</f>
        <v>0</v>
      </c>
      <c r="S156" s="96">
        <f>'IS (Adjusted)'!S156-'IS (Base)'!S156</f>
        <v>0</v>
      </c>
      <c r="T156" s="96">
        <f>'IS (Adjusted)'!T156-'IS (Base)'!T156</f>
        <v>0</v>
      </c>
      <c r="U156" s="96">
        <f>'IS (Adjusted)'!U156-'IS (Base)'!U156</f>
        <v>0</v>
      </c>
      <c r="V156" s="96">
        <f>'IS (Adjusted)'!V156-'IS (Base)'!V156</f>
        <v>0</v>
      </c>
      <c r="W156" s="76">
        <f>'IS (Adjusted)'!W156-'IS (Base)'!W156</f>
        <v>0</v>
      </c>
      <c r="X156" s="96">
        <f>'IS (Adjusted)'!X156-'IS (Base)'!X156</f>
        <v>0</v>
      </c>
      <c r="Y156" s="96">
        <f>'IS (Adjusted)'!Y156-'IS (Base)'!Y156</f>
        <v>0</v>
      </c>
      <c r="Z156" s="96">
        <f>'IS (Adjusted)'!Z156-'IS (Base)'!Z156</f>
        <v>0</v>
      </c>
      <c r="AA156" s="96">
        <f>'IS (Adjusted)'!AA156-'IS (Base)'!AA156</f>
        <v>0</v>
      </c>
      <c r="AB156" s="76">
        <f>'IS (Adjusted)'!AB156-'IS (Base)'!AB156</f>
        <v>0</v>
      </c>
      <c r="AC156" s="96">
        <f>'IS (Adjusted)'!AC156-'IS (Base)'!AC156</f>
        <v>0</v>
      </c>
      <c r="AD156" s="96">
        <f>'IS (Adjusted)'!AD156-'IS (Base)'!AD156</f>
        <v>0</v>
      </c>
      <c r="AE156" s="96">
        <f>'IS (Adjusted)'!AE156-'IS (Base)'!AE156</f>
        <v>0</v>
      </c>
      <c r="AF156" s="96">
        <f>'IS (Adjusted)'!AF156-'IS (Base)'!AF156</f>
        <v>0</v>
      </c>
      <c r="AG156" s="76">
        <f>'IS (Adjusted)'!AG156-'IS (Base)'!AG156</f>
        <v>0</v>
      </c>
      <c r="AH156" s="96">
        <f>'IS (Adjusted)'!AH156-'IS (Base)'!AH156</f>
        <v>0</v>
      </c>
      <c r="AI156" s="96">
        <f>'IS (Adjusted)'!AI156-'IS (Base)'!AI156</f>
        <v>0</v>
      </c>
      <c r="AJ156" s="96">
        <f>'IS (Adjusted)'!AJ156-'IS (Base)'!AJ156</f>
        <v>0</v>
      </c>
      <c r="AK156" s="96">
        <f>'IS (Adjusted)'!AK156-'IS (Base)'!AK156</f>
        <v>0</v>
      </c>
      <c r="AL156" s="76">
        <f>'IS (Adjusted)'!AL156-'IS (Base)'!AL156</f>
        <v>0</v>
      </c>
      <c r="AM156" s="96">
        <f>'IS (Adjusted)'!AM156-'IS (Base)'!AM156</f>
        <v>0</v>
      </c>
      <c r="AN156" s="96">
        <f>'IS (Adjusted)'!AN156-'IS (Base)'!AN156</f>
        <v>0</v>
      </c>
      <c r="AO156" s="96">
        <f>'IS (Adjusted)'!AO156-'IS (Base)'!AO156</f>
        <v>0</v>
      </c>
      <c r="AP156" s="96">
        <f>'IS (Adjusted)'!AP156-'IS (Base)'!AP156</f>
        <v>0</v>
      </c>
      <c r="AQ156" s="76">
        <f>'IS (Adjusted)'!AQ156-'IS (Base)'!AQ156</f>
        <v>0</v>
      </c>
      <c r="AR156" s="96">
        <f>'IS (Adjusted)'!AR156-'IS (Base)'!AR156</f>
        <v>0</v>
      </c>
      <c r="AS156" s="96">
        <f>'IS (Adjusted)'!AS156-'IS (Base)'!AS156</f>
        <v>0</v>
      </c>
      <c r="AT156" s="96">
        <f>'IS (Adjusted)'!AT156-'IS (Base)'!AT156</f>
        <v>0</v>
      </c>
      <c r="AU156" s="96">
        <f>'IS (Adjusted)'!AU156-'IS (Base)'!AU156</f>
        <v>0</v>
      </c>
      <c r="AV156" s="76">
        <f>'IS (Adjusted)'!AV156-'IS (Base)'!AV156</f>
        <v>0</v>
      </c>
    </row>
    <row r="157" spans="2:48" outlineLevel="1" x14ac:dyDescent="0.3">
      <c r="B157" s="613" t="s">
        <v>132</v>
      </c>
      <c r="C157" s="614"/>
      <c r="D157" s="145">
        <f>'IS (Adjusted)'!D157-'IS (Base)'!D157</f>
        <v>0</v>
      </c>
      <c r="E157" s="146">
        <f>'IS (Adjusted)'!E157-'IS (Base)'!E157</f>
        <v>0</v>
      </c>
      <c r="F157" s="139">
        <f>'IS (Adjusted)'!F157-'IS (Base)'!F157</f>
        <v>0</v>
      </c>
      <c r="G157" s="139">
        <f>'IS (Adjusted)'!G157-'IS (Base)'!G157</f>
        <v>0</v>
      </c>
      <c r="H157" s="49">
        <f>'IS (Adjusted)'!H157-'IS (Base)'!H157</f>
        <v>0</v>
      </c>
      <c r="I157" s="139">
        <f>'IS (Adjusted)'!I157-'IS (Base)'!I157</f>
        <v>0</v>
      </c>
      <c r="J157" s="139">
        <f>'IS (Adjusted)'!J157-'IS (Base)'!J157</f>
        <v>0</v>
      </c>
      <c r="K157" s="139">
        <f>'IS (Adjusted)'!K157-'IS (Base)'!K157</f>
        <v>0</v>
      </c>
      <c r="L157" s="139">
        <f>'IS (Adjusted)'!L157-'IS (Base)'!L157</f>
        <v>0</v>
      </c>
      <c r="M157" s="49">
        <f>'IS (Adjusted)'!M157-'IS (Base)'!M157</f>
        <v>0</v>
      </c>
      <c r="N157" s="139">
        <f>'IS (Adjusted)'!N157-'IS (Base)'!N157</f>
        <v>0</v>
      </c>
      <c r="O157" s="139">
        <f>'IS (Adjusted)'!O157-'IS (Base)'!O157</f>
        <v>0</v>
      </c>
      <c r="P157" s="139">
        <f>'IS (Adjusted)'!P157-'IS (Base)'!P157</f>
        <v>0</v>
      </c>
      <c r="Q157" s="139">
        <f>'IS (Adjusted)'!Q157-'IS (Base)'!Q157</f>
        <v>0</v>
      </c>
      <c r="R157" s="49">
        <f>'IS (Adjusted)'!R157-'IS (Base)'!R157</f>
        <v>0</v>
      </c>
      <c r="S157" s="139">
        <f>'IS (Adjusted)'!S157-'IS (Base)'!S157</f>
        <v>0</v>
      </c>
      <c r="T157" s="139">
        <f>'IS (Adjusted)'!T157-'IS (Base)'!T157</f>
        <v>0</v>
      </c>
      <c r="U157" s="142">
        <f>'IS (Adjusted)'!U157-'IS (Base)'!U157</f>
        <v>0</v>
      </c>
      <c r="V157" s="139">
        <f>'IS (Adjusted)'!V157-'IS (Base)'!V157</f>
        <v>0</v>
      </c>
      <c r="W157" s="137">
        <f>'IS (Adjusted)'!W157-'IS (Base)'!W157</f>
        <v>0</v>
      </c>
      <c r="X157" s="139">
        <f>'IS (Adjusted)'!X157-'IS (Base)'!X157</f>
        <v>0</v>
      </c>
      <c r="Y157" s="139">
        <f>'IS (Adjusted)'!Y157-'IS (Base)'!Y157</f>
        <v>0</v>
      </c>
      <c r="Z157" s="139">
        <f>'IS (Adjusted)'!Z157-'IS (Base)'!Z157</f>
        <v>0</v>
      </c>
      <c r="AA157" s="139">
        <f>'IS (Adjusted)'!AA157-'IS (Base)'!AA157</f>
        <v>0</v>
      </c>
      <c r="AB157" s="49">
        <f>'IS (Adjusted)'!AB157-'IS (Base)'!AB157</f>
        <v>0</v>
      </c>
      <c r="AC157" s="139">
        <f>'IS (Adjusted)'!AC157-'IS (Base)'!AC157</f>
        <v>0</v>
      </c>
      <c r="AD157" s="139">
        <f>'IS (Adjusted)'!AD157-'IS (Base)'!AD157</f>
        <v>0</v>
      </c>
      <c r="AE157" s="139">
        <f>'IS (Adjusted)'!AE157-'IS (Base)'!AE157</f>
        <v>0</v>
      </c>
      <c r="AF157" s="139">
        <f>'IS (Adjusted)'!AF157-'IS (Base)'!AF157</f>
        <v>0</v>
      </c>
      <c r="AG157" s="49">
        <f>'IS (Adjusted)'!AG157-'IS (Base)'!AG157</f>
        <v>0</v>
      </c>
      <c r="AH157" s="139">
        <f>'IS (Adjusted)'!AH157-'IS (Base)'!AH157</f>
        <v>0</v>
      </c>
      <c r="AI157" s="139">
        <f>'IS (Adjusted)'!AI157-'IS (Base)'!AI157</f>
        <v>0</v>
      </c>
      <c r="AJ157" s="139">
        <f>'IS (Adjusted)'!AJ157-'IS (Base)'!AJ157</f>
        <v>0</v>
      </c>
      <c r="AK157" s="139">
        <f>'IS (Adjusted)'!AK157-'IS (Base)'!AK157</f>
        <v>0</v>
      </c>
      <c r="AL157" s="49">
        <f>'IS (Adjusted)'!AL157-'IS (Base)'!AL157</f>
        <v>0</v>
      </c>
      <c r="AM157" s="139">
        <f>'IS (Adjusted)'!AM157-'IS (Base)'!AM157</f>
        <v>0</v>
      </c>
      <c r="AN157" s="139">
        <f>'IS (Adjusted)'!AN157-'IS (Base)'!AN157</f>
        <v>0</v>
      </c>
      <c r="AO157" s="139">
        <f>'IS (Adjusted)'!AO157-'IS (Base)'!AO157</f>
        <v>0</v>
      </c>
      <c r="AP157" s="139">
        <f>'IS (Adjusted)'!AP157-'IS (Base)'!AP157</f>
        <v>0</v>
      </c>
      <c r="AQ157" s="49">
        <f>'IS (Adjusted)'!AQ157-'IS (Base)'!AQ157</f>
        <v>0</v>
      </c>
      <c r="AR157" s="139">
        <f>'IS (Adjusted)'!AR157-'IS (Base)'!AR157</f>
        <v>0</v>
      </c>
      <c r="AS157" s="139">
        <f>'IS (Adjusted)'!AS157-'IS (Base)'!AS157</f>
        <v>0</v>
      </c>
      <c r="AT157" s="139">
        <f>'IS (Adjusted)'!AT157-'IS (Base)'!AT157</f>
        <v>0</v>
      </c>
      <c r="AU157" s="139">
        <f>'IS (Adjusted)'!AU157-'IS (Base)'!AU157</f>
        <v>0</v>
      </c>
      <c r="AV157" s="49">
        <f>'IS (Adjusted)'!AV157-'IS (Base)'!AV157</f>
        <v>0</v>
      </c>
    </row>
    <row r="158" spans="2:48" outlineLevel="1" x14ac:dyDescent="0.3">
      <c r="B158" s="615" t="s">
        <v>133</v>
      </c>
      <c r="C158" s="616"/>
      <c r="D158" s="147">
        <f>'IS (Adjusted)'!D158-'IS (Base)'!D158</f>
        <v>0</v>
      </c>
      <c r="E158" s="140">
        <f>'IS (Adjusted)'!E158-'IS (Base)'!E158</f>
        <v>0</v>
      </c>
      <c r="F158" s="140">
        <f>'IS (Adjusted)'!F158-'IS (Base)'!F158</f>
        <v>0</v>
      </c>
      <c r="G158" s="140">
        <f>'IS (Adjusted)'!G158-'IS (Base)'!G158</f>
        <v>0</v>
      </c>
      <c r="H158" s="141">
        <f>'IS (Adjusted)'!H158-'IS (Base)'!H158</f>
        <v>0</v>
      </c>
      <c r="I158" s="140">
        <f>'IS (Adjusted)'!I158-'IS (Base)'!I158</f>
        <v>0</v>
      </c>
      <c r="J158" s="140">
        <f>'IS (Adjusted)'!J158-'IS (Base)'!J158</f>
        <v>0</v>
      </c>
      <c r="K158" s="140">
        <f>'IS (Adjusted)'!K158-'IS (Base)'!K158</f>
        <v>0</v>
      </c>
      <c r="L158" s="140">
        <f>'IS (Adjusted)'!L158-'IS (Base)'!L158</f>
        <v>0</v>
      </c>
      <c r="M158" s="141">
        <f>'IS (Adjusted)'!M158-'IS (Base)'!M158</f>
        <v>0</v>
      </c>
      <c r="N158" s="140">
        <f>'IS (Adjusted)'!N158-'IS (Base)'!N158</f>
        <v>0</v>
      </c>
      <c r="O158" s="140">
        <f>'IS (Adjusted)'!O158-'IS (Base)'!O158</f>
        <v>0</v>
      </c>
      <c r="P158" s="140">
        <f>'IS (Adjusted)'!P158-'IS (Base)'!P158</f>
        <v>0</v>
      </c>
      <c r="Q158" s="140">
        <f>'IS (Adjusted)'!Q158-'IS (Base)'!Q158</f>
        <v>0</v>
      </c>
      <c r="R158" s="141">
        <f>'IS (Adjusted)'!R158-'IS (Base)'!R158</f>
        <v>0</v>
      </c>
      <c r="S158" s="140">
        <f>'IS (Adjusted)'!S158-'IS (Base)'!S158</f>
        <v>0</v>
      </c>
      <c r="T158" s="140">
        <f>'IS (Adjusted)'!T158-'IS (Base)'!T158</f>
        <v>0</v>
      </c>
      <c r="U158" s="140">
        <f>'IS (Adjusted)'!U158-'IS (Base)'!U158</f>
        <v>0</v>
      </c>
      <c r="V158" s="140">
        <f>'IS (Adjusted)'!V158-'IS (Base)'!V158</f>
        <v>0</v>
      </c>
      <c r="W158" s="199">
        <f>'IS (Adjusted)'!W158-'IS (Base)'!W158</f>
        <v>0</v>
      </c>
      <c r="X158" s="140">
        <f>'IS (Adjusted)'!X158-'IS (Base)'!X158</f>
        <v>0</v>
      </c>
      <c r="Y158" s="140">
        <f>'IS (Adjusted)'!Y158-'IS (Base)'!Y158</f>
        <v>0</v>
      </c>
      <c r="Z158" s="140">
        <f>'IS (Adjusted)'!Z158-'IS (Base)'!Z158</f>
        <v>0</v>
      </c>
      <c r="AA158" s="140">
        <f>'IS (Adjusted)'!AA158-'IS (Base)'!AA158</f>
        <v>0</v>
      </c>
      <c r="AB158" s="141">
        <f>'IS (Adjusted)'!AB158-'IS (Base)'!AB158</f>
        <v>0</v>
      </c>
      <c r="AC158" s="140">
        <f>'IS (Adjusted)'!AC158-'IS (Base)'!AC158</f>
        <v>0</v>
      </c>
      <c r="AD158" s="140">
        <f>'IS (Adjusted)'!AD158-'IS (Base)'!AD158</f>
        <v>0</v>
      </c>
      <c r="AE158" s="140">
        <f>'IS (Adjusted)'!AE158-'IS (Base)'!AE158</f>
        <v>0</v>
      </c>
      <c r="AF158" s="140">
        <f>'IS (Adjusted)'!AF158-'IS (Base)'!AF158</f>
        <v>0</v>
      </c>
      <c r="AG158" s="141">
        <f>'IS (Adjusted)'!AG158-'IS (Base)'!AG158</f>
        <v>0</v>
      </c>
      <c r="AH158" s="140">
        <f>'IS (Adjusted)'!AH158-'IS (Base)'!AH158</f>
        <v>0</v>
      </c>
      <c r="AI158" s="140">
        <f>'IS (Adjusted)'!AI158-'IS (Base)'!AI158</f>
        <v>0</v>
      </c>
      <c r="AJ158" s="140">
        <f>'IS (Adjusted)'!AJ158-'IS (Base)'!AJ158</f>
        <v>0</v>
      </c>
      <c r="AK158" s="140">
        <f>'IS (Adjusted)'!AK158-'IS (Base)'!AK158</f>
        <v>0</v>
      </c>
      <c r="AL158" s="141">
        <f>'IS (Adjusted)'!AL158-'IS (Base)'!AL158</f>
        <v>0</v>
      </c>
      <c r="AM158" s="140">
        <f>'IS (Adjusted)'!AM158-'IS (Base)'!AM158</f>
        <v>0</v>
      </c>
      <c r="AN158" s="140">
        <f>'IS (Adjusted)'!AN158-'IS (Base)'!AN158</f>
        <v>0</v>
      </c>
      <c r="AO158" s="140">
        <f>'IS (Adjusted)'!AO158-'IS (Base)'!AO158</f>
        <v>0</v>
      </c>
      <c r="AP158" s="140">
        <f>'IS (Adjusted)'!AP158-'IS (Base)'!AP158</f>
        <v>0</v>
      </c>
      <c r="AQ158" s="141">
        <f>'IS (Adjusted)'!AQ158-'IS (Base)'!AQ158</f>
        <v>0</v>
      </c>
      <c r="AR158" s="140">
        <f>'IS (Adjusted)'!AR158-'IS (Base)'!AR158</f>
        <v>0</v>
      </c>
      <c r="AS158" s="140">
        <f>'IS (Adjusted)'!AS158-'IS (Base)'!AS158</f>
        <v>0</v>
      </c>
      <c r="AT158" s="140">
        <f>'IS (Adjusted)'!AT158-'IS (Base)'!AT158</f>
        <v>0</v>
      </c>
      <c r="AU158" s="140">
        <f>'IS (Adjusted)'!AU158-'IS (Base)'!AU158</f>
        <v>0</v>
      </c>
      <c r="AV158" s="141">
        <f>'IS (Adjusted)'!AV158-'IS (Base)'!AV158</f>
        <v>0</v>
      </c>
    </row>
    <row r="159" spans="2:48" outlineLevel="1" x14ac:dyDescent="0.3">
      <c r="B159" s="200" t="s">
        <v>134</v>
      </c>
      <c r="C159" s="201"/>
      <c r="D159" s="139">
        <f>'IS (Adjusted)'!D159-'IS (Base)'!D159</f>
        <v>0</v>
      </c>
      <c r="E159" s="36">
        <f>'IS (Adjusted)'!E159-'IS (Base)'!E159</f>
        <v>0</v>
      </c>
      <c r="F159" s="36">
        <f>'IS (Adjusted)'!F159-'IS (Base)'!F159</f>
        <v>0</v>
      </c>
      <c r="G159" s="139">
        <f>'IS (Adjusted)'!G159-'IS (Base)'!G159</f>
        <v>0</v>
      </c>
      <c r="H159" s="49">
        <f>'IS (Adjusted)'!H159-'IS (Base)'!H159</f>
        <v>0</v>
      </c>
      <c r="I159" s="139">
        <f>'IS (Adjusted)'!I159-'IS (Base)'!I159</f>
        <v>0</v>
      </c>
      <c r="J159" s="139">
        <f>'IS (Adjusted)'!J159-'IS (Base)'!J159</f>
        <v>0</v>
      </c>
      <c r="K159" s="139">
        <f>'IS (Adjusted)'!K159-'IS (Base)'!K159</f>
        <v>0</v>
      </c>
      <c r="L159" s="139">
        <f>'IS (Adjusted)'!L159-'IS (Base)'!L159</f>
        <v>0</v>
      </c>
      <c r="M159" s="49">
        <f>'IS (Adjusted)'!M159-'IS (Base)'!M159</f>
        <v>0</v>
      </c>
      <c r="N159" s="139">
        <f>'IS (Adjusted)'!N159-'IS (Base)'!N159</f>
        <v>0</v>
      </c>
      <c r="O159" s="139">
        <f>'IS (Adjusted)'!O159-'IS (Base)'!O159</f>
        <v>0</v>
      </c>
      <c r="P159" s="139">
        <f>'IS (Adjusted)'!P159-'IS (Base)'!P159</f>
        <v>0</v>
      </c>
      <c r="Q159" s="139">
        <f>'IS (Adjusted)'!Q159-'IS (Base)'!Q159</f>
        <v>0</v>
      </c>
      <c r="R159" s="49">
        <f>'IS (Adjusted)'!R159-'IS (Base)'!R159</f>
        <v>0</v>
      </c>
      <c r="S159" s="139">
        <f>'IS (Adjusted)'!S159-'IS (Base)'!S159</f>
        <v>0</v>
      </c>
      <c r="T159" s="139">
        <f>'IS (Adjusted)'!T159-'IS (Base)'!T159</f>
        <v>0</v>
      </c>
      <c r="U159" s="139">
        <f>'IS (Adjusted)'!U159-'IS (Base)'!U159</f>
        <v>0</v>
      </c>
      <c r="V159" s="139">
        <f>'IS (Adjusted)'!V159-'IS (Base)'!V159</f>
        <v>0</v>
      </c>
      <c r="W159" s="49">
        <f>'IS (Adjusted)'!W159-'IS (Base)'!W159</f>
        <v>0</v>
      </c>
      <c r="X159" s="139">
        <f>'IS (Adjusted)'!X159-'IS (Base)'!X159</f>
        <v>0</v>
      </c>
      <c r="Y159" s="139">
        <f>'IS (Adjusted)'!Y159-'IS (Base)'!Y159</f>
        <v>0</v>
      </c>
      <c r="Z159" s="139">
        <f>'IS (Adjusted)'!Z159-'IS (Base)'!Z159</f>
        <v>0</v>
      </c>
      <c r="AA159" s="139">
        <f>'IS (Adjusted)'!AA159-'IS (Base)'!AA159</f>
        <v>0</v>
      </c>
      <c r="AB159" s="49">
        <f>'IS (Adjusted)'!AB159-'IS (Base)'!AB159</f>
        <v>0</v>
      </c>
      <c r="AC159" s="139">
        <f>'IS (Adjusted)'!AC159-'IS (Base)'!AC159</f>
        <v>0</v>
      </c>
      <c r="AD159" s="139">
        <f>'IS (Adjusted)'!AD159-'IS (Base)'!AD159</f>
        <v>0</v>
      </c>
      <c r="AE159" s="139">
        <f>'IS (Adjusted)'!AE159-'IS (Base)'!AE159</f>
        <v>0</v>
      </c>
      <c r="AF159" s="139">
        <f>'IS (Adjusted)'!AF159-'IS (Base)'!AF159</f>
        <v>0</v>
      </c>
      <c r="AG159" s="49">
        <f>'IS (Adjusted)'!AG159-'IS (Base)'!AG159</f>
        <v>0</v>
      </c>
      <c r="AH159" s="139">
        <f>'IS (Adjusted)'!AH159-'IS (Base)'!AH159</f>
        <v>0</v>
      </c>
      <c r="AI159" s="139">
        <f>'IS (Adjusted)'!AI159-'IS (Base)'!AI159</f>
        <v>0</v>
      </c>
      <c r="AJ159" s="139">
        <f>'IS (Adjusted)'!AJ159-'IS (Base)'!AJ159</f>
        <v>0</v>
      </c>
      <c r="AK159" s="139">
        <f>'IS (Adjusted)'!AK159-'IS (Base)'!AK159</f>
        <v>0</v>
      </c>
      <c r="AL159" s="49">
        <f>'IS (Adjusted)'!AL159-'IS (Base)'!AL159</f>
        <v>0</v>
      </c>
      <c r="AM159" s="139">
        <f>'IS (Adjusted)'!AM159-'IS (Base)'!AM159</f>
        <v>0</v>
      </c>
      <c r="AN159" s="139">
        <f>'IS (Adjusted)'!AN159-'IS (Base)'!AN159</f>
        <v>0</v>
      </c>
      <c r="AO159" s="139">
        <f>'IS (Adjusted)'!AO159-'IS (Base)'!AO159</f>
        <v>0</v>
      </c>
      <c r="AP159" s="139">
        <f>'IS (Adjusted)'!AP159-'IS (Base)'!AP159</f>
        <v>0</v>
      </c>
      <c r="AQ159" s="49">
        <f>'IS (Adjusted)'!AQ159-'IS (Base)'!AQ159</f>
        <v>0</v>
      </c>
      <c r="AR159" s="139">
        <f>'IS (Adjusted)'!AR159-'IS (Base)'!AR159</f>
        <v>0</v>
      </c>
      <c r="AS159" s="139">
        <f>'IS (Adjusted)'!AS159-'IS (Base)'!AS159</f>
        <v>0</v>
      </c>
      <c r="AT159" s="139">
        <f>'IS (Adjusted)'!AT159-'IS (Base)'!AT159</f>
        <v>0</v>
      </c>
      <c r="AU159" s="139">
        <f>'IS (Adjusted)'!AU159-'IS (Base)'!AU159</f>
        <v>0</v>
      </c>
      <c r="AV159" s="49">
        <f>'IS (Adjusted)'!AV159-'IS (Base)'!AV159</f>
        <v>0</v>
      </c>
    </row>
    <row r="160" spans="2:48" outlineLevel="1" x14ac:dyDescent="0.3">
      <c r="B160" s="200" t="s">
        <v>135</v>
      </c>
      <c r="C160" s="201"/>
      <c r="D160" s="139">
        <f>'IS (Adjusted)'!D160-'IS (Base)'!D160</f>
        <v>0</v>
      </c>
      <c r="E160" s="16">
        <f>'IS (Adjusted)'!E160-'IS (Base)'!E160</f>
        <v>0</v>
      </c>
      <c r="F160" s="16">
        <f>'IS (Adjusted)'!F160-'IS (Base)'!F160</f>
        <v>0</v>
      </c>
      <c r="G160" s="139">
        <f>'IS (Adjusted)'!G160-'IS (Base)'!G160</f>
        <v>0</v>
      </c>
      <c r="H160" s="49">
        <f>'IS (Adjusted)'!H160-'IS (Base)'!H160</f>
        <v>0</v>
      </c>
      <c r="I160" s="139">
        <f>'IS (Adjusted)'!I160-'IS (Base)'!I160</f>
        <v>0</v>
      </c>
      <c r="J160" s="139">
        <f>'IS (Adjusted)'!J160-'IS (Base)'!J160</f>
        <v>0</v>
      </c>
      <c r="K160" s="139">
        <f>'IS (Adjusted)'!K160-'IS (Base)'!K160</f>
        <v>0</v>
      </c>
      <c r="L160" s="139">
        <f>'IS (Adjusted)'!L160-'IS (Base)'!L160</f>
        <v>0</v>
      </c>
      <c r="M160" s="49">
        <f>'IS (Adjusted)'!M160-'IS (Base)'!M160</f>
        <v>0</v>
      </c>
      <c r="N160" s="179">
        <f>'IS (Adjusted)'!N160-'IS (Base)'!N160</f>
        <v>0</v>
      </c>
      <c r="O160" s="139">
        <f>'IS (Adjusted)'!O160-'IS (Base)'!O160</f>
        <v>0</v>
      </c>
      <c r="P160" s="139">
        <f>'IS (Adjusted)'!P160-'IS (Base)'!P160</f>
        <v>0</v>
      </c>
      <c r="Q160" s="139">
        <f>'IS (Adjusted)'!Q160-'IS (Base)'!Q160</f>
        <v>0</v>
      </c>
      <c r="R160" s="49">
        <f>'IS (Adjusted)'!R160-'IS (Base)'!R160</f>
        <v>0</v>
      </c>
      <c r="S160" s="139">
        <f>'IS (Adjusted)'!S160-'IS (Base)'!S160</f>
        <v>0</v>
      </c>
      <c r="T160" s="139">
        <f>'IS (Adjusted)'!T160-'IS (Base)'!T160</f>
        <v>0</v>
      </c>
      <c r="U160" s="139">
        <f>'IS (Adjusted)'!U160-'IS (Base)'!U160</f>
        <v>0</v>
      </c>
      <c r="V160" s="139">
        <f>'IS (Adjusted)'!V160-'IS (Base)'!V160</f>
        <v>0</v>
      </c>
      <c r="W160" s="49">
        <f>'IS (Adjusted)'!W160-'IS (Base)'!W160</f>
        <v>0</v>
      </c>
      <c r="X160" s="139">
        <f>'IS (Adjusted)'!X160-'IS (Base)'!X160</f>
        <v>0</v>
      </c>
      <c r="Y160" s="139">
        <f>'IS (Adjusted)'!Y160-'IS (Base)'!Y160</f>
        <v>0</v>
      </c>
      <c r="Z160" s="139">
        <f>'IS (Adjusted)'!Z160-'IS (Base)'!Z160</f>
        <v>0</v>
      </c>
      <c r="AA160" s="139">
        <f>'IS (Adjusted)'!AA160-'IS (Base)'!AA160</f>
        <v>0</v>
      </c>
      <c r="AB160" s="49">
        <f>'IS (Adjusted)'!AB160-'IS (Base)'!AB160</f>
        <v>0</v>
      </c>
      <c r="AC160" s="139">
        <f>'IS (Adjusted)'!AC160-'IS (Base)'!AC160</f>
        <v>0</v>
      </c>
      <c r="AD160" s="139">
        <f>'IS (Adjusted)'!AD160-'IS (Base)'!AD160</f>
        <v>0</v>
      </c>
      <c r="AE160" s="139">
        <f>'IS (Adjusted)'!AE160-'IS (Base)'!AE160</f>
        <v>0</v>
      </c>
      <c r="AF160" s="139">
        <f>'IS (Adjusted)'!AF160-'IS (Base)'!AF160</f>
        <v>0</v>
      </c>
      <c r="AG160" s="49">
        <f>'IS (Adjusted)'!AG160-'IS (Base)'!AG160</f>
        <v>0</v>
      </c>
      <c r="AH160" s="139">
        <f>'IS (Adjusted)'!AH160-'IS (Base)'!AH160</f>
        <v>0</v>
      </c>
      <c r="AI160" s="139">
        <f>'IS (Adjusted)'!AI160-'IS (Base)'!AI160</f>
        <v>0</v>
      </c>
      <c r="AJ160" s="139">
        <f>'IS (Adjusted)'!AJ160-'IS (Base)'!AJ160</f>
        <v>0</v>
      </c>
      <c r="AK160" s="139">
        <f>'IS (Adjusted)'!AK160-'IS (Base)'!AK160</f>
        <v>0</v>
      </c>
      <c r="AL160" s="49">
        <f>'IS (Adjusted)'!AL160-'IS (Base)'!AL160</f>
        <v>0</v>
      </c>
      <c r="AM160" s="139">
        <f>'IS (Adjusted)'!AM160-'IS (Base)'!AM160</f>
        <v>0</v>
      </c>
      <c r="AN160" s="139">
        <f>'IS (Adjusted)'!AN160-'IS (Base)'!AN160</f>
        <v>0</v>
      </c>
      <c r="AO160" s="139">
        <f>'IS (Adjusted)'!AO160-'IS (Base)'!AO160</f>
        <v>0</v>
      </c>
      <c r="AP160" s="139">
        <f>'IS (Adjusted)'!AP160-'IS (Base)'!AP160</f>
        <v>0</v>
      </c>
      <c r="AQ160" s="49">
        <f>'IS (Adjusted)'!AQ160-'IS (Base)'!AQ160</f>
        <v>0</v>
      </c>
      <c r="AR160" s="139">
        <f>'IS (Adjusted)'!AR160-'IS (Base)'!AR160</f>
        <v>0</v>
      </c>
      <c r="AS160" s="139">
        <f>'IS (Adjusted)'!AS160-'IS (Base)'!AS160</f>
        <v>0</v>
      </c>
      <c r="AT160" s="139">
        <f>'IS (Adjusted)'!AT160-'IS (Base)'!AT160</f>
        <v>0</v>
      </c>
      <c r="AU160" s="139">
        <f>'IS (Adjusted)'!AU160-'IS (Base)'!AU160</f>
        <v>0</v>
      </c>
      <c r="AV160" s="49">
        <f>'IS (Adjusted)'!AV160-'IS (Base)'!AV160</f>
        <v>0</v>
      </c>
    </row>
    <row r="161" spans="2:48" outlineLevel="1" x14ac:dyDescent="0.3">
      <c r="B161" s="200" t="s">
        <v>136</v>
      </c>
      <c r="C161" s="201"/>
      <c r="D161" s="139">
        <f>'IS (Adjusted)'!D161-'IS (Base)'!D161</f>
        <v>0</v>
      </c>
      <c r="E161" s="139">
        <f>'IS (Adjusted)'!E161-'IS (Base)'!E161</f>
        <v>0</v>
      </c>
      <c r="F161" s="139">
        <f>'IS (Adjusted)'!F161-'IS (Base)'!F161</f>
        <v>0</v>
      </c>
      <c r="G161" s="139">
        <f>'IS (Adjusted)'!G161-'IS (Base)'!G161</f>
        <v>0</v>
      </c>
      <c r="H161" s="49">
        <f>'IS (Adjusted)'!H161-'IS (Base)'!H161</f>
        <v>0</v>
      </c>
      <c r="I161" s="139">
        <f>'IS (Adjusted)'!I161-'IS (Base)'!I161</f>
        <v>0</v>
      </c>
      <c r="J161" s="139">
        <f>'IS (Adjusted)'!J161-'IS (Base)'!J161</f>
        <v>0</v>
      </c>
      <c r="K161" s="139">
        <f>'IS (Adjusted)'!K161-'IS (Base)'!K161</f>
        <v>0</v>
      </c>
      <c r="L161" s="139">
        <f>'IS (Adjusted)'!L161-'IS (Base)'!L161</f>
        <v>0</v>
      </c>
      <c r="M161" s="49">
        <f>'IS (Adjusted)'!M161-'IS (Base)'!M161</f>
        <v>0</v>
      </c>
      <c r="N161" s="139">
        <f>'IS (Adjusted)'!N161-'IS (Base)'!N161</f>
        <v>0</v>
      </c>
      <c r="O161" s="139">
        <f>'IS (Adjusted)'!O161-'IS (Base)'!O161</f>
        <v>0</v>
      </c>
      <c r="P161" s="139">
        <f>'IS (Adjusted)'!P161-'IS (Base)'!P161</f>
        <v>0</v>
      </c>
      <c r="Q161" s="139">
        <f>'IS (Adjusted)'!Q161-'IS (Base)'!Q161</f>
        <v>0</v>
      </c>
      <c r="R161" s="49">
        <f>'IS (Adjusted)'!R161-'IS (Base)'!R161</f>
        <v>0</v>
      </c>
      <c r="S161" s="139">
        <f>'IS (Adjusted)'!S161-'IS (Base)'!S161</f>
        <v>0</v>
      </c>
      <c r="T161" s="139">
        <f>'IS (Adjusted)'!T161-'IS (Base)'!T161</f>
        <v>0</v>
      </c>
      <c r="U161" s="139">
        <f>'IS (Adjusted)'!U161-'IS (Base)'!U161</f>
        <v>0</v>
      </c>
      <c r="V161" s="139">
        <f>'IS (Adjusted)'!V161-'IS (Base)'!V161</f>
        <v>0</v>
      </c>
      <c r="W161" s="49">
        <f>'IS (Adjusted)'!W161-'IS (Base)'!W161</f>
        <v>0</v>
      </c>
      <c r="X161" s="139">
        <f>'IS (Adjusted)'!X161-'IS (Base)'!X161</f>
        <v>0</v>
      </c>
      <c r="Y161" s="139">
        <f>'IS (Adjusted)'!Y161-'IS (Base)'!Y161</f>
        <v>0</v>
      </c>
      <c r="Z161" s="139">
        <f>'IS (Adjusted)'!Z161-'IS (Base)'!Z161</f>
        <v>0</v>
      </c>
      <c r="AA161" s="139">
        <f>'IS (Adjusted)'!AA161-'IS (Base)'!AA161</f>
        <v>0</v>
      </c>
      <c r="AB161" s="49">
        <f>'IS (Adjusted)'!AB161-'IS (Base)'!AB161</f>
        <v>0</v>
      </c>
      <c r="AC161" s="139">
        <f>'IS (Adjusted)'!AC161-'IS (Base)'!AC161</f>
        <v>0</v>
      </c>
      <c r="AD161" s="139">
        <f>'IS (Adjusted)'!AD161-'IS (Base)'!AD161</f>
        <v>0</v>
      </c>
      <c r="AE161" s="139">
        <f>'IS (Adjusted)'!AE161-'IS (Base)'!AE161</f>
        <v>0</v>
      </c>
      <c r="AF161" s="139">
        <f>'IS (Adjusted)'!AF161-'IS (Base)'!AF161</f>
        <v>0</v>
      </c>
      <c r="AG161" s="49">
        <f>'IS (Adjusted)'!AG161-'IS (Base)'!AG161</f>
        <v>0</v>
      </c>
      <c r="AH161" s="139">
        <f>'IS (Adjusted)'!AH161-'IS (Base)'!AH161</f>
        <v>0</v>
      </c>
      <c r="AI161" s="139">
        <f>'IS (Adjusted)'!AI161-'IS (Base)'!AI161</f>
        <v>0</v>
      </c>
      <c r="AJ161" s="139">
        <f>'IS (Adjusted)'!AJ161-'IS (Base)'!AJ161</f>
        <v>0</v>
      </c>
      <c r="AK161" s="139">
        <f>'IS (Adjusted)'!AK161-'IS (Base)'!AK161</f>
        <v>0</v>
      </c>
      <c r="AL161" s="49">
        <f>'IS (Adjusted)'!AL161-'IS (Base)'!AL161</f>
        <v>0</v>
      </c>
      <c r="AM161" s="139">
        <f>'IS (Adjusted)'!AM161-'IS (Base)'!AM161</f>
        <v>0</v>
      </c>
      <c r="AN161" s="139">
        <f>'IS (Adjusted)'!AN161-'IS (Base)'!AN161</f>
        <v>0</v>
      </c>
      <c r="AO161" s="139">
        <f>'IS (Adjusted)'!AO161-'IS (Base)'!AO161</f>
        <v>0</v>
      </c>
      <c r="AP161" s="139">
        <f>'IS (Adjusted)'!AP161-'IS (Base)'!AP161</f>
        <v>0</v>
      </c>
      <c r="AQ161" s="49">
        <f>'IS (Adjusted)'!AQ161-'IS (Base)'!AQ161</f>
        <v>0</v>
      </c>
      <c r="AR161" s="139">
        <f>'IS (Adjusted)'!AR161-'IS (Base)'!AR161</f>
        <v>0</v>
      </c>
      <c r="AS161" s="139">
        <f>'IS (Adjusted)'!AS161-'IS (Base)'!AS161</f>
        <v>0</v>
      </c>
      <c r="AT161" s="139">
        <f>'IS (Adjusted)'!AT161-'IS (Base)'!AT161</f>
        <v>0</v>
      </c>
      <c r="AU161" s="139">
        <f>'IS (Adjusted)'!AU161-'IS (Base)'!AU161</f>
        <v>0</v>
      </c>
      <c r="AV161" s="49">
        <f>'IS (Adjusted)'!AV161-'IS (Base)'!AV161</f>
        <v>0</v>
      </c>
    </row>
    <row r="162" spans="2:48" ht="17.399999999999999" x14ac:dyDescent="0.45">
      <c r="B162" s="583" t="s">
        <v>12</v>
      </c>
      <c r="C162" s="584"/>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4" t="s">
        <v>408</v>
      </c>
      <c r="Y162" s="14" t="s">
        <v>452</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580" t="s">
        <v>65</v>
      </c>
      <c r="C163" s="581"/>
      <c r="D163" s="102">
        <f>'IS (Adjusted)'!D163-'IS (Base)'!D163</f>
        <v>0</v>
      </c>
      <c r="E163" s="102">
        <f>'IS (Adjusted)'!E163-'IS (Base)'!E163</f>
        <v>0</v>
      </c>
      <c r="F163" s="102">
        <f>'IS (Adjusted)'!F163-'IS (Base)'!F163</f>
        <v>0</v>
      </c>
      <c r="G163" s="102">
        <f>'IS (Adjusted)'!G163-'IS (Base)'!G163</f>
        <v>0</v>
      </c>
      <c r="H163" s="159">
        <f>'IS (Adjusted)'!H163-'IS (Base)'!H163</f>
        <v>0</v>
      </c>
      <c r="I163" s="102">
        <f>'IS (Adjusted)'!I163-'IS (Base)'!I163</f>
        <v>0</v>
      </c>
      <c r="J163" s="102">
        <f>'IS (Adjusted)'!J163-'IS (Base)'!J163</f>
        <v>0</v>
      </c>
      <c r="K163" s="105">
        <f>'IS (Adjusted)'!K163-'IS (Base)'!K163</f>
        <v>0</v>
      </c>
      <c r="L163" s="101">
        <f>'IS (Adjusted)'!L163-'IS (Base)'!L163</f>
        <v>0</v>
      </c>
      <c r="M163" s="169">
        <f>'IS (Adjusted)'!M163-'IS (Base)'!M163</f>
        <v>0</v>
      </c>
      <c r="N163" s="101">
        <f>'IS (Adjusted)'!N163-'IS (Base)'!N163</f>
        <v>0</v>
      </c>
      <c r="O163" s="101">
        <f>'IS (Adjusted)'!O163-'IS (Base)'!O163</f>
        <v>0</v>
      </c>
      <c r="P163" s="101">
        <f>'IS (Adjusted)'!P163-'IS (Base)'!P163</f>
        <v>0</v>
      </c>
      <c r="Q163" s="101">
        <f>'IS (Adjusted)'!Q163-'IS (Base)'!Q163</f>
        <v>0</v>
      </c>
      <c r="R163" s="17">
        <f>'IS (Adjusted)'!R163-'IS (Base)'!R163</f>
        <v>0</v>
      </c>
      <c r="S163" s="16">
        <f>'IS (Adjusted)'!S163-'IS (Base)'!S163</f>
        <v>0</v>
      </c>
      <c r="T163" s="16">
        <f>'IS (Adjusted)'!T163-'IS (Base)'!T163</f>
        <v>0</v>
      </c>
      <c r="U163" s="16">
        <f>'IS (Adjusted)'!U163-'IS (Base)'!U163</f>
        <v>0</v>
      </c>
      <c r="V163" s="101">
        <f>'IS (Adjusted)'!V163-'IS (Base)'!V163</f>
        <v>0</v>
      </c>
      <c r="W163" s="17">
        <f>'IS (Adjusted)'!W163-'IS (Base)'!W163</f>
        <v>0</v>
      </c>
      <c r="X163" s="101">
        <f>'IS (Adjusted)'!X163-'IS (Base)'!X163</f>
        <v>0</v>
      </c>
      <c r="Y163" s="33">
        <f>'IS (Adjusted)'!Y163-'IS (Base)'!Y163</f>
        <v>0</v>
      </c>
      <c r="Z163" s="33">
        <f>'IS (Adjusted)'!Z163-'IS (Base)'!Z163</f>
        <v>0</v>
      </c>
      <c r="AA163" s="33">
        <f>'IS (Adjusted)'!AA163-'IS (Base)'!AA163</f>
        <v>0</v>
      </c>
      <c r="AB163" s="17">
        <f>'IS (Adjusted)'!AB163-'IS (Base)'!AB163</f>
        <v>0</v>
      </c>
      <c r="AC163" s="33">
        <f>'IS (Adjusted)'!AC163-'IS (Base)'!AC163</f>
        <v>0</v>
      </c>
      <c r="AD163" s="33">
        <f>'IS (Adjusted)'!AD163-'IS (Base)'!AD163</f>
        <v>0</v>
      </c>
      <c r="AE163" s="33">
        <f>'IS (Adjusted)'!AE163-'IS (Base)'!AE163</f>
        <v>0</v>
      </c>
      <c r="AF163" s="33">
        <f>'IS (Adjusted)'!AF163-'IS (Base)'!AF163</f>
        <v>0</v>
      </c>
      <c r="AG163" s="17">
        <f>'IS (Adjusted)'!AG163-'IS (Base)'!AG163</f>
        <v>0</v>
      </c>
      <c r="AH163" s="33">
        <f>'IS (Adjusted)'!AH163-'IS (Base)'!AH163</f>
        <v>0</v>
      </c>
      <c r="AI163" s="33">
        <f>'IS (Adjusted)'!AI163-'IS (Base)'!AI163</f>
        <v>0</v>
      </c>
      <c r="AJ163" s="33">
        <f>'IS (Adjusted)'!AJ163-'IS (Base)'!AJ163</f>
        <v>0</v>
      </c>
      <c r="AK163" s="33">
        <f>'IS (Adjusted)'!AK163-'IS (Base)'!AK163</f>
        <v>0</v>
      </c>
      <c r="AL163" s="17">
        <f>'IS (Adjusted)'!AL163-'IS (Base)'!AL163</f>
        <v>0</v>
      </c>
      <c r="AM163" s="33">
        <f>'IS (Adjusted)'!AM163-'IS (Base)'!AM163</f>
        <v>0</v>
      </c>
      <c r="AN163" s="33">
        <f>'IS (Adjusted)'!AN163-'IS (Base)'!AN163</f>
        <v>0</v>
      </c>
      <c r="AO163" s="33">
        <f>'IS (Adjusted)'!AO163-'IS (Base)'!AO163</f>
        <v>0</v>
      </c>
      <c r="AP163" s="33">
        <f>'IS (Adjusted)'!AP163-'IS (Base)'!AP163</f>
        <v>0</v>
      </c>
      <c r="AQ163" s="17">
        <f>'IS (Adjusted)'!AQ163-'IS (Base)'!AQ163</f>
        <v>0</v>
      </c>
      <c r="AR163" s="33">
        <f>'IS (Adjusted)'!AR163-'IS (Base)'!AR163</f>
        <v>0</v>
      </c>
      <c r="AS163" s="33">
        <f>'IS (Adjusted)'!AS163-'IS (Base)'!AS163</f>
        <v>0</v>
      </c>
      <c r="AT163" s="33">
        <f>'IS (Adjusted)'!AT163-'IS (Base)'!AT163</f>
        <v>0</v>
      </c>
      <c r="AU163" s="33">
        <f>'IS (Adjusted)'!AU163-'IS (Base)'!AU163</f>
        <v>0</v>
      </c>
      <c r="AV163" s="17">
        <f>'IS (Adjusted)'!AV163-'IS (Base)'!AV163</f>
        <v>0</v>
      </c>
    </row>
    <row r="164" spans="2:48" outlineLevel="1" x14ac:dyDescent="0.3">
      <c r="B164" s="200" t="s">
        <v>64</v>
      </c>
      <c r="C164" s="201"/>
      <c r="D164" s="102">
        <f>'IS (Adjusted)'!D164-'IS (Base)'!D164</f>
        <v>0</v>
      </c>
      <c r="E164" s="102">
        <f>'IS (Adjusted)'!E164-'IS (Base)'!E164</f>
        <v>0</v>
      </c>
      <c r="F164" s="102">
        <f>'IS (Adjusted)'!F164-'IS (Base)'!F164</f>
        <v>0</v>
      </c>
      <c r="G164" s="102">
        <f>'IS (Adjusted)'!G164-'IS (Base)'!G164</f>
        <v>0</v>
      </c>
      <c r="H164" s="159">
        <f>'IS (Adjusted)'!H164-'IS (Base)'!H164</f>
        <v>0</v>
      </c>
      <c r="I164" s="102">
        <f>'IS (Adjusted)'!I164-'IS (Base)'!I164</f>
        <v>0</v>
      </c>
      <c r="J164" s="102">
        <f>'IS (Adjusted)'!J164-'IS (Base)'!J164</f>
        <v>0</v>
      </c>
      <c r="K164" s="105">
        <f>'IS (Adjusted)'!K164-'IS (Base)'!K164</f>
        <v>0</v>
      </c>
      <c r="L164" s="101">
        <f>'IS (Adjusted)'!L164-'IS (Base)'!L164</f>
        <v>0</v>
      </c>
      <c r="M164" s="169">
        <f>'IS (Adjusted)'!M164-'IS (Base)'!M164</f>
        <v>0</v>
      </c>
      <c r="N164" s="101">
        <f>'IS (Adjusted)'!N164-'IS (Base)'!N164</f>
        <v>0</v>
      </c>
      <c r="O164" s="101">
        <f>'IS (Adjusted)'!O164-'IS (Base)'!O164</f>
        <v>0</v>
      </c>
      <c r="P164" s="101">
        <f>'IS (Adjusted)'!P164-'IS (Base)'!P164</f>
        <v>0</v>
      </c>
      <c r="Q164" s="101">
        <f>'IS (Adjusted)'!Q164-'IS (Base)'!Q164</f>
        <v>0</v>
      </c>
      <c r="R164" s="17">
        <f>'IS (Adjusted)'!R164-'IS (Base)'!R164</f>
        <v>0</v>
      </c>
      <c r="S164" s="16">
        <f>'IS (Adjusted)'!S164-'IS (Base)'!S164</f>
        <v>0</v>
      </c>
      <c r="T164" s="16">
        <f>'IS (Adjusted)'!T164-'IS (Base)'!T164</f>
        <v>0</v>
      </c>
      <c r="U164" s="16">
        <f>'IS (Adjusted)'!U164-'IS (Base)'!U164</f>
        <v>0</v>
      </c>
      <c r="V164" s="101">
        <f>'IS (Adjusted)'!V164-'IS (Base)'!V164</f>
        <v>0</v>
      </c>
      <c r="W164" s="17">
        <f>'IS (Adjusted)'!W164-'IS (Base)'!W164</f>
        <v>0</v>
      </c>
      <c r="X164" s="101">
        <f>'IS (Adjusted)'!X164-'IS (Base)'!X164</f>
        <v>0</v>
      </c>
      <c r="Y164" s="33">
        <f>'IS (Adjusted)'!Y164-'IS (Base)'!Y164</f>
        <v>0</v>
      </c>
      <c r="Z164" s="33">
        <f>'IS (Adjusted)'!Z164-'IS (Base)'!Z164</f>
        <v>0</v>
      </c>
      <c r="AA164" s="33">
        <f>'IS (Adjusted)'!AA164-'IS (Base)'!AA164</f>
        <v>0</v>
      </c>
      <c r="AB164" s="17">
        <f>'IS (Adjusted)'!AB164-'IS (Base)'!AB164</f>
        <v>0</v>
      </c>
      <c r="AC164" s="33">
        <f>'IS (Adjusted)'!AC164-'IS (Base)'!AC164</f>
        <v>0</v>
      </c>
      <c r="AD164" s="33">
        <f>'IS (Adjusted)'!AD164-'IS (Base)'!AD164</f>
        <v>0</v>
      </c>
      <c r="AE164" s="33">
        <f>'IS (Adjusted)'!AE164-'IS (Base)'!AE164</f>
        <v>0</v>
      </c>
      <c r="AF164" s="33">
        <f>'IS (Adjusted)'!AF164-'IS (Base)'!AF164</f>
        <v>0</v>
      </c>
      <c r="AG164" s="17">
        <f>'IS (Adjusted)'!AG164-'IS (Base)'!AG164</f>
        <v>0</v>
      </c>
      <c r="AH164" s="33">
        <f>'IS (Adjusted)'!AH164-'IS (Base)'!AH164</f>
        <v>0</v>
      </c>
      <c r="AI164" s="33">
        <f>'IS (Adjusted)'!AI164-'IS (Base)'!AI164</f>
        <v>0</v>
      </c>
      <c r="AJ164" s="33">
        <f>'IS (Adjusted)'!AJ164-'IS (Base)'!AJ164</f>
        <v>0</v>
      </c>
      <c r="AK164" s="33">
        <f>'IS (Adjusted)'!AK164-'IS (Base)'!AK164</f>
        <v>0</v>
      </c>
      <c r="AL164" s="17">
        <f>'IS (Adjusted)'!AL164-'IS (Base)'!AL164</f>
        <v>0</v>
      </c>
      <c r="AM164" s="33">
        <f>'IS (Adjusted)'!AM164-'IS (Base)'!AM164</f>
        <v>0</v>
      </c>
      <c r="AN164" s="33">
        <f>'IS (Adjusted)'!AN164-'IS (Base)'!AN164</f>
        <v>0</v>
      </c>
      <c r="AO164" s="33">
        <f>'IS (Adjusted)'!AO164-'IS (Base)'!AO164</f>
        <v>0</v>
      </c>
      <c r="AP164" s="33">
        <f>'IS (Adjusted)'!AP164-'IS (Base)'!AP164</f>
        <v>0</v>
      </c>
      <c r="AQ164" s="17">
        <f>'IS (Adjusted)'!AQ164-'IS (Base)'!AQ164</f>
        <v>0</v>
      </c>
      <c r="AR164" s="33">
        <f>'IS (Adjusted)'!AR164-'IS (Base)'!AR164</f>
        <v>0</v>
      </c>
      <c r="AS164" s="33">
        <f>'IS (Adjusted)'!AS164-'IS (Base)'!AS164</f>
        <v>0</v>
      </c>
      <c r="AT164" s="33">
        <f>'IS (Adjusted)'!AT164-'IS (Base)'!AT164</f>
        <v>0</v>
      </c>
      <c r="AU164" s="33">
        <f>'IS (Adjusted)'!AU164-'IS (Base)'!AU164</f>
        <v>0</v>
      </c>
      <c r="AV164" s="17">
        <f>'IS (Adjusted)'!AV164-'IS (Base)'!AV164</f>
        <v>0</v>
      </c>
    </row>
    <row r="165" spans="2:48" outlineLevel="1" x14ac:dyDescent="0.3">
      <c r="B165" s="580" t="s">
        <v>129</v>
      </c>
      <c r="C165" s="581"/>
      <c r="D165" s="102">
        <f>'IS (Adjusted)'!D165-'IS (Base)'!D165</f>
        <v>0</v>
      </c>
      <c r="E165" s="102">
        <f>'IS (Adjusted)'!E165-'IS (Base)'!E165</f>
        <v>0</v>
      </c>
      <c r="F165" s="102">
        <f>'IS (Adjusted)'!F165-'IS (Base)'!F165</f>
        <v>0</v>
      </c>
      <c r="G165" s="102">
        <f>'IS (Adjusted)'!G165-'IS (Base)'!G165</f>
        <v>0</v>
      </c>
      <c r="H165" s="159">
        <f>'IS (Adjusted)'!H165-'IS (Base)'!H165</f>
        <v>0</v>
      </c>
      <c r="I165" s="102">
        <f>'IS (Adjusted)'!I165-'IS (Base)'!I165</f>
        <v>0</v>
      </c>
      <c r="J165" s="102">
        <f>'IS (Adjusted)'!J165-'IS (Base)'!J165</f>
        <v>0</v>
      </c>
      <c r="K165" s="105">
        <f>'IS (Adjusted)'!K165-'IS (Base)'!K165</f>
        <v>0</v>
      </c>
      <c r="L165" s="101">
        <f>'IS (Adjusted)'!L165-'IS (Base)'!L165</f>
        <v>0</v>
      </c>
      <c r="M165" s="169">
        <f>'IS (Adjusted)'!M165-'IS (Base)'!M165</f>
        <v>0</v>
      </c>
      <c r="N165" s="101">
        <f>'IS (Adjusted)'!N165-'IS (Base)'!N165</f>
        <v>0</v>
      </c>
      <c r="O165" s="101">
        <f>'IS (Adjusted)'!O165-'IS (Base)'!O165</f>
        <v>0</v>
      </c>
      <c r="P165" s="101">
        <f>'IS (Adjusted)'!P165-'IS (Base)'!P165</f>
        <v>0</v>
      </c>
      <c r="Q165" s="101">
        <f>'IS (Adjusted)'!Q165-'IS (Base)'!Q165</f>
        <v>0</v>
      </c>
      <c r="R165" s="17">
        <f>'IS (Adjusted)'!R165-'IS (Base)'!R165</f>
        <v>0</v>
      </c>
      <c r="S165" s="16">
        <f>'IS (Adjusted)'!S165-'IS (Base)'!S165</f>
        <v>0</v>
      </c>
      <c r="T165" s="16">
        <f>'IS (Adjusted)'!T165-'IS (Base)'!T165</f>
        <v>0</v>
      </c>
      <c r="U165" s="16">
        <f>'IS (Adjusted)'!U165-'IS (Base)'!U165</f>
        <v>0</v>
      </c>
      <c r="V165" s="101">
        <f>'IS (Adjusted)'!V165-'IS (Base)'!V165</f>
        <v>0</v>
      </c>
      <c r="W165" s="17">
        <f>'IS (Adjusted)'!W165-'IS (Base)'!W165</f>
        <v>0</v>
      </c>
      <c r="X165" s="101">
        <f>'IS (Adjusted)'!X165-'IS (Base)'!X165</f>
        <v>0</v>
      </c>
      <c r="Y165" s="33">
        <f>'IS (Adjusted)'!Y165-'IS (Base)'!Y165</f>
        <v>0</v>
      </c>
      <c r="Z165" s="33">
        <f>'IS (Adjusted)'!Z165-'IS (Base)'!Z165</f>
        <v>0</v>
      </c>
      <c r="AA165" s="33">
        <f>'IS (Adjusted)'!AA165-'IS (Base)'!AA165</f>
        <v>0</v>
      </c>
      <c r="AB165" s="17">
        <f>'IS (Adjusted)'!AB165-'IS (Base)'!AB165</f>
        <v>0</v>
      </c>
      <c r="AC165" s="33">
        <f>'IS (Adjusted)'!AC165-'IS (Base)'!AC165</f>
        <v>0</v>
      </c>
      <c r="AD165" s="33">
        <f>'IS (Adjusted)'!AD165-'IS (Base)'!AD165</f>
        <v>0</v>
      </c>
      <c r="AE165" s="33">
        <f>'IS (Adjusted)'!AE165-'IS (Base)'!AE165</f>
        <v>0</v>
      </c>
      <c r="AF165" s="33">
        <f>'IS (Adjusted)'!AF165-'IS (Base)'!AF165</f>
        <v>0</v>
      </c>
      <c r="AG165" s="17">
        <f>'IS (Adjusted)'!AG165-'IS (Base)'!AG165</f>
        <v>0</v>
      </c>
      <c r="AH165" s="33">
        <f>'IS (Adjusted)'!AH165-'IS (Base)'!AH165</f>
        <v>0</v>
      </c>
      <c r="AI165" s="33">
        <f>'IS (Adjusted)'!AI165-'IS (Base)'!AI165</f>
        <v>0</v>
      </c>
      <c r="AJ165" s="33">
        <f>'IS (Adjusted)'!AJ165-'IS (Base)'!AJ165</f>
        <v>0</v>
      </c>
      <c r="AK165" s="33">
        <f>'IS (Adjusted)'!AK165-'IS (Base)'!AK165</f>
        <v>0</v>
      </c>
      <c r="AL165" s="17">
        <f>'IS (Adjusted)'!AL165-'IS (Base)'!AL165</f>
        <v>0</v>
      </c>
      <c r="AM165" s="33">
        <f>'IS (Adjusted)'!AM165-'IS (Base)'!AM165</f>
        <v>0</v>
      </c>
      <c r="AN165" s="33">
        <f>'IS (Adjusted)'!AN165-'IS (Base)'!AN165</f>
        <v>0</v>
      </c>
      <c r="AO165" s="33">
        <f>'IS (Adjusted)'!AO165-'IS (Base)'!AO165</f>
        <v>0</v>
      </c>
      <c r="AP165" s="33">
        <f>'IS (Adjusted)'!AP165-'IS (Base)'!AP165</f>
        <v>0</v>
      </c>
      <c r="AQ165" s="17">
        <f>'IS (Adjusted)'!AQ165-'IS (Base)'!AQ165</f>
        <v>0</v>
      </c>
      <c r="AR165" s="33">
        <f>'IS (Adjusted)'!AR165-'IS (Base)'!AR165</f>
        <v>0</v>
      </c>
      <c r="AS165" s="33">
        <f>'IS (Adjusted)'!AS165-'IS (Base)'!AS165</f>
        <v>0</v>
      </c>
      <c r="AT165" s="33">
        <f>'IS (Adjusted)'!AT165-'IS (Base)'!AT165</f>
        <v>0</v>
      </c>
      <c r="AU165" s="33">
        <f>'IS (Adjusted)'!AU165-'IS (Base)'!AU165</f>
        <v>0</v>
      </c>
      <c r="AV165" s="17">
        <f>'IS (Adjusted)'!AV165-'IS (Base)'!AV165</f>
        <v>0</v>
      </c>
    </row>
    <row r="166" spans="2:48" outlineLevel="1" x14ac:dyDescent="0.3">
      <c r="B166" s="200" t="s">
        <v>66</v>
      </c>
      <c r="C166" s="201"/>
      <c r="D166" s="102">
        <f>'IS (Adjusted)'!D166-'IS (Base)'!D166</f>
        <v>0</v>
      </c>
      <c r="E166" s="102">
        <f>'IS (Adjusted)'!E166-'IS (Base)'!E166</f>
        <v>0</v>
      </c>
      <c r="F166" s="102">
        <f>'IS (Adjusted)'!F166-'IS (Base)'!F166</f>
        <v>0</v>
      </c>
      <c r="G166" s="102">
        <f>'IS (Adjusted)'!G166-'IS (Base)'!G166</f>
        <v>0</v>
      </c>
      <c r="H166" s="159">
        <f>'IS (Adjusted)'!H166-'IS (Base)'!H166</f>
        <v>0</v>
      </c>
      <c r="I166" s="102">
        <f>'IS (Adjusted)'!I166-'IS (Base)'!I166</f>
        <v>0</v>
      </c>
      <c r="J166" s="102">
        <f>'IS (Adjusted)'!J166-'IS (Base)'!J166</f>
        <v>0</v>
      </c>
      <c r="K166" s="101">
        <f>'IS (Adjusted)'!K166-'IS (Base)'!K166</f>
        <v>0</v>
      </c>
      <c r="L166" s="101">
        <f>'IS (Adjusted)'!L166-'IS (Base)'!L166</f>
        <v>0</v>
      </c>
      <c r="M166" s="169">
        <f>'IS (Adjusted)'!M166-'IS (Base)'!M166</f>
        <v>0</v>
      </c>
      <c r="N166" s="101">
        <f>'IS (Adjusted)'!N166-'IS (Base)'!N166</f>
        <v>0</v>
      </c>
      <c r="O166" s="101">
        <f>'IS (Adjusted)'!O166-'IS (Base)'!O166</f>
        <v>0</v>
      </c>
      <c r="P166" s="101">
        <f>'IS (Adjusted)'!P166-'IS (Base)'!P166</f>
        <v>0</v>
      </c>
      <c r="Q166" s="101">
        <f>'IS (Adjusted)'!Q166-'IS (Base)'!Q166</f>
        <v>0</v>
      </c>
      <c r="R166" s="17">
        <f>'IS (Adjusted)'!R166-'IS (Base)'!R166</f>
        <v>0</v>
      </c>
      <c r="S166" s="16">
        <f>'IS (Adjusted)'!S166-'IS (Base)'!S166</f>
        <v>0</v>
      </c>
      <c r="T166" s="16">
        <f>'IS (Adjusted)'!T166-'IS (Base)'!T166</f>
        <v>0</v>
      </c>
      <c r="U166" s="16">
        <f>'IS (Adjusted)'!U166-'IS (Base)'!U166</f>
        <v>0</v>
      </c>
      <c r="V166" s="101">
        <f>'IS (Adjusted)'!V166-'IS (Base)'!V166</f>
        <v>0</v>
      </c>
      <c r="W166" s="17">
        <f>'IS (Adjusted)'!W166-'IS (Base)'!W166</f>
        <v>0</v>
      </c>
      <c r="X166" s="101">
        <f>'IS (Adjusted)'!X166-'IS (Base)'!X166</f>
        <v>0</v>
      </c>
      <c r="Y166" s="33">
        <f>'IS (Adjusted)'!Y166-'IS (Base)'!Y166</f>
        <v>0</v>
      </c>
      <c r="Z166" s="33">
        <f>'IS (Adjusted)'!Z166-'IS (Base)'!Z166</f>
        <v>0</v>
      </c>
      <c r="AA166" s="33">
        <f>'IS (Adjusted)'!AA166-'IS (Base)'!AA166</f>
        <v>0</v>
      </c>
      <c r="AB166" s="17">
        <f>'IS (Adjusted)'!AB166-'IS (Base)'!AB166</f>
        <v>0</v>
      </c>
      <c r="AC166" s="33">
        <f>'IS (Adjusted)'!AC166-'IS (Base)'!AC166</f>
        <v>0</v>
      </c>
      <c r="AD166" s="33">
        <f>'IS (Adjusted)'!AD166-'IS (Base)'!AD166</f>
        <v>0</v>
      </c>
      <c r="AE166" s="33">
        <f>'IS (Adjusted)'!AE166-'IS (Base)'!AE166</f>
        <v>0</v>
      </c>
      <c r="AF166" s="33">
        <f>'IS (Adjusted)'!AF166-'IS (Base)'!AF166</f>
        <v>0</v>
      </c>
      <c r="AG166" s="17">
        <f>'IS (Adjusted)'!AG166-'IS (Base)'!AG166</f>
        <v>0</v>
      </c>
      <c r="AH166" s="33">
        <f>'IS (Adjusted)'!AH166-'IS (Base)'!AH166</f>
        <v>0</v>
      </c>
      <c r="AI166" s="33">
        <f>'IS (Adjusted)'!AI166-'IS (Base)'!AI166</f>
        <v>0</v>
      </c>
      <c r="AJ166" s="33">
        <f>'IS (Adjusted)'!AJ166-'IS (Base)'!AJ166</f>
        <v>0</v>
      </c>
      <c r="AK166" s="33">
        <f>'IS (Adjusted)'!AK166-'IS (Base)'!AK166</f>
        <v>0</v>
      </c>
      <c r="AL166" s="17">
        <f>'IS (Adjusted)'!AL166-'IS (Base)'!AL166</f>
        <v>0</v>
      </c>
      <c r="AM166" s="33">
        <f>'IS (Adjusted)'!AM166-'IS (Base)'!AM166</f>
        <v>0</v>
      </c>
      <c r="AN166" s="33">
        <f>'IS (Adjusted)'!AN166-'IS (Base)'!AN166</f>
        <v>0</v>
      </c>
      <c r="AO166" s="33">
        <f>'IS (Adjusted)'!AO166-'IS (Base)'!AO166</f>
        <v>0</v>
      </c>
      <c r="AP166" s="33">
        <f>'IS (Adjusted)'!AP166-'IS (Base)'!AP166</f>
        <v>0</v>
      </c>
      <c r="AQ166" s="17">
        <f>'IS (Adjusted)'!AQ166-'IS (Base)'!AQ166</f>
        <v>0</v>
      </c>
      <c r="AR166" s="33">
        <f>'IS (Adjusted)'!AR166-'IS (Base)'!AR166</f>
        <v>0</v>
      </c>
      <c r="AS166" s="33">
        <f>'IS (Adjusted)'!AS166-'IS (Base)'!AS166</f>
        <v>0</v>
      </c>
      <c r="AT166" s="33">
        <f>'IS (Adjusted)'!AT166-'IS (Base)'!AT166</f>
        <v>0</v>
      </c>
      <c r="AU166" s="33">
        <f>'IS (Adjusted)'!AU166-'IS (Base)'!AU166</f>
        <v>0</v>
      </c>
      <c r="AV166" s="17">
        <f>'IS (Adjusted)'!AV166-'IS (Base)'!AV166</f>
        <v>0</v>
      </c>
    </row>
    <row r="167" spans="2:48" ht="16.2" outlineLevel="1" x14ac:dyDescent="0.45">
      <c r="B167" s="200" t="s">
        <v>80</v>
      </c>
      <c r="C167" s="201"/>
      <c r="D167" s="138">
        <f>'IS (Adjusted)'!D167-'IS (Base)'!D167</f>
        <v>0</v>
      </c>
      <c r="E167" s="138">
        <f>'IS (Adjusted)'!E167-'IS (Base)'!E167</f>
        <v>0</v>
      </c>
      <c r="F167" s="138">
        <f>'IS (Adjusted)'!F167-'IS (Base)'!F167</f>
        <v>0</v>
      </c>
      <c r="G167" s="138">
        <f>'IS (Adjusted)'!G167-'IS (Base)'!G167</f>
        <v>0</v>
      </c>
      <c r="H167" s="160">
        <f>'IS (Adjusted)'!H167-'IS (Base)'!H167</f>
        <v>0</v>
      </c>
      <c r="I167" s="138">
        <f>'IS (Adjusted)'!I167-'IS (Base)'!I167</f>
        <v>0</v>
      </c>
      <c r="J167" s="138">
        <f>'IS (Adjusted)'!J167-'IS (Base)'!J167</f>
        <v>0</v>
      </c>
      <c r="K167" s="112">
        <f>'IS (Adjusted)'!K167-'IS (Base)'!K167</f>
        <v>0</v>
      </c>
      <c r="L167" s="112">
        <f>'IS (Adjusted)'!L167-'IS (Base)'!L167</f>
        <v>0</v>
      </c>
      <c r="M167" s="169">
        <f>'IS (Adjusted)'!M167-'IS (Base)'!M167</f>
        <v>0</v>
      </c>
      <c r="N167" s="112">
        <f>'IS (Adjusted)'!N167-'IS (Base)'!N167</f>
        <v>0</v>
      </c>
      <c r="O167" s="112">
        <f>'IS (Adjusted)'!O167-'IS (Base)'!O167</f>
        <v>0</v>
      </c>
      <c r="P167" s="112">
        <f>'IS (Adjusted)'!P167-'IS (Base)'!P167</f>
        <v>0</v>
      </c>
      <c r="Q167" s="112">
        <f>'IS (Adjusted)'!Q167-'IS (Base)'!Q167</f>
        <v>0</v>
      </c>
      <c r="R167" s="17">
        <f>'IS (Adjusted)'!R167-'IS (Base)'!R167</f>
        <v>0</v>
      </c>
      <c r="S167" s="112">
        <f>'IS (Adjusted)'!S167-'IS (Base)'!S167</f>
        <v>0</v>
      </c>
      <c r="T167" s="112">
        <f>'IS (Adjusted)'!T167-'IS (Base)'!T167</f>
        <v>0</v>
      </c>
      <c r="U167" s="112">
        <f>'IS (Adjusted)'!U167-'IS (Base)'!U167</f>
        <v>0</v>
      </c>
      <c r="V167" s="112">
        <f>'IS (Adjusted)'!V167-'IS (Base)'!V167</f>
        <v>0</v>
      </c>
      <c r="W167" s="17">
        <f>'IS (Adjusted)'!W167-'IS (Base)'!W167</f>
        <v>0</v>
      </c>
      <c r="X167" s="112">
        <f>'IS (Adjusted)'!X167-'IS (Base)'!X167</f>
        <v>0</v>
      </c>
      <c r="Y167" s="32">
        <f>'IS (Adjusted)'!Y167-'IS (Base)'!Y167</f>
        <v>0</v>
      </c>
      <c r="Z167" s="32">
        <f>'IS (Adjusted)'!Z167-'IS (Base)'!Z167</f>
        <v>0</v>
      </c>
      <c r="AA167" s="32">
        <f>'IS (Adjusted)'!AA167-'IS (Base)'!AA167</f>
        <v>0</v>
      </c>
      <c r="AB167" s="17">
        <f>'IS (Adjusted)'!AB167-'IS (Base)'!AB167</f>
        <v>0</v>
      </c>
      <c r="AC167" s="32">
        <f>'IS (Adjusted)'!AC167-'IS (Base)'!AC167</f>
        <v>0</v>
      </c>
      <c r="AD167" s="32">
        <f>'IS (Adjusted)'!AD167-'IS (Base)'!AD167</f>
        <v>0</v>
      </c>
      <c r="AE167" s="32">
        <f>'IS (Adjusted)'!AE167-'IS (Base)'!AE167</f>
        <v>0</v>
      </c>
      <c r="AF167" s="32">
        <f>'IS (Adjusted)'!AF167-'IS (Base)'!AF167</f>
        <v>0</v>
      </c>
      <c r="AG167" s="17">
        <f>'IS (Adjusted)'!AG167-'IS (Base)'!AG167</f>
        <v>0</v>
      </c>
      <c r="AH167" s="32">
        <f>'IS (Adjusted)'!AH167-'IS (Base)'!AH167</f>
        <v>0</v>
      </c>
      <c r="AI167" s="32">
        <f>'IS (Adjusted)'!AI167-'IS (Base)'!AI167</f>
        <v>0</v>
      </c>
      <c r="AJ167" s="32">
        <f>'IS (Adjusted)'!AJ167-'IS (Base)'!AJ167</f>
        <v>0</v>
      </c>
      <c r="AK167" s="32">
        <f>'IS (Adjusted)'!AK167-'IS (Base)'!AK167</f>
        <v>0</v>
      </c>
      <c r="AL167" s="17">
        <f>'IS (Adjusted)'!AL167-'IS (Base)'!AL167</f>
        <v>0</v>
      </c>
      <c r="AM167" s="32">
        <f>'IS (Adjusted)'!AM167-'IS (Base)'!AM167</f>
        <v>0</v>
      </c>
      <c r="AN167" s="32">
        <f>'IS (Adjusted)'!AN167-'IS (Base)'!AN167</f>
        <v>0</v>
      </c>
      <c r="AO167" s="32">
        <f>'IS (Adjusted)'!AO167-'IS (Base)'!AO167</f>
        <v>0</v>
      </c>
      <c r="AP167" s="32">
        <f>'IS (Adjusted)'!AP167-'IS (Base)'!AP167</f>
        <v>0</v>
      </c>
      <c r="AQ167" s="17">
        <f>'IS (Adjusted)'!AQ167-'IS (Base)'!AQ167</f>
        <v>0</v>
      </c>
      <c r="AR167" s="32">
        <f>'IS (Adjusted)'!AR167-'IS (Base)'!AR167</f>
        <v>0</v>
      </c>
      <c r="AS167" s="32">
        <f>'IS (Adjusted)'!AS167-'IS (Base)'!AS167</f>
        <v>0</v>
      </c>
      <c r="AT167" s="32">
        <f>'IS (Adjusted)'!AT167-'IS (Base)'!AT167</f>
        <v>0</v>
      </c>
      <c r="AU167" s="32">
        <f>'IS (Adjusted)'!AU167-'IS (Base)'!AU167</f>
        <v>0</v>
      </c>
      <c r="AV167" s="17">
        <f>'IS (Adjusted)'!AV167-'IS (Base)'!AV167</f>
        <v>0</v>
      </c>
    </row>
    <row r="168" spans="2:48" s="8" customFormat="1" outlineLevel="1" x14ac:dyDescent="0.3">
      <c r="B168" s="205" t="s">
        <v>67</v>
      </c>
      <c r="C168" s="202"/>
      <c r="D168" s="103">
        <f>'IS (Adjusted)'!D168-'IS (Base)'!D168</f>
        <v>0</v>
      </c>
      <c r="E168" s="103">
        <f>'IS (Adjusted)'!E168-'IS (Base)'!E168</f>
        <v>0</v>
      </c>
      <c r="F168" s="103">
        <f>'IS (Adjusted)'!F168-'IS (Base)'!F168</f>
        <v>0</v>
      </c>
      <c r="G168" s="103">
        <f>'IS (Adjusted)'!G168-'IS (Base)'!G168</f>
        <v>0</v>
      </c>
      <c r="H168" s="171">
        <f>'IS (Adjusted)'!H168-'IS (Base)'!H168</f>
        <v>0</v>
      </c>
      <c r="I168" s="103">
        <f>'IS (Adjusted)'!I168-'IS (Base)'!I168</f>
        <v>0</v>
      </c>
      <c r="J168" s="103">
        <f>'IS (Adjusted)'!J168-'IS (Base)'!J168</f>
        <v>0</v>
      </c>
      <c r="K168" s="103">
        <f>'IS (Adjusted)'!K168-'IS (Base)'!K168</f>
        <v>0</v>
      </c>
      <c r="L168" s="103">
        <f>'IS (Adjusted)'!L168-'IS (Base)'!L168</f>
        <v>0</v>
      </c>
      <c r="M168" s="150">
        <f>'IS (Adjusted)'!M168-'IS (Base)'!M168</f>
        <v>0</v>
      </c>
      <c r="N168" s="103">
        <f>'IS (Adjusted)'!N168-'IS (Base)'!N168</f>
        <v>0</v>
      </c>
      <c r="O168" s="103">
        <f>'IS (Adjusted)'!O168-'IS (Base)'!O168</f>
        <v>0</v>
      </c>
      <c r="P168" s="103">
        <f>'IS (Adjusted)'!P168-'IS (Base)'!P168</f>
        <v>0</v>
      </c>
      <c r="Q168" s="103">
        <f>'IS (Adjusted)'!Q168-'IS (Base)'!Q168</f>
        <v>0</v>
      </c>
      <c r="R168" s="22">
        <f>'IS (Adjusted)'!R168-'IS (Base)'!R168</f>
        <v>0</v>
      </c>
      <c r="S168" s="103">
        <f>'IS (Adjusted)'!S168-'IS (Base)'!S168</f>
        <v>0</v>
      </c>
      <c r="T168" s="50">
        <f>'IS (Adjusted)'!T168-'IS (Base)'!T168</f>
        <v>0</v>
      </c>
      <c r="U168" s="50">
        <f>'IS (Adjusted)'!U168-'IS (Base)'!U168</f>
        <v>0</v>
      </c>
      <c r="V168" s="50">
        <f>'IS (Adjusted)'!V168-'IS (Base)'!V168</f>
        <v>0</v>
      </c>
      <c r="W168" s="22">
        <f>'IS (Adjusted)'!W168-'IS (Base)'!W168</f>
        <v>0</v>
      </c>
      <c r="X168" s="103">
        <f>'IS (Adjusted)'!X168-'IS (Base)'!X168</f>
        <v>0</v>
      </c>
      <c r="Y168" s="50">
        <f>'IS (Adjusted)'!Y168-'IS (Base)'!Y168</f>
        <v>0</v>
      </c>
      <c r="Z168" s="50">
        <f>'IS (Adjusted)'!Z168-'IS (Base)'!Z168</f>
        <v>0</v>
      </c>
      <c r="AA168" s="50">
        <f>'IS (Adjusted)'!AA168-'IS (Base)'!AA168</f>
        <v>0</v>
      </c>
      <c r="AB168" s="22">
        <f>'IS (Adjusted)'!AB168-'IS (Base)'!AB168</f>
        <v>0</v>
      </c>
      <c r="AC168" s="50">
        <f>'IS (Adjusted)'!AC168-'IS (Base)'!AC168</f>
        <v>0</v>
      </c>
      <c r="AD168" s="50">
        <f>'IS (Adjusted)'!AD168-'IS (Base)'!AD168</f>
        <v>0</v>
      </c>
      <c r="AE168" s="50">
        <f>'IS (Adjusted)'!AE168-'IS (Base)'!AE168</f>
        <v>0</v>
      </c>
      <c r="AF168" s="50">
        <f>'IS (Adjusted)'!AF168-'IS (Base)'!AF168</f>
        <v>0</v>
      </c>
      <c r="AG168" s="22">
        <f>'IS (Adjusted)'!AG168-'IS (Base)'!AG168</f>
        <v>0</v>
      </c>
      <c r="AH168" s="50">
        <f>'IS (Adjusted)'!AH168-'IS (Base)'!AH168</f>
        <v>0</v>
      </c>
      <c r="AI168" s="50">
        <f>'IS (Adjusted)'!AI168-'IS (Base)'!AI168</f>
        <v>0</v>
      </c>
      <c r="AJ168" s="50">
        <f>'IS (Adjusted)'!AJ168-'IS (Base)'!AJ168</f>
        <v>0</v>
      </c>
      <c r="AK168" s="50">
        <f>'IS (Adjusted)'!AK168-'IS (Base)'!AK168</f>
        <v>0</v>
      </c>
      <c r="AL168" s="22">
        <f>'IS (Adjusted)'!AL168-'IS (Base)'!AL168</f>
        <v>0</v>
      </c>
      <c r="AM168" s="50">
        <f>'IS (Adjusted)'!AM168-'IS (Base)'!AM168</f>
        <v>0</v>
      </c>
      <c r="AN168" s="50">
        <f>'IS (Adjusted)'!AN168-'IS (Base)'!AN168</f>
        <v>0</v>
      </c>
      <c r="AO168" s="50">
        <f>'IS (Adjusted)'!AO168-'IS (Base)'!AO168</f>
        <v>0</v>
      </c>
      <c r="AP168" s="50">
        <f>'IS (Adjusted)'!AP168-'IS (Base)'!AP168</f>
        <v>0</v>
      </c>
      <c r="AQ168" s="22">
        <f>'IS (Adjusted)'!AQ168-'IS (Base)'!AQ168</f>
        <v>0</v>
      </c>
      <c r="AR168" s="50">
        <f>'IS (Adjusted)'!AR168-'IS (Base)'!AR168</f>
        <v>0</v>
      </c>
      <c r="AS168" s="50">
        <f>'IS (Adjusted)'!AS168-'IS (Base)'!AS168</f>
        <v>0</v>
      </c>
      <c r="AT168" s="50">
        <f>'IS (Adjusted)'!AT168-'IS (Base)'!AT168</f>
        <v>0</v>
      </c>
      <c r="AU168" s="50">
        <f>'IS (Adjusted)'!AU168-'IS (Base)'!AU168</f>
        <v>0</v>
      </c>
      <c r="AV168" s="22">
        <f>'IS (Adjusted)'!AV168-'IS (Base)'!AV168</f>
        <v>0</v>
      </c>
    </row>
    <row r="169" spans="2:48" ht="16.2" outlineLevel="1" x14ac:dyDescent="0.45">
      <c r="B169" s="200" t="s">
        <v>155</v>
      </c>
      <c r="C169" s="201"/>
      <c r="D169" s="104">
        <f>'IS (Adjusted)'!D169-'IS (Base)'!D169</f>
        <v>0</v>
      </c>
      <c r="E169" s="104">
        <f>'IS (Adjusted)'!E169-'IS (Base)'!E169</f>
        <v>0</v>
      </c>
      <c r="F169" s="104">
        <f>'IS (Adjusted)'!F169-'IS (Base)'!F169</f>
        <v>0</v>
      </c>
      <c r="G169" s="104">
        <f>'IS (Adjusted)'!G169-'IS (Base)'!G169</f>
        <v>0</v>
      </c>
      <c r="H169" s="169">
        <f>'IS (Adjusted)'!H169-'IS (Base)'!H169</f>
        <v>0</v>
      </c>
      <c r="I169" s="104">
        <f>'IS (Adjusted)'!I169-'IS (Base)'!I169</f>
        <v>0</v>
      </c>
      <c r="J169" s="104">
        <f>'IS (Adjusted)'!J169-'IS (Base)'!J169</f>
        <v>0</v>
      </c>
      <c r="K169" s="104">
        <f>'IS (Adjusted)'!K169-'IS (Base)'!K169</f>
        <v>0</v>
      </c>
      <c r="L169" s="104">
        <f>'IS (Adjusted)'!L169-'IS (Base)'!L169</f>
        <v>0</v>
      </c>
      <c r="M169" s="169">
        <f>'IS (Adjusted)'!M169-'IS (Base)'!M169</f>
        <v>0</v>
      </c>
      <c r="N169" s="104">
        <f>'IS (Adjusted)'!N169-'IS (Base)'!N169</f>
        <v>0</v>
      </c>
      <c r="O169" s="104">
        <f>'IS (Adjusted)'!O169-'IS (Base)'!O169</f>
        <v>0</v>
      </c>
      <c r="P169" s="104">
        <f>'IS (Adjusted)'!P169-'IS (Base)'!P169</f>
        <v>0</v>
      </c>
      <c r="Q169" s="104">
        <f>'IS (Adjusted)'!Q169-'IS (Base)'!Q169</f>
        <v>0</v>
      </c>
      <c r="R169" s="17">
        <f>'IS (Adjusted)'!R169-'IS (Base)'!R169</f>
        <v>0</v>
      </c>
      <c r="S169" s="104">
        <f>'IS (Adjusted)'!S169-'IS (Base)'!S169</f>
        <v>0</v>
      </c>
      <c r="T169" s="52">
        <f>'IS (Adjusted)'!T169-'IS (Base)'!T169</f>
        <v>0</v>
      </c>
      <c r="U169" s="52">
        <f>'IS (Adjusted)'!U169-'IS (Base)'!U169</f>
        <v>0</v>
      </c>
      <c r="V169" s="52">
        <f>'IS (Adjusted)'!V169-'IS (Base)'!V169</f>
        <v>0</v>
      </c>
      <c r="W169" s="17">
        <f>'IS (Adjusted)'!W169-'IS (Base)'!W169</f>
        <v>0</v>
      </c>
      <c r="X169" s="104">
        <f>'IS (Adjusted)'!X169-'IS (Base)'!X169</f>
        <v>0</v>
      </c>
      <c r="Y169" s="52">
        <f>'IS (Adjusted)'!Y169-'IS (Base)'!Y169</f>
        <v>0</v>
      </c>
      <c r="Z169" s="52">
        <f>'IS (Adjusted)'!Z169-'IS (Base)'!Z169</f>
        <v>0</v>
      </c>
      <c r="AA169" s="52">
        <f>'IS (Adjusted)'!AA169-'IS (Base)'!AA169</f>
        <v>0</v>
      </c>
      <c r="AB169" s="17">
        <f>'IS (Adjusted)'!AB169-'IS (Base)'!AB169</f>
        <v>0</v>
      </c>
      <c r="AC169" s="52">
        <f>'IS (Adjusted)'!AC169-'IS (Base)'!AC169</f>
        <v>0</v>
      </c>
      <c r="AD169" s="52">
        <f>'IS (Adjusted)'!AD169-'IS (Base)'!AD169</f>
        <v>0</v>
      </c>
      <c r="AE169" s="52">
        <f>'IS (Adjusted)'!AE169-'IS (Base)'!AE169</f>
        <v>0</v>
      </c>
      <c r="AF169" s="52">
        <f>'IS (Adjusted)'!AF169-'IS (Base)'!AF169</f>
        <v>0</v>
      </c>
      <c r="AG169" s="17">
        <f>'IS (Adjusted)'!AG169-'IS (Base)'!AG169</f>
        <v>0</v>
      </c>
      <c r="AH169" s="52">
        <f>'IS (Adjusted)'!AH169-'IS (Base)'!AH169</f>
        <v>0</v>
      </c>
      <c r="AI169" s="52">
        <f>'IS (Adjusted)'!AI169-'IS (Base)'!AI169</f>
        <v>0</v>
      </c>
      <c r="AJ169" s="52">
        <f>'IS (Adjusted)'!AJ169-'IS (Base)'!AJ169</f>
        <v>0</v>
      </c>
      <c r="AK169" s="52">
        <f>'IS (Adjusted)'!AK169-'IS (Base)'!AK169</f>
        <v>0</v>
      </c>
      <c r="AL169" s="17">
        <f>'IS (Adjusted)'!AL169-'IS (Base)'!AL169</f>
        <v>0</v>
      </c>
      <c r="AM169" s="52">
        <f>'IS (Adjusted)'!AM169-'IS (Base)'!AM169</f>
        <v>0</v>
      </c>
      <c r="AN169" s="52">
        <f>'IS (Adjusted)'!AN169-'IS (Base)'!AN169</f>
        <v>0</v>
      </c>
      <c r="AO169" s="52">
        <f>'IS (Adjusted)'!AO169-'IS (Base)'!AO169</f>
        <v>0</v>
      </c>
      <c r="AP169" s="52">
        <f>'IS (Adjusted)'!AP169-'IS (Base)'!AP169</f>
        <v>0</v>
      </c>
      <c r="AQ169" s="17">
        <f>'IS (Adjusted)'!AQ169-'IS (Base)'!AQ169</f>
        <v>0</v>
      </c>
      <c r="AR169" s="52">
        <f>'IS (Adjusted)'!AR169-'IS (Base)'!AR169</f>
        <v>0</v>
      </c>
      <c r="AS169" s="52">
        <f>'IS (Adjusted)'!AS169-'IS (Base)'!AS169</f>
        <v>0</v>
      </c>
      <c r="AT169" s="52">
        <f>'IS (Adjusted)'!AT169-'IS (Base)'!AT169</f>
        <v>0</v>
      </c>
      <c r="AU169" s="52">
        <f>'IS (Adjusted)'!AU169-'IS (Base)'!AU169</f>
        <v>0</v>
      </c>
      <c r="AV169" s="17">
        <f>'IS (Adjusted)'!AV169-'IS (Base)'!AV169</f>
        <v>0</v>
      </c>
    </row>
    <row r="170" spans="2:48" s="8" customFormat="1" outlineLevel="1" x14ac:dyDescent="0.3">
      <c r="B170" s="205" t="s">
        <v>68</v>
      </c>
      <c r="C170" s="202"/>
      <c r="D170" s="103">
        <f>'IS (Adjusted)'!D170-'IS (Base)'!D170</f>
        <v>0</v>
      </c>
      <c r="E170" s="103">
        <f>'IS (Adjusted)'!E170-'IS (Base)'!E170</f>
        <v>0</v>
      </c>
      <c r="F170" s="103">
        <f>'IS (Adjusted)'!F170-'IS (Base)'!F170</f>
        <v>0</v>
      </c>
      <c r="G170" s="103">
        <f>'IS (Adjusted)'!G170-'IS (Base)'!G170</f>
        <v>0</v>
      </c>
      <c r="H170" s="150">
        <f>'IS (Adjusted)'!H170-'IS (Base)'!H170</f>
        <v>0</v>
      </c>
      <c r="I170" s="103">
        <f>'IS (Adjusted)'!I170-'IS (Base)'!I170</f>
        <v>0</v>
      </c>
      <c r="J170" s="103">
        <f>'IS (Adjusted)'!J170-'IS (Base)'!J170</f>
        <v>0</v>
      </c>
      <c r="K170" s="103">
        <f>'IS (Adjusted)'!K170-'IS (Base)'!K170</f>
        <v>0</v>
      </c>
      <c r="L170" s="103">
        <f>'IS (Adjusted)'!L170-'IS (Base)'!L170</f>
        <v>0</v>
      </c>
      <c r="M170" s="150">
        <f>'IS (Adjusted)'!M170-'IS (Base)'!M170</f>
        <v>0</v>
      </c>
      <c r="N170" s="103">
        <f>'IS (Adjusted)'!N170-'IS (Base)'!N170</f>
        <v>0</v>
      </c>
      <c r="O170" s="103">
        <f>'IS (Adjusted)'!O170-'IS (Base)'!O170</f>
        <v>0</v>
      </c>
      <c r="P170" s="103">
        <f>'IS (Adjusted)'!P170-'IS (Base)'!P170</f>
        <v>0</v>
      </c>
      <c r="Q170" s="103">
        <f>'IS (Adjusted)'!Q170-'IS (Base)'!Q170</f>
        <v>0</v>
      </c>
      <c r="R170" s="22">
        <f>'IS (Adjusted)'!R170-'IS (Base)'!R170</f>
        <v>0</v>
      </c>
      <c r="S170" s="103">
        <f>'IS (Adjusted)'!S170-'IS (Base)'!S170</f>
        <v>0</v>
      </c>
      <c r="T170" s="50">
        <f>'IS (Adjusted)'!T170-'IS (Base)'!T170</f>
        <v>0</v>
      </c>
      <c r="U170" s="50">
        <f>'IS (Adjusted)'!U170-'IS (Base)'!U170</f>
        <v>0</v>
      </c>
      <c r="V170" s="50">
        <f>'IS (Adjusted)'!V170-'IS (Base)'!V170</f>
        <v>0</v>
      </c>
      <c r="W170" s="22">
        <f>'IS (Adjusted)'!W170-'IS (Base)'!W170</f>
        <v>0</v>
      </c>
      <c r="X170" s="103">
        <f>'IS (Adjusted)'!X170-'IS (Base)'!X170</f>
        <v>0</v>
      </c>
      <c r="Y170" s="50">
        <f>'IS (Adjusted)'!Y170-'IS (Base)'!Y170</f>
        <v>0</v>
      </c>
      <c r="Z170" s="50">
        <f>'IS (Adjusted)'!Z170-'IS (Base)'!Z170</f>
        <v>0</v>
      </c>
      <c r="AA170" s="50">
        <f>'IS (Adjusted)'!AA170-'IS (Base)'!AA170</f>
        <v>0</v>
      </c>
      <c r="AB170" s="22">
        <f>'IS (Adjusted)'!AB170-'IS (Base)'!AB170</f>
        <v>0</v>
      </c>
      <c r="AC170" s="50">
        <f>'IS (Adjusted)'!AC170-'IS (Base)'!AC170</f>
        <v>0</v>
      </c>
      <c r="AD170" s="50">
        <f>'IS (Adjusted)'!AD170-'IS (Base)'!AD170</f>
        <v>0</v>
      </c>
      <c r="AE170" s="50">
        <f>'IS (Adjusted)'!AE170-'IS (Base)'!AE170</f>
        <v>0</v>
      </c>
      <c r="AF170" s="50">
        <f>'IS (Adjusted)'!AF170-'IS (Base)'!AF170</f>
        <v>0</v>
      </c>
      <c r="AG170" s="22">
        <f>'IS (Adjusted)'!AG170-'IS (Base)'!AG170</f>
        <v>0</v>
      </c>
      <c r="AH170" s="50">
        <f>'IS (Adjusted)'!AH170-'IS (Base)'!AH170</f>
        <v>0</v>
      </c>
      <c r="AI170" s="50">
        <f>'IS (Adjusted)'!AI170-'IS (Base)'!AI170</f>
        <v>0</v>
      </c>
      <c r="AJ170" s="50">
        <f>'IS (Adjusted)'!AJ170-'IS (Base)'!AJ170</f>
        <v>0</v>
      </c>
      <c r="AK170" s="50">
        <f>'IS (Adjusted)'!AK170-'IS (Base)'!AK170</f>
        <v>0</v>
      </c>
      <c r="AL170" s="22">
        <f>'IS (Adjusted)'!AL170-'IS (Base)'!AL170</f>
        <v>0</v>
      </c>
      <c r="AM170" s="50">
        <f>'IS (Adjusted)'!AM170-'IS (Base)'!AM170</f>
        <v>0</v>
      </c>
      <c r="AN170" s="50">
        <f>'IS (Adjusted)'!AN170-'IS (Base)'!AN170</f>
        <v>0</v>
      </c>
      <c r="AO170" s="50">
        <f>'IS (Adjusted)'!AO170-'IS (Base)'!AO170</f>
        <v>0</v>
      </c>
      <c r="AP170" s="50">
        <f>'IS (Adjusted)'!AP170-'IS (Base)'!AP170</f>
        <v>0</v>
      </c>
      <c r="AQ170" s="22">
        <f>'IS (Adjusted)'!AQ170-'IS (Base)'!AQ170</f>
        <v>0</v>
      </c>
      <c r="AR170" s="50">
        <f>'IS (Adjusted)'!AR170-'IS (Base)'!AR170</f>
        <v>0</v>
      </c>
      <c r="AS170" s="50">
        <f>'IS (Adjusted)'!AS170-'IS (Base)'!AS170</f>
        <v>0</v>
      </c>
      <c r="AT170" s="50">
        <f>'IS (Adjusted)'!AT170-'IS (Base)'!AT170</f>
        <v>0</v>
      </c>
      <c r="AU170" s="50">
        <f>'IS (Adjusted)'!AU170-'IS (Base)'!AU170</f>
        <v>0</v>
      </c>
      <c r="AV170" s="22">
        <f>'IS (Adjusted)'!AV170-'IS (Base)'!AV170</f>
        <v>0</v>
      </c>
    </row>
    <row r="171" spans="2:48" outlineLevel="1" x14ac:dyDescent="0.3">
      <c r="B171" s="200" t="s">
        <v>69</v>
      </c>
      <c r="C171" s="201"/>
      <c r="D171" s="105">
        <f>'IS (Adjusted)'!D171-'IS (Base)'!D171</f>
        <v>0</v>
      </c>
      <c r="E171" s="101">
        <f>'IS (Adjusted)'!E171-'IS (Base)'!E171</f>
        <v>0</v>
      </c>
      <c r="F171" s="101">
        <f>'IS (Adjusted)'!F171-'IS (Base)'!F171</f>
        <v>0</v>
      </c>
      <c r="G171" s="101">
        <f>'IS (Adjusted)'!G171-'IS (Base)'!G171</f>
        <v>0</v>
      </c>
      <c r="H171" s="169">
        <f>'IS (Adjusted)'!H171-'IS (Base)'!H171</f>
        <v>0</v>
      </c>
      <c r="I171" s="101">
        <f>'IS (Adjusted)'!I171-'IS (Base)'!I171</f>
        <v>0</v>
      </c>
      <c r="J171" s="101">
        <f>'IS (Adjusted)'!J171-'IS (Base)'!J171</f>
        <v>0</v>
      </c>
      <c r="K171" s="101">
        <f>'IS (Adjusted)'!K171-'IS (Base)'!K171</f>
        <v>0</v>
      </c>
      <c r="L171" s="101">
        <f>'IS (Adjusted)'!L171-'IS (Base)'!L171</f>
        <v>0</v>
      </c>
      <c r="M171" s="169">
        <f>'IS (Adjusted)'!M171-'IS (Base)'!M171</f>
        <v>0</v>
      </c>
      <c r="N171" s="101">
        <f>'IS (Adjusted)'!N171-'IS (Base)'!N171</f>
        <v>0</v>
      </c>
      <c r="O171" s="101">
        <f>'IS (Adjusted)'!O171-'IS (Base)'!O171</f>
        <v>0</v>
      </c>
      <c r="P171" s="101">
        <f>'IS (Adjusted)'!P171-'IS (Base)'!P171</f>
        <v>0</v>
      </c>
      <c r="Q171" s="101">
        <f>'IS (Adjusted)'!Q171-'IS (Base)'!Q171</f>
        <v>0</v>
      </c>
      <c r="R171" s="17">
        <f>'IS (Adjusted)'!R171-'IS (Base)'!R171</f>
        <v>0</v>
      </c>
      <c r="S171" s="101">
        <f>'IS (Adjusted)'!S171-'IS (Base)'!S171</f>
        <v>0</v>
      </c>
      <c r="T171" s="101">
        <f>'IS (Adjusted)'!T171-'IS (Base)'!T171</f>
        <v>0</v>
      </c>
      <c r="U171" s="101">
        <f>'IS (Adjusted)'!U171-'IS (Base)'!U171</f>
        <v>0</v>
      </c>
      <c r="V171" s="101">
        <f>'IS (Adjusted)'!V171-'IS (Base)'!V171</f>
        <v>0</v>
      </c>
      <c r="W171" s="17">
        <f>'IS (Adjusted)'!W171-'IS (Base)'!W171</f>
        <v>0</v>
      </c>
      <c r="X171" s="101">
        <f>'IS (Adjusted)'!X171-'IS (Base)'!X171</f>
        <v>0</v>
      </c>
      <c r="Y171" s="33">
        <f>'IS (Adjusted)'!Y171-'IS (Base)'!Y171</f>
        <v>0</v>
      </c>
      <c r="Z171" s="33">
        <f>'IS (Adjusted)'!Z171-'IS (Base)'!Z171</f>
        <v>0</v>
      </c>
      <c r="AA171" s="33">
        <f>'IS (Adjusted)'!AA171-'IS (Base)'!AA171</f>
        <v>0</v>
      </c>
      <c r="AB171" s="17">
        <f>'IS (Adjusted)'!AB171-'IS (Base)'!AB171</f>
        <v>0</v>
      </c>
      <c r="AC171" s="33">
        <f>'IS (Adjusted)'!AC171-'IS (Base)'!AC171</f>
        <v>0</v>
      </c>
      <c r="AD171" s="33">
        <f>'IS (Adjusted)'!AD171-'IS (Base)'!AD171</f>
        <v>0</v>
      </c>
      <c r="AE171" s="33">
        <f>'IS (Adjusted)'!AE171-'IS (Base)'!AE171</f>
        <v>0</v>
      </c>
      <c r="AF171" s="33">
        <f>'IS (Adjusted)'!AF171-'IS (Base)'!AF171</f>
        <v>0</v>
      </c>
      <c r="AG171" s="17">
        <f>'IS (Adjusted)'!AG171-'IS (Base)'!AG171</f>
        <v>0</v>
      </c>
      <c r="AH171" s="33">
        <f>'IS (Adjusted)'!AH171-'IS (Base)'!AH171</f>
        <v>0</v>
      </c>
      <c r="AI171" s="33">
        <f>'IS (Adjusted)'!AI171-'IS (Base)'!AI171</f>
        <v>0</v>
      </c>
      <c r="AJ171" s="33">
        <f>'IS (Adjusted)'!AJ171-'IS (Base)'!AJ171</f>
        <v>0</v>
      </c>
      <c r="AK171" s="33">
        <f>'IS (Adjusted)'!AK171-'IS (Base)'!AK171</f>
        <v>0</v>
      </c>
      <c r="AL171" s="17">
        <f>'IS (Adjusted)'!AL171-'IS (Base)'!AL171</f>
        <v>0</v>
      </c>
      <c r="AM171" s="33">
        <f>'IS (Adjusted)'!AM171-'IS (Base)'!AM171</f>
        <v>0</v>
      </c>
      <c r="AN171" s="33">
        <f>'IS (Adjusted)'!AN171-'IS (Base)'!AN171</f>
        <v>0</v>
      </c>
      <c r="AO171" s="33">
        <f>'IS (Adjusted)'!AO171-'IS (Base)'!AO171</f>
        <v>0</v>
      </c>
      <c r="AP171" s="33">
        <f>'IS (Adjusted)'!AP171-'IS (Base)'!AP171</f>
        <v>0</v>
      </c>
      <c r="AQ171" s="17">
        <f>'IS (Adjusted)'!AQ171-'IS (Base)'!AQ171</f>
        <v>0</v>
      </c>
      <c r="AR171" s="33">
        <f>'IS (Adjusted)'!AR171-'IS (Base)'!AR171</f>
        <v>0</v>
      </c>
      <c r="AS171" s="33">
        <f>'IS (Adjusted)'!AS171-'IS (Base)'!AS171</f>
        <v>0</v>
      </c>
      <c r="AT171" s="33">
        <f>'IS (Adjusted)'!AT171-'IS (Base)'!AT171</f>
        <v>0</v>
      </c>
      <c r="AU171" s="33">
        <f>'IS (Adjusted)'!AU171-'IS (Base)'!AU171</f>
        <v>0</v>
      </c>
      <c r="AV171" s="17">
        <f>'IS (Adjusted)'!AV171-'IS (Base)'!AV171</f>
        <v>0</v>
      </c>
    </row>
    <row r="172" spans="2:48" outlineLevel="1" x14ac:dyDescent="0.3">
      <c r="B172" s="580" t="s">
        <v>75</v>
      </c>
      <c r="C172" s="581"/>
      <c r="D172" s="105">
        <f>'IS (Adjusted)'!D172-'IS (Base)'!D172</f>
        <v>0</v>
      </c>
      <c r="E172" s="101">
        <f>'IS (Adjusted)'!E172-'IS (Base)'!E172</f>
        <v>0</v>
      </c>
      <c r="F172" s="101">
        <f>'IS (Adjusted)'!F172-'IS (Base)'!F172</f>
        <v>0</v>
      </c>
      <c r="G172" s="101">
        <f>'IS (Adjusted)'!G172-'IS (Base)'!G172</f>
        <v>0</v>
      </c>
      <c r="H172" s="169">
        <f>'IS (Adjusted)'!H172-'IS (Base)'!H172</f>
        <v>0</v>
      </c>
      <c r="I172" s="101">
        <f>'IS (Adjusted)'!I172-'IS (Base)'!I172</f>
        <v>0</v>
      </c>
      <c r="J172" s="101">
        <f>'IS (Adjusted)'!J172-'IS (Base)'!J172</f>
        <v>0</v>
      </c>
      <c r="K172" s="101">
        <f>'IS (Adjusted)'!K172-'IS (Base)'!K172</f>
        <v>0</v>
      </c>
      <c r="L172" s="101">
        <f>'IS (Adjusted)'!L172-'IS (Base)'!L172</f>
        <v>0</v>
      </c>
      <c r="M172" s="169">
        <f>'IS (Adjusted)'!M172-'IS (Base)'!M172</f>
        <v>0</v>
      </c>
      <c r="N172" s="101">
        <f>'IS (Adjusted)'!N172-'IS (Base)'!N172</f>
        <v>0</v>
      </c>
      <c r="O172" s="101">
        <f>'IS (Adjusted)'!O172-'IS (Base)'!O172</f>
        <v>0</v>
      </c>
      <c r="P172" s="101">
        <f>'IS (Adjusted)'!P172-'IS (Base)'!P172</f>
        <v>0</v>
      </c>
      <c r="Q172" s="101">
        <f>'IS (Adjusted)'!Q172-'IS (Base)'!Q172</f>
        <v>0</v>
      </c>
      <c r="R172" s="17">
        <f>'IS (Adjusted)'!R172-'IS (Base)'!R172</f>
        <v>0</v>
      </c>
      <c r="S172" s="101">
        <f>'IS (Adjusted)'!S172-'IS (Base)'!S172</f>
        <v>0</v>
      </c>
      <c r="T172" s="16">
        <f>'IS (Adjusted)'!T172-'IS (Base)'!T172</f>
        <v>0</v>
      </c>
      <c r="U172" s="16">
        <f>'IS (Adjusted)'!U172-'IS (Base)'!U172</f>
        <v>0</v>
      </c>
      <c r="V172" s="16">
        <f>'IS (Adjusted)'!V172-'IS (Base)'!V172</f>
        <v>0</v>
      </c>
      <c r="W172" s="17">
        <f>'IS (Adjusted)'!W172-'IS (Base)'!W172</f>
        <v>0</v>
      </c>
      <c r="X172" s="101">
        <f>'IS (Adjusted)'!X172-'IS (Base)'!X172</f>
        <v>0</v>
      </c>
      <c r="Y172" s="16">
        <f>'IS (Adjusted)'!Y172-'IS (Base)'!Y172</f>
        <v>0</v>
      </c>
      <c r="Z172" s="16">
        <f>'IS (Adjusted)'!Z172-'IS (Base)'!Z172</f>
        <v>0</v>
      </c>
      <c r="AA172" s="16">
        <f>'IS (Adjusted)'!AA172-'IS (Base)'!AA172</f>
        <v>0</v>
      </c>
      <c r="AB172" s="17">
        <f>'IS (Adjusted)'!AB172-'IS (Base)'!AB172</f>
        <v>0</v>
      </c>
      <c r="AC172" s="16">
        <f>'IS (Adjusted)'!AC172-'IS (Base)'!AC172</f>
        <v>0</v>
      </c>
      <c r="AD172" s="16">
        <f>'IS (Adjusted)'!AD172-'IS (Base)'!AD172</f>
        <v>0</v>
      </c>
      <c r="AE172" s="16">
        <f>'IS (Adjusted)'!AE172-'IS (Base)'!AE172</f>
        <v>0</v>
      </c>
      <c r="AF172" s="16">
        <f>'IS (Adjusted)'!AF172-'IS (Base)'!AF172</f>
        <v>0</v>
      </c>
      <c r="AG172" s="17">
        <f>'IS (Adjusted)'!AG172-'IS (Base)'!AG172</f>
        <v>0</v>
      </c>
      <c r="AH172" s="16">
        <f>'IS (Adjusted)'!AH172-'IS (Base)'!AH172</f>
        <v>0</v>
      </c>
      <c r="AI172" s="16">
        <f>'IS (Adjusted)'!AI172-'IS (Base)'!AI172</f>
        <v>0</v>
      </c>
      <c r="AJ172" s="16">
        <f>'IS (Adjusted)'!AJ172-'IS (Base)'!AJ172</f>
        <v>0</v>
      </c>
      <c r="AK172" s="16">
        <f>'IS (Adjusted)'!AK172-'IS (Base)'!AK172</f>
        <v>0</v>
      </c>
      <c r="AL172" s="17">
        <f>'IS (Adjusted)'!AL172-'IS (Base)'!AL172</f>
        <v>0</v>
      </c>
      <c r="AM172" s="16">
        <f>'IS (Adjusted)'!AM172-'IS (Base)'!AM172</f>
        <v>0</v>
      </c>
      <c r="AN172" s="16">
        <f>'IS (Adjusted)'!AN172-'IS (Base)'!AN172</f>
        <v>0</v>
      </c>
      <c r="AO172" s="16">
        <f>'IS (Adjusted)'!AO172-'IS (Base)'!AO172</f>
        <v>0</v>
      </c>
      <c r="AP172" s="16">
        <f>'IS (Adjusted)'!AP172-'IS (Base)'!AP172</f>
        <v>0</v>
      </c>
      <c r="AQ172" s="17">
        <f>'IS (Adjusted)'!AQ172-'IS (Base)'!AQ172</f>
        <v>0</v>
      </c>
      <c r="AR172" s="16">
        <f>'IS (Adjusted)'!AR172-'IS (Base)'!AR172</f>
        <v>0</v>
      </c>
      <c r="AS172" s="16">
        <f>'IS (Adjusted)'!AS172-'IS (Base)'!AS172</f>
        <v>0</v>
      </c>
      <c r="AT172" s="16">
        <f>'IS (Adjusted)'!AT172-'IS (Base)'!AT172</f>
        <v>0</v>
      </c>
      <c r="AU172" s="16">
        <f>'IS (Adjusted)'!AU172-'IS (Base)'!AU172</f>
        <v>0</v>
      </c>
      <c r="AV172" s="17">
        <f>'IS (Adjusted)'!AV172-'IS (Base)'!AV172</f>
        <v>0</v>
      </c>
    </row>
    <row r="173" spans="2:48" outlineLevel="1" x14ac:dyDescent="0.3">
      <c r="B173" s="203" t="s">
        <v>76</v>
      </c>
      <c r="C173" s="204"/>
      <c r="D173" s="211">
        <f>'IS (Adjusted)'!D173-'IS (Base)'!D173</f>
        <v>0</v>
      </c>
      <c r="E173" s="211">
        <f>'IS (Adjusted)'!E173-'IS (Base)'!E173</f>
        <v>0</v>
      </c>
      <c r="F173" s="211">
        <f>'IS (Adjusted)'!F173-'IS (Base)'!F173</f>
        <v>0</v>
      </c>
      <c r="G173" s="211">
        <f>'IS (Adjusted)'!G173-'IS (Base)'!G173</f>
        <v>0</v>
      </c>
      <c r="H173" s="212">
        <f>'IS (Adjusted)'!H173-'IS (Base)'!H173</f>
        <v>0</v>
      </c>
      <c r="I173" s="211">
        <f>'IS (Adjusted)'!I173-'IS (Base)'!I173</f>
        <v>0</v>
      </c>
      <c r="J173" s="211">
        <f>'IS (Adjusted)'!J173-'IS (Base)'!J173</f>
        <v>0</v>
      </c>
      <c r="K173" s="211">
        <f>'IS (Adjusted)'!K173-'IS (Base)'!K173</f>
        <v>0</v>
      </c>
      <c r="L173" s="211">
        <f>'IS (Adjusted)'!L173-'IS (Base)'!L173</f>
        <v>0</v>
      </c>
      <c r="M173" s="212">
        <f>'IS (Adjusted)'!M173-'IS (Base)'!M173</f>
        <v>0</v>
      </c>
      <c r="N173" s="211">
        <f>'IS (Adjusted)'!N173-'IS (Base)'!N173</f>
        <v>0</v>
      </c>
      <c r="O173" s="211">
        <f>'IS (Adjusted)'!O173-'IS (Base)'!O173</f>
        <v>0</v>
      </c>
      <c r="P173" s="211">
        <f>'IS (Adjusted)'!P173-'IS (Base)'!P173</f>
        <v>0</v>
      </c>
      <c r="Q173" s="211">
        <f>'IS (Adjusted)'!Q173-'IS (Base)'!Q173</f>
        <v>0</v>
      </c>
      <c r="R173" s="37">
        <f>'IS (Adjusted)'!R173-'IS (Base)'!R173</f>
        <v>0</v>
      </c>
      <c r="S173" s="211">
        <f>'IS (Adjusted)'!S173-'IS (Base)'!S173</f>
        <v>0</v>
      </c>
      <c r="T173" s="211">
        <f>'IS (Adjusted)'!T173-'IS (Base)'!T173</f>
        <v>0</v>
      </c>
      <c r="U173" s="211">
        <f>'IS (Adjusted)'!U173-'IS (Base)'!U173</f>
        <v>0</v>
      </c>
      <c r="V173" s="211">
        <f>'IS (Adjusted)'!V173-'IS (Base)'!V173</f>
        <v>0</v>
      </c>
      <c r="W173" s="37">
        <f>'IS (Adjusted)'!W173-'IS (Base)'!W173</f>
        <v>0</v>
      </c>
      <c r="X173" s="211">
        <f>'IS (Adjusted)'!X173-'IS (Base)'!X173</f>
        <v>0</v>
      </c>
      <c r="Y173" s="94">
        <f>'IS (Adjusted)'!Y173-'IS (Base)'!Y173</f>
        <v>0</v>
      </c>
      <c r="Z173" s="94">
        <f>'IS (Adjusted)'!Z173-'IS (Base)'!Z173</f>
        <v>0</v>
      </c>
      <c r="AA173" s="94">
        <f>'IS (Adjusted)'!AA173-'IS (Base)'!AA173</f>
        <v>0</v>
      </c>
      <c r="AB173" s="37">
        <f>'IS (Adjusted)'!AB173-'IS (Base)'!AB173</f>
        <v>0</v>
      </c>
      <c r="AC173" s="94">
        <f>'IS (Adjusted)'!AC173-'IS (Base)'!AC173</f>
        <v>0</v>
      </c>
      <c r="AD173" s="94">
        <f>'IS (Adjusted)'!AD173-'IS (Base)'!AD173</f>
        <v>0</v>
      </c>
      <c r="AE173" s="94">
        <f>'IS (Adjusted)'!AE173-'IS (Base)'!AE173</f>
        <v>0</v>
      </c>
      <c r="AF173" s="94">
        <f>'IS (Adjusted)'!AF173-'IS (Base)'!AF173</f>
        <v>0</v>
      </c>
      <c r="AG173" s="37">
        <f>'IS (Adjusted)'!AG173-'IS (Base)'!AG173</f>
        <v>0</v>
      </c>
      <c r="AH173" s="94">
        <f>'IS (Adjusted)'!AH173-'IS (Base)'!AH173</f>
        <v>0</v>
      </c>
      <c r="AI173" s="94">
        <f>'IS (Adjusted)'!AI173-'IS (Base)'!AI173</f>
        <v>0</v>
      </c>
      <c r="AJ173" s="94">
        <f>'IS (Adjusted)'!AJ173-'IS (Base)'!AJ173</f>
        <v>0</v>
      </c>
      <c r="AK173" s="94">
        <f>'IS (Adjusted)'!AK173-'IS (Base)'!AK173</f>
        <v>0</v>
      </c>
      <c r="AL173" s="37">
        <f>'IS (Adjusted)'!AL173-'IS (Base)'!AL173</f>
        <v>0</v>
      </c>
      <c r="AM173" s="94">
        <f>'IS (Adjusted)'!AM173-'IS (Base)'!AM173</f>
        <v>0</v>
      </c>
      <c r="AN173" s="94">
        <f>'IS (Adjusted)'!AN173-'IS (Base)'!AN173</f>
        <v>0</v>
      </c>
      <c r="AO173" s="94">
        <f>'IS (Adjusted)'!AO173-'IS (Base)'!AO173</f>
        <v>0</v>
      </c>
      <c r="AP173" s="94">
        <f>'IS (Adjusted)'!AP173-'IS (Base)'!AP173</f>
        <v>0</v>
      </c>
      <c r="AQ173" s="37">
        <f>'IS (Adjusted)'!AQ173-'IS (Base)'!AQ173</f>
        <v>0</v>
      </c>
      <c r="AR173" s="94">
        <f>'IS (Adjusted)'!AR173-'IS (Base)'!AR173</f>
        <v>0</v>
      </c>
      <c r="AS173" s="94">
        <f>'IS (Adjusted)'!AS173-'IS (Base)'!AS173</f>
        <v>0</v>
      </c>
      <c r="AT173" s="94">
        <f>'IS (Adjusted)'!AT173-'IS (Base)'!AT173</f>
        <v>0</v>
      </c>
      <c r="AU173" s="94">
        <f>'IS (Adjusted)'!AU173-'IS (Base)'!AU173</f>
        <v>0</v>
      </c>
      <c r="AV173" s="37">
        <f>'IS (Adjusted)'!AV173-'IS (Base)'!AV173</f>
        <v>0</v>
      </c>
    </row>
    <row r="175" spans="2:48" x14ac:dyDescent="0.3">
      <c r="B175" s="382"/>
      <c r="Q175" s="383"/>
      <c r="R175" s="383"/>
      <c r="S175" s="383"/>
      <c r="T175" s="383"/>
      <c r="U175" s="383"/>
      <c r="V175" s="383"/>
      <c r="W175" s="383"/>
      <c r="X175" s="383"/>
      <c r="Y175" s="383"/>
      <c r="Z175" s="383"/>
      <c r="AA175" s="383"/>
      <c r="AB175" s="383"/>
      <c r="AC175" s="383"/>
      <c r="AD175" s="383"/>
      <c r="AE175" s="383"/>
      <c r="AF175" s="383"/>
      <c r="AH175" s="383"/>
      <c r="AI175" s="383"/>
      <c r="AJ175" s="383"/>
      <c r="AK175" s="383"/>
    </row>
    <row r="176" spans="2:48" ht="14.55" customHeight="1" x14ac:dyDescent="0.3">
      <c r="B176" s="382"/>
      <c r="Q176" s="383"/>
      <c r="R176" s="383"/>
      <c r="S176" s="383"/>
      <c r="T176" s="383"/>
      <c r="U176" s="383"/>
      <c r="V176" s="383"/>
      <c r="W176" s="383"/>
      <c r="X176" s="383"/>
      <c r="Y176" s="383"/>
      <c r="Z176" s="383"/>
      <c r="AA176" s="383"/>
      <c r="AB176" s="383"/>
      <c r="AC176" s="383"/>
      <c r="AD176" s="383"/>
      <c r="AE176" s="383"/>
      <c r="AF176" s="383"/>
      <c r="AH176" s="383"/>
      <c r="AI176" s="383"/>
      <c r="AJ176" s="383"/>
      <c r="AK176" s="383"/>
    </row>
    <row r="177" spans="1:48" ht="14.55" customHeight="1" x14ac:dyDescent="0.3">
      <c r="B177" s="382"/>
      <c r="Q177" s="383"/>
      <c r="R177" s="383"/>
      <c r="S177" s="383"/>
      <c r="T177" s="383"/>
      <c r="U177" s="383"/>
      <c r="V177" s="383"/>
      <c r="W177" s="383"/>
      <c r="X177" s="383"/>
      <c r="Y177" s="383"/>
      <c r="Z177" s="383"/>
      <c r="AA177" s="383"/>
      <c r="AB177" s="383"/>
      <c r="AC177" s="383"/>
      <c r="AD177" s="383"/>
      <c r="AE177" s="383"/>
      <c r="AF177" s="383"/>
      <c r="AH177" s="383"/>
      <c r="AI177" s="383"/>
      <c r="AJ177" s="383"/>
      <c r="AK177" s="383"/>
    </row>
    <row r="178" spans="1:48" ht="14.55" customHeight="1" x14ac:dyDescent="0.3">
      <c r="A178" s="161"/>
      <c r="B178" s="382"/>
      <c r="Q178" s="383"/>
      <c r="R178" s="383"/>
      <c r="S178" s="383"/>
      <c r="T178" s="383"/>
      <c r="U178" s="383"/>
      <c r="V178" s="383"/>
      <c r="W178" s="383"/>
      <c r="X178" s="383"/>
      <c r="Y178" s="383"/>
      <c r="Z178" s="383"/>
      <c r="AA178" s="383"/>
      <c r="AB178" s="383"/>
      <c r="AC178" s="383"/>
      <c r="AD178" s="383"/>
      <c r="AE178" s="383"/>
      <c r="AF178" s="383"/>
      <c r="AH178" s="383"/>
      <c r="AI178" s="383"/>
      <c r="AJ178" s="383"/>
      <c r="AK178" s="383"/>
    </row>
    <row r="179" spans="1:48" s="23" customFormat="1" ht="14.55" customHeight="1" x14ac:dyDescent="0.3">
      <c r="A179" s="161"/>
    </row>
    <row r="180" spans="1:48" s="23" customFormat="1" ht="14.55" customHeight="1" x14ac:dyDescent="0.3">
      <c r="A180" s="161"/>
      <c r="B180" s="382"/>
      <c r="Q180" s="384"/>
      <c r="R180" s="384"/>
      <c r="S180" s="384"/>
      <c r="T180" s="384"/>
      <c r="U180" s="384"/>
      <c r="V180" s="384"/>
      <c r="W180" s="384"/>
      <c r="X180" s="384"/>
      <c r="Y180" s="384"/>
      <c r="Z180" s="384"/>
      <c r="AA180" s="384"/>
      <c r="AB180" s="384"/>
      <c r="AC180" s="384"/>
      <c r="AD180" s="384"/>
      <c r="AE180" s="384"/>
      <c r="AF180" s="384"/>
      <c r="AG180" s="384"/>
      <c r="AH180" s="384"/>
      <c r="AI180" s="384"/>
      <c r="AJ180" s="384"/>
      <c r="AK180" s="384"/>
      <c r="AL180" s="384"/>
      <c r="AM180" s="384"/>
      <c r="AN180" s="384"/>
      <c r="AO180" s="384"/>
      <c r="AP180" s="384"/>
      <c r="AQ180" s="384"/>
      <c r="AR180" s="384"/>
      <c r="AS180" s="384"/>
      <c r="AT180" s="384"/>
      <c r="AU180" s="384"/>
    </row>
    <row r="181" spans="1:48" ht="16.2" customHeight="1" x14ac:dyDescent="0.3">
      <c r="A181" s="161"/>
      <c r="B181" s="382"/>
      <c r="Q181" s="384"/>
      <c r="R181" s="384"/>
      <c r="S181" s="384"/>
      <c r="T181" s="384"/>
      <c r="U181" s="384"/>
      <c r="V181" s="384"/>
      <c r="W181" s="384"/>
      <c r="X181" s="384"/>
      <c r="Y181" s="384"/>
      <c r="Z181" s="384"/>
      <c r="AA181" s="384"/>
      <c r="AB181" s="384"/>
      <c r="AC181" s="384"/>
      <c r="AD181" s="384"/>
      <c r="AE181" s="384"/>
      <c r="AF181" s="384"/>
      <c r="AG181" s="384"/>
      <c r="AH181" s="384"/>
      <c r="AI181" s="384"/>
      <c r="AJ181" s="384"/>
      <c r="AK181" s="384"/>
      <c r="AL181" s="384"/>
      <c r="AM181" s="384"/>
      <c r="AN181" s="384"/>
      <c r="AO181" s="384"/>
      <c r="AP181" s="384"/>
      <c r="AQ181" s="384"/>
      <c r="AR181" s="384"/>
      <c r="AS181" s="384"/>
      <c r="AT181" s="384"/>
      <c r="AU181" s="384"/>
    </row>
    <row r="182" spans="1:48" ht="14.55" customHeight="1" x14ac:dyDescent="0.3">
      <c r="A182" s="161"/>
      <c r="B182" s="382"/>
      <c r="Q182" s="384"/>
      <c r="R182" s="384"/>
      <c r="S182" s="384"/>
      <c r="T182" s="384"/>
      <c r="U182" s="384"/>
      <c r="V182" s="384"/>
      <c r="W182" s="384"/>
      <c r="X182" s="384"/>
      <c r="Y182" s="384"/>
      <c r="Z182" s="384"/>
      <c r="AA182" s="384"/>
      <c r="AB182" s="384"/>
      <c r="AC182" s="384"/>
      <c r="AD182" s="384"/>
      <c r="AE182" s="384"/>
      <c r="AF182" s="384"/>
      <c r="AG182" s="384"/>
      <c r="AH182" s="384"/>
      <c r="AI182" s="384"/>
      <c r="AJ182" s="384"/>
      <c r="AK182" s="384"/>
      <c r="AL182" s="384"/>
      <c r="AM182" s="384"/>
      <c r="AN182" s="384"/>
      <c r="AO182" s="384"/>
      <c r="AP182" s="384"/>
      <c r="AQ182" s="384"/>
      <c r="AR182" s="384"/>
      <c r="AS182" s="384"/>
      <c r="AT182" s="384"/>
      <c r="AU182" s="384"/>
    </row>
    <row r="183" spans="1:48" ht="14.55" customHeight="1" x14ac:dyDescent="0.3">
      <c r="A183" s="161"/>
      <c r="B183" s="382"/>
      <c r="Q183" s="384"/>
      <c r="R183" s="384"/>
      <c r="S183" s="384"/>
      <c r="T183" s="384"/>
      <c r="U183" s="384"/>
      <c r="V183" s="384"/>
      <c r="W183" s="384"/>
      <c r="X183" s="384"/>
      <c r="Y183" s="384"/>
      <c r="Z183" s="384"/>
      <c r="AA183" s="384"/>
      <c r="AB183" s="384"/>
      <c r="AC183" s="384"/>
      <c r="AD183" s="384"/>
      <c r="AE183" s="384"/>
      <c r="AF183" s="384"/>
      <c r="AG183" s="384"/>
      <c r="AH183" s="384"/>
      <c r="AI183" s="384"/>
      <c r="AJ183" s="384"/>
      <c r="AK183" s="384"/>
      <c r="AL183" s="384"/>
      <c r="AM183" s="384"/>
      <c r="AN183" s="384"/>
      <c r="AO183" s="384"/>
      <c r="AP183" s="384"/>
      <c r="AQ183" s="384"/>
      <c r="AR183" s="384"/>
      <c r="AS183" s="384"/>
      <c r="AT183" s="384"/>
      <c r="AU183" s="384"/>
    </row>
    <row r="184" spans="1:48" ht="14.55" customHeight="1" x14ac:dyDescent="0.3">
      <c r="A184" s="161"/>
    </row>
    <row r="185" spans="1:48" s="8" customFormat="1" x14ac:dyDescent="0.3">
      <c r="A185" s="161"/>
      <c r="B185" s="382"/>
      <c r="Q185" s="384"/>
      <c r="R185" s="384"/>
      <c r="S185" s="384"/>
      <c r="T185" s="384"/>
      <c r="U185" s="384"/>
      <c r="V185" s="384"/>
      <c r="W185" s="384"/>
      <c r="X185" s="384"/>
      <c r="Y185" s="384"/>
      <c r="Z185" s="384"/>
      <c r="AA185" s="384"/>
      <c r="AB185" s="384"/>
      <c r="AC185" s="384"/>
      <c r="AD185" s="384"/>
      <c r="AE185" s="384"/>
      <c r="AF185" s="384"/>
      <c r="AG185" s="384"/>
      <c r="AH185" s="384"/>
      <c r="AI185" s="384"/>
      <c r="AJ185" s="384"/>
      <c r="AK185" s="384"/>
      <c r="AL185" s="384"/>
      <c r="AM185" s="384"/>
      <c r="AN185" s="384"/>
      <c r="AO185" s="384"/>
      <c r="AP185" s="384"/>
      <c r="AQ185" s="384"/>
      <c r="AR185" s="384"/>
      <c r="AS185" s="384"/>
      <c r="AT185" s="384"/>
      <c r="AU185" s="384"/>
    </row>
    <row r="186" spans="1:48" s="8" customFormat="1" x14ac:dyDescent="0.3">
      <c r="A186" s="161"/>
      <c r="B186" s="382"/>
      <c r="Q186" s="384"/>
      <c r="R186" s="384"/>
      <c r="S186" s="384"/>
      <c r="T186" s="384"/>
      <c r="U186" s="384"/>
      <c r="V186" s="384"/>
      <c r="W186" s="384"/>
      <c r="X186" s="384"/>
      <c r="Y186" s="384"/>
      <c r="Z186" s="384"/>
      <c r="AA186" s="384"/>
      <c r="AB186" s="384"/>
      <c r="AC186" s="384"/>
      <c r="AD186" s="384"/>
      <c r="AE186" s="384"/>
      <c r="AF186" s="384"/>
      <c r="AG186" s="384"/>
      <c r="AH186" s="384"/>
      <c r="AI186" s="384"/>
      <c r="AJ186" s="384"/>
      <c r="AK186" s="384"/>
      <c r="AL186" s="384"/>
      <c r="AM186" s="384"/>
      <c r="AN186" s="384"/>
      <c r="AO186" s="384"/>
      <c r="AP186" s="384"/>
      <c r="AQ186" s="384"/>
      <c r="AR186" s="384"/>
      <c r="AS186" s="384"/>
      <c r="AT186" s="384"/>
      <c r="AU186" s="384"/>
    </row>
    <row r="187" spans="1:48" s="8" customFormat="1" x14ac:dyDescent="0.3">
      <c r="A187" s="161"/>
      <c r="B187" s="382"/>
      <c r="Q187" s="384"/>
      <c r="R187" s="384"/>
      <c r="S187" s="384"/>
      <c r="T187" s="384"/>
      <c r="U187" s="384"/>
      <c r="V187" s="384"/>
      <c r="W187" s="384"/>
      <c r="X187" s="384"/>
      <c r="Y187" s="384"/>
      <c r="Z187" s="384"/>
      <c r="AA187" s="384"/>
      <c r="AB187" s="384"/>
      <c r="AC187" s="384"/>
      <c r="AD187" s="384"/>
      <c r="AE187" s="384"/>
      <c r="AF187" s="384"/>
      <c r="AG187" s="384"/>
      <c r="AH187" s="384"/>
      <c r="AI187" s="384"/>
      <c r="AJ187" s="384"/>
      <c r="AK187" s="384"/>
      <c r="AL187" s="384"/>
      <c r="AM187" s="384"/>
      <c r="AN187" s="384"/>
      <c r="AO187" s="384"/>
      <c r="AP187" s="384"/>
      <c r="AQ187" s="384"/>
      <c r="AR187" s="384"/>
      <c r="AS187" s="384"/>
      <c r="AT187" s="384"/>
      <c r="AU187" s="384"/>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7:C7"/>
    <mergeCell ref="A3:A4"/>
    <mergeCell ref="B3:C3"/>
    <mergeCell ref="B4:C4"/>
    <mergeCell ref="B5:C5"/>
    <mergeCell ref="B6:C6"/>
    <mergeCell ref="B39:C39"/>
    <mergeCell ref="B8:C8"/>
    <mergeCell ref="B9:C9"/>
    <mergeCell ref="B16:C16"/>
    <mergeCell ref="B23:C23"/>
    <mergeCell ref="B24:C24"/>
    <mergeCell ref="B25:C25"/>
    <mergeCell ref="B30:C30"/>
    <mergeCell ref="B31:C31"/>
    <mergeCell ref="B32:C32"/>
    <mergeCell ref="B33:C33"/>
    <mergeCell ref="B38:C38"/>
    <mergeCell ref="B83:C83"/>
    <mergeCell ref="B40:C40"/>
    <mergeCell ref="B41:C41"/>
    <mergeCell ref="B45:C45"/>
    <mergeCell ref="B50:C50"/>
    <mergeCell ref="B54:C54"/>
    <mergeCell ref="B55:C55"/>
    <mergeCell ref="B59:C59"/>
    <mergeCell ref="B60:C60"/>
    <mergeCell ref="B73:C73"/>
    <mergeCell ref="B74:C74"/>
    <mergeCell ref="B78:C78"/>
    <mergeCell ref="B138:C138"/>
    <mergeCell ref="B87:C87"/>
    <mergeCell ref="B88:C88"/>
    <mergeCell ref="B92:C92"/>
    <mergeCell ref="B93:C93"/>
    <mergeCell ref="B107:C107"/>
    <mergeCell ref="B108:C108"/>
    <mergeCell ref="B110:C110"/>
    <mergeCell ref="B122:C122"/>
    <mergeCell ref="B123:C123"/>
    <mergeCell ref="B125:C125"/>
    <mergeCell ref="B132:C132"/>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72:C172"/>
    <mergeCell ref="B156:C156"/>
    <mergeCell ref="B157:C157"/>
    <mergeCell ref="B158:C158"/>
    <mergeCell ref="B162:C162"/>
    <mergeCell ref="B163:C163"/>
    <mergeCell ref="B165:C16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6EBBB-A02D-4144-9D51-8E22CEF9198C}">
  <sheetPr>
    <pageSetUpPr fitToPage="1"/>
  </sheetPr>
  <dimension ref="A1:AV67"/>
  <sheetViews>
    <sheetView showGridLines="0" zoomScaleNormal="100" workbookViewId="0">
      <pane xSplit="3" ySplit="5" topLeftCell="X6" activePane="bottomRight" state="frozen"/>
      <selection activeCell="AF38" sqref="AF38"/>
      <selection pane="topRight" activeCell="AF38" sqref="AF38"/>
      <selection pane="bottomLeft" activeCell="AF38" sqref="AF38"/>
      <selection pane="bottomRight" activeCell="Y3" sqref="Y3"/>
    </sheetView>
  </sheetViews>
  <sheetFormatPr defaultColWidth="8.88671875" defaultRowHeight="14.4" outlineLevelRow="1" outlineLevelCol="1" x14ac:dyDescent="0.3"/>
  <cols>
    <col min="1" max="1" width="2" style="2" customWidth="1"/>
    <col min="2" max="2" width="26.77734375" style="2" customWidth="1"/>
    <col min="3" max="3" width="19"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36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583" t="s">
        <v>249</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3" t="s">
        <v>451</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4" t="s">
        <v>452</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583" t="s">
        <v>211</v>
      </c>
      <c r="C5" s="584"/>
      <c r="D5" s="13"/>
      <c r="E5" s="13"/>
      <c r="F5" s="13"/>
      <c r="G5" s="258"/>
      <c r="H5" s="259"/>
      <c r="I5" s="258"/>
      <c r="J5" s="13"/>
      <c r="K5" s="13"/>
      <c r="L5" s="258"/>
      <c r="M5" s="259"/>
      <c r="N5" s="258"/>
      <c r="O5" s="13"/>
      <c r="P5" s="13"/>
      <c r="Q5" s="258"/>
      <c r="R5" s="259"/>
      <c r="S5" s="258"/>
      <c r="T5" s="13"/>
      <c r="U5" s="13"/>
      <c r="V5" s="258"/>
      <c r="W5" s="259"/>
      <c r="X5" s="258"/>
      <c r="Y5" s="258"/>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580" t="s">
        <v>212</v>
      </c>
      <c r="C6" s="581"/>
      <c r="D6" s="16">
        <f>'BS (Adjusted)'!D6-'BS (Base)'!D6</f>
        <v>0</v>
      </c>
      <c r="E6" s="16">
        <f>'BS (Adjusted)'!E6-'BS (Base)'!E6</f>
        <v>0</v>
      </c>
      <c r="F6" s="16">
        <f>'BS (Adjusted)'!F6-'BS (Base)'!F6</f>
        <v>0</v>
      </c>
      <c r="G6" s="101">
        <f>'BS (Adjusted)'!G6-'BS (Base)'!G6</f>
        <v>0</v>
      </c>
      <c r="H6" s="17">
        <f>'BS (Adjusted)'!H6-'BS (Base)'!H6</f>
        <v>0</v>
      </c>
      <c r="I6" s="16">
        <f>'BS (Adjusted)'!I6-'BS (Base)'!I6</f>
        <v>0</v>
      </c>
      <c r="J6" s="16">
        <f>'BS (Adjusted)'!J6-'BS (Base)'!J6</f>
        <v>0</v>
      </c>
      <c r="K6" s="16">
        <f>'BS (Adjusted)'!K6-'BS (Base)'!K6</f>
        <v>0</v>
      </c>
      <c r="L6" s="101">
        <f>'BS (Adjusted)'!L6-'BS (Base)'!L6</f>
        <v>0</v>
      </c>
      <c r="M6" s="17">
        <f>'BS (Adjusted)'!M6-'BS (Base)'!M6</f>
        <v>0</v>
      </c>
      <c r="N6" s="16">
        <f>'BS (Adjusted)'!N6-'BS (Base)'!N6</f>
        <v>0</v>
      </c>
      <c r="O6" s="16">
        <f>'BS (Adjusted)'!O6-'BS (Base)'!O6</f>
        <v>0</v>
      </c>
      <c r="P6" s="16">
        <f>'BS (Adjusted)'!P6-'BS (Base)'!P6</f>
        <v>0</v>
      </c>
      <c r="Q6" s="16">
        <f>'BS (Adjusted)'!Q6-'BS (Base)'!Q6</f>
        <v>0</v>
      </c>
      <c r="R6" s="17">
        <f>'BS (Adjusted)'!R6-'BS (Base)'!R6</f>
        <v>0</v>
      </c>
      <c r="S6" s="16">
        <f>'BS (Adjusted)'!S6-'BS (Base)'!S6</f>
        <v>0</v>
      </c>
      <c r="T6" s="16">
        <f>'BS (Adjusted)'!T6-'BS (Base)'!T6</f>
        <v>0</v>
      </c>
      <c r="U6" s="16">
        <f>'BS (Adjusted)'!U6-'BS (Base)'!U6</f>
        <v>0</v>
      </c>
      <c r="V6" s="16">
        <f>'BS (Adjusted)'!V6-'BS (Base)'!V6</f>
        <v>0</v>
      </c>
      <c r="W6" s="17">
        <f>'BS (Adjusted)'!W6-'BS (Base)'!W6</f>
        <v>0</v>
      </c>
      <c r="X6" s="16">
        <f>'BS (Adjusted)'!X6-'BS (Base)'!X6</f>
        <v>0</v>
      </c>
      <c r="Y6" s="16">
        <f>'BS (Adjusted)'!Y6-'BS (Base)'!Y6</f>
        <v>0</v>
      </c>
      <c r="Z6" s="16">
        <f>'BS (Adjusted)'!Z6-'BS (Base)'!Z6</f>
        <v>0</v>
      </c>
      <c r="AA6" s="16">
        <f>'BS (Adjusted)'!AA6-'BS (Base)'!AA6</f>
        <v>0</v>
      </c>
      <c r="AB6" s="17">
        <f>'BS (Adjusted)'!AB6-'BS (Base)'!AB6</f>
        <v>0</v>
      </c>
      <c r="AC6" s="16">
        <f>'BS (Adjusted)'!AC6-'BS (Base)'!AC6</f>
        <v>0</v>
      </c>
      <c r="AD6" s="16">
        <f>'BS (Adjusted)'!AD6-'BS (Base)'!AD6</f>
        <v>0</v>
      </c>
      <c r="AE6" s="16">
        <f>'BS (Adjusted)'!AE6-'BS (Base)'!AE6</f>
        <v>0</v>
      </c>
      <c r="AF6" s="16">
        <f>'BS (Adjusted)'!AF6-'BS (Base)'!AF6</f>
        <v>0</v>
      </c>
      <c r="AG6" s="17">
        <f>'BS (Adjusted)'!AG6-'BS (Base)'!AG6</f>
        <v>0</v>
      </c>
      <c r="AH6" s="16">
        <f>'BS (Adjusted)'!AH6-'BS (Base)'!AH6</f>
        <v>0</v>
      </c>
      <c r="AI6" s="16">
        <f>'BS (Adjusted)'!AI6-'BS (Base)'!AI6</f>
        <v>0</v>
      </c>
      <c r="AJ6" s="16">
        <f>'BS (Adjusted)'!AJ6-'BS (Base)'!AJ6</f>
        <v>0</v>
      </c>
      <c r="AK6" s="16">
        <f>'BS (Adjusted)'!AK6-'BS (Base)'!AK6</f>
        <v>0</v>
      </c>
      <c r="AL6" s="17">
        <f>'BS (Adjusted)'!AL6-'BS (Base)'!AL6</f>
        <v>0</v>
      </c>
      <c r="AM6" s="16">
        <f>'BS (Adjusted)'!AM6-'BS (Base)'!AM6</f>
        <v>0</v>
      </c>
      <c r="AN6" s="16">
        <f>'BS (Adjusted)'!AN6-'BS (Base)'!AN6</f>
        <v>0</v>
      </c>
      <c r="AO6" s="16">
        <f>'BS (Adjusted)'!AO6-'BS (Base)'!AO6</f>
        <v>0</v>
      </c>
      <c r="AP6" s="16">
        <f>'BS (Adjusted)'!AP6-'BS (Base)'!AP6</f>
        <v>0</v>
      </c>
      <c r="AQ6" s="17">
        <f>'BS (Adjusted)'!AQ6-'BS (Base)'!AQ6</f>
        <v>0</v>
      </c>
      <c r="AR6" s="16">
        <f>'BS (Adjusted)'!AR6-'BS (Base)'!AR6</f>
        <v>0</v>
      </c>
      <c r="AS6" s="16">
        <f>'BS (Adjusted)'!AS6-'BS (Base)'!AS6</f>
        <v>0</v>
      </c>
      <c r="AT6" s="16">
        <f>'BS (Adjusted)'!AT6-'BS (Base)'!AT6</f>
        <v>0</v>
      </c>
      <c r="AU6" s="16">
        <f>'BS (Adjusted)'!AU6-'BS (Base)'!AU6</f>
        <v>0</v>
      </c>
      <c r="AV6" s="17">
        <f>'BS (Adjusted)'!AV6-'BS (Base)'!AV6</f>
        <v>0</v>
      </c>
    </row>
    <row r="7" spans="1:48" ht="14.55" customHeight="1" outlineLevel="1" x14ac:dyDescent="0.3">
      <c r="A7" s="161"/>
      <c r="B7" s="200" t="s">
        <v>213</v>
      </c>
      <c r="C7" s="201"/>
      <c r="D7" s="16">
        <f>'BS (Adjusted)'!D7-'BS (Base)'!D7</f>
        <v>0</v>
      </c>
      <c r="E7" s="16">
        <f>'BS (Adjusted)'!E7-'BS (Base)'!E7</f>
        <v>0</v>
      </c>
      <c r="F7" s="16">
        <f>'BS (Adjusted)'!F7-'BS (Base)'!F7</f>
        <v>0</v>
      </c>
      <c r="G7" s="16">
        <f>'BS (Adjusted)'!G7-'BS (Base)'!G7</f>
        <v>0</v>
      </c>
      <c r="H7" s="17">
        <f>'BS (Adjusted)'!H7-'BS (Base)'!H7</f>
        <v>0</v>
      </c>
      <c r="I7" s="16">
        <f>'BS (Adjusted)'!I7-'BS (Base)'!I7</f>
        <v>0</v>
      </c>
      <c r="J7" s="16">
        <f>'BS (Adjusted)'!J7-'BS (Base)'!J7</f>
        <v>0</v>
      </c>
      <c r="K7" s="16">
        <f>'BS (Adjusted)'!K7-'BS (Base)'!K7</f>
        <v>0</v>
      </c>
      <c r="L7" s="16">
        <f>'BS (Adjusted)'!L7-'BS (Base)'!L7</f>
        <v>0</v>
      </c>
      <c r="M7" s="17">
        <f>'BS (Adjusted)'!M7-'BS (Base)'!M7</f>
        <v>0</v>
      </c>
      <c r="N7" s="16">
        <f>'BS (Adjusted)'!N7-'BS (Base)'!N7</f>
        <v>0</v>
      </c>
      <c r="O7" s="16">
        <f>'BS (Adjusted)'!O7-'BS (Base)'!O7</f>
        <v>0</v>
      </c>
      <c r="P7" s="16">
        <f>'BS (Adjusted)'!P7-'BS (Base)'!P7</f>
        <v>0</v>
      </c>
      <c r="Q7" s="101">
        <f>'BS (Adjusted)'!Q7-'BS (Base)'!Q7</f>
        <v>0</v>
      </c>
      <c r="R7" s="17">
        <f>'BS (Adjusted)'!R7-'BS (Base)'!R7</f>
        <v>0</v>
      </c>
      <c r="S7" s="16">
        <f>'BS (Adjusted)'!S7-'BS (Base)'!S7</f>
        <v>0</v>
      </c>
      <c r="T7" s="16">
        <f>'BS (Adjusted)'!T7-'BS (Base)'!T7</f>
        <v>0</v>
      </c>
      <c r="U7" s="16">
        <f>'BS (Adjusted)'!U7-'BS (Base)'!U7</f>
        <v>0</v>
      </c>
      <c r="V7" s="16">
        <f>'BS (Adjusted)'!V7-'BS (Base)'!V7</f>
        <v>0</v>
      </c>
      <c r="W7" s="17">
        <f>'BS (Adjusted)'!W7-'BS (Base)'!W7</f>
        <v>0</v>
      </c>
      <c r="X7" s="101">
        <f>'BS (Adjusted)'!X7-'BS (Base)'!X7</f>
        <v>0</v>
      </c>
      <c r="Y7" s="16">
        <f>'BS (Adjusted)'!Y7-'BS (Base)'!Y7</f>
        <v>0</v>
      </c>
      <c r="Z7" s="16">
        <f>'BS (Adjusted)'!Z7-'BS (Base)'!Z7</f>
        <v>0</v>
      </c>
      <c r="AA7" s="16">
        <f>'BS (Adjusted)'!AA7-'BS (Base)'!AA7</f>
        <v>0</v>
      </c>
      <c r="AB7" s="17">
        <f>'BS (Adjusted)'!AB7-'BS (Base)'!AB7</f>
        <v>0</v>
      </c>
      <c r="AC7" s="16">
        <f>'BS (Adjusted)'!AC7-'BS (Base)'!AC7</f>
        <v>0</v>
      </c>
      <c r="AD7" s="16">
        <f>'BS (Adjusted)'!AD7-'BS (Base)'!AD7</f>
        <v>0</v>
      </c>
      <c r="AE7" s="16">
        <f>'BS (Adjusted)'!AE7-'BS (Base)'!AE7</f>
        <v>0</v>
      </c>
      <c r="AF7" s="16">
        <f>'BS (Adjusted)'!AF7-'BS (Base)'!AF7</f>
        <v>0</v>
      </c>
      <c r="AG7" s="17">
        <f>'BS (Adjusted)'!AG7-'BS (Base)'!AG7</f>
        <v>0</v>
      </c>
      <c r="AH7" s="16">
        <f>'BS (Adjusted)'!AH7-'BS (Base)'!AH7</f>
        <v>0</v>
      </c>
      <c r="AI7" s="16">
        <f>'BS (Adjusted)'!AI7-'BS (Base)'!AI7</f>
        <v>0</v>
      </c>
      <c r="AJ7" s="16">
        <f>'BS (Adjusted)'!AJ7-'BS (Base)'!AJ7</f>
        <v>0</v>
      </c>
      <c r="AK7" s="16">
        <f>'BS (Adjusted)'!AK7-'BS (Base)'!AK7</f>
        <v>0</v>
      </c>
      <c r="AL7" s="17">
        <f>'BS (Adjusted)'!AL7-'BS (Base)'!AL7</f>
        <v>0</v>
      </c>
      <c r="AM7" s="16">
        <f>'BS (Adjusted)'!AM7-'BS (Base)'!AM7</f>
        <v>0</v>
      </c>
      <c r="AN7" s="16">
        <f>'BS (Adjusted)'!AN7-'BS (Base)'!AN7</f>
        <v>0</v>
      </c>
      <c r="AO7" s="16">
        <f>'BS (Adjusted)'!AO7-'BS (Base)'!AO7</f>
        <v>0</v>
      </c>
      <c r="AP7" s="16">
        <f>'BS (Adjusted)'!AP7-'BS (Base)'!AP7</f>
        <v>0</v>
      </c>
      <c r="AQ7" s="17">
        <f>'BS (Adjusted)'!AQ7-'BS (Base)'!AQ7</f>
        <v>0</v>
      </c>
      <c r="AR7" s="16">
        <f>'BS (Adjusted)'!AR7-'BS (Base)'!AR7</f>
        <v>0</v>
      </c>
      <c r="AS7" s="16">
        <f>'BS (Adjusted)'!AS7-'BS (Base)'!AS7</f>
        <v>0</v>
      </c>
      <c r="AT7" s="16">
        <f>'BS (Adjusted)'!AT7-'BS (Base)'!AT7</f>
        <v>0</v>
      </c>
      <c r="AU7" s="16">
        <f>'BS (Adjusted)'!AU7-'BS (Base)'!AU7</f>
        <v>0</v>
      </c>
      <c r="AV7" s="17">
        <f>'BS (Adjusted)'!AV7-'BS (Base)'!AV7</f>
        <v>0</v>
      </c>
    </row>
    <row r="8" spans="1:48" s="23" customFormat="1" ht="14.55" customHeight="1" outlineLevel="1" x14ac:dyDescent="0.3">
      <c r="A8" s="161"/>
      <c r="B8" s="580" t="s">
        <v>214</v>
      </c>
      <c r="C8" s="581"/>
      <c r="D8" s="16">
        <f>'BS (Adjusted)'!D8-'BS (Base)'!D8</f>
        <v>0</v>
      </c>
      <c r="E8" s="16">
        <f>'BS (Adjusted)'!E8-'BS (Base)'!E8</f>
        <v>0</v>
      </c>
      <c r="F8" s="16">
        <f>'BS (Adjusted)'!F8-'BS (Base)'!F8</f>
        <v>0</v>
      </c>
      <c r="G8" s="16">
        <f>'BS (Adjusted)'!G8-'BS (Base)'!G8</f>
        <v>0</v>
      </c>
      <c r="H8" s="17">
        <f>'BS (Adjusted)'!H8-'BS (Base)'!H8</f>
        <v>0</v>
      </c>
      <c r="I8" s="16">
        <f>'BS (Adjusted)'!I8-'BS (Base)'!I8</f>
        <v>0</v>
      </c>
      <c r="J8" s="16">
        <f>'BS (Adjusted)'!J8-'BS (Base)'!J8</f>
        <v>0</v>
      </c>
      <c r="K8" s="16">
        <f>'BS (Adjusted)'!K8-'BS (Base)'!K8</f>
        <v>0</v>
      </c>
      <c r="L8" s="16">
        <f>'BS (Adjusted)'!L8-'BS (Base)'!L8</f>
        <v>0</v>
      </c>
      <c r="M8" s="17">
        <f>'BS (Adjusted)'!M8-'BS (Base)'!M8</f>
        <v>0</v>
      </c>
      <c r="N8" s="16">
        <f>'BS (Adjusted)'!N8-'BS (Base)'!N8</f>
        <v>0</v>
      </c>
      <c r="O8" s="16">
        <f>'BS (Adjusted)'!O8-'BS (Base)'!O8</f>
        <v>0</v>
      </c>
      <c r="P8" s="16">
        <f>'BS (Adjusted)'!P8-'BS (Base)'!P8</f>
        <v>0</v>
      </c>
      <c r="Q8" s="101">
        <f>'BS (Adjusted)'!Q8-'BS (Base)'!Q8</f>
        <v>0</v>
      </c>
      <c r="R8" s="17">
        <f>'BS (Adjusted)'!R8-'BS (Base)'!R8</f>
        <v>0</v>
      </c>
      <c r="S8" s="16">
        <f>'BS (Adjusted)'!S8-'BS (Base)'!S8</f>
        <v>0</v>
      </c>
      <c r="T8" s="16">
        <f>'BS (Adjusted)'!T8-'BS (Base)'!T8</f>
        <v>0</v>
      </c>
      <c r="U8" s="16">
        <f>'BS (Adjusted)'!U8-'BS (Base)'!U8</f>
        <v>0</v>
      </c>
      <c r="V8" s="16">
        <f>'BS (Adjusted)'!V8-'BS (Base)'!V8</f>
        <v>0</v>
      </c>
      <c r="W8" s="17">
        <f>'BS (Adjusted)'!W8-'BS (Base)'!W8</f>
        <v>0</v>
      </c>
      <c r="X8" s="101">
        <f>'BS (Adjusted)'!X8-'BS (Base)'!X8</f>
        <v>0</v>
      </c>
      <c r="Y8" s="16">
        <f>'BS (Adjusted)'!Y8-'BS (Base)'!Y8</f>
        <v>0</v>
      </c>
      <c r="Z8" s="16">
        <f>'BS (Adjusted)'!Z8-'BS (Base)'!Z8</f>
        <v>0</v>
      </c>
      <c r="AA8" s="16">
        <f>'BS (Adjusted)'!AA8-'BS (Base)'!AA8</f>
        <v>0</v>
      </c>
      <c r="AB8" s="17">
        <f>'BS (Adjusted)'!AB8-'BS (Base)'!AB8</f>
        <v>0</v>
      </c>
      <c r="AC8" s="16">
        <f>'BS (Adjusted)'!AC8-'BS (Base)'!AC8</f>
        <v>0</v>
      </c>
      <c r="AD8" s="16">
        <f>'BS (Adjusted)'!AD8-'BS (Base)'!AD8</f>
        <v>0</v>
      </c>
      <c r="AE8" s="16">
        <f>'BS (Adjusted)'!AE8-'BS (Base)'!AE8</f>
        <v>0</v>
      </c>
      <c r="AF8" s="16">
        <f>'BS (Adjusted)'!AF8-'BS (Base)'!AF8</f>
        <v>0</v>
      </c>
      <c r="AG8" s="17">
        <f>'BS (Adjusted)'!AG8-'BS (Base)'!AG8</f>
        <v>0</v>
      </c>
      <c r="AH8" s="16">
        <f>'BS (Adjusted)'!AH8-'BS (Base)'!AH8</f>
        <v>0</v>
      </c>
      <c r="AI8" s="16">
        <f>'BS (Adjusted)'!AI8-'BS (Base)'!AI8</f>
        <v>0</v>
      </c>
      <c r="AJ8" s="16">
        <f>'BS (Adjusted)'!AJ8-'BS (Base)'!AJ8</f>
        <v>0</v>
      </c>
      <c r="AK8" s="16">
        <f>'BS (Adjusted)'!AK8-'BS (Base)'!AK8</f>
        <v>0</v>
      </c>
      <c r="AL8" s="17">
        <f>'BS (Adjusted)'!AL8-'BS (Base)'!AL8</f>
        <v>0</v>
      </c>
      <c r="AM8" s="16">
        <f>'BS (Adjusted)'!AM8-'BS (Base)'!AM8</f>
        <v>0</v>
      </c>
      <c r="AN8" s="16">
        <f>'BS (Adjusted)'!AN8-'BS (Base)'!AN8</f>
        <v>0</v>
      </c>
      <c r="AO8" s="16">
        <f>'BS (Adjusted)'!AO8-'BS (Base)'!AO8</f>
        <v>0</v>
      </c>
      <c r="AP8" s="16">
        <f>'BS (Adjusted)'!AP8-'BS (Base)'!AP8</f>
        <v>0</v>
      </c>
      <c r="AQ8" s="17">
        <f>'BS (Adjusted)'!AQ8-'BS (Base)'!AQ8</f>
        <v>0</v>
      </c>
      <c r="AR8" s="16">
        <f>'BS (Adjusted)'!AR8-'BS (Base)'!AR8</f>
        <v>0</v>
      </c>
      <c r="AS8" s="16">
        <f>'BS (Adjusted)'!AS8-'BS (Base)'!AS8</f>
        <v>0</v>
      </c>
      <c r="AT8" s="16">
        <f>'BS (Adjusted)'!AT8-'BS (Base)'!AT8</f>
        <v>0</v>
      </c>
      <c r="AU8" s="16">
        <f>'BS (Adjusted)'!AU8-'BS (Base)'!AU8</f>
        <v>0</v>
      </c>
      <c r="AV8" s="17">
        <f>'BS (Adjusted)'!AV8-'BS (Base)'!AV8</f>
        <v>0</v>
      </c>
    </row>
    <row r="9" spans="1:48" s="23" customFormat="1" ht="14.55" customHeight="1" outlineLevel="1" x14ac:dyDescent="0.3">
      <c r="A9" s="161"/>
      <c r="B9" s="200" t="s">
        <v>215</v>
      </c>
      <c r="C9" s="201"/>
      <c r="D9" s="16">
        <f>'BS (Adjusted)'!D9-'BS (Base)'!D9</f>
        <v>0</v>
      </c>
      <c r="E9" s="16">
        <f>'BS (Adjusted)'!E9-'BS (Base)'!E9</f>
        <v>0</v>
      </c>
      <c r="F9" s="16">
        <f>'BS (Adjusted)'!F9-'BS (Base)'!F9</f>
        <v>0</v>
      </c>
      <c r="G9" s="16">
        <f>'BS (Adjusted)'!G9-'BS (Base)'!G9</f>
        <v>0</v>
      </c>
      <c r="H9" s="17">
        <f>'BS (Adjusted)'!H9-'BS (Base)'!H9</f>
        <v>0</v>
      </c>
      <c r="I9" s="16">
        <f>'BS (Adjusted)'!I9-'BS (Base)'!I9</f>
        <v>0</v>
      </c>
      <c r="J9" s="16">
        <f>'BS (Adjusted)'!J9-'BS (Base)'!J9</f>
        <v>0</v>
      </c>
      <c r="K9" s="16">
        <f>'BS (Adjusted)'!K9-'BS (Base)'!K9</f>
        <v>0</v>
      </c>
      <c r="L9" s="16">
        <f>'BS (Adjusted)'!L9-'BS (Base)'!L9</f>
        <v>0</v>
      </c>
      <c r="M9" s="17">
        <f>'BS (Adjusted)'!M9-'BS (Base)'!M9</f>
        <v>0</v>
      </c>
      <c r="N9" s="16">
        <f>'BS (Adjusted)'!N9-'BS (Base)'!N9</f>
        <v>0</v>
      </c>
      <c r="O9" s="16">
        <f>'BS (Adjusted)'!O9-'BS (Base)'!O9</f>
        <v>0</v>
      </c>
      <c r="P9" s="16">
        <f>'BS (Adjusted)'!P9-'BS (Base)'!P9</f>
        <v>0</v>
      </c>
      <c r="Q9" s="101">
        <f>'BS (Adjusted)'!Q9-'BS (Base)'!Q9</f>
        <v>0</v>
      </c>
      <c r="R9" s="17">
        <f>'BS (Adjusted)'!R9-'BS (Base)'!R9</f>
        <v>0</v>
      </c>
      <c r="S9" s="16">
        <f>'BS (Adjusted)'!S9-'BS (Base)'!S9</f>
        <v>0</v>
      </c>
      <c r="T9" s="16">
        <f>'BS (Adjusted)'!T9-'BS (Base)'!T9</f>
        <v>0</v>
      </c>
      <c r="U9" s="16">
        <f>'BS (Adjusted)'!U9-'BS (Base)'!U9</f>
        <v>0</v>
      </c>
      <c r="V9" s="16">
        <f>'BS (Adjusted)'!V9-'BS (Base)'!V9</f>
        <v>0</v>
      </c>
      <c r="W9" s="17">
        <f>'BS (Adjusted)'!W9-'BS (Base)'!W9</f>
        <v>0</v>
      </c>
      <c r="X9" s="101">
        <f>'BS (Adjusted)'!X9-'BS (Base)'!X9</f>
        <v>0</v>
      </c>
      <c r="Y9" s="16">
        <f>'BS (Adjusted)'!Y9-'BS (Base)'!Y9</f>
        <v>0</v>
      </c>
      <c r="Z9" s="16">
        <f>'BS (Adjusted)'!Z9-'BS (Base)'!Z9</f>
        <v>0</v>
      </c>
      <c r="AA9" s="16">
        <f>'BS (Adjusted)'!AA9-'BS (Base)'!AA9</f>
        <v>0</v>
      </c>
      <c r="AB9" s="17">
        <f>'BS (Adjusted)'!AB9-'BS (Base)'!AB9</f>
        <v>0</v>
      </c>
      <c r="AC9" s="16">
        <f>'BS (Adjusted)'!AC9-'BS (Base)'!AC9</f>
        <v>0</v>
      </c>
      <c r="AD9" s="16">
        <f>'BS (Adjusted)'!AD9-'BS (Base)'!AD9</f>
        <v>0</v>
      </c>
      <c r="AE9" s="16">
        <f>'BS (Adjusted)'!AE9-'BS (Base)'!AE9</f>
        <v>0</v>
      </c>
      <c r="AF9" s="16">
        <f>'BS (Adjusted)'!AF9-'BS (Base)'!AF9</f>
        <v>0</v>
      </c>
      <c r="AG9" s="17">
        <f>'BS (Adjusted)'!AG9-'BS (Base)'!AG9</f>
        <v>0</v>
      </c>
      <c r="AH9" s="16">
        <f>'BS (Adjusted)'!AH9-'BS (Base)'!AH9</f>
        <v>0</v>
      </c>
      <c r="AI9" s="16">
        <f>'BS (Adjusted)'!AI9-'BS (Base)'!AI9</f>
        <v>0</v>
      </c>
      <c r="AJ9" s="16">
        <f>'BS (Adjusted)'!AJ9-'BS (Base)'!AJ9</f>
        <v>0</v>
      </c>
      <c r="AK9" s="16">
        <f>'BS (Adjusted)'!AK9-'BS (Base)'!AK9</f>
        <v>0</v>
      </c>
      <c r="AL9" s="17">
        <f>'BS (Adjusted)'!AL9-'BS (Base)'!AL9</f>
        <v>0</v>
      </c>
      <c r="AM9" s="16">
        <f>'BS (Adjusted)'!AM9-'BS (Base)'!AM9</f>
        <v>0</v>
      </c>
      <c r="AN9" s="16">
        <f>'BS (Adjusted)'!AN9-'BS (Base)'!AN9</f>
        <v>0</v>
      </c>
      <c r="AO9" s="16">
        <f>'BS (Adjusted)'!AO9-'BS (Base)'!AO9</f>
        <v>0</v>
      </c>
      <c r="AP9" s="16">
        <f>'BS (Adjusted)'!AP9-'BS (Base)'!AP9</f>
        <v>0</v>
      </c>
      <c r="AQ9" s="17">
        <f>'BS (Adjusted)'!AQ9-'BS (Base)'!AQ9</f>
        <v>0</v>
      </c>
      <c r="AR9" s="16">
        <f>'BS (Adjusted)'!AR9-'BS (Base)'!AR9</f>
        <v>0</v>
      </c>
      <c r="AS9" s="16">
        <f>'BS (Adjusted)'!AS9-'BS (Base)'!AS9</f>
        <v>0</v>
      </c>
      <c r="AT9" s="16">
        <f>'BS (Adjusted)'!AT9-'BS (Base)'!AT9</f>
        <v>0</v>
      </c>
      <c r="AU9" s="16">
        <f>'BS (Adjusted)'!AU9-'BS (Base)'!AU9</f>
        <v>0</v>
      </c>
      <c r="AV9" s="17">
        <f>'BS (Adjusted)'!AV9-'BS (Base)'!AV9</f>
        <v>0</v>
      </c>
    </row>
    <row r="10" spans="1:48" ht="16.2" customHeight="1" outlineLevel="1" x14ac:dyDescent="0.45">
      <c r="A10" s="161"/>
      <c r="B10" s="580" t="s">
        <v>216</v>
      </c>
      <c r="C10" s="581"/>
      <c r="D10" s="260">
        <f>'BS (Adjusted)'!D10-'BS (Base)'!D10</f>
        <v>0</v>
      </c>
      <c r="E10" s="112">
        <f>'BS (Adjusted)'!E10-'BS (Base)'!E10</f>
        <v>0</v>
      </c>
      <c r="F10" s="112">
        <f>'BS (Adjusted)'!F10-'BS (Base)'!F10</f>
        <v>0</v>
      </c>
      <c r="G10" s="112">
        <f>'BS (Adjusted)'!G10-'BS (Base)'!G10</f>
        <v>0</v>
      </c>
      <c r="H10" s="261">
        <f>'BS (Adjusted)'!H10-'BS (Base)'!H10</f>
        <v>0</v>
      </c>
      <c r="I10" s="112">
        <f>'BS (Adjusted)'!I10-'BS (Base)'!I10</f>
        <v>0</v>
      </c>
      <c r="J10" s="112">
        <f>'BS (Adjusted)'!J10-'BS (Base)'!J10</f>
        <v>0</v>
      </c>
      <c r="K10" s="112">
        <f>'BS (Adjusted)'!K10-'BS (Base)'!K10</f>
        <v>0</v>
      </c>
      <c r="L10" s="112">
        <f>'BS (Adjusted)'!L10-'BS (Base)'!L10</f>
        <v>0</v>
      </c>
      <c r="M10" s="261">
        <f>'BS (Adjusted)'!M10-'BS (Base)'!M10</f>
        <v>0</v>
      </c>
      <c r="N10" s="112">
        <f>'BS (Adjusted)'!N10-'BS (Base)'!N10</f>
        <v>0</v>
      </c>
      <c r="O10" s="112">
        <f>'BS (Adjusted)'!O10-'BS (Base)'!O10</f>
        <v>0</v>
      </c>
      <c r="P10" s="112">
        <f>'BS (Adjusted)'!P10-'BS (Base)'!P10</f>
        <v>0</v>
      </c>
      <c r="Q10" s="112">
        <f>'BS (Adjusted)'!Q10-'BS (Base)'!Q10</f>
        <v>0</v>
      </c>
      <c r="R10" s="261">
        <f>'BS (Adjusted)'!R10-'BS (Base)'!R10</f>
        <v>0</v>
      </c>
      <c r="S10" s="112">
        <f>'BS (Adjusted)'!S10-'BS (Base)'!S10</f>
        <v>0</v>
      </c>
      <c r="T10" s="112">
        <f>'BS (Adjusted)'!T10-'BS (Base)'!T10</f>
        <v>0</v>
      </c>
      <c r="U10" s="112">
        <f>'BS (Adjusted)'!U10-'BS (Base)'!U10</f>
        <v>0</v>
      </c>
      <c r="V10" s="112">
        <f>'BS (Adjusted)'!V10-'BS (Base)'!V10</f>
        <v>0</v>
      </c>
      <c r="W10" s="261">
        <f>'BS (Adjusted)'!W10-'BS (Base)'!W10</f>
        <v>0</v>
      </c>
      <c r="X10" s="112">
        <f>'BS (Adjusted)'!X10-'BS (Base)'!X10</f>
        <v>0</v>
      </c>
      <c r="Y10" s="32">
        <f>'BS (Adjusted)'!Y10-'BS (Base)'!Y10</f>
        <v>0</v>
      </c>
      <c r="Z10" s="32">
        <f>'BS (Adjusted)'!Z10-'BS (Base)'!Z10</f>
        <v>0</v>
      </c>
      <c r="AA10" s="32">
        <f>'BS (Adjusted)'!AA10-'BS (Base)'!AA10</f>
        <v>0</v>
      </c>
      <c r="AB10" s="261">
        <f>'BS (Adjusted)'!AB10-'BS (Base)'!AB10</f>
        <v>0</v>
      </c>
      <c r="AC10" s="32">
        <f>'BS (Adjusted)'!AC10-'BS (Base)'!AC10</f>
        <v>0</v>
      </c>
      <c r="AD10" s="32">
        <f>'BS (Adjusted)'!AD10-'BS (Base)'!AD10</f>
        <v>0</v>
      </c>
      <c r="AE10" s="32">
        <f>'BS (Adjusted)'!AE10-'BS (Base)'!AE10</f>
        <v>0</v>
      </c>
      <c r="AF10" s="32">
        <f>'BS (Adjusted)'!AF10-'BS (Base)'!AF10</f>
        <v>0</v>
      </c>
      <c r="AG10" s="261">
        <f>'BS (Adjusted)'!AG10-'BS (Base)'!AG10</f>
        <v>0</v>
      </c>
      <c r="AH10" s="32">
        <f>'BS (Adjusted)'!AH10-'BS (Base)'!AH10</f>
        <v>0</v>
      </c>
      <c r="AI10" s="32">
        <f>'BS (Adjusted)'!AI10-'BS (Base)'!AI10</f>
        <v>0</v>
      </c>
      <c r="AJ10" s="32">
        <f>'BS (Adjusted)'!AJ10-'BS (Base)'!AJ10</f>
        <v>0</v>
      </c>
      <c r="AK10" s="32">
        <f>'BS (Adjusted)'!AK10-'BS (Base)'!AK10</f>
        <v>0</v>
      </c>
      <c r="AL10" s="261">
        <f>'BS (Adjusted)'!AL10-'BS (Base)'!AL10</f>
        <v>0</v>
      </c>
      <c r="AM10" s="32">
        <f>'BS (Adjusted)'!AM10-'BS (Base)'!AM10</f>
        <v>0</v>
      </c>
      <c r="AN10" s="32">
        <f>'BS (Adjusted)'!AN10-'BS (Base)'!AN10</f>
        <v>0</v>
      </c>
      <c r="AO10" s="32">
        <f>'BS (Adjusted)'!AO10-'BS (Base)'!AO10</f>
        <v>0</v>
      </c>
      <c r="AP10" s="32">
        <f>'BS (Adjusted)'!AP10-'BS (Base)'!AP10</f>
        <v>0</v>
      </c>
      <c r="AQ10" s="261">
        <f>'BS (Adjusted)'!AQ10-'BS (Base)'!AQ10</f>
        <v>0</v>
      </c>
      <c r="AR10" s="32">
        <f>'BS (Adjusted)'!AR10-'BS (Base)'!AR10</f>
        <v>0</v>
      </c>
      <c r="AS10" s="32">
        <f>'BS (Adjusted)'!AS10-'BS (Base)'!AS10</f>
        <v>0</v>
      </c>
      <c r="AT10" s="32">
        <f>'BS (Adjusted)'!AT10-'BS (Base)'!AT10</f>
        <v>0</v>
      </c>
      <c r="AU10" s="32">
        <f>'BS (Adjusted)'!AU10-'BS (Base)'!AU10</f>
        <v>0</v>
      </c>
      <c r="AV10" s="261">
        <f>'BS (Adjusted)'!AV10-'BS (Base)'!AV10</f>
        <v>0</v>
      </c>
    </row>
    <row r="11" spans="1:48" ht="14.55" customHeight="1" outlineLevel="1" x14ac:dyDescent="0.3">
      <c r="A11" s="161"/>
      <c r="B11" s="205" t="s">
        <v>217</v>
      </c>
      <c r="C11" s="206"/>
      <c r="D11" s="21">
        <f>'BS (Adjusted)'!D11-'BS (Base)'!D11</f>
        <v>0</v>
      </c>
      <c r="E11" s="21">
        <f>'BS (Adjusted)'!E11-'BS (Base)'!E11</f>
        <v>0</v>
      </c>
      <c r="F11" s="21">
        <f>'BS (Adjusted)'!F11-'BS (Base)'!F11</f>
        <v>0</v>
      </c>
      <c r="G11" s="21">
        <f>'BS (Adjusted)'!G11-'BS (Base)'!G11</f>
        <v>0</v>
      </c>
      <c r="H11" s="22">
        <f>'BS (Adjusted)'!H11-'BS (Base)'!H11</f>
        <v>0</v>
      </c>
      <c r="I11" s="21">
        <f>'BS (Adjusted)'!I11-'BS (Base)'!I11</f>
        <v>0</v>
      </c>
      <c r="J11" s="21">
        <f>'BS (Adjusted)'!J11-'BS (Base)'!J11</f>
        <v>0</v>
      </c>
      <c r="K11" s="21">
        <f>'BS (Adjusted)'!K11-'BS (Base)'!K11</f>
        <v>0</v>
      </c>
      <c r="L11" s="116">
        <f>'BS (Adjusted)'!L11-'BS (Base)'!L11</f>
        <v>0</v>
      </c>
      <c r="M11" s="22">
        <f>'BS (Adjusted)'!M11-'BS (Base)'!M11</f>
        <v>0</v>
      </c>
      <c r="N11" s="21">
        <f>'BS (Adjusted)'!N11-'BS (Base)'!N11</f>
        <v>0</v>
      </c>
      <c r="O11" s="21">
        <f>'BS (Adjusted)'!O11-'BS (Base)'!O11</f>
        <v>0</v>
      </c>
      <c r="P11" s="21">
        <f>'BS (Adjusted)'!P11-'BS (Base)'!P11</f>
        <v>0</v>
      </c>
      <c r="Q11" s="116">
        <f>'BS (Adjusted)'!Q11-'BS (Base)'!Q11</f>
        <v>0</v>
      </c>
      <c r="R11" s="22">
        <f>'BS (Adjusted)'!R11-'BS (Base)'!R11</f>
        <v>0</v>
      </c>
      <c r="S11" s="21">
        <f>'BS (Adjusted)'!S11-'BS (Base)'!S11</f>
        <v>0</v>
      </c>
      <c r="T11" s="21">
        <f>'BS (Adjusted)'!T11-'BS (Base)'!T11</f>
        <v>0</v>
      </c>
      <c r="U11" s="21">
        <f>'BS (Adjusted)'!U11-'BS (Base)'!U11</f>
        <v>0</v>
      </c>
      <c r="V11" s="116">
        <f>'BS (Adjusted)'!V11-'BS (Base)'!V11</f>
        <v>0</v>
      </c>
      <c r="W11" s="22">
        <f>'BS (Adjusted)'!W11-'BS (Base)'!W11</f>
        <v>0</v>
      </c>
      <c r="X11" s="116">
        <f>'BS (Adjusted)'!X11-'BS (Base)'!X11</f>
        <v>0</v>
      </c>
      <c r="Y11" s="21">
        <f>'BS (Adjusted)'!Y11-'BS (Base)'!Y11</f>
        <v>0</v>
      </c>
      <c r="Z11" s="21">
        <f>'BS (Adjusted)'!Z11-'BS (Base)'!Z11</f>
        <v>0</v>
      </c>
      <c r="AA11" s="21">
        <f>'BS (Adjusted)'!AA11-'BS (Base)'!AA11</f>
        <v>0</v>
      </c>
      <c r="AB11" s="22">
        <f>'BS (Adjusted)'!AB11-'BS (Base)'!AB11</f>
        <v>0</v>
      </c>
      <c r="AC11" s="21">
        <f>'BS (Adjusted)'!AC11-'BS (Base)'!AC11</f>
        <v>0</v>
      </c>
      <c r="AD11" s="21">
        <f>'BS (Adjusted)'!AD11-'BS (Base)'!AD11</f>
        <v>0</v>
      </c>
      <c r="AE11" s="21">
        <f>'BS (Adjusted)'!AE11-'BS (Base)'!AE11</f>
        <v>0</v>
      </c>
      <c r="AF11" s="21">
        <f>'BS (Adjusted)'!AF11-'BS (Base)'!AF11</f>
        <v>0</v>
      </c>
      <c r="AG11" s="22">
        <f>'BS (Adjusted)'!AG11-'BS (Base)'!AG11</f>
        <v>0</v>
      </c>
      <c r="AH11" s="21">
        <f>'BS (Adjusted)'!AH11-'BS (Base)'!AH11</f>
        <v>0</v>
      </c>
      <c r="AI11" s="21">
        <f>'BS (Adjusted)'!AI11-'BS (Base)'!AI11</f>
        <v>0</v>
      </c>
      <c r="AJ11" s="21">
        <f>'BS (Adjusted)'!AJ11-'BS (Base)'!AJ11</f>
        <v>0</v>
      </c>
      <c r="AK11" s="21">
        <f>'BS (Adjusted)'!AK11-'BS (Base)'!AK11</f>
        <v>0</v>
      </c>
      <c r="AL11" s="22">
        <f>'BS (Adjusted)'!AL11-'BS (Base)'!AL11</f>
        <v>0</v>
      </c>
      <c r="AM11" s="21">
        <f>'BS (Adjusted)'!AM11-'BS (Base)'!AM11</f>
        <v>0</v>
      </c>
      <c r="AN11" s="21">
        <f>'BS (Adjusted)'!AN11-'BS (Base)'!AN11</f>
        <v>0</v>
      </c>
      <c r="AO11" s="21">
        <f>'BS (Adjusted)'!AO11-'BS (Base)'!AO11</f>
        <v>0</v>
      </c>
      <c r="AP11" s="21">
        <f>'BS (Adjusted)'!AP11-'BS (Base)'!AP11</f>
        <v>0</v>
      </c>
      <c r="AQ11" s="22">
        <f>'BS (Adjusted)'!AQ11-'BS (Base)'!AQ11</f>
        <v>0</v>
      </c>
      <c r="AR11" s="21">
        <f>'BS (Adjusted)'!AR11-'BS (Base)'!AR11</f>
        <v>0</v>
      </c>
      <c r="AS11" s="21">
        <f>'BS (Adjusted)'!AS11-'BS (Base)'!AS11</f>
        <v>0</v>
      </c>
      <c r="AT11" s="21">
        <f>'BS (Adjusted)'!AT11-'BS (Base)'!AT11</f>
        <v>0</v>
      </c>
      <c r="AU11" s="21">
        <f>'BS (Adjusted)'!AU11-'BS (Base)'!AU11</f>
        <v>0</v>
      </c>
      <c r="AV11" s="22">
        <f>'BS (Adjusted)'!AV11-'BS (Base)'!AV11</f>
        <v>0</v>
      </c>
    </row>
    <row r="12" spans="1:48" ht="14.55" customHeight="1" outlineLevel="1" x14ac:dyDescent="0.3">
      <c r="A12" s="161"/>
      <c r="B12" s="200" t="s">
        <v>218</v>
      </c>
      <c r="C12" s="207"/>
      <c r="D12" s="16">
        <f>'BS (Adjusted)'!D12-'BS (Base)'!D12</f>
        <v>0</v>
      </c>
      <c r="E12" s="16">
        <f>'BS (Adjusted)'!E12-'BS (Base)'!E12</f>
        <v>0</v>
      </c>
      <c r="F12" s="16">
        <f>'BS (Adjusted)'!F12-'BS (Base)'!F12</f>
        <v>0</v>
      </c>
      <c r="G12" s="16">
        <f>'BS (Adjusted)'!G12-'BS (Base)'!G12</f>
        <v>0</v>
      </c>
      <c r="H12" s="17">
        <f>'BS (Adjusted)'!H12-'BS (Base)'!H12</f>
        <v>0</v>
      </c>
      <c r="I12" s="16">
        <f>'BS (Adjusted)'!I12-'BS (Base)'!I12</f>
        <v>0</v>
      </c>
      <c r="J12" s="16">
        <f>'BS (Adjusted)'!J12-'BS (Base)'!J12</f>
        <v>0</v>
      </c>
      <c r="K12" s="16">
        <f>'BS (Adjusted)'!K12-'BS (Base)'!K12</f>
        <v>0</v>
      </c>
      <c r="L12" s="101">
        <f>'BS (Adjusted)'!L12-'BS (Base)'!L12</f>
        <v>0</v>
      </c>
      <c r="M12" s="17">
        <f>'BS (Adjusted)'!M12-'BS (Base)'!M12</f>
        <v>0</v>
      </c>
      <c r="N12" s="16">
        <f>'BS (Adjusted)'!N12-'BS (Base)'!N12</f>
        <v>0</v>
      </c>
      <c r="O12" s="16">
        <f>'BS (Adjusted)'!O12-'BS (Base)'!O12</f>
        <v>0</v>
      </c>
      <c r="P12" s="16">
        <f>'BS (Adjusted)'!P12-'BS (Base)'!P12</f>
        <v>0</v>
      </c>
      <c r="Q12" s="101">
        <f>'BS (Adjusted)'!Q12-'BS (Base)'!Q12</f>
        <v>0</v>
      </c>
      <c r="R12" s="17">
        <f>'BS (Adjusted)'!R12-'BS (Base)'!R12</f>
        <v>0</v>
      </c>
      <c r="S12" s="16">
        <f>'BS (Adjusted)'!S12-'BS (Base)'!S12</f>
        <v>0</v>
      </c>
      <c r="T12" s="16">
        <f>'BS (Adjusted)'!T12-'BS (Base)'!T12</f>
        <v>0</v>
      </c>
      <c r="U12" s="16">
        <f>'BS (Adjusted)'!U12-'BS (Base)'!U12</f>
        <v>0</v>
      </c>
      <c r="V12" s="101">
        <f>'BS (Adjusted)'!V12-'BS (Base)'!V12</f>
        <v>0</v>
      </c>
      <c r="W12" s="17">
        <f>'BS (Adjusted)'!W12-'BS (Base)'!W12</f>
        <v>0</v>
      </c>
      <c r="X12" s="101">
        <f>'BS (Adjusted)'!X12-'BS (Base)'!X12</f>
        <v>0</v>
      </c>
      <c r="Y12" s="16">
        <f>'BS (Adjusted)'!Y12-'BS (Base)'!Y12</f>
        <v>0</v>
      </c>
      <c r="Z12" s="16">
        <f>'BS (Adjusted)'!Z12-'BS (Base)'!Z12</f>
        <v>0</v>
      </c>
      <c r="AA12" s="16">
        <f>'BS (Adjusted)'!AA12-'BS (Base)'!AA12</f>
        <v>0</v>
      </c>
      <c r="AB12" s="17">
        <f>'BS (Adjusted)'!AB12-'BS (Base)'!AB12</f>
        <v>0</v>
      </c>
      <c r="AC12" s="16">
        <f>'BS (Adjusted)'!AC12-'BS (Base)'!AC12</f>
        <v>0</v>
      </c>
      <c r="AD12" s="16">
        <f>'BS (Adjusted)'!AD12-'BS (Base)'!AD12</f>
        <v>0</v>
      </c>
      <c r="AE12" s="16">
        <f>'BS (Adjusted)'!AE12-'BS (Base)'!AE12</f>
        <v>0</v>
      </c>
      <c r="AF12" s="16">
        <f>'BS (Adjusted)'!AF12-'BS (Base)'!AF12</f>
        <v>0</v>
      </c>
      <c r="AG12" s="17">
        <f>'BS (Adjusted)'!AG12-'BS (Base)'!AG12</f>
        <v>0</v>
      </c>
      <c r="AH12" s="16">
        <f>'BS (Adjusted)'!AH12-'BS (Base)'!AH12</f>
        <v>0</v>
      </c>
      <c r="AI12" s="16">
        <f>'BS (Adjusted)'!AI12-'BS (Base)'!AI12</f>
        <v>0</v>
      </c>
      <c r="AJ12" s="16">
        <f>'BS (Adjusted)'!AJ12-'BS (Base)'!AJ12</f>
        <v>0</v>
      </c>
      <c r="AK12" s="16">
        <f>'BS (Adjusted)'!AK12-'BS (Base)'!AK12</f>
        <v>0</v>
      </c>
      <c r="AL12" s="17">
        <f>'BS (Adjusted)'!AL12-'BS (Base)'!AL12</f>
        <v>0</v>
      </c>
      <c r="AM12" s="16">
        <f>'BS (Adjusted)'!AM12-'BS (Base)'!AM12</f>
        <v>0</v>
      </c>
      <c r="AN12" s="16">
        <f>'BS (Adjusted)'!AN12-'BS (Base)'!AN12</f>
        <v>0</v>
      </c>
      <c r="AO12" s="16">
        <f>'BS (Adjusted)'!AO12-'BS (Base)'!AO12</f>
        <v>0</v>
      </c>
      <c r="AP12" s="16">
        <f>'BS (Adjusted)'!AP12-'BS (Base)'!AP12</f>
        <v>0</v>
      </c>
      <c r="AQ12" s="17">
        <f>'BS (Adjusted)'!AQ12-'BS (Base)'!AQ12</f>
        <v>0</v>
      </c>
      <c r="AR12" s="16">
        <f>'BS (Adjusted)'!AR12-'BS (Base)'!AR12</f>
        <v>0</v>
      </c>
      <c r="AS12" s="16">
        <f>'BS (Adjusted)'!AS12-'BS (Base)'!AS12</f>
        <v>0</v>
      </c>
      <c r="AT12" s="16">
        <f>'BS (Adjusted)'!AT12-'BS (Base)'!AT12</f>
        <v>0</v>
      </c>
      <c r="AU12" s="16">
        <f>'BS (Adjusted)'!AU12-'BS (Base)'!AU12</f>
        <v>0</v>
      </c>
      <c r="AV12" s="17">
        <f>'BS (Adjusted)'!AV12-'BS (Base)'!AV12</f>
        <v>0</v>
      </c>
    </row>
    <row r="13" spans="1:48" ht="14.55" customHeight="1" outlineLevel="1" x14ac:dyDescent="0.3">
      <c r="A13" s="161"/>
      <c r="B13" s="200" t="s">
        <v>219</v>
      </c>
      <c r="C13" s="207"/>
      <c r="D13" s="16">
        <f>'BS (Adjusted)'!D13-'BS (Base)'!D13</f>
        <v>0</v>
      </c>
      <c r="E13" s="16">
        <f>'BS (Adjusted)'!E13-'BS (Base)'!E13</f>
        <v>0</v>
      </c>
      <c r="F13" s="16">
        <f>'BS (Adjusted)'!F13-'BS (Base)'!F13</f>
        <v>0</v>
      </c>
      <c r="G13" s="16">
        <f>'BS (Adjusted)'!G13-'BS (Base)'!G13</f>
        <v>0</v>
      </c>
      <c r="H13" s="17">
        <f>'BS (Adjusted)'!H13-'BS (Base)'!H13</f>
        <v>0</v>
      </c>
      <c r="I13" s="16">
        <f>'BS (Adjusted)'!I13-'BS (Base)'!I13</f>
        <v>0</v>
      </c>
      <c r="J13" s="16">
        <f>'BS (Adjusted)'!J13-'BS (Base)'!J13</f>
        <v>0</v>
      </c>
      <c r="K13" s="16">
        <f>'BS (Adjusted)'!K13-'BS (Base)'!K13</f>
        <v>0</v>
      </c>
      <c r="L13" s="101">
        <f>'BS (Adjusted)'!L13-'BS (Base)'!L13</f>
        <v>0</v>
      </c>
      <c r="M13" s="17">
        <f>'BS (Adjusted)'!M13-'BS (Base)'!M13</f>
        <v>0</v>
      </c>
      <c r="N13" s="16">
        <f>'BS (Adjusted)'!N13-'BS (Base)'!N13</f>
        <v>0</v>
      </c>
      <c r="O13" s="16">
        <f>'BS (Adjusted)'!O13-'BS (Base)'!O13</f>
        <v>0</v>
      </c>
      <c r="P13" s="16">
        <f>'BS (Adjusted)'!P13-'BS (Base)'!P13</f>
        <v>0</v>
      </c>
      <c r="Q13" s="101">
        <f>'BS (Adjusted)'!Q13-'BS (Base)'!Q13</f>
        <v>0</v>
      </c>
      <c r="R13" s="17">
        <f>'BS (Adjusted)'!R13-'BS (Base)'!R13</f>
        <v>0</v>
      </c>
      <c r="S13" s="16">
        <f>'BS (Adjusted)'!S13-'BS (Base)'!S13</f>
        <v>0</v>
      </c>
      <c r="T13" s="16">
        <f>'BS (Adjusted)'!T13-'BS (Base)'!T13</f>
        <v>0</v>
      </c>
      <c r="U13" s="16">
        <f>'BS (Adjusted)'!U13-'BS (Base)'!U13</f>
        <v>0</v>
      </c>
      <c r="V13" s="101">
        <f>'BS (Adjusted)'!V13-'BS (Base)'!V13</f>
        <v>0</v>
      </c>
      <c r="W13" s="17">
        <f>'BS (Adjusted)'!W13-'BS (Base)'!W13</f>
        <v>0</v>
      </c>
      <c r="X13" s="101">
        <f>'BS (Adjusted)'!X13-'BS (Base)'!X13</f>
        <v>0</v>
      </c>
      <c r="Y13" s="33">
        <f>'BS (Adjusted)'!Y13-'BS (Base)'!Y13</f>
        <v>0</v>
      </c>
      <c r="Z13" s="33">
        <f>'BS (Adjusted)'!Z13-'BS (Base)'!Z13</f>
        <v>0</v>
      </c>
      <c r="AA13" s="33">
        <f>'BS (Adjusted)'!AA13-'BS (Base)'!AA13</f>
        <v>0</v>
      </c>
      <c r="AB13" s="17">
        <f>'BS (Adjusted)'!AB13-'BS (Base)'!AB13</f>
        <v>0</v>
      </c>
      <c r="AC13" s="33">
        <f>'BS (Adjusted)'!AC13-'BS (Base)'!AC13</f>
        <v>0</v>
      </c>
      <c r="AD13" s="33">
        <f>'BS (Adjusted)'!AD13-'BS (Base)'!AD13</f>
        <v>0</v>
      </c>
      <c r="AE13" s="33">
        <f>'BS (Adjusted)'!AE13-'BS (Base)'!AE13</f>
        <v>0</v>
      </c>
      <c r="AF13" s="33">
        <f>'BS (Adjusted)'!AF13-'BS (Base)'!AF13</f>
        <v>0</v>
      </c>
      <c r="AG13" s="17">
        <f>'BS (Adjusted)'!AG13-'BS (Base)'!AG13</f>
        <v>0</v>
      </c>
      <c r="AH13" s="33">
        <f>'BS (Adjusted)'!AH13-'BS (Base)'!AH13</f>
        <v>0</v>
      </c>
      <c r="AI13" s="33">
        <f>'BS (Adjusted)'!AI13-'BS (Base)'!AI13</f>
        <v>0</v>
      </c>
      <c r="AJ13" s="33">
        <f>'BS (Adjusted)'!AJ13-'BS (Base)'!AJ13</f>
        <v>0</v>
      </c>
      <c r="AK13" s="33">
        <f>'BS (Adjusted)'!AK13-'BS (Base)'!AK13</f>
        <v>0</v>
      </c>
      <c r="AL13" s="17">
        <f>'BS (Adjusted)'!AL13-'BS (Base)'!AL13</f>
        <v>0</v>
      </c>
      <c r="AM13" s="33">
        <f>'BS (Adjusted)'!AM13-'BS (Base)'!AM13</f>
        <v>0</v>
      </c>
      <c r="AN13" s="33">
        <f>'BS (Adjusted)'!AN13-'BS (Base)'!AN13</f>
        <v>0</v>
      </c>
      <c r="AO13" s="33">
        <f>'BS (Adjusted)'!AO13-'BS (Base)'!AO13</f>
        <v>0</v>
      </c>
      <c r="AP13" s="33">
        <f>'BS (Adjusted)'!AP13-'BS (Base)'!AP13</f>
        <v>0</v>
      </c>
      <c r="AQ13" s="17">
        <f>'BS (Adjusted)'!AQ13-'BS (Base)'!AQ13</f>
        <v>0</v>
      </c>
      <c r="AR13" s="33">
        <f>'BS (Adjusted)'!AR13-'BS (Base)'!AR13</f>
        <v>0</v>
      </c>
      <c r="AS13" s="33">
        <f>'BS (Adjusted)'!AS13-'BS (Base)'!AS13</f>
        <v>0</v>
      </c>
      <c r="AT13" s="33">
        <f>'BS (Adjusted)'!AT13-'BS (Base)'!AT13</f>
        <v>0</v>
      </c>
      <c r="AU13" s="33">
        <f>'BS (Adjusted)'!AU13-'BS (Base)'!AU13</f>
        <v>0</v>
      </c>
      <c r="AV13" s="17">
        <f>'BS (Adjusted)'!AV13-'BS (Base)'!AV13</f>
        <v>0</v>
      </c>
    </row>
    <row r="14" spans="1:48" s="8" customFormat="1" outlineLevel="1" x14ac:dyDescent="0.3">
      <c r="A14" s="161"/>
      <c r="B14" s="200" t="s">
        <v>220</v>
      </c>
      <c r="C14" s="206"/>
      <c r="D14" s="16">
        <f>'BS (Adjusted)'!D14-'BS (Base)'!D14</f>
        <v>0</v>
      </c>
      <c r="E14" s="16">
        <f>'BS (Adjusted)'!E14-'BS (Base)'!E14</f>
        <v>0</v>
      </c>
      <c r="F14" s="16">
        <f>'BS (Adjusted)'!F14-'BS (Base)'!F14</f>
        <v>0</v>
      </c>
      <c r="G14" s="16">
        <f>'BS (Adjusted)'!G14-'BS (Base)'!G14</f>
        <v>0</v>
      </c>
      <c r="H14" s="17">
        <f>'BS (Adjusted)'!H14-'BS (Base)'!H14</f>
        <v>0</v>
      </c>
      <c r="I14" s="16">
        <f>'BS (Adjusted)'!I14-'BS (Base)'!I14</f>
        <v>0</v>
      </c>
      <c r="J14" s="16">
        <f>'BS (Adjusted)'!J14-'BS (Base)'!J14</f>
        <v>0</v>
      </c>
      <c r="K14" s="16">
        <f>'BS (Adjusted)'!K14-'BS (Base)'!K14</f>
        <v>0</v>
      </c>
      <c r="L14" s="101">
        <f>'BS (Adjusted)'!L14-'BS (Base)'!L14</f>
        <v>0</v>
      </c>
      <c r="M14" s="17">
        <f>'BS (Adjusted)'!M14-'BS (Base)'!M14</f>
        <v>0</v>
      </c>
      <c r="N14" s="16">
        <f>'BS (Adjusted)'!N14-'BS (Base)'!N14</f>
        <v>0</v>
      </c>
      <c r="O14" s="16">
        <f>'BS (Adjusted)'!O14-'BS (Base)'!O14</f>
        <v>0</v>
      </c>
      <c r="P14" s="16">
        <f>'BS (Adjusted)'!P14-'BS (Base)'!P14</f>
        <v>0</v>
      </c>
      <c r="Q14" s="101">
        <f>'BS (Adjusted)'!Q14-'BS (Base)'!Q14</f>
        <v>0</v>
      </c>
      <c r="R14" s="17">
        <f>'BS (Adjusted)'!R14-'BS (Base)'!R14</f>
        <v>0</v>
      </c>
      <c r="S14" s="16">
        <f>'BS (Adjusted)'!S14-'BS (Base)'!S14</f>
        <v>0</v>
      </c>
      <c r="T14" s="16">
        <f>'BS (Adjusted)'!T14-'BS (Base)'!T14</f>
        <v>0</v>
      </c>
      <c r="U14" s="101">
        <f>'BS (Adjusted)'!U14-'BS (Base)'!U14</f>
        <v>0</v>
      </c>
      <c r="V14" s="101">
        <f>'BS (Adjusted)'!V14-'BS (Base)'!V14</f>
        <v>0</v>
      </c>
      <c r="W14" s="17">
        <f>'BS (Adjusted)'!W14-'BS (Base)'!W14</f>
        <v>0</v>
      </c>
      <c r="X14" s="101">
        <f>'BS (Adjusted)'!X14-'BS (Base)'!X14</f>
        <v>0</v>
      </c>
      <c r="Y14" s="16">
        <f>'BS (Adjusted)'!Y14-'BS (Base)'!Y14</f>
        <v>0</v>
      </c>
      <c r="Z14" s="16">
        <f>'BS (Adjusted)'!Z14-'BS (Base)'!Z14</f>
        <v>0</v>
      </c>
      <c r="AA14" s="16">
        <f>'BS (Adjusted)'!AA14-'BS (Base)'!AA14</f>
        <v>0</v>
      </c>
      <c r="AB14" s="17">
        <f>'BS (Adjusted)'!AB14-'BS (Base)'!AB14</f>
        <v>0</v>
      </c>
      <c r="AC14" s="16">
        <f>'BS (Adjusted)'!AC14-'BS (Base)'!AC14</f>
        <v>0</v>
      </c>
      <c r="AD14" s="16">
        <f>'BS (Adjusted)'!AD14-'BS (Base)'!AD14</f>
        <v>0</v>
      </c>
      <c r="AE14" s="16">
        <f>'BS (Adjusted)'!AE14-'BS (Base)'!AE14</f>
        <v>0</v>
      </c>
      <c r="AF14" s="16">
        <f>'BS (Adjusted)'!AF14-'BS (Base)'!AF14</f>
        <v>0</v>
      </c>
      <c r="AG14" s="17">
        <f>'BS (Adjusted)'!AG14-'BS (Base)'!AG14</f>
        <v>0</v>
      </c>
      <c r="AH14" s="16">
        <f>'BS (Adjusted)'!AH14-'BS (Base)'!AH14</f>
        <v>0</v>
      </c>
      <c r="AI14" s="16">
        <f>'BS (Adjusted)'!AI14-'BS (Base)'!AI14</f>
        <v>0</v>
      </c>
      <c r="AJ14" s="16">
        <f>'BS (Adjusted)'!AJ14-'BS (Base)'!AJ14</f>
        <v>0</v>
      </c>
      <c r="AK14" s="16">
        <f>'BS (Adjusted)'!AK14-'BS (Base)'!AK14</f>
        <v>0</v>
      </c>
      <c r="AL14" s="17">
        <f>'BS (Adjusted)'!AL14-'BS (Base)'!AL14</f>
        <v>0</v>
      </c>
      <c r="AM14" s="16">
        <f>'BS (Adjusted)'!AM14-'BS (Base)'!AM14</f>
        <v>0</v>
      </c>
      <c r="AN14" s="16">
        <f>'BS (Adjusted)'!AN14-'BS (Base)'!AN14</f>
        <v>0</v>
      </c>
      <c r="AO14" s="16">
        <f>'BS (Adjusted)'!AO14-'BS (Base)'!AO14</f>
        <v>0</v>
      </c>
      <c r="AP14" s="16">
        <f>'BS (Adjusted)'!AP14-'BS (Base)'!AP14</f>
        <v>0</v>
      </c>
      <c r="AQ14" s="17">
        <f>'BS (Adjusted)'!AQ14-'BS (Base)'!AQ14</f>
        <v>0</v>
      </c>
      <c r="AR14" s="16">
        <f>'BS (Adjusted)'!AR14-'BS (Base)'!AR14</f>
        <v>0</v>
      </c>
      <c r="AS14" s="16">
        <f>'BS (Adjusted)'!AS14-'BS (Base)'!AS14</f>
        <v>0</v>
      </c>
      <c r="AT14" s="16">
        <f>'BS (Adjusted)'!AT14-'BS (Base)'!AT14</f>
        <v>0</v>
      </c>
      <c r="AU14" s="16">
        <f>'BS (Adjusted)'!AU14-'BS (Base)'!AU14</f>
        <v>0</v>
      </c>
      <c r="AV14" s="17">
        <f>'BS (Adjusted)'!AV14-'BS (Base)'!AV14</f>
        <v>0</v>
      </c>
    </row>
    <row r="15" spans="1:48" s="8" customFormat="1" outlineLevel="1" x14ac:dyDescent="0.3">
      <c r="A15" s="161"/>
      <c r="B15" s="200" t="s">
        <v>221</v>
      </c>
      <c r="C15" s="206"/>
      <c r="D15" s="16">
        <f>'BS (Adjusted)'!D15-'BS (Base)'!D15</f>
        <v>0</v>
      </c>
      <c r="E15" s="16">
        <f>'BS (Adjusted)'!E15-'BS (Base)'!E15</f>
        <v>0</v>
      </c>
      <c r="F15" s="16">
        <f>'BS (Adjusted)'!F15-'BS (Base)'!F15</f>
        <v>0</v>
      </c>
      <c r="G15" s="16">
        <f>'BS (Adjusted)'!G15-'BS (Base)'!G15</f>
        <v>0</v>
      </c>
      <c r="H15" s="17">
        <f>'BS (Adjusted)'!H15-'BS (Base)'!H15</f>
        <v>0</v>
      </c>
      <c r="I15" s="16">
        <f>'BS (Adjusted)'!I15-'BS (Base)'!I15</f>
        <v>0</v>
      </c>
      <c r="J15" s="16">
        <f>'BS (Adjusted)'!J15-'BS (Base)'!J15</f>
        <v>0</v>
      </c>
      <c r="K15" s="16">
        <f>'BS (Adjusted)'!K15-'BS (Base)'!K15</f>
        <v>0</v>
      </c>
      <c r="L15" s="101">
        <f>'BS (Adjusted)'!L15-'BS (Base)'!L15</f>
        <v>0</v>
      </c>
      <c r="M15" s="17">
        <f>'BS (Adjusted)'!M15-'BS (Base)'!M15</f>
        <v>0</v>
      </c>
      <c r="N15" s="16">
        <f>'BS (Adjusted)'!N15-'BS (Base)'!N15</f>
        <v>0</v>
      </c>
      <c r="O15" s="16">
        <f>'BS (Adjusted)'!O15-'BS (Base)'!O15</f>
        <v>0</v>
      </c>
      <c r="P15" s="16">
        <f>'BS (Adjusted)'!P15-'BS (Base)'!P15</f>
        <v>0</v>
      </c>
      <c r="Q15" s="101">
        <f>'BS (Adjusted)'!Q15-'BS (Base)'!Q15</f>
        <v>0</v>
      </c>
      <c r="R15" s="17">
        <f>'BS (Adjusted)'!R15-'BS (Base)'!R15</f>
        <v>0</v>
      </c>
      <c r="S15" s="16">
        <f>'BS (Adjusted)'!S15-'BS (Base)'!S15</f>
        <v>0</v>
      </c>
      <c r="T15" s="16">
        <f>'BS (Adjusted)'!T15-'BS (Base)'!T15</f>
        <v>0</v>
      </c>
      <c r="U15" s="101">
        <f>'BS (Adjusted)'!U15-'BS (Base)'!U15</f>
        <v>0</v>
      </c>
      <c r="V15" s="101">
        <f>'BS (Adjusted)'!V15-'BS (Base)'!V15</f>
        <v>0</v>
      </c>
      <c r="W15" s="17">
        <f>'BS (Adjusted)'!W15-'BS (Base)'!W15</f>
        <v>0</v>
      </c>
      <c r="X15" s="101">
        <f>'BS (Adjusted)'!X15-'BS (Base)'!X15</f>
        <v>0</v>
      </c>
      <c r="Y15" s="33">
        <f>'BS (Adjusted)'!Y15-'BS (Base)'!Y15</f>
        <v>0</v>
      </c>
      <c r="Z15" s="33">
        <f>'BS (Adjusted)'!Z15-'BS (Base)'!Z15</f>
        <v>0</v>
      </c>
      <c r="AA15" s="33">
        <f>'BS (Adjusted)'!AA15-'BS (Base)'!AA15</f>
        <v>0</v>
      </c>
      <c r="AB15" s="17">
        <f>'BS (Adjusted)'!AB15-'BS (Base)'!AB15</f>
        <v>0</v>
      </c>
      <c r="AC15" s="33">
        <f>'BS (Adjusted)'!AC15-'BS (Base)'!AC15</f>
        <v>0</v>
      </c>
      <c r="AD15" s="33">
        <f>'BS (Adjusted)'!AD15-'BS (Base)'!AD15</f>
        <v>0</v>
      </c>
      <c r="AE15" s="33">
        <f>'BS (Adjusted)'!AE15-'BS (Base)'!AE15</f>
        <v>0</v>
      </c>
      <c r="AF15" s="33">
        <f>'BS (Adjusted)'!AF15-'BS (Base)'!AF15</f>
        <v>0</v>
      </c>
      <c r="AG15" s="17">
        <f>'BS (Adjusted)'!AG15-'BS (Base)'!AG15</f>
        <v>0</v>
      </c>
      <c r="AH15" s="33">
        <f>'BS (Adjusted)'!AH15-'BS (Base)'!AH15</f>
        <v>0</v>
      </c>
      <c r="AI15" s="33">
        <f>'BS (Adjusted)'!AI15-'BS (Base)'!AI15</f>
        <v>0</v>
      </c>
      <c r="AJ15" s="33">
        <f>'BS (Adjusted)'!AJ15-'BS (Base)'!AJ15</f>
        <v>0</v>
      </c>
      <c r="AK15" s="33">
        <f>'BS (Adjusted)'!AK15-'BS (Base)'!AK15</f>
        <v>0</v>
      </c>
      <c r="AL15" s="17">
        <f>'BS (Adjusted)'!AL15-'BS (Base)'!AL15</f>
        <v>0</v>
      </c>
      <c r="AM15" s="33">
        <f>'BS (Adjusted)'!AM15-'BS (Base)'!AM15</f>
        <v>0</v>
      </c>
      <c r="AN15" s="33">
        <f>'BS (Adjusted)'!AN15-'BS (Base)'!AN15</f>
        <v>0</v>
      </c>
      <c r="AO15" s="33">
        <f>'BS (Adjusted)'!AO15-'BS (Base)'!AO15</f>
        <v>0</v>
      </c>
      <c r="AP15" s="33">
        <f>'BS (Adjusted)'!AP15-'BS (Base)'!AP15</f>
        <v>0</v>
      </c>
      <c r="AQ15" s="17">
        <f>'BS (Adjusted)'!AQ15-'BS (Base)'!AQ15</f>
        <v>0</v>
      </c>
      <c r="AR15" s="33">
        <f>'BS (Adjusted)'!AR15-'BS (Base)'!AR15</f>
        <v>0</v>
      </c>
      <c r="AS15" s="33">
        <f>'BS (Adjusted)'!AS15-'BS (Base)'!AS15</f>
        <v>0</v>
      </c>
      <c r="AT15" s="33">
        <f>'BS (Adjusted)'!AT15-'BS (Base)'!AT15</f>
        <v>0</v>
      </c>
      <c r="AU15" s="33">
        <f>'BS (Adjusted)'!AU15-'BS (Base)'!AU15</f>
        <v>0</v>
      </c>
      <c r="AV15" s="17">
        <f>'BS (Adjusted)'!AV15-'BS (Base)'!AV15</f>
        <v>0</v>
      </c>
    </row>
    <row r="16" spans="1:48" s="8" customFormat="1" outlineLevel="1" x14ac:dyDescent="0.3">
      <c r="A16" s="161"/>
      <c r="B16" s="200" t="s">
        <v>222</v>
      </c>
      <c r="C16" s="206"/>
      <c r="D16" s="16">
        <f>'BS (Adjusted)'!D16-'BS (Base)'!D16</f>
        <v>0</v>
      </c>
      <c r="E16" s="16">
        <f>'BS (Adjusted)'!E16-'BS (Base)'!E16</f>
        <v>0</v>
      </c>
      <c r="F16" s="16">
        <f>'BS (Adjusted)'!F16-'BS (Base)'!F16</f>
        <v>0</v>
      </c>
      <c r="G16" s="16">
        <f>'BS (Adjusted)'!G16-'BS (Base)'!G16</f>
        <v>0</v>
      </c>
      <c r="H16" s="17">
        <f>'BS (Adjusted)'!H16-'BS (Base)'!H16</f>
        <v>0</v>
      </c>
      <c r="I16" s="16">
        <f>'BS (Adjusted)'!I16-'BS (Base)'!I16</f>
        <v>0</v>
      </c>
      <c r="J16" s="16">
        <f>'BS (Adjusted)'!J16-'BS (Base)'!J16</f>
        <v>0</v>
      </c>
      <c r="K16" s="16">
        <f>'BS (Adjusted)'!K16-'BS (Base)'!K16</f>
        <v>0</v>
      </c>
      <c r="L16" s="101">
        <f>'BS (Adjusted)'!L16-'BS (Base)'!L16</f>
        <v>0</v>
      </c>
      <c r="M16" s="17">
        <f>'BS (Adjusted)'!M16-'BS (Base)'!M16</f>
        <v>0</v>
      </c>
      <c r="N16" s="16">
        <f>'BS (Adjusted)'!N16-'BS (Base)'!N16</f>
        <v>0</v>
      </c>
      <c r="O16" s="16">
        <f>'BS (Adjusted)'!O16-'BS (Base)'!O16</f>
        <v>0</v>
      </c>
      <c r="P16" s="16">
        <f>'BS (Adjusted)'!P16-'BS (Base)'!P16</f>
        <v>0</v>
      </c>
      <c r="Q16" s="101">
        <f>'BS (Adjusted)'!Q16-'BS (Base)'!Q16</f>
        <v>0</v>
      </c>
      <c r="R16" s="17">
        <f>'BS (Adjusted)'!R16-'BS (Base)'!R16</f>
        <v>0</v>
      </c>
      <c r="S16" s="16">
        <f>'BS (Adjusted)'!S16-'BS (Base)'!S16</f>
        <v>0</v>
      </c>
      <c r="T16" s="16">
        <f>'BS (Adjusted)'!T16-'BS (Base)'!T16</f>
        <v>0</v>
      </c>
      <c r="U16" s="101">
        <f>'BS (Adjusted)'!U16-'BS (Base)'!U16</f>
        <v>0</v>
      </c>
      <c r="V16" s="101">
        <f>'BS (Adjusted)'!V16-'BS (Base)'!V16</f>
        <v>0</v>
      </c>
      <c r="W16" s="169">
        <f>'BS (Adjusted)'!W16-'BS (Base)'!W16</f>
        <v>0</v>
      </c>
      <c r="X16" s="101">
        <f>'BS (Adjusted)'!X16-'BS (Base)'!X16</f>
        <v>0</v>
      </c>
      <c r="Y16" s="101">
        <f>'BS (Adjusted)'!Y16-'BS (Base)'!Y16</f>
        <v>0</v>
      </c>
      <c r="Z16" s="101">
        <f>'BS (Adjusted)'!Z16-'BS (Base)'!Z16</f>
        <v>0</v>
      </c>
      <c r="AA16" s="101">
        <f>'BS (Adjusted)'!AA16-'BS (Base)'!AA16</f>
        <v>0</v>
      </c>
      <c r="AB16" s="169">
        <f>'BS (Adjusted)'!AB16-'BS (Base)'!AB16</f>
        <v>0</v>
      </c>
      <c r="AC16" s="101">
        <f>'BS (Adjusted)'!AC16-'BS (Base)'!AC16</f>
        <v>0</v>
      </c>
      <c r="AD16" s="101">
        <f>'BS (Adjusted)'!AD16-'BS (Base)'!AD16</f>
        <v>0</v>
      </c>
      <c r="AE16" s="101">
        <f>'BS (Adjusted)'!AE16-'BS (Base)'!AE16</f>
        <v>0</v>
      </c>
      <c r="AF16" s="101">
        <f>'BS (Adjusted)'!AF16-'BS (Base)'!AF16</f>
        <v>0</v>
      </c>
      <c r="AG16" s="169">
        <f>'BS (Adjusted)'!AG16-'BS (Base)'!AG16</f>
        <v>0</v>
      </c>
      <c r="AH16" s="101">
        <f>'BS (Adjusted)'!AH16-'BS (Base)'!AH16</f>
        <v>0</v>
      </c>
      <c r="AI16" s="101">
        <f>'BS (Adjusted)'!AI16-'BS (Base)'!AI16</f>
        <v>0</v>
      </c>
      <c r="AJ16" s="101">
        <f>'BS (Adjusted)'!AJ16-'BS (Base)'!AJ16</f>
        <v>0</v>
      </c>
      <c r="AK16" s="101">
        <f>'BS (Adjusted)'!AK16-'BS (Base)'!AK16</f>
        <v>0</v>
      </c>
      <c r="AL16" s="169">
        <f>'BS (Adjusted)'!AL16-'BS (Base)'!AL16</f>
        <v>0</v>
      </c>
      <c r="AM16" s="101">
        <f>'BS (Adjusted)'!AM16-'BS (Base)'!AM16</f>
        <v>0</v>
      </c>
      <c r="AN16" s="101">
        <f>'BS (Adjusted)'!AN16-'BS (Base)'!AN16</f>
        <v>0</v>
      </c>
      <c r="AO16" s="101">
        <f>'BS (Adjusted)'!AO16-'BS (Base)'!AO16</f>
        <v>0</v>
      </c>
      <c r="AP16" s="101">
        <f>'BS (Adjusted)'!AP16-'BS (Base)'!AP16</f>
        <v>0</v>
      </c>
      <c r="AQ16" s="169">
        <f>'BS (Adjusted)'!AQ16-'BS (Base)'!AQ16</f>
        <v>0</v>
      </c>
      <c r="AR16" s="101">
        <f>'BS (Adjusted)'!AR16-'BS (Base)'!AR16</f>
        <v>0</v>
      </c>
      <c r="AS16" s="101">
        <f>'BS (Adjusted)'!AS16-'BS (Base)'!AS16</f>
        <v>0</v>
      </c>
      <c r="AT16" s="101">
        <f>'BS (Adjusted)'!AT16-'BS (Base)'!AT16</f>
        <v>0</v>
      </c>
      <c r="AU16" s="101">
        <f>'BS (Adjusted)'!AU16-'BS (Base)'!AU16</f>
        <v>0</v>
      </c>
      <c r="AV16" s="17">
        <f>'BS (Adjusted)'!AV16-'BS (Base)'!AV16</f>
        <v>0</v>
      </c>
    </row>
    <row r="17" spans="1:48" s="8" customFormat="1" outlineLevel="1" x14ac:dyDescent="0.3">
      <c r="A17" s="161"/>
      <c r="B17" s="200" t="s">
        <v>223</v>
      </c>
      <c r="C17" s="206"/>
      <c r="D17" s="16">
        <f>'BS (Adjusted)'!D17-'BS (Base)'!D17</f>
        <v>0</v>
      </c>
      <c r="E17" s="16">
        <f>'BS (Adjusted)'!E17-'BS (Base)'!E17</f>
        <v>0</v>
      </c>
      <c r="F17" s="16">
        <f>'BS (Adjusted)'!F17-'BS (Base)'!F17</f>
        <v>0</v>
      </c>
      <c r="G17" s="16">
        <f>'BS (Adjusted)'!G17-'BS (Base)'!G17</f>
        <v>0</v>
      </c>
      <c r="H17" s="17">
        <f>'BS (Adjusted)'!H17-'BS (Base)'!H17</f>
        <v>0</v>
      </c>
      <c r="I17" s="16">
        <f>'BS (Adjusted)'!I17-'BS (Base)'!I17</f>
        <v>0</v>
      </c>
      <c r="J17" s="16">
        <f>'BS (Adjusted)'!J17-'BS (Base)'!J17</f>
        <v>0</v>
      </c>
      <c r="K17" s="16">
        <f>'BS (Adjusted)'!K17-'BS (Base)'!K17</f>
        <v>0</v>
      </c>
      <c r="L17" s="101">
        <f>'BS (Adjusted)'!L17-'BS (Base)'!L17</f>
        <v>0</v>
      </c>
      <c r="M17" s="17">
        <f>'BS (Adjusted)'!M17-'BS (Base)'!M17</f>
        <v>0</v>
      </c>
      <c r="N17" s="16">
        <f>'BS (Adjusted)'!N17-'BS (Base)'!N17</f>
        <v>0</v>
      </c>
      <c r="O17" s="16">
        <f>'BS (Adjusted)'!O17-'BS (Base)'!O17</f>
        <v>0</v>
      </c>
      <c r="P17" s="16">
        <f>'BS (Adjusted)'!P17-'BS (Base)'!P17</f>
        <v>0</v>
      </c>
      <c r="Q17" s="101">
        <f>'BS (Adjusted)'!Q17-'BS (Base)'!Q17</f>
        <v>0</v>
      </c>
      <c r="R17" s="17">
        <f>'BS (Adjusted)'!R17-'BS (Base)'!R17</f>
        <v>0</v>
      </c>
      <c r="S17" s="16">
        <f>'BS (Adjusted)'!S17-'BS (Base)'!S17</f>
        <v>0</v>
      </c>
      <c r="T17" s="16">
        <f>'BS (Adjusted)'!T17-'BS (Base)'!T17</f>
        <v>0</v>
      </c>
      <c r="U17" s="101">
        <f>'BS (Adjusted)'!U17-'BS (Base)'!U17</f>
        <v>0</v>
      </c>
      <c r="V17" s="101">
        <f>'BS (Adjusted)'!V17-'BS (Base)'!V17</f>
        <v>0</v>
      </c>
      <c r="W17" s="17">
        <f>'BS (Adjusted)'!W17-'BS (Base)'!W17</f>
        <v>0</v>
      </c>
      <c r="X17" s="101">
        <f>'BS (Adjusted)'!X17-'BS (Base)'!X17</f>
        <v>0</v>
      </c>
      <c r="Y17" s="33">
        <f>'BS (Adjusted)'!Y17-'BS (Base)'!Y17</f>
        <v>0</v>
      </c>
      <c r="Z17" s="33">
        <f>'BS (Adjusted)'!Z17-'BS (Base)'!Z17</f>
        <v>0</v>
      </c>
      <c r="AA17" s="33">
        <f>'BS (Adjusted)'!AA17-'BS (Base)'!AA17</f>
        <v>0</v>
      </c>
      <c r="AB17" s="17">
        <f>'BS (Adjusted)'!AB17-'BS (Base)'!AB17</f>
        <v>0</v>
      </c>
      <c r="AC17" s="33">
        <f>'BS (Adjusted)'!AC17-'BS (Base)'!AC17</f>
        <v>0</v>
      </c>
      <c r="AD17" s="33">
        <f>'BS (Adjusted)'!AD17-'BS (Base)'!AD17</f>
        <v>0</v>
      </c>
      <c r="AE17" s="33">
        <f>'BS (Adjusted)'!AE17-'BS (Base)'!AE17</f>
        <v>0</v>
      </c>
      <c r="AF17" s="33">
        <f>'BS (Adjusted)'!AF17-'BS (Base)'!AF17</f>
        <v>0</v>
      </c>
      <c r="AG17" s="17">
        <f>'BS (Adjusted)'!AG17-'BS (Base)'!AG17</f>
        <v>0</v>
      </c>
      <c r="AH17" s="33">
        <f>'BS (Adjusted)'!AH17-'BS (Base)'!AH17</f>
        <v>0</v>
      </c>
      <c r="AI17" s="33">
        <f>'BS (Adjusted)'!AI17-'BS (Base)'!AI17</f>
        <v>0</v>
      </c>
      <c r="AJ17" s="33">
        <f>'BS (Adjusted)'!AJ17-'BS (Base)'!AJ17</f>
        <v>0</v>
      </c>
      <c r="AK17" s="33">
        <f>'BS (Adjusted)'!AK17-'BS (Base)'!AK17</f>
        <v>0</v>
      </c>
      <c r="AL17" s="17">
        <f>'BS (Adjusted)'!AL17-'BS (Base)'!AL17</f>
        <v>0</v>
      </c>
      <c r="AM17" s="33">
        <f>'BS (Adjusted)'!AM17-'BS (Base)'!AM17</f>
        <v>0</v>
      </c>
      <c r="AN17" s="33">
        <f>'BS (Adjusted)'!AN17-'BS (Base)'!AN17</f>
        <v>0</v>
      </c>
      <c r="AO17" s="33">
        <f>'BS (Adjusted)'!AO17-'BS (Base)'!AO17</f>
        <v>0</v>
      </c>
      <c r="AP17" s="33">
        <f>'BS (Adjusted)'!AP17-'BS (Base)'!AP17</f>
        <v>0</v>
      </c>
      <c r="AQ17" s="17">
        <f>'BS (Adjusted)'!AQ17-'BS (Base)'!AQ17</f>
        <v>0</v>
      </c>
      <c r="AR17" s="33">
        <f>'BS (Adjusted)'!AR17-'BS (Base)'!AR17</f>
        <v>0</v>
      </c>
      <c r="AS17" s="33">
        <f>'BS (Adjusted)'!AS17-'BS (Base)'!AS17</f>
        <v>0</v>
      </c>
      <c r="AT17" s="33">
        <f>'BS (Adjusted)'!AT17-'BS (Base)'!AT17</f>
        <v>0</v>
      </c>
      <c r="AU17" s="33">
        <f>'BS (Adjusted)'!AU17-'BS (Base)'!AU17</f>
        <v>0</v>
      </c>
      <c r="AV17" s="17">
        <f>'BS (Adjusted)'!AV17-'BS (Base)'!AV17</f>
        <v>0</v>
      </c>
    </row>
    <row r="18" spans="1:48" s="8" customFormat="1" outlineLevel="1" x14ac:dyDescent="0.3">
      <c r="A18" s="161"/>
      <c r="B18" s="200" t="s">
        <v>224</v>
      </c>
      <c r="C18" s="206"/>
      <c r="D18" s="16">
        <f>'BS (Adjusted)'!D18-'BS (Base)'!D18</f>
        <v>0</v>
      </c>
      <c r="E18" s="16">
        <f>'BS (Adjusted)'!E18-'BS (Base)'!E18</f>
        <v>0</v>
      </c>
      <c r="F18" s="16">
        <f>'BS (Adjusted)'!F18-'BS (Base)'!F18</f>
        <v>0</v>
      </c>
      <c r="G18" s="16">
        <f>'BS (Adjusted)'!G18-'BS (Base)'!G18</f>
        <v>0</v>
      </c>
      <c r="H18" s="17">
        <f>'BS (Adjusted)'!H18-'BS (Base)'!H18</f>
        <v>0</v>
      </c>
      <c r="I18" s="16">
        <f>'BS (Adjusted)'!I18-'BS (Base)'!I18</f>
        <v>0</v>
      </c>
      <c r="J18" s="16">
        <f>'BS (Adjusted)'!J18-'BS (Base)'!J18</f>
        <v>0</v>
      </c>
      <c r="K18" s="16">
        <f>'BS (Adjusted)'!K18-'BS (Base)'!K18</f>
        <v>0</v>
      </c>
      <c r="L18" s="101">
        <f>'BS (Adjusted)'!L18-'BS (Base)'!L18</f>
        <v>0</v>
      </c>
      <c r="M18" s="17">
        <f>'BS (Adjusted)'!M18-'BS (Base)'!M18</f>
        <v>0</v>
      </c>
      <c r="N18" s="16">
        <f>'BS (Adjusted)'!N18-'BS (Base)'!N18</f>
        <v>0</v>
      </c>
      <c r="O18" s="16">
        <f>'BS (Adjusted)'!O18-'BS (Base)'!O18</f>
        <v>0</v>
      </c>
      <c r="P18" s="16">
        <f>'BS (Adjusted)'!P18-'BS (Base)'!P18</f>
        <v>0</v>
      </c>
      <c r="Q18" s="101">
        <f>'BS (Adjusted)'!Q18-'BS (Base)'!Q18</f>
        <v>0</v>
      </c>
      <c r="R18" s="17">
        <f>'BS (Adjusted)'!R18-'BS (Base)'!R18</f>
        <v>0</v>
      </c>
      <c r="S18" s="16">
        <f>'BS (Adjusted)'!S18-'BS (Base)'!S18</f>
        <v>0</v>
      </c>
      <c r="T18" s="16">
        <f>'BS (Adjusted)'!T18-'BS (Base)'!T18</f>
        <v>0</v>
      </c>
      <c r="U18" s="101">
        <f>'BS (Adjusted)'!U18-'BS (Base)'!U18</f>
        <v>0</v>
      </c>
      <c r="V18" s="101">
        <f>'BS (Adjusted)'!V18-'BS (Base)'!V18</f>
        <v>0</v>
      </c>
      <c r="W18" s="17">
        <f>'BS (Adjusted)'!W18-'BS (Base)'!W18</f>
        <v>0</v>
      </c>
      <c r="X18" s="101">
        <f>'BS (Adjusted)'!X18-'BS (Base)'!X18</f>
        <v>0</v>
      </c>
      <c r="Y18" s="33">
        <f>'BS (Adjusted)'!Y18-'BS (Base)'!Y18</f>
        <v>0</v>
      </c>
      <c r="Z18" s="33">
        <f>'BS (Adjusted)'!Z18-'BS (Base)'!Z18</f>
        <v>0</v>
      </c>
      <c r="AA18" s="33">
        <f>'BS (Adjusted)'!AA18-'BS (Base)'!AA18</f>
        <v>0</v>
      </c>
      <c r="AB18" s="17">
        <f>'BS (Adjusted)'!AB18-'BS (Base)'!AB18</f>
        <v>0</v>
      </c>
      <c r="AC18" s="33">
        <f>'BS (Adjusted)'!AC18-'BS (Base)'!AC18</f>
        <v>0</v>
      </c>
      <c r="AD18" s="33">
        <f>'BS (Adjusted)'!AD18-'BS (Base)'!AD18</f>
        <v>0</v>
      </c>
      <c r="AE18" s="33">
        <f>'BS (Adjusted)'!AE18-'BS (Base)'!AE18</f>
        <v>0</v>
      </c>
      <c r="AF18" s="33">
        <f>'BS (Adjusted)'!AF18-'BS (Base)'!AF18</f>
        <v>0</v>
      </c>
      <c r="AG18" s="17">
        <f>'BS (Adjusted)'!AG18-'BS (Base)'!AG18</f>
        <v>0</v>
      </c>
      <c r="AH18" s="33">
        <f>'BS (Adjusted)'!AH18-'BS (Base)'!AH18</f>
        <v>0</v>
      </c>
      <c r="AI18" s="33">
        <f>'BS (Adjusted)'!AI18-'BS (Base)'!AI18</f>
        <v>0</v>
      </c>
      <c r="AJ18" s="33">
        <f>'BS (Adjusted)'!AJ18-'BS (Base)'!AJ18</f>
        <v>0</v>
      </c>
      <c r="AK18" s="33">
        <f>'BS (Adjusted)'!AK18-'BS (Base)'!AK18</f>
        <v>0</v>
      </c>
      <c r="AL18" s="17">
        <f>'BS (Adjusted)'!AL18-'BS (Base)'!AL18</f>
        <v>0</v>
      </c>
      <c r="AM18" s="33">
        <f>'BS (Adjusted)'!AM18-'BS (Base)'!AM18</f>
        <v>0</v>
      </c>
      <c r="AN18" s="33">
        <f>'BS (Adjusted)'!AN18-'BS (Base)'!AN18</f>
        <v>0</v>
      </c>
      <c r="AO18" s="33">
        <f>'BS (Adjusted)'!AO18-'BS (Base)'!AO18</f>
        <v>0</v>
      </c>
      <c r="AP18" s="33">
        <f>'BS (Adjusted)'!AP18-'BS (Base)'!AP18</f>
        <v>0</v>
      </c>
      <c r="AQ18" s="17">
        <f>'BS (Adjusted)'!AQ18-'BS (Base)'!AQ18</f>
        <v>0</v>
      </c>
      <c r="AR18" s="33">
        <f>'BS (Adjusted)'!AR18-'BS (Base)'!AR18</f>
        <v>0</v>
      </c>
      <c r="AS18" s="33">
        <f>'BS (Adjusted)'!AS18-'BS (Base)'!AS18</f>
        <v>0</v>
      </c>
      <c r="AT18" s="33">
        <f>'BS (Adjusted)'!AT18-'BS (Base)'!AT18</f>
        <v>0</v>
      </c>
      <c r="AU18" s="33">
        <f>'BS (Adjusted)'!AU18-'BS (Base)'!AU18</f>
        <v>0</v>
      </c>
      <c r="AV18" s="17">
        <f>'BS (Adjusted)'!AV18-'BS (Base)'!AV18</f>
        <v>0</v>
      </c>
    </row>
    <row r="19" spans="1:48" ht="16.2" outlineLevel="1" x14ac:dyDescent="0.45">
      <c r="A19" s="161"/>
      <c r="B19" s="580" t="s">
        <v>225</v>
      </c>
      <c r="C19" s="581"/>
      <c r="D19" s="260">
        <f>'BS (Adjusted)'!D19-'BS (Base)'!D19</f>
        <v>0</v>
      </c>
      <c r="E19" s="260">
        <f>'BS (Adjusted)'!E19-'BS (Base)'!E19</f>
        <v>0</v>
      </c>
      <c r="F19" s="260">
        <f>'BS (Adjusted)'!F19-'BS (Base)'!F19</f>
        <v>0</v>
      </c>
      <c r="G19" s="260">
        <f>'BS (Adjusted)'!G19-'BS (Base)'!G19</f>
        <v>0</v>
      </c>
      <c r="H19" s="261">
        <f>'BS (Adjusted)'!H19-'BS (Base)'!H19</f>
        <v>0</v>
      </c>
      <c r="I19" s="260">
        <f>'BS (Adjusted)'!I19-'BS (Base)'!I19</f>
        <v>0</v>
      </c>
      <c r="J19" s="260">
        <f>'BS (Adjusted)'!J19-'BS (Base)'!J19</f>
        <v>0</v>
      </c>
      <c r="K19" s="260">
        <f>'BS (Adjusted)'!K19-'BS (Base)'!K19</f>
        <v>0</v>
      </c>
      <c r="L19" s="112">
        <f>'BS (Adjusted)'!L19-'BS (Base)'!L19</f>
        <v>0</v>
      </c>
      <c r="M19" s="261">
        <f>'BS (Adjusted)'!M19-'BS (Base)'!M19</f>
        <v>0</v>
      </c>
      <c r="N19" s="260">
        <f>'BS (Adjusted)'!N19-'BS (Base)'!N19</f>
        <v>0</v>
      </c>
      <c r="O19" s="260">
        <f>'BS (Adjusted)'!O19-'BS (Base)'!O19</f>
        <v>0</v>
      </c>
      <c r="P19" s="260">
        <f>'BS (Adjusted)'!P19-'BS (Base)'!P19</f>
        <v>0</v>
      </c>
      <c r="Q19" s="112">
        <f>'BS (Adjusted)'!Q19-'BS (Base)'!Q19</f>
        <v>0</v>
      </c>
      <c r="R19" s="261">
        <f>'BS (Adjusted)'!R19-'BS (Base)'!R19</f>
        <v>0</v>
      </c>
      <c r="S19" s="260">
        <f>'BS (Adjusted)'!S19-'BS (Base)'!S19</f>
        <v>0</v>
      </c>
      <c r="T19" s="260">
        <f>'BS (Adjusted)'!T19-'BS (Base)'!T19</f>
        <v>0</v>
      </c>
      <c r="U19" s="112">
        <f>'BS (Adjusted)'!U19-'BS (Base)'!U19</f>
        <v>0</v>
      </c>
      <c r="V19" s="112">
        <f>'BS (Adjusted)'!V19-'BS (Base)'!V19</f>
        <v>0</v>
      </c>
      <c r="W19" s="261">
        <f>'BS (Adjusted)'!W19-'BS (Base)'!W19</f>
        <v>0</v>
      </c>
      <c r="X19" s="112">
        <f>'BS (Adjusted)'!X19-'BS (Base)'!X19</f>
        <v>0</v>
      </c>
      <c r="Y19" s="32">
        <f>'BS (Adjusted)'!Y19-'BS (Base)'!Y19</f>
        <v>0</v>
      </c>
      <c r="Z19" s="32">
        <f>'BS (Adjusted)'!Z19-'BS (Base)'!Z19</f>
        <v>0</v>
      </c>
      <c r="AA19" s="32">
        <f>'BS (Adjusted)'!AA19-'BS (Base)'!AA19</f>
        <v>0</v>
      </c>
      <c r="AB19" s="261">
        <f>'BS (Adjusted)'!AB19-'BS (Base)'!AB19</f>
        <v>0</v>
      </c>
      <c r="AC19" s="32">
        <f>'BS (Adjusted)'!AC19-'BS (Base)'!AC19</f>
        <v>0</v>
      </c>
      <c r="AD19" s="32">
        <f>'BS (Adjusted)'!AD19-'BS (Base)'!AD19</f>
        <v>0</v>
      </c>
      <c r="AE19" s="32">
        <f>'BS (Adjusted)'!AE19-'BS (Base)'!AE19</f>
        <v>0</v>
      </c>
      <c r="AF19" s="32">
        <f>'BS (Adjusted)'!AF19-'BS (Base)'!AF19</f>
        <v>0</v>
      </c>
      <c r="AG19" s="261">
        <f>'BS (Adjusted)'!AG19-'BS (Base)'!AG19</f>
        <v>0</v>
      </c>
      <c r="AH19" s="32">
        <f>'BS (Adjusted)'!AH19-'BS (Base)'!AH19</f>
        <v>0</v>
      </c>
      <c r="AI19" s="32">
        <f>'BS (Adjusted)'!AI19-'BS (Base)'!AI19</f>
        <v>0</v>
      </c>
      <c r="AJ19" s="32">
        <f>'BS (Adjusted)'!AJ19-'BS (Base)'!AJ19</f>
        <v>0</v>
      </c>
      <c r="AK19" s="32">
        <f>'BS (Adjusted)'!AK19-'BS (Base)'!AK19</f>
        <v>0</v>
      </c>
      <c r="AL19" s="261">
        <f>'BS (Adjusted)'!AL19-'BS (Base)'!AL19</f>
        <v>0</v>
      </c>
      <c r="AM19" s="32">
        <f>'BS (Adjusted)'!AM19-'BS (Base)'!AM19</f>
        <v>0</v>
      </c>
      <c r="AN19" s="32">
        <f>'BS (Adjusted)'!AN19-'BS (Base)'!AN19</f>
        <v>0</v>
      </c>
      <c r="AO19" s="32">
        <f>'BS (Adjusted)'!AO19-'BS (Base)'!AO19</f>
        <v>0</v>
      </c>
      <c r="AP19" s="32">
        <f>'BS (Adjusted)'!AP19-'BS (Base)'!AP19</f>
        <v>0</v>
      </c>
      <c r="AQ19" s="261">
        <f>'BS (Adjusted)'!AQ19-'BS (Base)'!AQ19</f>
        <v>0</v>
      </c>
      <c r="AR19" s="32">
        <f>'BS (Adjusted)'!AR19-'BS (Base)'!AR19</f>
        <v>0</v>
      </c>
      <c r="AS19" s="32">
        <f>'BS (Adjusted)'!AS19-'BS (Base)'!AS19</f>
        <v>0</v>
      </c>
      <c r="AT19" s="32">
        <f>'BS (Adjusted)'!AT19-'BS (Base)'!AT19</f>
        <v>0</v>
      </c>
      <c r="AU19" s="32">
        <f>'BS (Adjusted)'!AU19-'BS (Base)'!AU19</f>
        <v>0</v>
      </c>
      <c r="AV19" s="261">
        <f>'BS (Adjusted)'!AV19-'BS (Base)'!AV19</f>
        <v>0</v>
      </c>
    </row>
    <row r="20" spans="1:48" outlineLevel="1" x14ac:dyDescent="0.3">
      <c r="A20" s="161"/>
      <c r="B20" s="619" t="s">
        <v>226</v>
      </c>
      <c r="C20" s="620"/>
      <c r="D20" s="21">
        <f>'BS (Adjusted)'!D20-'BS (Base)'!D20</f>
        <v>0</v>
      </c>
      <c r="E20" s="21">
        <f>'BS (Adjusted)'!E20-'BS (Base)'!E20</f>
        <v>0</v>
      </c>
      <c r="F20" s="21">
        <f>'BS (Adjusted)'!F20-'BS (Base)'!F20</f>
        <v>0</v>
      </c>
      <c r="G20" s="21">
        <f>'BS (Adjusted)'!G20-'BS (Base)'!G20</f>
        <v>0</v>
      </c>
      <c r="H20" s="22">
        <f>'BS (Adjusted)'!H20-'BS (Base)'!H20</f>
        <v>0</v>
      </c>
      <c r="I20" s="21">
        <f>'BS (Adjusted)'!I20-'BS (Base)'!I20</f>
        <v>0</v>
      </c>
      <c r="J20" s="21">
        <f>'BS (Adjusted)'!J20-'BS (Base)'!J20</f>
        <v>0</v>
      </c>
      <c r="K20" s="21">
        <f>'BS (Adjusted)'!K20-'BS (Base)'!K20</f>
        <v>0</v>
      </c>
      <c r="L20" s="21">
        <f>'BS (Adjusted)'!L20-'BS (Base)'!L20</f>
        <v>0</v>
      </c>
      <c r="M20" s="22">
        <f>'BS (Adjusted)'!M20-'BS (Base)'!M20</f>
        <v>0</v>
      </c>
      <c r="N20" s="21">
        <f>'BS (Adjusted)'!N20-'BS (Base)'!N20</f>
        <v>0</v>
      </c>
      <c r="O20" s="21">
        <f>'BS (Adjusted)'!O20-'BS (Base)'!O20</f>
        <v>0</v>
      </c>
      <c r="P20" s="21">
        <f>'BS (Adjusted)'!P20-'BS (Base)'!P20</f>
        <v>0</v>
      </c>
      <c r="Q20" s="21">
        <f>'BS (Adjusted)'!Q20-'BS (Base)'!Q20</f>
        <v>0</v>
      </c>
      <c r="R20" s="22">
        <f>'BS (Adjusted)'!R20-'BS (Base)'!R20</f>
        <v>0</v>
      </c>
      <c r="S20" s="21">
        <f>'BS (Adjusted)'!S20-'BS (Base)'!S20</f>
        <v>0</v>
      </c>
      <c r="T20" s="21">
        <f>'BS (Adjusted)'!T20-'BS (Base)'!T20</f>
        <v>0</v>
      </c>
      <c r="U20" s="21">
        <f>'BS (Adjusted)'!U20-'BS (Base)'!U20</f>
        <v>0</v>
      </c>
      <c r="V20" s="21">
        <f>'BS (Adjusted)'!V20-'BS (Base)'!V20</f>
        <v>0</v>
      </c>
      <c r="W20" s="22">
        <f>'BS (Adjusted)'!W20-'BS (Base)'!W20</f>
        <v>0</v>
      </c>
      <c r="X20" s="21">
        <f>'BS (Adjusted)'!X20-'BS (Base)'!X20</f>
        <v>0</v>
      </c>
      <c r="Y20" s="21">
        <f>'BS (Adjusted)'!Y20-'BS (Base)'!Y20</f>
        <v>0</v>
      </c>
      <c r="Z20" s="21">
        <f>'BS (Adjusted)'!Z20-'BS (Base)'!Z20</f>
        <v>0</v>
      </c>
      <c r="AA20" s="21">
        <f>'BS (Adjusted)'!AA20-'BS (Base)'!AA20</f>
        <v>0</v>
      </c>
      <c r="AB20" s="22">
        <f>'BS (Adjusted)'!AB20-'BS (Base)'!AB20</f>
        <v>0</v>
      </c>
      <c r="AC20" s="21">
        <f>'BS (Adjusted)'!AC20-'BS (Base)'!AC20</f>
        <v>0</v>
      </c>
      <c r="AD20" s="21">
        <f>'BS (Adjusted)'!AD20-'BS (Base)'!AD20</f>
        <v>0</v>
      </c>
      <c r="AE20" s="21">
        <f>'BS (Adjusted)'!AE20-'BS (Base)'!AE20</f>
        <v>0</v>
      </c>
      <c r="AF20" s="21">
        <f>'BS (Adjusted)'!AF20-'BS (Base)'!AF20</f>
        <v>0</v>
      </c>
      <c r="AG20" s="22">
        <f>'BS (Adjusted)'!AG20-'BS (Base)'!AG20</f>
        <v>0</v>
      </c>
      <c r="AH20" s="21">
        <f>'BS (Adjusted)'!AH20-'BS (Base)'!AH20</f>
        <v>0</v>
      </c>
      <c r="AI20" s="21">
        <f>'BS (Adjusted)'!AI20-'BS (Base)'!AI20</f>
        <v>0</v>
      </c>
      <c r="AJ20" s="21">
        <f>'BS (Adjusted)'!AJ20-'BS (Base)'!AJ20</f>
        <v>0</v>
      </c>
      <c r="AK20" s="21">
        <f>'BS (Adjusted)'!AK20-'BS (Base)'!AK20</f>
        <v>0</v>
      </c>
      <c r="AL20" s="22">
        <f>'BS (Adjusted)'!AL20-'BS (Base)'!AL20</f>
        <v>0</v>
      </c>
      <c r="AM20" s="21">
        <f>'BS (Adjusted)'!AM20-'BS (Base)'!AM20</f>
        <v>0</v>
      </c>
      <c r="AN20" s="21">
        <f>'BS (Adjusted)'!AN20-'BS (Base)'!AN20</f>
        <v>0</v>
      </c>
      <c r="AO20" s="21">
        <f>'BS (Adjusted)'!AO20-'BS (Base)'!AO20</f>
        <v>0</v>
      </c>
      <c r="AP20" s="21">
        <f>'BS (Adjusted)'!AP20-'BS (Base)'!AP20</f>
        <v>0</v>
      </c>
      <c r="AQ20" s="22">
        <f>'BS (Adjusted)'!AQ20-'BS (Base)'!AQ20</f>
        <v>0</v>
      </c>
      <c r="AR20" s="21">
        <f>'BS (Adjusted)'!AR20-'BS (Base)'!AR20</f>
        <v>0</v>
      </c>
      <c r="AS20" s="21">
        <f>'BS (Adjusted)'!AS20-'BS (Base)'!AS20</f>
        <v>0</v>
      </c>
      <c r="AT20" s="21">
        <f>'BS (Adjusted)'!AT20-'BS (Base)'!AT20</f>
        <v>0</v>
      </c>
      <c r="AU20" s="21">
        <f>'BS (Adjusted)'!AU20-'BS (Base)'!AU20</f>
        <v>0</v>
      </c>
      <c r="AV20" s="22">
        <f>'BS (Adjusted)'!AV20-'BS (Base)'!AV20</f>
        <v>0</v>
      </c>
    </row>
    <row r="21" spans="1:48" ht="17.399999999999999" x14ac:dyDescent="0.45">
      <c r="A21" s="161"/>
      <c r="B21" s="583" t="s">
        <v>227</v>
      </c>
      <c r="C21" s="584"/>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4" t="s">
        <v>408</v>
      </c>
      <c r="Y21" s="14" t="s">
        <v>452</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580" t="s">
        <v>228</v>
      </c>
      <c r="C22" s="581"/>
      <c r="D22" s="101">
        <f>'BS (Adjusted)'!D22-'BS (Base)'!D22</f>
        <v>0</v>
      </c>
      <c r="E22" s="101">
        <f>'BS (Adjusted)'!E22-'BS (Base)'!E22</f>
        <v>0</v>
      </c>
      <c r="F22" s="101">
        <f>'BS (Adjusted)'!F22-'BS (Base)'!F22</f>
        <v>0</v>
      </c>
      <c r="G22" s="101">
        <f>'BS (Adjusted)'!G22-'BS (Base)'!G22</f>
        <v>0</v>
      </c>
      <c r="H22" s="169">
        <f>'BS (Adjusted)'!H22-'BS (Base)'!H22</f>
        <v>0</v>
      </c>
      <c r="I22" s="101">
        <f>'BS (Adjusted)'!I22-'BS (Base)'!I22</f>
        <v>0</v>
      </c>
      <c r="J22" s="101">
        <f>'BS (Adjusted)'!J22-'BS (Base)'!J22</f>
        <v>0</v>
      </c>
      <c r="K22" s="101">
        <f>'BS (Adjusted)'!K22-'BS (Base)'!K22</f>
        <v>0</v>
      </c>
      <c r="L22" s="101">
        <f>'BS (Adjusted)'!L22-'BS (Base)'!L22</f>
        <v>0</v>
      </c>
      <c r="M22" s="169">
        <f>'BS (Adjusted)'!M22-'BS (Base)'!M22</f>
        <v>0</v>
      </c>
      <c r="N22" s="101">
        <f>'BS (Adjusted)'!N22-'BS (Base)'!N22</f>
        <v>0</v>
      </c>
      <c r="O22" s="101">
        <f>'BS (Adjusted)'!O22-'BS (Base)'!O22</f>
        <v>0</v>
      </c>
      <c r="P22" s="101">
        <f>'BS (Adjusted)'!P22-'BS (Base)'!P22</f>
        <v>0</v>
      </c>
      <c r="Q22" s="101">
        <f>'BS (Adjusted)'!Q22-'BS (Base)'!Q22</f>
        <v>0</v>
      </c>
      <c r="R22" s="169">
        <f>'BS (Adjusted)'!R22-'BS (Base)'!R22</f>
        <v>0</v>
      </c>
      <c r="S22" s="101">
        <f>'BS (Adjusted)'!S22-'BS (Base)'!S22</f>
        <v>0</v>
      </c>
      <c r="T22" s="101">
        <f>'BS (Adjusted)'!T22-'BS (Base)'!T22</f>
        <v>0</v>
      </c>
      <c r="U22" s="101">
        <f>'BS (Adjusted)'!U22-'BS (Base)'!U22</f>
        <v>0</v>
      </c>
      <c r="V22" s="101">
        <f>'BS (Adjusted)'!V22-'BS (Base)'!V22</f>
        <v>0</v>
      </c>
      <c r="W22" s="169">
        <f>'BS (Adjusted)'!W22-'BS (Base)'!W22</f>
        <v>0</v>
      </c>
      <c r="X22" s="101">
        <f>'BS (Adjusted)'!X22-'BS (Base)'!X22</f>
        <v>0</v>
      </c>
      <c r="Y22" s="101">
        <f>'BS (Adjusted)'!Y22-'BS (Base)'!Y22</f>
        <v>0</v>
      </c>
      <c r="Z22" s="101">
        <f>'BS (Adjusted)'!Z22-'BS (Base)'!Z22</f>
        <v>0</v>
      </c>
      <c r="AA22" s="101">
        <f>'BS (Adjusted)'!AA22-'BS (Base)'!AA22</f>
        <v>0</v>
      </c>
      <c r="AB22" s="169">
        <f>'BS (Adjusted)'!AB22-'BS (Base)'!AB22</f>
        <v>0</v>
      </c>
      <c r="AC22" s="101">
        <f>'BS (Adjusted)'!AC22-'BS (Base)'!AC22</f>
        <v>0</v>
      </c>
      <c r="AD22" s="101">
        <f>'BS (Adjusted)'!AD22-'BS (Base)'!AD22</f>
        <v>0</v>
      </c>
      <c r="AE22" s="101">
        <f>'BS (Adjusted)'!AE22-'BS (Base)'!AE22</f>
        <v>0</v>
      </c>
      <c r="AF22" s="101">
        <f>'BS (Adjusted)'!AF22-'BS (Base)'!AF22</f>
        <v>0</v>
      </c>
      <c r="AG22" s="169">
        <f>'BS (Adjusted)'!AG22-'BS (Base)'!AG22</f>
        <v>0</v>
      </c>
      <c r="AH22" s="101">
        <f>'BS (Adjusted)'!AH22-'BS (Base)'!AH22</f>
        <v>0</v>
      </c>
      <c r="AI22" s="101">
        <f>'BS (Adjusted)'!AI22-'BS (Base)'!AI22</f>
        <v>0</v>
      </c>
      <c r="AJ22" s="101">
        <f>'BS (Adjusted)'!AJ22-'BS (Base)'!AJ22</f>
        <v>0</v>
      </c>
      <c r="AK22" s="101">
        <f>'BS (Adjusted)'!AK22-'BS (Base)'!AK22</f>
        <v>0</v>
      </c>
      <c r="AL22" s="169">
        <f>'BS (Adjusted)'!AL22-'BS (Base)'!AL22</f>
        <v>0</v>
      </c>
      <c r="AM22" s="101">
        <f>'BS (Adjusted)'!AM22-'BS (Base)'!AM22</f>
        <v>0</v>
      </c>
      <c r="AN22" s="101">
        <f>'BS (Adjusted)'!AN22-'BS (Base)'!AN22</f>
        <v>0</v>
      </c>
      <c r="AO22" s="101">
        <f>'BS (Adjusted)'!AO22-'BS (Base)'!AO22</f>
        <v>0</v>
      </c>
      <c r="AP22" s="101">
        <f>'BS (Adjusted)'!AP22-'BS (Base)'!AP22</f>
        <v>0</v>
      </c>
      <c r="AQ22" s="169">
        <f>'BS (Adjusted)'!AQ22-'BS (Base)'!AQ22</f>
        <v>0</v>
      </c>
      <c r="AR22" s="101">
        <f>'BS (Adjusted)'!AR22-'BS (Base)'!AR22</f>
        <v>0</v>
      </c>
      <c r="AS22" s="101">
        <f>'BS (Adjusted)'!AS22-'BS (Base)'!AS22</f>
        <v>0</v>
      </c>
      <c r="AT22" s="101">
        <f>'BS (Adjusted)'!AT22-'BS (Base)'!AT22</f>
        <v>0</v>
      </c>
      <c r="AU22" s="101">
        <f>'BS (Adjusted)'!AU22-'BS (Base)'!AU22</f>
        <v>0</v>
      </c>
      <c r="AV22" s="169">
        <f>'BS (Adjusted)'!AV22-'BS (Base)'!AV22</f>
        <v>0</v>
      </c>
    </row>
    <row r="23" spans="1:48" outlineLevel="1" x14ac:dyDescent="0.3">
      <c r="A23" s="161"/>
      <c r="B23" s="580" t="s">
        <v>229</v>
      </c>
      <c r="C23" s="581"/>
      <c r="D23" s="101">
        <f>'BS (Adjusted)'!D23-'BS (Base)'!D23</f>
        <v>0</v>
      </c>
      <c r="E23" s="101">
        <f>'BS (Adjusted)'!E23-'BS (Base)'!E23</f>
        <v>0</v>
      </c>
      <c r="F23" s="101">
        <f>'BS (Adjusted)'!F23-'BS (Base)'!F23</f>
        <v>0</v>
      </c>
      <c r="G23" s="101">
        <f>'BS (Adjusted)'!G23-'BS (Base)'!G23</f>
        <v>0</v>
      </c>
      <c r="H23" s="169">
        <f>'BS (Adjusted)'!H23-'BS (Base)'!H23</f>
        <v>0</v>
      </c>
      <c r="I23" s="101">
        <f>'BS (Adjusted)'!I23-'BS (Base)'!I23</f>
        <v>0</v>
      </c>
      <c r="J23" s="101">
        <f>'BS (Adjusted)'!J23-'BS (Base)'!J23</f>
        <v>0</v>
      </c>
      <c r="K23" s="101">
        <f>'BS (Adjusted)'!K23-'BS (Base)'!K23</f>
        <v>0</v>
      </c>
      <c r="L23" s="101">
        <f>'BS (Adjusted)'!L23-'BS (Base)'!L23</f>
        <v>0</v>
      </c>
      <c r="M23" s="169">
        <f>'BS (Adjusted)'!M23-'BS (Base)'!M23</f>
        <v>0</v>
      </c>
      <c r="N23" s="101">
        <f>'BS (Adjusted)'!N23-'BS (Base)'!N23</f>
        <v>0</v>
      </c>
      <c r="O23" s="101">
        <f>'BS (Adjusted)'!O23-'BS (Base)'!O23</f>
        <v>0</v>
      </c>
      <c r="P23" s="101">
        <f>'BS (Adjusted)'!P23-'BS (Base)'!P23</f>
        <v>0</v>
      </c>
      <c r="Q23" s="101">
        <f>'BS (Adjusted)'!Q23-'BS (Base)'!Q23</f>
        <v>0</v>
      </c>
      <c r="R23" s="169">
        <f>'BS (Adjusted)'!R23-'BS (Base)'!R23</f>
        <v>0</v>
      </c>
      <c r="S23" s="101">
        <f>'BS (Adjusted)'!S23-'BS (Base)'!S23</f>
        <v>0</v>
      </c>
      <c r="T23" s="101">
        <f>'BS (Adjusted)'!T23-'BS (Base)'!T23</f>
        <v>0</v>
      </c>
      <c r="U23" s="101">
        <f>'BS (Adjusted)'!U23-'BS (Base)'!U23</f>
        <v>0</v>
      </c>
      <c r="V23" s="101">
        <f>'BS (Adjusted)'!V23-'BS (Base)'!V23</f>
        <v>0</v>
      </c>
      <c r="W23" s="169">
        <f>'BS (Adjusted)'!W23-'BS (Base)'!W23</f>
        <v>0</v>
      </c>
      <c r="X23" s="101">
        <f>'BS (Adjusted)'!X23-'BS (Base)'!X23</f>
        <v>0</v>
      </c>
      <c r="Y23" s="33">
        <f>'BS (Adjusted)'!Y23-'BS (Base)'!Y23</f>
        <v>0</v>
      </c>
      <c r="Z23" s="33">
        <f>'BS (Adjusted)'!Z23-'BS (Base)'!Z23</f>
        <v>0</v>
      </c>
      <c r="AA23" s="33">
        <f>'BS (Adjusted)'!AA23-'BS (Base)'!AA23</f>
        <v>0</v>
      </c>
      <c r="AB23" s="169">
        <f>'BS (Adjusted)'!AB23-'BS (Base)'!AB23</f>
        <v>0</v>
      </c>
      <c r="AC23" s="33">
        <f>'BS (Adjusted)'!AC23-'BS (Base)'!AC23</f>
        <v>0</v>
      </c>
      <c r="AD23" s="33">
        <f>'BS (Adjusted)'!AD23-'BS (Base)'!AD23</f>
        <v>0</v>
      </c>
      <c r="AE23" s="33">
        <f>'BS (Adjusted)'!AE23-'BS (Base)'!AE23</f>
        <v>0</v>
      </c>
      <c r="AF23" s="33">
        <f>'BS (Adjusted)'!AF23-'BS (Base)'!AF23</f>
        <v>0</v>
      </c>
      <c r="AG23" s="169">
        <f>'BS (Adjusted)'!AG23-'BS (Base)'!AG23</f>
        <v>0</v>
      </c>
      <c r="AH23" s="33">
        <f>'BS (Adjusted)'!AH23-'BS (Base)'!AH23</f>
        <v>0</v>
      </c>
      <c r="AI23" s="33">
        <f>'BS (Adjusted)'!AI23-'BS (Base)'!AI23</f>
        <v>0</v>
      </c>
      <c r="AJ23" s="33">
        <f>'BS (Adjusted)'!AJ23-'BS (Base)'!AJ23</f>
        <v>0</v>
      </c>
      <c r="AK23" s="33">
        <f>'BS (Adjusted)'!AK23-'BS (Base)'!AK23</f>
        <v>0</v>
      </c>
      <c r="AL23" s="169">
        <f>'BS (Adjusted)'!AL23-'BS (Base)'!AL23</f>
        <v>0</v>
      </c>
      <c r="AM23" s="33">
        <f>'BS (Adjusted)'!AM23-'BS (Base)'!AM23</f>
        <v>0</v>
      </c>
      <c r="AN23" s="33">
        <f>'BS (Adjusted)'!AN23-'BS (Base)'!AN23</f>
        <v>0</v>
      </c>
      <c r="AO23" s="33">
        <f>'BS (Adjusted)'!AO23-'BS (Base)'!AO23</f>
        <v>0</v>
      </c>
      <c r="AP23" s="33">
        <f>'BS (Adjusted)'!AP23-'BS (Base)'!AP23</f>
        <v>0</v>
      </c>
      <c r="AQ23" s="169">
        <f>'BS (Adjusted)'!AQ23-'BS (Base)'!AQ23</f>
        <v>0</v>
      </c>
      <c r="AR23" s="33">
        <f>'BS (Adjusted)'!AR23-'BS (Base)'!AR23</f>
        <v>0</v>
      </c>
      <c r="AS23" s="33">
        <f>'BS (Adjusted)'!AS23-'BS (Base)'!AS23</f>
        <v>0</v>
      </c>
      <c r="AT23" s="33">
        <f>'BS (Adjusted)'!AT23-'BS (Base)'!AT23</f>
        <v>0</v>
      </c>
      <c r="AU23" s="33">
        <f>'BS (Adjusted)'!AU23-'BS (Base)'!AU23</f>
        <v>0</v>
      </c>
      <c r="AV23" s="169">
        <f>'BS (Adjusted)'!AV23-'BS (Base)'!AV23</f>
        <v>0</v>
      </c>
    </row>
    <row r="24" spans="1:48" outlineLevel="1" x14ac:dyDescent="0.3">
      <c r="A24" s="161"/>
      <c r="B24" s="200" t="s">
        <v>230</v>
      </c>
      <c r="C24" s="201"/>
      <c r="D24" s="101">
        <f>'BS (Adjusted)'!D24-'BS (Base)'!D24</f>
        <v>0</v>
      </c>
      <c r="E24" s="101">
        <f>'BS (Adjusted)'!E24-'BS (Base)'!E24</f>
        <v>0</v>
      </c>
      <c r="F24" s="101">
        <f>'BS (Adjusted)'!F24-'BS (Base)'!F24</f>
        <v>0</v>
      </c>
      <c r="G24" s="101">
        <f>'BS (Adjusted)'!G24-'BS (Base)'!G24</f>
        <v>0</v>
      </c>
      <c r="H24" s="169">
        <f>'BS (Adjusted)'!H24-'BS (Base)'!H24</f>
        <v>0</v>
      </c>
      <c r="I24" s="101">
        <f>'BS (Adjusted)'!I24-'BS (Base)'!I24</f>
        <v>0</v>
      </c>
      <c r="J24" s="101">
        <f>'BS (Adjusted)'!J24-'BS (Base)'!J24</f>
        <v>0</v>
      </c>
      <c r="K24" s="101">
        <f>'BS (Adjusted)'!K24-'BS (Base)'!K24</f>
        <v>0</v>
      </c>
      <c r="L24" s="101">
        <f>'BS (Adjusted)'!L24-'BS (Base)'!L24</f>
        <v>0</v>
      </c>
      <c r="M24" s="169">
        <f>'BS (Adjusted)'!M24-'BS (Base)'!M24</f>
        <v>0</v>
      </c>
      <c r="N24" s="101">
        <f>'BS (Adjusted)'!N24-'BS (Base)'!N24</f>
        <v>0</v>
      </c>
      <c r="O24" s="101">
        <f>'BS (Adjusted)'!O24-'BS (Base)'!O24</f>
        <v>0</v>
      </c>
      <c r="P24" s="101">
        <f>'BS (Adjusted)'!P24-'BS (Base)'!P24</f>
        <v>0</v>
      </c>
      <c r="Q24" s="101">
        <f>'BS (Adjusted)'!Q24-'BS (Base)'!Q24</f>
        <v>0</v>
      </c>
      <c r="R24" s="169">
        <f>'BS (Adjusted)'!R24-'BS (Base)'!R24</f>
        <v>0</v>
      </c>
      <c r="S24" s="101">
        <f>'BS (Adjusted)'!S24-'BS (Base)'!S24</f>
        <v>0</v>
      </c>
      <c r="T24" s="101">
        <f>'BS (Adjusted)'!T24-'BS (Base)'!T24</f>
        <v>0</v>
      </c>
      <c r="U24" s="101">
        <f>'BS (Adjusted)'!U24-'BS (Base)'!U24</f>
        <v>0</v>
      </c>
      <c r="V24" s="101">
        <f>'BS (Adjusted)'!V24-'BS (Base)'!V24</f>
        <v>0</v>
      </c>
      <c r="W24" s="169">
        <f>'BS (Adjusted)'!W24-'BS (Base)'!W24</f>
        <v>0</v>
      </c>
      <c r="X24" s="101">
        <f>'BS (Adjusted)'!X24-'BS (Base)'!X24</f>
        <v>0</v>
      </c>
      <c r="Y24" s="33">
        <f>'BS (Adjusted)'!Y24-'BS (Base)'!Y24</f>
        <v>0</v>
      </c>
      <c r="Z24" s="33">
        <f>'BS (Adjusted)'!Z24-'BS (Base)'!Z24</f>
        <v>0</v>
      </c>
      <c r="AA24" s="33">
        <f>'BS (Adjusted)'!AA24-'BS (Base)'!AA24</f>
        <v>0</v>
      </c>
      <c r="AB24" s="169">
        <f>'BS (Adjusted)'!AB24-'BS (Base)'!AB24</f>
        <v>0</v>
      </c>
      <c r="AC24" s="33">
        <f>'BS (Adjusted)'!AC24-'BS (Base)'!AC24</f>
        <v>0</v>
      </c>
      <c r="AD24" s="33">
        <f>'BS (Adjusted)'!AD24-'BS (Base)'!AD24</f>
        <v>0</v>
      </c>
      <c r="AE24" s="33">
        <f>'BS (Adjusted)'!AE24-'BS (Base)'!AE24</f>
        <v>0</v>
      </c>
      <c r="AF24" s="33">
        <f>'BS (Adjusted)'!AF24-'BS (Base)'!AF24</f>
        <v>0</v>
      </c>
      <c r="AG24" s="169">
        <f>'BS (Adjusted)'!AG24-'BS (Base)'!AG24</f>
        <v>0</v>
      </c>
      <c r="AH24" s="33">
        <f>'BS (Adjusted)'!AH24-'BS (Base)'!AH24</f>
        <v>0</v>
      </c>
      <c r="AI24" s="33">
        <f>'BS (Adjusted)'!AI24-'BS (Base)'!AI24</f>
        <v>0</v>
      </c>
      <c r="AJ24" s="33">
        <f>'BS (Adjusted)'!AJ24-'BS (Base)'!AJ24</f>
        <v>0</v>
      </c>
      <c r="AK24" s="33">
        <f>'BS (Adjusted)'!AK24-'BS (Base)'!AK24</f>
        <v>0</v>
      </c>
      <c r="AL24" s="169">
        <f>'BS (Adjusted)'!AL24-'BS (Base)'!AL24</f>
        <v>0</v>
      </c>
      <c r="AM24" s="33">
        <f>'BS (Adjusted)'!AM24-'BS (Base)'!AM24</f>
        <v>0</v>
      </c>
      <c r="AN24" s="33">
        <f>'BS (Adjusted)'!AN24-'BS (Base)'!AN24</f>
        <v>0</v>
      </c>
      <c r="AO24" s="33">
        <f>'BS (Adjusted)'!AO24-'BS (Base)'!AO24</f>
        <v>0</v>
      </c>
      <c r="AP24" s="33">
        <f>'BS (Adjusted)'!AP24-'BS (Base)'!AP24</f>
        <v>0</v>
      </c>
      <c r="AQ24" s="169">
        <f>'BS (Adjusted)'!AQ24-'BS (Base)'!AQ24</f>
        <v>0</v>
      </c>
      <c r="AR24" s="33">
        <f>'BS (Adjusted)'!AR24-'BS (Base)'!AR24</f>
        <v>0</v>
      </c>
      <c r="AS24" s="33">
        <f>'BS (Adjusted)'!AS24-'BS (Base)'!AS24</f>
        <v>0</v>
      </c>
      <c r="AT24" s="33">
        <f>'BS (Adjusted)'!AT24-'BS (Base)'!AT24</f>
        <v>0</v>
      </c>
      <c r="AU24" s="33">
        <f>'BS (Adjusted)'!AU24-'BS (Base)'!AU24</f>
        <v>0</v>
      </c>
      <c r="AV24" s="169">
        <f>'BS (Adjusted)'!AV24-'BS (Base)'!AV24</f>
        <v>0</v>
      </c>
    </row>
    <row r="25" spans="1:48" outlineLevel="1" x14ac:dyDescent="0.3">
      <c r="A25" s="161"/>
      <c r="B25" s="200" t="s">
        <v>231</v>
      </c>
      <c r="C25" s="201"/>
      <c r="D25" s="101">
        <f>'BS (Adjusted)'!D25-'BS (Base)'!D25</f>
        <v>0</v>
      </c>
      <c r="E25" s="101">
        <f>'BS (Adjusted)'!E25-'BS (Base)'!E25</f>
        <v>0</v>
      </c>
      <c r="F25" s="101">
        <f>'BS (Adjusted)'!F25-'BS (Base)'!F25</f>
        <v>0</v>
      </c>
      <c r="G25" s="101">
        <f>'BS (Adjusted)'!G25-'BS (Base)'!G25</f>
        <v>0</v>
      </c>
      <c r="H25" s="169">
        <f>'BS (Adjusted)'!H25-'BS (Base)'!H25</f>
        <v>0</v>
      </c>
      <c r="I25" s="101">
        <f>'BS (Adjusted)'!I25-'BS (Base)'!I25</f>
        <v>0</v>
      </c>
      <c r="J25" s="101">
        <f>'BS (Adjusted)'!J25-'BS (Base)'!J25</f>
        <v>0</v>
      </c>
      <c r="K25" s="101">
        <f>'BS (Adjusted)'!K25-'BS (Base)'!K25</f>
        <v>0</v>
      </c>
      <c r="L25" s="101">
        <f>'BS (Adjusted)'!L25-'BS (Base)'!L25</f>
        <v>0</v>
      </c>
      <c r="M25" s="169">
        <f>'BS (Adjusted)'!M25-'BS (Base)'!M25</f>
        <v>0</v>
      </c>
      <c r="N25" s="101">
        <f>'BS (Adjusted)'!N25-'BS (Base)'!N25</f>
        <v>0</v>
      </c>
      <c r="O25" s="101">
        <f>'BS (Adjusted)'!O25-'BS (Base)'!O25</f>
        <v>0</v>
      </c>
      <c r="P25" s="101">
        <f>'BS (Adjusted)'!P25-'BS (Base)'!P25</f>
        <v>0</v>
      </c>
      <c r="Q25" s="101">
        <f>'BS (Adjusted)'!Q25-'BS (Base)'!Q25</f>
        <v>0</v>
      </c>
      <c r="R25" s="169">
        <f>'BS (Adjusted)'!R25-'BS (Base)'!R25</f>
        <v>0</v>
      </c>
      <c r="S25" s="101">
        <f>'BS (Adjusted)'!S25-'BS (Base)'!S25</f>
        <v>0</v>
      </c>
      <c r="T25" s="101">
        <f>'BS (Adjusted)'!T25-'BS (Base)'!T25</f>
        <v>0</v>
      </c>
      <c r="U25" s="101">
        <f>'BS (Adjusted)'!U25-'BS (Base)'!U25</f>
        <v>0</v>
      </c>
      <c r="V25" s="101">
        <f>'BS (Adjusted)'!V25-'BS (Base)'!V25</f>
        <v>0</v>
      </c>
      <c r="W25" s="169">
        <f>'BS (Adjusted)'!W25-'BS (Base)'!W25</f>
        <v>0</v>
      </c>
      <c r="X25" s="101">
        <f>'BS (Adjusted)'!X25-'BS (Base)'!X25</f>
        <v>0</v>
      </c>
      <c r="Y25" s="33">
        <f>'BS (Adjusted)'!Y25-'BS (Base)'!Y25</f>
        <v>0</v>
      </c>
      <c r="Z25" s="33">
        <f>'BS (Adjusted)'!Z25-'BS (Base)'!Z25</f>
        <v>0</v>
      </c>
      <c r="AA25" s="33">
        <f>'BS (Adjusted)'!AA25-'BS (Base)'!AA25</f>
        <v>0</v>
      </c>
      <c r="AB25" s="169">
        <f>'BS (Adjusted)'!AB25-'BS (Base)'!AB25</f>
        <v>0</v>
      </c>
      <c r="AC25" s="33">
        <f>'BS (Adjusted)'!AC25-'BS (Base)'!AC25</f>
        <v>0</v>
      </c>
      <c r="AD25" s="33">
        <f>'BS (Adjusted)'!AD25-'BS (Base)'!AD25</f>
        <v>0</v>
      </c>
      <c r="AE25" s="33">
        <f>'BS (Adjusted)'!AE25-'BS (Base)'!AE25</f>
        <v>0</v>
      </c>
      <c r="AF25" s="33">
        <f>'BS (Adjusted)'!AF25-'BS (Base)'!AF25</f>
        <v>0</v>
      </c>
      <c r="AG25" s="169">
        <f>'BS (Adjusted)'!AG25-'BS (Base)'!AG25</f>
        <v>0</v>
      </c>
      <c r="AH25" s="33">
        <f>'BS (Adjusted)'!AH25-'BS (Base)'!AH25</f>
        <v>0</v>
      </c>
      <c r="AI25" s="33">
        <f>'BS (Adjusted)'!AI25-'BS (Base)'!AI25</f>
        <v>0</v>
      </c>
      <c r="AJ25" s="33">
        <f>'BS (Adjusted)'!AJ25-'BS (Base)'!AJ25</f>
        <v>0</v>
      </c>
      <c r="AK25" s="33">
        <f>'BS (Adjusted)'!AK25-'BS (Base)'!AK25</f>
        <v>0</v>
      </c>
      <c r="AL25" s="169">
        <f>'BS (Adjusted)'!AL25-'BS (Base)'!AL25</f>
        <v>0</v>
      </c>
      <c r="AM25" s="33">
        <f>'BS (Adjusted)'!AM25-'BS (Base)'!AM25</f>
        <v>0</v>
      </c>
      <c r="AN25" s="33">
        <f>'BS (Adjusted)'!AN25-'BS (Base)'!AN25</f>
        <v>0</v>
      </c>
      <c r="AO25" s="33">
        <f>'BS (Adjusted)'!AO25-'BS (Base)'!AO25</f>
        <v>0</v>
      </c>
      <c r="AP25" s="33">
        <f>'BS (Adjusted)'!AP25-'BS (Base)'!AP25</f>
        <v>0</v>
      </c>
      <c r="AQ25" s="169">
        <f>'BS (Adjusted)'!AQ25-'BS (Base)'!AQ25</f>
        <v>0</v>
      </c>
      <c r="AR25" s="33">
        <f>'BS (Adjusted)'!AR25-'BS (Base)'!AR25</f>
        <v>0</v>
      </c>
      <c r="AS25" s="33">
        <f>'BS (Adjusted)'!AS25-'BS (Base)'!AS25</f>
        <v>0</v>
      </c>
      <c r="AT25" s="33">
        <f>'BS (Adjusted)'!AT25-'BS (Base)'!AT25</f>
        <v>0</v>
      </c>
      <c r="AU25" s="33">
        <f>'BS (Adjusted)'!AU25-'BS (Base)'!AU25</f>
        <v>0</v>
      </c>
      <c r="AV25" s="169">
        <f>'BS (Adjusted)'!AV25-'BS (Base)'!AV25</f>
        <v>0</v>
      </c>
    </row>
    <row r="26" spans="1:48" outlineLevel="1" x14ac:dyDescent="0.3">
      <c r="A26" s="161"/>
      <c r="B26" s="200" t="s">
        <v>232</v>
      </c>
      <c r="C26" s="201"/>
      <c r="D26" s="101">
        <f>'BS (Adjusted)'!D26-'BS (Base)'!D26</f>
        <v>0</v>
      </c>
      <c r="E26" s="101">
        <f>'BS (Adjusted)'!E26-'BS (Base)'!E26</f>
        <v>0</v>
      </c>
      <c r="F26" s="101">
        <f>'BS (Adjusted)'!F26-'BS (Base)'!F26</f>
        <v>0</v>
      </c>
      <c r="G26" s="101">
        <f>'BS (Adjusted)'!G26-'BS (Base)'!G26</f>
        <v>0</v>
      </c>
      <c r="H26" s="169">
        <f>'BS (Adjusted)'!H26-'BS (Base)'!H26</f>
        <v>0</v>
      </c>
      <c r="I26" s="101">
        <f>'BS (Adjusted)'!I26-'BS (Base)'!I26</f>
        <v>0</v>
      </c>
      <c r="J26" s="101">
        <f>'BS (Adjusted)'!J26-'BS (Base)'!J26</f>
        <v>0</v>
      </c>
      <c r="K26" s="101">
        <f>'BS (Adjusted)'!K26-'BS (Base)'!K26</f>
        <v>0</v>
      </c>
      <c r="L26" s="101">
        <f>'BS (Adjusted)'!L26-'BS (Base)'!L26</f>
        <v>0</v>
      </c>
      <c r="M26" s="169">
        <f>'BS (Adjusted)'!M26-'BS (Base)'!M26</f>
        <v>0</v>
      </c>
      <c r="N26" s="101">
        <f>'BS (Adjusted)'!N26-'BS (Base)'!N26</f>
        <v>0</v>
      </c>
      <c r="O26" s="101">
        <f>'BS (Adjusted)'!O26-'BS (Base)'!O26</f>
        <v>0</v>
      </c>
      <c r="P26" s="101">
        <f>'BS (Adjusted)'!P26-'BS (Base)'!P26</f>
        <v>0</v>
      </c>
      <c r="Q26" s="101">
        <f>'BS (Adjusted)'!Q26-'BS (Base)'!Q26</f>
        <v>0</v>
      </c>
      <c r="R26" s="169">
        <f>'BS (Adjusted)'!R26-'BS (Base)'!R26</f>
        <v>0</v>
      </c>
      <c r="S26" s="101">
        <f>'BS (Adjusted)'!S26-'BS (Base)'!S26</f>
        <v>0</v>
      </c>
      <c r="T26" s="101">
        <f>'BS (Adjusted)'!T26-'BS (Base)'!T26</f>
        <v>0</v>
      </c>
      <c r="U26" s="101">
        <f>'BS (Adjusted)'!U26-'BS (Base)'!U26</f>
        <v>0</v>
      </c>
      <c r="V26" s="101">
        <f>'BS (Adjusted)'!V26-'BS (Base)'!V26</f>
        <v>0</v>
      </c>
      <c r="W26" s="169">
        <f>'BS (Adjusted)'!W26-'BS (Base)'!W26</f>
        <v>0</v>
      </c>
      <c r="X26" s="101">
        <f>'BS (Adjusted)'!X26-'BS (Base)'!X26</f>
        <v>0</v>
      </c>
      <c r="Y26" s="33">
        <f>'BS (Adjusted)'!Y26-'BS (Base)'!Y26</f>
        <v>0</v>
      </c>
      <c r="Z26" s="33">
        <f>'BS (Adjusted)'!Z26-'BS (Base)'!Z26</f>
        <v>0</v>
      </c>
      <c r="AA26" s="33">
        <f>'BS (Adjusted)'!AA26-'BS (Base)'!AA26</f>
        <v>0</v>
      </c>
      <c r="AB26" s="169">
        <f>'BS (Adjusted)'!AB26-'BS (Base)'!AB26</f>
        <v>0</v>
      </c>
      <c r="AC26" s="33">
        <f>'BS (Adjusted)'!AC26-'BS (Base)'!AC26</f>
        <v>0</v>
      </c>
      <c r="AD26" s="33">
        <f>'BS (Adjusted)'!AD26-'BS (Base)'!AD26</f>
        <v>0</v>
      </c>
      <c r="AE26" s="33">
        <f>'BS (Adjusted)'!AE26-'BS (Base)'!AE26</f>
        <v>0</v>
      </c>
      <c r="AF26" s="33">
        <f>'BS (Adjusted)'!AF26-'BS (Base)'!AF26</f>
        <v>0</v>
      </c>
      <c r="AG26" s="169">
        <f>'BS (Adjusted)'!AG26-'BS (Base)'!AG26</f>
        <v>0</v>
      </c>
      <c r="AH26" s="33">
        <f>'BS (Adjusted)'!AH26-'BS (Base)'!AH26</f>
        <v>0</v>
      </c>
      <c r="AI26" s="33">
        <f>'BS (Adjusted)'!AI26-'BS (Base)'!AI26</f>
        <v>0</v>
      </c>
      <c r="AJ26" s="33">
        <f>'BS (Adjusted)'!AJ26-'BS (Base)'!AJ26</f>
        <v>0</v>
      </c>
      <c r="AK26" s="33">
        <f>'BS (Adjusted)'!AK26-'BS (Base)'!AK26</f>
        <v>0</v>
      </c>
      <c r="AL26" s="169">
        <f>'BS (Adjusted)'!AL26-'BS (Base)'!AL26</f>
        <v>0</v>
      </c>
      <c r="AM26" s="33">
        <f>'BS (Adjusted)'!AM26-'BS (Base)'!AM26</f>
        <v>0</v>
      </c>
      <c r="AN26" s="33">
        <f>'BS (Adjusted)'!AN26-'BS (Base)'!AN26</f>
        <v>0</v>
      </c>
      <c r="AO26" s="33">
        <f>'BS (Adjusted)'!AO26-'BS (Base)'!AO26</f>
        <v>0</v>
      </c>
      <c r="AP26" s="33">
        <f>'BS (Adjusted)'!AP26-'BS (Base)'!AP26</f>
        <v>0</v>
      </c>
      <c r="AQ26" s="169">
        <f>'BS (Adjusted)'!AQ26-'BS (Base)'!AQ26</f>
        <v>0</v>
      </c>
      <c r="AR26" s="33">
        <f>'BS (Adjusted)'!AR26-'BS (Base)'!AR26</f>
        <v>0</v>
      </c>
      <c r="AS26" s="33">
        <f>'BS (Adjusted)'!AS26-'BS (Base)'!AS26</f>
        <v>0</v>
      </c>
      <c r="AT26" s="33">
        <f>'BS (Adjusted)'!AT26-'BS (Base)'!AT26</f>
        <v>0</v>
      </c>
      <c r="AU26" s="33">
        <f>'BS (Adjusted)'!AU26-'BS (Base)'!AU26</f>
        <v>0</v>
      </c>
      <c r="AV26" s="169">
        <f>'BS (Adjusted)'!AV26-'BS (Base)'!AV26</f>
        <v>0</v>
      </c>
    </row>
    <row r="27" spans="1:48" outlineLevel="1" x14ac:dyDescent="0.3">
      <c r="A27" s="161"/>
      <c r="B27" s="200" t="s">
        <v>233</v>
      </c>
      <c r="C27" s="201"/>
      <c r="D27" s="101">
        <f>'BS (Adjusted)'!D27-'BS (Base)'!D27</f>
        <v>0</v>
      </c>
      <c r="E27" s="101">
        <f>'BS (Adjusted)'!E27-'BS (Base)'!E27</f>
        <v>0</v>
      </c>
      <c r="F27" s="101">
        <f>'BS (Adjusted)'!F27-'BS (Base)'!F27</f>
        <v>0</v>
      </c>
      <c r="G27" s="101">
        <f>'BS (Adjusted)'!G27-'BS (Base)'!G27</f>
        <v>0</v>
      </c>
      <c r="H27" s="169">
        <f>'BS (Adjusted)'!H27-'BS (Base)'!H27</f>
        <v>0</v>
      </c>
      <c r="I27" s="101">
        <f>'BS (Adjusted)'!I27-'BS (Base)'!I27</f>
        <v>0</v>
      </c>
      <c r="J27" s="101">
        <f>'BS (Adjusted)'!J27-'BS (Base)'!J27</f>
        <v>0</v>
      </c>
      <c r="K27" s="101">
        <f>'BS (Adjusted)'!K27-'BS (Base)'!K27</f>
        <v>0</v>
      </c>
      <c r="L27" s="101">
        <f>'BS (Adjusted)'!L27-'BS (Base)'!L27</f>
        <v>0</v>
      </c>
      <c r="M27" s="169">
        <f>'BS (Adjusted)'!M27-'BS (Base)'!M27</f>
        <v>0</v>
      </c>
      <c r="N27" s="101">
        <f>'BS (Adjusted)'!N27-'BS (Base)'!N27</f>
        <v>0</v>
      </c>
      <c r="O27" s="101">
        <f>'BS (Adjusted)'!O27-'BS (Base)'!O27</f>
        <v>0</v>
      </c>
      <c r="P27" s="101">
        <f>'BS (Adjusted)'!P27-'BS (Base)'!P27</f>
        <v>0</v>
      </c>
      <c r="Q27" s="101">
        <f>'BS (Adjusted)'!Q27-'BS (Base)'!Q27</f>
        <v>0</v>
      </c>
      <c r="R27" s="169">
        <f>'BS (Adjusted)'!R27-'BS (Base)'!R27</f>
        <v>0</v>
      </c>
      <c r="S27" s="101">
        <f>'BS (Adjusted)'!S27-'BS (Base)'!S27</f>
        <v>0</v>
      </c>
      <c r="T27" s="101">
        <f>'BS (Adjusted)'!T27-'BS (Base)'!T27</f>
        <v>0</v>
      </c>
      <c r="U27" s="101">
        <f>'BS (Adjusted)'!U27-'BS (Base)'!U27</f>
        <v>0</v>
      </c>
      <c r="V27" s="101">
        <f>'BS (Adjusted)'!V27-'BS (Base)'!V27</f>
        <v>0</v>
      </c>
      <c r="W27" s="169">
        <f>'BS (Adjusted)'!W27-'BS (Base)'!W27</f>
        <v>0</v>
      </c>
      <c r="X27" s="101">
        <f>'BS (Adjusted)'!X27-'BS (Base)'!X27</f>
        <v>0</v>
      </c>
      <c r="Y27" s="33">
        <f>'BS (Adjusted)'!Y27-'BS (Base)'!Y27</f>
        <v>0</v>
      </c>
      <c r="Z27" s="33">
        <f>'BS (Adjusted)'!Z27-'BS (Base)'!Z27</f>
        <v>0</v>
      </c>
      <c r="AA27" s="33">
        <f>'BS (Adjusted)'!AA27-'BS (Base)'!AA27</f>
        <v>0</v>
      </c>
      <c r="AB27" s="169">
        <f>'BS (Adjusted)'!AB27-'BS (Base)'!AB27</f>
        <v>0</v>
      </c>
      <c r="AC27" s="33">
        <f>'BS (Adjusted)'!AC27-'BS (Base)'!AC27</f>
        <v>0</v>
      </c>
      <c r="AD27" s="33">
        <f>'BS (Adjusted)'!AD27-'BS (Base)'!AD27</f>
        <v>0</v>
      </c>
      <c r="AE27" s="33">
        <f>'BS (Adjusted)'!AE27-'BS (Base)'!AE27</f>
        <v>0</v>
      </c>
      <c r="AF27" s="33">
        <f>'BS (Adjusted)'!AF27-'BS (Base)'!AF27</f>
        <v>0</v>
      </c>
      <c r="AG27" s="169">
        <f>'BS (Adjusted)'!AG27-'BS (Base)'!AG27</f>
        <v>0</v>
      </c>
      <c r="AH27" s="33">
        <f>'BS (Adjusted)'!AH27-'BS (Base)'!AH27</f>
        <v>0</v>
      </c>
      <c r="AI27" s="33">
        <f>'BS (Adjusted)'!AI27-'BS (Base)'!AI27</f>
        <v>0</v>
      </c>
      <c r="AJ27" s="33">
        <f>'BS (Adjusted)'!AJ27-'BS (Base)'!AJ27</f>
        <v>0</v>
      </c>
      <c r="AK27" s="33">
        <f>'BS (Adjusted)'!AK27-'BS (Base)'!AK27</f>
        <v>0</v>
      </c>
      <c r="AL27" s="169">
        <f>'BS (Adjusted)'!AL27-'BS (Base)'!AL27</f>
        <v>0</v>
      </c>
      <c r="AM27" s="33">
        <f>'BS (Adjusted)'!AM27-'BS (Base)'!AM27</f>
        <v>0</v>
      </c>
      <c r="AN27" s="33">
        <f>'BS (Adjusted)'!AN27-'BS (Base)'!AN27</f>
        <v>0</v>
      </c>
      <c r="AO27" s="33">
        <f>'BS (Adjusted)'!AO27-'BS (Base)'!AO27</f>
        <v>0</v>
      </c>
      <c r="AP27" s="33">
        <f>'BS (Adjusted)'!AP27-'BS (Base)'!AP27</f>
        <v>0</v>
      </c>
      <c r="AQ27" s="169">
        <f>'BS (Adjusted)'!AQ27-'BS (Base)'!AQ27</f>
        <v>0</v>
      </c>
      <c r="AR27" s="33">
        <f>'BS (Adjusted)'!AR27-'BS (Base)'!AR27</f>
        <v>0</v>
      </c>
      <c r="AS27" s="33">
        <f>'BS (Adjusted)'!AS27-'BS (Base)'!AS27</f>
        <v>0</v>
      </c>
      <c r="AT27" s="33">
        <f>'BS (Adjusted)'!AT27-'BS (Base)'!AT27</f>
        <v>0</v>
      </c>
      <c r="AU27" s="33">
        <f>'BS (Adjusted)'!AU27-'BS (Base)'!AU27</f>
        <v>0</v>
      </c>
      <c r="AV27" s="169">
        <f>'BS (Adjusted)'!AV27-'BS (Base)'!AV27</f>
        <v>0</v>
      </c>
    </row>
    <row r="28" spans="1:48" outlineLevel="1" x14ac:dyDescent="0.3">
      <c r="A28" s="161"/>
      <c r="B28" s="200" t="s">
        <v>234</v>
      </c>
      <c r="C28" s="201"/>
      <c r="D28" s="101">
        <f>'BS (Adjusted)'!D28-'BS (Base)'!D28</f>
        <v>0</v>
      </c>
      <c r="E28" s="101">
        <f>'BS (Adjusted)'!E28-'BS (Base)'!E28</f>
        <v>0</v>
      </c>
      <c r="F28" s="101">
        <f>'BS (Adjusted)'!F28-'BS (Base)'!F28</f>
        <v>0</v>
      </c>
      <c r="G28" s="101">
        <f>'BS (Adjusted)'!G28-'BS (Base)'!G28</f>
        <v>0</v>
      </c>
      <c r="H28" s="169">
        <f>'BS (Adjusted)'!H28-'BS (Base)'!H28</f>
        <v>0</v>
      </c>
      <c r="I28" s="101">
        <f>'BS (Adjusted)'!I28-'BS (Base)'!I28</f>
        <v>0</v>
      </c>
      <c r="J28" s="101">
        <f>'BS (Adjusted)'!J28-'BS (Base)'!J28</f>
        <v>0</v>
      </c>
      <c r="K28" s="101">
        <f>'BS (Adjusted)'!K28-'BS (Base)'!K28</f>
        <v>0</v>
      </c>
      <c r="L28" s="101">
        <f>'BS (Adjusted)'!L28-'BS (Base)'!L28</f>
        <v>0</v>
      </c>
      <c r="M28" s="169">
        <f>'BS (Adjusted)'!M28-'BS (Base)'!M28</f>
        <v>0</v>
      </c>
      <c r="N28" s="101">
        <f>'BS (Adjusted)'!N28-'BS (Base)'!N28</f>
        <v>0</v>
      </c>
      <c r="O28" s="101">
        <f>'BS (Adjusted)'!O28-'BS (Base)'!O28</f>
        <v>0</v>
      </c>
      <c r="P28" s="101">
        <f>'BS (Adjusted)'!P28-'BS (Base)'!P28</f>
        <v>0</v>
      </c>
      <c r="Q28" s="101">
        <f>'BS (Adjusted)'!Q28-'BS (Base)'!Q28</f>
        <v>0</v>
      </c>
      <c r="R28" s="169">
        <f>'BS (Adjusted)'!R28-'BS (Base)'!R28</f>
        <v>0</v>
      </c>
      <c r="S28" s="101">
        <f>'BS (Adjusted)'!S28-'BS (Base)'!S28</f>
        <v>0</v>
      </c>
      <c r="T28" s="101">
        <f>'BS (Adjusted)'!T28-'BS (Base)'!T28</f>
        <v>0</v>
      </c>
      <c r="U28" s="101">
        <f>'BS (Adjusted)'!U28-'BS (Base)'!U28</f>
        <v>0</v>
      </c>
      <c r="V28" s="101">
        <f>'BS (Adjusted)'!V28-'BS (Base)'!V28</f>
        <v>0</v>
      </c>
      <c r="W28" s="169">
        <f>'BS (Adjusted)'!W28-'BS (Base)'!W28</f>
        <v>0</v>
      </c>
      <c r="X28" s="101">
        <f>'BS (Adjusted)'!X28-'BS (Base)'!X28</f>
        <v>0</v>
      </c>
      <c r="Y28" s="33">
        <f>'BS (Adjusted)'!Y28-'BS (Base)'!Y28</f>
        <v>0</v>
      </c>
      <c r="Z28" s="33">
        <f>'BS (Adjusted)'!Z28-'BS (Base)'!Z28</f>
        <v>0</v>
      </c>
      <c r="AA28" s="33">
        <f>'BS (Adjusted)'!AA28-'BS (Base)'!AA28</f>
        <v>0</v>
      </c>
      <c r="AB28" s="169">
        <f>'BS (Adjusted)'!AB28-'BS (Base)'!AB28</f>
        <v>0</v>
      </c>
      <c r="AC28" s="33">
        <f>'BS (Adjusted)'!AC28-'BS (Base)'!AC28</f>
        <v>0</v>
      </c>
      <c r="AD28" s="33">
        <f>'BS (Adjusted)'!AD28-'BS (Base)'!AD28</f>
        <v>0</v>
      </c>
      <c r="AE28" s="33">
        <f>'BS (Adjusted)'!AE28-'BS (Base)'!AE28</f>
        <v>0</v>
      </c>
      <c r="AF28" s="33">
        <f>'BS (Adjusted)'!AF28-'BS (Base)'!AF28</f>
        <v>0</v>
      </c>
      <c r="AG28" s="169">
        <f>'BS (Adjusted)'!AG28-'BS (Base)'!AG28</f>
        <v>0</v>
      </c>
      <c r="AH28" s="33">
        <f>'BS (Adjusted)'!AH28-'BS (Base)'!AH28</f>
        <v>0</v>
      </c>
      <c r="AI28" s="33">
        <f>'BS (Adjusted)'!AI28-'BS (Base)'!AI28</f>
        <v>0</v>
      </c>
      <c r="AJ28" s="33">
        <f>'BS (Adjusted)'!AJ28-'BS (Base)'!AJ28</f>
        <v>0</v>
      </c>
      <c r="AK28" s="33">
        <f>'BS (Adjusted)'!AK28-'BS (Base)'!AK28</f>
        <v>0</v>
      </c>
      <c r="AL28" s="169">
        <f>'BS (Adjusted)'!AL28-'BS (Base)'!AL28</f>
        <v>0</v>
      </c>
      <c r="AM28" s="33">
        <f>'BS (Adjusted)'!AM28-'BS (Base)'!AM28</f>
        <v>0</v>
      </c>
      <c r="AN28" s="33">
        <f>'BS (Adjusted)'!AN28-'BS (Base)'!AN28</f>
        <v>0</v>
      </c>
      <c r="AO28" s="33">
        <f>'BS (Adjusted)'!AO28-'BS (Base)'!AO28</f>
        <v>0</v>
      </c>
      <c r="AP28" s="33">
        <f>'BS (Adjusted)'!AP28-'BS (Base)'!AP28</f>
        <v>0</v>
      </c>
      <c r="AQ28" s="169">
        <f>'BS (Adjusted)'!AQ28-'BS (Base)'!AQ28</f>
        <v>0</v>
      </c>
      <c r="AR28" s="33">
        <f>'BS (Adjusted)'!AR28-'BS (Base)'!AR28</f>
        <v>0</v>
      </c>
      <c r="AS28" s="33">
        <f>'BS (Adjusted)'!AS28-'BS (Base)'!AS28</f>
        <v>0</v>
      </c>
      <c r="AT28" s="33">
        <f>'BS (Adjusted)'!AT28-'BS (Base)'!AT28</f>
        <v>0</v>
      </c>
      <c r="AU28" s="33">
        <f>'BS (Adjusted)'!AU28-'BS (Base)'!AU28</f>
        <v>0</v>
      </c>
      <c r="AV28" s="169">
        <f>'BS (Adjusted)'!AV28-'BS (Base)'!AV28</f>
        <v>0</v>
      </c>
    </row>
    <row r="29" spans="1:48" ht="16.2" outlineLevel="1" x14ac:dyDescent="0.45">
      <c r="A29" s="161"/>
      <c r="B29" s="200" t="s">
        <v>235</v>
      </c>
      <c r="C29" s="201"/>
      <c r="D29" s="112">
        <f>'BS (Adjusted)'!D29-'BS (Base)'!D29</f>
        <v>0</v>
      </c>
      <c r="E29" s="112">
        <f>'BS (Adjusted)'!E29-'BS (Base)'!E29</f>
        <v>0</v>
      </c>
      <c r="F29" s="112">
        <f>'BS (Adjusted)'!F29-'BS (Base)'!F29</f>
        <v>0</v>
      </c>
      <c r="G29" s="112">
        <f>'BS (Adjusted)'!G29-'BS (Base)'!G29</f>
        <v>0</v>
      </c>
      <c r="H29" s="262">
        <f>'BS (Adjusted)'!H29-'BS (Base)'!H29</f>
        <v>0</v>
      </c>
      <c r="I29" s="112">
        <f>'BS (Adjusted)'!I29-'BS (Base)'!I29</f>
        <v>0</v>
      </c>
      <c r="J29" s="112">
        <f>'BS (Adjusted)'!J29-'BS (Base)'!J29</f>
        <v>0</v>
      </c>
      <c r="K29" s="112">
        <f>'BS (Adjusted)'!K29-'BS (Base)'!K29</f>
        <v>0</v>
      </c>
      <c r="L29" s="112">
        <f>'BS (Adjusted)'!L29-'BS (Base)'!L29</f>
        <v>0</v>
      </c>
      <c r="M29" s="262">
        <f>'BS (Adjusted)'!M29-'BS (Base)'!M29</f>
        <v>0</v>
      </c>
      <c r="N29" s="112">
        <f>'BS (Adjusted)'!N29-'BS (Base)'!N29</f>
        <v>0</v>
      </c>
      <c r="O29" s="112">
        <f>'BS (Adjusted)'!O29-'BS (Base)'!O29</f>
        <v>0</v>
      </c>
      <c r="P29" s="112">
        <f>'BS (Adjusted)'!P29-'BS (Base)'!P29</f>
        <v>0</v>
      </c>
      <c r="Q29" s="112">
        <f>'BS (Adjusted)'!Q29-'BS (Base)'!Q29</f>
        <v>0</v>
      </c>
      <c r="R29" s="262">
        <f>'BS (Adjusted)'!R29-'BS (Base)'!R29</f>
        <v>0</v>
      </c>
      <c r="S29" s="112">
        <f>'BS (Adjusted)'!S29-'BS (Base)'!S29</f>
        <v>0</v>
      </c>
      <c r="T29" s="112">
        <f>'BS (Adjusted)'!T29-'BS (Base)'!T29</f>
        <v>0</v>
      </c>
      <c r="U29" s="112">
        <f>'BS (Adjusted)'!U29-'BS (Base)'!U29</f>
        <v>0</v>
      </c>
      <c r="V29" s="112">
        <f>'BS (Adjusted)'!V29-'BS (Base)'!V29</f>
        <v>0</v>
      </c>
      <c r="W29" s="262">
        <f>'BS (Adjusted)'!W29-'BS (Base)'!W29</f>
        <v>0</v>
      </c>
      <c r="X29" s="112">
        <f>'BS (Adjusted)'!X29-'BS (Base)'!X29</f>
        <v>0</v>
      </c>
      <c r="Y29" s="32">
        <f>'BS (Adjusted)'!Y29-'BS (Base)'!Y29</f>
        <v>0</v>
      </c>
      <c r="Z29" s="32">
        <f>'BS (Adjusted)'!Z29-'BS (Base)'!Z29</f>
        <v>0</v>
      </c>
      <c r="AA29" s="32">
        <f>'BS (Adjusted)'!AA29-'BS (Base)'!AA29</f>
        <v>0</v>
      </c>
      <c r="AB29" s="262">
        <f>'BS (Adjusted)'!AB29-'BS (Base)'!AB29</f>
        <v>0</v>
      </c>
      <c r="AC29" s="32">
        <f>'BS (Adjusted)'!AC29-'BS (Base)'!AC29</f>
        <v>0</v>
      </c>
      <c r="AD29" s="32">
        <f>'BS (Adjusted)'!AD29-'BS (Base)'!AD29</f>
        <v>0</v>
      </c>
      <c r="AE29" s="32">
        <f>'BS (Adjusted)'!AE29-'BS (Base)'!AE29</f>
        <v>0</v>
      </c>
      <c r="AF29" s="32">
        <f>'BS (Adjusted)'!AF29-'BS (Base)'!AF29</f>
        <v>0</v>
      </c>
      <c r="AG29" s="262">
        <f>'BS (Adjusted)'!AG29-'BS (Base)'!AG29</f>
        <v>0</v>
      </c>
      <c r="AH29" s="32">
        <f>'BS (Adjusted)'!AH29-'BS (Base)'!AH29</f>
        <v>0</v>
      </c>
      <c r="AI29" s="32">
        <f>'BS (Adjusted)'!AI29-'BS (Base)'!AI29</f>
        <v>0</v>
      </c>
      <c r="AJ29" s="32">
        <f>'BS (Adjusted)'!AJ29-'BS (Base)'!AJ29</f>
        <v>0</v>
      </c>
      <c r="AK29" s="32">
        <f>'BS (Adjusted)'!AK29-'BS (Base)'!AK29</f>
        <v>0</v>
      </c>
      <c r="AL29" s="262">
        <f>'BS (Adjusted)'!AL29-'BS (Base)'!AL29</f>
        <v>0</v>
      </c>
      <c r="AM29" s="32">
        <f>'BS (Adjusted)'!AM29-'BS (Base)'!AM29</f>
        <v>0</v>
      </c>
      <c r="AN29" s="32">
        <f>'BS (Adjusted)'!AN29-'BS (Base)'!AN29</f>
        <v>0</v>
      </c>
      <c r="AO29" s="32">
        <f>'BS (Adjusted)'!AO29-'BS (Base)'!AO29</f>
        <v>0</v>
      </c>
      <c r="AP29" s="32">
        <f>'BS (Adjusted)'!AP29-'BS (Base)'!AP29</f>
        <v>0</v>
      </c>
      <c r="AQ29" s="262">
        <f>'BS (Adjusted)'!AQ29-'BS (Base)'!AQ29</f>
        <v>0</v>
      </c>
      <c r="AR29" s="32">
        <f>'BS (Adjusted)'!AR29-'BS (Base)'!AR29</f>
        <v>0</v>
      </c>
      <c r="AS29" s="32">
        <f>'BS (Adjusted)'!AS29-'BS (Base)'!AS29</f>
        <v>0</v>
      </c>
      <c r="AT29" s="32">
        <f>'BS (Adjusted)'!AT29-'BS (Base)'!AT29</f>
        <v>0</v>
      </c>
      <c r="AU29" s="32">
        <f>'BS (Adjusted)'!AU29-'BS (Base)'!AU29</f>
        <v>0</v>
      </c>
      <c r="AV29" s="262">
        <f>'BS (Adjusted)'!AV29-'BS (Base)'!AV29</f>
        <v>0</v>
      </c>
    </row>
    <row r="30" spans="1:48" outlineLevel="1" x14ac:dyDescent="0.3">
      <c r="A30" s="161"/>
      <c r="B30" s="205" t="s">
        <v>236</v>
      </c>
      <c r="C30" s="201"/>
      <c r="D30" s="116">
        <f>'BS (Adjusted)'!D30-'BS (Base)'!D30</f>
        <v>0</v>
      </c>
      <c r="E30" s="116">
        <f>'BS (Adjusted)'!E30-'BS (Base)'!E30</f>
        <v>0</v>
      </c>
      <c r="F30" s="116">
        <f>'BS (Adjusted)'!F30-'BS (Base)'!F30</f>
        <v>0</v>
      </c>
      <c r="G30" s="116">
        <f>'BS (Adjusted)'!G30-'BS (Base)'!G30</f>
        <v>0</v>
      </c>
      <c r="H30" s="150">
        <f>'BS (Adjusted)'!H30-'BS (Base)'!H30</f>
        <v>0</v>
      </c>
      <c r="I30" s="116">
        <f>'BS (Adjusted)'!I30-'BS (Base)'!I30</f>
        <v>0</v>
      </c>
      <c r="J30" s="116">
        <f>'BS (Adjusted)'!J30-'BS (Base)'!J30</f>
        <v>0</v>
      </c>
      <c r="K30" s="116">
        <f>'BS (Adjusted)'!K30-'BS (Base)'!K30</f>
        <v>0</v>
      </c>
      <c r="L30" s="116">
        <f>'BS (Adjusted)'!L30-'BS (Base)'!L30</f>
        <v>0</v>
      </c>
      <c r="M30" s="150">
        <f>'BS (Adjusted)'!M30-'BS (Base)'!M30</f>
        <v>0</v>
      </c>
      <c r="N30" s="116">
        <f>'BS (Adjusted)'!N30-'BS (Base)'!N30</f>
        <v>0</v>
      </c>
      <c r="O30" s="116">
        <f>'BS (Adjusted)'!O30-'BS (Base)'!O30</f>
        <v>0</v>
      </c>
      <c r="P30" s="116">
        <f>'BS (Adjusted)'!P30-'BS (Base)'!P30</f>
        <v>0</v>
      </c>
      <c r="Q30" s="116">
        <f>'BS (Adjusted)'!Q30-'BS (Base)'!Q30</f>
        <v>0</v>
      </c>
      <c r="R30" s="150">
        <f>'BS (Adjusted)'!R30-'BS (Base)'!R30</f>
        <v>0</v>
      </c>
      <c r="S30" s="116">
        <f>'BS (Adjusted)'!S30-'BS (Base)'!S30</f>
        <v>0</v>
      </c>
      <c r="T30" s="116">
        <f>'BS (Adjusted)'!T30-'BS (Base)'!T30</f>
        <v>0</v>
      </c>
      <c r="U30" s="116">
        <f>'BS (Adjusted)'!U30-'BS (Base)'!U30</f>
        <v>0</v>
      </c>
      <c r="V30" s="116">
        <f>'BS (Adjusted)'!V30-'BS (Base)'!V30</f>
        <v>0</v>
      </c>
      <c r="W30" s="150">
        <f>'BS (Adjusted)'!W30-'BS (Base)'!W30</f>
        <v>0</v>
      </c>
      <c r="X30" s="116">
        <f>'BS (Adjusted)'!X30-'BS (Base)'!X30</f>
        <v>0</v>
      </c>
      <c r="Y30" s="116">
        <f>'BS (Adjusted)'!Y30-'BS (Base)'!Y30</f>
        <v>0</v>
      </c>
      <c r="Z30" s="116">
        <f>'BS (Adjusted)'!Z30-'BS (Base)'!Z30</f>
        <v>0</v>
      </c>
      <c r="AA30" s="116">
        <f>'BS (Adjusted)'!AA30-'BS (Base)'!AA30</f>
        <v>0</v>
      </c>
      <c r="AB30" s="150">
        <f>'BS (Adjusted)'!AB30-'BS (Base)'!AB30</f>
        <v>0</v>
      </c>
      <c r="AC30" s="116">
        <f>'BS (Adjusted)'!AC30-'BS (Base)'!AC30</f>
        <v>0</v>
      </c>
      <c r="AD30" s="116">
        <f>'BS (Adjusted)'!AD30-'BS (Base)'!AD30</f>
        <v>0</v>
      </c>
      <c r="AE30" s="116">
        <f>'BS (Adjusted)'!AE30-'BS (Base)'!AE30</f>
        <v>0</v>
      </c>
      <c r="AF30" s="116">
        <f>'BS (Adjusted)'!AF30-'BS (Base)'!AF30</f>
        <v>0</v>
      </c>
      <c r="AG30" s="150">
        <f>'BS (Adjusted)'!AG30-'BS (Base)'!AG30</f>
        <v>0</v>
      </c>
      <c r="AH30" s="116">
        <f>'BS (Adjusted)'!AH30-'BS (Base)'!AH30</f>
        <v>0</v>
      </c>
      <c r="AI30" s="116">
        <f>'BS (Adjusted)'!AI30-'BS (Base)'!AI30</f>
        <v>0</v>
      </c>
      <c r="AJ30" s="116">
        <f>'BS (Adjusted)'!AJ30-'BS (Base)'!AJ30</f>
        <v>0</v>
      </c>
      <c r="AK30" s="116">
        <f>'BS (Adjusted)'!AK30-'BS (Base)'!AK30</f>
        <v>0</v>
      </c>
      <c r="AL30" s="150">
        <f>'BS (Adjusted)'!AL30-'BS (Base)'!AL30</f>
        <v>0</v>
      </c>
      <c r="AM30" s="116">
        <f>'BS (Adjusted)'!AM30-'BS (Base)'!AM30</f>
        <v>0</v>
      </c>
      <c r="AN30" s="116">
        <f>'BS (Adjusted)'!AN30-'BS (Base)'!AN30</f>
        <v>0</v>
      </c>
      <c r="AO30" s="116">
        <f>'BS (Adjusted)'!AO30-'BS (Base)'!AO30</f>
        <v>0</v>
      </c>
      <c r="AP30" s="116">
        <f>'BS (Adjusted)'!AP30-'BS (Base)'!AP30</f>
        <v>0</v>
      </c>
      <c r="AQ30" s="150">
        <f>'BS (Adjusted)'!AQ30-'BS (Base)'!AQ30</f>
        <v>0</v>
      </c>
      <c r="AR30" s="116">
        <f>'BS (Adjusted)'!AR30-'BS (Base)'!AR30</f>
        <v>0</v>
      </c>
      <c r="AS30" s="116">
        <f>'BS (Adjusted)'!AS30-'BS (Base)'!AS30</f>
        <v>0</v>
      </c>
      <c r="AT30" s="116">
        <f>'BS (Adjusted)'!AT30-'BS (Base)'!AT30</f>
        <v>0</v>
      </c>
      <c r="AU30" s="116">
        <f>'BS (Adjusted)'!AU30-'BS (Base)'!AU30</f>
        <v>0</v>
      </c>
      <c r="AV30" s="150">
        <f>'BS (Adjusted)'!AV30-'BS (Base)'!AV30</f>
        <v>0</v>
      </c>
    </row>
    <row r="31" spans="1:48" outlineLevel="1" x14ac:dyDescent="0.3">
      <c r="A31" s="161"/>
      <c r="B31" s="203" t="s">
        <v>237</v>
      </c>
      <c r="C31" s="204"/>
      <c r="D31" s="101">
        <f>'BS (Adjusted)'!D31-'BS (Base)'!D31</f>
        <v>0</v>
      </c>
      <c r="E31" s="101">
        <f>'BS (Adjusted)'!E31-'BS (Base)'!E31</f>
        <v>0</v>
      </c>
      <c r="F31" s="101">
        <f>'BS (Adjusted)'!F31-'BS (Base)'!F31</f>
        <v>0</v>
      </c>
      <c r="G31" s="101">
        <f>'BS (Adjusted)'!G31-'BS (Base)'!G31</f>
        <v>0</v>
      </c>
      <c r="H31" s="169">
        <f>'BS (Adjusted)'!H31-'BS (Base)'!H31</f>
        <v>0</v>
      </c>
      <c r="I31" s="101">
        <f>'BS (Adjusted)'!I31-'BS (Base)'!I31</f>
        <v>0</v>
      </c>
      <c r="J31" s="101">
        <f>'BS (Adjusted)'!J31-'BS (Base)'!J31</f>
        <v>0</v>
      </c>
      <c r="K31" s="101">
        <f>'BS (Adjusted)'!K31-'BS (Base)'!K31</f>
        <v>0</v>
      </c>
      <c r="L31" s="101">
        <f>'BS (Adjusted)'!L31-'BS (Base)'!L31</f>
        <v>0</v>
      </c>
      <c r="M31" s="169">
        <f>'BS (Adjusted)'!M31-'BS (Base)'!M31</f>
        <v>0</v>
      </c>
      <c r="N31" s="101">
        <f>'BS (Adjusted)'!N31-'BS (Base)'!N31</f>
        <v>0</v>
      </c>
      <c r="O31" s="101">
        <f>'BS (Adjusted)'!O31-'BS (Base)'!O31</f>
        <v>0</v>
      </c>
      <c r="P31" s="101">
        <f>'BS (Adjusted)'!P31-'BS (Base)'!P31</f>
        <v>0</v>
      </c>
      <c r="Q31" s="101">
        <f>'BS (Adjusted)'!Q31-'BS (Base)'!Q31</f>
        <v>0</v>
      </c>
      <c r="R31" s="169">
        <f>'BS (Adjusted)'!R31-'BS (Base)'!R31</f>
        <v>0</v>
      </c>
      <c r="S31" s="101">
        <f>'BS (Adjusted)'!S31-'BS (Base)'!S31</f>
        <v>0</v>
      </c>
      <c r="T31" s="101">
        <f>'BS (Adjusted)'!T31-'BS (Base)'!T31</f>
        <v>0</v>
      </c>
      <c r="U31" s="101">
        <f>'BS (Adjusted)'!U31-'BS (Base)'!U31</f>
        <v>0</v>
      </c>
      <c r="V31" s="101">
        <f>'BS (Adjusted)'!V31-'BS (Base)'!V31</f>
        <v>0</v>
      </c>
      <c r="W31" s="169">
        <f>'BS (Adjusted)'!W31-'BS (Base)'!W31</f>
        <v>0</v>
      </c>
      <c r="X31" s="101">
        <f>'BS (Adjusted)'!X31-'BS (Base)'!X31</f>
        <v>0</v>
      </c>
      <c r="Y31" s="33">
        <f>'BS (Adjusted)'!Y31-'BS (Base)'!Y31</f>
        <v>0</v>
      </c>
      <c r="Z31" s="33">
        <f>'BS (Adjusted)'!Z31-'BS (Base)'!Z31</f>
        <v>0</v>
      </c>
      <c r="AA31" s="33">
        <f>'BS (Adjusted)'!AA31-'BS (Base)'!AA31</f>
        <v>0</v>
      </c>
      <c r="AB31" s="169">
        <f>'BS (Adjusted)'!AB31-'BS (Base)'!AB31</f>
        <v>0</v>
      </c>
      <c r="AC31" s="33">
        <f>'BS (Adjusted)'!AC31-'BS (Base)'!AC31</f>
        <v>0</v>
      </c>
      <c r="AD31" s="33">
        <f>'BS (Adjusted)'!AD31-'BS (Base)'!AD31</f>
        <v>0</v>
      </c>
      <c r="AE31" s="33">
        <f>'BS (Adjusted)'!AE31-'BS (Base)'!AE31</f>
        <v>0</v>
      </c>
      <c r="AF31" s="33">
        <f>'BS (Adjusted)'!AF31-'BS (Base)'!AF31</f>
        <v>0</v>
      </c>
      <c r="AG31" s="169">
        <f>'BS (Adjusted)'!AG31-'BS (Base)'!AG31</f>
        <v>0</v>
      </c>
      <c r="AH31" s="33">
        <f>'BS (Adjusted)'!AH31-'BS (Base)'!AH31</f>
        <v>0</v>
      </c>
      <c r="AI31" s="33">
        <f>'BS (Adjusted)'!AI31-'BS (Base)'!AI31</f>
        <v>0</v>
      </c>
      <c r="AJ31" s="33">
        <f>'BS (Adjusted)'!AJ31-'BS (Base)'!AJ31</f>
        <v>0</v>
      </c>
      <c r="AK31" s="33">
        <f>'BS (Adjusted)'!AK31-'BS (Base)'!AK31</f>
        <v>0</v>
      </c>
      <c r="AL31" s="169">
        <f>'BS (Adjusted)'!AL31-'BS (Base)'!AL31</f>
        <v>0</v>
      </c>
      <c r="AM31" s="33">
        <f>'BS (Adjusted)'!AM31-'BS (Base)'!AM31</f>
        <v>0</v>
      </c>
      <c r="AN31" s="33">
        <f>'BS (Adjusted)'!AN31-'BS (Base)'!AN31</f>
        <v>0</v>
      </c>
      <c r="AO31" s="33">
        <f>'BS (Adjusted)'!AO31-'BS (Base)'!AO31</f>
        <v>0</v>
      </c>
      <c r="AP31" s="33">
        <f>'BS (Adjusted)'!AP31-'BS (Base)'!AP31</f>
        <v>0</v>
      </c>
      <c r="AQ31" s="169">
        <f>'BS (Adjusted)'!AQ31-'BS (Base)'!AQ31</f>
        <v>0</v>
      </c>
      <c r="AR31" s="33">
        <f>'BS (Adjusted)'!AR31-'BS (Base)'!AR31</f>
        <v>0</v>
      </c>
      <c r="AS31" s="33">
        <f>'BS (Adjusted)'!AS31-'BS (Base)'!AS31</f>
        <v>0</v>
      </c>
      <c r="AT31" s="33">
        <f>'BS (Adjusted)'!AT31-'BS (Base)'!AT31</f>
        <v>0</v>
      </c>
      <c r="AU31" s="33">
        <f>'BS (Adjusted)'!AU31-'BS (Base)'!AU31</f>
        <v>0</v>
      </c>
      <c r="AV31" s="169">
        <f>'BS (Adjusted)'!AV31-'BS (Base)'!AV31</f>
        <v>0</v>
      </c>
    </row>
    <row r="32" spans="1:48" outlineLevel="1" x14ac:dyDescent="0.3">
      <c r="A32" s="161"/>
      <c r="B32" s="200" t="s">
        <v>238</v>
      </c>
      <c r="C32" s="207"/>
      <c r="D32" s="101">
        <f>'BS (Adjusted)'!D32-'BS (Base)'!D32</f>
        <v>0</v>
      </c>
      <c r="E32" s="101">
        <f>'BS (Adjusted)'!E32-'BS (Base)'!E32</f>
        <v>0</v>
      </c>
      <c r="F32" s="101">
        <f>'BS (Adjusted)'!F32-'BS (Base)'!F32</f>
        <v>0</v>
      </c>
      <c r="G32" s="101">
        <f>'BS (Adjusted)'!G32-'BS (Base)'!G32</f>
        <v>0</v>
      </c>
      <c r="H32" s="169">
        <f>'BS (Adjusted)'!H32-'BS (Base)'!H32</f>
        <v>0</v>
      </c>
      <c r="I32" s="101">
        <f>'BS (Adjusted)'!I32-'BS (Base)'!I32</f>
        <v>0</v>
      </c>
      <c r="J32" s="101">
        <f>'BS (Adjusted)'!J32-'BS (Base)'!J32</f>
        <v>0</v>
      </c>
      <c r="K32" s="101">
        <f>'BS (Adjusted)'!K32-'BS (Base)'!K32</f>
        <v>0</v>
      </c>
      <c r="L32" s="101">
        <f>'BS (Adjusted)'!L32-'BS (Base)'!L32</f>
        <v>0</v>
      </c>
      <c r="M32" s="169">
        <f>'BS (Adjusted)'!M32-'BS (Base)'!M32</f>
        <v>0</v>
      </c>
      <c r="N32" s="101">
        <f>'BS (Adjusted)'!N32-'BS (Base)'!N32</f>
        <v>0</v>
      </c>
      <c r="O32" s="101">
        <f>'BS (Adjusted)'!O32-'BS (Base)'!O32</f>
        <v>0</v>
      </c>
      <c r="P32" s="101">
        <f>'BS (Adjusted)'!P32-'BS (Base)'!P32</f>
        <v>0</v>
      </c>
      <c r="Q32" s="101">
        <f>'BS (Adjusted)'!Q32-'BS (Base)'!Q32</f>
        <v>0</v>
      </c>
      <c r="R32" s="169">
        <f>'BS (Adjusted)'!R32-'BS (Base)'!R32</f>
        <v>0</v>
      </c>
      <c r="S32" s="101">
        <f>'BS (Adjusted)'!S32-'BS (Base)'!S32</f>
        <v>0</v>
      </c>
      <c r="T32" s="101">
        <f>'BS (Adjusted)'!T32-'BS (Base)'!T32</f>
        <v>0</v>
      </c>
      <c r="U32" s="101">
        <f>'BS (Adjusted)'!U32-'BS (Base)'!U32</f>
        <v>0</v>
      </c>
      <c r="V32" s="101">
        <f>'BS (Adjusted)'!V32-'BS (Base)'!V32</f>
        <v>0</v>
      </c>
      <c r="W32" s="169">
        <f>'BS (Adjusted)'!W32-'BS (Base)'!W32</f>
        <v>0</v>
      </c>
      <c r="X32" s="101">
        <f>'BS (Adjusted)'!X32-'BS (Base)'!X32</f>
        <v>0</v>
      </c>
      <c r="Y32" s="33">
        <f>'BS (Adjusted)'!Y32-'BS (Base)'!Y32</f>
        <v>0</v>
      </c>
      <c r="Z32" s="33">
        <f>'BS (Adjusted)'!Z32-'BS (Base)'!Z32</f>
        <v>0</v>
      </c>
      <c r="AA32" s="33">
        <f>'BS (Adjusted)'!AA32-'BS (Base)'!AA32</f>
        <v>0</v>
      </c>
      <c r="AB32" s="169">
        <f>'BS (Adjusted)'!AB32-'BS (Base)'!AB32</f>
        <v>0</v>
      </c>
      <c r="AC32" s="33">
        <f>'BS (Adjusted)'!AC32-'BS (Base)'!AC32</f>
        <v>0</v>
      </c>
      <c r="AD32" s="33">
        <f>'BS (Adjusted)'!AD32-'BS (Base)'!AD32</f>
        <v>0</v>
      </c>
      <c r="AE32" s="33">
        <f>'BS (Adjusted)'!AE32-'BS (Base)'!AE32</f>
        <v>0</v>
      </c>
      <c r="AF32" s="33">
        <f>'BS (Adjusted)'!AF32-'BS (Base)'!AF32</f>
        <v>0</v>
      </c>
      <c r="AG32" s="169">
        <f>'BS (Adjusted)'!AG32-'BS (Base)'!AG32</f>
        <v>0</v>
      </c>
      <c r="AH32" s="33">
        <f>'BS (Adjusted)'!AH32-'BS (Base)'!AH32</f>
        <v>0</v>
      </c>
      <c r="AI32" s="33">
        <f>'BS (Adjusted)'!AI32-'BS (Base)'!AI32</f>
        <v>0</v>
      </c>
      <c r="AJ32" s="33">
        <f>'BS (Adjusted)'!AJ32-'BS (Base)'!AJ32</f>
        <v>0</v>
      </c>
      <c r="AK32" s="33">
        <f>'BS (Adjusted)'!AK32-'BS (Base)'!AK32</f>
        <v>0</v>
      </c>
      <c r="AL32" s="169">
        <f>'BS (Adjusted)'!AL32-'BS (Base)'!AL32</f>
        <v>0</v>
      </c>
      <c r="AM32" s="33">
        <f>'BS (Adjusted)'!AM32-'BS (Base)'!AM32</f>
        <v>0</v>
      </c>
      <c r="AN32" s="33">
        <f>'BS (Adjusted)'!AN32-'BS (Base)'!AN32</f>
        <v>0</v>
      </c>
      <c r="AO32" s="33">
        <f>'BS (Adjusted)'!AO32-'BS (Base)'!AO32</f>
        <v>0</v>
      </c>
      <c r="AP32" s="33">
        <f>'BS (Adjusted)'!AP32-'BS (Base)'!AP32</f>
        <v>0</v>
      </c>
      <c r="AQ32" s="169">
        <f>'BS (Adjusted)'!AQ32-'BS (Base)'!AQ32</f>
        <v>0</v>
      </c>
      <c r="AR32" s="33">
        <f>'BS (Adjusted)'!AR32-'BS (Base)'!AR32</f>
        <v>0</v>
      </c>
      <c r="AS32" s="33">
        <f>'BS (Adjusted)'!AS32-'BS (Base)'!AS32</f>
        <v>0</v>
      </c>
      <c r="AT32" s="33">
        <f>'BS (Adjusted)'!AT32-'BS (Base)'!AT32</f>
        <v>0</v>
      </c>
      <c r="AU32" s="33">
        <f>'BS (Adjusted)'!AU32-'BS (Base)'!AU32</f>
        <v>0</v>
      </c>
      <c r="AV32" s="169">
        <f>'BS (Adjusted)'!AV32-'BS (Base)'!AV32</f>
        <v>0</v>
      </c>
    </row>
    <row r="33" spans="1:48" outlineLevel="1" x14ac:dyDescent="0.3">
      <c r="A33" s="161"/>
      <c r="B33" s="200" t="s">
        <v>239</v>
      </c>
      <c r="C33" s="207"/>
      <c r="D33" s="101">
        <f>'BS (Adjusted)'!D33-'BS (Base)'!D33</f>
        <v>0</v>
      </c>
      <c r="E33" s="101">
        <f>'BS (Adjusted)'!E33-'BS (Base)'!E33</f>
        <v>0</v>
      </c>
      <c r="F33" s="101">
        <f>'BS (Adjusted)'!F33-'BS (Base)'!F33</f>
        <v>0</v>
      </c>
      <c r="G33" s="101">
        <f>'BS (Adjusted)'!G33-'BS (Base)'!G33</f>
        <v>0</v>
      </c>
      <c r="H33" s="169">
        <f>'BS (Adjusted)'!H33-'BS (Base)'!H33</f>
        <v>0</v>
      </c>
      <c r="I33" s="101">
        <f>'BS (Adjusted)'!I33-'BS (Base)'!I33</f>
        <v>0</v>
      </c>
      <c r="J33" s="101">
        <f>'BS (Adjusted)'!J33-'BS (Base)'!J33</f>
        <v>0</v>
      </c>
      <c r="K33" s="101">
        <f>'BS (Adjusted)'!K33-'BS (Base)'!K33</f>
        <v>0</v>
      </c>
      <c r="L33" s="101">
        <f>'BS (Adjusted)'!L33-'BS (Base)'!L33</f>
        <v>0</v>
      </c>
      <c r="M33" s="169">
        <f>'BS (Adjusted)'!M33-'BS (Base)'!M33</f>
        <v>0</v>
      </c>
      <c r="N33" s="101">
        <f>'BS (Adjusted)'!N33-'BS (Base)'!N33</f>
        <v>0</v>
      </c>
      <c r="O33" s="101">
        <f>'BS (Adjusted)'!O33-'BS (Base)'!O33</f>
        <v>0</v>
      </c>
      <c r="P33" s="101">
        <f>'BS (Adjusted)'!P33-'BS (Base)'!P33</f>
        <v>0</v>
      </c>
      <c r="Q33" s="101">
        <f>'BS (Adjusted)'!Q33-'BS (Base)'!Q33</f>
        <v>0</v>
      </c>
      <c r="R33" s="169">
        <f>'BS (Adjusted)'!R33-'BS (Base)'!R33</f>
        <v>0</v>
      </c>
      <c r="S33" s="101">
        <f>'BS (Adjusted)'!S33-'BS (Base)'!S33</f>
        <v>0</v>
      </c>
      <c r="T33" s="101">
        <f>'BS (Adjusted)'!T33-'BS (Base)'!T33</f>
        <v>0</v>
      </c>
      <c r="U33" s="101">
        <f>'BS (Adjusted)'!U33-'BS (Base)'!U33</f>
        <v>0</v>
      </c>
      <c r="V33" s="101">
        <f>'BS (Adjusted)'!V33-'BS (Base)'!V33</f>
        <v>0</v>
      </c>
      <c r="W33" s="169">
        <f>'BS (Adjusted)'!W33-'BS (Base)'!W33</f>
        <v>0</v>
      </c>
      <c r="X33" s="101">
        <f>'BS (Adjusted)'!X33-'BS (Base)'!X33</f>
        <v>0</v>
      </c>
      <c r="Y33" s="33">
        <f>'BS (Adjusted)'!Y33-'BS (Base)'!Y33</f>
        <v>0</v>
      </c>
      <c r="Z33" s="33">
        <f>'BS (Adjusted)'!Z33-'BS (Base)'!Z33</f>
        <v>0</v>
      </c>
      <c r="AA33" s="33">
        <f>'BS (Adjusted)'!AA33-'BS (Base)'!AA33</f>
        <v>0</v>
      </c>
      <c r="AB33" s="169">
        <f>'BS (Adjusted)'!AB33-'BS (Base)'!AB33</f>
        <v>0</v>
      </c>
      <c r="AC33" s="33">
        <f>'BS (Adjusted)'!AC33-'BS (Base)'!AC33</f>
        <v>0</v>
      </c>
      <c r="AD33" s="33">
        <f>'BS (Adjusted)'!AD33-'BS (Base)'!AD33</f>
        <v>0</v>
      </c>
      <c r="AE33" s="33">
        <f>'BS (Adjusted)'!AE33-'BS (Base)'!AE33</f>
        <v>0</v>
      </c>
      <c r="AF33" s="33">
        <f>'BS (Adjusted)'!AF33-'BS (Base)'!AF33</f>
        <v>0</v>
      </c>
      <c r="AG33" s="169">
        <f>'BS (Adjusted)'!AG33-'BS (Base)'!AG33</f>
        <v>0</v>
      </c>
      <c r="AH33" s="33">
        <f>'BS (Adjusted)'!AH33-'BS (Base)'!AH33</f>
        <v>0</v>
      </c>
      <c r="AI33" s="33">
        <f>'BS (Adjusted)'!AI33-'BS (Base)'!AI33</f>
        <v>0</v>
      </c>
      <c r="AJ33" s="33">
        <f>'BS (Adjusted)'!AJ33-'BS (Base)'!AJ33</f>
        <v>0</v>
      </c>
      <c r="AK33" s="33">
        <f>'BS (Adjusted)'!AK33-'BS (Base)'!AK33</f>
        <v>0</v>
      </c>
      <c r="AL33" s="169">
        <f>'BS (Adjusted)'!AL33-'BS (Base)'!AL33</f>
        <v>0</v>
      </c>
      <c r="AM33" s="33">
        <f>'BS (Adjusted)'!AM33-'BS (Base)'!AM33</f>
        <v>0</v>
      </c>
      <c r="AN33" s="33">
        <f>'BS (Adjusted)'!AN33-'BS (Base)'!AN33</f>
        <v>0</v>
      </c>
      <c r="AO33" s="33">
        <f>'BS (Adjusted)'!AO33-'BS (Base)'!AO33</f>
        <v>0</v>
      </c>
      <c r="AP33" s="33">
        <f>'BS (Adjusted)'!AP33-'BS (Base)'!AP33</f>
        <v>0</v>
      </c>
      <c r="AQ33" s="169">
        <f>'BS (Adjusted)'!AQ33-'BS (Base)'!AQ33</f>
        <v>0</v>
      </c>
      <c r="AR33" s="33">
        <f>'BS (Adjusted)'!AR33-'BS (Base)'!AR33</f>
        <v>0</v>
      </c>
      <c r="AS33" s="33">
        <f>'BS (Adjusted)'!AS33-'BS (Base)'!AS33</f>
        <v>0</v>
      </c>
      <c r="AT33" s="33">
        <f>'BS (Adjusted)'!AT33-'BS (Base)'!AT33</f>
        <v>0</v>
      </c>
      <c r="AU33" s="33">
        <f>'BS (Adjusted)'!AU33-'BS (Base)'!AU33</f>
        <v>0</v>
      </c>
      <c r="AV33" s="169">
        <f>'BS (Adjusted)'!AV33-'BS (Base)'!AV33</f>
        <v>0</v>
      </c>
    </row>
    <row r="34" spans="1:48" ht="15.75" customHeight="1" outlineLevel="1" x14ac:dyDescent="0.45">
      <c r="A34" s="161"/>
      <c r="B34" s="580" t="s">
        <v>240</v>
      </c>
      <c r="C34" s="581"/>
      <c r="D34" s="112">
        <f>'BS (Adjusted)'!D34-'BS (Base)'!D34</f>
        <v>0</v>
      </c>
      <c r="E34" s="112">
        <f>'BS (Adjusted)'!E34-'BS (Base)'!E34</f>
        <v>0</v>
      </c>
      <c r="F34" s="112">
        <f>'BS (Adjusted)'!F34-'BS (Base)'!F34</f>
        <v>0</v>
      </c>
      <c r="G34" s="112">
        <f>'BS (Adjusted)'!G34-'BS (Base)'!G34</f>
        <v>0</v>
      </c>
      <c r="H34" s="262">
        <f>'BS (Adjusted)'!H34-'BS (Base)'!H34</f>
        <v>0</v>
      </c>
      <c r="I34" s="112">
        <f>'BS (Adjusted)'!I34-'BS (Base)'!I34</f>
        <v>0</v>
      </c>
      <c r="J34" s="112">
        <f>'BS (Adjusted)'!J34-'BS (Base)'!J34</f>
        <v>0</v>
      </c>
      <c r="K34" s="112">
        <f>'BS (Adjusted)'!K34-'BS (Base)'!K34</f>
        <v>0</v>
      </c>
      <c r="L34" s="112">
        <f>'BS (Adjusted)'!L34-'BS (Base)'!L34</f>
        <v>0</v>
      </c>
      <c r="M34" s="262">
        <f>'BS (Adjusted)'!M34-'BS (Base)'!M34</f>
        <v>0</v>
      </c>
      <c r="N34" s="112">
        <f>'BS (Adjusted)'!N34-'BS (Base)'!N34</f>
        <v>0</v>
      </c>
      <c r="O34" s="112">
        <f>'BS (Adjusted)'!O34-'BS (Base)'!O34</f>
        <v>0</v>
      </c>
      <c r="P34" s="112">
        <f>'BS (Adjusted)'!P34-'BS (Base)'!P34</f>
        <v>0</v>
      </c>
      <c r="Q34" s="112">
        <f>'BS (Adjusted)'!Q34-'BS (Base)'!Q34</f>
        <v>0</v>
      </c>
      <c r="R34" s="262">
        <f>'BS (Adjusted)'!R34-'BS (Base)'!R34</f>
        <v>0</v>
      </c>
      <c r="S34" s="112">
        <f>'BS (Adjusted)'!S34-'BS (Base)'!S34</f>
        <v>0</v>
      </c>
      <c r="T34" s="112">
        <f>'BS (Adjusted)'!T34-'BS (Base)'!T34</f>
        <v>0</v>
      </c>
      <c r="U34" s="112">
        <f>'BS (Adjusted)'!U34-'BS (Base)'!U34</f>
        <v>0</v>
      </c>
      <c r="V34" s="112">
        <f>'BS (Adjusted)'!V34-'BS (Base)'!V34</f>
        <v>0</v>
      </c>
      <c r="W34" s="262">
        <f>'BS (Adjusted)'!W34-'BS (Base)'!W34</f>
        <v>0</v>
      </c>
      <c r="X34" s="112">
        <f>'BS (Adjusted)'!X34-'BS (Base)'!X34</f>
        <v>0</v>
      </c>
      <c r="Y34" s="32">
        <f>'BS (Adjusted)'!Y34-'BS (Base)'!Y34</f>
        <v>0</v>
      </c>
      <c r="Z34" s="32">
        <f>'BS (Adjusted)'!Z34-'BS (Base)'!Z34</f>
        <v>0</v>
      </c>
      <c r="AA34" s="32">
        <f>'BS (Adjusted)'!AA34-'BS (Base)'!AA34</f>
        <v>0</v>
      </c>
      <c r="AB34" s="262">
        <f>'BS (Adjusted)'!AB34-'BS (Base)'!AB34</f>
        <v>0</v>
      </c>
      <c r="AC34" s="32">
        <f>'BS (Adjusted)'!AC34-'BS (Base)'!AC34</f>
        <v>0</v>
      </c>
      <c r="AD34" s="32">
        <f>'BS (Adjusted)'!AD34-'BS (Base)'!AD34</f>
        <v>0</v>
      </c>
      <c r="AE34" s="32">
        <f>'BS (Adjusted)'!AE34-'BS (Base)'!AE34</f>
        <v>0</v>
      </c>
      <c r="AF34" s="32">
        <f>'BS (Adjusted)'!AF34-'BS (Base)'!AF34</f>
        <v>0</v>
      </c>
      <c r="AG34" s="262">
        <f>'BS (Adjusted)'!AG34-'BS (Base)'!AG34</f>
        <v>0</v>
      </c>
      <c r="AH34" s="32">
        <f>'BS (Adjusted)'!AH34-'BS (Base)'!AH34</f>
        <v>0</v>
      </c>
      <c r="AI34" s="32">
        <f>'BS (Adjusted)'!AI34-'BS (Base)'!AI34</f>
        <v>0</v>
      </c>
      <c r="AJ34" s="32">
        <f>'BS (Adjusted)'!AJ34-'BS (Base)'!AJ34</f>
        <v>0</v>
      </c>
      <c r="AK34" s="32">
        <f>'BS (Adjusted)'!AK34-'BS (Base)'!AK34</f>
        <v>0</v>
      </c>
      <c r="AL34" s="262">
        <f>'BS (Adjusted)'!AL34-'BS (Base)'!AL34</f>
        <v>0</v>
      </c>
      <c r="AM34" s="32">
        <f>'BS (Adjusted)'!AM34-'BS (Base)'!AM34</f>
        <v>0</v>
      </c>
      <c r="AN34" s="32">
        <f>'BS (Adjusted)'!AN34-'BS (Base)'!AN34</f>
        <v>0</v>
      </c>
      <c r="AO34" s="32">
        <f>'BS (Adjusted)'!AO34-'BS (Base)'!AO34</f>
        <v>0</v>
      </c>
      <c r="AP34" s="32">
        <f>'BS (Adjusted)'!AP34-'BS (Base)'!AP34</f>
        <v>0</v>
      </c>
      <c r="AQ34" s="262">
        <f>'BS (Adjusted)'!AQ34-'BS (Base)'!AQ34</f>
        <v>0</v>
      </c>
      <c r="AR34" s="32">
        <f>'BS (Adjusted)'!AR34-'BS (Base)'!AR34</f>
        <v>0</v>
      </c>
      <c r="AS34" s="32">
        <f>'BS (Adjusted)'!AS34-'BS (Base)'!AS34</f>
        <v>0</v>
      </c>
      <c r="AT34" s="32">
        <f>'BS (Adjusted)'!AT34-'BS (Base)'!AT34</f>
        <v>0</v>
      </c>
      <c r="AU34" s="32">
        <f>'BS (Adjusted)'!AU34-'BS (Base)'!AU34</f>
        <v>0</v>
      </c>
      <c r="AV34" s="262">
        <f>'BS (Adjusted)'!AV34-'BS (Base)'!AV34</f>
        <v>0</v>
      </c>
    </row>
    <row r="35" spans="1:48" outlineLevel="1" x14ac:dyDescent="0.3">
      <c r="A35" s="161"/>
      <c r="B35" s="619" t="s">
        <v>241</v>
      </c>
      <c r="C35" s="620"/>
      <c r="D35" s="116">
        <f>'BS (Adjusted)'!D35-'BS (Base)'!D35</f>
        <v>0</v>
      </c>
      <c r="E35" s="116">
        <f>'BS (Adjusted)'!E35-'BS (Base)'!E35</f>
        <v>0</v>
      </c>
      <c r="F35" s="116">
        <f>'BS (Adjusted)'!F35-'BS (Base)'!F35</f>
        <v>0</v>
      </c>
      <c r="G35" s="116">
        <f>'BS (Adjusted)'!G35-'BS (Base)'!G35</f>
        <v>0</v>
      </c>
      <c r="H35" s="150">
        <f>'BS (Adjusted)'!H35-'BS (Base)'!H35</f>
        <v>0</v>
      </c>
      <c r="I35" s="116">
        <f>'BS (Adjusted)'!I35-'BS (Base)'!I35</f>
        <v>0</v>
      </c>
      <c r="J35" s="116">
        <f>'BS (Adjusted)'!J35-'BS (Base)'!J35</f>
        <v>0</v>
      </c>
      <c r="K35" s="116">
        <f>'BS (Adjusted)'!K35-'BS (Base)'!K35</f>
        <v>0</v>
      </c>
      <c r="L35" s="116">
        <f>'BS (Adjusted)'!L35-'BS (Base)'!L35</f>
        <v>0</v>
      </c>
      <c r="M35" s="150">
        <f>'BS (Adjusted)'!M35-'BS (Base)'!M35</f>
        <v>0</v>
      </c>
      <c r="N35" s="116">
        <f>'BS (Adjusted)'!N35-'BS (Base)'!N35</f>
        <v>0</v>
      </c>
      <c r="O35" s="116">
        <f>'BS (Adjusted)'!O35-'BS (Base)'!O35</f>
        <v>0</v>
      </c>
      <c r="P35" s="116">
        <f>'BS (Adjusted)'!P35-'BS (Base)'!P35</f>
        <v>0</v>
      </c>
      <c r="Q35" s="116">
        <f>'BS (Adjusted)'!Q35-'BS (Base)'!Q35</f>
        <v>0</v>
      </c>
      <c r="R35" s="150">
        <f>'BS (Adjusted)'!R35-'BS (Base)'!R35</f>
        <v>0</v>
      </c>
      <c r="S35" s="116">
        <f>'BS (Adjusted)'!S35-'BS (Base)'!S35</f>
        <v>0</v>
      </c>
      <c r="T35" s="116">
        <f>'BS (Adjusted)'!T35-'BS (Base)'!T35</f>
        <v>0</v>
      </c>
      <c r="U35" s="116">
        <f>'BS (Adjusted)'!U35-'BS (Base)'!U35</f>
        <v>0</v>
      </c>
      <c r="V35" s="116">
        <f>'BS (Adjusted)'!V35-'BS (Base)'!V35</f>
        <v>0</v>
      </c>
      <c r="W35" s="150">
        <f>'BS (Adjusted)'!W35-'BS (Base)'!W35</f>
        <v>0</v>
      </c>
      <c r="X35" s="116">
        <f>'BS (Adjusted)'!X35-'BS (Base)'!X35</f>
        <v>0</v>
      </c>
      <c r="Y35" s="116">
        <f>'BS (Adjusted)'!Y35-'BS (Base)'!Y35</f>
        <v>0</v>
      </c>
      <c r="Z35" s="116">
        <f>'BS (Adjusted)'!Z35-'BS (Base)'!Z35</f>
        <v>0</v>
      </c>
      <c r="AA35" s="116">
        <f>'BS (Adjusted)'!AA35-'BS (Base)'!AA35</f>
        <v>0</v>
      </c>
      <c r="AB35" s="150">
        <f>'BS (Adjusted)'!AB35-'BS (Base)'!AB35</f>
        <v>0</v>
      </c>
      <c r="AC35" s="116">
        <f>'BS (Adjusted)'!AC35-'BS (Base)'!AC35</f>
        <v>0</v>
      </c>
      <c r="AD35" s="116">
        <f>'BS (Adjusted)'!AD35-'BS (Base)'!AD35</f>
        <v>0</v>
      </c>
      <c r="AE35" s="116">
        <f>'BS (Adjusted)'!AE35-'BS (Base)'!AE35</f>
        <v>0</v>
      </c>
      <c r="AF35" s="116">
        <f>'BS (Adjusted)'!AF35-'BS (Base)'!AF35</f>
        <v>0</v>
      </c>
      <c r="AG35" s="150">
        <f>'BS (Adjusted)'!AG35-'BS (Base)'!AG35</f>
        <v>0</v>
      </c>
      <c r="AH35" s="116">
        <f>'BS (Adjusted)'!AH35-'BS (Base)'!AH35</f>
        <v>0</v>
      </c>
      <c r="AI35" s="116">
        <f>'BS (Adjusted)'!AI35-'BS (Base)'!AI35</f>
        <v>0</v>
      </c>
      <c r="AJ35" s="116">
        <f>'BS (Adjusted)'!AJ35-'BS (Base)'!AJ35</f>
        <v>0</v>
      </c>
      <c r="AK35" s="116">
        <f>'BS (Adjusted)'!AK35-'BS (Base)'!AK35</f>
        <v>0</v>
      </c>
      <c r="AL35" s="150">
        <f>'BS (Adjusted)'!AL35-'BS (Base)'!AL35</f>
        <v>0</v>
      </c>
      <c r="AM35" s="116">
        <f>'BS (Adjusted)'!AM35-'BS (Base)'!AM35</f>
        <v>0</v>
      </c>
      <c r="AN35" s="116">
        <f>'BS (Adjusted)'!AN35-'BS (Base)'!AN35</f>
        <v>0</v>
      </c>
      <c r="AO35" s="116">
        <f>'BS (Adjusted)'!AO35-'BS (Base)'!AO35</f>
        <v>0</v>
      </c>
      <c r="AP35" s="116">
        <f>'BS (Adjusted)'!AP35-'BS (Base)'!AP35</f>
        <v>0</v>
      </c>
      <c r="AQ35" s="150">
        <f>'BS (Adjusted)'!AQ35-'BS (Base)'!AQ35</f>
        <v>0</v>
      </c>
      <c r="AR35" s="116">
        <f>'BS (Adjusted)'!AR35-'BS (Base)'!AR35</f>
        <v>0</v>
      </c>
      <c r="AS35" s="116">
        <f>'BS (Adjusted)'!AS35-'BS (Base)'!AS35</f>
        <v>0</v>
      </c>
      <c r="AT35" s="116">
        <f>'BS (Adjusted)'!AT35-'BS (Base)'!AT35</f>
        <v>0</v>
      </c>
      <c r="AU35" s="116">
        <f>'BS (Adjusted)'!AU35-'BS (Base)'!AU35</f>
        <v>0</v>
      </c>
      <c r="AV35" s="150">
        <f>'BS (Adjusted)'!AV35-'BS (Base)'!AV35</f>
        <v>0</v>
      </c>
    </row>
    <row r="36" spans="1:48" ht="17.399999999999999" x14ac:dyDescent="0.45">
      <c r="B36" s="583" t="s">
        <v>242</v>
      </c>
      <c r="C36" s="584"/>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14" t="s">
        <v>408</v>
      </c>
      <c r="Y36" s="14" t="s">
        <v>452</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580" t="s">
        <v>243</v>
      </c>
      <c r="C37" s="581"/>
      <c r="D37" s="16">
        <f>'BS (Adjusted)'!D37-'BS (Base)'!D37</f>
        <v>0</v>
      </c>
      <c r="E37" s="16">
        <f>'BS (Adjusted)'!E37-'BS (Base)'!E37</f>
        <v>0</v>
      </c>
      <c r="F37" s="16">
        <f>'BS (Adjusted)'!F37-'BS (Base)'!F37</f>
        <v>0</v>
      </c>
      <c r="G37" s="16">
        <f>'BS (Adjusted)'!G37-'BS (Base)'!G37</f>
        <v>0</v>
      </c>
      <c r="H37" s="17">
        <f>'BS (Adjusted)'!H37-'BS (Base)'!H37</f>
        <v>0</v>
      </c>
      <c r="I37" s="16">
        <f>'BS (Adjusted)'!I37-'BS (Base)'!I37</f>
        <v>0</v>
      </c>
      <c r="J37" s="16">
        <f>'BS (Adjusted)'!J37-'BS (Base)'!J37</f>
        <v>0</v>
      </c>
      <c r="K37" s="16">
        <f>'BS (Adjusted)'!K37-'BS (Base)'!K37</f>
        <v>0</v>
      </c>
      <c r="L37" s="16">
        <f>'BS (Adjusted)'!L37-'BS (Base)'!L37</f>
        <v>0</v>
      </c>
      <c r="M37" s="17">
        <f>'BS (Adjusted)'!M37-'BS (Base)'!M37</f>
        <v>0</v>
      </c>
      <c r="N37" s="16">
        <f>'BS (Adjusted)'!N37-'BS (Base)'!N37</f>
        <v>0</v>
      </c>
      <c r="O37" s="16">
        <f>'BS (Adjusted)'!O37-'BS (Base)'!O37</f>
        <v>0</v>
      </c>
      <c r="P37" s="16">
        <f>'BS (Adjusted)'!P37-'BS (Base)'!P37</f>
        <v>0</v>
      </c>
      <c r="Q37" s="16">
        <f>'BS (Adjusted)'!Q37-'BS (Base)'!Q37</f>
        <v>0</v>
      </c>
      <c r="R37" s="17">
        <f>'BS (Adjusted)'!R37-'BS (Base)'!R37</f>
        <v>0</v>
      </c>
      <c r="S37" s="16">
        <f>'BS (Adjusted)'!S37-'BS (Base)'!S37</f>
        <v>0</v>
      </c>
      <c r="T37" s="16">
        <f>'BS (Adjusted)'!T37-'BS (Base)'!T37</f>
        <v>0</v>
      </c>
      <c r="U37" s="16">
        <f>'BS (Adjusted)'!U37-'BS (Base)'!U37</f>
        <v>0</v>
      </c>
      <c r="V37" s="16">
        <f>'BS (Adjusted)'!V37-'BS (Base)'!V37</f>
        <v>0</v>
      </c>
      <c r="W37" s="17">
        <f>'BS (Adjusted)'!W37-'BS (Base)'!W37</f>
        <v>0</v>
      </c>
      <c r="X37" s="101">
        <f>'BS (Adjusted)'!X37-'BS (Base)'!X37</f>
        <v>0</v>
      </c>
      <c r="Y37" s="16">
        <f>'BS (Adjusted)'!Y37-'BS (Base)'!Y37</f>
        <v>0</v>
      </c>
      <c r="Z37" s="16">
        <f>'BS (Adjusted)'!Z37-'BS (Base)'!Z37</f>
        <v>0</v>
      </c>
      <c r="AA37" s="16">
        <f>'BS (Adjusted)'!AA37-'BS (Base)'!AA37</f>
        <v>0</v>
      </c>
      <c r="AB37" s="17">
        <f>'BS (Adjusted)'!AB37-'BS (Base)'!AB37</f>
        <v>0</v>
      </c>
      <c r="AC37" s="16">
        <f>'BS (Adjusted)'!AC37-'BS (Base)'!AC37</f>
        <v>0</v>
      </c>
      <c r="AD37" s="16">
        <f>'BS (Adjusted)'!AD37-'BS (Base)'!AD37</f>
        <v>0</v>
      </c>
      <c r="AE37" s="16">
        <f>'BS (Adjusted)'!AE37-'BS (Base)'!AE37</f>
        <v>0</v>
      </c>
      <c r="AF37" s="16">
        <f>'BS (Adjusted)'!AF37-'BS (Base)'!AF37</f>
        <v>0</v>
      </c>
      <c r="AG37" s="17">
        <f>'BS (Adjusted)'!AG37-'BS (Base)'!AG37</f>
        <v>0</v>
      </c>
      <c r="AH37" s="16">
        <f>'BS (Adjusted)'!AH37-'BS (Base)'!AH37</f>
        <v>0</v>
      </c>
      <c r="AI37" s="16">
        <f>'BS (Adjusted)'!AI37-'BS (Base)'!AI37</f>
        <v>0</v>
      </c>
      <c r="AJ37" s="16">
        <f>'BS (Adjusted)'!AJ37-'BS (Base)'!AJ37</f>
        <v>0</v>
      </c>
      <c r="AK37" s="16">
        <f>'BS (Adjusted)'!AK37-'BS (Base)'!AK37</f>
        <v>0</v>
      </c>
      <c r="AL37" s="17">
        <f>'BS (Adjusted)'!AL37-'BS (Base)'!AL37</f>
        <v>0</v>
      </c>
      <c r="AM37" s="16">
        <f>'BS (Adjusted)'!AM37-'BS (Base)'!AM37</f>
        <v>0</v>
      </c>
      <c r="AN37" s="16">
        <f>'BS (Adjusted)'!AN37-'BS (Base)'!AN37</f>
        <v>0</v>
      </c>
      <c r="AO37" s="16">
        <f>'BS (Adjusted)'!AO37-'BS (Base)'!AO37</f>
        <v>0</v>
      </c>
      <c r="AP37" s="16">
        <f>'BS (Adjusted)'!AP37-'BS (Base)'!AP37</f>
        <v>0</v>
      </c>
      <c r="AQ37" s="17">
        <f>'BS (Adjusted)'!AQ37-'BS (Base)'!AQ37</f>
        <v>0</v>
      </c>
      <c r="AR37" s="16">
        <f>'BS (Adjusted)'!AR37-'BS (Base)'!AR37</f>
        <v>0</v>
      </c>
      <c r="AS37" s="16">
        <f>'BS (Adjusted)'!AS37-'BS (Base)'!AS37</f>
        <v>0</v>
      </c>
      <c r="AT37" s="16">
        <f>'BS (Adjusted)'!AT37-'BS (Base)'!AT37</f>
        <v>0</v>
      </c>
      <c r="AU37" s="16">
        <f>'BS (Adjusted)'!AU37-'BS (Base)'!AU37</f>
        <v>0</v>
      </c>
      <c r="AV37" s="17">
        <f>'BS (Adjusted)'!AV37-'BS (Base)'!AV37</f>
        <v>0</v>
      </c>
    </row>
    <row r="38" spans="1:48" outlineLevel="1" x14ac:dyDescent="0.3">
      <c r="B38" s="621" t="s">
        <v>244</v>
      </c>
      <c r="C38" s="622"/>
      <c r="D38" s="16">
        <f>'BS (Adjusted)'!D38-'BS (Base)'!D38</f>
        <v>0</v>
      </c>
      <c r="E38" s="101">
        <f>'BS (Adjusted)'!E38-'BS (Base)'!E38</f>
        <v>0</v>
      </c>
      <c r="F38" s="101">
        <f>'BS (Adjusted)'!F38-'BS (Base)'!F38</f>
        <v>0</v>
      </c>
      <c r="G38" s="101">
        <f>'BS (Adjusted)'!G38-'BS (Base)'!G38</f>
        <v>0</v>
      </c>
      <c r="H38" s="169">
        <f>'BS (Adjusted)'!H38-'BS (Base)'!H38</f>
        <v>0</v>
      </c>
      <c r="I38" s="101">
        <f>'BS (Adjusted)'!I38-'BS (Base)'!I38</f>
        <v>0</v>
      </c>
      <c r="J38" s="101">
        <f>'BS (Adjusted)'!J38-'BS (Base)'!J38</f>
        <v>0</v>
      </c>
      <c r="K38" s="101">
        <f>'BS (Adjusted)'!K38-'BS (Base)'!K38</f>
        <v>0</v>
      </c>
      <c r="L38" s="101">
        <f>'BS (Adjusted)'!L38-'BS (Base)'!L38</f>
        <v>0</v>
      </c>
      <c r="M38" s="169">
        <f>'BS (Adjusted)'!M38-'BS (Base)'!M38</f>
        <v>0</v>
      </c>
      <c r="N38" s="101">
        <f>'BS (Adjusted)'!N38-'BS (Base)'!N38</f>
        <v>0</v>
      </c>
      <c r="O38" s="101">
        <f>'BS (Adjusted)'!O38-'BS (Base)'!O38</f>
        <v>0</v>
      </c>
      <c r="P38" s="101">
        <f>'BS (Adjusted)'!P38-'BS (Base)'!P38</f>
        <v>0</v>
      </c>
      <c r="Q38" s="101">
        <f>'BS (Adjusted)'!Q38-'BS (Base)'!Q38</f>
        <v>0</v>
      </c>
      <c r="R38" s="169">
        <f>'BS (Adjusted)'!R38-'BS (Base)'!R38</f>
        <v>0</v>
      </c>
      <c r="S38" s="101">
        <f>'BS (Adjusted)'!S38-'BS (Base)'!S38</f>
        <v>0</v>
      </c>
      <c r="T38" s="101">
        <f>'BS (Adjusted)'!T38-'BS (Base)'!T38</f>
        <v>0</v>
      </c>
      <c r="U38" s="101">
        <f>'BS (Adjusted)'!U38-'BS (Base)'!U38</f>
        <v>0</v>
      </c>
      <c r="V38" s="101">
        <f>'BS (Adjusted)'!V38-'BS (Base)'!V38</f>
        <v>0</v>
      </c>
      <c r="W38" s="169">
        <f>'BS (Adjusted)'!W38-'BS (Base)'!W38</f>
        <v>0</v>
      </c>
      <c r="X38" s="101">
        <f>'BS (Adjusted)'!X38-'BS (Base)'!X38</f>
        <v>0</v>
      </c>
      <c r="Y38" s="101">
        <f>'BS (Adjusted)'!Y38-'BS (Base)'!Y38</f>
        <v>0</v>
      </c>
      <c r="Z38" s="101">
        <f>'BS (Adjusted)'!Z38-'BS (Base)'!Z38</f>
        <v>0</v>
      </c>
      <c r="AA38" s="101">
        <f>'BS (Adjusted)'!AA38-'BS (Base)'!AA38</f>
        <v>0</v>
      </c>
      <c r="AB38" s="169">
        <f>'BS (Adjusted)'!AB38-'BS (Base)'!AB38</f>
        <v>0</v>
      </c>
      <c r="AC38" s="101">
        <f>'BS (Adjusted)'!AC38-'BS (Base)'!AC38</f>
        <v>0</v>
      </c>
      <c r="AD38" s="101">
        <f>'BS (Adjusted)'!AD38-'BS (Base)'!AD38</f>
        <v>0</v>
      </c>
      <c r="AE38" s="101">
        <f>'BS (Adjusted)'!AE38-'BS (Base)'!AE38</f>
        <v>0</v>
      </c>
      <c r="AF38" s="101">
        <f>'BS (Adjusted)'!AF38-'BS (Base)'!AF38</f>
        <v>0</v>
      </c>
      <c r="AG38" s="169">
        <f>'BS (Adjusted)'!AG38-'BS (Base)'!AG38</f>
        <v>0</v>
      </c>
      <c r="AH38" s="101">
        <f>'BS (Adjusted)'!AH38-'BS (Base)'!AH38</f>
        <v>0</v>
      </c>
      <c r="AI38" s="101">
        <f>'BS (Adjusted)'!AI38-'BS (Base)'!AI38</f>
        <v>0</v>
      </c>
      <c r="AJ38" s="101">
        <f>'BS (Adjusted)'!AJ38-'BS (Base)'!AJ38</f>
        <v>0</v>
      </c>
      <c r="AK38" s="101">
        <f>'BS (Adjusted)'!AK38-'BS (Base)'!AK38</f>
        <v>0</v>
      </c>
      <c r="AL38" s="169">
        <f>'BS (Adjusted)'!AL38-'BS (Base)'!AL38</f>
        <v>0</v>
      </c>
      <c r="AM38" s="101">
        <f>'BS (Adjusted)'!AM38-'BS (Base)'!AM38</f>
        <v>0</v>
      </c>
      <c r="AN38" s="101">
        <f>'BS (Adjusted)'!AN38-'BS (Base)'!AN38</f>
        <v>0</v>
      </c>
      <c r="AO38" s="101">
        <f>'BS (Adjusted)'!AO38-'BS (Base)'!AO38</f>
        <v>0</v>
      </c>
      <c r="AP38" s="101">
        <f>'BS (Adjusted)'!AP38-'BS (Base)'!AP38</f>
        <v>0</v>
      </c>
      <c r="AQ38" s="169">
        <f>'BS (Adjusted)'!AQ38-'BS (Base)'!AQ38</f>
        <v>0</v>
      </c>
      <c r="AR38" s="101">
        <f>'BS (Adjusted)'!AR38-'BS (Base)'!AR38</f>
        <v>0</v>
      </c>
      <c r="AS38" s="101">
        <f>'BS (Adjusted)'!AS38-'BS (Base)'!AS38</f>
        <v>0</v>
      </c>
      <c r="AT38" s="101">
        <f>'BS (Adjusted)'!AT38-'BS (Base)'!AT38</f>
        <v>0</v>
      </c>
      <c r="AU38" s="101">
        <f>'BS (Adjusted)'!AU38-'BS (Base)'!AU38</f>
        <v>0</v>
      </c>
      <c r="AV38" s="169">
        <f>'BS (Adjusted)'!AV38-'BS (Base)'!AV38</f>
        <v>0</v>
      </c>
    </row>
    <row r="39" spans="1:48" outlineLevel="1" x14ac:dyDescent="0.3">
      <c r="B39" s="621" t="s">
        <v>245</v>
      </c>
      <c r="C39" s="622"/>
      <c r="D39" s="16">
        <f>'BS (Adjusted)'!D39-'BS (Base)'!D39</f>
        <v>0</v>
      </c>
      <c r="E39" s="102">
        <f>'BS (Adjusted)'!E39-'BS (Base)'!E39</f>
        <v>0</v>
      </c>
      <c r="F39" s="101">
        <f>'BS (Adjusted)'!F39-'BS (Base)'!F39</f>
        <v>0</v>
      </c>
      <c r="G39" s="101">
        <f>'BS (Adjusted)'!G39-'BS (Base)'!G39</f>
        <v>0</v>
      </c>
      <c r="H39" s="169">
        <f>'BS (Adjusted)'!H39-'BS (Base)'!H39</f>
        <v>0</v>
      </c>
      <c r="I39" s="101">
        <f>'BS (Adjusted)'!I39-'BS (Base)'!I39</f>
        <v>0</v>
      </c>
      <c r="J39" s="101">
        <f>'BS (Adjusted)'!J39-'BS (Base)'!J39</f>
        <v>0</v>
      </c>
      <c r="K39" s="101">
        <f>'BS (Adjusted)'!K39-'BS (Base)'!K39</f>
        <v>0</v>
      </c>
      <c r="L39" s="101">
        <f>'BS (Adjusted)'!L39-'BS (Base)'!L39</f>
        <v>0</v>
      </c>
      <c r="M39" s="169">
        <f>'BS (Adjusted)'!M39-'BS (Base)'!M39</f>
        <v>0</v>
      </c>
      <c r="N39" s="101">
        <f>'BS (Adjusted)'!N39-'BS (Base)'!N39</f>
        <v>0</v>
      </c>
      <c r="O39" s="101">
        <f>'BS (Adjusted)'!O39-'BS (Base)'!O39</f>
        <v>0</v>
      </c>
      <c r="P39" s="101">
        <f>'BS (Adjusted)'!P39-'BS (Base)'!P39</f>
        <v>0</v>
      </c>
      <c r="Q39" s="101">
        <f>'BS (Adjusted)'!Q39-'BS (Base)'!Q39</f>
        <v>0</v>
      </c>
      <c r="R39" s="169">
        <f>'BS (Adjusted)'!R39-'BS (Base)'!R39</f>
        <v>0</v>
      </c>
      <c r="S39" s="101">
        <f>'BS (Adjusted)'!S39-'BS (Base)'!S39</f>
        <v>0</v>
      </c>
      <c r="T39" s="101">
        <f>'BS (Adjusted)'!T39-'BS (Base)'!T39</f>
        <v>0</v>
      </c>
      <c r="U39" s="101">
        <f>'BS (Adjusted)'!U39-'BS (Base)'!U39</f>
        <v>0</v>
      </c>
      <c r="V39" s="101">
        <f>'BS (Adjusted)'!V39-'BS (Base)'!V39</f>
        <v>0</v>
      </c>
      <c r="W39" s="169">
        <f>'BS (Adjusted)'!W39-'BS (Base)'!W39</f>
        <v>0</v>
      </c>
      <c r="X39" s="101">
        <f>'BS (Adjusted)'!X39-'BS (Base)'!X39</f>
        <v>0</v>
      </c>
      <c r="Y39" s="101">
        <f>'BS (Adjusted)'!Y39-'BS (Base)'!Y39</f>
        <v>0</v>
      </c>
      <c r="Z39" s="101">
        <f>'BS (Adjusted)'!Z39-'BS (Base)'!Z39</f>
        <v>0</v>
      </c>
      <c r="AA39" s="101">
        <f>'BS (Adjusted)'!AA39-'BS (Base)'!AA39</f>
        <v>0</v>
      </c>
      <c r="AB39" s="169">
        <f>'BS (Adjusted)'!AB39-'BS (Base)'!AB39</f>
        <v>0</v>
      </c>
      <c r="AC39" s="101">
        <f>'BS (Adjusted)'!AC39-'BS (Base)'!AC39</f>
        <v>0</v>
      </c>
      <c r="AD39" s="101">
        <f>'BS (Adjusted)'!AD39-'BS (Base)'!AD39</f>
        <v>0</v>
      </c>
      <c r="AE39" s="101">
        <f>'BS (Adjusted)'!AE39-'BS (Base)'!AE39</f>
        <v>0</v>
      </c>
      <c r="AF39" s="101">
        <f>'BS (Adjusted)'!AF39-'BS (Base)'!AF39</f>
        <v>0</v>
      </c>
      <c r="AG39" s="169">
        <f>'BS (Adjusted)'!AG39-'BS (Base)'!AG39</f>
        <v>0</v>
      </c>
      <c r="AH39" s="101">
        <f>'BS (Adjusted)'!AH39-'BS (Base)'!AH39</f>
        <v>0</v>
      </c>
      <c r="AI39" s="101">
        <f>'BS (Adjusted)'!AI39-'BS (Base)'!AI39</f>
        <v>0</v>
      </c>
      <c r="AJ39" s="101">
        <f>'BS (Adjusted)'!AJ39-'BS (Base)'!AJ39</f>
        <v>0</v>
      </c>
      <c r="AK39" s="101">
        <f>'BS (Adjusted)'!AK39-'BS (Base)'!AK39</f>
        <v>0</v>
      </c>
      <c r="AL39" s="169">
        <f>'BS (Adjusted)'!AL39-'BS (Base)'!AL39</f>
        <v>0</v>
      </c>
      <c r="AM39" s="101">
        <f>'BS (Adjusted)'!AM39-'BS (Base)'!AM39</f>
        <v>0</v>
      </c>
      <c r="AN39" s="101">
        <f>'BS (Adjusted)'!AN39-'BS (Base)'!AN39</f>
        <v>0</v>
      </c>
      <c r="AO39" s="101">
        <f>'BS (Adjusted)'!AO39-'BS (Base)'!AO39</f>
        <v>0</v>
      </c>
      <c r="AP39" s="101">
        <f>'BS (Adjusted)'!AP39-'BS (Base)'!AP39</f>
        <v>0</v>
      </c>
      <c r="AQ39" s="169">
        <f>'BS (Adjusted)'!AQ39-'BS (Base)'!AQ39</f>
        <v>0</v>
      </c>
      <c r="AR39" s="101">
        <f>'BS (Adjusted)'!AR39-'BS (Base)'!AR39</f>
        <v>0</v>
      </c>
      <c r="AS39" s="101">
        <f>'BS (Adjusted)'!AS39-'BS (Base)'!AS39</f>
        <v>0</v>
      </c>
      <c r="AT39" s="101">
        <f>'BS (Adjusted)'!AT39-'BS (Base)'!AT39</f>
        <v>0</v>
      </c>
      <c r="AU39" s="101">
        <f>'BS (Adjusted)'!AU39-'BS (Base)'!AU39</f>
        <v>0</v>
      </c>
      <c r="AV39" s="169">
        <f>'BS (Adjusted)'!AV39-'BS (Base)'!AV39</f>
        <v>0</v>
      </c>
    </row>
    <row r="40" spans="1:48" ht="16.2" outlineLevel="1" x14ac:dyDescent="0.45">
      <c r="B40" s="265" t="s">
        <v>246</v>
      </c>
      <c r="C40" s="266"/>
      <c r="D40" s="260">
        <f>'BS (Adjusted)'!D40-'BS (Base)'!D40</f>
        <v>0</v>
      </c>
      <c r="E40" s="112">
        <f>'BS (Adjusted)'!E40-'BS (Base)'!E40</f>
        <v>0</v>
      </c>
      <c r="F40" s="112">
        <f>'BS (Adjusted)'!F40-'BS (Base)'!F40</f>
        <v>0</v>
      </c>
      <c r="G40" s="112">
        <f>'BS (Adjusted)'!G40-'BS (Base)'!G40</f>
        <v>0</v>
      </c>
      <c r="H40" s="261">
        <f>'BS (Adjusted)'!H40-'BS (Base)'!H40</f>
        <v>0</v>
      </c>
      <c r="I40" s="112">
        <f>'BS (Adjusted)'!I40-'BS (Base)'!I40</f>
        <v>0</v>
      </c>
      <c r="J40" s="112">
        <f>'BS (Adjusted)'!J40-'BS (Base)'!J40</f>
        <v>0</v>
      </c>
      <c r="K40" s="112">
        <f>'BS (Adjusted)'!K40-'BS (Base)'!K40</f>
        <v>0</v>
      </c>
      <c r="L40" s="112">
        <f>'BS (Adjusted)'!L40-'BS (Base)'!L40</f>
        <v>0</v>
      </c>
      <c r="M40" s="262">
        <f>'BS (Adjusted)'!M40-'BS (Base)'!M40</f>
        <v>0</v>
      </c>
      <c r="N40" s="112">
        <f>'BS (Adjusted)'!N40-'BS (Base)'!N40</f>
        <v>0</v>
      </c>
      <c r="O40" s="112">
        <f>'BS (Adjusted)'!O40-'BS (Base)'!O40</f>
        <v>0</v>
      </c>
      <c r="P40" s="112">
        <f>'BS (Adjusted)'!P40-'BS (Base)'!P40</f>
        <v>0</v>
      </c>
      <c r="Q40" s="112">
        <f>'BS (Adjusted)'!Q40-'BS (Base)'!Q40</f>
        <v>0</v>
      </c>
      <c r="R40" s="262">
        <f>'BS (Adjusted)'!R40-'BS (Base)'!R40</f>
        <v>0</v>
      </c>
      <c r="S40" s="112">
        <f>'BS (Adjusted)'!S40-'BS (Base)'!S40</f>
        <v>0</v>
      </c>
      <c r="T40" s="112">
        <f>'BS (Adjusted)'!T40-'BS (Base)'!T40</f>
        <v>0</v>
      </c>
      <c r="U40" s="112">
        <f>'BS (Adjusted)'!U40-'BS (Base)'!U40</f>
        <v>0</v>
      </c>
      <c r="V40" s="112">
        <f>'BS (Adjusted)'!V40-'BS (Base)'!V40</f>
        <v>0</v>
      </c>
      <c r="W40" s="262">
        <f>'BS (Adjusted)'!W40-'BS (Base)'!W40</f>
        <v>0</v>
      </c>
      <c r="X40" s="112">
        <f>'BS (Adjusted)'!X40-'BS (Base)'!X40</f>
        <v>0</v>
      </c>
      <c r="Y40" s="112">
        <f>'BS (Adjusted)'!Y40-'BS (Base)'!Y40</f>
        <v>0</v>
      </c>
      <c r="Z40" s="112">
        <f>'BS (Adjusted)'!Z40-'BS (Base)'!Z40</f>
        <v>0</v>
      </c>
      <c r="AA40" s="112">
        <f>'BS (Adjusted)'!AA40-'BS (Base)'!AA40</f>
        <v>0</v>
      </c>
      <c r="AB40" s="262">
        <f>'BS (Adjusted)'!AB40-'BS (Base)'!AB40</f>
        <v>0</v>
      </c>
      <c r="AC40" s="112">
        <f>'BS (Adjusted)'!AC40-'BS (Base)'!AC40</f>
        <v>0</v>
      </c>
      <c r="AD40" s="112">
        <f>'BS (Adjusted)'!AD40-'BS (Base)'!AD40</f>
        <v>0</v>
      </c>
      <c r="AE40" s="112">
        <f>'BS (Adjusted)'!AE40-'BS (Base)'!AE40</f>
        <v>0</v>
      </c>
      <c r="AF40" s="112">
        <f>'BS (Adjusted)'!AF40-'BS (Base)'!AF40</f>
        <v>0</v>
      </c>
      <c r="AG40" s="262">
        <f>'BS (Adjusted)'!AG40-'BS (Base)'!AG40</f>
        <v>0</v>
      </c>
      <c r="AH40" s="112">
        <f>'BS (Adjusted)'!AH40-'BS (Base)'!AH40</f>
        <v>0</v>
      </c>
      <c r="AI40" s="112">
        <f>'BS (Adjusted)'!AI40-'BS (Base)'!AI40</f>
        <v>0</v>
      </c>
      <c r="AJ40" s="112">
        <f>'BS (Adjusted)'!AJ40-'BS (Base)'!AJ40</f>
        <v>0</v>
      </c>
      <c r="AK40" s="112">
        <f>'BS (Adjusted)'!AK40-'BS (Base)'!AK40</f>
        <v>0</v>
      </c>
      <c r="AL40" s="262">
        <f>'BS (Adjusted)'!AL40-'BS (Base)'!AL40</f>
        <v>0</v>
      </c>
      <c r="AM40" s="112">
        <f>'BS (Adjusted)'!AM40-'BS (Base)'!AM40</f>
        <v>0</v>
      </c>
      <c r="AN40" s="112">
        <f>'BS (Adjusted)'!AN40-'BS (Base)'!AN40</f>
        <v>0</v>
      </c>
      <c r="AO40" s="112">
        <f>'BS (Adjusted)'!AO40-'BS (Base)'!AO40</f>
        <v>0</v>
      </c>
      <c r="AP40" s="112">
        <f>'BS (Adjusted)'!AP40-'BS (Base)'!AP40</f>
        <v>0</v>
      </c>
      <c r="AQ40" s="262">
        <f>'BS (Adjusted)'!AQ40-'BS (Base)'!AQ40</f>
        <v>0</v>
      </c>
      <c r="AR40" s="112">
        <f>'BS (Adjusted)'!AR40-'BS (Base)'!AR40</f>
        <v>0</v>
      </c>
      <c r="AS40" s="112">
        <f>'BS (Adjusted)'!AS40-'BS (Base)'!AS40</f>
        <v>0</v>
      </c>
      <c r="AT40" s="112">
        <f>'BS (Adjusted)'!AT40-'BS (Base)'!AT40</f>
        <v>0</v>
      </c>
      <c r="AU40" s="112">
        <f>'BS (Adjusted)'!AU40-'BS (Base)'!AU40</f>
        <v>0</v>
      </c>
      <c r="AV40" s="262">
        <f>'BS (Adjusted)'!AV40-'BS (Base)'!AV40</f>
        <v>0</v>
      </c>
    </row>
    <row r="41" spans="1:48" outlineLevel="1" x14ac:dyDescent="0.3">
      <c r="B41" s="619" t="s">
        <v>247</v>
      </c>
      <c r="C41" s="620"/>
      <c r="D41" s="21">
        <f>'BS (Adjusted)'!D41-'BS (Base)'!D41</f>
        <v>0</v>
      </c>
      <c r="E41" s="21">
        <f>'BS (Adjusted)'!E41-'BS (Base)'!E41</f>
        <v>0</v>
      </c>
      <c r="F41" s="21">
        <f>'BS (Adjusted)'!F41-'BS (Base)'!F41</f>
        <v>0</v>
      </c>
      <c r="G41" s="21">
        <f>'BS (Adjusted)'!G41-'BS (Base)'!G41</f>
        <v>0</v>
      </c>
      <c r="H41" s="22">
        <f>'BS (Adjusted)'!H41-'BS (Base)'!H41</f>
        <v>0</v>
      </c>
      <c r="I41" s="21">
        <f>'BS (Adjusted)'!I41-'BS (Base)'!I41</f>
        <v>0</v>
      </c>
      <c r="J41" s="21">
        <f>'BS (Adjusted)'!J41-'BS (Base)'!J41</f>
        <v>0</v>
      </c>
      <c r="K41" s="21">
        <f>'BS (Adjusted)'!K41-'BS (Base)'!K41</f>
        <v>0</v>
      </c>
      <c r="L41" s="21">
        <f>'BS (Adjusted)'!L41-'BS (Base)'!L41</f>
        <v>0</v>
      </c>
      <c r="M41" s="22">
        <f>'BS (Adjusted)'!M41-'BS (Base)'!M41</f>
        <v>0</v>
      </c>
      <c r="N41" s="21">
        <f>'BS (Adjusted)'!N41-'BS (Base)'!N41</f>
        <v>0</v>
      </c>
      <c r="O41" s="21">
        <f>'BS (Adjusted)'!O41-'BS (Base)'!O41</f>
        <v>0</v>
      </c>
      <c r="P41" s="21">
        <f>'BS (Adjusted)'!P41-'BS (Base)'!P41</f>
        <v>0</v>
      </c>
      <c r="Q41" s="21">
        <f>'BS (Adjusted)'!Q41-'BS (Base)'!Q41</f>
        <v>0</v>
      </c>
      <c r="R41" s="22">
        <f>'BS (Adjusted)'!R41-'BS (Base)'!R41</f>
        <v>0</v>
      </c>
      <c r="S41" s="21">
        <f>'BS (Adjusted)'!S41-'BS (Base)'!S41</f>
        <v>0</v>
      </c>
      <c r="T41" s="21">
        <f>'BS (Adjusted)'!T41-'BS (Base)'!T41</f>
        <v>0</v>
      </c>
      <c r="U41" s="21">
        <f>'BS (Adjusted)'!U41-'BS (Base)'!U41</f>
        <v>0</v>
      </c>
      <c r="V41" s="21">
        <f>'BS (Adjusted)'!V41-'BS (Base)'!V41</f>
        <v>0</v>
      </c>
      <c r="W41" s="22">
        <f>'BS (Adjusted)'!W41-'BS (Base)'!W41</f>
        <v>0</v>
      </c>
      <c r="X41" s="116">
        <f>'BS (Adjusted)'!X41-'BS (Base)'!X41</f>
        <v>0</v>
      </c>
      <c r="Y41" s="21">
        <f>'BS (Adjusted)'!Y41-'BS (Base)'!Y41</f>
        <v>0</v>
      </c>
      <c r="Z41" s="21">
        <f>'BS (Adjusted)'!Z41-'BS (Base)'!Z41</f>
        <v>0</v>
      </c>
      <c r="AA41" s="21">
        <f>'BS (Adjusted)'!AA41-'BS (Base)'!AA41</f>
        <v>0</v>
      </c>
      <c r="AB41" s="22">
        <f>'BS (Adjusted)'!AB41-'BS (Base)'!AB41</f>
        <v>0</v>
      </c>
      <c r="AC41" s="21">
        <f>'BS (Adjusted)'!AC41-'BS (Base)'!AC41</f>
        <v>0</v>
      </c>
      <c r="AD41" s="21">
        <f>'BS (Adjusted)'!AD41-'BS (Base)'!AD41</f>
        <v>0</v>
      </c>
      <c r="AE41" s="21">
        <f>'BS (Adjusted)'!AE41-'BS (Base)'!AE41</f>
        <v>0</v>
      </c>
      <c r="AF41" s="21">
        <f>'BS (Adjusted)'!AF41-'BS (Base)'!AF41</f>
        <v>0</v>
      </c>
      <c r="AG41" s="22">
        <f>'BS (Adjusted)'!AG41-'BS (Base)'!AG41</f>
        <v>0</v>
      </c>
      <c r="AH41" s="21">
        <f>'BS (Adjusted)'!AH41-'BS (Base)'!AH41</f>
        <v>0</v>
      </c>
      <c r="AI41" s="21">
        <f>'BS (Adjusted)'!AI41-'BS (Base)'!AI41</f>
        <v>0</v>
      </c>
      <c r="AJ41" s="21">
        <f>'BS (Adjusted)'!AJ41-'BS (Base)'!AJ41</f>
        <v>0</v>
      </c>
      <c r="AK41" s="21">
        <f>'BS (Adjusted)'!AK41-'BS (Base)'!AK41</f>
        <v>0</v>
      </c>
      <c r="AL41" s="22">
        <f>'BS (Adjusted)'!AL41-'BS (Base)'!AL41</f>
        <v>0</v>
      </c>
      <c r="AM41" s="21">
        <f>'BS (Adjusted)'!AM41-'BS (Base)'!AM41</f>
        <v>0</v>
      </c>
      <c r="AN41" s="21">
        <f>'BS (Adjusted)'!AN41-'BS (Base)'!AN41</f>
        <v>0</v>
      </c>
      <c r="AO41" s="21">
        <f>'BS (Adjusted)'!AO41-'BS (Base)'!AO41</f>
        <v>0</v>
      </c>
      <c r="AP41" s="21">
        <f>'BS (Adjusted)'!AP41-'BS (Base)'!AP41</f>
        <v>0</v>
      </c>
      <c r="AQ41" s="22">
        <f>'BS (Adjusted)'!AQ41-'BS (Base)'!AQ41</f>
        <v>0</v>
      </c>
      <c r="AR41" s="21">
        <f>'BS (Adjusted)'!AR41-'BS (Base)'!AR41</f>
        <v>0</v>
      </c>
      <c r="AS41" s="21">
        <f>'BS (Adjusted)'!AS41-'BS (Base)'!AS41</f>
        <v>0</v>
      </c>
      <c r="AT41" s="21">
        <f>'BS (Adjusted)'!AT41-'BS (Base)'!AT41</f>
        <v>0</v>
      </c>
      <c r="AU41" s="21">
        <f>'BS (Adjusted)'!AU41-'BS (Base)'!AU41</f>
        <v>0</v>
      </c>
      <c r="AV41" s="22">
        <f>'BS (Adjusted)'!AV41-'BS (Base)'!AV41</f>
        <v>0</v>
      </c>
    </row>
    <row r="42" spans="1:48" outlineLevel="1" x14ac:dyDescent="0.3">
      <c r="B42" s="617" t="s">
        <v>248</v>
      </c>
      <c r="C42" s="618"/>
      <c r="D42" s="267">
        <f>'BS (Adjusted)'!D42-'BS (Base)'!D42</f>
        <v>0</v>
      </c>
      <c r="E42" s="267">
        <f>'BS (Adjusted)'!E42-'BS (Base)'!E42</f>
        <v>0</v>
      </c>
      <c r="F42" s="267">
        <f>'BS (Adjusted)'!F42-'BS (Base)'!F42</f>
        <v>0</v>
      </c>
      <c r="G42" s="267">
        <f>'BS (Adjusted)'!G42-'BS (Base)'!G42</f>
        <v>0</v>
      </c>
      <c r="H42" s="268">
        <f>'BS (Adjusted)'!H42-'BS (Base)'!H42</f>
        <v>0</v>
      </c>
      <c r="I42" s="267">
        <f>'BS (Adjusted)'!I42-'BS (Base)'!I42</f>
        <v>0</v>
      </c>
      <c r="J42" s="267">
        <f>'BS (Adjusted)'!J42-'BS (Base)'!J42</f>
        <v>0</v>
      </c>
      <c r="K42" s="267">
        <f>'BS (Adjusted)'!K42-'BS (Base)'!K42</f>
        <v>0</v>
      </c>
      <c r="L42" s="267">
        <f>'BS (Adjusted)'!L42-'BS (Base)'!L42</f>
        <v>0</v>
      </c>
      <c r="M42" s="268">
        <f>'BS (Adjusted)'!M42-'BS (Base)'!M42</f>
        <v>0</v>
      </c>
      <c r="N42" s="267">
        <f>'BS (Adjusted)'!N42-'BS (Base)'!N42</f>
        <v>0</v>
      </c>
      <c r="O42" s="267">
        <f>'BS (Adjusted)'!O42-'BS (Base)'!O42</f>
        <v>0</v>
      </c>
      <c r="P42" s="267">
        <f>'BS (Adjusted)'!P42-'BS (Base)'!P42</f>
        <v>0</v>
      </c>
      <c r="Q42" s="267">
        <f>'BS (Adjusted)'!Q42-'BS (Base)'!Q42</f>
        <v>0</v>
      </c>
      <c r="R42" s="268">
        <f>'BS (Adjusted)'!R42-'BS (Base)'!R42</f>
        <v>0</v>
      </c>
      <c r="S42" s="267">
        <f>'BS (Adjusted)'!S42-'BS (Base)'!S42</f>
        <v>0</v>
      </c>
      <c r="T42" s="267">
        <f>'BS (Adjusted)'!T42-'BS (Base)'!T42</f>
        <v>0</v>
      </c>
      <c r="U42" s="267">
        <f>'BS (Adjusted)'!U42-'BS (Base)'!U42</f>
        <v>0</v>
      </c>
      <c r="V42" s="267">
        <f>'BS (Adjusted)'!V42-'BS (Base)'!V42</f>
        <v>0</v>
      </c>
      <c r="W42" s="268">
        <f>'BS (Adjusted)'!W42-'BS (Base)'!W42</f>
        <v>0</v>
      </c>
      <c r="X42" s="267">
        <f>'BS (Adjusted)'!X42-'BS (Base)'!X42</f>
        <v>0</v>
      </c>
      <c r="Y42" s="267">
        <f>'BS (Adjusted)'!Y42-'BS (Base)'!Y42</f>
        <v>0</v>
      </c>
      <c r="Z42" s="267">
        <f>'BS (Adjusted)'!Z42-'BS (Base)'!Z42</f>
        <v>0</v>
      </c>
      <c r="AA42" s="267">
        <f>'BS (Adjusted)'!AA42-'BS (Base)'!AA42</f>
        <v>0</v>
      </c>
      <c r="AB42" s="268">
        <f>'BS (Adjusted)'!AB42-'BS (Base)'!AB42</f>
        <v>0</v>
      </c>
      <c r="AC42" s="267">
        <f>'BS (Adjusted)'!AC42-'BS (Base)'!AC42</f>
        <v>0</v>
      </c>
      <c r="AD42" s="267">
        <f>'BS (Adjusted)'!AD42-'BS (Base)'!AD42</f>
        <v>0</v>
      </c>
      <c r="AE42" s="267">
        <f>'BS (Adjusted)'!AE42-'BS (Base)'!AE42</f>
        <v>0</v>
      </c>
      <c r="AF42" s="267">
        <f>'BS (Adjusted)'!AF42-'BS (Base)'!AF42</f>
        <v>0</v>
      </c>
      <c r="AG42" s="268">
        <f>'BS (Adjusted)'!AG42-'BS (Base)'!AG42</f>
        <v>0</v>
      </c>
      <c r="AH42" s="267">
        <f>'BS (Adjusted)'!AH42-'BS (Base)'!AH42</f>
        <v>0</v>
      </c>
      <c r="AI42" s="267">
        <f>'BS (Adjusted)'!AI42-'BS (Base)'!AI42</f>
        <v>0</v>
      </c>
      <c r="AJ42" s="267">
        <f>'BS (Adjusted)'!AJ42-'BS (Base)'!AJ42</f>
        <v>0</v>
      </c>
      <c r="AK42" s="267">
        <f>'BS (Adjusted)'!AK42-'BS (Base)'!AK42</f>
        <v>0</v>
      </c>
      <c r="AL42" s="268">
        <f>'BS (Adjusted)'!AL42-'BS (Base)'!AL42</f>
        <v>0</v>
      </c>
      <c r="AM42" s="267">
        <f>'BS (Adjusted)'!AM42-'BS (Base)'!AM42</f>
        <v>0</v>
      </c>
      <c r="AN42" s="267">
        <f>'BS (Adjusted)'!AN42-'BS (Base)'!AN42</f>
        <v>0</v>
      </c>
      <c r="AO42" s="267">
        <f>'BS (Adjusted)'!AO42-'BS (Base)'!AO42</f>
        <v>0</v>
      </c>
      <c r="AP42" s="267">
        <f>'BS (Adjusted)'!AP42-'BS (Base)'!AP42</f>
        <v>0</v>
      </c>
      <c r="AQ42" s="268">
        <f>'BS (Adjusted)'!AQ42-'BS (Base)'!AQ42</f>
        <v>0</v>
      </c>
      <c r="AR42" s="267">
        <f>'BS (Adjusted)'!AR42-'BS (Base)'!AR42</f>
        <v>0</v>
      </c>
      <c r="AS42" s="267">
        <f>'BS (Adjusted)'!AS42-'BS (Base)'!AS42</f>
        <v>0</v>
      </c>
      <c r="AT42" s="267">
        <f>'BS (Adjusted)'!AT42-'BS (Base)'!AT42</f>
        <v>0</v>
      </c>
      <c r="AU42" s="267">
        <f>'BS (Adjusted)'!AU42-'BS (Base)'!AU42</f>
        <v>0</v>
      </c>
      <c r="AV42" s="268">
        <f>'BS (Adjusted)'!AV42-'BS (Base)'!AV42</f>
        <v>0</v>
      </c>
    </row>
    <row r="43" spans="1:48" s="99" customFormat="1" x14ac:dyDescent="0.3">
      <c r="B43" s="491"/>
      <c r="C43" s="492"/>
      <c r="D43" s="493">
        <f t="shared" ref="D43:AV43" si="0">ROUND((D42-D20),0)</f>
        <v>0</v>
      </c>
      <c r="E43" s="493">
        <f t="shared" si="0"/>
        <v>0</v>
      </c>
      <c r="F43" s="493">
        <f t="shared" si="0"/>
        <v>0</v>
      </c>
      <c r="G43" s="493">
        <f t="shared" si="0"/>
        <v>0</v>
      </c>
      <c r="H43" s="493">
        <f t="shared" si="0"/>
        <v>0</v>
      </c>
      <c r="I43" s="493">
        <f t="shared" si="0"/>
        <v>0</v>
      </c>
      <c r="J43" s="493">
        <f t="shared" si="0"/>
        <v>0</v>
      </c>
      <c r="K43" s="493">
        <f t="shared" si="0"/>
        <v>0</v>
      </c>
      <c r="L43" s="494">
        <f t="shared" si="0"/>
        <v>0</v>
      </c>
      <c r="M43" s="494">
        <f t="shared" si="0"/>
        <v>0</v>
      </c>
      <c r="N43" s="494">
        <f t="shared" si="0"/>
        <v>0</v>
      </c>
      <c r="O43" s="494">
        <f t="shared" si="0"/>
        <v>0</v>
      </c>
      <c r="P43" s="494">
        <f t="shared" si="0"/>
        <v>0</v>
      </c>
      <c r="Q43" s="494">
        <f t="shared" si="0"/>
        <v>0</v>
      </c>
      <c r="R43" s="494">
        <f t="shared" si="0"/>
        <v>0</v>
      </c>
      <c r="S43" s="494">
        <f t="shared" si="0"/>
        <v>0</v>
      </c>
      <c r="T43" s="494">
        <f t="shared" si="0"/>
        <v>0</v>
      </c>
      <c r="U43" s="494">
        <f t="shared" si="0"/>
        <v>0</v>
      </c>
      <c r="V43" s="494">
        <f t="shared" si="0"/>
        <v>0</v>
      </c>
      <c r="W43" s="494">
        <f t="shared" si="0"/>
        <v>0</v>
      </c>
      <c r="X43" s="494">
        <f t="shared" si="0"/>
        <v>0</v>
      </c>
      <c r="Y43" s="494">
        <f t="shared" si="0"/>
        <v>0</v>
      </c>
      <c r="Z43" s="494">
        <f t="shared" si="0"/>
        <v>0</v>
      </c>
      <c r="AA43" s="494">
        <f t="shared" si="0"/>
        <v>0</v>
      </c>
      <c r="AB43" s="494">
        <f t="shared" si="0"/>
        <v>0</v>
      </c>
      <c r="AC43" s="494">
        <f t="shared" si="0"/>
        <v>0</v>
      </c>
      <c r="AD43" s="494">
        <f t="shared" si="0"/>
        <v>0</v>
      </c>
      <c r="AE43" s="494">
        <f t="shared" si="0"/>
        <v>0</v>
      </c>
      <c r="AF43" s="494">
        <f t="shared" si="0"/>
        <v>0</v>
      </c>
      <c r="AG43" s="494">
        <f t="shared" si="0"/>
        <v>0</v>
      </c>
      <c r="AH43" s="494">
        <f t="shared" si="0"/>
        <v>0</v>
      </c>
      <c r="AI43" s="494">
        <f t="shared" si="0"/>
        <v>0</v>
      </c>
      <c r="AJ43" s="494">
        <f t="shared" si="0"/>
        <v>0</v>
      </c>
      <c r="AK43" s="494">
        <f t="shared" si="0"/>
        <v>0</v>
      </c>
      <c r="AL43" s="494">
        <f t="shared" si="0"/>
        <v>0</v>
      </c>
      <c r="AM43" s="494">
        <f t="shared" si="0"/>
        <v>0</v>
      </c>
      <c r="AN43" s="494">
        <f t="shared" si="0"/>
        <v>0</v>
      </c>
      <c r="AO43" s="494">
        <f t="shared" si="0"/>
        <v>0</v>
      </c>
      <c r="AP43" s="494">
        <f t="shared" si="0"/>
        <v>0</v>
      </c>
      <c r="AQ43" s="494">
        <f t="shared" si="0"/>
        <v>0</v>
      </c>
      <c r="AR43" s="494">
        <f t="shared" si="0"/>
        <v>0</v>
      </c>
      <c r="AS43" s="494">
        <f t="shared" si="0"/>
        <v>0</v>
      </c>
      <c r="AT43" s="494">
        <f t="shared" si="0"/>
        <v>0</v>
      </c>
      <c r="AU43" s="494">
        <f t="shared" si="0"/>
        <v>0</v>
      </c>
      <c r="AV43" s="494">
        <f t="shared" si="0"/>
        <v>0</v>
      </c>
    </row>
    <row r="44" spans="1:48" ht="15.6" x14ac:dyDescent="0.3">
      <c r="B44" s="583" t="s">
        <v>249</v>
      </c>
      <c r="C44" s="584"/>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3" t="s">
        <v>407</v>
      </c>
      <c r="Y44" s="13" t="s">
        <v>451</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85"/>
      <c r="C45" s="586"/>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4" t="s">
        <v>408</v>
      </c>
      <c r="Y45" s="14" t="s">
        <v>452</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'BS (Adjusted)'!D46-'BS (Base)'!D46</f>
        <v>0</v>
      </c>
      <c r="E46" s="274">
        <f>'BS (Adjusted)'!E46-'BS (Base)'!E46</f>
        <v>0</v>
      </c>
      <c r="F46" s="274">
        <f>'BS (Adjusted)'!F46-'BS (Base)'!F46</f>
        <v>0</v>
      </c>
      <c r="G46" s="274">
        <f>'BS (Adjusted)'!G46-'BS (Base)'!G46</f>
        <v>0</v>
      </c>
      <c r="H46" s="122">
        <f>'BS (Adjusted)'!H46-'BS (Base)'!H46</f>
        <v>0</v>
      </c>
      <c r="I46" s="274">
        <f>'BS (Adjusted)'!I46-'BS (Base)'!I46</f>
        <v>0</v>
      </c>
      <c r="J46" s="274">
        <f>'BS (Adjusted)'!J46-'BS (Base)'!J46</f>
        <v>0</v>
      </c>
      <c r="K46" s="274">
        <f>'BS (Adjusted)'!K46-'BS (Base)'!K46</f>
        <v>0</v>
      </c>
      <c r="L46" s="274">
        <f>'BS (Adjusted)'!L46-'BS (Base)'!L46</f>
        <v>0</v>
      </c>
      <c r="M46" s="122">
        <f>'BS (Adjusted)'!M46-'BS (Base)'!M46</f>
        <v>0</v>
      </c>
      <c r="N46" s="274">
        <f>'BS (Adjusted)'!N46-'BS (Base)'!N46</f>
        <v>0</v>
      </c>
      <c r="O46" s="274">
        <f>'BS (Adjusted)'!O46-'BS (Base)'!O46</f>
        <v>0</v>
      </c>
      <c r="P46" s="274">
        <f>'BS (Adjusted)'!P46-'BS (Base)'!P46</f>
        <v>0</v>
      </c>
      <c r="Q46" s="274">
        <f>'BS (Adjusted)'!Q46-'BS (Base)'!Q46</f>
        <v>0</v>
      </c>
      <c r="R46" s="122">
        <f>'BS (Adjusted)'!R46-'BS (Base)'!R46</f>
        <v>0</v>
      </c>
      <c r="S46" s="274">
        <f>'BS (Adjusted)'!S46-'BS (Base)'!S46</f>
        <v>0</v>
      </c>
      <c r="T46" s="274">
        <f>'BS (Adjusted)'!T46-'BS (Base)'!T46</f>
        <v>0</v>
      </c>
      <c r="U46" s="274">
        <f>'BS (Adjusted)'!U46-'BS (Base)'!U46</f>
        <v>0</v>
      </c>
      <c r="V46" s="274">
        <f>'BS (Adjusted)'!V46-'BS (Base)'!V46</f>
        <v>0</v>
      </c>
      <c r="W46" s="122">
        <f>'BS (Adjusted)'!W46-'BS (Base)'!W46</f>
        <v>0</v>
      </c>
      <c r="X46" s="274">
        <f>'BS (Adjusted)'!X46-'BS (Base)'!X46</f>
        <v>0</v>
      </c>
      <c r="Y46" s="274">
        <f>'BS (Adjusted)'!Y46-'BS (Base)'!Y46</f>
        <v>0</v>
      </c>
      <c r="Z46" s="274">
        <f>'BS (Adjusted)'!Z46-'BS (Base)'!Z46</f>
        <v>0</v>
      </c>
      <c r="AA46" s="274">
        <f>'BS (Adjusted)'!AA46-'BS (Base)'!AA46</f>
        <v>0</v>
      </c>
      <c r="AB46" s="122">
        <f>'BS (Adjusted)'!AB46-'BS (Base)'!AB46</f>
        <v>0</v>
      </c>
      <c r="AC46" s="274">
        <f>'BS (Adjusted)'!AC46-'BS (Base)'!AC46</f>
        <v>0</v>
      </c>
      <c r="AD46" s="274">
        <f>'BS (Adjusted)'!AD46-'BS (Base)'!AD46</f>
        <v>0</v>
      </c>
      <c r="AE46" s="274">
        <f>'BS (Adjusted)'!AE46-'BS (Base)'!AE46</f>
        <v>0</v>
      </c>
      <c r="AF46" s="274">
        <f>'BS (Adjusted)'!AF46-'BS (Base)'!AF46</f>
        <v>0</v>
      </c>
      <c r="AG46" s="122">
        <f>'BS (Adjusted)'!AG46-'BS (Base)'!AG46</f>
        <v>0</v>
      </c>
      <c r="AH46" s="274">
        <f>'BS (Adjusted)'!AH46-'BS (Base)'!AH46</f>
        <v>0</v>
      </c>
      <c r="AI46" s="274">
        <f>'BS (Adjusted)'!AI46-'BS (Base)'!AI46</f>
        <v>0</v>
      </c>
      <c r="AJ46" s="274">
        <f>'BS (Adjusted)'!AJ46-'BS (Base)'!AJ46</f>
        <v>0</v>
      </c>
      <c r="AK46" s="274">
        <f>'BS (Adjusted)'!AK46-'BS (Base)'!AK46</f>
        <v>0</v>
      </c>
      <c r="AL46" s="122">
        <f>'BS (Adjusted)'!AL46-'BS (Base)'!AL46</f>
        <v>0</v>
      </c>
      <c r="AM46" s="274">
        <f>'BS (Adjusted)'!AM46-'BS (Base)'!AM46</f>
        <v>0</v>
      </c>
      <c r="AN46" s="274">
        <f>'BS (Adjusted)'!AN46-'BS (Base)'!AN46</f>
        <v>0</v>
      </c>
      <c r="AO46" s="274">
        <f>'BS (Adjusted)'!AO46-'BS (Base)'!AO46</f>
        <v>0</v>
      </c>
      <c r="AP46" s="274">
        <f>'BS (Adjusted)'!AP46-'BS (Base)'!AP46</f>
        <v>0</v>
      </c>
      <c r="AQ46" s="122">
        <f>'BS (Adjusted)'!AQ46-'BS (Base)'!AQ46</f>
        <v>0</v>
      </c>
      <c r="AR46" s="274">
        <f>'BS (Adjusted)'!AR46-'BS (Base)'!AR46</f>
        <v>0</v>
      </c>
      <c r="AS46" s="274">
        <f>'BS (Adjusted)'!AS46-'BS (Base)'!AS46</f>
        <v>0</v>
      </c>
      <c r="AT46" s="274">
        <f>'BS (Adjusted)'!AT46-'BS (Base)'!AT46</f>
        <v>0</v>
      </c>
      <c r="AU46" s="274">
        <f>'BS (Adjusted)'!AU46-'BS (Base)'!AU46</f>
        <v>0</v>
      </c>
      <c r="AV46" s="122">
        <f>'BS (Adjusted)'!AV46-'BS (Base)'!AV46</f>
        <v>0</v>
      </c>
    </row>
    <row r="47" spans="1:48" outlineLevel="1" x14ac:dyDescent="0.3">
      <c r="B47" s="580" t="s">
        <v>251</v>
      </c>
      <c r="C47" s="581"/>
      <c r="D47" s="276">
        <f>'BS (Adjusted)'!D47-'BS (Base)'!D47</f>
        <v>0</v>
      </c>
      <c r="E47" s="276">
        <f>'BS (Adjusted)'!E47-'BS (Base)'!E47</f>
        <v>0</v>
      </c>
      <c r="F47" s="276">
        <f>'BS (Adjusted)'!F47-'BS (Base)'!F47</f>
        <v>0</v>
      </c>
      <c r="G47" s="276">
        <f>'BS (Adjusted)'!G47-'BS (Base)'!G47</f>
        <v>0</v>
      </c>
      <c r="H47" s="126">
        <f>'BS (Adjusted)'!H47-'BS (Base)'!H47</f>
        <v>0</v>
      </c>
      <c r="I47" s="276">
        <f>'BS (Adjusted)'!I47-'BS (Base)'!I47</f>
        <v>0</v>
      </c>
      <c r="J47" s="276">
        <f>'BS (Adjusted)'!J47-'BS (Base)'!J47</f>
        <v>0</v>
      </c>
      <c r="K47" s="276">
        <f>'BS (Adjusted)'!K47-'BS (Base)'!K47</f>
        <v>0</v>
      </c>
      <c r="L47" s="276">
        <f>'BS (Adjusted)'!L47-'BS (Base)'!L47</f>
        <v>0</v>
      </c>
      <c r="M47" s="31">
        <f>'BS (Adjusted)'!M47-'BS (Base)'!M47</f>
        <v>0</v>
      </c>
      <c r="N47" s="276">
        <f>'BS (Adjusted)'!N47-'BS (Base)'!N47</f>
        <v>0</v>
      </c>
      <c r="O47" s="276">
        <f>'BS (Adjusted)'!O47-'BS (Base)'!O47</f>
        <v>0</v>
      </c>
      <c r="P47" s="276">
        <f>'BS (Adjusted)'!P47-'BS (Base)'!P47</f>
        <v>0</v>
      </c>
      <c r="Q47" s="276">
        <f>'BS (Adjusted)'!Q47-'BS (Base)'!Q47</f>
        <v>0</v>
      </c>
      <c r="R47" s="31">
        <f>'BS (Adjusted)'!R47-'BS (Base)'!R47</f>
        <v>0</v>
      </c>
      <c r="S47" s="276">
        <f>'BS (Adjusted)'!S47-'BS (Base)'!S47</f>
        <v>0</v>
      </c>
      <c r="T47" s="276">
        <f>'BS (Adjusted)'!T47-'BS (Base)'!T47</f>
        <v>0</v>
      </c>
      <c r="U47" s="276">
        <f>'BS (Adjusted)'!U47-'BS (Base)'!U47</f>
        <v>0</v>
      </c>
      <c r="V47" s="276">
        <f>'BS (Adjusted)'!V47-'BS (Base)'!V47</f>
        <v>0</v>
      </c>
      <c r="W47" s="126">
        <f>'BS (Adjusted)'!W47-'BS (Base)'!W47</f>
        <v>0</v>
      </c>
      <c r="X47" s="276">
        <f>'BS (Adjusted)'!X47-'BS (Base)'!X47</f>
        <v>0</v>
      </c>
      <c r="Y47" s="277">
        <f>'BS (Adjusted)'!Y47-'BS (Base)'!Y47</f>
        <v>0</v>
      </c>
      <c r="Z47" s="277">
        <f>'BS (Adjusted)'!Z47-'BS (Base)'!Z47</f>
        <v>0</v>
      </c>
      <c r="AA47" s="277">
        <f>'BS (Adjusted)'!AA47-'BS (Base)'!AA47</f>
        <v>0</v>
      </c>
      <c r="AB47" s="278">
        <f>'BS (Adjusted)'!AB47-'BS (Base)'!AB47</f>
        <v>0</v>
      </c>
      <c r="AC47" s="277">
        <f>'BS (Adjusted)'!AC47-'BS (Base)'!AC47</f>
        <v>0</v>
      </c>
      <c r="AD47" s="277">
        <f>'BS (Adjusted)'!AD47-'BS (Base)'!AD47</f>
        <v>0</v>
      </c>
      <c r="AE47" s="277">
        <f>'BS (Adjusted)'!AE47-'BS (Base)'!AE47</f>
        <v>0</v>
      </c>
      <c r="AF47" s="277">
        <f>'BS (Adjusted)'!AF47-'BS (Base)'!AF47</f>
        <v>0</v>
      </c>
      <c r="AG47" s="278">
        <f>'BS (Adjusted)'!AG47-'BS (Base)'!AG47</f>
        <v>0</v>
      </c>
      <c r="AH47" s="277">
        <f>'BS (Adjusted)'!AH47-'BS (Base)'!AH47</f>
        <v>0</v>
      </c>
      <c r="AI47" s="277">
        <f>'BS (Adjusted)'!AI47-'BS (Base)'!AI47</f>
        <v>0</v>
      </c>
      <c r="AJ47" s="277">
        <f>'BS (Adjusted)'!AJ47-'BS (Base)'!AJ47</f>
        <v>0</v>
      </c>
      <c r="AK47" s="277">
        <f>'BS (Adjusted)'!AK47-'BS (Base)'!AK47</f>
        <v>0</v>
      </c>
      <c r="AL47" s="278">
        <f>'BS (Adjusted)'!AL47-'BS (Base)'!AL47</f>
        <v>0</v>
      </c>
      <c r="AM47" s="277">
        <f>'BS (Adjusted)'!AM47-'BS (Base)'!AM47</f>
        <v>0</v>
      </c>
      <c r="AN47" s="277">
        <f>'BS (Adjusted)'!AN47-'BS (Base)'!AN47</f>
        <v>0</v>
      </c>
      <c r="AO47" s="277">
        <f>'BS (Adjusted)'!AO47-'BS (Base)'!AO47</f>
        <v>0</v>
      </c>
      <c r="AP47" s="277">
        <f>'BS (Adjusted)'!AP47-'BS (Base)'!AP47</f>
        <v>0</v>
      </c>
      <c r="AQ47" s="278">
        <f>'BS (Adjusted)'!AQ47-'BS (Base)'!AQ47</f>
        <v>0</v>
      </c>
      <c r="AR47" s="277">
        <f>'BS (Adjusted)'!AR47-'BS (Base)'!AR47</f>
        <v>0</v>
      </c>
      <c r="AS47" s="277">
        <f>'BS (Adjusted)'!AS47-'BS (Base)'!AS47</f>
        <v>0</v>
      </c>
      <c r="AT47" s="277">
        <f>'BS (Adjusted)'!AT47-'BS (Base)'!AT47</f>
        <v>0</v>
      </c>
      <c r="AU47" s="277">
        <f>'BS (Adjusted)'!AU47-'BS (Base)'!AU47</f>
        <v>0</v>
      </c>
      <c r="AV47" s="278">
        <f>'BS (Adjusted)'!AV47-'BS (Base)'!AV47</f>
        <v>0</v>
      </c>
    </row>
    <row r="48" spans="1:48" s="23" customFormat="1" outlineLevel="1" x14ac:dyDescent="0.3">
      <c r="B48" s="607" t="s">
        <v>252</v>
      </c>
      <c r="C48" s="608"/>
      <c r="D48" s="279">
        <f>'BS (Adjusted)'!D48-'BS (Base)'!D48</f>
        <v>0</v>
      </c>
      <c r="E48" s="279">
        <f>'BS (Adjusted)'!E48-'BS (Base)'!E48</f>
        <v>0</v>
      </c>
      <c r="F48" s="274">
        <f>'BS (Adjusted)'!F48-'BS (Base)'!F48</f>
        <v>0</v>
      </c>
      <c r="G48" s="274">
        <f>'BS (Adjusted)'!G48-'BS (Base)'!G48</f>
        <v>0</v>
      </c>
      <c r="H48" s="126">
        <f>'BS (Adjusted)'!H48-'BS (Base)'!H48</f>
        <v>0</v>
      </c>
      <c r="I48" s="274">
        <f>'BS (Adjusted)'!I48-'BS (Base)'!I48</f>
        <v>0</v>
      </c>
      <c r="J48" s="274">
        <f>'BS (Adjusted)'!J48-'BS (Base)'!J48</f>
        <v>0</v>
      </c>
      <c r="K48" s="274">
        <f>'BS (Adjusted)'!K48-'BS (Base)'!K48</f>
        <v>0</v>
      </c>
      <c r="L48" s="279">
        <f>'BS (Adjusted)'!L48-'BS (Base)'!L48</f>
        <v>0</v>
      </c>
      <c r="M48" s="31">
        <f>'BS (Adjusted)'!M48-'BS (Base)'!M48</f>
        <v>0</v>
      </c>
      <c r="N48" s="279">
        <f>'BS (Adjusted)'!N48-'BS (Base)'!N48</f>
        <v>0</v>
      </c>
      <c r="O48" s="279">
        <f>'BS (Adjusted)'!O48-'BS (Base)'!O48</f>
        <v>0</v>
      </c>
      <c r="P48" s="279">
        <f>'BS (Adjusted)'!P48-'BS (Base)'!P48</f>
        <v>0</v>
      </c>
      <c r="Q48" s="279">
        <f>'BS (Adjusted)'!Q48-'BS (Base)'!Q48</f>
        <v>0</v>
      </c>
      <c r="R48" s="31">
        <f>'BS (Adjusted)'!R48-'BS (Base)'!R48</f>
        <v>0</v>
      </c>
      <c r="S48" s="279">
        <f>'BS (Adjusted)'!S48-'BS (Base)'!S48</f>
        <v>0</v>
      </c>
      <c r="T48" s="279">
        <f>'BS (Adjusted)'!T48-'BS (Base)'!T48</f>
        <v>0</v>
      </c>
      <c r="U48" s="279">
        <f>'BS (Adjusted)'!U48-'BS (Base)'!U48</f>
        <v>0</v>
      </c>
      <c r="V48" s="279">
        <f>'BS (Adjusted)'!V48-'BS (Base)'!V48</f>
        <v>0</v>
      </c>
      <c r="W48" s="126">
        <f>'BS (Adjusted)'!W48-'BS (Base)'!W48</f>
        <v>0</v>
      </c>
      <c r="X48" s="279">
        <f>'BS (Adjusted)'!X48-'BS (Base)'!X48</f>
        <v>0</v>
      </c>
      <c r="Y48" s="279">
        <f>'BS (Adjusted)'!Y48-'BS (Base)'!Y48</f>
        <v>0</v>
      </c>
      <c r="Z48" s="279">
        <f>'BS (Adjusted)'!Z48-'BS (Base)'!Z48</f>
        <v>0</v>
      </c>
      <c r="AA48" s="279">
        <f>'BS (Adjusted)'!AA48-'BS (Base)'!AA48</f>
        <v>0</v>
      </c>
      <c r="AB48" s="31">
        <f>'BS (Adjusted)'!AB48-'BS (Base)'!AB48</f>
        <v>0</v>
      </c>
      <c r="AC48" s="279">
        <f>'BS (Adjusted)'!AC48-'BS (Base)'!AC48</f>
        <v>0</v>
      </c>
      <c r="AD48" s="279">
        <f>'BS (Adjusted)'!AD48-'BS (Base)'!AD48</f>
        <v>0</v>
      </c>
      <c r="AE48" s="279">
        <f>'BS (Adjusted)'!AE48-'BS (Base)'!AE48</f>
        <v>0</v>
      </c>
      <c r="AF48" s="279">
        <f>'BS (Adjusted)'!AF48-'BS (Base)'!AF48</f>
        <v>0</v>
      </c>
      <c r="AG48" s="31">
        <f>'BS (Adjusted)'!AG48-'BS (Base)'!AG48</f>
        <v>0</v>
      </c>
      <c r="AH48" s="279">
        <f>'BS (Adjusted)'!AH48-'BS (Base)'!AH48</f>
        <v>0</v>
      </c>
      <c r="AI48" s="279">
        <f>'BS (Adjusted)'!AI48-'BS (Base)'!AI48</f>
        <v>0</v>
      </c>
      <c r="AJ48" s="279">
        <f>'BS (Adjusted)'!AJ48-'BS (Base)'!AJ48</f>
        <v>0</v>
      </c>
      <c r="AK48" s="279">
        <f>'BS (Adjusted)'!AK48-'BS (Base)'!AK48</f>
        <v>0</v>
      </c>
      <c r="AL48" s="31">
        <f>'BS (Adjusted)'!AL48-'BS (Base)'!AL48</f>
        <v>0</v>
      </c>
      <c r="AM48" s="279">
        <f>'BS (Adjusted)'!AM48-'BS (Base)'!AM48</f>
        <v>0</v>
      </c>
      <c r="AN48" s="279">
        <f>'BS (Adjusted)'!AN48-'BS (Base)'!AN48</f>
        <v>0</v>
      </c>
      <c r="AO48" s="279">
        <f>'BS (Adjusted)'!AO48-'BS (Base)'!AO48</f>
        <v>0</v>
      </c>
      <c r="AP48" s="279">
        <f>'BS (Adjusted)'!AP48-'BS (Base)'!AP48</f>
        <v>0</v>
      </c>
      <c r="AQ48" s="31">
        <f>'BS (Adjusted)'!AQ48-'BS (Base)'!AQ48</f>
        <v>0</v>
      </c>
      <c r="AR48" s="279">
        <f>'BS (Adjusted)'!AR48-'BS (Base)'!AR48</f>
        <v>0</v>
      </c>
      <c r="AS48" s="279">
        <f>'BS (Adjusted)'!AS48-'BS (Base)'!AS48</f>
        <v>0</v>
      </c>
      <c r="AT48" s="279">
        <f>'BS (Adjusted)'!AT48-'BS (Base)'!AT48</f>
        <v>0</v>
      </c>
      <c r="AU48" s="279">
        <f>'BS (Adjusted)'!AU48-'BS (Base)'!AU48</f>
        <v>0</v>
      </c>
      <c r="AV48" s="31">
        <f>'BS (Adjusted)'!AV48-'BS (Base)'!AV48</f>
        <v>0</v>
      </c>
    </row>
    <row r="49" spans="2:48" outlineLevel="1" x14ac:dyDescent="0.3">
      <c r="B49" s="580" t="s">
        <v>253</v>
      </c>
      <c r="C49" s="581"/>
      <c r="D49" s="276">
        <f>'BS (Adjusted)'!D49-'BS (Base)'!D49</f>
        <v>0</v>
      </c>
      <c r="E49" s="276">
        <f>'BS (Adjusted)'!E49-'BS (Base)'!E49</f>
        <v>0</v>
      </c>
      <c r="F49" s="276">
        <f>'BS (Adjusted)'!F49-'BS (Base)'!F49</f>
        <v>0</v>
      </c>
      <c r="G49" s="276">
        <f>'BS (Adjusted)'!G49-'BS (Base)'!G49</f>
        <v>0</v>
      </c>
      <c r="H49" s="126">
        <f>'BS (Adjusted)'!H49-'BS (Base)'!H49</f>
        <v>0</v>
      </c>
      <c r="I49" s="276">
        <f>'BS (Adjusted)'!I49-'BS (Base)'!I49</f>
        <v>0</v>
      </c>
      <c r="J49" s="276">
        <f>'BS (Adjusted)'!J49-'BS (Base)'!J49</f>
        <v>0</v>
      </c>
      <c r="K49" s="276">
        <f>'BS (Adjusted)'!K49-'BS (Base)'!K49</f>
        <v>0</v>
      </c>
      <c r="L49" s="276">
        <f>'BS (Adjusted)'!L49-'BS (Base)'!L49</f>
        <v>0</v>
      </c>
      <c r="M49" s="31">
        <f>'BS (Adjusted)'!M49-'BS (Base)'!M49</f>
        <v>0</v>
      </c>
      <c r="N49" s="276">
        <f>'BS (Adjusted)'!N49-'BS (Base)'!N49</f>
        <v>0</v>
      </c>
      <c r="O49" s="276">
        <f>'BS (Adjusted)'!O49-'BS (Base)'!O49</f>
        <v>0</v>
      </c>
      <c r="P49" s="276">
        <f>'BS (Adjusted)'!P49-'BS (Base)'!P49</f>
        <v>0</v>
      </c>
      <c r="Q49" s="276">
        <f>'BS (Adjusted)'!Q49-'BS (Base)'!Q49</f>
        <v>0</v>
      </c>
      <c r="R49" s="31">
        <f>'BS (Adjusted)'!R49-'BS (Base)'!R49</f>
        <v>0</v>
      </c>
      <c r="S49" s="276">
        <f>'BS (Adjusted)'!S49-'BS (Base)'!S49</f>
        <v>0</v>
      </c>
      <c r="T49" s="276">
        <f>'BS (Adjusted)'!T49-'BS (Base)'!T49</f>
        <v>0</v>
      </c>
      <c r="U49" s="276">
        <f>'BS (Adjusted)'!U49-'BS (Base)'!U49</f>
        <v>0</v>
      </c>
      <c r="V49" s="276">
        <f>'BS (Adjusted)'!V49-'BS (Base)'!V49</f>
        <v>0</v>
      </c>
      <c r="W49" s="126">
        <f>'BS (Adjusted)'!W49-'BS (Base)'!W49</f>
        <v>0</v>
      </c>
      <c r="X49" s="276">
        <f>'BS (Adjusted)'!X49-'BS (Base)'!X49</f>
        <v>0</v>
      </c>
      <c r="Y49" s="277">
        <f>'BS (Adjusted)'!Y49-'BS (Base)'!Y49</f>
        <v>0</v>
      </c>
      <c r="Z49" s="277">
        <f>'BS (Adjusted)'!Z49-'BS (Base)'!Z49</f>
        <v>0</v>
      </c>
      <c r="AA49" s="277">
        <f>'BS (Adjusted)'!AA49-'BS (Base)'!AA49</f>
        <v>0</v>
      </c>
      <c r="AB49" s="278">
        <f>'BS (Adjusted)'!AB49-'BS (Base)'!AB49</f>
        <v>0</v>
      </c>
      <c r="AC49" s="277">
        <f>'BS (Adjusted)'!AC49-'BS (Base)'!AC49</f>
        <v>0</v>
      </c>
      <c r="AD49" s="277">
        <f>'BS (Adjusted)'!AD49-'BS (Base)'!AD49</f>
        <v>0</v>
      </c>
      <c r="AE49" s="277">
        <f>'BS (Adjusted)'!AE49-'BS (Base)'!AE49</f>
        <v>0</v>
      </c>
      <c r="AF49" s="277">
        <f>'BS (Adjusted)'!AF49-'BS (Base)'!AF49</f>
        <v>0</v>
      </c>
      <c r="AG49" s="278">
        <f>'BS (Adjusted)'!AG49-'BS (Base)'!AG49</f>
        <v>0</v>
      </c>
      <c r="AH49" s="277">
        <f>'BS (Adjusted)'!AH49-'BS (Base)'!AH49</f>
        <v>0</v>
      </c>
      <c r="AI49" s="277">
        <f>'BS (Adjusted)'!AI49-'BS (Base)'!AI49</f>
        <v>0</v>
      </c>
      <c r="AJ49" s="277">
        <f>'BS (Adjusted)'!AJ49-'BS (Base)'!AJ49</f>
        <v>0</v>
      </c>
      <c r="AK49" s="277">
        <f>'BS (Adjusted)'!AK49-'BS (Base)'!AK49</f>
        <v>0</v>
      </c>
      <c r="AL49" s="278">
        <f>'BS (Adjusted)'!AL49-'BS (Base)'!AL49</f>
        <v>0</v>
      </c>
      <c r="AM49" s="277">
        <f>'BS (Adjusted)'!AM49-'BS (Base)'!AM49</f>
        <v>0</v>
      </c>
      <c r="AN49" s="277">
        <f>'BS (Adjusted)'!AN49-'BS (Base)'!AN49</f>
        <v>0</v>
      </c>
      <c r="AO49" s="277">
        <f>'BS (Adjusted)'!AO49-'BS (Base)'!AO49</f>
        <v>0</v>
      </c>
      <c r="AP49" s="277">
        <f>'BS (Adjusted)'!AP49-'BS (Base)'!AP49</f>
        <v>0</v>
      </c>
      <c r="AQ49" s="278">
        <f>'BS (Adjusted)'!AQ49-'BS (Base)'!AQ49</f>
        <v>0</v>
      </c>
      <c r="AR49" s="277">
        <f>'BS (Adjusted)'!AR49-'BS (Base)'!AR49</f>
        <v>0</v>
      </c>
      <c r="AS49" s="277">
        <f>'BS (Adjusted)'!AS49-'BS (Base)'!AS49</f>
        <v>0</v>
      </c>
      <c r="AT49" s="277">
        <f>'BS (Adjusted)'!AT49-'BS (Base)'!AT49</f>
        <v>0</v>
      </c>
      <c r="AU49" s="277">
        <f>'BS (Adjusted)'!AU49-'BS (Base)'!AU49</f>
        <v>0</v>
      </c>
      <c r="AV49" s="278">
        <f>'BS (Adjusted)'!AV49-'BS (Base)'!AV49</f>
        <v>0</v>
      </c>
    </row>
    <row r="50" spans="2:48" s="23" customFormat="1" outlineLevel="1" x14ac:dyDescent="0.3">
      <c r="B50" s="607" t="s">
        <v>252</v>
      </c>
      <c r="C50" s="608"/>
      <c r="D50" s="279">
        <f>'BS (Adjusted)'!D50-'BS (Base)'!D50</f>
        <v>0</v>
      </c>
      <c r="E50" s="279">
        <f>'BS (Adjusted)'!E50-'BS (Base)'!E50</f>
        <v>0</v>
      </c>
      <c r="F50" s="274">
        <f>'BS (Adjusted)'!F50-'BS (Base)'!F50</f>
        <v>0</v>
      </c>
      <c r="G50" s="274">
        <f>'BS (Adjusted)'!G50-'BS (Base)'!G50</f>
        <v>0</v>
      </c>
      <c r="H50" s="126">
        <f>'BS (Adjusted)'!H50-'BS (Base)'!H50</f>
        <v>0</v>
      </c>
      <c r="I50" s="274">
        <f>'BS (Adjusted)'!I50-'BS (Base)'!I50</f>
        <v>0</v>
      </c>
      <c r="J50" s="274">
        <f>'BS (Adjusted)'!J50-'BS (Base)'!J50</f>
        <v>0</v>
      </c>
      <c r="K50" s="274">
        <f>'BS (Adjusted)'!K50-'BS (Base)'!K50</f>
        <v>0</v>
      </c>
      <c r="L50" s="279">
        <f>'BS (Adjusted)'!L50-'BS (Base)'!L50</f>
        <v>0</v>
      </c>
      <c r="M50" s="31">
        <f>'BS (Adjusted)'!M50-'BS (Base)'!M50</f>
        <v>0</v>
      </c>
      <c r="N50" s="279">
        <f>'BS (Adjusted)'!N50-'BS (Base)'!N50</f>
        <v>0</v>
      </c>
      <c r="O50" s="279">
        <f>'BS (Adjusted)'!O50-'BS (Base)'!O50</f>
        <v>0</v>
      </c>
      <c r="P50" s="279">
        <f>'BS (Adjusted)'!P50-'BS (Base)'!P50</f>
        <v>0</v>
      </c>
      <c r="Q50" s="279">
        <f>'BS (Adjusted)'!Q50-'BS (Base)'!Q50</f>
        <v>0</v>
      </c>
      <c r="R50" s="31">
        <f>'BS (Adjusted)'!R50-'BS (Base)'!R50</f>
        <v>0</v>
      </c>
      <c r="S50" s="279">
        <f>'BS (Adjusted)'!S50-'BS (Base)'!S50</f>
        <v>0</v>
      </c>
      <c r="T50" s="279">
        <f>'BS (Adjusted)'!T50-'BS (Base)'!T50</f>
        <v>0</v>
      </c>
      <c r="U50" s="279">
        <f>'BS (Adjusted)'!U50-'BS (Base)'!U50</f>
        <v>0</v>
      </c>
      <c r="V50" s="279">
        <f>'BS (Adjusted)'!V50-'BS (Base)'!V50</f>
        <v>0</v>
      </c>
      <c r="W50" s="126">
        <f>'BS (Adjusted)'!W50-'BS (Base)'!W50</f>
        <v>0</v>
      </c>
      <c r="X50" s="279">
        <f>'BS (Adjusted)'!X50-'BS (Base)'!X50</f>
        <v>0</v>
      </c>
      <c r="Y50" s="279">
        <f>'BS (Adjusted)'!Y50-'BS (Base)'!Y50</f>
        <v>0</v>
      </c>
      <c r="Z50" s="279">
        <f>'BS (Adjusted)'!Z50-'BS (Base)'!Z50</f>
        <v>0</v>
      </c>
      <c r="AA50" s="279">
        <f>'BS (Adjusted)'!AA50-'BS (Base)'!AA50</f>
        <v>0</v>
      </c>
      <c r="AB50" s="31">
        <f>'BS (Adjusted)'!AB50-'BS (Base)'!AB50</f>
        <v>0</v>
      </c>
      <c r="AC50" s="279">
        <f>'BS (Adjusted)'!AC50-'BS (Base)'!AC50</f>
        <v>0</v>
      </c>
      <c r="AD50" s="279">
        <f>'BS (Adjusted)'!AD50-'BS (Base)'!AD50</f>
        <v>0</v>
      </c>
      <c r="AE50" s="279">
        <f>'BS (Adjusted)'!AE50-'BS (Base)'!AE50</f>
        <v>0</v>
      </c>
      <c r="AF50" s="279">
        <f>'BS (Adjusted)'!AF50-'BS (Base)'!AF50</f>
        <v>0</v>
      </c>
      <c r="AG50" s="31">
        <f>'BS (Adjusted)'!AG50-'BS (Base)'!AG50</f>
        <v>0</v>
      </c>
      <c r="AH50" s="279">
        <f>'BS (Adjusted)'!AH50-'BS (Base)'!AH50</f>
        <v>0</v>
      </c>
      <c r="AI50" s="279">
        <f>'BS (Adjusted)'!AI50-'BS (Base)'!AI50</f>
        <v>0</v>
      </c>
      <c r="AJ50" s="279">
        <f>'BS (Adjusted)'!AJ50-'BS (Base)'!AJ50</f>
        <v>0</v>
      </c>
      <c r="AK50" s="279">
        <f>'BS (Adjusted)'!AK50-'BS (Base)'!AK50</f>
        <v>0</v>
      </c>
      <c r="AL50" s="31">
        <f>'BS (Adjusted)'!AL50-'BS (Base)'!AL50</f>
        <v>0</v>
      </c>
      <c r="AM50" s="279">
        <f>'BS (Adjusted)'!AM50-'BS (Base)'!AM50</f>
        <v>0</v>
      </c>
      <c r="AN50" s="279">
        <f>'BS (Adjusted)'!AN50-'BS (Base)'!AN50</f>
        <v>0</v>
      </c>
      <c r="AO50" s="279">
        <f>'BS (Adjusted)'!AO50-'BS (Base)'!AO50</f>
        <v>0</v>
      </c>
      <c r="AP50" s="279">
        <f>'BS (Adjusted)'!AP50-'BS (Base)'!AP50</f>
        <v>0</v>
      </c>
      <c r="AQ50" s="31">
        <f>'BS (Adjusted)'!AQ50-'BS (Base)'!AQ50</f>
        <v>0</v>
      </c>
      <c r="AR50" s="279">
        <f>'BS (Adjusted)'!AR50-'BS (Base)'!AR50</f>
        <v>0</v>
      </c>
      <c r="AS50" s="279">
        <f>'BS (Adjusted)'!AS50-'BS (Base)'!AS50</f>
        <v>0</v>
      </c>
      <c r="AT50" s="279">
        <f>'BS (Adjusted)'!AT50-'BS (Base)'!AT50</f>
        <v>0</v>
      </c>
      <c r="AU50" s="279">
        <f>'BS (Adjusted)'!AU50-'BS (Base)'!AU50</f>
        <v>0</v>
      </c>
      <c r="AV50" s="31">
        <f>'BS (Adjusted)'!AV50-'BS (Base)'!AV50</f>
        <v>0</v>
      </c>
    </row>
    <row r="51" spans="2:48" s="23" customFormat="1" outlineLevel="1" x14ac:dyDescent="0.3">
      <c r="B51" s="580" t="s">
        <v>254</v>
      </c>
      <c r="C51" s="581"/>
      <c r="D51" s="276">
        <f>'BS (Adjusted)'!D51-'BS (Base)'!D51</f>
        <v>0</v>
      </c>
      <c r="E51" s="276">
        <f>'BS (Adjusted)'!E51-'BS (Base)'!E51</f>
        <v>0</v>
      </c>
      <c r="F51" s="276">
        <f>'BS (Adjusted)'!F51-'BS (Base)'!F51</f>
        <v>0</v>
      </c>
      <c r="G51" s="276">
        <f>'BS (Adjusted)'!G51-'BS (Base)'!G51</f>
        <v>0</v>
      </c>
      <c r="H51" s="127">
        <f>'BS (Adjusted)'!H51-'BS (Base)'!H51</f>
        <v>0</v>
      </c>
      <c r="I51" s="276">
        <f>'BS (Adjusted)'!I51-'BS (Base)'!I51</f>
        <v>0</v>
      </c>
      <c r="J51" s="276">
        <f>'BS (Adjusted)'!J51-'BS (Base)'!J51</f>
        <v>0</v>
      </c>
      <c r="K51" s="276">
        <f>'BS (Adjusted)'!K51-'BS (Base)'!K51</f>
        <v>0</v>
      </c>
      <c r="L51" s="276">
        <f>'BS (Adjusted)'!L51-'BS (Base)'!L51</f>
        <v>0</v>
      </c>
      <c r="M51" s="280">
        <f>'BS (Adjusted)'!M51-'BS (Base)'!M51</f>
        <v>0</v>
      </c>
      <c r="N51" s="276">
        <f>'BS (Adjusted)'!N51-'BS (Base)'!N51</f>
        <v>0</v>
      </c>
      <c r="O51" s="276">
        <f>'BS (Adjusted)'!O51-'BS (Base)'!O51</f>
        <v>0</v>
      </c>
      <c r="P51" s="276">
        <f>'BS (Adjusted)'!P51-'BS (Base)'!P51</f>
        <v>0</v>
      </c>
      <c r="Q51" s="276">
        <f>'BS (Adjusted)'!Q51-'BS (Base)'!Q51</f>
        <v>0</v>
      </c>
      <c r="R51" s="280">
        <f>'BS (Adjusted)'!R51-'BS (Base)'!R51</f>
        <v>0</v>
      </c>
      <c r="S51" s="276">
        <f>'BS (Adjusted)'!S51-'BS (Base)'!S51</f>
        <v>0</v>
      </c>
      <c r="T51" s="276">
        <f>'BS (Adjusted)'!T51-'BS (Base)'!T51</f>
        <v>0</v>
      </c>
      <c r="U51" s="276">
        <f>'BS (Adjusted)'!U51-'BS (Base)'!U51</f>
        <v>0</v>
      </c>
      <c r="V51" s="276">
        <f>'BS (Adjusted)'!V51-'BS (Base)'!V51</f>
        <v>0</v>
      </c>
      <c r="W51" s="127">
        <f>'BS (Adjusted)'!W51-'BS (Base)'!W51</f>
        <v>0</v>
      </c>
      <c r="X51" s="276">
        <f>'BS (Adjusted)'!X51-'BS (Base)'!X51</f>
        <v>0</v>
      </c>
      <c r="Y51" s="277">
        <f>'BS (Adjusted)'!Y51-'BS (Base)'!Y51</f>
        <v>0</v>
      </c>
      <c r="Z51" s="277">
        <f>'BS (Adjusted)'!Z51-'BS (Base)'!Z51</f>
        <v>0</v>
      </c>
      <c r="AA51" s="277">
        <f>'BS (Adjusted)'!AA51-'BS (Base)'!AA51</f>
        <v>0</v>
      </c>
      <c r="AB51" s="31">
        <f>'BS (Adjusted)'!AB51-'BS (Base)'!AB51</f>
        <v>0</v>
      </c>
      <c r="AC51" s="277">
        <f>'BS (Adjusted)'!AC51-'BS (Base)'!AC51</f>
        <v>0</v>
      </c>
      <c r="AD51" s="277">
        <f>'BS (Adjusted)'!AD51-'BS (Base)'!AD51</f>
        <v>0</v>
      </c>
      <c r="AE51" s="277">
        <f>'BS (Adjusted)'!AE51-'BS (Base)'!AE51</f>
        <v>0</v>
      </c>
      <c r="AF51" s="277">
        <f>'BS (Adjusted)'!AF51-'BS (Base)'!AF51</f>
        <v>0</v>
      </c>
      <c r="AG51" s="31">
        <f>'BS (Adjusted)'!AG51-'BS (Base)'!AG51</f>
        <v>0</v>
      </c>
      <c r="AH51" s="277">
        <f>'BS (Adjusted)'!AH51-'BS (Base)'!AH51</f>
        <v>0</v>
      </c>
      <c r="AI51" s="277">
        <f>'BS (Adjusted)'!AI51-'BS (Base)'!AI51</f>
        <v>0</v>
      </c>
      <c r="AJ51" s="277">
        <f>'BS (Adjusted)'!AJ51-'BS (Base)'!AJ51</f>
        <v>0</v>
      </c>
      <c r="AK51" s="277">
        <f>'BS (Adjusted)'!AK51-'BS (Base)'!AK51</f>
        <v>0</v>
      </c>
      <c r="AL51" s="31">
        <f>'BS (Adjusted)'!AL51-'BS (Base)'!AL51</f>
        <v>0</v>
      </c>
      <c r="AM51" s="277">
        <f>'BS (Adjusted)'!AM51-'BS (Base)'!AM51</f>
        <v>0</v>
      </c>
      <c r="AN51" s="277">
        <f>'BS (Adjusted)'!AN51-'BS (Base)'!AN51</f>
        <v>0</v>
      </c>
      <c r="AO51" s="277">
        <f>'BS (Adjusted)'!AO51-'BS (Base)'!AO51</f>
        <v>0</v>
      </c>
      <c r="AP51" s="277">
        <f>'BS (Adjusted)'!AP51-'BS (Base)'!AP51</f>
        <v>0</v>
      </c>
      <c r="AQ51" s="31">
        <f>'BS (Adjusted)'!AQ51-'BS (Base)'!AQ51</f>
        <v>0</v>
      </c>
      <c r="AR51" s="277">
        <f>'BS (Adjusted)'!AR51-'BS (Base)'!AR51</f>
        <v>0</v>
      </c>
      <c r="AS51" s="277">
        <f>'BS (Adjusted)'!AS51-'BS (Base)'!AS51</f>
        <v>0</v>
      </c>
      <c r="AT51" s="277">
        <f>'BS (Adjusted)'!AT51-'BS (Base)'!AT51</f>
        <v>0</v>
      </c>
      <c r="AU51" s="277">
        <f>'BS (Adjusted)'!AU51-'BS (Base)'!AU51</f>
        <v>0</v>
      </c>
      <c r="AV51" s="31">
        <f>'BS (Adjusted)'!AV51-'BS (Base)'!AV51</f>
        <v>0</v>
      </c>
    </row>
    <row r="52" spans="2:48" s="23" customFormat="1" outlineLevel="1" x14ac:dyDescent="0.3">
      <c r="B52" s="607" t="s">
        <v>255</v>
      </c>
      <c r="C52" s="608"/>
      <c r="D52" s="16">
        <f>'BS (Adjusted)'!D52-'BS (Base)'!D52</f>
        <v>0</v>
      </c>
      <c r="E52" s="16">
        <f>'BS (Adjusted)'!E52-'BS (Base)'!E52</f>
        <v>0</v>
      </c>
      <c r="F52" s="101">
        <f>'BS (Adjusted)'!F52-'BS (Base)'!F52</f>
        <v>0</v>
      </c>
      <c r="G52" s="101">
        <f>'BS (Adjusted)'!G52-'BS (Base)'!G52</f>
        <v>0</v>
      </c>
      <c r="H52" s="128">
        <f>'BS (Adjusted)'!H52-'BS (Base)'!H52</f>
        <v>0</v>
      </c>
      <c r="I52" s="101">
        <f>'BS (Adjusted)'!I52-'BS (Base)'!I52</f>
        <v>0</v>
      </c>
      <c r="J52" s="101">
        <f>'BS (Adjusted)'!J52-'BS (Base)'!J52</f>
        <v>0</v>
      </c>
      <c r="K52" s="101">
        <f>'BS (Adjusted)'!K52-'BS (Base)'!K52</f>
        <v>0</v>
      </c>
      <c r="L52" s="16">
        <f>'BS (Adjusted)'!L52-'BS (Base)'!L52</f>
        <v>0</v>
      </c>
      <c r="M52" s="28">
        <f>'BS (Adjusted)'!M52-'BS (Base)'!M52</f>
        <v>0</v>
      </c>
      <c r="N52" s="16">
        <f>'BS (Adjusted)'!N52-'BS (Base)'!N52</f>
        <v>0</v>
      </c>
      <c r="O52" s="16">
        <f>'BS (Adjusted)'!O52-'BS (Base)'!O52</f>
        <v>0</v>
      </c>
      <c r="P52" s="16">
        <f>'BS (Adjusted)'!P52-'BS (Base)'!P52</f>
        <v>0</v>
      </c>
      <c r="Q52" s="16">
        <f>'BS (Adjusted)'!Q52-'BS (Base)'!Q52</f>
        <v>0</v>
      </c>
      <c r="R52" s="28">
        <f>'BS (Adjusted)'!R52-'BS (Base)'!R52</f>
        <v>0</v>
      </c>
      <c r="S52" s="16">
        <f>'BS (Adjusted)'!S52-'BS (Base)'!S52</f>
        <v>0</v>
      </c>
      <c r="T52" s="16">
        <f>'BS (Adjusted)'!T52-'BS (Base)'!T52</f>
        <v>0</v>
      </c>
      <c r="U52" s="16">
        <f>'BS (Adjusted)'!U52-'BS (Base)'!U52</f>
        <v>0</v>
      </c>
      <c r="V52" s="16">
        <f>'BS (Adjusted)'!V52-'BS (Base)'!V52</f>
        <v>0</v>
      </c>
      <c r="W52" s="28">
        <f>'BS (Adjusted)'!W52-'BS (Base)'!W52</f>
        <v>0</v>
      </c>
      <c r="X52" s="16">
        <f>'BS (Adjusted)'!X52-'BS (Base)'!X52</f>
        <v>0</v>
      </c>
      <c r="Y52" s="16">
        <f>'BS (Adjusted)'!Y52-'BS (Base)'!Y52</f>
        <v>0</v>
      </c>
      <c r="Z52" s="16">
        <f>'BS (Adjusted)'!Z52-'BS (Base)'!Z52</f>
        <v>0</v>
      </c>
      <c r="AA52" s="16">
        <f>'BS (Adjusted)'!AA52-'BS (Base)'!AA52</f>
        <v>0</v>
      </c>
      <c r="AB52" s="28">
        <f>'BS (Adjusted)'!AB52-'BS (Base)'!AB52</f>
        <v>0</v>
      </c>
      <c r="AC52" s="16">
        <f>'BS (Adjusted)'!AC52-'BS (Base)'!AC52</f>
        <v>0</v>
      </c>
      <c r="AD52" s="16">
        <f>'BS (Adjusted)'!AD52-'BS (Base)'!AD52</f>
        <v>0</v>
      </c>
      <c r="AE52" s="16">
        <f>'BS (Adjusted)'!AE52-'BS (Base)'!AE52</f>
        <v>0</v>
      </c>
      <c r="AF52" s="16">
        <f>'BS (Adjusted)'!AF52-'BS (Base)'!AF52</f>
        <v>0</v>
      </c>
      <c r="AG52" s="28">
        <f>'BS (Adjusted)'!AG52-'BS (Base)'!AG52</f>
        <v>0</v>
      </c>
      <c r="AH52" s="16">
        <f>'BS (Adjusted)'!AH52-'BS (Base)'!AH52</f>
        <v>0</v>
      </c>
      <c r="AI52" s="16">
        <f>'BS (Adjusted)'!AI52-'BS (Base)'!AI52</f>
        <v>0</v>
      </c>
      <c r="AJ52" s="16">
        <f>'BS (Adjusted)'!AJ52-'BS (Base)'!AJ52</f>
        <v>0</v>
      </c>
      <c r="AK52" s="16">
        <f>'BS (Adjusted)'!AK52-'BS (Base)'!AK52</f>
        <v>0</v>
      </c>
      <c r="AL52" s="28">
        <f>'BS (Adjusted)'!AL52-'BS (Base)'!AL52</f>
        <v>0</v>
      </c>
      <c r="AM52" s="16">
        <f>'BS (Adjusted)'!AM52-'BS (Base)'!AM52</f>
        <v>0</v>
      </c>
      <c r="AN52" s="16">
        <f>'BS (Adjusted)'!AN52-'BS (Base)'!AN52</f>
        <v>0</v>
      </c>
      <c r="AO52" s="16">
        <f>'BS (Adjusted)'!AO52-'BS (Base)'!AO52</f>
        <v>0</v>
      </c>
      <c r="AP52" s="16">
        <f>'BS (Adjusted)'!AP52-'BS (Base)'!AP52</f>
        <v>0</v>
      </c>
      <c r="AQ52" s="28">
        <f>'BS (Adjusted)'!AQ52-'BS (Base)'!AQ52</f>
        <v>0</v>
      </c>
      <c r="AR52" s="16">
        <f>'BS (Adjusted)'!AR52-'BS (Base)'!AR52</f>
        <v>0</v>
      </c>
      <c r="AS52" s="16">
        <f>'BS (Adjusted)'!AS52-'BS (Base)'!AS52</f>
        <v>0</v>
      </c>
      <c r="AT52" s="16">
        <f>'BS (Adjusted)'!AT52-'BS (Base)'!AT52</f>
        <v>0</v>
      </c>
      <c r="AU52" s="16">
        <f>'BS (Adjusted)'!AU52-'BS (Base)'!AU52</f>
        <v>0</v>
      </c>
      <c r="AV52" s="28">
        <f>'BS (Adjusted)'!AV52-'BS (Base)'!AV52</f>
        <v>0</v>
      </c>
    </row>
    <row r="53" spans="2:48" s="23" customFormat="1" outlineLevel="1" x14ac:dyDescent="0.3">
      <c r="B53" s="580" t="s">
        <v>256</v>
      </c>
      <c r="C53" s="581"/>
      <c r="D53" s="30">
        <f>'BS (Adjusted)'!D53-'BS (Base)'!D53</f>
        <v>0</v>
      </c>
      <c r="E53" s="30">
        <f>'BS (Adjusted)'!E53-'BS (Base)'!E53</f>
        <v>0</v>
      </c>
      <c r="F53" s="118">
        <f>'BS (Adjusted)'!F53-'BS (Base)'!F53</f>
        <v>0</v>
      </c>
      <c r="G53" s="118">
        <f>'BS (Adjusted)'!G53-'BS (Base)'!G53</f>
        <v>0</v>
      </c>
      <c r="H53" s="128">
        <f>'BS (Adjusted)'!H53-'BS (Base)'!H53</f>
        <v>0</v>
      </c>
      <c r="I53" s="118">
        <f>'BS (Adjusted)'!I53-'BS (Base)'!I53</f>
        <v>0</v>
      </c>
      <c r="J53" s="118">
        <f>'BS (Adjusted)'!J53-'BS (Base)'!J53</f>
        <v>0</v>
      </c>
      <c r="K53" s="118">
        <f>'BS (Adjusted)'!K53-'BS (Base)'!K53</f>
        <v>0</v>
      </c>
      <c r="L53" s="118">
        <f>'BS (Adjusted)'!L53-'BS (Base)'!L53</f>
        <v>0</v>
      </c>
      <c r="M53" s="28">
        <f>'BS (Adjusted)'!M53-'BS (Base)'!M53</f>
        <v>0</v>
      </c>
      <c r="N53" s="118">
        <f>'BS (Adjusted)'!N53-'BS (Base)'!N53</f>
        <v>0</v>
      </c>
      <c r="O53" s="118">
        <f>'BS (Adjusted)'!O53-'BS (Base)'!O53</f>
        <v>0</v>
      </c>
      <c r="P53" s="118">
        <f>'BS (Adjusted)'!P53-'BS (Base)'!P53</f>
        <v>0</v>
      </c>
      <c r="Q53" s="118">
        <f>'BS (Adjusted)'!Q53-'BS (Base)'!Q53</f>
        <v>0</v>
      </c>
      <c r="R53" s="28">
        <f>'BS (Adjusted)'!R53-'BS (Base)'!R53</f>
        <v>0</v>
      </c>
      <c r="S53" s="118">
        <f>'BS (Adjusted)'!S53-'BS (Base)'!S53</f>
        <v>0</v>
      </c>
      <c r="T53" s="118">
        <f>'BS (Adjusted)'!T53-'BS (Base)'!T53</f>
        <v>0</v>
      </c>
      <c r="U53" s="118">
        <f>'BS (Adjusted)'!U53-'BS (Base)'!U53</f>
        <v>0</v>
      </c>
      <c r="V53" s="118">
        <f>'BS (Adjusted)'!V53-'BS (Base)'!V53</f>
        <v>0</v>
      </c>
      <c r="W53" s="28">
        <f>'BS (Adjusted)'!W53-'BS (Base)'!W53</f>
        <v>0</v>
      </c>
      <c r="X53" s="118">
        <f>'BS (Adjusted)'!X53-'BS (Base)'!X53</f>
        <v>0</v>
      </c>
      <c r="Y53" s="34">
        <f>'BS (Adjusted)'!Y53-'BS (Base)'!Y53</f>
        <v>0</v>
      </c>
      <c r="Z53" s="34">
        <f>'BS (Adjusted)'!Z53-'BS (Base)'!Z53</f>
        <v>0</v>
      </c>
      <c r="AA53" s="34">
        <f>'BS (Adjusted)'!AA53-'BS (Base)'!AA53</f>
        <v>0</v>
      </c>
      <c r="AB53" s="28">
        <f>'BS (Adjusted)'!AB53-'BS (Base)'!AB53</f>
        <v>0</v>
      </c>
      <c r="AC53" s="34">
        <f>'BS (Adjusted)'!AC53-'BS (Base)'!AC53</f>
        <v>0</v>
      </c>
      <c r="AD53" s="34">
        <f>'BS (Adjusted)'!AD53-'BS (Base)'!AD53</f>
        <v>0</v>
      </c>
      <c r="AE53" s="34">
        <f>'BS (Adjusted)'!AE53-'BS (Base)'!AE53</f>
        <v>0</v>
      </c>
      <c r="AF53" s="34">
        <f>'BS (Adjusted)'!AF53-'BS (Base)'!AF53</f>
        <v>0</v>
      </c>
      <c r="AG53" s="28">
        <f>'BS (Adjusted)'!AG53-'BS (Base)'!AG53</f>
        <v>0</v>
      </c>
      <c r="AH53" s="34">
        <f>'BS (Adjusted)'!AH53-'BS (Base)'!AH53</f>
        <v>0</v>
      </c>
      <c r="AI53" s="34">
        <f>'BS (Adjusted)'!AI53-'BS (Base)'!AI53</f>
        <v>0</v>
      </c>
      <c r="AJ53" s="34">
        <f>'BS (Adjusted)'!AJ53-'BS (Base)'!AJ53</f>
        <v>0</v>
      </c>
      <c r="AK53" s="34">
        <f>'BS (Adjusted)'!AK53-'BS (Base)'!AK53</f>
        <v>0</v>
      </c>
      <c r="AL53" s="28">
        <f>'BS (Adjusted)'!AL53-'BS (Base)'!AL53</f>
        <v>0</v>
      </c>
      <c r="AM53" s="34">
        <f>'BS (Adjusted)'!AM53-'BS (Base)'!AM53</f>
        <v>0</v>
      </c>
      <c r="AN53" s="34">
        <f>'BS (Adjusted)'!AN53-'BS (Base)'!AN53</f>
        <v>0</v>
      </c>
      <c r="AO53" s="34">
        <f>'BS (Adjusted)'!AO53-'BS (Base)'!AO53</f>
        <v>0</v>
      </c>
      <c r="AP53" s="34">
        <f>'BS (Adjusted)'!AP53-'BS (Base)'!AP53</f>
        <v>0</v>
      </c>
      <c r="AQ53" s="28">
        <f>'BS (Adjusted)'!AQ53-'BS (Base)'!AQ53</f>
        <v>0</v>
      </c>
      <c r="AR53" s="34">
        <f>'BS (Adjusted)'!AR53-'BS (Base)'!AR53</f>
        <v>0</v>
      </c>
      <c r="AS53" s="34">
        <f>'BS (Adjusted)'!AS53-'BS (Base)'!AS53</f>
        <v>0</v>
      </c>
      <c r="AT53" s="34">
        <f>'BS (Adjusted)'!AT53-'BS (Base)'!AT53</f>
        <v>0</v>
      </c>
      <c r="AU53" s="34">
        <f>'BS (Adjusted)'!AU53-'BS (Base)'!AU53</f>
        <v>0</v>
      </c>
      <c r="AV53" s="28">
        <f>'BS (Adjusted)'!AV53-'BS (Base)'!AV53</f>
        <v>0</v>
      </c>
    </row>
    <row r="54" spans="2:48" s="23" customFormat="1" outlineLevel="1" x14ac:dyDescent="0.3">
      <c r="B54" s="180" t="s">
        <v>257</v>
      </c>
      <c r="C54" s="201"/>
      <c r="D54" s="30">
        <f>'BS (Adjusted)'!D54-'BS (Base)'!D54</f>
        <v>0</v>
      </c>
      <c r="E54" s="30">
        <f>'BS (Adjusted)'!E54-'BS (Base)'!E54</f>
        <v>0</v>
      </c>
      <c r="F54" s="118">
        <f>'BS (Adjusted)'!F54-'BS (Base)'!F54</f>
        <v>0</v>
      </c>
      <c r="G54" s="118">
        <f>'BS (Adjusted)'!G54-'BS (Base)'!G54</f>
        <v>0</v>
      </c>
      <c r="H54" s="128">
        <f>'BS (Adjusted)'!H54-'BS (Base)'!H54</f>
        <v>0</v>
      </c>
      <c r="I54" s="118">
        <f>'BS (Adjusted)'!I54-'BS (Base)'!I54</f>
        <v>0</v>
      </c>
      <c r="J54" s="118">
        <f>'BS (Adjusted)'!J54-'BS (Base)'!J54</f>
        <v>0</v>
      </c>
      <c r="K54" s="118">
        <f>'BS (Adjusted)'!K54-'BS (Base)'!K54</f>
        <v>0</v>
      </c>
      <c r="L54" s="118">
        <f>'BS (Adjusted)'!L54-'BS (Base)'!L54</f>
        <v>0</v>
      </c>
      <c r="M54" s="28">
        <f>'BS (Adjusted)'!M54-'BS (Base)'!M54</f>
        <v>0</v>
      </c>
      <c r="N54" s="118">
        <f>'BS (Adjusted)'!N54-'BS (Base)'!N54</f>
        <v>0</v>
      </c>
      <c r="O54" s="118">
        <f>'BS (Adjusted)'!O54-'BS (Base)'!O54</f>
        <v>0</v>
      </c>
      <c r="P54" s="118">
        <f>'BS (Adjusted)'!P54-'BS (Base)'!P54</f>
        <v>0</v>
      </c>
      <c r="Q54" s="118">
        <f>'BS (Adjusted)'!Q54-'BS (Base)'!Q54</f>
        <v>0</v>
      </c>
      <c r="R54" s="28">
        <f>'BS (Adjusted)'!R54-'BS (Base)'!R54</f>
        <v>0</v>
      </c>
      <c r="S54" s="118">
        <f>'BS (Adjusted)'!S54-'BS (Base)'!S54</f>
        <v>0</v>
      </c>
      <c r="T54" s="118">
        <f>'BS (Adjusted)'!T54-'BS (Base)'!T54</f>
        <v>0</v>
      </c>
      <c r="U54" s="118">
        <f>'BS (Adjusted)'!U54-'BS (Base)'!U54</f>
        <v>0</v>
      </c>
      <c r="V54" s="118">
        <f>'BS (Adjusted)'!V54-'BS (Base)'!V54</f>
        <v>0</v>
      </c>
      <c r="W54" s="28">
        <f>'BS (Adjusted)'!W54-'BS (Base)'!W54</f>
        <v>0</v>
      </c>
      <c r="X54" s="118">
        <f>'BS (Adjusted)'!X54-'BS (Base)'!X54</f>
        <v>0</v>
      </c>
      <c r="Y54" s="34">
        <f>'BS (Adjusted)'!Y54-'BS (Base)'!Y54</f>
        <v>0</v>
      </c>
      <c r="Z54" s="34">
        <f>'BS (Adjusted)'!Z54-'BS (Base)'!Z54</f>
        <v>0</v>
      </c>
      <c r="AA54" s="34">
        <f>'BS (Adjusted)'!AA54-'BS (Base)'!AA54</f>
        <v>0</v>
      </c>
      <c r="AB54" s="28">
        <f>'BS (Adjusted)'!AB54-'BS (Base)'!AB54</f>
        <v>0</v>
      </c>
      <c r="AC54" s="34">
        <f>'BS (Adjusted)'!AC54-'BS (Base)'!AC54</f>
        <v>0</v>
      </c>
      <c r="AD54" s="34">
        <f>'BS (Adjusted)'!AD54-'BS (Base)'!AD54</f>
        <v>0</v>
      </c>
      <c r="AE54" s="34">
        <f>'BS (Adjusted)'!AE54-'BS (Base)'!AE54</f>
        <v>0</v>
      </c>
      <c r="AF54" s="34">
        <f>'BS (Adjusted)'!AF54-'BS (Base)'!AF54</f>
        <v>0</v>
      </c>
      <c r="AG54" s="28">
        <f>'BS (Adjusted)'!AG54-'BS (Base)'!AG54</f>
        <v>0</v>
      </c>
      <c r="AH54" s="34">
        <f>'BS (Adjusted)'!AH54-'BS (Base)'!AH54</f>
        <v>0</v>
      </c>
      <c r="AI54" s="34">
        <f>'BS (Adjusted)'!AI54-'BS (Base)'!AI54</f>
        <v>0</v>
      </c>
      <c r="AJ54" s="34">
        <f>'BS (Adjusted)'!AJ54-'BS (Base)'!AJ54</f>
        <v>0</v>
      </c>
      <c r="AK54" s="34">
        <f>'BS (Adjusted)'!AK54-'BS (Base)'!AK54</f>
        <v>0</v>
      </c>
      <c r="AL54" s="28">
        <f>'BS (Adjusted)'!AL54-'BS (Base)'!AL54</f>
        <v>0</v>
      </c>
      <c r="AM54" s="34">
        <f>'BS (Adjusted)'!AM54-'BS (Base)'!AM54</f>
        <v>0</v>
      </c>
      <c r="AN54" s="34">
        <f>'BS (Adjusted)'!AN54-'BS (Base)'!AN54</f>
        <v>0</v>
      </c>
      <c r="AO54" s="34">
        <f>'BS (Adjusted)'!AO54-'BS (Base)'!AO54</f>
        <v>0</v>
      </c>
      <c r="AP54" s="34">
        <f>'BS (Adjusted)'!AP54-'BS (Base)'!AP54</f>
        <v>0</v>
      </c>
      <c r="AQ54" s="28">
        <f>'BS (Adjusted)'!AQ54-'BS (Base)'!AQ54</f>
        <v>0</v>
      </c>
      <c r="AR54" s="34">
        <f>'BS (Adjusted)'!AR54-'BS (Base)'!AR54</f>
        <v>0</v>
      </c>
      <c r="AS54" s="34">
        <f>'BS (Adjusted)'!AS54-'BS (Base)'!AS54</f>
        <v>0</v>
      </c>
      <c r="AT54" s="34">
        <f>'BS (Adjusted)'!AT54-'BS (Base)'!AT54</f>
        <v>0</v>
      </c>
      <c r="AU54" s="34">
        <f>'BS (Adjusted)'!AU54-'BS (Base)'!AU54</f>
        <v>0</v>
      </c>
      <c r="AV54" s="28">
        <f>'BS (Adjusted)'!AV54-'BS (Base)'!AV54</f>
        <v>0</v>
      </c>
    </row>
    <row r="55" spans="2:48" s="23" customFormat="1" outlineLevel="1" x14ac:dyDescent="0.3">
      <c r="B55" s="200" t="s">
        <v>258</v>
      </c>
      <c r="C55" s="201"/>
      <c r="D55" s="30">
        <f>'BS (Adjusted)'!D55-'BS (Base)'!D55</f>
        <v>0</v>
      </c>
      <c r="E55" s="30">
        <f>'BS (Adjusted)'!E55-'BS (Base)'!E55</f>
        <v>0</v>
      </c>
      <c r="F55" s="113">
        <f>'BS (Adjusted)'!F55-'BS (Base)'!F55</f>
        <v>0</v>
      </c>
      <c r="G55" s="113">
        <f>'BS (Adjusted)'!G55-'BS (Base)'!G55</f>
        <v>0</v>
      </c>
      <c r="H55" s="125">
        <f>'BS (Adjusted)'!H55-'BS (Base)'!H55</f>
        <v>0</v>
      </c>
      <c r="I55" s="281">
        <f>'BS (Adjusted)'!I55-'BS (Base)'!I55</f>
        <v>0</v>
      </c>
      <c r="J55" s="281">
        <f>'BS (Adjusted)'!J55-'BS (Base)'!J55</f>
        <v>0</v>
      </c>
      <c r="K55" s="113">
        <f>'BS (Adjusted)'!K55-'BS (Base)'!K55</f>
        <v>0</v>
      </c>
      <c r="L55" s="113">
        <f>'BS (Adjusted)'!L55-'BS (Base)'!L55</f>
        <v>0</v>
      </c>
      <c r="M55" s="282">
        <f>'BS (Adjusted)'!M55-'BS (Base)'!M55</f>
        <v>0</v>
      </c>
      <c r="N55" s="281">
        <f>'BS (Adjusted)'!N55-'BS (Base)'!N55</f>
        <v>0</v>
      </c>
      <c r="O55" s="281">
        <f>'BS (Adjusted)'!O55-'BS (Base)'!O55</f>
        <v>0</v>
      </c>
      <c r="P55" s="113">
        <f>'BS (Adjusted)'!P55-'BS (Base)'!P55</f>
        <v>0</v>
      </c>
      <c r="Q55" s="113">
        <f>'BS (Adjusted)'!Q55-'BS (Base)'!Q55</f>
        <v>0</v>
      </c>
      <c r="R55" s="282">
        <f>'BS (Adjusted)'!R55-'BS (Base)'!R55</f>
        <v>0</v>
      </c>
      <c r="S55" s="281">
        <f>'BS (Adjusted)'!S55-'BS (Base)'!S55</f>
        <v>0</v>
      </c>
      <c r="T55" s="281">
        <f>'BS (Adjusted)'!T55-'BS (Base)'!T55</f>
        <v>0</v>
      </c>
      <c r="U55" s="281">
        <f>'BS (Adjusted)'!U55-'BS (Base)'!U55</f>
        <v>0</v>
      </c>
      <c r="V55" s="113">
        <f>'BS (Adjusted)'!V55-'BS (Base)'!V55</f>
        <v>0</v>
      </c>
      <c r="W55" s="282">
        <f>'BS (Adjusted)'!W55-'BS (Base)'!W55</f>
        <v>0</v>
      </c>
      <c r="X55" s="281">
        <f>'BS (Adjusted)'!X55-'BS (Base)'!X55</f>
        <v>0</v>
      </c>
      <c r="Y55" s="283">
        <f>'BS (Adjusted)'!Y55-'BS (Base)'!Y55</f>
        <v>0</v>
      </c>
      <c r="Z55" s="35">
        <f>'BS (Adjusted)'!Z55-'BS (Base)'!Z55</f>
        <v>0</v>
      </c>
      <c r="AA55" s="284">
        <f>'BS (Adjusted)'!AA55-'BS (Base)'!AA55</f>
        <v>0</v>
      </c>
      <c r="AB55" s="28">
        <f>'BS (Adjusted)'!AB55-'BS (Base)'!AB55</f>
        <v>0</v>
      </c>
      <c r="AC55" s="283">
        <f>'BS (Adjusted)'!AC55-'BS (Base)'!AC55</f>
        <v>0</v>
      </c>
      <c r="AD55" s="283">
        <f>'BS (Adjusted)'!AD55-'BS (Base)'!AD55</f>
        <v>0</v>
      </c>
      <c r="AE55" s="35">
        <f>'BS (Adjusted)'!AE55-'BS (Base)'!AE55</f>
        <v>0</v>
      </c>
      <c r="AF55" s="284">
        <f>'BS (Adjusted)'!AF55-'BS (Base)'!AF55</f>
        <v>0</v>
      </c>
      <c r="AG55" s="28">
        <f>'BS (Adjusted)'!AG55-'BS (Base)'!AG55</f>
        <v>0</v>
      </c>
      <c r="AH55" s="283">
        <f>'BS (Adjusted)'!AH55-'BS (Base)'!AH55</f>
        <v>0</v>
      </c>
      <c r="AI55" s="283">
        <f>'BS (Adjusted)'!AI55-'BS (Base)'!AI55</f>
        <v>0</v>
      </c>
      <c r="AJ55" s="35">
        <f>'BS (Adjusted)'!AJ55-'BS (Base)'!AJ55</f>
        <v>0</v>
      </c>
      <c r="AK55" s="284">
        <f>'BS (Adjusted)'!AK55-'BS (Base)'!AK55</f>
        <v>0</v>
      </c>
      <c r="AL55" s="28">
        <f>'BS (Adjusted)'!AL55-'BS (Base)'!AL55</f>
        <v>0</v>
      </c>
      <c r="AM55" s="283">
        <f>'BS (Adjusted)'!AM55-'BS (Base)'!AM55</f>
        <v>0</v>
      </c>
      <c r="AN55" s="283">
        <f>'BS (Adjusted)'!AN55-'BS (Base)'!AN55</f>
        <v>0</v>
      </c>
      <c r="AO55" s="35">
        <f>'BS (Adjusted)'!AO55-'BS (Base)'!AO55</f>
        <v>0</v>
      </c>
      <c r="AP55" s="284">
        <f>'BS (Adjusted)'!AP55-'BS (Base)'!AP55</f>
        <v>0</v>
      </c>
      <c r="AQ55" s="28">
        <f>'BS (Adjusted)'!AQ55-'BS (Base)'!AQ55</f>
        <v>0</v>
      </c>
      <c r="AR55" s="283">
        <f>'BS (Adjusted)'!AR55-'BS (Base)'!AR55</f>
        <v>0</v>
      </c>
      <c r="AS55" s="283">
        <f>'BS (Adjusted)'!AS55-'BS (Base)'!AS55</f>
        <v>0</v>
      </c>
      <c r="AT55" s="35">
        <f>'BS (Adjusted)'!AT55-'BS (Base)'!AT55</f>
        <v>0</v>
      </c>
      <c r="AU55" s="284">
        <f>'BS (Adjusted)'!AU55-'BS (Base)'!AU55</f>
        <v>0</v>
      </c>
      <c r="AV55" s="28">
        <f>'BS (Adjusted)'!AV55-'BS (Base)'!AV55</f>
        <v>0</v>
      </c>
    </row>
    <row r="56" spans="2:48" outlineLevel="1" x14ac:dyDescent="0.3">
      <c r="B56" s="200" t="s">
        <v>259</v>
      </c>
      <c r="C56" s="201"/>
      <c r="D56" s="285">
        <f>'BS (Adjusted)'!D56-'BS (Base)'!D56</f>
        <v>0</v>
      </c>
      <c r="E56" s="285">
        <f>'BS (Adjusted)'!E56-'BS (Base)'!E56</f>
        <v>0</v>
      </c>
      <c r="F56" s="286">
        <f>'BS (Adjusted)'!F56-'BS (Base)'!F56</f>
        <v>0</v>
      </c>
      <c r="G56" s="286">
        <f>'BS (Adjusted)'!G56-'BS (Base)'!G56</f>
        <v>0</v>
      </c>
      <c r="H56" s="125">
        <f>'BS (Adjusted)'!H56-'BS (Base)'!H56</f>
        <v>0</v>
      </c>
      <c r="I56" s="287">
        <f>'BS (Adjusted)'!I56-'BS (Base)'!I56</f>
        <v>0</v>
      </c>
      <c r="J56" s="287">
        <f>'BS (Adjusted)'!J56-'BS (Base)'!J56</f>
        <v>0</v>
      </c>
      <c r="K56" s="286">
        <f>'BS (Adjusted)'!K56-'BS (Base)'!K56</f>
        <v>0</v>
      </c>
      <c r="L56" s="286">
        <f>'BS (Adjusted)'!L56-'BS (Base)'!L56</f>
        <v>0</v>
      </c>
      <c r="M56" s="282">
        <f>'BS (Adjusted)'!M56-'BS (Base)'!M56</f>
        <v>0</v>
      </c>
      <c r="N56" s="287">
        <f>'BS (Adjusted)'!N56-'BS (Base)'!N56</f>
        <v>0</v>
      </c>
      <c r="O56" s="287">
        <f>'BS (Adjusted)'!O56-'BS (Base)'!O56</f>
        <v>0</v>
      </c>
      <c r="P56" s="286">
        <f>'BS (Adjusted)'!P56-'BS (Base)'!P56</f>
        <v>0</v>
      </c>
      <c r="Q56" s="286">
        <f>'BS (Adjusted)'!Q56-'BS (Base)'!Q56</f>
        <v>0</v>
      </c>
      <c r="R56" s="282">
        <f>'BS (Adjusted)'!R56-'BS (Base)'!R56</f>
        <v>0</v>
      </c>
      <c r="S56" s="287">
        <f>'BS (Adjusted)'!S56-'BS (Base)'!S56</f>
        <v>0</v>
      </c>
      <c r="T56" s="287">
        <f>'BS (Adjusted)'!T56-'BS (Base)'!T56</f>
        <v>0</v>
      </c>
      <c r="U56" s="287">
        <f>'BS (Adjusted)'!U56-'BS (Base)'!U56</f>
        <v>0</v>
      </c>
      <c r="V56" s="286">
        <f>'BS (Adjusted)'!V56-'BS (Base)'!V56</f>
        <v>0</v>
      </c>
      <c r="W56" s="282">
        <f>'BS (Adjusted)'!W56-'BS (Base)'!W56</f>
        <v>0</v>
      </c>
      <c r="X56" s="287">
        <f>'BS (Adjusted)'!X56-'BS (Base)'!X56</f>
        <v>0</v>
      </c>
      <c r="Y56" s="289">
        <f>'BS (Adjusted)'!Y56-'BS (Base)'!Y56</f>
        <v>0</v>
      </c>
      <c r="Z56" s="288">
        <f>'BS (Adjusted)'!Z56-'BS (Base)'!Z56</f>
        <v>0</v>
      </c>
      <c r="AA56" s="288">
        <f>'BS (Adjusted)'!AA56-'BS (Base)'!AA56</f>
        <v>0</v>
      </c>
      <c r="AB56" s="290">
        <f>'BS (Adjusted)'!AB56-'BS (Base)'!AB56</f>
        <v>0</v>
      </c>
      <c r="AC56" s="289">
        <f>'BS (Adjusted)'!AC56-'BS (Base)'!AC56</f>
        <v>0</v>
      </c>
      <c r="AD56" s="289">
        <f>'BS (Adjusted)'!AD56-'BS (Base)'!AD56</f>
        <v>0</v>
      </c>
      <c r="AE56" s="288">
        <f>'BS (Adjusted)'!AE56-'BS (Base)'!AE56</f>
        <v>0</v>
      </c>
      <c r="AF56" s="288">
        <f>'BS (Adjusted)'!AF56-'BS (Base)'!AF56</f>
        <v>0</v>
      </c>
      <c r="AG56" s="290">
        <f>'BS (Adjusted)'!AG56-'BS (Base)'!AG56</f>
        <v>0</v>
      </c>
      <c r="AH56" s="289">
        <f>'BS (Adjusted)'!AH56-'BS (Base)'!AH56</f>
        <v>0</v>
      </c>
      <c r="AI56" s="289">
        <f>'BS (Adjusted)'!AI56-'BS (Base)'!AI56</f>
        <v>0</v>
      </c>
      <c r="AJ56" s="288">
        <f>'BS (Adjusted)'!AJ56-'BS (Base)'!AJ56</f>
        <v>0</v>
      </c>
      <c r="AK56" s="288">
        <f>'BS (Adjusted)'!AK56-'BS (Base)'!AK56</f>
        <v>0</v>
      </c>
      <c r="AL56" s="290">
        <f>'BS (Adjusted)'!AL56-'BS (Base)'!AL56</f>
        <v>0</v>
      </c>
      <c r="AM56" s="289">
        <f>'BS (Adjusted)'!AM56-'BS (Base)'!AM56</f>
        <v>0</v>
      </c>
      <c r="AN56" s="289">
        <f>'BS (Adjusted)'!AN56-'BS (Base)'!AN56</f>
        <v>0</v>
      </c>
      <c r="AO56" s="288">
        <f>'BS (Adjusted)'!AO56-'BS (Base)'!AO56</f>
        <v>0</v>
      </c>
      <c r="AP56" s="288">
        <f>'BS (Adjusted)'!AP56-'BS (Base)'!AP56</f>
        <v>0</v>
      </c>
      <c r="AQ56" s="290">
        <f>'BS (Adjusted)'!AQ56-'BS (Base)'!AQ56</f>
        <v>0</v>
      </c>
      <c r="AR56" s="289">
        <f>'BS (Adjusted)'!AR56-'BS (Base)'!AR56</f>
        <v>0</v>
      </c>
      <c r="AS56" s="289">
        <f>'BS (Adjusted)'!AS56-'BS (Base)'!AS56</f>
        <v>0</v>
      </c>
      <c r="AT56" s="288">
        <f>'BS (Adjusted)'!AT56-'BS (Base)'!AT56</f>
        <v>0</v>
      </c>
      <c r="AU56" s="288">
        <f>'BS (Adjusted)'!AU56-'BS (Base)'!AU56</f>
        <v>0</v>
      </c>
      <c r="AV56" s="290">
        <f>'BS (Adjusted)'!AV56-'BS (Base)'!AV56</f>
        <v>0</v>
      </c>
    </row>
    <row r="57" spans="2:48" outlineLevel="1" x14ac:dyDescent="0.3">
      <c r="B57" s="200"/>
      <c r="C57" s="201"/>
      <c r="D57" s="285">
        <f>'BS (Adjusted)'!D57-'BS (Base)'!D57</f>
        <v>0</v>
      </c>
      <c r="E57" s="285">
        <f>'BS (Adjusted)'!E57-'BS (Base)'!E57</f>
        <v>0</v>
      </c>
      <c r="F57" s="286">
        <f>'BS (Adjusted)'!F57-'BS (Base)'!F57</f>
        <v>0</v>
      </c>
      <c r="G57" s="286">
        <f>'BS (Adjusted)'!G57-'BS (Base)'!G57</f>
        <v>0</v>
      </c>
      <c r="H57" s="125">
        <f>'BS (Adjusted)'!H57-'BS (Base)'!H57</f>
        <v>0</v>
      </c>
      <c r="I57" s="287">
        <f>'BS (Adjusted)'!I57-'BS (Base)'!I57</f>
        <v>0</v>
      </c>
      <c r="J57" s="287">
        <f>'BS (Adjusted)'!J57-'BS (Base)'!J57</f>
        <v>0</v>
      </c>
      <c r="K57" s="286">
        <f>'BS (Adjusted)'!K57-'BS (Base)'!K57</f>
        <v>0</v>
      </c>
      <c r="L57" s="286">
        <f>'BS (Adjusted)'!L57-'BS (Base)'!L57</f>
        <v>0</v>
      </c>
      <c r="M57" s="282">
        <f>'BS (Adjusted)'!M57-'BS (Base)'!M57</f>
        <v>0</v>
      </c>
      <c r="N57" s="287">
        <f>'BS (Adjusted)'!N57-'BS (Base)'!N57</f>
        <v>0</v>
      </c>
      <c r="O57" s="287">
        <f>'BS (Adjusted)'!O57-'BS (Base)'!O57</f>
        <v>0</v>
      </c>
      <c r="P57" s="286">
        <f>'BS (Adjusted)'!P57-'BS (Base)'!P57</f>
        <v>0</v>
      </c>
      <c r="Q57" s="286">
        <f>'BS (Adjusted)'!Q57-'BS (Base)'!Q57</f>
        <v>0</v>
      </c>
      <c r="R57" s="282">
        <f>'BS (Adjusted)'!R57-'BS (Base)'!R57</f>
        <v>0</v>
      </c>
      <c r="S57" s="287">
        <f>'BS (Adjusted)'!S57-'BS (Base)'!S57</f>
        <v>0</v>
      </c>
      <c r="T57" s="287">
        <f>'BS (Adjusted)'!T57-'BS (Base)'!T57</f>
        <v>0</v>
      </c>
      <c r="U57" s="287">
        <f>'BS (Adjusted)'!U57-'BS (Base)'!U57</f>
        <v>0</v>
      </c>
      <c r="V57" s="286">
        <f>'BS (Adjusted)'!V57-'BS (Base)'!V57</f>
        <v>0</v>
      </c>
      <c r="W57" s="282">
        <f>'BS (Adjusted)'!W57-'BS (Base)'!W57</f>
        <v>0</v>
      </c>
      <c r="X57" s="287">
        <f>'BS (Adjusted)'!X57-'BS (Base)'!X57</f>
        <v>0</v>
      </c>
      <c r="Y57" s="289">
        <f>'BS (Adjusted)'!Y57-'BS (Base)'!Y57</f>
        <v>0</v>
      </c>
      <c r="Z57" s="288">
        <f>'BS (Adjusted)'!Z57-'BS (Base)'!Z57</f>
        <v>0</v>
      </c>
      <c r="AA57" s="288">
        <f>'BS (Adjusted)'!AA57-'BS (Base)'!AA57</f>
        <v>0</v>
      </c>
      <c r="AB57" s="290">
        <f>'BS (Adjusted)'!AB57-'BS (Base)'!AB57</f>
        <v>0</v>
      </c>
      <c r="AC57" s="289">
        <f>'BS (Adjusted)'!AC57-'BS (Base)'!AC57</f>
        <v>0</v>
      </c>
      <c r="AD57" s="289">
        <f>'BS (Adjusted)'!AD57-'BS (Base)'!AD57</f>
        <v>0</v>
      </c>
      <c r="AE57" s="288">
        <f>'BS (Adjusted)'!AE57-'BS (Base)'!AE57</f>
        <v>0</v>
      </c>
      <c r="AF57" s="288">
        <f>'BS (Adjusted)'!AF57-'BS (Base)'!AF57</f>
        <v>0</v>
      </c>
      <c r="AG57" s="290">
        <f>'BS (Adjusted)'!AG57-'BS (Base)'!AG57</f>
        <v>0</v>
      </c>
      <c r="AH57" s="289">
        <f>'BS (Adjusted)'!AH57-'BS (Base)'!AH57</f>
        <v>0</v>
      </c>
      <c r="AI57" s="289">
        <f>'BS (Adjusted)'!AI57-'BS (Base)'!AI57</f>
        <v>0</v>
      </c>
      <c r="AJ57" s="288">
        <f>'BS (Adjusted)'!AJ57-'BS (Base)'!AJ57</f>
        <v>0</v>
      </c>
      <c r="AK57" s="288">
        <f>'BS (Adjusted)'!AK57-'BS (Base)'!AK57</f>
        <v>0</v>
      </c>
      <c r="AL57" s="290">
        <f>'BS (Adjusted)'!AL57-'BS (Base)'!AL57</f>
        <v>0</v>
      </c>
      <c r="AM57" s="289">
        <f>'BS (Adjusted)'!AM57-'BS (Base)'!AM57</f>
        <v>0</v>
      </c>
      <c r="AN57" s="289">
        <f>'BS (Adjusted)'!AN57-'BS (Base)'!AN57</f>
        <v>0</v>
      </c>
      <c r="AO57" s="288">
        <f>'BS (Adjusted)'!AO57-'BS (Base)'!AO57</f>
        <v>0</v>
      </c>
      <c r="AP57" s="288">
        <f>'BS (Adjusted)'!AP57-'BS (Base)'!AP57</f>
        <v>0</v>
      </c>
      <c r="AQ57" s="290">
        <f>'BS (Adjusted)'!AQ57-'BS (Base)'!AQ57</f>
        <v>0</v>
      </c>
      <c r="AR57" s="289">
        <f>'BS (Adjusted)'!AR57-'BS (Base)'!AR57</f>
        <v>0</v>
      </c>
      <c r="AS57" s="289">
        <f>'BS (Adjusted)'!AS57-'BS (Base)'!AS57</f>
        <v>0</v>
      </c>
      <c r="AT57" s="288">
        <f>'BS (Adjusted)'!AT57-'BS (Base)'!AT57</f>
        <v>0</v>
      </c>
      <c r="AU57" s="288">
        <f>'BS (Adjusted)'!AU57-'BS (Base)'!AU57</f>
        <v>0</v>
      </c>
      <c r="AV57" s="290">
        <f>'BS (Adjusted)'!AV57-'BS (Base)'!AV57</f>
        <v>0</v>
      </c>
    </row>
    <row r="58" spans="2:48" s="296" customFormat="1" outlineLevel="1" x14ac:dyDescent="0.3">
      <c r="B58" s="291" t="s">
        <v>260</v>
      </c>
      <c r="C58" s="249"/>
      <c r="D58" s="292">
        <f>'BS (Adjusted)'!D58-'BS (Base)'!D58</f>
        <v>0</v>
      </c>
      <c r="E58" s="292">
        <f>'BS (Adjusted)'!E58-'BS (Base)'!E58</f>
        <v>0</v>
      </c>
      <c r="F58" s="293">
        <f>'BS (Adjusted)'!F58-'BS (Base)'!F58</f>
        <v>0</v>
      </c>
      <c r="G58" s="293">
        <f>'BS (Adjusted)'!G58-'BS (Base)'!G58</f>
        <v>0</v>
      </c>
      <c r="H58" s="294">
        <f>'BS (Adjusted)'!H58-'BS (Base)'!H58</f>
        <v>0</v>
      </c>
      <c r="I58" s="292">
        <f>'BS (Adjusted)'!I58-'BS (Base)'!I58</f>
        <v>0</v>
      </c>
      <c r="J58" s="292">
        <f>'BS (Adjusted)'!J58-'BS (Base)'!J58</f>
        <v>0</v>
      </c>
      <c r="K58" s="293">
        <f>'BS (Adjusted)'!K58-'BS (Base)'!K58</f>
        <v>0</v>
      </c>
      <c r="L58" s="293">
        <f>'BS (Adjusted)'!L58-'BS (Base)'!L58</f>
        <v>0</v>
      </c>
      <c r="M58" s="294">
        <f>'BS (Adjusted)'!M58-'BS (Base)'!M58</f>
        <v>0</v>
      </c>
      <c r="N58" s="292">
        <f>'BS (Adjusted)'!N58-'BS (Base)'!N58</f>
        <v>0</v>
      </c>
      <c r="O58" s="292">
        <f>'BS (Adjusted)'!O58-'BS (Base)'!O58</f>
        <v>0</v>
      </c>
      <c r="P58" s="293">
        <f>'BS (Adjusted)'!P58-'BS (Base)'!P58</f>
        <v>0</v>
      </c>
      <c r="Q58" s="293">
        <f>'BS (Adjusted)'!Q58-'BS (Base)'!Q58</f>
        <v>0</v>
      </c>
      <c r="R58" s="294">
        <f>'BS (Adjusted)'!R58-'BS (Base)'!R58</f>
        <v>0</v>
      </c>
      <c r="S58" s="292">
        <f>'BS (Adjusted)'!S58-'BS (Base)'!S58</f>
        <v>0</v>
      </c>
      <c r="T58" s="292">
        <f>'BS (Adjusted)'!T58-'BS (Base)'!T58</f>
        <v>0</v>
      </c>
      <c r="U58" s="292">
        <f>'BS (Adjusted)'!U58-'BS (Base)'!U58</f>
        <v>0</v>
      </c>
      <c r="V58" s="293">
        <f>'BS (Adjusted)'!V58-'BS (Base)'!V58</f>
        <v>0</v>
      </c>
      <c r="W58" s="294">
        <f>'BS (Adjusted)'!W58-'BS (Base)'!W58</f>
        <v>0</v>
      </c>
      <c r="X58" s="292">
        <f>'BS (Adjusted)'!X58-'BS (Base)'!X58</f>
        <v>0</v>
      </c>
      <c r="Y58" s="292">
        <f>'BS (Adjusted)'!Y58-'BS (Base)'!Y58</f>
        <v>0</v>
      </c>
      <c r="Z58" s="293">
        <f>'BS (Adjusted)'!Z58-'BS (Base)'!Z58</f>
        <v>0</v>
      </c>
      <c r="AA58" s="293">
        <f>'BS (Adjusted)'!AA58-'BS (Base)'!AA58</f>
        <v>0</v>
      </c>
      <c r="AB58" s="295">
        <f>'BS (Adjusted)'!AB58-'BS (Base)'!AB58</f>
        <v>0</v>
      </c>
      <c r="AC58" s="292">
        <f>'BS (Adjusted)'!AC58-'BS (Base)'!AC58</f>
        <v>0</v>
      </c>
      <c r="AD58" s="292">
        <f>'BS (Adjusted)'!AD58-'BS (Base)'!AD58</f>
        <v>0</v>
      </c>
      <c r="AE58" s="293">
        <f>'BS (Adjusted)'!AE58-'BS (Base)'!AE58</f>
        <v>0</v>
      </c>
      <c r="AF58" s="293">
        <f>'BS (Adjusted)'!AF58-'BS (Base)'!AF58</f>
        <v>0</v>
      </c>
      <c r="AG58" s="295">
        <f>'BS (Adjusted)'!AG58-'BS (Base)'!AG58</f>
        <v>0</v>
      </c>
      <c r="AH58" s="292">
        <f>'BS (Adjusted)'!AH58-'BS (Base)'!AH58</f>
        <v>0</v>
      </c>
      <c r="AI58" s="292">
        <f>'BS (Adjusted)'!AI58-'BS (Base)'!AI58</f>
        <v>0</v>
      </c>
      <c r="AJ58" s="293">
        <f>'BS (Adjusted)'!AJ58-'BS (Base)'!AJ58</f>
        <v>0</v>
      </c>
      <c r="AK58" s="293">
        <f>'BS (Adjusted)'!AK58-'BS (Base)'!AK58</f>
        <v>0</v>
      </c>
      <c r="AL58" s="295">
        <f>'BS (Adjusted)'!AL58-'BS (Base)'!AL58</f>
        <v>0</v>
      </c>
      <c r="AM58" s="292">
        <f>'BS (Adjusted)'!AM58-'BS (Base)'!AM58</f>
        <v>0</v>
      </c>
      <c r="AN58" s="292">
        <f>'BS (Adjusted)'!AN58-'BS (Base)'!AN58</f>
        <v>0</v>
      </c>
      <c r="AO58" s="293">
        <f>'BS (Adjusted)'!AO58-'BS (Base)'!AO58</f>
        <v>0</v>
      </c>
      <c r="AP58" s="293">
        <f>'BS (Adjusted)'!AP58-'BS (Base)'!AP58</f>
        <v>0</v>
      </c>
      <c r="AQ58" s="295">
        <f>'BS (Adjusted)'!AQ58-'BS (Base)'!AQ58</f>
        <v>0</v>
      </c>
      <c r="AR58" s="292">
        <f>'BS (Adjusted)'!AR58-'BS (Base)'!AR58</f>
        <v>0</v>
      </c>
      <c r="AS58" s="292">
        <f>'BS (Adjusted)'!AS58-'BS (Base)'!AS58</f>
        <v>0</v>
      </c>
      <c r="AT58" s="293">
        <f>'BS (Adjusted)'!AT58-'BS (Base)'!AT58</f>
        <v>0</v>
      </c>
      <c r="AU58" s="293">
        <f>'BS (Adjusted)'!AU58-'BS (Base)'!AU58</f>
        <v>0</v>
      </c>
      <c r="AV58" s="295">
        <f>'BS (Adjusted)'!AV58-'BS (Base)'!AV58</f>
        <v>0</v>
      </c>
    </row>
    <row r="59" spans="2:48" s="302" customFormat="1" outlineLevel="1" x14ac:dyDescent="0.3">
      <c r="B59" s="200" t="s">
        <v>261</v>
      </c>
      <c r="C59" s="297"/>
      <c r="D59" s="298">
        <f>'BS (Adjusted)'!D59-'BS (Base)'!D59</f>
        <v>0</v>
      </c>
      <c r="E59" s="298">
        <f>'BS (Adjusted)'!E59-'BS (Base)'!E59</f>
        <v>0</v>
      </c>
      <c r="F59" s="146">
        <f>'BS (Adjusted)'!F59-'BS (Base)'!F59</f>
        <v>0</v>
      </c>
      <c r="G59" s="146">
        <f>'BS (Adjusted)'!G59-'BS (Base)'!G59</f>
        <v>0</v>
      </c>
      <c r="H59" s="122">
        <f>'BS (Adjusted)'!H59-'BS (Base)'!H59</f>
        <v>0</v>
      </c>
      <c r="I59" s="299">
        <f>'BS (Adjusted)'!I59-'BS (Base)'!I59</f>
        <v>0</v>
      </c>
      <c r="J59" s="299">
        <f>'BS (Adjusted)'!J59-'BS (Base)'!J59</f>
        <v>0</v>
      </c>
      <c r="K59" s="146">
        <f>'BS (Adjusted)'!K59-'BS (Base)'!K59</f>
        <v>0</v>
      </c>
      <c r="L59" s="146">
        <f>'BS (Adjusted)'!L59-'BS (Base)'!L59</f>
        <v>0</v>
      </c>
      <c r="M59" s="26">
        <f>'BS (Adjusted)'!M59-'BS (Base)'!M59</f>
        <v>0</v>
      </c>
      <c r="N59" s="299">
        <f>'BS (Adjusted)'!N59-'BS (Base)'!N59</f>
        <v>0</v>
      </c>
      <c r="O59" s="299">
        <f>'BS (Adjusted)'!O59-'BS (Base)'!O59</f>
        <v>0</v>
      </c>
      <c r="P59" s="146">
        <f>'BS (Adjusted)'!P59-'BS (Base)'!P59</f>
        <v>0</v>
      </c>
      <c r="Q59" s="146">
        <f>'BS (Adjusted)'!Q59-'BS (Base)'!Q59</f>
        <v>0</v>
      </c>
      <c r="R59" s="26">
        <f>'BS (Adjusted)'!R59-'BS (Base)'!R59</f>
        <v>0</v>
      </c>
      <c r="S59" s="299">
        <f>'BS (Adjusted)'!S59-'BS (Base)'!S59</f>
        <v>0</v>
      </c>
      <c r="T59" s="299">
        <f>'BS (Adjusted)'!T59-'BS (Base)'!T59</f>
        <v>0</v>
      </c>
      <c r="U59" s="299">
        <f>'BS (Adjusted)'!U59-'BS (Base)'!U59</f>
        <v>0</v>
      </c>
      <c r="V59" s="146">
        <f>'BS (Adjusted)'!V59-'BS (Base)'!V59</f>
        <v>0</v>
      </c>
      <c r="W59" s="26">
        <f>'BS (Adjusted)'!W59-'BS (Base)'!W59</f>
        <v>0</v>
      </c>
      <c r="X59" s="299">
        <f>'BS (Adjusted)'!X59-'BS (Base)'!X59</f>
        <v>0</v>
      </c>
      <c r="Y59" s="301">
        <f>'BS (Adjusted)'!Y59-'BS (Base)'!Y59</f>
        <v>0</v>
      </c>
      <c r="Z59" s="300">
        <f>'BS (Adjusted)'!Z59-'BS (Base)'!Z59</f>
        <v>0</v>
      </c>
      <c r="AA59" s="300">
        <f>'BS (Adjusted)'!AA59-'BS (Base)'!AA59</f>
        <v>0</v>
      </c>
      <c r="AB59" s="6">
        <f>'BS (Adjusted)'!AB59-'BS (Base)'!AB59</f>
        <v>0</v>
      </c>
      <c r="AC59" s="301">
        <f>'BS (Adjusted)'!AC59-'BS (Base)'!AC59</f>
        <v>0</v>
      </c>
      <c r="AD59" s="301">
        <f>'BS (Adjusted)'!AD59-'BS (Base)'!AD59</f>
        <v>0</v>
      </c>
      <c r="AE59" s="300">
        <f>'BS (Adjusted)'!AE59-'BS (Base)'!AE59</f>
        <v>0</v>
      </c>
      <c r="AF59" s="300">
        <f>'BS (Adjusted)'!AF59-'BS (Base)'!AF59</f>
        <v>0</v>
      </c>
      <c r="AG59" s="6">
        <f>'BS (Adjusted)'!AG59-'BS (Base)'!AG59</f>
        <v>0</v>
      </c>
      <c r="AH59" s="301">
        <f>'BS (Adjusted)'!AH59-'BS (Base)'!AH59</f>
        <v>0</v>
      </c>
      <c r="AI59" s="301">
        <f>'BS (Adjusted)'!AI59-'BS (Base)'!AI59</f>
        <v>0</v>
      </c>
      <c r="AJ59" s="300">
        <f>'BS (Adjusted)'!AJ59-'BS (Base)'!AJ59</f>
        <v>0</v>
      </c>
      <c r="AK59" s="300">
        <f>'BS (Adjusted)'!AK59-'BS (Base)'!AK59</f>
        <v>0</v>
      </c>
      <c r="AL59" s="6">
        <f>'BS (Adjusted)'!AL59-'BS (Base)'!AL59</f>
        <v>0</v>
      </c>
      <c r="AM59" s="301">
        <f>'BS (Adjusted)'!AM59-'BS (Base)'!AM59</f>
        <v>0</v>
      </c>
      <c r="AN59" s="301">
        <f>'BS (Adjusted)'!AN59-'BS (Base)'!AN59</f>
        <v>0</v>
      </c>
      <c r="AO59" s="300">
        <f>'BS (Adjusted)'!AO59-'BS (Base)'!AO59</f>
        <v>0</v>
      </c>
      <c r="AP59" s="300">
        <f>'BS (Adjusted)'!AP59-'BS (Base)'!AP59</f>
        <v>0</v>
      </c>
      <c r="AQ59" s="6">
        <f>'BS (Adjusted)'!AQ59-'BS (Base)'!AQ59</f>
        <v>0</v>
      </c>
      <c r="AR59" s="301">
        <f>'BS (Adjusted)'!AR59-'BS (Base)'!AR59</f>
        <v>0</v>
      </c>
      <c r="AS59" s="301">
        <f>'BS (Adjusted)'!AS59-'BS (Base)'!AS59</f>
        <v>0</v>
      </c>
      <c r="AT59" s="300">
        <f>'BS (Adjusted)'!AT59-'BS (Base)'!AT59</f>
        <v>0</v>
      </c>
      <c r="AU59" s="300">
        <f>'BS (Adjusted)'!AU59-'BS (Base)'!AU59</f>
        <v>0</v>
      </c>
      <c r="AV59" s="6">
        <f>'BS (Adjusted)'!AV59-'BS (Base)'!AV59</f>
        <v>0</v>
      </c>
    </row>
    <row r="60" spans="2:48" s="302" customFormat="1" outlineLevel="1" x14ac:dyDescent="0.3">
      <c r="B60" s="200" t="s">
        <v>262</v>
      </c>
      <c r="C60" s="297"/>
      <c r="D60" s="298">
        <f>'BS (Adjusted)'!D60-'BS (Base)'!D60</f>
        <v>0</v>
      </c>
      <c r="E60" s="298">
        <f>'BS (Adjusted)'!E60-'BS (Base)'!E60</f>
        <v>0</v>
      </c>
      <c r="F60" s="146">
        <f>'BS (Adjusted)'!F60-'BS (Base)'!F60</f>
        <v>0</v>
      </c>
      <c r="G60" s="146">
        <f>'BS (Adjusted)'!G60-'BS (Base)'!G60</f>
        <v>0</v>
      </c>
      <c r="H60" s="122">
        <f>'BS (Adjusted)'!H60-'BS (Base)'!H60</f>
        <v>0</v>
      </c>
      <c r="I60" s="299">
        <f>'BS (Adjusted)'!I60-'BS (Base)'!I60</f>
        <v>0</v>
      </c>
      <c r="J60" s="299">
        <f>'BS (Adjusted)'!J60-'BS (Base)'!J60</f>
        <v>0</v>
      </c>
      <c r="K60" s="146">
        <f>'BS (Adjusted)'!K60-'BS (Base)'!K60</f>
        <v>0</v>
      </c>
      <c r="L60" s="146">
        <f>'BS (Adjusted)'!L60-'BS (Base)'!L60</f>
        <v>0</v>
      </c>
      <c r="M60" s="26">
        <f>'BS (Adjusted)'!M60-'BS (Base)'!M60</f>
        <v>0</v>
      </c>
      <c r="N60" s="299">
        <f>'BS (Adjusted)'!N60-'BS (Base)'!N60</f>
        <v>0</v>
      </c>
      <c r="O60" s="299">
        <f>'BS (Adjusted)'!O60-'BS (Base)'!O60</f>
        <v>0</v>
      </c>
      <c r="P60" s="146">
        <f>'BS (Adjusted)'!P60-'BS (Base)'!P60</f>
        <v>0</v>
      </c>
      <c r="Q60" s="146">
        <f>'BS (Adjusted)'!Q60-'BS (Base)'!Q60</f>
        <v>0</v>
      </c>
      <c r="R60" s="26">
        <f>'BS (Adjusted)'!R60-'BS (Base)'!R60</f>
        <v>0</v>
      </c>
      <c r="S60" s="299">
        <f>'BS (Adjusted)'!S60-'BS (Base)'!S60</f>
        <v>0</v>
      </c>
      <c r="T60" s="299">
        <f>'BS (Adjusted)'!T60-'BS (Base)'!T60</f>
        <v>0</v>
      </c>
      <c r="U60" s="299">
        <f>'BS (Adjusted)'!U60-'BS (Base)'!U60</f>
        <v>0</v>
      </c>
      <c r="V60" s="146">
        <f>'BS (Adjusted)'!V60-'BS (Base)'!V60</f>
        <v>0</v>
      </c>
      <c r="W60" s="26">
        <f>'BS (Adjusted)'!W60-'BS (Base)'!W60</f>
        <v>0</v>
      </c>
      <c r="X60" s="146">
        <f>'BS (Adjusted)'!X60-'BS (Base)'!X60</f>
        <v>0</v>
      </c>
      <c r="Y60" s="300">
        <f>'BS (Adjusted)'!Y60-'BS (Base)'!Y60</f>
        <v>0</v>
      </c>
      <c r="Z60" s="300">
        <f>'BS (Adjusted)'!Z60-'BS (Base)'!Z60</f>
        <v>0</v>
      </c>
      <c r="AA60" s="300">
        <f>'BS (Adjusted)'!AA60-'BS (Base)'!AA60</f>
        <v>0</v>
      </c>
      <c r="AB60" s="6">
        <f>'BS (Adjusted)'!AB60-'BS (Base)'!AB60</f>
        <v>0</v>
      </c>
      <c r="AC60" s="300">
        <f>'BS (Adjusted)'!AC60-'BS (Base)'!AC60</f>
        <v>0</v>
      </c>
      <c r="AD60" s="300">
        <f>'BS (Adjusted)'!AD60-'BS (Base)'!AD60</f>
        <v>0</v>
      </c>
      <c r="AE60" s="300">
        <f>'BS (Adjusted)'!AE60-'BS (Base)'!AE60</f>
        <v>0</v>
      </c>
      <c r="AF60" s="300">
        <f>'BS (Adjusted)'!AF60-'BS (Base)'!AF60</f>
        <v>0</v>
      </c>
      <c r="AG60" s="6">
        <f>'BS (Adjusted)'!AG60-'BS (Base)'!AG60</f>
        <v>0</v>
      </c>
      <c r="AH60" s="300">
        <f>'BS (Adjusted)'!AH60-'BS (Base)'!AH60</f>
        <v>0</v>
      </c>
      <c r="AI60" s="300">
        <f>'BS (Adjusted)'!AI60-'BS (Base)'!AI60</f>
        <v>0</v>
      </c>
      <c r="AJ60" s="300">
        <f>'BS (Adjusted)'!AJ60-'BS (Base)'!AJ60</f>
        <v>0</v>
      </c>
      <c r="AK60" s="300">
        <f>'BS (Adjusted)'!AK60-'BS (Base)'!AK60</f>
        <v>0</v>
      </c>
      <c r="AL60" s="6">
        <f>'BS (Adjusted)'!AL60-'BS (Base)'!AL60</f>
        <v>0</v>
      </c>
      <c r="AM60" s="300">
        <f>'BS (Adjusted)'!AM60-'BS (Base)'!AM60</f>
        <v>0</v>
      </c>
      <c r="AN60" s="300">
        <f>'BS (Adjusted)'!AN60-'BS (Base)'!AN60</f>
        <v>0</v>
      </c>
      <c r="AO60" s="300">
        <f>'BS (Adjusted)'!AO60-'BS (Base)'!AO60</f>
        <v>0</v>
      </c>
      <c r="AP60" s="300">
        <f>'BS (Adjusted)'!AP60-'BS (Base)'!AP60</f>
        <v>0</v>
      </c>
      <c r="AQ60" s="6">
        <f>'BS (Adjusted)'!AQ60-'BS (Base)'!AQ60</f>
        <v>0</v>
      </c>
      <c r="AR60" s="300">
        <f>'BS (Adjusted)'!AR60-'BS (Base)'!AR60</f>
        <v>0</v>
      </c>
      <c r="AS60" s="300">
        <f>'BS (Adjusted)'!AS60-'BS (Base)'!AS60</f>
        <v>0</v>
      </c>
      <c r="AT60" s="300">
        <f>'BS (Adjusted)'!AT60-'BS (Base)'!AT60</f>
        <v>0</v>
      </c>
      <c r="AU60" s="300">
        <f>'BS (Adjusted)'!AU60-'BS (Base)'!AU60</f>
        <v>0</v>
      </c>
      <c r="AV60" s="6">
        <f>'BS (Adjusted)'!AV60-'BS (Base)'!AV60</f>
        <v>0</v>
      </c>
    </row>
    <row r="61" spans="2:48" s="302" customFormat="1" outlineLevel="1" x14ac:dyDescent="0.3">
      <c r="B61" s="200" t="s">
        <v>263</v>
      </c>
      <c r="C61" s="297"/>
      <c r="D61" s="298">
        <f>'BS (Adjusted)'!D61-'BS (Base)'!D61</f>
        <v>0</v>
      </c>
      <c r="E61" s="298">
        <f>'BS (Adjusted)'!E61-'BS (Base)'!E61</f>
        <v>0</v>
      </c>
      <c r="F61" s="146">
        <f>'BS (Adjusted)'!F61-'BS (Base)'!F61</f>
        <v>0</v>
      </c>
      <c r="G61" s="146">
        <f>'BS (Adjusted)'!G61-'BS (Base)'!G61</f>
        <v>0</v>
      </c>
      <c r="H61" s="122">
        <f>'BS (Adjusted)'!H61-'BS (Base)'!H61</f>
        <v>0</v>
      </c>
      <c r="I61" s="299">
        <f>'BS (Adjusted)'!I61-'BS (Base)'!I61</f>
        <v>0</v>
      </c>
      <c r="J61" s="299">
        <f>'BS (Adjusted)'!J61-'BS (Base)'!J61</f>
        <v>0</v>
      </c>
      <c r="K61" s="146">
        <f>'BS (Adjusted)'!K61-'BS (Base)'!K61</f>
        <v>0</v>
      </c>
      <c r="L61" s="146">
        <f>'BS (Adjusted)'!L61-'BS (Base)'!L61</f>
        <v>0</v>
      </c>
      <c r="M61" s="26">
        <f>'BS (Adjusted)'!M61-'BS (Base)'!M61</f>
        <v>0</v>
      </c>
      <c r="N61" s="299">
        <f>'BS (Adjusted)'!N61-'BS (Base)'!N61</f>
        <v>0</v>
      </c>
      <c r="O61" s="299">
        <f>'BS (Adjusted)'!O61-'BS (Base)'!O61</f>
        <v>0</v>
      </c>
      <c r="P61" s="146">
        <f>'BS (Adjusted)'!P61-'BS (Base)'!P61</f>
        <v>0</v>
      </c>
      <c r="Q61" s="146">
        <f>'BS (Adjusted)'!Q61-'BS (Base)'!Q61</f>
        <v>0</v>
      </c>
      <c r="R61" s="26">
        <f>'BS (Adjusted)'!R61-'BS (Base)'!R61</f>
        <v>0</v>
      </c>
      <c r="S61" s="299">
        <f>'BS (Adjusted)'!S61-'BS (Base)'!S61</f>
        <v>0</v>
      </c>
      <c r="T61" s="299">
        <f>'BS (Adjusted)'!T61-'BS (Base)'!T61</f>
        <v>0</v>
      </c>
      <c r="U61" s="299">
        <f>'BS (Adjusted)'!U61-'BS (Base)'!U61</f>
        <v>0</v>
      </c>
      <c r="V61" s="146">
        <f>'BS (Adjusted)'!V61-'BS (Base)'!V61</f>
        <v>0</v>
      </c>
      <c r="W61" s="26">
        <f>'BS (Adjusted)'!W61-'BS (Base)'!W61</f>
        <v>0</v>
      </c>
      <c r="X61" s="299">
        <f>'BS (Adjusted)'!X61-'BS (Base)'!X61</f>
        <v>0</v>
      </c>
      <c r="Y61" s="301">
        <f>'BS (Adjusted)'!Y61-'BS (Base)'!Y61</f>
        <v>0</v>
      </c>
      <c r="Z61" s="300">
        <f>'BS (Adjusted)'!Z61-'BS (Base)'!Z61</f>
        <v>0</v>
      </c>
      <c r="AA61" s="300">
        <f>'BS (Adjusted)'!AA61-'BS (Base)'!AA61</f>
        <v>0</v>
      </c>
      <c r="AB61" s="6">
        <f>'BS (Adjusted)'!AB61-'BS (Base)'!AB61</f>
        <v>0</v>
      </c>
      <c r="AC61" s="301">
        <f>'BS (Adjusted)'!AC61-'BS (Base)'!AC61</f>
        <v>0</v>
      </c>
      <c r="AD61" s="301">
        <f>'BS (Adjusted)'!AD61-'BS (Base)'!AD61</f>
        <v>0</v>
      </c>
      <c r="AE61" s="300">
        <f>'BS (Adjusted)'!AE61-'BS (Base)'!AE61</f>
        <v>0</v>
      </c>
      <c r="AF61" s="300">
        <f>'BS (Adjusted)'!AF61-'BS (Base)'!AF61</f>
        <v>0</v>
      </c>
      <c r="AG61" s="6">
        <f>'BS (Adjusted)'!AG61-'BS (Base)'!AG61</f>
        <v>0</v>
      </c>
      <c r="AH61" s="301">
        <f>'BS (Adjusted)'!AH61-'BS (Base)'!AH61</f>
        <v>0</v>
      </c>
      <c r="AI61" s="301">
        <f>'BS (Adjusted)'!AI61-'BS (Base)'!AI61</f>
        <v>0</v>
      </c>
      <c r="AJ61" s="300">
        <f>'BS (Adjusted)'!AJ61-'BS (Base)'!AJ61</f>
        <v>0</v>
      </c>
      <c r="AK61" s="300">
        <f>'BS (Adjusted)'!AK61-'BS (Base)'!AK61</f>
        <v>0</v>
      </c>
      <c r="AL61" s="6">
        <f>'BS (Adjusted)'!AL61-'BS (Base)'!AL61</f>
        <v>0</v>
      </c>
      <c r="AM61" s="301">
        <f>'BS (Adjusted)'!AM61-'BS (Base)'!AM61</f>
        <v>0</v>
      </c>
      <c r="AN61" s="301">
        <f>'BS (Adjusted)'!AN61-'BS (Base)'!AN61</f>
        <v>0</v>
      </c>
      <c r="AO61" s="300">
        <f>'BS (Adjusted)'!AO61-'BS (Base)'!AO61</f>
        <v>0</v>
      </c>
      <c r="AP61" s="300">
        <f>'BS (Adjusted)'!AP61-'BS (Base)'!AP61</f>
        <v>0</v>
      </c>
      <c r="AQ61" s="6">
        <f>'BS (Adjusted)'!AQ61-'BS (Base)'!AQ61</f>
        <v>0</v>
      </c>
      <c r="AR61" s="301">
        <f>'BS (Adjusted)'!AR61-'BS (Base)'!AR61</f>
        <v>0</v>
      </c>
      <c r="AS61" s="301">
        <f>'BS (Adjusted)'!AS61-'BS (Base)'!AS61</f>
        <v>0</v>
      </c>
      <c r="AT61" s="300">
        <f>'BS (Adjusted)'!AT61-'BS (Base)'!AT61</f>
        <v>0</v>
      </c>
      <c r="AU61" s="300">
        <f>'BS (Adjusted)'!AU61-'BS (Base)'!AU61</f>
        <v>0</v>
      </c>
      <c r="AV61" s="6">
        <f>'BS (Adjusted)'!AV61-'BS (Base)'!AV61</f>
        <v>0</v>
      </c>
    </row>
    <row r="62" spans="2:48" s="23" customFormat="1" outlineLevel="1" x14ac:dyDescent="0.3">
      <c r="B62" s="200" t="s">
        <v>264</v>
      </c>
      <c r="C62" s="201"/>
      <c r="D62" s="179">
        <f>'BS (Adjusted)'!D62-'BS (Base)'!D62</f>
        <v>0</v>
      </c>
      <c r="E62" s="179">
        <f>'BS (Adjusted)'!E62-'BS (Base)'!E62</f>
        <v>0</v>
      </c>
      <c r="F62" s="303">
        <f>'BS (Adjusted)'!F62-'BS (Base)'!F62</f>
        <v>0</v>
      </c>
      <c r="G62" s="303">
        <f>'BS (Adjusted)'!G62-'BS (Base)'!G62</f>
        <v>0</v>
      </c>
      <c r="H62" s="128">
        <f>'BS (Adjusted)'!H62-'BS (Base)'!H62</f>
        <v>0</v>
      </c>
      <c r="I62" s="303">
        <f>'BS (Adjusted)'!I62-'BS (Base)'!I62</f>
        <v>0</v>
      </c>
      <c r="J62" s="303">
        <f>'BS (Adjusted)'!J62-'BS (Base)'!J62</f>
        <v>0</v>
      </c>
      <c r="K62" s="303">
        <f>'BS (Adjusted)'!K62-'BS (Base)'!K62</f>
        <v>0</v>
      </c>
      <c r="L62" s="179">
        <f>'BS (Adjusted)'!L62-'BS (Base)'!L62</f>
        <v>0</v>
      </c>
      <c r="M62" s="28">
        <f>'BS (Adjusted)'!M62-'BS (Base)'!M62</f>
        <v>0</v>
      </c>
      <c r="N62" s="179">
        <f>'BS (Adjusted)'!N62-'BS (Base)'!N62</f>
        <v>0</v>
      </c>
      <c r="O62" s="179">
        <f>'BS (Adjusted)'!O62-'BS (Base)'!O62</f>
        <v>0</v>
      </c>
      <c r="P62" s="179">
        <f>'BS (Adjusted)'!P62-'BS (Base)'!P62</f>
        <v>0</v>
      </c>
      <c r="Q62" s="179">
        <f>'BS (Adjusted)'!Q62-'BS (Base)'!Q62</f>
        <v>0</v>
      </c>
      <c r="R62" s="28">
        <f>'BS (Adjusted)'!R62-'BS (Base)'!R62</f>
        <v>0</v>
      </c>
      <c r="S62" s="179">
        <f>'BS (Adjusted)'!S62-'BS (Base)'!S62</f>
        <v>0</v>
      </c>
      <c r="T62" s="179">
        <f>'BS (Adjusted)'!T62-'BS (Base)'!T62</f>
        <v>0</v>
      </c>
      <c r="U62" s="179">
        <f>'BS (Adjusted)'!U62-'BS (Base)'!U62</f>
        <v>0</v>
      </c>
      <c r="V62" s="179">
        <f>'BS (Adjusted)'!V62-'BS (Base)'!V62</f>
        <v>0</v>
      </c>
      <c r="W62" s="28">
        <f>'BS (Adjusted)'!W62-'BS (Base)'!W62</f>
        <v>0</v>
      </c>
      <c r="X62" s="179">
        <f>'BS (Adjusted)'!X62-'BS (Base)'!X62</f>
        <v>0</v>
      </c>
      <c r="Y62" s="179">
        <f>'BS (Adjusted)'!Y62-'BS (Base)'!Y62</f>
        <v>0</v>
      </c>
      <c r="Z62" s="179">
        <f>'BS (Adjusted)'!Z62-'BS (Base)'!Z62</f>
        <v>0</v>
      </c>
      <c r="AA62" s="179">
        <f>'BS (Adjusted)'!AA62-'BS (Base)'!AA62</f>
        <v>0</v>
      </c>
      <c r="AB62" s="28">
        <f>'BS (Adjusted)'!AB62-'BS (Base)'!AB62</f>
        <v>0</v>
      </c>
      <c r="AC62" s="179">
        <f>'BS (Adjusted)'!AC62-'BS (Base)'!AC62</f>
        <v>0</v>
      </c>
      <c r="AD62" s="179">
        <f>'BS (Adjusted)'!AD62-'BS (Base)'!AD62</f>
        <v>0</v>
      </c>
      <c r="AE62" s="179">
        <f>'BS (Adjusted)'!AE62-'BS (Base)'!AE62</f>
        <v>0</v>
      </c>
      <c r="AF62" s="179">
        <f>'BS (Adjusted)'!AF62-'BS (Base)'!AF62</f>
        <v>0</v>
      </c>
      <c r="AG62" s="28">
        <f>'BS (Adjusted)'!AG62-'BS (Base)'!AG62</f>
        <v>0</v>
      </c>
      <c r="AH62" s="179">
        <f>'BS (Adjusted)'!AH62-'BS (Base)'!AH62</f>
        <v>0</v>
      </c>
      <c r="AI62" s="179">
        <f>'BS (Adjusted)'!AI62-'BS (Base)'!AI62</f>
        <v>0</v>
      </c>
      <c r="AJ62" s="179">
        <f>'BS (Adjusted)'!AJ62-'BS (Base)'!AJ62</f>
        <v>0</v>
      </c>
      <c r="AK62" s="179">
        <f>'BS (Adjusted)'!AK62-'BS (Base)'!AK62</f>
        <v>0</v>
      </c>
      <c r="AL62" s="28">
        <f>'BS (Adjusted)'!AL62-'BS (Base)'!AL62</f>
        <v>0</v>
      </c>
      <c r="AM62" s="179">
        <f>'BS (Adjusted)'!AM62-'BS (Base)'!AM62</f>
        <v>0</v>
      </c>
      <c r="AN62" s="179">
        <f>'BS (Adjusted)'!AN62-'BS (Base)'!AN62</f>
        <v>0</v>
      </c>
      <c r="AO62" s="179">
        <f>'BS (Adjusted)'!AO62-'BS (Base)'!AO62</f>
        <v>0</v>
      </c>
      <c r="AP62" s="179">
        <f>'BS (Adjusted)'!AP62-'BS (Base)'!AP62</f>
        <v>0</v>
      </c>
      <c r="AQ62" s="28">
        <f>'BS (Adjusted)'!AQ62-'BS (Base)'!AQ62</f>
        <v>0</v>
      </c>
      <c r="AR62" s="179">
        <f>'BS (Adjusted)'!AR62-'BS (Base)'!AR62</f>
        <v>0</v>
      </c>
      <c r="AS62" s="179">
        <f>'BS (Adjusted)'!AS62-'BS (Base)'!AS62</f>
        <v>0</v>
      </c>
      <c r="AT62" s="179">
        <f>'BS (Adjusted)'!AT62-'BS (Base)'!AT62</f>
        <v>0</v>
      </c>
      <c r="AU62" s="179">
        <f>'BS (Adjusted)'!AU62-'BS (Base)'!AU62</f>
        <v>0</v>
      </c>
      <c r="AV62" s="28">
        <f>'BS (Adjusted)'!AV62-'BS (Base)'!AV62</f>
        <v>0</v>
      </c>
    </row>
    <row r="63" spans="2:48" s="23" customFormat="1" outlineLevel="1" x14ac:dyDescent="0.3">
      <c r="B63" s="200" t="s">
        <v>265</v>
      </c>
      <c r="C63" s="201"/>
      <c r="D63" s="179">
        <f>'BS (Adjusted)'!D63-'BS (Base)'!D63</f>
        <v>0</v>
      </c>
      <c r="E63" s="179">
        <f>'BS (Adjusted)'!E63-'BS (Base)'!E63</f>
        <v>0</v>
      </c>
      <c r="F63" s="303">
        <f>'BS (Adjusted)'!F63-'BS (Base)'!F63</f>
        <v>0</v>
      </c>
      <c r="G63" s="303">
        <f>'BS (Adjusted)'!G63-'BS (Base)'!G63</f>
        <v>0</v>
      </c>
      <c r="H63" s="128">
        <f>'BS (Adjusted)'!H63-'BS (Base)'!H63</f>
        <v>0</v>
      </c>
      <c r="I63" s="303">
        <f>'BS (Adjusted)'!I63-'BS (Base)'!I63</f>
        <v>0</v>
      </c>
      <c r="J63" s="303">
        <f>'BS (Adjusted)'!J63-'BS (Base)'!J63</f>
        <v>0</v>
      </c>
      <c r="K63" s="303">
        <f>'BS (Adjusted)'!K63-'BS (Base)'!K63</f>
        <v>0</v>
      </c>
      <c r="L63" s="179">
        <f>'BS (Adjusted)'!L63-'BS (Base)'!L63</f>
        <v>0</v>
      </c>
      <c r="M63" s="28">
        <f>'BS (Adjusted)'!M63-'BS (Base)'!M63</f>
        <v>0</v>
      </c>
      <c r="N63" s="179">
        <f>'BS (Adjusted)'!N63-'BS (Base)'!N63</f>
        <v>0</v>
      </c>
      <c r="O63" s="179">
        <f>'BS (Adjusted)'!O63-'BS (Base)'!O63</f>
        <v>0</v>
      </c>
      <c r="P63" s="179">
        <f>'BS (Adjusted)'!P63-'BS (Base)'!P63</f>
        <v>0</v>
      </c>
      <c r="Q63" s="179">
        <f>'BS (Adjusted)'!Q63-'BS (Base)'!Q63</f>
        <v>0</v>
      </c>
      <c r="R63" s="28">
        <f>'BS (Adjusted)'!R63-'BS (Base)'!R63</f>
        <v>0</v>
      </c>
      <c r="S63" s="179">
        <f>'BS (Adjusted)'!S63-'BS (Base)'!S63</f>
        <v>0</v>
      </c>
      <c r="T63" s="179">
        <f>'BS (Adjusted)'!T63-'BS (Base)'!T63</f>
        <v>0</v>
      </c>
      <c r="U63" s="179">
        <f>'BS (Adjusted)'!U63-'BS (Base)'!U63</f>
        <v>0</v>
      </c>
      <c r="V63" s="179">
        <f>'BS (Adjusted)'!V63-'BS (Base)'!V63</f>
        <v>0</v>
      </c>
      <c r="W63" s="28">
        <f>'BS (Adjusted)'!W63-'BS (Base)'!W63</f>
        <v>0</v>
      </c>
      <c r="X63" s="179">
        <f>'BS (Adjusted)'!X63-'BS (Base)'!X63</f>
        <v>0</v>
      </c>
      <c r="Y63" s="179">
        <f>'BS (Adjusted)'!Y63-'BS (Base)'!Y63</f>
        <v>0</v>
      </c>
      <c r="Z63" s="179">
        <f>'BS (Adjusted)'!Z63-'BS (Base)'!Z63</f>
        <v>0</v>
      </c>
      <c r="AA63" s="179">
        <f>'BS (Adjusted)'!AA63-'BS (Base)'!AA63</f>
        <v>0</v>
      </c>
      <c r="AB63" s="28">
        <f>'BS (Adjusted)'!AB63-'BS (Base)'!AB63</f>
        <v>0</v>
      </c>
      <c r="AC63" s="179">
        <f>'BS (Adjusted)'!AC63-'BS (Base)'!AC63</f>
        <v>0</v>
      </c>
      <c r="AD63" s="179">
        <f>'BS (Adjusted)'!AD63-'BS (Base)'!AD63</f>
        <v>0</v>
      </c>
      <c r="AE63" s="179">
        <f>'BS (Adjusted)'!AE63-'BS (Base)'!AE63</f>
        <v>0</v>
      </c>
      <c r="AF63" s="179">
        <f>'BS (Adjusted)'!AF63-'BS (Base)'!AF63</f>
        <v>0</v>
      </c>
      <c r="AG63" s="28">
        <f>'BS (Adjusted)'!AG63-'BS (Base)'!AG63</f>
        <v>0</v>
      </c>
      <c r="AH63" s="179">
        <f>'BS (Adjusted)'!AH63-'BS (Base)'!AH63</f>
        <v>0</v>
      </c>
      <c r="AI63" s="179">
        <f>'BS (Adjusted)'!AI63-'BS (Base)'!AI63</f>
        <v>0</v>
      </c>
      <c r="AJ63" s="179">
        <f>'BS (Adjusted)'!AJ63-'BS (Base)'!AJ63</f>
        <v>0</v>
      </c>
      <c r="AK63" s="179">
        <f>'BS (Adjusted)'!AK63-'BS (Base)'!AK63</f>
        <v>0</v>
      </c>
      <c r="AL63" s="28">
        <f>'BS (Adjusted)'!AL63-'BS (Base)'!AL63</f>
        <v>0</v>
      </c>
      <c r="AM63" s="179">
        <f>'BS (Adjusted)'!AM63-'BS (Base)'!AM63</f>
        <v>0</v>
      </c>
      <c r="AN63" s="179">
        <f>'BS (Adjusted)'!AN63-'BS (Base)'!AN63</f>
        <v>0</v>
      </c>
      <c r="AO63" s="179">
        <f>'BS (Adjusted)'!AO63-'BS (Base)'!AO63</f>
        <v>0</v>
      </c>
      <c r="AP63" s="179">
        <f>'BS (Adjusted)'!AP63-'BS (Base)'!AP63</f>
        <v>0</v>
      </c>
      <c r="AQ63" s="28">
        <f>'BS (Adjusted)'!AQ63-'BS (Base)'!AQ63</f>
        <v>0</v>
      </c>
      <c r="AR63" s="179">
        <f>'BS (Adjusted)'!AR63-'BS (Base)'!AR63</f>
        <v>0</v>
      </c>
      <c r="AS63" s="179">
        <f>'BS (Adjusted)'!AS63-'BS (Base)'!AS63</f>
        <v>0</v>
      </c>
      <c r="AT63" s="179">
        <f>'BS (Adjusted)'!AT63-'BS (Base)'!AT63</f>
        <v>0</v>
      </c>
      <c r="AU63" s="179">
        <f>'BS (Adjusted)'!AU63-'BS (Base)'!AU63</f>
        <v>0</v>
      </c>
      <c r="AV63" s="28">
        <f>'BS (Adjusted)'!AV63-'BS (Base)'!AV63</f>
        <v>0</v>
      </c>
    </row>
    <row r="64" spans="2:48" outlineLevel="1" x14ac:dyDescent="0.3">
      <c r="B64" s="200" t="s">
        <v>328</v>
      </c>
      <c r="C64" s="201"/>
      <c r="D64" s="304">
        <f>'BS (Adjusted)'!D64-'BS (Base)'!D64</f>
        <v>0</v>
      </c>
      <c r="E64" s="304">
        <f>'BS (Adjusted)'!E64-'BS (Base)'!E64</f>
        <v>0</v>
      </c>
      <c r="F64" s="304">
        <f>'BS (Adjusted)'!F64-'BS (Base)'!F64</f>
        <v>0</v>
      </c>
      <c r="G64" s="304">
        <f>'BS (Adjusted)'!G64-'BS (Base)'!G64</f>
        <v>0</v>
      </c>
      <c r="H64" s="306">
        <f>'BS (Adjusted)'!H64-'BS (Base)'!H64</f>
        <v>0</v>
      </c>
      <c r="I64" s="305">
        <f>'BS (Adjusted)'!I64-'BS (Base)'!I64</f>
        <v>0</v>
      </c>
      <c r="J64" s="305">
        <f>'BS (Adjusted)'!J64-'BS (Base)'!J64</f>
        <v>0</v>
      </c>
      <c r="K64" s="305">
        <f>'BS (Adjusted)'!K64-'BS (Base)'!K64</f>
        <v>0</v>
      </c>
      <c r="L64" s="305">
        <f>'BS (Adjusted)'!L64-'BS (Base)'!L64</f>
        <v>0</v>
      </c>
      <c r="M64" s="306">
        <f>'BS (Adjusted)'!M64-'BS (Base)'!M64</f>
        <v>0</v>
      </c>
      <c r="N64" s="305">
        <f>'BS (Adjusted)'!N64-'BS (Base)'!N64</f>
        <v>0</v>
      </c>
      <c r="O64" s="305">
        <f>'BS (Adjusted)'!O64-'BS (Base)'!O64</f>
        <v>0</v>
      </c>
      <c r="P64" s="305">
        <f>'BS (Adjusted)'!P64-'BS (Base)'!P64</f>
        <v>0</v>
      </c>
      <c r="Q64" s="305">
        <f>'BS (Adjusted)'!Q64-'BS (Base)'!Q64</f>
        <v>0</v>
      </c>
      <c r="R64" s="306">
        <f>'BS (Adjusted)'!R64-'BS (Base)'!R64</f>
        <v>0</v>
      </c>
      <c r="S64" s="305">
        <f>'BS (Adjusted)'!S64-'BS (Base)'!S64</f>
        <v>0</v>
      </c>
      <c r="T64" s="305">
        <f>'BS (Adjusted)'!T64-'BS (Base)'!T64</f>
        <v>0</v>
      </c>
      <c r="U64" s="305">
        <f>'BS (Adjusted)'!U64-'BS (Base)'!U64</f>
        <v>0</v>
      </c>
      <c r="V64" s="305">
        <f>'BS (Adjusted)'!V64-'BS (Base)'!V64</f>
        <v>0</v>
      </c>
      <c r="W64" s="306">
        <f>'BS (Adjusted)'!W64-'BS (Base)'!W64</f>
        <v>0</v>
      </c>
      <c r="X64" s="307">
        <f>'BS (Adjusted)'!X64-'BS (Base)'!X64</f>
        <v>0</v>
      </c>
      <c r="Y64" s="307">
        <f>'BS (Adjusted)'!Y64-'BS (Base)'!Y64</f>
        <v>0</v>
      </c>
      <c r="Z64" s="307">
        <f>'BS (Adjusted)'!Z64-'BS (Base)'!Z64</f>
        <v>0</v>
      </c>
      <c r="AA64" s="307">
        <f>'BS (Adjusted)'!AA64-'BS (Base)'!AA64</f>
        <v>0</v>
      </c>
      <c r="AB64" s="306">
        <f>'BS (Adjusted)'!AB64-'BS (Base)'!AB64</f>
        <v>0</v>
      </c>
      <c r="AC64" s="307">
        <f>'BS (Adjusted)'!AC64-'BS (Base)'!AC64</f>
        <v>0</v>
      </c>
      <c r="AD64" s="307">
        <f>'BS (Adjusted)'!AD64-'BS (Base)'!AD64</f>
        <v>0</v>
      </c>
      <c r="AE64" s="307">
        <f>'BS (Adjusted)'!AE64-'BS (Base)'!AE64</f>
        <v>0</v>
      </c>
      <c r="AF64" s="307">
        <f>'BS (Adjusted)'!AF64-'BS (Base)'!AF64</f>
        <v>0</v>
      </c>
      <c r="AG64" s="405">
        <f>'BS (Adjusted)'!AG64-'BS (Base)'!AG64</f>
        <v>0</v>
      </c>
      <c r="AH64" s="307">
        <f>'BS (Adjusted)'!AH64-'BS (Base)'!AH64</f>
        <v>0</v>
      </c>
      <c r="AI64" s="307">
        <f>'BS (Adjusted)'!AI64-'BS (Base)'!AI64</f>
        <v>0</v>
      </c>
      <c r="AJ64" s="307">
        <f>'BS (Adjusted)'!AJ64-'BS (Base)'!AJ64</f>
        <v>0</v>
      </c>
      <c r="AK64" s="307">
        <f>'BS (Adjusted)'!AK64-'BS (Base)'!AK64</f>
        <v>0</v>
      </c>
      <c r="AL64" s="405">
        <f>'BS (Adjusted)'!AL64-'BS (Base)'!AL64</f>
        <v>0</v>
      </c>
      <c r="AM64" s="307">
        <f>'BS (Adjusted)'!AM64-'BS (Base)'!AM64</f>
        <v>0</v>
      </c>
      <c r="AN64" s="307">
        <f>'BS (Adjusted)'!AN64-'BS (Base)'!AN64</f>
        <v>0</v>
      </c>
      <c r="AO64" s="307">
        <f>'BS (Adjusted)'!AO64-'BS (Base)'!AO64</f>
        <v>0</v>
      </c>
      <c r="AP64" s="307">
        <f>'BS (Adjusted)'!AP64-'BS (Base)'!AP64</f>
        <v>0</v>
      </c>
      <c r="AQ64" s="306">
        <f>'BS (Adjusted)'!AQ64-'BS (Base)'!AQ64</f>
        <v>0</v>
      </c>
      <c r="AR64" s="307">
        <f>'BS (Adjusted)'!AR64-'BS (Base)'!AR64</f>
        <v>0</v>
      </c>
      <c r="AS64" s="307">
        <f>'BS (Adjusted)'!AS64-'BS (Base)'!AS64</f>
        <v>0</v>
      </c>
      <c r="AT64" s="307">
        <f>'BS (Adjusted)'!AT64-'BS (Base)'!AT64</f>
        <v>0</v>
      </c>
      <c r="AU64" s="307">
        <f>'BS (Adjusted)'!AU64-'BS (Base)'!AU64</f>
        <v>0</v>
      </c>
      <c r="AV64" s="306">
        <f>'BS (Adjusted)'!AV64-'BS (Base)'!AV64</f>
        <v>0</v>
      </c>
    </row>
    <row r="65" spans="2:48" outlineLevel="1" x14ac:dyDescent="0.3">
      <c r="B65" s="180" t="s">
        <v>325</v>
      </c>
      <c r="C65" s="44"/>
      <c r="D65" s="139">
        <f>'BS (Adjusted)'!D65-'BS (Base)'!D65</f>
        <v>0</v>
      </c>
      <c r="E65" s="139">
        <f>'BS (Adjusted)'!E65-'BS (Base)'!E65</f>
        <v>0</v>
      </c>
      <c r="F65" s="309">
        <f>'BS (Adjusted)'!F65-'BS (Base)'!F65</f>
        <v>0</v>
      </c>
      <c r="G65" s="309">
        <f>'BS (Adjusted)'!G65-'BS (Base)'!G65</f>
        <v>0</v>
      </c>
      <c r="H65" s="17">
        <f>'BS (Adjusted)'!H65-'BS (Base)'!H65</f>
        <v>0</v>
      </c>
      <c r="I65" s="139">
        <f>'BS (Adjusted)'!I65-'BS (Base)'!I65</f>
        <v>0</v>
      </c>
      <c r="J65" s="139">
        <f>'BS (Adjusted)'!J65-'BS (Base)'!J65</f>
        <v>0</v>
      </c>
      <c r="K65" s="309">
        <f>'BS (Adjusted)'!K65-'BS (Base)'!K65</f>
        <v>0</v>
      </c>
      <c r="L65" s="309">
        <f>'BS (Adjusted)'!L65-'BS (Base)'!L65</f>
        <v>0</v>
      </c>
      <c r="M65" s="17">
        <f>'BS (Adjusted)'!M65-'BS (Base)'!M65</f>
        <v>0</v>
      </c>
      <c r="N65" s="139">
        <f>'BS (Adjusted)'!N65-'BS (Base)'!N65</f>
        <v>0</v>
      </c>
      <c r="O65" s="139">
        <f>'BS (Adjusted)'!O65-'BS (Base)'!O65</f>
        <v>0</v>
      </c>
      <c r="P65" s="309">
        <f>'BS (Adjusted)'!P65-'BS (Base)'!P65</f>
        <v>0</v>
      </c>
      <c r="Q65" s="309">
        <f>'BS (Adjusted)'!Q65-'BS (Base)'!Q65</f>
        <v>0</v>
      </c>
      <c r="R65" s="17">
        <f>'BS (Adjusted)'!R65-'BS (Base)'!R65</f>
        <v>0</v>
      </c>
      <c r="S65" s="139">
        <f>'BS (Adjusted)'!S65-'BS (Base)'!S65</f>
        <v>0</v>
      </c>
      <c r="T65" s="139">
        <f>'BS (Adjusted)'!T65-'BS (Base)'!T65</f>
        <v>0</v>
      </c>
      <c r="U65" s="309">
        <f>'BS (Adjusted)'!U65-'BS (Base)'!U65</f>
        <v>0</v>
      </c>
      <c r="V65" s="309">
        <f>'BS (Adjusted)'!V65-'BS (Base)'!V65</f>
        <v>0</v>
      </c>
      <c r="W65" s="17">
        <f>'BS (Adjusted)'!W65-'BS (Base)'!W65</f>
        <v>0</v>
      </c>
      <c r="X65" s="139">
        <f>'BS (Adjusted)'!X65-'BS (Base)'!X65</f>
        <v>0</v>
      </c>
      <c r="Y65" s="305">
        <f>'BS (Adjusted)'!Y65-'BS (Base)'!Y65</f>
        <v>0</v>
      </c>
      <c r="Z65" s="305">
        <f>'BS (Adjusted)'!Z65-'BS (Base)'!Z65</f>
        <v>0</v>
      </c>
      <c r="AA65" s="310">
        <f>'BS (Adjusted)'!AA65-'BS (Base)'!AA65</f>
        <v>0</v>
      </c>
      <c r="AB65" s="17">
        <f>'BS (Adjusted)'!AB65-'BS (Base)'!AB65</f>
        <v>0</v>
      </c>
      <c r="AC65" s="139">
        <f>'BS (Adjusted)'!AC65-'BS (Base)'!AC65</f>
        <v>0</v>
      </c>
      <c r="AD65" s="139">
        <f>'BS (Adjusted)'!AD65-'BS (Base)'!AD65</f>
        <v>0</v>
      </c>
      <c r="AE65" s="309">
        <f>'BS (Adjusted)'!AE65-'BS (Base)'!AE65</f>
        <v>0</v>
      </c>
      <c r="AF65" s="309">
        <f>'BS (Adjusted)'!AF65-'BS (Base)'!AF65</f>
        <v>0</v>
      </c>
      <c r="AG65" s="17">
        <f>'BS (Adjusted)'!AG65-'BS (Base)'!AG65</f>
        <v>0</v>
      </c>
      <c r="AH65" s="139">
        <f>'BS (Adjusted)'!AH65-'BS (Base)'!AH65</f>
        <v>0</v>
      </c>
      <c r="AI65" s="139">
        <f>'BS (Adjusted)'!AI65-'BS (Base)'!AI65</f>
        <v>0</v>
      </c>
      <c r="AJ65" s="309">
        <f>'BS (Adjusted)'!AJ65-'BS (Base)'!AJ65</f>
        <v>0</v>
      </c>
      <c r="AK65" s="309">
        <f>'BS (Adjusted)'!AK65-'BS (Base)'!AK65</f>
        <v>0</v>
      </c>
      <c r="AL65" s="17">
        <f>'BS (Adjusted)'!AL65-'BS (Base)'!AL65</f>
        <v>0</v>
      </c>
      <c r="AM65" s="139">
        <f>'BS (Adjusted)'!AM65-'BS (Base)'!AM65</f>
        <v>0</v>
      </c>
      <c r="AN65" s="139">
        <f>'BS (Adjusted)'!AN65-'BS (Base)'!AN65</f>
        <v>0</v>
      </c>
      <c r="AO65" s="309">
        <f>'BS (Adjusted)'!AO65-'BS (Base)'!AO65</f>
        <v>0</v>
      </c>
      <c r="AP65" s="309">
        <f>'BS (Adjusted)'!AP65-'BS (Base)'!AP65</f>
        <v>0</v>
      </c>
      <c r="AQ65" s="17">
        <f>'BS (Adjusted)'!AQ65-'BS (Base)'!AQ65</f>
        <v>0</v>
      </c>
      <c r="AR65" s="139">
        <f>'BS (Adjusted)'!AR65-'BS (Base)'!AR65</f>
        <v>0</v>
      </c>
      <c r="AS65" s="139">
        <f>'BS (Adjusted)'!AS65-'BS (Base)'!AS65</f>
        <v>0</v>
      </c>
      <c r="AT65" s="309">
        <f>'BS (Adjusted)'!AT65-'BS (Base)'!AT65</f>
        <v>0</v>
      </c>
      <c r="AU65" s="309">
        <f>'BS (Adjusted)'!AU65-'BS (Base)'!AU65</f>
        <v>0</v>
      </c>
      <c r="AV65" s="17">
        <f>'BS (Adjusted)'!AV65-'BS (Base)'!AV65</f>
        <v>0</v>
      </c>
    </row>
    <row r="66" spans="2:48" outlineLevel="1" x14ac:dyDescent="0.3">
      <c r="B66" s="180" t="s">
        <v>327</v>
      </c>
      <c r="C66" s="44"/>
      <c r="D66" s="139">
        <f>'BS (Adjusted)'!D66-'BS (Base)'!D66</f>
        <v>0</v>
      </c>
      <c r="E66" s="139">
        <f>'BS (Adjusted)'!E66-'BS (Base)'!E66</f>
        <v>0</v>
      </c>
      <c r="F66" s="309">
        <f>'BS (Adjusted)'!F66-'BS (Base)'!F66</f>
        <v>0</v>
      </c>
      <c r="G66" s="309">
        <f>'BS (Adjusted)'!G66-'BS (Base)'!G66</f>
        <v>0</v>
      </c>
      <c r="H66" s="387">
        <f>'BS (Adjusted)'!H66-'BS (Base)'!H66</f>
        <v>0</v>
      </c>
      <c r="I66" s="139">
        <f>'BS (Adjusted)'!I66-'BS (Base)'!I66</f>
        <v>0</v>
      </c>
      <c r="J66" s="139">
        <f>'BS (Adjusted)'!J66-'BS (Base)'!J66</f>
        <v>0</v>
      </c>
      <c r="K66" s="309">
        <f>'BS (Adjusted)'!K66-'BS (Base)'!K66</f>
        <v>0</v>
      </c>
      <c r="L66" s="309">
        <f>'BS (Adjusted)'!L66-'BS (Base)'!L66</f>
        <v>0</v>
      </c>
      <c r="M66" s="387">
        <f>'BS (Adjusted)'!M66-'BS (Base)'!M66</f>
        <v>0</v>
      </c>
      <c r="N66" s="139">
        <f>'BS (Adjusted)'!N66-'BS (Base)'!N66</f>
        <v>0</v>
      </c>
      <c r="O66" s="139">
        <f>'BS (Adjusted)'!O66-'BS (Base)'!O66</f>
        <v>0</v>
      </c>
      <c r="P66" s="309">
        <f>'BS (Adjusted)'!P66-'BS (Base)'!P66</f>
        <v>0</v>
      </c>
      <c r="Q66" s="309">
        <f>'BS (Adjusted)'!Q66-'BS (Base)'!Q66</f>
        <v>0</v>
      </c>
      <c r="R66" s="387">
        <f>'BS (Adjusted)'!R66-'BS (Base)'!R66</f>
        <v>0</v>
      </c>
      <c r="S66" s="139">
        <f>'BS (Adjusted)'!S66-'BS (Base)'!S66</f>
        <v>0</v>
      </c>
      <c r="T66" s="139">
        <f>'BS (Adjusted)'!T66-'BS (Base)'!T66</f>
        <v>0</v>
      </c>
      <c r="U66" s="309">
        <f>'BS (Adjusted)'!U66-'BS (Base)'!U66</f>
        <v>0</v>
      </c>
      <c r="V66" s="309">
        <f>'BS (Adjusted)'!V66-'BS (Base)'!V66</f>
        <v>0</v>
      </c>
      <c r="W66" s="388">
        <f>'BS (Adjusted)'!W66-'BS (Base)'!W66</f>
        <v>0</v>
      </c>
      <c r="X66" s="139">
        <f>'BS (Adjusted)'!X66-'BS (Base)'!X66</f>
        <v>0</v>
      </c>
      <c r="Y66" s="179">
        <f>'BS (Adjusted)'!Y66-'BS (Base)'!Y66</f>
        <v>0</v>
      </c>
      <c r="Z66" s="179">
        <f>'BS (Adjusted)'!Z66-'BS (Base)'!Z66</f>
        <v>0</v>
      </c>
      <c r="AA66" s="310">
        <f>'BS (Adjusted)'!AA66-'BS (Base)'!AA66</f>
        <v>0</v>
      </c>
      <c r="AB66" s="388">
        <f>'BS (Adjusted)'!AB66-'BS (Base)'!AB66</f>
        <v>0</v>
      </c>
      <c r="AC66" s="139">
        <f>'BS (Adjusted)'!AC66-'BS (Base)'!AC66</f>
        <v>0</v>
      </c>
      <c r="AD66" s="139">
        <f>'BS (Adjusted)'!AD66-'BS (Base)'!AD66</f>
        <v>0</v>
      </c>
      <c r="AE66" s="309">
        <f>'BS (Adjusted)'!AE66-'BS (Base)'!AE66</f>
        <v>0</v>
      </c>
      <c r="AF66" s="309">
        <f>'BS (Adjusted)'!AF66-'BS (Base)'!AF66</f>
        <v>0</v>
      </c>
      <c r="AG66" s="388">
        <f>'BS (Adjusted)'!AG66-'BS (Base)'!AG66</f>
        <v>0</v>
      </c>
      <c r="AH66" s="139">
        <f>'BS (Adjusted)'!AH66-'BS (Base)'!AH66</f>
        <v>0</v>
      </c>
      <c r="AI66" s="139">
        <f>'BS (Adjusted)'!AI66-'BS (Base)'!AI66</f>
        <v>0</v>
      </c>
      <c r="AJ66" s="309">
        <f>'BS (Adjusted)'!AJ66-'BS (Base)'!AJ66</f>
        <v>0</v>
      </c>
      <c r="AK66" s="309">
        <f>'BS (Adjusted)'!AK66-'BS (Base)'!AK66</f>
        <v>0</v>
      </c>
      <c r="AL66" s="388">
        <f>'BS (Adjusted)'!AL66-'BS (Base)'!AL66</f>
        <v>0</v>
      </c>
      <c r="AM66" s="139">
        <f>'BS (Adjusted)'!AM66-'BS (Base)'!AM66</f>
        <v>0</v>
      </c>
      <c r="AN66" s="139">
        <f>'BS (Adjusted)'!AN66-'BS (Base)'!AN66</f>
        <v>0</v>
      </c>
      <c r="AO66" s="309">
        <f>'BS (Adjusted)'!AO66-'BS (Base)'!AO66</f>
        <v>0</v>
      </c>
      <c r="AP66" s="309">
        <f>'BS (Adjusted)'!AP66-'BS (Base)'!AP66</f>
        <v>0</v>
      </c>
      <c r="AQ66" s="388">
        <f>'BS (Adjusted)'!AQ66-'BS (Base)'!AQ66</f>
        <v>0</v>
      </c>
      <c r="AR66" s="139">
        <f>'BS (Adjusted)'!AR66-'BS (Base)'!AR66</f>
        <v>0</v>
      </c>
      <c r="AS66" s="139">
        <f>'BS (Adjusted)'!AS66-'BS (Base)'!AS66</f>
        <v>0</v>
      </c>
      <c r="AT66" s="309">
        <f>'BS (Adjusted)'!AT66-'BS (Base)'!AT66</f>
        <v>0</v>
      </c>
      <c r="AU66" s="309">
        <f>'BS (Adjusted)'!AU66-'BS (Base)'!AU66</f>
        <v>0</v>
      </c>
      <c r="AV66" s="388">
        <f>'BS (Adjusted)'!AV66-'BS (Base)'!AV66</f>
        <v>0</v>
      </c>
    </row>
    <row r="67" spans="2:48" outlineLevel="1" x14ac:dyDescent="0.3">
      <c r="B67" s="386" t="s">
        <v>326</v>
      </c>
      <c r="C67" s="312"/>
      <c r="D67" s="313">
        <f>'BS (Adjusted)'!D67-'BS (Base)'!D67</f>
        <v>0</v>
      </c>
      <c r="E67" s="313">
        <f>'BS (Adjusted)'!E67-'BS (Base)'!E67</f>
        <v>0</v>
      </c>
      <c r="F67" s="314">
        <f>'BS (Adjusted)'!F67-'BS (Base)'!F67</f>
        <v>0</v>
      </c>
      <c r="G67" s="314">
        <f>'BS (Adjusted)'!G67-'BS (Base)'!G67</f>
        <v>0</v>
      </c>
      <c r="H67" s="316">
        <f>'BS (Adjusted)'!H67-'BS (Base)'!H67</f>
        <v>0</v>
      </c>
      <c r="I67" s="313">
        <f>'BS (Adjusted)'!I67-'BS (Base)'!I67</f>
        <v>0</v>
      </c>
      <c r="J67" s="313">
        <f>'BS (Adjusted)'!J67-'BS (Base)'!J67</f>
        <v>0</v>
      </c>
      <c r="K67" s="314">
        <f>'BS (Adjusted)'!K67-'BS (Base)'!K67</f>
        <v>0</v>
      </c>
      <c r="L67" s="314">
        <f>'BS (Adjusted)'!L67-'BS (Base)'!L67</f>
        <v>0</v>
      </c>
      <c r="M67" s="316">
        <f>'BS (Adjusted)'!M67-'BS (Base)'!M67</f>
        <v>0</v>
      </c>
      <c r="N67" s="313">
        <f>'BS (Adjusted)'!N67-'BS (Base)'!N67</f>
        <v>0</v>
      </c>
      <c r="O67" s="313">
        <f>'BS (Adjusted)'!O67-'BS (Base)'!O67</f>
        <v>0</v>
      </c>
      <c r="P67" s="314">
        <f>'BS (Adjusted)'!P67-'BS (Base)'!P67</f>
        <v>0</v>
      </c>
      <c r="Q67" s="314">
        <f>'BS (Adjusted)'!Q67-'BS (Base)'!Q67</f>
        <v>0</v>
      </c>
      <c r="R67" s="316">
        <f>'BS (Adjusted)'!R67-'BS (Base)'!R67</f>
        <v>0</v>
      </c>
      <c r="S67" s="313">
        <f>'BS (Adjusted)'!S67-'BS (Base)'!S67</f>
        <v>0</v>
      </c>
      <c r="T67" s="313">
        <f>'BS (Adjusted)'!T67-'BS (Base)'!T67</f>
        <v>0</v>
      </c>
      <c r="U67" s="314">
        <f>'BS (Adjusted)'!U67-'BS (Base)'!U67</f>
        <v>0</v>
      </c>
      <c r="V67" s="314">
        <f>'BS (Adjusted)'!V67-'BS (Base)'!V67</f>
        <v>0</v>
      </c>
      <c r="W67" s="316">
        <f>'BS (Adjusted)'!W67-'BS (Base)'!W67</f>
        <v>0</v>
      </c>
      <c r="X67" s="313">
        <f>'BS (Adjusted)'!X67-'BS (Base)'!X67</f>
        <v>0</v>
      </c>
      <c r="Y67" s="313">
        <f>'BS (Adjusted)'!Y67-'BS (Base)'!Y67</f>
        <v>0</v>
      </c>
      <c r="Z67" s="314">
        <f>'BS (Adjusted)'!Z67-'BS (Base)'!Z67</f>
        <v>0</v>
      </c>
      <c r="AA67" s="315">
        <f>'BS (Adjusted)'!AA67-'BS (Base)'!AA67</f>
        <v>0</v>
      </c>
      <c r="AB67" s="316">
        <f>'BS (Adjusted)'!AB67-'BS (Base)'!AB67</f>
        <v>0</v>
      </c>
      <c r="AC67" s="313">
        <f>'BS (Adjusted)'!AC67-'BS (Base)'!AC67</f>
        <v>0</v>
      </c>
      <c r="AD67" s="313">
        <f>'BS (Adjusted)'!AD67-'BS (Base)'!AD67</f>
        <v>0</v>
      </c>
      <c r="AE67" s="314">
        <f>'BS (Adjusted)'!AE67-'BS (Base)'!AE67</f>
        <v>0</v>
      </c>
      <c r="AF67" s="314">
        <f>'BS (Adjusted)'!AF67-'BS (Base)'!AF67</f>
        <v>0</v>
      </c>
      <c r="AG67" s="316">
        <f>'BS (Adjusted)'!AG67-'BS (Base)'!AG67</f>
        <v>0</v>
      </c>
      <c r="AH67" s="313">
        <f>'BS (Adjusted)'!AH67-'BS (Base)'!AH67</f>
        <v>0</v>
      </c>
      <c r="AI67" s="313">
        <f>'BS (Adjusted)'!AI67-'BS (Base)'!AI67</f>
        <v>0</v>
      </c>
      <c r="AJ67" s="314">
        <f>'BS (Adjusted)'!AJ67-'BS (Base)'!AJ67</f>
        <v>0</v>
      </c>
      <c r="AK67" s="314">
        <f>'BS (Adjusted)'!AK67-'BS (Base)'!AK67</f>
        <v>0</v>
      </c>
      <c r="AL67" s="316">
        <f>'BS (Adjusted)'!AL67-'BS (Base)'!AL67</f>
        <v>0</v>
      </c>
      <c r="AM67" s="313">
        <f>'BS (Adjusted)'!AM67-'BS (Base)'!AM67</f>
        <v>0</v>
      </c>
      <c r="AN67" s="313">
        <f>'BS (Adjusted)'!AN67-'BS (Base)'!AN67</f>
        <v>0</v>
      </c>
      <c r="AO67" s="314">
        <f>'BS (Adjusted)'!AO67-'BS (Base)'!AO67</f>
        <v>0</v>
      </c>
      <c r="AP67" s="314">
        <f>'BS (Adjusted)'!AP67-'BS (Base)'!AP67</f>
        <v>0</v>
      </c>
      <c r="AQ67" s="316">
        <f>'BS (Adjusted)'!AQ67-'BS (Base)'!AQ67</f>
        <v>0</v>
      </c>
      <c r="AR67" s="313">
        <f>'BS (Adjusted)'!AR67-'BS (Base)'!AR67</f>
        <v>0</v>
      </c>
      <c r="AS67" s="313">
        <f>'BS (Adjusted)'!AS67-'BS (Base)'!AS67</f>
        <v>0</v>
      </c>
      <c r="AT67" s="314">
        <f>'BS (Adjusted)'!AT67-'BS (Base)'!AT67</f>
        <v>0</v>
      </c>
      <c r="AU67" s="314">
        <f>'BS (Adjusted)'!AU67-'BS (Base)'!AU67</f>
        <v>0</v>
      </c>
      <c r="AV67" s="316">
        <f>'BS (Adjusted)'!AV67-'BS (Base)'!AV67</f>
        <v>0</v>
      </c>
    </row>
  </sheetData>
  <dataConsolidate/>
  <mergeCells count="27">
    <mergeCell ref="B19:C19"/>
    <mergeCell ref="B3:C3"/>
    <mergeCell ref="B5:C5"/>
    <mergeCell ref="B6:C6"/>
    <mergeCell ref="B8:C8"/>
    <mergeCell ref="B10:C10"/>
    <mergeCell ref="B42:C42"/>
    <mergeCell ref="B20:C20"/>
    <mergeCell ref="B21:C21"/>
    <mergeCell ref="B22:C22"/>
    <mergeCell ref="B23:C23"/>
    <mergeCell ref="B34:C34"/>
    <mergeCell ref="B35:C35"/>
    <mergeCell ref="B36:C36"/>
    <mergeCell ref="B37:C37"/>
    <mergeCell ref="B38:C38"/>
    <mergeCell ref="B39:C39"/>
    <mergeCell ref="B41:C41"/>
    <mergeCell ref="B51:C51"/>
    <mergeCell ref="B52:C52"/>
    <mergeCell ref="B53:C53"/>
    <mergeCell ref="B44:C44"/>
    <mergeCell ref="B45:C45"/>
    <mergeCell ref="B47:C47"/>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C10B9-0EBE-416B-8131-B111D02F01DF}">
  <sheetPr>
    <pageSetUpPr fitToPage="1"/>
  </sheetPr>
  <dimension ref="B1:AV67"/>
  <sheetViews>
    <sheetView showGridLines="0" zoomScaleNormal="100" workbookViewId="0">
      <pane xSplit="3" ySplit="4" topLeftCell="X5" activePane="bottomRight" state="frozen"/>
      <selection activeCell="AF38" sqref="AF38"/>
      <selection pane="topRight" activeCell="AF38" sqref="AF38"/>
      <selection pane="bottomLeft" activeCell="AF38" sqref="AF38"/>
      <selection pane="bottomRight" activeCell="AB5" sqref="AB5"/>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91"/>
      <c r="P1" s="391"/>
      <c r="Q1" s="391"/>
      <c r="R1" s="391"/>
      <c r="S1" s="391"/>
      <c r="T1" s="391"/>
      <c r="U1" s="391"/>
      <c r="V1" s="391"/>
      <c r="W1" s="391"/>
      <c r="X1" s="391"/>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583" t="s">
        <v>266</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3" t="s">
        <v>451</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4" t="s">
        <v>452</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601" t="s">
        <v>267</v>
      </c>
      <c r="C5" s="602"/>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f>'CFS (Adjusted)'!D6-'CFS (Base)'!D6</f>
        <v>0</v>
      </c>
      <c r="E6" s="101">
        <f>'CFS (Adjusted)'!E6-'CFS (Base)'!E6</f>
        <v>0</v>
      </c>
      <c r="F6" s="16">
        <f>'CFS (Adjusted)'!F6-'CFS (Base)'!F6</f>
        <v>0</v>
      </c>
      <c r="G6" s="16">
        <f>'CFS (Adjusted)'!G6-'CFS (Base)'!G6</f>
        <v>0</v>
      </c>
      <c r="H6" s="17">
        <f>'CFS (Adjusted)'!H6-'CFS (Base)'!H6</f>
        <v>0</v>
      </c>
      <c r="I6" s="16">
        <f>'CFS (Adjusted)'!I6-'CFS (Base)'!I6</f>
        <v>0</v>
      </c>
      <c r="J6" s="16">
        <f>'CFS (Adjusted)'!J6-'CFS (Base)'!J6</f>
        <v>0</v>
      </c>
      <c r="K6" s="16">
        <f>'CFS (Adjusted)'!K6-'CFS (Base)'!K6</f>
        <v>0</v>
      </c>
      <c r="L6" s="16">
        <f>'CFS (Adjusted)'!L6-'CFS (Base)'!L6</f>
        <v>0</v>
      </c>
      <c r="M6" s="17">
        <f>'CFS (Adjusted)'!M6-'CFS (Base)'!M6</f>
        <v>0</v>
      </c>
      <c r="N6" s="16">
        <f>'CFS (Adjusted)'!N6-'CFS (Base)'!N6</f>
        <v>0</v>
      </c>
      <c r="O6" s="16">
        <f>'CFS (Adjusted)'!O6-'CFS (Base)'!O6</f>
        <v>0</v>
      </c>
      <c r="P6" s="16">
        <f>'CFS (Adjusted)'!P6-'CFS (Base)'!P6</f>
        <v>0</v>
      </c>
      <c r="Q6" s="16">
        <f>'CFS (Adjusted)'!Q6-'CFS (Base)'!Q6</f>
        <v>0</v>
      </c>
      <c r="R6" s="17">
        <f>'CFS (Adjusted)'!R6-'CFS (Base)'!R6</f>
        <v>0</v>
      </c>
      <c r="S6" s="16">
        <f>'CFS (Adjusted)'!S6-'CFS (Base)'!S6</f>
        <v>0</v>
      </c>
      <c r="T6" s="16">
        <f>'CFS (Adjusted)'!T6-'CFS (Base)'!T6</f>
        <v>0</v>
      </c>
      <c r="U6" s="16">
        <f>'CFS (Adjusted)'!U6-'CFS (Base)'!U6</f>
        <v>0</v>
      </c>
      <c r="V6" s="16">
        <f>'CFS (Adjusted)'!V6-'CFS (Base)'!V6</f>
        <v>0</v>
      </c>
      <c r="W6" s="17">
        <f>'CFS (Adjusted)'!W6-'CFS (Base)'!W6</f>
        <v>0</v>
      </c>
      <c r="X6" s="16">
        <f>'CFS (Adjusted)'!X6-'CFS (Base)'!X6</f>
        <v>0</v>
      </c>
      <c r="Y6" s="16">
        <f>'CFS (Adjusted)'!Y6-'CFS (Base)'!Y6</f>
        <v>0</v>
      </c>
      <c r="Z6" s="16">
        <f>'CFS (Adjusted)'!Z6-'CFS (Base)'!Z6</f>
        <v>0</v>
      </c>
      <c r="AA6" s="16">
        <f>'CFS (Adjusted)'!AA6-'CFS (Base)'!AA6</f>
        <v>0</v>
      </c>
      <c r="AB6" s="17">
        <f>'CFS (Adjusted)'!AB6-'CFS (Base)'!AB6</f>
        <v>0</v>
      </c>
      <c r="AC6" s="16">
        <f>'CFS (Adjusted)'!AC6-'CFS (Base)'!AC6</f>
        <v>0</v>
      </c>
      <c r="AD6" s="16">
        <f>'CFS (Adjusted)'!AD6-'CFS (Base)'!AD6</f>
        <v>0</v>
      </c>
      <c r="AE6" s="16">
        <f>'CFS (Adjusted)'!AE6-'CFS (Base)'!AE6</f>
        <v>0</v>
      </c>
      <c r="AF6" s="16">
        <f>'CFS (Adjusted)'!AF6-'CFS (Base)'!AF6</f>
        <v>0</v>
      </c>
      <c r="AG6" s="17">
        <f>'CFS (Adjusted)'!AG6-'CFS (Base)'!AG6</f>
        <v>0</v>
      </c>
      <c r="AH6" s="16">
        <f>'CFS (Adjusted)'!AH6-'CFS (Base)'!AH6</f>
        <v>0</v>
      </c>
      <c r="AI6" s="16">
        <f>'CFS (Adjusted)'!AI6-'CFS (Base)'!AI6</f>
        <v>0</v>
      </c>
      <c r="AJ6" s="16">
        <f>'CFS (Adjusted)'!AJ6-'CFS (Base)'!AJ6</f>
        <v>0</v>
      </c>
      <c r="AK6" s="16">
        <f>'CFS (Adjusted)'!AK6-'CFS (Base)'!AK6</f>
        <v>0</v>
      </c>
      <c r="AL6" s="17">
        <f>'CFS (Adjusted)'!AL6-'CFS (Base)'!AL6</f>
        <v>0</v>
      </c>
      <c r="AM6" s="16">
        <f>'CFS (Adjusted)'!AM6-'CFS (Base)'!AM6</f>
        <v>0</v>
      </c>
      <c r="AN6" s="16">
        <f>'CFS (Adjusted)'!AN6-'CFS (Base)'!AN6</f>
        <v>0</v>
      </c>
      <c r="AO6" s="16">
        <f>'CFS (Adjusted)'!AO6-'CFS (Base)'!AO6</f>
        <v>0</v>
      </c>
      <c r="AP6" s="16">
        <f>'CFS (Adjusted)'!AP6-'CFS (Base)'!AP6</f>
        <v>0</v>
      </c>
      <c r="AQ6" s="17">
        <f>'CFS (Adjusted)'!AQ6-'CFS (Base)'!AQ6</f>
        <v>0</v>
      </c>
      <c r="AR6" s="16">
        <f>'CFS (Adjusted)'!AR6-'CFS (Base)'!AR6</f>
        <v>0</v>
      </c>
      <c r="AS6" s="16">
        <f>'CFS (Adjusted)'!AS6-'CFS (Base)'!AS6</f>
        <v>0</v>
      </c>
      <c r="AT6" s="16">
        <f>'CFS (Adjusted)'!AT6-'CFS (Base)'!AT6</f>
        <v>0</v>
      </c>
      <c r="AU6" s="16">
        <f>'CFS (Adjusted)'!AU6-'CFS (Base)'!AU6</f>
        <v>0</v>
      </c>
      <c r="AV6" s="17">
        <f>'CFS (Adjusted)'!AV6-'CFS (Base)'!AV6</f>
        <v>0</v>
      </c>
    </row>
    <row r="7" spans="2:48" outlineLevel="1" x14ac:dyDescent="0.3">
      <c r="B7" s="308" t="s">
        <v>269</v>
      </c>
      <c r="C7" s="44"/>
      <c r="D7" s="16">
        <f>'CFS (Adjusted)'!D7-'CFS (Base)'!D7</f>
        <v>0</v>
      </c>
      <c r="E7" s="16">
        <f>'CFS (Adjusted)'!E7-'CFS (Base)'!E7</f>
        <v>0</v>
      </c>
      <c r="F7" s="16">
        <f>'CFS (Adjusted)'!F7-'CFS (Base)'!F7</f>
        <v>0</v>
      </c>
      <c r="G7" s="16">
        <f>'CFS (Adjusted)'!G7-'CFS (Base)'!G7</f>
        <v>0</v>
      </c>
      <c r="H7" s="17">
        <f>'CFS (Adjusted)'!H7-'CFS (Base)'!H7</f>
        <v>0</v>
      </c>
      <c r="I7" s="16">
        <f>'CFS (Adjusted)'!I7-'CFS (Base)'!I7</f>
        <v>0</v>
      </c>
      <c r="J7" s="16">
        <f>'CFS (Adjusted)'!J7-'CFS (Base)'!J7</f>
        <v>0</v>
      </c>
      <c r="K7" s="16">
        <f>'CFS (Adjusted)'!K7-'CFS (Base)'!K7</f>
        <v>0</v>
      </c>
      <c r="L7" s="16">
        <f>'CFS (Adjusted)'!L7-'CFS (Base)'!L7</f>
        <v>0</v>
      </c>
      <c r="M7" s="17">
        <f>'CFS (Adjusted)'!M7-'CFS (Base)'!M7</f>
        <v>0</v>
      </c>
      <c r="N7" s="16">
        <f>'CFS (Adjusted)'!N7-'CFS (Base)'!N7</f>
        <v>0</v>
      </c>
      <c r="O7" s="16">
        <f>'CFS (Adjusted)'!O7-'CFS (Base)'!O7</f>
        <v>0</v>
      </c>
      <c r="P7" s="16">
        <f>'CFS (Adjusted)'!P7-'CFS (Base)'!P7</f>
        <v>0</v>
      </c>
      <c r="Q7" s="16">
        <f>'CFS (Adjusted)'!Q7-'CFS (Base)'!Q7</f>
        <v>0</v>
      </c>
      <c r="R7" s="17">
        <f>'CFS (Adjusted)'!R7-'CFS (Base)'!R7</f>
        <v>0</v>
      </c>
      <c r="S7" s="16">
        <f>'CFS (Adjusted)'!S7-'CFS (Base)'!S7</f>
        <v>0</v>
      </c>
      <c r="T7" s="16">
        <f>'CFS (Adjusted)'!T7-'CFS (Base)'!T7</f>
        <v>0</v>
      </c>
      <c r="U7" s="16">
        <f>'CFS (Adjusted)'!U7-'CFS (Base)'!U7</f>
        <v>0</v>
      </c>
      <c r="V7" s="16">
        <f>'CFS (Adjusted)'!V7-'CFS (Base)'!V7</f>
        <v>0</v>
      </c>
      <c r="W7" s="17">
        <f>'CFS (Adjusted)'!W7-'CFS (Base)'!W7</f>
        <v>0</v>
      </c>
      <c r="X7" s="16">
        <f>'CFS (Adjusted)'!X7-'CFS (Base)'!X7</f>
        <v>0</v>
      </c>
      <c r="Y7" s="16">
        <f>'CFS (Adjusted)'!Y7-'CFS (Base)'!Y7</f>
        <v>0</v>
      </c>
      <c r="Z7" s="16">
        <f>'CFS (Adjusted)'!Z7-'CFS (Base)'!Z7</f>
        <v>0</v>
      </c>
      <c r="AA7" s="16">
        <f>'CFS (Adjusted)'!AA7-'CFS (Base)'!AA7</f>
        <v>0</v>
      </c>
      <c r="AB7" s="17">
        <f>'CFS (Adjusted)'!AB7-'CFS (Base)'!AB7</f>
        <v>0</v>
      </c>
      <c r="AC7" s="16">
        <f>'CFS (Adjusted)'!AC7-'CFS (Base)'!AC7</f>
        <v>0</v>
      </c>
      <c r="AD7" s="16">
        <f>'CFS (Adjusted)'!AD7-'CFS (Base)'!AD7</f>
        <v>0</v>
      </c>
      <c r="AE7" s="16">
        <f>'CFS (Adjusted)'!AE7-'CFS (Base)'!AE7</f>
        <v>0</v>
      </c>
      <c r="AF7" s="16">
        <f>'CFS (Adjusted)'!AF7-'CFS (Base)'!AF7</f>
        <v>0</v>
      </c>
      <c r="AG7" s="17">
        <f>'CFS (Adjusted)'!AG7-'CFS (Base)'!AG7</f>
        <v>0</v>
      </c>
      <c r="AH7" s="16">
        <f>'CFS (Adjusted)'!AH7-'CFS (Base)'!AH7</f>
        <v>0</v>
      </c>
      <c r="AI7" s="16">
        <f>'CFS (Adjusted)'!AI7-'CFS (Base)'!AI7</f>
        <v>0</v>
      </c>
      <c r="AJ7" s="16">
        <f>'CFS (Adjusted)'!AJ7-'CFS (Base)'!AJ7</f>
        <v>0</v>
      </c>
      <c r="AK7" s="16">
        <f>'CFS (Adjusted)'!AK7-'CFS (Base)'!AK7</f>
        <v>0</v>
      </c>
      <c r="AL7" s="17">
        <f>'CFS (Adjusted)'!AL7-'CFS (Base)'!AL7</f>
        <v>0</v>
      </c>
      <c r="AM7" s="16">
        <f>'CFS (Adjusted)'!AM7-'CFS (Base)'!AM7</f>
        <v>0</v>
      </c>
      <c r="AN7" s="16">
        <f>'CFS (Adjusted)'!AN7-'CFS (Base)'!AN7</f>
        <v>0</v>
      </c>
      <c r="AO7" s="16">
        <f>'CFS (Adjusted)'!AO7-'CFS (Base)'!AO7</f>
        <v>0</v>
      </c>
      <c r="AP7" s="16">
        <f>'CFS (Adjusted)'!AP7-'CFS (Base)'!AP7</f>
        <v>0</v>
      </c>
      <c r="AQ7" s="17">
        <f>'CFS (Adjusted)'!AQ7-'CFS (Base)'!AQ7</f>
        <v>0</v>
      </c>
      <c r="AR7" s="16">
        <f>'CFS (Adjusted)'!AR7-'CFS (Base)'!AR7</f>
        <v>0</v>
      </c>
      <c r="AS7" s="16">
        <f>'CFS (Adjusted)'!AS7-'CFS (Base)'!AS7</f>
        <v>0</v>
      </c>
      <c r="AT7" s="16">
        <f>'CFS (Adjusted)'!AT7-'CFS (Base)'!AT7</f>
        <v>0</v>
      </c>
      <c r="AU7" s="16">
        <f>'CFS (Adjusted)'!AU7-'CFS (Base)'!AU7</f>
        <v>0</v>
      </c>
      <c r="AV7" s="17">
        <f>'CFS (Adjusted)'!AV7-'CFS (Base)'!AV7</f>
        <v>0</v>
      </c>
    </row>
    <row r="8" spans="2:48" outlineLevel="1" x14ac:dyDescent="0.3">
      <c r="B8" s="308" t="s">
        <v>222</v>
      </c>
      <c r="C8" s="44"/>
      <c r="D8" s="16">
        <f>'CFS (Adjusted)'!D8-'CFS (Base)'!D8</f>
        <v>0</v>
      </c>
      <c r="E8" s="16">
        <f>'CFS (Adjusted)'!E8-'CFS (Base)'!E8</f>
        <v>0</v>
      </c>
      <c r="F8" s="16">
        <f>'CFS (Adjusted)'!F8-'CFS (Base)'!F8</f>
        <v>0</v>
      </c>
      <c r="G8" s="101">
        <f>'CFS (Adjusted)'!G8-'CFS (Base)'!G8</f>
        <v>0</v>
      </c>
      <c r="H8" s="17">
        <f>'CFS (Adjusted)'!H8-'CFS (Base)'!H8</f>
        <v>0</v>
      </c>
      <c r="I8" s="16">
        <f>'CFS (Adjusted)'!I8-'CFS (Base)'!I8</f>
        <v>0</v>
      </c>
      <c r="J8" s="16">
        <f>'CFS (Adjusted)'!J8-'CFS (Base)'!J8</f>
        <v>0</v>
      </c>
      <c r="K8" s="16">
        <f>'CFS (Adjusted)'!K8-'CFS (Base)'!K8</f>
        <v>0</v>
      </c>
      <c r="L8" s="101">
        <f>'CFS (Adjusted)'!L8-'CFS (Base)'!L8</f>
        <v>0</v>
      </c>
      <c r="M8" s="17">
        <f>'CFS (Adjusted)'!M8-'CFS (Base)'!M8</f>
        <v>0</v>
      </c>
      <c r="N8" s="16">
        <f>'CFS (Adjusted)'!N8-'CFS (Base)'!N8</f>
        <v>0</v>
      </c>
      <c r="O8" s="16">
        <f>'CFS (Adjusted)'!O8-'CFS (Base)'!O8</f>
        <v>0</v>
      </c>
      <c r="P8" s="16">
        <f>'CFS (Adjusted)'!P8-'CFS (Base)'!P8</f>
        <v>0</v>
      </c>
      <c r="Q8" s="101">
        <f>'CFS (Adjusted)'!Q8-'CFS (Base)'!Q8</f>
        <v>0</v>
      </c>
      <c r="R8" s="17">
        <f>'CFS (Adjusted)'!R8-'CFS (Base)'!R8</f>
        <v>0</v>
      </c>
      <c r="S8" s="16">
        <f>'CFS (Adjusted)'!S8-'CFS (Base)'!S8</f>
        <v>0</v>
      </c>
      <c r="T8" s="16">
        <f>'CFS (Adjusted)'!T8-'CFS (Base)'!T8</f>
        <v>0</v>
      </c>
      <c r="U8" s="16">
        <f>'CFS (Adjusted)'!U8-'CFS (Base)'!U8</f>
        <v>0</v>
      </c>
      <c r="V8" s="16">
        <f>'CFS (Adjusted)'!V8-'CFS (Base)'!V8</f>
        <v>0</v>
      </c>
      <c r="W8" s="17">
        <f>'CFS (Adjusted)'!W8-'CFS (Base)'!W8</f>
        <v>0</v>
      </c>
      <c r="X8" s="16">
        <f>'CFS (Adjusted)'!X8-'CFS (Base)'!X8</f>
        <v>0</v>
      </c>
      <c r="Y8" s="16">
        <f>'CFS (Adjusted)'!Y8-'CFS (Base)'!Y8</f>
        <v>0</v>
      </c>
      <c r="Z8" s="16">
        <f>'CFS (Adjusted)'!Z8-'CFS (Base)'!Z8</f>
        <v>0</v>
      </c>
      <c r="AA8" s="16">
        <f>'CFS (Adjusted)'!AA8-'CFS (Base)'!AA8</f>
        <v>0</v>
      </c>
      <c r="AB8" s="17">
        <f>'CFS (Adjusted)'!AB8-'CFS (Base)'!AB8</f>
        <v>0</v>
      </c>
      <c r="AC8" s="16">
        <f>'CFS (Adjusted)'!AC8-'CFS (Base)'!AC8</f>
        <v>0</v>
      </c>
      <c r="AD8" s="16">
        <f>'CFS (Adjusted)'!AD8-'CFS (Base)'!AD8</f>
        <v>0</v>
      </c>
      <c r="AE8" s="16">
        <f>'CFS (Adjusted)'!AE8-'CFS (Base)'!AE8</f>
        <v>0</v>
      </c>
      <c r="AF8" s="16">
        <f>'CFS (Adjusted)'!AF8-'CFS (Base)'!AF8</f>
        <v>0</v>
      </c>
      <c r="AG8" s="17">
        <f>'CFS (Adjusted)'!AG8-'CFS (Base)'!AG8</f>
        <v>0</v>
      </c>
      <c r="AH8" s="16">
        <f>'CFS (Adjusted)'!AH8-'CFS (Base)'!AH8</f>
        <v>0</v>
      </c>
      <c r="AI8" s="16">
        <f>'CFS (Adjusted)'!AI8-'CFS (Base)'!AI8</f>
        <v>0</v>
      </c>
      <c r="AJ8" s="16">
        <f>'CFS (Adjusted)'!AJ8-'CFS (Base)'!AJ8</f>
        <v>0</v>
      </c>
      <c r="AK8" s="16">
        <f>'CFS (Adjusted)'!AK8-'CFS (Base)'!AK8</f>
        <v>0</v>
      </c>
      <c r="AL8" s="17">
        <f>'CFS (Adjusted)'!AL8-'CFS (Base)'!AL8</f>
        <v>0</v>
      </c>
      <c r="AM8" s="16">
        <f>'CFS (Adjusted)'!AM8-'CFS (Base)'!AM8</f>
        <v>0</v>
      </c>
      <c r="AN8" s="16">
        <f>'CFS (Adjusted)'!AN8-'CFS (Base)'!AN8</f>
        <v>0</v>
      </c>
      <c r="AO8" s="16">
        <f>'CFS (Adjusted)'!AO8-'CFS (Base)'!AO8</f>
        <v>0</v>
      </c>
      <c r="AP8" s="16">
        <f>'CFS (Adjusted)'!AP8-'CFS (Base)'!AP8</f>
        <v>0</v>
      </c>
      <c r="AQ8" s="17">
        <f>'CFS (Adjusted)'!AQ8-'CFS (Base)'!AQ8</f>
        <v>0</v>
      </c>
      <c r="AR8" s="16">
        <f>'CFS (Adjusted)'!AR8-'CFS (Base)'!AR8</f>
        <v>0</v>
      </c>
      <c r="AS8" s="16">
        <f>'CFS (Adjusted)'!AS8-'CFS (Base)'!AS8</f>
        <v>0</v>
      </c>
      <c r="AT8" s="16">
        <f>'CFS (Adjusted)'!AT8-'CFS (Base)'!AT8</f>
        <v>0</v>
      </c>
      <c r="AU8" s="16">
        <f>'CFS (Adjusted)'!AU8-'CFS (Base)'!AU8</f>
        <v>0</v>
      </c>
      <c r="AV8" s="17">
        <f>'CFS (Adjusted)'!AV8-'CFS (Base)'!AV8</f>
        <v>0</v>
      </c>
    </row>
    <row r="9" spans="2:48" outlineLevel="1" x14ac:dyDescent="0.3">
      <c r="B9" s="308" t="s">
        <v>270</v>
      </c>
      <c r="C9" s="44"/>
      <c r="D9" s="16">
        <f>'CFS (Adjusted)'!D9-'CFS (Base)'!D9</f>
        <v>0</v>
      </c>
      <c r="E9" s="16">
        <f>'CFS (Adjusted)'!E9-'CFS (Base)'!E9</f>
        <v>0</v>
      </c>
      <c r="F9" s="16">
        <f>'CFS (Adjusted)'!F9-'CFS (Base)'!F9</f>
        <v>0</v>
      </c>
      <c r="G9" s="101">
        <f>'CFS (Adjusted)'!G9-'CFS (Base)'!G9</f>
        <v>0</v>
      </c>
      <c r="H9" s="17">
        <f>'CFS (Adjusted)'!H9-'CFS (Base)'!H9</f>
        <v>0</v>
      </c>
      <c r="I9" s="16">
        <f>'CFS (Adjusted)'!I9-'CFS (Base)'!I9</f>
        <v>0</v>
      </c>
      <c r="J9" s="16">
        <f>'CFS (Adjusted)'!J9-'CFS (Base)'!J9</f>
        <v>0</v>
      </c>
      <c r="K9" s="16">
        <f>'CFS (Adjusted)'!K9-'CFS (Base)'!K9</f>
        <v>0</v>
      </c>
      <c r="L9" s="101">
        <f>'CFS (Adjusted)'!L9-'CFS (Base)'!L9</f>
        <v>0</v>
      </c>
      <c r="M9" s="17">
        <f>'CFS (Adjusted)'!M9-'CFS (Base)'!M9</f>
        <v>0</v>
      </c>
      <c r="N9" s="16">
        <f>'CFS (Adjusted)'!N9-'CFS (Base)'!N9</f>
        <v>0</v>
      </c>
      <c r="O9" s="16">
        <f>'CFS (Adjusted)'!O9-'CFS (Base)'!O9</f>
        <v>0</v>
      </c>
      <c r="P9" s="16">
        <f>'CFS (Adjusted)'!P9-'CFS (Base)'!P9</f>
        <v>0</v>
      </c>
      <c r="Q9" s="101">
        <f>'CFS (Adjusted)'!Q9-'CFS (Base)'!Q9</f>
        <v>0</v>
      </c>
      <c r="R9" s="17">
        <f>'CFS (Adjusted)'!R9-'CFS (Base)'!R9</f>
        <v>0</v>
      </c>
      <c r="S9" s="16">
        <f>'CFS (Adjusted)'!S9-'CFS (Base)'!S9</f>
        <v>0</v>
      </c>
      <c r="T9" s="16">
        <f>'CFS (Adjusted)'!T9-'CFS (Base)'!T9</f>
        <v>0</v>
      </c>
      <c r="U9" s="16">
        <f>'CFS (Adjusted)'!U9-'CFS (Base)'!U9</f>
        <v>0</v>
      </c>
      <c r="V9" s="16">
        <f>'CFS (Adjusted)'!V9-'CFS (Base)'!V9</f>
        <v>0</v>
      </c>
      <c r="W9" s="17">
        <f>'CFS (Adjusted)'!W9-'CFS (Base)'!W9</f>
        <v>0</v>
      </c>
      <c r="X9" s="16">
        <f>'CFS (Adjusted)'!X9-'CFS (Base)'!X9</f>
        <v>0</v>
      </c>
      <c r="Y9" s="16">
        <f>'CFS (Adjusted)'!Y9-'CFS (Base)'!Y9</f>
        <v>0</v>
      </c>
      <c r="Z9" s="16">
        <f>'CFS (Adjusted)'!Z9-'CFS (Base)'!Z9</f>
        <v>0</v>
      </c>
      <c r="AA9" s="16">
        <f>'CFS (Adjusted)'!AA9-'CFS (Base)'!AA9</f>
        <v>0</v>
      </c>
      <c r="AB9" s="17">
        <f>'CFS (Adjusted)'!AB9-'CFS (Base)'!AB9</f>
        <v>0</v>
      </c>
      <c r="AC9" s="16">
        <f>'CFS (Adjusted)'!AC9-'CFS (Base)'!AC9</f>
        <v>0</v>
      </c>
      <c r="AD9" s="16">
        <f>'CFS (Adjusted)'!AD9-'CFS (Base)'!AD9</f>
        <v>0</v>
      </c>
      <c r="AE9" s="16">
        <f>'CFS (Adjusted)'!AE9-'CFS (Base)'!AE9</f>
        <v>0</v>
      </c>
      <c r="AF9" s="16">
        <f>'CFS (Adjusted)'!AF9-'CFS (Base)'!AF9</f>
        <v>0</v>
      </c>
      <c r="AG9" s="17">
        <f>'CFS (Adjusted)'!AG9-'CFS (Base)'!AG9</f>
        <v>0</v>
      </c>
      <c r="AH9" s="16">
        <f>'CFS (Adjusted)'!AH9-'CFS (Base)'!AH9</f>
        <v>0</v>
      </c>
      <c r="AI9" s="16">
        <f>'CFS (Adjusted)'!AI9-'CFS (Base)'!AI9</f>
        <v>0</v>
      </c>
      <c r="AJ9" s="16">
        <f>'CFS (Adjusted)'!AJ9-'CFS (Base)'!AJ9</f>
        <v>0</v>
      </c>
      <c r="AK9" s="16">
        <f>'CFS (Adjusted)'!AK9-'CFS (Base)'!AK9</f>
        <v>0</v>
      </c>
      <c r="AL9" s="17">
        <f>'CFS (Adjusted)'!AL9-'CFS (Base)'!AL9</f>
        <v>0</v>
      </c>
      <c r="AM9" s="16">
        <f>'CFS (Adjusted)'!AM9-'CFS (Base)'!AM9</f>
        <v>0</v>
      </c>
      <c r="AN9" s="16">
        <f>'CFS (Adjusted)'!AN9-'CFS (Base)'!AN9</f>
        <v>0</v>
      </c>
      <c r="AO9" s="16">
        <f>'CFS (Adjusted)'!AO9-'CFS (Base)'!AO9</f>
        <v>0</v>
      </c>
      <c r="AP9" s="16">
        <f>'CFS (Adjusted)'!AP9-'CFS (Base)'!AP9</f>
        <v>0</v>
      </c>
      <c r="AQ9" s="17">
        <f>'CFS (Adjusted)'!AQ9-'CFS (Base)'!AQ9</f>
        <v>0</v>
      </c>
      <c r="AR9" s="16">
        <f>'CFS (Adjusted)'!AR9-'CFS (Base)'!AR9</f>
        <v>0</v>
      </c>
      <c r="AS9" s="16">
        <f>'CFS (Adjusted)'!AS9-'CFS (Base)'!AS9</f>
        <v>0</v>
      </c>
      <c r="AT9" s="16">
        <f>'CFS (Adjusted)'!AT9-'CFS (Base)'!AT9</f>
        <v>0</v>
      </c>
      <c r="AU9" s="16">
        <f>'CFS (Adjusted)'!AU9-'CFS (Base)'!AU9</f>
        <v>0</v>
      </c>
      <c r="AV9" s="17">
        <f>'CFS (Adjusted)'!AV9-'CFS (Base)'!AV9</f>
        <v>0</v>
      </c>
    </row>
    <row r="10" spans="2:48" outlineLevel="1" x14ac:dyDescent="0.3">
      <c r="B10" s="308" t="s">
        <v>271</v>
      </c>
      <c r="C10" s="44"/>
      <c r="D10" s="16">
        <f>'CFS (Adjusted)'!D10-'CFS (Base)'!D10</f>
        <v>0</v>
      </c>
      <c r="E10" s="16">
        <f>'CFS (Adjusted)'!E10-'CFS (Base)'!E10</f>
        <v>0</v>
      </c>
      <c r="F10" s="16">
        <f>'CFS (Adjusted)'!F10-'CFS (Base)'!F10</f>
        <v>0</v>
      </c>
      <c r="G10" s="101">
        <f>'CFS (Adjusted)'!G10-'CFS (Base)'!G10</f>
        <v>0</v>
      </c>
      <c r="H10" s="17">
        <f>'CFS (Adjusted)'!H10-'CFS (Base)'!H10</f>
        <v>0</v>
      </c>
      <c r="I10" s="16">
        <f>'CFS (Adjusted)'!I10-'CFS (Base)'!I10</f>
        <v>0</v>
      </c>
      <c r="J10" s="16">
        <f>'CFS (Adjusted)'!J10-'CFS (Base)'!J10</f>
        <v>0</v>
      </c>
      <c r="K10" s="16">
        <f>'CFS (Adjusted)'!K10-'CFS (Base)'!K10</f>
        <v>0</v>
      </c>
      <c r="L10" s="101">
        <f>'CFS (Adjusted)'!L10-'CFS (Base)'!L10</f>
        <v>0</v>
      </c>
      <c r="M10" s="17">
        <f>'CFS (Adjusted)'!M10-'CFS (Base)'!M10</f>
        <v>0</v>
      </c>
      <c r="N10" s="16">
        <f>'CFS (Adjusted)'!N10-'CFS (Base)'!N10</f>
        <v>0</v>
      </c>
      <c r="O10" s="16">
        <f>'CFS (Adjusted)'!O10-'CFS (Base)'!O10</f>
        <v>0</v>
      </c>
      <c r="P10" s="16">
        <f>'CFS (Adjusted)'!P10-'CFS (Base)'!P10</f>
        <v>0</v>
      </c>
      <c r="Q10" s="101">
        <f>'CFS (Adjusted)'!Q10-'CFS (Base)'!Q10</f>
        <v>0</v>
      </c>
      <c r="R10" s="17">
        <f>'CFS (Adjusted)'!R10-'CFS (Base)'!R10</f>
        <v>0</v>
      </c>
      <c r="S10" s="16">
        <f>'CFS (Adjusted)'!S10-'CFS (Base)'!S10</f>
        <v>0</v>
      </c>
      <c r="T10" s="16">
        <f>'CFS (Adjusted)'!T10-'CFS (Base)'!T10</f>
        <v>0</v>
      </c>
      <c r="U10" s="16">
        <f>'CFS (Adjusted)'!U10-'CFS (Base)'!U10</f>
        <v>0</v>
      </c>
      <c r="V10" s="16">
        <f>'CFS (Adjusted)'!V10-'CFS (Base)'!V10</f>
        <v>0</v>
      </c>
      <c r="W10" s="17">
        <f>'CFS (Adjusted)'!W10-'CFS (Base)'!W10</f>
        <v>0</v>
      </c>
      <c r="X10" s="16">
        <f>'CFS (Adjusted)'!X10-'CFS (Base)'!X10</f>
        <v>0</v>
      </c>
      <c r="Y10" s="16">
        <f>'CFS (Adjusted)'!Y10-'CFS (Base)'!Y10</f>
        <v>0</v>
      </c>
      <c r="Z10" s="16">
        <f>'CFS (Adjusted)'!Z10-'CFS (Base)'!Z10</f>
        <v>0</v>
      </c>
      <c r="AA10" s="16">
        <f>'CFS (Adjusted)'!AA10-'CFS (Base)'!AA10</f>
        <v>0</v>
      </c>
      <c r="AB10" s="17">
        <f>'CFS (Adjusted)'!AB10-'CFS (Base)'!AB10</f>
        <v>0</v>
      </c>
      <c r="AC10" s="16">
        <f>'CFS (Adjusted)'!AC10-'CFS (Base)'!AC10</f>
        <v>0</v>
      </c>
      <c r="AD10" s="16">
        <f>'CFS (Adjusted)'!AD10-'CFS (Base)'!AD10</f>
        <v>0</v>
      </c>
      <c r="AE10" s="16">
        <f>'CFS (Adjusted)'!AE10-'CFS (Base)'!AE10</f>
        <v>0</v>
      </c>
      <c r="AF10" s="16">
        <f>'CFS (Adjusted)'!AF10-'CFS (Base)'!AF10</f>
        <v>0</v>
      </c>
      <c r="AG10" s="17">
        <f>'CFS (Adjusted)'!AG10-'CFS (Base)'!AG10</f>
        <v>0</v>
      </c>
      <c r="AH10" s="16">
        <f>'CFS (Adjusted)'!AH10-'CFS (Base)'!AH10</f>
        <v>0</v>
      </c>
      <c r="AI10" s="16">
        <f>'CFS (Adjusted)'!AI10-'CFS (Base)'!AI10</f>
        <v>0</v>
      </c>
      <c r="AJ10" s="16">
        <f>'CFS (Adjusted)'!AJ10-'CFS (Base)'!AJ10</f>
        <v>0</v>
      </c>
      <c r="AK10" s="16">
        <f>'CFS (Adjusted)'!AK10-'CFS (Base)'!AK10</f>
        <v>0</v>
      </c>
      <c r="AL10" s="17">
        <f>'CFS (Adjusted)'!AL10-'CFS (Base)'!AL10</f>
        <v>0</v>
      </c>
      <c r="AM10" s="16">
        <f>'CFS (Adjusted)'!AM10-'CFS (Base)'!AM10</f>
        <v>0</v>
      </c>
      <c r="AN10" s="16">
        <f>'CFS (Adjusted)'!AN10-'CFS (Base)'!AN10</f>
        <v>0</v>
      </c>
      <c r="AO10" s="16">
        <f>'CFS (Adjusted)'!AO10-'CFS (Base)'!AO10</f>
        <v>0</v>
      </c>
      <c r="AP10" s="16">
        <f>'CFS (Adjusted)'!AP10-'CFS (Base)'!AP10</f>
        <v>0</v>
      </c>
      <c r="AQ10" s="17">
        <f>'CFS (Adjusted)'!AQ10-'CFS (Base)'!AQ10</f>
        <v>0</v>
      </c>
      <c r="AR10" s="16">
        <f>'CFS (Adjusted)'!AR10-'CFS (Base)'!AR10</f>
        <v>0</v>
      </c>
      <c r="AS10" s="16">
        <f>'CFS (Adjusted)'!AS10-'CFS (Base)'!AS10</f>
        <v>0</v>
      </c>
      <c r="AT10" s="16">
        <f>'CFS (Adjusted)'!AT10-'CFS (Base)'!AT10</f>
        <v>0</v>
      </c>
      <c r="AU10" s="16">
        <f>'CFS (Adjusted)'!AU10-'CFS (Base)'!AU10</f>
        <v>0</v>
      </c>
      <c r="AV10" s="17">
        <f>'CFS (Adjusted)'!AV10-'CFS (Base)'!AV10</f>
        <v>0</v>
      </c>
    </row>
    <row r="11" spans="2:48" outlineLevel="1" x14ac:dyDescent="0.3">
      <c r="B11" s="308" t="s">
        <v>272</v>
      </c>
      <c r="C11" s="44"/>
      <c r="D11" s="16">
        <f>'CFS (Adjusted)'!D11-'CFS (Base)'!D11</f>
        <v>0</v>
      </c>
      <c r="E11" s="16">
        <f>'CFS (Adjusted)'!E11-'CFS (Base)'!E11</f>
        <v>0</v>
      </c>
      <c r="F11" s="16">
        <f>'CFS (Adjusted)'!F11-'CFS (Base)'!F11</f>
        <v>0</v>
      </c>
      <c r="G11" s="101">
        <f>'CFS (Adjusted)'!G11-'CFS (Base)'!G11</f>
        <v>0</v>
      </c>
      <c r="H11" s="17">
        <f>'CFS (Adjusted)'!H11-'CFS (Base)'!H11</f>
        <v>0</v>
      </c>
      <c r="I11" s="16">
        <f>'CFS (Adjusted)'!I11-'CFS (Base)'!I11</f>
        <v>0</v>
      </c>
      <c r="J11" s="16">
        <f>'CFS (Adjusted)'!J11-'CFS (Base)'!J11</f>
        <v>0</v>
      </c>
      <c r="K11" s="16">
        <f>'CFS (Adjusted)'!K11-'CFS (Base)'!K11</f>
        <v>0</v>
      </c>
      <c r="L11" s="101">
        <f>'CFS (Adjusted)'!L11-'CFS (Base)'!L11</f>
        <v>0</v>
      </c>
      <c r="M11" s="17">
        <f>'CFS (Adjusted)'!M11-'CFS (Base)'!M11</f>
        <v>0</v>
      </c>
      <c r="N11" s="16">
        <f>'CFS (Adjusted)'!N11-'CFS (Base)'!N11</f>
        <v>0</v>
      </c>
      <c r="O11" s="16">
        <f>'CFS (Adjusted)'!O11-'CFS (Base)'!O11</f>
        <v>0</v>
      </c>
      <c r="P11" s="16">
        <f>'CFS (Adjusted)'!P11-'CFS (Base)'!P11</f>
        <v>0</v>
      </c>
      <c r="Q11" s="101">
        <f>'CFS (Adjusted)'!Q11-'CFS (Base)'!Q11</f>
        <v>0</v>
      </c>
      <c r="R11" s="17">
        <f>'CFS (Adjusted)'!R11-'CFS (Base)'!R11</f>
        <v>0</v>
      </c>
      <c r="S11" s="16">
        <f>'CFS (Adjusted)'!S11-'CFS (Base)'!S11</f>
        <v>0</v>
      </c>
      <c r="T11" s="16">
        <f>'CFS (Adjusted)'!T11-'CFS (Base)'!T11</f>
        <v>0</v>
      </c>
      <c r="U11" s="16">
        <f>'CFS (Adjusted)'!U11-'CFS (Base)'!U11</f>
        <v>0</v>
      </c>
      <c r="V11" s="16">
        <f>'CFS (Adjusted)'!V11-'CFS (Base)'!V11</f>
        <v>0</v>
      </c>
      <c r="W11" s="17">
        <f>'CFS (Adjusted)'!W11-'CFS (Base)'!W11</f>
        <v>0</v>
      </c>
      <c r="X11" s="16">
        <f>'CFS (Adjusted)'!X11-'CFS (Base)'!X11</f>
        <v>0</v>
      </c>
      <c r="Y11" s="16">
        <f>'CFS (Adjusted)'!Y11-'CFS (Base)'!Y11</f>
        <v>0</v>
      </c>
      <c r="Z11" s="16">
        <f>'CFS (Adjusted)'!Z11-'CFS (Base)'!Z11</f>
        <v>0</v>
      </c>
      <c r="AA11" s="16">
        <f>'CFS (Adjusted)'!AA11-'CFS (Base)'!AA11</f>
        <v>0</v>
      </c>
      <c r="AB11" s="17">
        <f>'CFS (Adjusted)'!AB11-'CFS (Base)'!AB11</f>
        <v>0</v>
      </c>
      <c r="AC11" s="16">
        <f>'CFS (Adjusted)'!AC11-'CFS (Base)'!AC11</f>
        <v>0</v>
      </c>
      <c r="AD11" s="16">
        <f>'CFS (Adjusted)'!AD11-'CFS (Base)'!AD11</f>
        <v>0</v>
      </c>
      <c r="AE11" s="16">
        <f>'CFS (Adjusted)'!AE11-'CFS (Base)'!AE11</f>
        <v>0</v>
      </c>
      <c r="AF11" s="16">
        <f>'CFS (Adjusted)'!AF11-'CFS (Base)'!AF11</f>
        <v>0</v>
      </c>
      <c r="AG11" s="17">
        <f>'CFS (Adjusted)'!AG11-'CFS (Base)'!AG11</f>
        <v>0</v>
      </c>
      <c r="AH11" s="16">
        <f>'CFS (Adjusted)'!AH11-'CFS (Base)'!AH11</f>
        <v>0</v>
      </c>
      <c r="AI11" s="16">
        <f>'CFS (Adjusted)'!AI11-'CFS (Base)'!AI11</f>
        <v>0</v>
      </c>
      <c r="AJ11" s="16">
        <f>'CFS (Adjusted)'!AJ11-'CFS (Base)'!AJ11</f>
        <v>0</v>
      </c>
      <c r="AK11" s="16">
        <f>'CFS (Adjusted)'!AK11-'CFS (Base)'!AK11</f>
        <v>0</v>
      </c>
      <c r="AL11" s="17">
        <f>'CFS (Adjusted)'!AL11-'CFS (Base)'!AL11</f>
        <v>0</v>
      </c>
      <c r="AM11" s="16">
        <f>'CFS (Adjusted)'!AM11-'CFS (Base)'!AM11</f>
        <v>0</v>
      </c>
      <c r="AN11" s="16">
        <f>'CFS (Adjusted)'!AN11-'CFS (Base)'!AN11</f>
        <v>0</v>
      </c>
      <c r="AO11" s="16">
        <f>'CFS (Adjusted)'!AO11-'CFS (Base)'!AO11</f>
        <v>0</v>
      </c>
      <c r="AP11" s="16">
        <f>'CFS (Adjusted)'!AP11-'CFS (Base)'!AP11</f>
        <v>0</v>
      </c>
      <c r="AQ11" s="17">
        <f>'CFS (Adjusted)'!AQ11-'CFS (Base)'!AQ11</f>
        <v>0</v>
      </c>
      <c r="AR11" s="16">
        <f>'CFS (Adjusted)'!AR11-'CFS (Base)'!AR11</f>
        <v>0</v>
      </c>
      <c r="AS11" s="16">
        <f>'CFS (Adjusted)'!AS11-'CFS (Base)'!AS11</f>
        <v>0</v>
      </c>
      <c r="AT11" s="16">
        <f>'CFS (Adjusted)'!AT11-'CFS (Base)'!AT11</f>
        <v>0</v>
      </c>
      <c r="AU11" s="16">
        <f>'CFS (Adjusted)'!AU11-'CFS (Base)'!AU11</f>
        <v>0</v>
      </c>
      <c r="AV11" s="17">
        <f>'CFS (Adjusted)'!AV11-'CFS (Base)'!AV11</f>
        <v>0</v>
      </c>
    </row>
    <row r="12" spans="2:48" outlineLevel="1" x14ac:dyDescent="0.3">
      <c r="B12" s="308" t="s">
        <v>273</v>
      </c>
      <c r="C12" s="44"/>
      <c r="D12" s="16">
        <f>'CFS (Adjusted)'!D12-'CFS (Base)'!D12</f>
        <v>0</v>
      </c>
      <c r="E12" s="16">
        <f>'CFS (Adjusted)'!E12-'CFS (Base)'!E12</f>
        <v>0</v>
      </c>
      <c r="F12" s="16">
        <f>'CFS (Adjusted)'!F12-'CFS (Base)'!F12</f>
        <v>0</v>
      </c>
      <c r="G12" s="101">
        <f>'CFS (Adjusted)'!G12-'CFS (Base)'!G12</f>
        <v>0</v>
      </c>
      <c r="H12" s="17">
        <f>'CFS (Adjusted)'!H12-'CFS (Base)'!H12</f>
        <v>0</v>
      </c>
      <c r="I12" s="16">
        <f>'CFS (Adjusted)'!I12-'CFS (Base)'!I12</f>
        <v>0</v>
      </c>
      <c r="J12" s="16">
        <f>'CFS (Adjusted)'!J12-'CFS (Base)'!J12</f>
        <v>0</v>
      </c>
      <c r="K12" s="16">
        <f>'CFS (Adjusted)'!K12-'CFS (Base)'!K12</f>
        <v>0</v>
      </c>
      <c r="L12" s="101">
        <f>'CFS (Adjusted)'!L12-'CFS (Base)'!L12</f>
        <v>0</v>
      </c>
      <c r="M12" s="17">
        <f>'CFS (Adjusted)'!M12-'CFS (Base)'!M12</f>
        <v>0</v>
      </c>
      <c r="N12" s="16">
        <f>'CFS (Adjusted)'!N12-'CFS (Base)'!N12</f>
        <v>0</v>
      </c>
      <c r="O12" s="16">
        <f>'CFS (Adjusted)'!O12-'CFS (Base)'!O12</f>
        <v>0</v>
      </c>
      <c r="P12" s="16">
        <f>'CFS (Adjusted)'!P12-'CFS (Base)'!P12</f>
        <v>0</v>
      </c>
      <c r="Q12" s="101">
        <f>'CFS (Adjusted)'!Q12-'CFS (Base)'!Q12</f>
        <v>0</v>
      </c>
      <c r="R12" s="17">
        <f>'CFS (Adjusted)'!R12-'CFS (Base)'!R12</f>
        <v>0</v>
      </c>
      <c r="S12" s="16">
        <f>'CFS (Adjusted)'!S12-'CFS (Base)'!S12</f>
        <v>0</v>
      </c>
      <c r="T12" s="16">
        <f>'CFS (Adjusted)'!T12-'CFS (Base)'!T12</f>
        <v>0</v>
      </c>
      <c r="U12" s="16">
        <f>'CFS (Adjusted)'!U12-'CFS (Base)'!U12</f>
        <v>0</v>
      </c>
      <c r="V12" s="16">
        <f>'CFS (Adjusted)'!V12-'CFS (Base)'!V12</f>
        <v>0</v>
      </c>
      <c r="W12" s="17">
        <f>'CFS (Adjusted)'!W12-'CFS (Base)'!W12</f>
        <v>0</v>
      </c>
      <c r="X12" s="16">
        <f>'CFS (Adjusted)'!X12-'CFS (Base)'!X12</f>
        <v>0</v>
      </c>
      <c r="Y12" s="16">
        <f>'CFS (Adjusted)'!Y12-'CFS (Base)'!Y12</f>
        <v>0</v>
      </c>
      <c r="Z12" s="16">
        <f>'CFS (Adjusted)'!Z12-'CFS (Base)'!Z12</f>
        <v>0</v>
      </c>
      <c r="AA12" s="16">
        <f>'CFS (Adjusted)'!AA12-'CFS (Base)'!AA12</f>
        <v>0</v>
      </c>
      <c r="AB12" s="17">
        <f>'CFS (Adjusted)'!AB12-'CFS (Base)'!AB12</f>
        <v>0</v>
      </c>
      <c r="AC12" s="16">
        <f>'CFS (Adjusted)'!AC12-'CFS (Base)'!AC12</f>
        <v>0</v>
      </c>
      <c r="AD12" s="16">
        <f>'CFS (Adjusted)'!AD12-'CFS (Base)'!AD12</f>
        <v>0</v>
      </c>
      <c r="AE12" s="16">
        <f>'CFS (Adjusted)'!AE12-'CFS (Base)'!AE12</f>
        <v>0</v>
      </c>
      <c r="AF12" s="16">
        <f>'CFS (Adjusted)'!AF12-'CFS (Base)'!AF12</f>
        <v>0</v>
      </c>
      <c r="AG12" s="17">
        <f>'CFS (Adjusted)'!AG12-'CFS (Base)'!AG12</f>
        <v>0</v>
      </c>
      <c r="AH12" s="16">
        <f>'CFS (Adjusted)'!AH12-'CFS (Base)'!AH12</f>
        <v>0</v>
      </c>
      <c r="AI12" s="16">
        <f>'CFS (Adjusted)'!AI12-'CFS (Base)'!AI12</f>
        <v>0</v>
      </c>
      <c r="AJ12" s="16">
        <f>'CFS (Adjusted)'!AJ12-'CFS (Base)'!AJ12</f>
        <v>0</v>
      </c>
      <c r="AK12" s="16">
        <f>'CFS (Adjusted)'!AK12-'CFS (Base)'!AK12</f>
        <v>0</v>
      </c>
      <c r="AL12" s="17">
        <f>'CFS (Adjusted)'!AL12-'CFS (Base)'!AL12</f>
        <v>0</v>
      </c>
      <c r="AM12" s="16">
        <f>'CFS (Adjusted)'!AM12-'CFS (Base)'!AM12</f>
        <v>0</v>
      </c>
      <c r="AN12" s="16">
        <f>'CFS (Adjusted)'!AN12-'CFS (Base)'!AN12</f>
        <v>0</v>
      </c>
      <c r="AO12" s="16">
        <f>'CFS (Adjusted)'!AO12-'CFS (Base)'!AO12</f>
        <v>0</v>
      </c>
      <c r="AP12" s="16">
        <f>'CFS (Adjusted)'!AP12-'CFS (Base)'!AP12</f>
        <v>0</v>
      </c>
      <c r="AQ12" s="17">
        <f>'CFS (Adjusted)'!AQ12-'CFS (Base)'!AQ12</f>
        <v>0</v>
      </c>
      <c r="AR12" s="16">
        <f>'CFS (Adjusted)'!AR12-'CFS (Base)'!AR12</f>
        <v>0</v>
      </c>
      <c r="AS12" s="16">
        <f>'CFS (Adjusted)'!AS12-'CFS (Base)'!AS12</f>
        <v>0</v>
      </c>
      <c r="AT12" s="16">
        <f>'CFS (Adjusted)'!AT12-'CFS (Base)'!AT12</f>
        <v>0</v>
      </c>
      <c r="AU12" s="16">
        <f>'CFS (Adjusted)'!AU12-'CFS (Base)'!AU12</f>
        <v>0</v>
      </c>
      <c r="AV12" s="17">
        <f>'CFS (Adjusted)'!AV12-'CFS (Base)'!AV12</f>
        <v>0</v>
      </c>
    </row>
    <row r="13" spans="2:48" outlineLevel="1" x14ac:dyDescent="0.3">
      <c r="B13" s="319" t="s">
        <v>274</v>
      </c>
      <c r="C13" s="320"/>
      <c r="D13" s="16">
        <f>'CFS (Adjusted)'!D13-'CFS (Base)'!D13</f>
        <v>0</v>
      </c>
      <c r="E13" s="101">
        <f>'CFS (Adjusted)'!E13-'CFS (Base)'!E13</f>
        <v>0</v>
      </c>
      <c r="F13" s="101">
        <f>'CFS (Adjusted)'!F13-'CFS (Base)'!F13</f>
        <v>0</v>
      </c>
      <c r="G13" s="101">
        <f>'CFS (Adjusted)'!G13-'CFS (Base)'!G13</f>
        <v>0</v>
      </c>
      <c r="H13" s="17">
        <f>'CFS (Adjusted)'!H13-'CFS (Base)'!H13</f>
        <v>0</v>
      </c>
      <c r="I13" s="101">
        <f>'CFS (Adjusted)'!I13-'CFS (Base)'!I13</f>
        <v>0</v>
      </c>
      <c r="J13" s="101">
        <f>'CFS (Adjusted)'!J13-'CFS (Base)'!J13</f>
        <v>0</v>
      </c>
      <c r="K13" s="101">
        <f>'CFS (Adjusted)'!K13-'CFS (Base)'!K13</f>
        <v>0</v>
      </c>
      <c r="L13" s="101">
        <f>'CFS (Adjusted)'!L13-'CFS (Base)'!L13</f>
        <v>0</v>
      </c>
      <c r="M13" s="17">
        <f>'CFS (Adjusted)'!M13-'CFS (Base)'!M13</f>
        <v>0</v>
      </c>
      <c r="N13" s="101">
        <f>'CFS (Adjusted)'!N13-'CFS (Base)'!N13</f>
        <v>0</v>
      </c>
      <c r="O13" s="101">
        <f>'CFS (Adjusted)'!O13-'CFS (Base)'!O13</f>
        <v>0</v>
      </c>
      <c r="P13" s="101">
        <f>'CFS (Adjusted)'!P13-'CFS (Base)'!P13</f>
        <v>0</v>
      </c>
      <c r="Q13" s="101">
        <f>'CFS (Adjusted)'!Q13-'CFS (Base)'!Q13</f>
        <v>0</v>
      </c>
      <c r="R13" s="17">
        <f>'CFS (Adjusted)'!R13-'CFS (Base)'!R13</f>
        <v>0</v>
      </c>
      <c r="S13" s="101">
        <f>'CFS (Adjusted)'!S13-'CFS (Base)'!S13</f>
        <v>0</v>
      </c>
      <c r="T13" s="101">
        <f>'CFS (Adjusted)'!T13-'CFS (Base)'!T13</f>
        <v>0</v>
      </c>
      <c r="U13" s="101">
        <f>'CFS (Adjusted)'!U13-'CFS (Base)'!U13</f>
        <v>0</v>
      </c>
      <c r="V13" s="101">
        <f>'CFS (Adjusted)'!V13-'CFS (Base)'!V13</f>
        <v>0</v>
      </c>
      <c r="W13" s="17">
        <f>'CFS (Adjusted)'!W13-'CFS (Base)'!W13</f>
        <v>0</v>
      </c>
      <c r="X13" s="101">
        <f>'CFS (Adjusted)'!X13-'CFS (Base)'!X13</f>
        <v>0</v>
      </c>
      <c r="Y13" s="33">
        <f>'CFS (Adjusted)'!Y13-'CFS (Base)'!Y13</f>
        <v>0</v>
      </c>
      <c r="Z13" s="33">
        <f>'CFS (Adjusted)'!Z13-'CFS (Base)'!Z13</f>
        <v>0</v>
      </c>
      <c r="AA13" s="33">
        <f>'CFS (Adjusted)'!AA13-'CFS (Base)'!AA13</f>
        <v>0</v>
      </c>
      <c r="AB13" s="17">
        <f>'CFS (Adjusted)'!AB13-'CFS (Base)'!AB13</f>
        <v>0</v>
      </c>
      <c r="AC13" s="33">
        <f>'CFS (Adjusted)'!AC13-'CFS (Base)'!AC13</f>
        <v>0</v>
      </c>
      <c r="AD13" s="33">
        <f>'CFS (Adjusted)'!AD13-'CFS (Base)'!AD13</f>
        <v>0</v>
      </c>
      <c r="AE13" s="33">
        <f>'CFS (Adjusted)'!AE13-'CFS (Base)'!AE13</f>
        <v>0</v>
      </c>
      <c r="AF13" s="33">
        <f>'CFS (Adjusted)'!AF13-'CFS (Base)'!AF13</f>
        <v>0</v>
      </c>
      <c r="AG13" s="17">
        <f>'CFS (Adjusted)'!AG13-'CFS (Base)'!AG13</f>
        <v>0</v>
      </c>
      <c r="AH13" s="33">
        <f>'CFS (Adjusted)'!AH13-'CFS (Base)'!AH13</f>
        <v>0</v>
      </c>
      <c r="AI13" s="33">
        <f>'CFS (Adjusted)'!AI13-'CFS (Base)'!AI13</f>
        <v>0</v>
      </c>
      <c r="AJ13" s="33">
        <f>'CFS (Adjusted)'!AJ13-'CFS (Base)'!AJ13</f>
        <v>0</v>
      </c>
      <c r="AK13" s="33">
        <f>'CFS (Adjusted)'!AK13-'CFS (Base)'!AK13</f>
        <v>0</v>
      </c>
      <c r="AL13" s="17">
        <f>'CFS (Adjusted)'!AL13-'CFS (Base)'!AL13</f>
        <v>0</v>
      </c>
      <c r="AM13" s="33">
        <f>'CFS (Adjusted)'!AM13-'CFS (Base)'!AM13</f>
        <v>0</v>
      </c>
      <c r="AN13" s="33">
        <f>'CFS (Adjusted)'!AN13-'CFS (Base)'!AN13</f>
        <v>0</v>
      </c>
      <c r="AO13" s="33">
        <f>'CFS (Adjusted)'!AO13-'CFS (Base)'!AO13</f>
        <v>0</v>
      </c>
      <c r="AP13" s="33">
        <f>'CFS (Adjusted)'!AP13-'CFS (Base)'!AP13</f>
        <v>0</v>
      </c>
      <c r="AQ13" s="17">
        <f>'CFS (Adjusted)'!AQ13-'CFS (Base)'!AQ13</f>
        <v>0</v>
      </c>
      <c r="AR13" s="33">
        <f>'CFS (Adjusted)'!AR13-'CFS (Base)'!AR13</f>
        <v>0</v>
      </c>
      <c r="AS13" s="33">
        <f>'CFS (Adjusted)'!AS13-'CFS (Base)'!AS13</f>
        <v>0</v>
      </c>
      <c r="AT13" s="33">
        <f>'CFS (Adjusted)'!AT13-'CFS (Base)'!AT13</f>
        <v>0</v>
      </c>
      <c r="AU13" s="33">
        <f>'CFS (Adjusted)'!AU13-'CFS (Base)'!AU13</f>
        <v>0</v>
      </c>
      <c r="AV13" s="17">
        <f>'CFS (Adjusted)'!AV13-'CFS (Base)'!AV13</f>
        <v>0</v>
      </c>
    </row>
    <row r="14" spans="2:48" outlineLevel="1" x14ac:dyDescent="0.3">
      <c r="B14" s="625" t="s">
        <v>275</v>
      </c>
      <c r="C14" s="626"/>
      <c r="D14" s="321">
        <f>'CFS (Adjusted)'!D14-'CFS (Base)'!D14</f>
        <v>0</v>
      </c>
      <c r="E14" s="322">
        <f>'CFS (Adjusted)'!E14-'CFS (Base)'!E14</f>
        <v>0</v>
      </c>
      <c r="F14" s="323">
        <f>'CFS (Adjusted)'!F14-'CFS (Base)'!F14</f>
        <v>0</v>
      </c>
      <c r="G14" s="323">
        <f>'CFS (Adjusted)'!G14-'CFS (Base)'!G14</f>
        <v>0</v>
      </c>
      <c r="H14" s="324">
        <f>'CFS (Adjusted)'!H14-'CFS (Base)'!H14</f>
        <v>0</v>
      </c>
      <c r="I14" s="323">
        <f>'CFS (Adjusted)'!I14-'CFS (Base)'!I14</f>
        <v>0</v>
      </c>
      <c r="J14" s="323">
        <f>'CFS (Adjusted)'!J14-'CFS (Base)'!J14</f>
        <v>0</v>
      </c>
      <c r="K14" s="323">
        <f>'CFS (Adjusted)'!K14-'CFS (Base)'!K14</f>
        <v>0</v>
      </c>
      <c r="L14" s="323">
        <f>'CFS (Adjusted)'!L14-'CFS (Base)'!L14</f>
        <v>0</v>
      </c>
      <c r="M14" s="324">
        <f>'CFS (Adjusted)'!M14-'CFS (Base)'!M14</f>
        <v>0</v>
      </c>
      <c r="N14" s="323">
        <f>'CFS (Adjusted)'!N14-'CFS (Base)'!N14</f>
        <v>0</v>
      </c>
      <c r="O14" s="323">
        <f>'CFS (Adjusted)'!O14-'CFS (Base)'!O14</f>
        <v>0</v>
      </c>
      <c r="P14" s="323">
        <f>'CFS (Adjusted)'!P14-'CFS (Base)'!P14</f>
        <v>0</v>
      </c>
      <c r="Q14" s="323">
        <f>'CFS (Adjusted)'!Q14-'CFS (Base)'!Q14</f>
        <v>0</v>
      </c>
      <c r="R14" s="324">
        <f>'CFS (Adjusted)'!R14-'CFS (Base)'!R14</f>
        <v>0</v>
      </c>
      <c r="S14" s="323">
        <f>'CFS (Adjusted)'!S14-'CFS (Base)'!S14</f>
        <v>0</v>
      </c>
      <c r="T14" s="323">
        <f>'CFS (Adjusted)'!T14-'CFS (Base)'!T14</f>
        <v>0</v>
      </c>
      <c r="U14" s="323">
        <f>'CFS (Adjusted)'!U14-'CFS (Base)'!U14</f>
        <v>0</v>
      </c>
      <c r="V14" s="323">
        <f>'CFS (Adjusted)'!V14-'CFS (Base)'!V14</f>
        <v>0</v>
      </c>
      <c r="W14" s="324">
        <f>'CFS (Adjusted)'!W14-'CFS (Base)'!W14</f>
        <v>0</v>
      </c>
      <c r="X14" s="323">
        <f>'CFS (Adjusted)'!X14-'CFS (Base)'!X14</f>
        <v>0</v>
      </c>
      <c r="Y14" s="323">
        <f>'CFS (Adjusted)'!Y14-'CFS (Base)'!Y14</f>
        <v>0</v>
      </c>
      <c r="Z14" s="323">
        <f>'CFS (Adjusted)'!Z14-'CFS (Base)'!Z14</f>
        <v>0</v>
      </c>
      <c r="AA14" s="323">
        <f>'CFS (Adjusted)'!AA14-'CFS (Base)'!AA14</f>
        <v>0</v>
      </c>
      <c r="AB14" s="324">
        <f>'CFS (Adjusted)'!AB14-'CFS (Base)'!AB14</f>
        <v>0</v>
      </c>
      <c r="AC14" s="323">
        <f>'CFS (Adjusted)'!AC14-'CFS (Base)'!AC14</f>
        <v>0</v>
      </c>
      <c r="AD14" s="323">
        <f>'CFS (Adjusted)'!AD14-'CFS (Base)'!AD14</f>
        <v>0</v>
      </c>
      <c r="AE14" s="323">
        <f>'CFS (Adjusted)'!AE14-'CFS (Base)'!AE14</f>
        <v>0</v>
      </c>
      <c r="AF14" s="323">
        <f>'CFS (Adjusted)'!AF14-'CFS (Base)'!AF14</f>
        <v>0</v>
      </c>
      <c r="AG14" s="324">
        <f>'CFS (Adjusted)'!AG14-'CFS (Base)'!AG14</f>
        <v>0</v>
      </c>
      <c r="AH14" s="323">
        <f>'CFS (Adjusted)'!AH14-'CFS (Base)'!AH14</f>
        <v>0</v>
      </c>
      <c r="AI14" s="323">
        <f>'CFS (Adjusted)'!AI14-'CFS (Base)'!AI14</f>
        <v>0</v>
      </c>
      <c r="AJ14" s="323">
        <f>'CFS (Adjusted)'!AJ14-'CFS (Base)'!AJ14</f>
        <v>0</v>
      </c>
      <c r="AK14" s="323">
        <f>'CFS (Adjusted)'!AK14-'CFS (Base)'!AK14</f>
        <v>0</v>
      </c>
      <c r="AL14" s="324">
        <f>'CFS (Adjusted)'!AL14-'CFS (Base)'!AL14</f>
        <v>0</v>
      </c>
      <c r="AM14" s="323">
        <f>'CFS (Adjusted)'!AM14-'CFS (Base)'!AM14</f>
        <v>0</v>
      </c>
      <c r="AN14" s="323">
        <f>'CFS (Adjusted)'!AN14-'CFS (Base)'!AN14</f>
        <v>0</v>
      </c>
      <c r="AO14" s="323">
        <f>'CFS (Adjusted)'!AO14-'CFS (Base)'!AO14</f>
        <v>0</v>
      </c>
      <c r="AP14" s="323">
        <f>'CFS (Adjusted)'!AP14-'CFS (Base)'!AP14</f>
        <v>0</v>
      </c>
      <c r="AQ14" s="324">
        <f>'CFS (Adjusted)'!AQ14-'CFS (Base)'!AQ14</f>
        <v>0</v>
      </c>
      <c r="AR14" s="323">
        <f>'CFS (Adjusted)'!AR14-'CFS (Base)'!AR14</f>
        <v>0</v>
      </c>
      <c r="AS14" s="323">
        <f>'CFS (Adjusted)'!AS14-'CFS (Base)'!AS14</f>
        <v>0</v>
      </c>
      <c r="AT14" s="323">
        <f>'CFS (Adjusted)'!AT14-'CFS (Base)'!AT14</f>
        <v>0</v>
      </c>
      <c r="AU14" s="323">
        <f>'CFS (Adjusted)'!AU14-'CFS (Base)'!AU14</f>
        <v>0</v>
      </c>
      <c r="AV14" s="324">
        <f>'CFS (Adjusted)'!AV14-'CFS (Base)'!AV14</f>
        <v>0</v>
      </c>
    </row>
    <row r="15" spans="2:48" outlineLevel="1" x14ac:dyDescent="0.3">
      <c r="B15" s="623" t="s">
        <v>276</v>
      </c>
      <c r="C15" s="624"/>
      <c r="D15" s="327">
        <f>'CFS (Adjusted)'!D15-'CFS (Base)'!D15</f>
        <v>0</v>
      </c>
      <c r="E15" s="327">
        <f>'CFS (Adjusted)'!E15-'CFS (Base)'!E15</f>
        <v>0</v>
      </c>
      <c r="F15" s="327">
        <f>'CFS (Adjusted)'!F15-'CFS (Base)'!F15</f>
        <v>0</v>
      </c>
      <c r="G15" s="327">
        <f>'CFS (Adjusted)'!G15-'CFS (Base)'!G15</f>
        <v>0</v>
      </c>
      <c r="H15" s="328">
        <f>'CFS (Adjusted)'!H15-'CFS (Base)'!H15</f>
        <v>0</v>
      </c>
      <c r="I15" s="327">
        <f>'CFS (Adjusted)'!I15-'CFS (Base)'!I15</f>
        <v>0</v>
      </c>
      <c r="J15" s="327">
        <f>'CFS (Adjusted)'!J15-'CFS (Base)'!J15</f>
        <v>0</v>
      </c>
      <c r="K15" s="327">
        <f>'CFS (Adjusted)'!K15-'CFS (Base)'!K15</f>
        <v>0</v>
      </c>
      <c r="L15" s="327">
        <f>'CFS (Adjusted)'!L15-'CFS (Base)'!L15</f>
        <v>0</v>
      </c>
      <c r="M15" s="328">
        <f>'CFS (Adjusted)'!M15-'CFS (Base)'!M15</f>
        <v>0</v>
      </c>
      <c r="N15" s="327">
        <f>'CFS (Adjusted)'!N15-'CFS (Base)'!N15</f>
        <v>0</v>
      </c>
      <c r="O15" s="327">
        <f>'CFS (Adjusted)'!O15-'CFS (Base)'!O15</f>
        <v>0</v>
      </c>
      <c r="P15" s="327">
        <f>'CFS (Adjusted)'!P15-'CFS (Base)'!P15</f>
        <v>0</v>
      </c>
      <c r="Q15" s="327">
        <f>'CFS (Adjusted)'!Q15-'CFS (Base)'!Q15</f>
        <v>0</v>
      </c>
      <c r="R15" s="328">
        <f>'CFS (Adjusted)'!R15-'CFS (Base)'!R15</f>
        <v>0</v>
      </c>
      <c r="S15" s="327">
        <f>'CFS (Adjusted)'!S15-'CFS (Base)'!S15</f>
        <v>0</v>
      </c>
      <c r="T15" s="327">
        <f>'CFS (Adjusted)'!T15-'CFS (Base)'!T15</f>
        <v>0</v>
      </c>
      <c r="U15" s="327">
        <f>'CFS (Adjusted)'!U15-'CFS (Base)'!U15</f>
        <v>0</v>
      </c>
      <c r="V15" s="327">
        <f>'CFS (Adjusted)'!V15-'CFS (Base)'!V15</f>
        <v>0</v>
      </c>
      <c r="W15" s="328">
        <f>'CFS (Adjusted)'!W15-'CFS (Base)'!W15</f>
        <v>0</v>
      </c>
      <c r="X15" s="327">
        <f>'CFS (Adjusted)'!X15-'CFS (Base)'!X15</f>
        <v>0</v>
      </c>
      <c r="Y15" s="327">
        <f>'CFS (Adjusted)'!Y15-'CFS (Base)'!Y15</f>
        <v>0</v>
      </c>
      <c r="Z15" s="327">
        <f>'CFS (Adjusted)'!Z15-'CFS (Base)'!Z15</f>
        <v>0</v>
      </c>
      <c r="AA15" s="327">
        <f>'CFS (Adjusted)'!AA15-'CFS (Base)'!AA15</f>
        <v>0</v>
      </c>
      <c r="AB15" s="328">
        <f>'CFS (Adjusted)'!AB15-'CFS (Base)'!AB15</f>
        <v>0</v>
      </c>
      <c r="AC15" s="327">
        <f>'CFS (Adjusted)'!AC15-'CFS (Base)'!AC15</f>
        <v>0</v>
      </c>
      <c r="AD15" s="327">
        <f>'CFS (Adjusted)'!AD15-'CFS (Base)'!AD15</f>
        <v>0</v>
      </c>
      <c r="AE15" s="327">
        <f>'CFS (Adjusted)'!AE15-'CFS (Base)'!AE15</f>
        <v>0</v>
      </c>
      <c r="AF15" s="327">
        <f>'CFS (Adjusted)'!AF15-'CFS (Base)'!AF15</f>
        <v>0</v>
      </c>
      <c r="AG15" s="328">
        <f>'CFS (Adjusted)'!AG15-'CFS (Base)'!AG15</f>
        <v>0</v>
      </c>
      <c r="AH15" s="327">
        <f>'CFS (Adjusted)'!AH15-'CFS (Base)'!AH15</f>
        <v>0</v>
      </c>
      <c r="AI15" s="327">
        <f>'CFS (Adjusted)'!AI15-'CFS (Base)'!AI15</f>
        <v>0</v>
      </c>
      <c r="AJ15" s="327">
        <f>'CFS (Adjusted)'!AJ15-'CFS (Base)'!AJ15</f>
        <v>0</v>
      </c>
      <c r="AK15" s="327">
        <f>'CFS (Adjusted)'!AK15-'CFS (Base)'!AK15</f>
        <v>0</v>
      </c>
      <c r="AL15" s="328">
        <f>'CFS (Adjusted)'!AL15-'CFS (Base)'!AL15</f>
        <v>0</v>
      </c>
      <c r="AM15" s="327">
        <f>'CFS (Adjusted)'!AM15-'CFS (Base)'!AM15</f>
        <v>0</v>
      </c>
      <c r="AN15" s="327">
        <f>'CFS (Adjusted)'!AN15-'CFS (Base)'!AN15</f>
        <v>0</v>
      </c>
      <c r="AO15" s="327">
        <f>'CFS (Adjusted)'!AO15-'CFS (Base)'!AO15</f>
        <v>0</v>
      </c>
      <c r="AP15" s="327">
        <f>'CFS (Adjusted)'!AP15-'CFS (Base)'!AP15</f>
        <v>0</v>
      </c>
      <c r="AQ15" s="328">
        <f>'CFS (Adjusted)'!AQ15-'CFS (Base)'!AQ15</f>
        <v>0</v>
      </c>
      <c r="AR15" s="327">
        <f>'CFS (Adjusted)'!AR15-'CFS (Base)'!AR15</f>
        <v>0</v>
      </c>
      <c r="AS15" s="327">
        <f>'CFS (Adjusted)'!AS15-'CFS (Base)'!AS15</f>
        <v>0</v>
      </c>
      <c r="AT15" s="327">
        <f>'CFS (Adjusted)'!AT15-'CFS (Base)'!AT15</f>
        <v>0</v>
      </c>
      <c r="AU15" s="327">
        <f>'CFS (Adjusted)'!AU15-'CFS (Base)'!AU15</f>
        <v>0</v>
      </c>
      <c r="AV15" s="328">
        <f>'CFS (Adjusted)'!AV15-'CFS (Base)'!AV15</f>
        <v>0</v>
      </c>
    </row>
    <row r="16" spans="2:48" outlineLevel="1" x14ac:dyDescent="0.3">
      <c r="B16" s="325" t="s">
        <v>215</v>
      </c>
      <c r="C16" s="326"/>
      <c r="D16" s="327">
        <f>'CFS (Adjusted)'!D16-'CFS (Base)'!D16</f>
        <v>0</v>
      </c>
      <c r="E16" s="327">
        <f>'CFS (Adjusted)'!E16-'CFS (Base)'!E16</f>
        <v>0</v>
      </c>
      <c r="F16" s="327">
        <f>'CFS (Adjusted)'!F16-'CFS (Base)'!F16</f>
        <v>0</v>
      </c>
      <c r="G16" s="327">
        <f>'CFS (Adjusted)'!G16-'CFS (Base)'!G16</f>
        <v>0</v>
      </c>
      <c r="H16" s="328">
        <f>'CFS (Adjusted)'!H16-'CFS (Base)'!H16</f>
        <v>0</v>
      </c>
      <c r="I16" s="327">
        <f>'CFS (Adjusted)'!I16-'CFS (Base)'!I16</f>
        <v>0</v>
      </c>
      <c r="J16" s="327">
        <f>'CFS (Adjusted)'!J16-'CFS (Base)'!J16</f>
        <v>0</v>
      </c>
      <c r="K16" s="327">
        <f>'CFS (Adjusted)'!K16-'CFS (Base)'!K16</f>
        <v>0</v>
      </c>
      <c r="L16" s="327">
        <f>'CFS (Adjusted)'!L16-'CFS (Base)'!L16</f>
        <v>0</v>
      </c>
      <c r="M16" s="328">
        <f>'CFS (Adjusted)'!M16-'CFS (Base)'!M16</f>
        <v>0</v>
      </c>
      <c r="N16" s="327">
        <f>'CFS (Adjusted)'!N16-'CFS (Base)'!N16</f>
        <v>0</v>
      </c>
      <c r="O16" s="327">
        <f>'CFS (Adjusted)'!O16-'CFS (Base)'!O16</f>
        <v>0</v>
      </c>
      <c r="P16" s="327">
        <f>'CFS (Adjusted)'!P16-'CFS (Base)'!P16</f>
        <v>0</v>
      </c>
      <c r="Q16" s="327">
        <f>'CFS (Adjusted)'!Q16-'CFS (Base)'!Q16</f>
        <v>0</v>
      </c>
      <c r="R16" s="328">
        <f>'CFS (Adjusted)'!R16-'CFS (Base)'!R16</f>
        <v>0</v>
      </c>
      <c r="S16" s="327">
        <f>'CFS (Adjusted)'!S16-'CFS (Base)'!S16</f>
        <v>0</v>
      </c>
      <c r="T16" s="327">
        <f>'CFS (Adjusted)'!T16-'CFS (Base)'!T16</f>
        <v>0</v>
      </c>
      <c r="U16" s="327">
        <f>'CFS (Adjusted)'!U16-'CFS (Base)'!U16</f>
        <v>0</v>
      </c>
      <c r="V16" s="327">
        <f>'CFS (Adjusted)'!V16-'CFS (Base)'!V16</f>
        <v>0</v>
      </c>
      <c r="W16" s="328">
        <f>'CFS (Adjusted)'!W16-'CFS (Base)'!W16</f>
        <v>0</v>
      </c>
      <c r="X16" s="327">
        <f>'CFS (Adjusted)'!X16-'CFS (Base)'!X16</f>
        <v>0</v>
      </c>
      <c r="Y16" s="327">
        <f>'CFS (Adjusted)'!Y16-'CFS (Base)'!Y16</f>
        <v>0</v>
      </c>
      <c r="Z16" s="327">
        <f>'CFS (Adjusted)'!Z16-'CFS (Base)'!Z16</f>
        <v>0</v>
      </c>
      <c r="AA16" s="327">
        <f>'CFS (Adjusted)'!AA16-'CFS (Base)'!AA16</f>
        <v>0</v>
      </c>
      <c r="AB16" s="328">
        <f>'CFS (Adjusted)'!AB16-'CFS (Base)'!AB16</f>
        <v>0</v>
      </c>
      <c r="AC16" s="327">
        <f>'CFS (Adjusted)'!AC16-'CFS (Base)'!AC16</f>
        <v>0</v>
      </c>
      <c r="AD16" s="327">
        <f>'CFS (Adjusted)'!AD16-'CFS (Base)'!AD16</f>
        <v>0</v>
      </c>
      <c r="AE16" s="327">
        <f>'CFS (Adjusted)'!AE16-'CFS (Base)'!AE16</f>
        <v>0</v>
      </c>
      <c r="AF16" s="327">
        <f>'CFS (Adjusted)'!AF16-'CFS (Base)'!AF16</f>
        <v>0</v>
      </c>
      <c r="AG16" s="328">
        <f>'CFS (Adjusted)'!AG16-'CFS (Base)'!AG16</f>
        <v>0</v>
      </c>
      <c r="AH16" s="327">
        <f>'CFS (Adjusted)'!AH16-'CFS (Base)'!AH16</f>
        <v>0</v>
      </c>
      <c r="AI16" s="327">
        <f>'CFS (Adjusted)'!AI16-'CFS (Base)'!AI16</f>
        <v>0</v>
      </c>
      <c r="AJ16" s="327">
        <f>'CFS (Adjusted)'!AJ16-'CFS (Base)'!AJ16</f>
        <v>0</v>
      </c>
      <c r="AK16" s="327">
        <f>'CFS (Adjusted)'!AK16-'CFS (Base)'!AK16</f>
        <v>0</v>
      </c>
      <c r="AL16" s="328">
        <f>'CFS (Adjusted)'!AL16-'CFS (Base)'!AL16</f>
        <v>0</v>
      </c>
      <c r="AM16" s="327">
        <f>'CFS (Adjusted)'!AM16-'CFS (Base)'!AM16</f>
        <v>0</v>
      </c>
      <c r="AN16" s="327">
        <f>'CFS (Adjusted)'!AN16-'CFS (Base)'!AN16</f>
        <v>0</v>
      </c>
      <c r="AO16" s="327">
        <f>'CFS (Adjusted)'!AO16-'CFS (Base)'!AO16</f>
        <v>0</v>
      </c>
      <c r="AP16" s="327">
        <f>'CFS (Adjusted)'!AP16-'CFS (Base)'!AP16</f>
        <v>0</v>
      </c>
      <c r="AQ16" s="328">
        <f>'CFS (Adjusted)'!AQ16-'CFS (Base)'!AQ16</f>
        <v>0</v>
      </c>
      <c r="AR16" s="327">
        <f>'CFS (Adjusted)'!AR16-'CFS (Base)'!AR16</f>
        <v>0</v>
      </c>
      <c r="AS16" s="327">
        <f>'CFS (Adjusted)'!AS16-'CFS (Base)'!AS16</f>
        <v>0</v>
      </c>
      <c r="AT16" s="327">
        <f>'CFS (Adjusted)'!AT16-'CFS (Base)'!AT16</f>
        <v>0</v>
      </c>
      <c r="AU16" s="327">
        <f>'CFS (Adjusted)'!AU16-'CFS (Base)'!AU16</f>
        <v>0</v>
      </c>
      <c r="AV16" s="328">
        <f>'CFS (Adjusted)'!AV16-'CFS (Base)'!AV16</f>
        <v>0</v>
      </c>
    </row>
    <row r="17" spans="2:48" outlineLevel="1" x14ac:dyDescent="0.3">
      <c r="B17" s="623" t="s">
        <v>277</v>
      </c>
      <c r="C17" s="624"/>
      <c r="D17" s="327">
        <f>'CFS (Adjusted)'!D17-'CFS (Base)'!D17</f>
        <v>0</v>
      </c>
      <c r="E17" s="327">
        <f>'CFS (Adjusted)'!E17-'CFS (Base)'!E17</f>
        <v>0</v>
      </c>
      <c r="F17" s="327">
        <f>'CFS (Adjusted)'!F17-'CFS (Base)'!F17</f>
        <v>0</v>
      </c>
      <c r="G17" s="327">
        <f>'CFS (Adjusted)'!G17-'CFS (Base)'!G17</f>
        <v>0</v>
      </c>
      <c r="H17" s="328">
        <f>'CFS (Adjusted)'!H17-'CFS (Base)'!H17</f>
        <v>0</v>
      </c>
      <c r="I17" s="327">
        <f>'CFS (Adjusted)'!I17-'CFS (Base)'!I17</f>
        <v>0</v>
      </c>
      <c r="J17" s="327">
        <f>'CFS (Adjusted)'!J17-'CFS (Base)'!J17</f>
        <v>0</v>
      </c>
      <c r="K17" s="327">
        <f>'CFS (Adjusted)'!K17-'CFS (Base)'!K17</f>
        <v>0</v>
      </c>
      <c r="L17" s="327">
        <f>'CFS (Adjusted)'!L17-'CFS (Base)'!L17</f>
        <v>0</v>
      </c>
      <c r="M17" s="328">
        <f>'CFS (Adjusted)'!M17-'CFS (Base)'!M17</f>
        <v>0</v>
      </c>
      <c r="N17" s="327">
        <f>'CFS (Adjusted)'!N17-'CFS (Base)'!N17</f>
        <v>0</v>
      </c>
      <c r="O17" s="327">
        <f>'CFS (Adjusted)'!O17-'CFS (Base)'!O17</f>
        <v>0</v>
      </c>
      <c r="P17" s="327">
        <f>'CFS (Adjusted)'!P17-'CFS (Base)'!P17</f>
        <v>0</v>
      </c>
      <c r="Q17" s="327">
        <f>'CFS (Adjusted)'!Q17-'CFS (Base)'!Q17</f>
        <v>0</v>
      </c>
      <c r="R17" s="328">
        <f>'CFS (Adjusted)'!R17-'CFS (Base)'!R17</f>
        <v>0</v>
      </c>
      <c r="S17" s="327">
        <f>'CFS (Adjusted)'!S17-'CFS (Base)'!S17</f>
        <v>0</v>
      </c>
      <c r="T17" s="327">
        <f>'CFS (Adjusted)'!T17-'CFS (Base)'!T17</f>
        <v>0</v>
      </c>
      <c r="U17" s="327">
        <f>'CFS (Adjusted)'!U17-'CFS (Base)'!U17</f>
        <v>0</v>
      </c>
      <c r="V17" s="327">
        <f>'CFS (Adjusted)'!V17-'CFS (Base)'!V17</f>
        <v>0</v>
      </c>
      <c r="W17" s="328">
        <f>'CFS (Adjusted)'!W17-'CFS (Base)'!W17</f>
        <v>0</v>
      </c>
      <c r="X17" s="327">
        <f>'CFS (Adjusted)'!X17-'CFS (Base)'!X17</f>
        <v>0</v>
      </c>
      <c r="Y17" s="327">
        <f>'CFS (Adjusted)'!Y17-'CFS (Base)'!Y17</f>
        <v>0</v>
      </c>
      <c r="Z17" s="327">
        <f>'CFS (Adjusted)'!Z17-'CFS (Base)'!Z17</f>
        <v>0</v>
      </c>
      <c r="AA17" s="327">
        <f>'CFS (Adjusted)'!AA17-'CFS (Base)'!AA17</f>
        <v>0</v>
      </c>
      <c r="AB17" s="328">
        <f>'CFS (Adjusted)'!AB17-'CFS (Base)'!AB17</f>
        <v>0</v>
      </c>
      <c r="AC17" s="327">
        <f>'CFS (Adjusted)'!AC17-'CFS (Base)'!AC17</f>
        <v>0</v>
      </c>
      <c r="AD17" s="327">
        <f>'CFS (Adjusted)'!AD17-'CFS (Base)'!AD17</f>
        <v>0</v>
      </c>
      <c r="AE17" s="327">
        <f>'CFS (Adjusted)'!AE17-'CFS (Base)'!AE17</f>
        <v>0</v>
      </c>
      <c r="AF17" s="327">
        <f>'CFS (Adjusted)'!AF17-'CFS (Base)'!AF17</f>
        <v>0</v>
      </c>
      <c r="AG17" s="328">
        <f>'CFS (Adjusted)'!AG17-'CFS (Base)'!AG17</f>
        <v>0</v>
      </c>
      <c r="AH17" s="327">
        <f>'CFS (Adjusted)'!AH17-'CFS (Base)'!AH17</f>
        <v>0</v>
      </c>
      <c r="AI17" s="327">
        <f>'CFS (Adjusted)'!AI17-'CFS (Base)'!AI17</f>
        <v>0</v>
      </c>
      <c r="AJ17" s="327">
        <f>'CFS (Adjusted)'!AJ17-'CFS (Base)'!AJ17</f>
        <v>0</v>
      </c>
      <c r="AK17" s="327">
        <f>'CFS (Adjusted)'!AK17-'CFS (Base)'!AK17</f>
        <v>0</v>
      </c>
      <c r="AL17" s="328">
        <f>'CFS (Adjusted)'!AL17-'CFS (Base)'!AL17</f>
        <v>0</v>
      </c>
      <c r="AM17" s="327">
        <f>'CFS (Adjusted)'!AM17-'CFS (Base)'!AM17</f>
        <v>0</v>
      </c>
      <c r="AN17" s="327">
        <f>'CFS (Adjusted)'!AN17-'CFS (Base)'!AN17</f>
        <v>0</v>
      </c>
      <c r="AO17" s="327">
        <f>'CFS (Adjusted)'!AO17-'CFS (Base)'!AO17</f>
        <v>0</v>
      </c>
      <c r="AP17" s="327">
        <f>'CFS (Adjusted)'!AP17-'CFS (Base)'!AP17</f>
        <v>0</v>
      </c>
      <c r="AQ17" s="328">
        <f>'CFS (Adjusted)'!AQ17-'CFS (Base)'!AQ17</f>
        <v>0</v>
      </c>
      <c r="AR17" s="327">
        <f>'CFS (Adjusted)'!AR17-'CFS (Base)'!AR17</f>
        <v>0</v>
      </c>
      <c r="AS17" s="327">
        <f>'CFS (Adjusted)'!AS17-'CFS (Base)'!AS17</f>
        <v>0</v>
      </c>
      <c r="AT17" s="327">
        <f>'CFS (Adjusted)'!AT17-'CFS (Base)'!AT17</f>
        <v>0</v>
      </c>
      <c r="AU17" s="327">
        <f>'CFS (Adjusted)'!AU17-'CFS (Base)'!AU17</f>
        <v>0</v>
      </c>
      <c r="AV17" s="328">
        <f>'CFS (Adjusted)'!AV17-'CFS (Base)'!AV17</f>
        <v>0</v>
      </c>
    </row>
    <row r="18" spans="2:48" outlineLevel="1" x14ac:dyDescent="0.3">
      <c r="B18" s="623" t="s">
        <v>228</v>
      </c>
      <c r="C18" s="624"/>
      <c r="D18" s="327">
        <f>'CFS (Adjusted)'!D18-'CFS (Base)'!D18</f>
        <v>0</v>
      </c>
      <c r="E18" s="327">
        <f>'CFS (Adjusted)'!E18-'CFS (Base)'!E18</f>
        <v>0</v>
      </c>
      <c r="F18" s="327">
        <f>'CFS (Adjusted)'!F18-'CFS (Base)'!F18</f>
        <v>0</v>
      </c>
      <c r="G18" s="327">
        <f>'CFS (Adjusted)'!G18-'CFS (Base)'!G18</f>
        <v>0</v>
      </c>
      <c r="H18" s="328">
        <f>'CFS (Adjusted)'!H18-'CFS (Base)'!H18</f>
        <v>0</v>
      </c>
      <c r="I18" s="327">
        <f>'CFS (Adjusted)'!I18-'CFS (Base)'!I18</f>
        <v>0</v>
      </c>
      <c r="J18" s="327">
        <f>'CFS (Adjusted)'!J18-'CFS (Base)'!J18</f>
        <v>0</v>
      </c>
      <c r="K18" s="327">
        <f>'CFS (Adjusted)'!K18-'CFS (Base)'!K18</f>
        <v>0</v>
      </c>
      <c r="L18" s="327">
        <f>'CFS (Adjusted)'!L18-'CFS (Base)'!L18</f>
        <v>0</v>
      </c>
      <c r="M18" s="328">
        <f>'CFS (Adjusted)'!M18-'CFS (Base)'!M18</f>
        <v>0</v>
      </c>
      <c r="N18" s="327">
        <f>'CFS (Adjusted)'!N18-'CFS (Base)'!N18</f>
        <v>0</v>
      </c>
      <c r="O18" s="327">
        <f>'CFS (Adjusted)'!O18-'CFS (Base)'!O18</f>
        <v>0</v>
      </c>
      <c r="P18" s="327">
        <f>'CFS (Adjusted)'!P18-'CFS (Base)'!P18</f>
        <v>0</v>
      </c>
      <c r="Q18" s="327">
        <f>'CFS (Adjusted)'!Q18-'CFS (Base)'!Q18</f>
        <v>0</v>
      </c>
      <c r="R18" s="328">
        <f>'CFS (Adjusted)'!R18-'CFS (Base)'!R18</f>
        <v>0</v>
      </c>
      <c r="S18" s="327">
        <f>'CFS (Adjusted)'!S18-'CFS (Base)'!S18</f>
        <v>0</v>
      </c>
      <c r="T18" s="327">
        <f>'CFS (Adjusted)'!T18-'CFS (Base)'!T18</f>
        <v>0</v>
      </c>
      <c r="U18" s="327">
        <f>'CFS (Adjusted)'!U18-'CFS (Base)'!U18</f>
        <v>0</v>
      </c>
      <c r="V18" s="327">
        <f>'CFS (Adjusted)'!V18-'CFS (Base)'!V18</f>
        <v>0</v>
      </c>
      <c r="W18" s="328">
        <f>'CFS (Adjusted)'!W18-'CFS (Base)'!W18</f>
        <v>0</v>
      </c>
      <c r="X18" s="327">
        <f>'CFS (Adjusted)'!X18-'CFS (Base)'!X18</f>
        <v>0</v>
      </c>
      <c r="Y18" s="327">
        <f>'CFS (Adjusted)'!Y18-'CFS (Base)'!Y18</f>
        <v>0</v>
      </c>
      <c r="Z18" s="327">
        <f>'CFS (Adjusted)'!Z18-'CFS (Base)'!Z18</f>
        <v>0</v>
      </c>
      <c r="AA18" s="327">
        <f>'CFS (Adjusted)'!AA18-'CFS (Base)'!AA18</f>
        <v>0</v>
      </c>
      <c r="AB18" s="328">
        <f>'CFS (Adjusted)'!AB18-'CFS (Base)'!AB18</f>
        <v>0</v>
      </c>
      <c r="AC18" s="327">
        <f>'CFS (Adjusted)'!AC18-'CFS (Base)'!AC18</f>
        <v>0</v>
      </c>
      <c r="AD18" s="327">
        <f>'CFS (Adjusted)'!AD18-'CFS (Base)'!AD18</f>
        <v>0</v>
      </c>
      <c r="AE18" s="327">
        <f>'CFS (Adjusted)'!AE18-'CFS (Base)'!AE18</f>
        <v>0</v>
      </c>
      <c r="AF18" s="327">
        <f>'CFS (Adjusted)'!AF18-'CFS (Base)'!AF18</f>
        <v>0</v>
      </c>
      <c r="AG18" s="328">
        <f>'CFS (Adjusted)'!AG18-'CFS (Base)'!AG18</f>
        <v>0</v>
      </c>
      <c r="AH18" s="327">
        <f>'CFS (Adjusted)'!AH18-'CFS (Base)'!AH18</f>
        <v>0</v>
      </c>
      <c r="AI18" s="327">
        <f>'CFS (Adjusted)'!AI18-'CFS (Base)'!AI18</f>
        <v>0</v>
      </c>
      <c r="AJ18" s="327">
        <f>'CFS (Adjusted)'!AJ18-'CFS (Base)'!AJ18</f>
        <v>0</v>
      </c>
      <c r="AK18" s="327">
        <f>'CFS (Adjusted)'!AK18-'CFS (Base)'!AK18</f>
        <v>0</v>
      </c>
      <c r="AL18" s="328">
        <f>'CFS (Adjusted)'!AL18-'CFS (Base)'!AL18</f>
        <v>0</v>
      </c>
      <c r="AM18" s="327">
        <f>'CFS (Adjusted)'!AM18-'CFS (Base)'!AM18</f>
        <v>0</v>
      </c>
      <c r="AN18" s="327">
        <f>'CFS (Adjusted)'!AN18-'CFS (Base)'!AN18</f>
        <v>0</v>
      </c>
      <c r="AO18" s="327">
        <f>'CFS (Adjusted)'!AO18-'CFS (Base)'!AO18</f>
        <v>0</v>
      </c>
      <c r="AP18" s="327">
        <f>'CFS (Adjusted)'!AP18-'CFS (Base)'!AP18</f>
        <v>0</v>
      </c>
      <c r="AQ18" s="328">
        <f>'CFS (Adjusted)'!AQ18-'CFS (Base)'!AQ18</f>
        <v>0</v>
      </c>
      <c r="AR18" s="327">
        <f>'CFS (Adjusted)'!AR18-'CFS (Base)'!AR18</f>
        <v>0</v>
      </c>
      <c r="AS18" s="327">
        <f>'CFS (Adjusted)'!AS18-'CFS (Base)'!AS18</f>
        <v>0</v>
      </c>
      <c r="AT18" s="327">
        <f>'CFS (Adjusted)'!AT18-'CFS (Base)'!AT18</f>
        <v>0</v>
      </c>
      <c r="AU18" s="327">
        <f>'CFS (Adjusted)'!AU18-'CFS (Base)'!AU18</f>
        <v>0</v>
      </c>
      <c r="AV18" s="328">
        <f>'CFS (Adjusted)'!AV18-'CFS (Base)'!AV18</f>
        <v>0</v>
      </c>
    </row>
    <row r="19" spans="2:48" outlineLevel="1" x14ac:dyDescent="0.3">
      <c r="B19" s="325" t="s">
        <v>233</v>
      </c>
      <c r="C19" s="326"/>
      <c r="D19" s="327">
        <f>'CFS (Adjusted)'!D19-'CFS (Base)'!D19</f>
        <v>0</v>
      </c>
      <c r="E19" s="327">
        <f>'CFS (Adjusted)'!E19-'CFS (Base)'!E19</f>
        <v>0</v>
      </c>
      <c r="F19" s="327">
        <f>'CFS (Adjusted)'!F19-'CFS (Base)'!F19</f>
        <v>0</v>
      </c>
      <c r="G19" s="327">
        <f>'CFS (Adjusted)'!G19-'CFS (Base)'!G19</f>
        <v>0</v>
      </c>
      <c r="H19" s="328">
        <f>'CFS (Adjusted)'!H19-'CFS (Base)'!H19</f>
        <v>0</v>
      </c>
      <c r="I19" s="327">
        <f>'CFS (Adjusted)'!I19-'CFS (Base)'!I19</f>
        <v>0</v>
      </c>
      <c r="J19" s="327">
        <f>'CFS (Adjusted)'!J19-'CFS (Base)'!J19</f>
        <v>0</v>
      </c>
      <c r="K19" s="327">
        <f>'CFS (Adjusted)'!K19-'CFS (Base)'!K19</f>
        <v>0</v>
      </c>
      <c r="L19" s="327">
        <f>'CFS (Adjusted)'!L19-'CFS (Base)'!L19</f>
        <v>0</v>
      </c>
      <c r="M19" s="328">
        <f>'CFS (Adjusted)'!M19-'CFS (Base)'!M19</f>
        <v>0</v>
      </c>
      <c r="N19" s="327">
        <f>'CFS (Adjusted)'!N19-'CFS (Base)'!N19</f>
        <v>0</v>
      </c>
      <c r="O19" s="327">
        <f>'CFS (Adjusted)'!O19-'CFS (Base)'!O19</f>
        <v>0</v>
      </c>
      <c r="P19" s="327">
        <f>'CFS (Adjusted)'!P19-'CFS (Base)'!P19</f>
        <v>0</v>
      </c>
      <c r="Q19" s="327">
        <f>'CFS (Adjusted)'!Q19-'CFS (Base)'!Q19</f>
        <v>0</v>
      </c>
      <c r="R19" s="328">
        <f>'CFS (Adjusted)'!R19-'CFS (Base)'!R19</f>
        <v>0</v>
      </c>
      <c r="S19" s="327">
        <f>'CFS (Adjusted)'!S19-'CFS (Base)'!S19</f>
        <v>0</v>
      </c>
      <c r="T19" s="327">
        <f>'CFS (Adjusted)'!T19-'CFS (Base)'!T19</f>
        <v>0</v>
      </c>
      <c r="U19" s="327">
        <f>'CFS (Adjusted)'!U19-'CFS (Base)'!U19</f>
        <v>0</v>
      </c>
      <c r="V19" s="327">
        <f>'CFS (Adjusted)'!V19-'CFS (Base)'!V19</f>
        <v>0</v>
      </c>
      <c r="W19" s="328">
        <f>'CFS (Adjusted)'!W19-'CFS (Base)'!W19</f>
        <v>0</v>
      </c>
      <c r="X19" s="327">
        <f>'CFS (Adjusted)'!X19-'CFS (Base)'!X19</f>
        <v>0</v>
      </c>
      <c r="Y19" s="327">
        <f>'CFS (Adjusted)'!Y19-'CFS (Base)'!Y19</f>
        <v>0</v>
      </c>
      <c r="Z19" s="327">
        <f>'CFS (Adjusted)'!Z19-'CFS (Base)'!Z19</f>
        <v>0</v>
      </c>
      <c r="AA19" s="327">
        <f>'CFS (Adjusted)'!AA19-'CFS (Base)'!AA19</f>
        <v>0</v>
      </c>
      <c r="AB19" s="328">
        <f>'CFS (Adjusted)'!AB19-'CFS (Base)'!AB19</f>
        <v>0</v>
      </c>
      <c r="AC19" s="327">
        <f>'CFS (Adjusted)'!AC19-'CFS (Base)'!AC19</f>
        <v>0</v>
      </c>
      <c r="AD19" s="327">
        <f>'CFS (Adjusted)'!AD19-'CFS (Base)'!AD19</f>
        <v>0</v>
      </c>
      <c r="AE19" s="327">
        <f>'CFS (Adjusted)'!AE19-'CFS (Base)'!AE19</f>
        <v>0</v>
      </c>
      <c r="AF19" s="327">
        <f>'CFS (Adjusted)'!AF19-'CFS (Base)'!AF19</f>
        <v>0</v>
      </c>
      <c r="AG19" s="328">
        <f>'CFS (Adjusted)'!AG19-'CFS (Base)'!AG19</f>
        <v>0</v>
      </c>
      <c r="AH19" s="327">
        <f>'CFS (Adjusted)'!AH19-'CFS (Base)'!AH19</f>
        <v>0</v>
      </c>
      <c r="AI19" s="327">
        <f>'CFS (Adjusted)'!AI19-'CFS (Base)'!AI19</f>
        <v>0</v>
      </c>
      <c r="AJ19" s="327">
        <f>'CFS (Adjusted)'!AJ19-'CFS (Base)'!AJ19</f>
        <v>0</v>
      </c>
      <c r="AK19" s="327">
        <f>'CFS (Adjusted)'!AK19-'CFS (Base)'!AK19</f>
        <v>0</v>
      </c>
      <c r="AL19" s="328">
        <f>'CFS (Adjusted)'!AL19-'CFS (Base)'!AL19</f>
        <v>0</v>
      </c>
      <c r="AM19" s="327">
        <f>'CFS (Adjusted)'!AM19-'CFS (Base)'!AM19</f>
        <v>0</v>
      </c>
      <c r="AN19" s="327">
        <f>'CFS (Adjusted)'!AN19-'CFS (Base)'!AN19</f>
        <v>0</v>
      </c>
      <c r="AO19" s="327">
        <f>'CFS (Adjusted)'!AO19-'CFS (Base)'!AO19</f>
        <v>0</v>
      </c>
      <c r="AP19" s="327">
        <f>'CFS (Adjusted)'!AP19-'CFS (Base)'!AP19</f>
        <v>0</v>
      </c>
      <c r="AQ19" s="328">
        <f>'CFS (Adjusted)'!AQ19-'CFS (Base)'!AQ19</f>
        <v>0</v>
      </c>
      <c r="AR19" s="327">
        <f>'CFS (Adjusted)'!AR19-'CFS (Base)'!AR19</f>
        <v>0</v>
      </c>
      <c r="AS19" s="327">
        <f>'CFS (Adjusted)'!AS19-'CFS (Base)'!AS19</f>
        <v>0</v>
      </c>
      <c r="AT19" s="327">
        <f>'CFS (Adjusted)'!AT19-'CFS (Base)'!AT19</f>
        <v>0</v>
      </c>
      <c r="AU19" s="327">
        <f>'CFS (Adjusted)'!AU19-'CFS (Base)'!AU19</f>
        <v>0</v>
      </c>
      <c r="AV19" s="328">
        <f>'CFS (Adjusted)'!AV19-'CFS (Base)'!AV19</f>
        <v>0</v>
      </c>
    </row>
    <row r="20" spans="2:48" outlineLevel="1" x14ac:dyDescent="0.3">
      <c r="B20" s="325" t="s">
        <v>278</v>
      </c>
      <c r="C20" s="326"/>
      <c r="D20" s="327">
        <f>'CFS (Adjusted)'!D20-'CFS (Base)'!D20</f>
        <v>0</v>
      </c>
      <c r="E20" s="327">
        <f>'CFS (Adjusted)'!E20-'CFS (Base)'!E20</f>
        <v>0</v>
      </c>
      <c r="F20" s="327">
        <f>'CFS (Adjusted)'!F20-'CFS (Base)'!F20</f>
        <v>0</v>
      </c>
      <c r="G20" s="327">
        <f>'CFS (Adjusted)'!G20-'CFS (Base)'!G20</f>
        <v>0</v>
      </c>
      <c r="H20" s="328">
        <f>'CFS (Adjusted)'!H20-'CFS (Base)'!H20</f>
        <v>0</v>
      </c>
      <c r="I20" s="327">
        <f>'CFS (Adjusted)'!I20-'CFS (Base)'!I20</f>
        <v>0</v>
      </c>
      <c r="J20" s="327">
        <f>'CFS (Adjusted)'!J20-'CFS (Base)'!J20</f>
        <v>0</v>
      </c>
      <c r="K20" s="327">
        <f>'CFS (Adjusted)'!K20-'CFS (Base)'!K20</f>
        <v>0</v>
      </c>
      <c r="L20" s="327">
        <f>'CFS (Adjusted)'!L20-'CFS (Base)'!L20</f>
        <v>0</v>
      </c>
      <c r="M20" s="328">
        <f>'CFS (Adjusted)'!M20-'CFS (Base)'!M20</f>
        <v>0</v>
      </c>
      <c r="N20" s="327">
        <f>'CFS (Adjusted)'!N20-'CFS (Base)'!N20</f>
        <v>0</v>
      </c>
      <c r="O20" s="327">
        <f>'CFS (Adjusted)'!O20-'CFS (Base)'!O20</f>
        <v>0</v>
      </c>
      <c r="P20" s="327">
        <f>'CFS (Adjusted)'!P20-'CFS (Base)'!P20</f>
        <v>0</v>
      </c>
      <c r="Q20" s="327">
        <f>'CFS (Adjusted)'!Q20-'CFS (Base)'!Q20</f>
        <v>0</v>
      </c>
      <c r="R20" s="328">
        <f>'CFS (Adjusted)'!R20-'CFS (Base)'!R20</f>
        <v>0</v>
      </c>
      <c r="S20" s="327">
        <f>'CFS (Adjusted)'!S20-'CFS (Base)'!S20</f>
        <v>0</v>
      </c>
      <c r="T20" s="327">
        <f>'CFS (Adjusted)'!T20-'CFS (Base)'!T20</f>
        <v>0</v>
      </c>
      <c r="U20" s="327">
        <f>'CFS (Adjusted)'!U20-'CFS (Base)'!U20</f>
        <v>0</v>
      </c>
      <c r="V20" s="327">
        <f>'CFS (Adjusted)'!V20-'CFS (Base)'!V20</f>
        <v>0</v>
      </c>
      <c r="W20" s="328">
        <f>'CFS (Adjusted)'!W20-'CFS (Base)'!W20</f>
        <v>0</v>
      </c>
      <c r="X20" s="327">
        <f>'CFS (Adjusted)'!X20-'CFS (Base)'!X20</f>
        <v>0</v>
      </c>
      <c r="Y20" s="327">
        <f>'CFS (Adjusted)'!Y20-'CFS (Base)'!Y20</f>
        <v>0</v>
      </c>
      <c r="Z20" s="327">
        <f>'CFS (Adjusted)'!Z20-'CFS (Base)'!Z20</f>
        <v>0</v>
      </c>
      <c r="AA20" s="327">
        <f>'CFS (Adjusted)'!AA20-'CFS (Base)'!AA20</f>
        <v>0</v>
      </c>
      <c r="AB20" s="328">
        <f>'CFS (Adjusted)'!AB20-'CFS (Base)'!AB20</f>
        <v>0</v>
      </c>
      <c r="AC20" s="327">
        <f>'CFS (Adjusted)'!AC20-'CFS (Base)'!AC20</f>
        <v>0</v>
      </c>
      <c r="AD20" s="327">
        <f>'CFS (Adjusted)'!AD20-'CFS (Base)'!AD20</f>
        <v>0</v>
      </c>
      <c r="AE20" s="327">
        <f>'CFS (Adjusted)'!AE20-'CFS (Base)'!AE20</f>
        <v>0</v>
      </c>
      <c r="AF20" s="327">
        <f>'CFS (Adjusted)'!AF20-'CFS (Base)'!AF20</f>
        <v>0</v>
      </c>
      <c r="AG20" s="328">
        <f>'CFS (Adjusted)'!AG20-'CFS (Base)'!AG20</f>
        <v>0</v>
      </c>
      <c r="AH20" s="327">
        <f>'CFS (Adjusted)'!AH20-'CFS (Base)'!AH20</f>
        <v>0</v>
      </c>
      <c r="AI20" s="327">
        <f>'CFS (Adjusted)'!AI20-'CFS (Base)'!AI20</f>
        <v>0</v>
      </c>
      <c r="AJ20" s="327">
        <f>'CFS (Adjusted)'!AJ20-'CFS (Base)'!AJ20</f>
        <v>0</v>
      </c>
      <c r="AK20" s="327">
        <f>'CFS (Adjusted)'!AK20-'CFS (Base)'!AK20</f>
        <v>0</v>
      </c>
      <c r="AL20" s="328">
        <f>'CFS (Adjusted)'!AL20-'CFS (Base)'!AL20</f>
        <v>0</v>
      </c>
      <c r="AM20" s="327">
        <f>'CFS (Adjusted)'!AM20-'CFS (Base)'!AM20</f>
        <v>0</v>
      </c>
      <c r="AN20" s="327">
        <f>'CFS (Adjusted)'!AN20-'CFS (Base)'!AN20</f>
        <v>0</v>
      </c>
      <c r="AO20" s="327">
        <f>'CFS (Adjusted)'!AO20-'CFS (Base)'!AO20</f>
        <v>0</v>
      </c>
      <c r="AP20" s="327">
        <f>'CFS (Adjusted)'!AP20-'CFS (Base)'!AP20</f>
        <v>0</v>
      </c>
      <c r="AQ20" s="328">
        <f>'CFS (Adjusted)'!AQ20-'CFS (Base)'!AQ20</f>
        <v>0</v>
      </c>
      <c r="AR20" s="327">
        <f>'CFS (Adjusted)'!AR20-'CFS (Base)'!AR20</f>
        <v>0</v>
      </c>
      <c r="AS20" s="327">
        <f>'CFS (Adjusted)'!AS20-'CFS (Base)'!AS20</f>
        <v>0</v>
      </c>
      <c r="AT20" s="327">
        <f>'CFS (Adjusted)'!AT20-'CFS (Base)'!AT20</f>
        <v>0</v>
      </c>
      <c r="AU20" s="327">
        <f>'CFS (Adjusted)'!AU20-'CFS (Base)'!AU20</f>
        <v>0</v>
      </c>
      <c r="AV20" s="328">
        <f>'CFS (Adjusted)'!AV20-'CFS (Base)'!AV20</f>
        <v>0</v>
      </c>
    </row>
    <row r="21" spans="2:48" ht="16.2" outlineLevel="1" x14ac:dyDescent="0.45">
      <c r="B21" s="623" t="s">
        <v>279</v>
      </c>
      <c r="C21" s="624"/>
      <c r="D21" s="329">
        <f>'CFS (Adjusted)'!D21-'CFS (Base)'!D21</f>
        <v>0</v>
      </c>
      <c r="E21" s="329">
        <f>'CFS (Adjusted)'!E21-'CFS (Base)'!E21</f>
        <v>0</v>
      </c>
      <c r="F21" s="329">
        <f>'CFS (Adjusted)'!F21-'CFS (Base)'!F21</f>
        <v>0</v>
      </c>
      <c r="G21" s="329">
        <f>'CFS (Adjusted)'!G21-'CFS (Base)'!G21</f>
        <v>0</v>
      </c>
      <c r="H21" s="330">
        <f>'CFS (Adjusted)'!H21-'CFS (Base)'!H21</f>
        <v>0</v>
      </c>
      <c r="I21" s="329">
        <f>'CFS (Adjusted)'!I21-'CFS (Base)'!I21</f>
        <v>0</v>
      </c>
      <c r="J21" s="329">
        <f>'CFS (Adjusted)'!J21-'CFS (Base)'!J21</f>
        <v>0</v>
      </c>
      <c r="K21" s="329">
        <f>'CFS (Adjusted)'!K21-'CFS (Base)'!K21</f>
        <v>0</v>
      </c>
      <c r="L21" s="329">
        <f>'CFS (Adjusted)'!L21-'CFS (Base)'!L21</f>
        <v>0</v>
      </c>
      <c r="M21" s="330">
        <f>'CFS (Adjusted)'!M21-'CFS (Base)'!M21</f>
        <v>0</v>
      </c>
      <c r="N21" s="329">
        <f>'CFS (Adjusted)'!N21-'CFS (Base)'!N21</f>
        <v>0</v>
      </c>
      <c r="O21" s="329">
        <f>'CFS (Adjusted)'!O21-'CFS (Base)'!O21</f>
        <v>0</v>
      </c>
      <c r="P21" s="329">
        <f>'CFS (Adjusted)'!P21-'CFS (Base)'!P21</f>
        <v>0</v>
      </c>
      <c r="Q21" s="329">
        <f>'CFS (Adjusted)'!Q21-'CFS (Base)'!Q21</f>
        <v>0</v>
      </c>
      <c r="R21" s="330">
        <f>'CFS (Adjusted)'!R21-'CFS (Base)'!R21</f>
        <v>0</v>
      </c>
      <c r="S21" s="329">
        <f>'CFS (Adjusted)'!S21-'CFS (Base)'!S21</f>
        <v>0</v>
      </c>
      <c r="T21" s="329">
        <f>'CFS (Adjusted)'!T21-'CFS (Base)'!T21</f>
        <v>0</v>
      </c>
      <c r="U21" s="329">
        <f>'CFS (Adjusted)'!U21-'CFS (Base)'!U21</f>
        <v>0</v>
      </c>
      <c r="V21" s="329">
        <f>'CFS (Adjusted)'!V21-'CFS (Base)'!V21</f>
        <v>0</v>
      </c>
      <c r="W21" s="330">
        <f>'CFS (Adjusted)'!W21-'CFS (Base)'!W21</f>
        <v>0</v>
      </c>
      <c r="X21" s="329">
        <f>'CFS (Adjusted)'!X21-'CFS (Base)'!X21</f>
        <v>0</v>
      </c>
      <c r="Y21" s="329">
        <f>'CFS (Adjusted)'!Y21-'CFS (Base)'!Y21</f>
        <v>0</v>
      </c>
      <c r="Z21" s="329">
        <f>'CFS (Adjusted)'!Z21-'CFS (Base)'!Z21</f>
        <v>0</v>
      </c>
      <c r="AA21" s="329">
        <f>'CFS (Adjusted)'!AA21-'CFS (Base)'!AA21</f>
        <v>0</v>
      </c>
      <c r="AB21" s="330">
        <f>'CFS (Adjusted)'!AB21-'CFS (Base)'!AB21</f>
        <v>0</v>
      </c>
      <c r="AC21" s="329">
        <f>'CFS (Adjusted)'!AC21-'CFS (Base)'!AC21</f>
        <v>0</v>
      </c>
      <c r="AD21" s="329">
        <f>'CFS (Adjusted)'!AD21-'CFS (Base)'!AD21</f>
        <v>0</v>
      </c>
      <c r="AE21" s="329">
        <f>'CFS (Adjusted)'!AE21-'CFS (Base)'!AE21</f>
        <v>0</v>
      </c>
      <c r="AF21" s="329">
        <f>'CFS (Adjusted)'!AF21-'CFS (Base)'!AF21</f>
        <v>0</v>
      </c>
      <c r="AG21" s="330">
        <f>'CFS (Adjusted)'!AG21-'CFS (Base)'!AG21</f>
        <v>0</v>
      </c>
      <c r="AH21" s="329">
        <f>'CFS (Adjusted)'!AH21-'CFS (Base)'!AH21</f>
        <v>0</v>
      </c>
      <c r="AI21" s="329">
        <f>'CFS (Adjusted)'!AI21-'CFS (Base)'!AI21</f>
        <v>0</v>
      </c>
      <c r="AJ21" s="329">
        <f>'CFS (Adjusted)'!AJ21-'CFS (Base)'!AJ21</f>
        <v>0</v>
      </c>
      <c r="AK21" s="329">
        <f>'CFS (Adjusted)'!AK21-'CFS (Base)'!AK21</f>
        <v>0</v>
      </c>
      <c r="AL21" s="330">
        <f>'CFS (Adjusted)'!AL21-'CFS (Base)'!AL21</f>
        <v>0</v>
      </c>
      <c r="AM21" s="329">
        <f>'CFS (Adjusted)'!AM21-'CFS (Base)'!AM21</f>
        <v>0</v>
      </c>
      <c r="AN21" s="329">
        <f>'CFS (Adjusted)'!AN21-'CFS (Base)'!AN21</f>
        <v>0</v>
      </c>
      <c r="AO21" s="329">
        <f>'CFS (Adjusted)'!AO21-'CFS (Base)'!AO21</f>
        <v>0</v>
      </c>
      <c r="AP21" s="329">
        <f>'CFS (Adjusted)'!AP21-'CFS (Base)'!AP21</f>
        <v>0</v>
      </c>
      <c r="AQ21" s="330">
        <f>'CFS (Adjusted)'!AQ21-'CFS (Base)'!AQ21</f>
        <v>0</v>
      </c>
      <c r="AR21" s="329">
        <f>'CFS (Adjusted)'!AR21-'CFS (Base)'!AR21</f>
        <v>0</v>
      </c>
      <c r="AS21" s="329">
        <f>'CFS (Adjusted)'!AS21-'CFS (Base)'!AS21</f>
        <v>0</v>
      </c>
      <c r="AT21" s="329">
        <f>'CFS (Adjusted)'!AT21-'CFS (Base)'!AT21</f>
        <v>0</v>
      </c>
      <c r="AU21" s="329">
        <f>'CFS (Adjusted)'!AU21-'CFS (Base)'!AU21</f>
        <v>0</v>
      </c>
      <c r="AV21" s="330">
        <f>'CFS (Adjusted)'!AV21-'CFS (Base)'!AV21</f>
        <v>0</v>
      </c>
    </row>
    <row r="22" spans="2:48" outlineLevel="1" x14ac:dyDescent="0.3">
      <c r="B22" s="627" t="s">
        <v>280</v>
      </c>
      <c r="C22" s="628"/>
      <c r="D22" s="331">
        <f>'CFS (Adjusted)'!D22-'CFS (Base)'!D22</f>
        <v>0</v>
      </c>
      <c r="E22" s="331">
        <f>'CFS (Adjusted)'!E22-'CFS (Base)'!E22</f>
        <v>0</v>
      </c>
      <c r="F22" s="331">
        <f>'CFS (Adjusted)'!F22-'CFS (Base)'!F22</f>
        <v>0</v>
      </c>
      <c r="G22" s="331">
        <f>'CFS (Adjusted)'!G22-'CFS (Base)'!G22</f>
        <v>0</v>
      </c>
      <c r="H22" s="332">
        <f>'CFS (Adjusted)'!H22-'CFS (Base)'!H22</f>
        <v>0</v>
      </c>
      <c r="I22" s="331">
        <f>'CFS (Adjusted)'!I22-'CFS (Base)'!I22</f>
        <v>0</v>
      </c>
      <c r="J22" s="331">
        <f>'CFS (Adjusted)'!J22-'CFS (Base)'!J22</f>
        <v>0</v>
      </c>
      <c r="K22" s="331">
        <f>'CFS (Adjusted)'!K22-'CFS (Base)'!K22</f>
        <v>0</v>
      </c>
      <c r="L22" s="331">
        <f>'CFS (Adjusted)'!L22-'CFS (Base)'!L22</f>
        <v>0</v>
      </c>
      <c r="M22" s="332">
        <f>'CFS (Adjusted)'!M22-'CFS (Base)'!M22</f>
        <v>0</v>
      </c>
      <c r="N22" s="331">
        <f>'CFS (Adjusted)'!N22-'CFS (Base)'!N22</f>
        <v>0</v>
      </c>
      <c r="O22" s="331">
        <f>'CFS (Adjusted)'!O22-'CFS (Base)'!O22</f>
        <v>0</v>
      </c>
      <c r="P22" s="331">
        <f>'CFS (Adjusted)'!P22-'CFS (Base)'!P22</f>
        <v>0</v>
      </c>
      <c r="Q22" s="331">
        <f>'CFS (Adjusted)'!Q22-'CFS (Base)'!Q22</f>
        <v>0</v>
      </c>
      <c r="R22" s="332">
        <f>'CFS (Adjusted)'!R22-'CFS (Base)'!R22</f>
        <v>0</v>
      </c>
      <c r="S22" s="331">
        <f>'CFS (Adjusted)'!S22-'CFS (Base)'!S22</f>
        <v>0</v>
      </c>
      <c r="T22" s="331">
        <f>'CFS (Adjusted)'!T22-'CFS (Base)'!T22</f>
        <v>0</v>
      </c>
      <c r="U22" s="331">
        <f>'CFS (Adjusted)'!U22-'CFS (Base)'!U22</f>
        <v>0</v>
      </c>
      <c r="V22" s="331">
        <f>'CFS (Adjusted)'!V22-'CFS (Base)'!V22</f>
        <v>0</v>
      </c>
      <c r="W22" s="332">
        <f>'CFS (Adjusted)'!W22-'CFS (Base)'!W22</f>
        <v>0</v>
      </c>
      <c r="X22" s="331">
        <f>'CFS (Adjusted)'!X22-'CFS (Base)'!X22</f>
        <v>0</v>
      </c>
      <c r="Y22" s="331">
        <f>'CFS (Adjusted)'!Y22-'CFS (Base)'!Y22</f>
        <v>0</v>
      </c>
      <c r="Z22" s="331">
        <f>'CFS (Adjusted)'!Z22-'CFS (Base)'!Z22</f>
        <v>0</v>
      </c>
      <c r="AA22" s="331">
        <f>'CFS (Adjusted)'!AA22-'CFS (Base)'!AA22</f>
        <v>0</v>
      </c>
      <c r="AB22" s="332">
        <f>'CFS (Adjusted)'!AB22-'CFS (Base)'!AB22</f>
        <v>0</v>
      </c>
      <c r="AC22" s="331">
        <f>'CFS (Adjusted)'!AC22-'CFS (Base)'!AC22</f>
        <v>0</v>
      </c>
      <c r="AD22" s="331">
        <f>'CFS (Adjusted)'!AD22-'CFS (Base)'!AD22</f>
        <v>0</v>
      </c>
      <c r="AE22" s="331">
        <f>'CFS (Adjusted)'!AE22-'CFS (Base)'!AE22</f>
        <v>0</v>
      </c>
      <c r="AF22" s="331">
        <f>'CFS (Adjusted)'!AF22-'CFS (Base)'!AF22</f>
        <v>0</v>
      </c>
      <c r="AG22" s="332">
        <f>'CFS (Adjusted)'!AG22-'CFS (Base)'!AG22</f>
        <v>0</v>
      </c>
      <c r="AH22" s="331">
        <f>'CFS (Adjusted)'!AH22-'CFS (Base)'!AH22</f>
        <v>0</v>
      </c>
      <c r="AI22" s="331">
        <f>'CFS (Adjusted)'!AI22-'CFS (Base)'!AI22</f>
        <v>0</v>
      </c>
      <c r="AJ22" s="331">
        <f>'CFS (Adjusted)'!AJ22-'CFS (Base)'!AJ22</f>
        <v>0</v>
      </c>
      <c r="AK22" s="331">
        <f>'CFS (Adjusted)'!AK22-'CFS (Base)'!AK22</f>
        <v>0</v>
      </c>
      <c r="AL22" s="332">
        <f>'CFS (Adjusted)'!AL22-'CFS (Base)'!AL22</f>
        <v>0</v>
      </c>
      <c r="AM22" s="331">
        <f>'CFS (Adjusted)'!AM22-'CFS (Base)'!AM22</f>
        <v>0</v>
      </c>
      <c r="AN22" s="331">
        <f>'CFS (Adjusted)'!AN22-'CFS (Base)'!AN22</f>
        <v>0</v>
      </c>
      <c r="AO22" s="331">
        <f>'CFS (Adjusted)'!AO22-'CFS (Base)'!AO22</f>
        <v>0</v>
      </c>
      <c r="AP22" s="331">
        <f>'CFS (Adjusted)'!AP22-'CFS (Base)'!AP22</f>
        <v>0</v>
      </c>
      <c r="AQ22" s="332">
        <f>'CFS (Adjusted)'!AQ22-'CFS (Base)'!AQ22</f>
        <v>0</v>
      </c>
      <c r="AR22" s="331">
        <f>'CFS (Adjusted)'!AR22-'CFS (Base)'!AR22</f>
        <v>0</v>
      </c>
      <c r="AS22" s="331">
        <f>'CFS (Adjusted)'!AS22-'CFS (Base)'!AS22</f>
        <v>0</v>
      </c>
      <c r="AT22" s="331">
        <f>'CFS (Adjusted)'!AT22-'CFS (Base)'!AT22</f>
        <v>0</v>
      </c>
      <c r="AU22" s="331">
        <f>'CFS (Adjusted)'!AU22-'CFS (Base)'!AU22</f>
        <v>0</v>
      </c>
      <c r="AV22" s="332">
        <f>'CFS (Adjusted)'!AV22-'CFS (Base)'!AV22</f>
        <v>0</v>
      </c>
    </row>
    <row r="23" spans="2:48" outlineLevel="1" x14ac:dyDescent="0.3">
      <c r="B23" s="597" t="s">
        <v>281</v>
      </c>
      <c r="C23" s="598"/>
      <c r="D23" s="333">
        <f>'CFS (Adjusted)'!D23-'CFS (Base)'!D23</f>
        <v>0</v>
      </c>
      <c r="E23" s="334">
        <f>'CFS (Adjusted)'!E23-'CFS (Base)'!E23</f>
        <v>0</v>
      </c>
      <c r="F23" s="334">
        <f>'CFS (Adjusted)'!F23-'CFS (Base)'!F23</f>
        <v>0</v>
      </c>
      <c r="G23" s="334">
        <f>'CFS (Adjusted)'!G23-'CFS (Base)'!G23</f>
        <v>0</v>
      </c>
      <c r="H23" s="335">
        <f>'CFS (Adjusted)'!H23-'CFS (Base)'!H23</f>
        <v>0</v>
      </c>
      <c r="I23" s="336">
        <f>'CFS (Adjusted)'!I23-'CFS (Base)'!I23</f>
        <v>0</v>
      </c>
      <c r="J23" s="336">
        <f>'CFS (Adjusted)'!J23-'CFS (Base)'!J23</f>
        <v>0</v>
      </c>
      <c r="K23" s="334">
        <f>'CFS (Adjusted)'!K23-'CFS (Base)'!K23</f>
        <v>0</v>
      </c>
      <c r="L23" s="334">
        <f>'CFS (Adjusted)'!L23-'CFS (Base)'!L23</f>
        <v>0</v>
      </c>
      <c r="M23" s="337">
        <f>'CFS (Adjusted)'!M23-'CFS (Base)'!M23</f>
        <v>0</v>
      </c>
      <c r="N23" s="334">
        <f>'CFS (Adjusted)'!N23-'CFS (Base)'!N23</f>
        <v>0</v>
      </c>
      <c r="O23" s="334">
        <f>'CFS (Adjusted)'!O23-'CFS (Base)'!O23</f>
        <v>0</v>
      </c>
      <c r="P23" s="334">
        <f>'CFS (Adjusted)'!P23-'CFS (Base)'!P23</f>
        <v>0</v>
      </c>
      <c r="Q23" s="334">
        <f>'CFS (Adjusted)'!Q23-'CFS (Base)'!Q23</f>
        <v>0</v>
      </c>
      <c r="R23" s="337">
        <f>'CFS (Adjusted)'!R23-'CFS (Base)'!R23</f>
        <v>0</v>
      </c>
      <c r="S23" s="334">
        <f>'CFS (Adjusted)'!S23-'CFS (Base)'!S23</f>
        <v>0</v>
      </c>
      <c r="T23" s="334">
        <f>'CFS (Adjusted)'!T23-'CFS (Base)'!T23</f>
        <v>0</v>
      </c>
      <c r="U23" s="334">
        <f>'CFS (Adjusted)'!U23-'CFS (Base)'!U23</f>
        <v>0</v>
      </c>
      <c r="V23" s="334">
        <f>'CFS (Adjusted)'!V23-'CFS (Base)'!V23</f>
        <v>0</v>
      </c>
      <c r="W23" s="337">
        <f>'CFS (Adjusted)'!W23-'CFS (Base)'!W23</f>
        <v>0</v>
      </c>
      <c r="X23" s="334">
        <f>'CFS (Adjusted)'!X23-'CFS (Base)'!X23</f>
        <v>0</v>
      </c>
      <c r="Y23" s="334">
        <f>'CFS (Adjusted)'!Y23-'CFS (Base)'!Y23</f>
        <v>0</v>
      </c>
      <c r="Z23" s="334">
        <f>'CFS (Adjusted)'!Z23-'CFS (Base)'!Z23</f>
        <v>0</v>
      </c>
      <c r="AA23" s="334">
        <f>'CFS (Adjusted)'!AA23-'CFS (Base)'!AA23</f>
        <v>0</v>
      </c>
      <c r="AB23" s="337">
        <f>'CFS (Adjusted)'!AB23-'CFS (Base)'!AB23</f>
        <v>0</v>
      </c>
      <c r="AC23" s="334">
        <f>'CFS (Adjusted)'!AC23-'CFS (Base)'!AC23</f>
        <v>0</v>
      </c>
      <c r="AD23" s="334">
        <f>'CFS (Adjusted)'!AD23-'CFS (Base)'!AD23</f>
        <v>0</v>
      </c>
      <c r="AE23" s="334">
        <f>'CFS (Adjusted)'!AE23-'CFS (Base)'!AE23</f>
        <v>0</v>
      </c>
      <c r="AF23" s="334">
        <f>'CFS (Adjusted)'!AF23-'CFS (Base)'!AF23</f>
        <v>0</v>
      </c>
      <c r="AG23" s="337">
        <f>'CFS (Adjusted)'!AG23-'CFS (Base)'!AG23</f>
        <v>0</v>
      </c>
      <c r="AH23" s="334">
        <f>'CFS (Adjusted)'!AH23-'CFS (Base)'!AH23</f>
        <v>0</v>
      </c>
      <c r="AI23" s="334">
        <f>'CFS (Adjusted)'!AI23-'CFS (Base)'!AI23</f>
        <v>0</v>
      </c>
      <c r="AJ23" s="334">
        <f>'CFS (Adjusted)'!AJ23-'CFS (Base)'!AJ23</f>
        <v>0</v>
      </c>
      <c r="AK23" s="334">
        <f>'CFS (Adjusted)'!AK23-'CFS (Base)'!AK23</f>
        <v>0</v>
      </c>
      <c r="AL23" s="337">
        <f>'CFS (Adjusted)'!AL23-'CFS (Base)'!AL23</f>
        <v>0</v>
      </c>
      <c r="AM23" s="334">
        <f>'CFS (Adjusted)'!AM23-'CFS (Base)'!AM23</f>
        <v>0</v>
      </c>
      <c r="AN23" s="334">
        <f>'CFS (Adjusted)'!AN23-'CFS (Base)'!AN23</f>
        <v>0</v>
      </c>
      <c r="AO23" s="334">
        <f>'CFS (Adjusted)'!AO23-'CFS (Base)'!AO23</f>
        <v>0</v>
      </c>
      <c r="AP23" s="334">
        <f>'CFS (Adjusted)'!AP23-'CFS (Base)'!AP23</f>
        <v>0</v>
      </c>
      <c r="AQ23" s="337">
        <f>'CFS (Adjusted)'!AQ23-'CFS (Base)'!AQ23</f>
        <v>0</v>
      </c>
      <c r="AR23" s="334">
        <f>'CFS (Adjusted)'!AR23-'CFS (Base)'!AR23</f>
        <v>0</v>
      </c>
      <c r="AS23" s="334">
        <f>'CFS (Adjusted)'!AS23-'CFS (Base)'!AS23</f>
        <v>0</v>
      </c>
      <c r="AT23" s="334">
        <f>'CFS (Adjusted)'!AT23-'CFS (Base)'!AT23</f>
        <v>0</v>
      </c>
      <c r="AU23" s="334">
        <f>'CFS (Adjusted)'!AU23-'CFS (Base)'!AU23</f>
        <v>0</v>
      </c>
      <c r="AV23" s="337">
        <f>'CFS (Adjusted)'!AV23-'CFS (Base)'!AV23</f>
        <v>0</v>
      </c>
    </row>
    <row r="24" spans="2:48" outlineLevel="1" x14ac:dyDescent="0.3">
      <c r="B24" s="200" t="s">
        <v>282</v>
      </c>
      <c r="C24" s="201"/>
      <c r="D24" s="16">
        <f>'CFS (Adjusted)'!D24-'CFS (Base)'!D24</f>
        <v>0</v>
      </c>
      <c r="E24" s="16">
        <f>'CFS (Adjusted)'!E24-'CFS (Base)'!E24</f>
        <v>0</v>
      </c>
      <c r="F24" s="16">
        <f>'CFS (Adjusted)'!F24-'CFS (Base)'!F24</f>
        <v>0</v>
      </c>
      <c r="G24" s="16">
        <f>'CFS (Adjusted)'!G24-'CFS (Base)'!G24</f>
        <v>0</v>
      </c>
      <c r="H24" s="17">
        <f>'CFS (Adjusted)'!H24-'CFS (Base)'!H24</f>
        <v>0</v>
      </c>
      <c r="I24" s="16">
        <f>'CFS (Adjusted)'!I24-'CFS (Base)'!I24</f>
        <v>0</v>
      </c>
      <c r="J24" s="16">
        <f>'CFS (Adjusted)'!J24-'CFS (Base)'!J24</f>
        <v>0</v>
      </c>
      <c r="K24" s="16">
        <f>'CFS (Adjusted)'!K24-'CFS (Base)'!K24</f>
        <v>0</v>
      </c>
      <c r="L24" s="16">
        <f>'CFS (Adjusted)'!L24-'CFS (Base)'!L24</f>
        <v>0</v>
      </c>
      <c r="M24" s="17">
        <f>'CFS (Adjusted)'!M24-'CFS (Base)'!M24</f>
        <v>0</v>
      </c>
      <c r="N24" s="16">
        <f>'CFS (Adjusted)'!N24-'CFS (Base)'!N24</f>
        <v>0</v>
      </c>
      <c r="O24" s="16">
        <f>'CFS (Adjusted)'!O24-'CFS (Base)'!O24</f>
        <v>0</v>
      </c>
      <c r="P24" s="16">
        <f>'CFS (Adjusted)'!P24-'CFS (Base)'!P24</f>
        <v>0</v>
      </c>
      <c r="Q24" s="16">
        <f>'CFS (Adjusted)'!Q24-'CFS (Base)'!Q24</f>
        <v>0</v>
      </c>
      <c r="R24" s="17">
        <f>'CFS (Adjusted)'!R24-'CFS (Base)'!R24</f>
        <v>0</v>
      </c>
      <c r="S24" s="16">
        <f>'CFS (Adjusted)'!S24-'CFS (Base)'!S24</f>
        <v>0</v>
      </c>
      <c r="T24" s="16">
        <f>'CFS (Adjusted)'!T24-'CFS (Base)'!T24</f>
        <v>0</v>
      </c>
      <c r="U24" s="16">
        <f>'CFS (Adjusted)'!U24-'CFS (Base)'!U24</f>
        <v>0</v>
      </c>
      <c r="V24" s="16">
        <f>'CFS (Adjusted)'!V24-'CFS (Base)'!V24</f>
        <v>0</v>
      </c>
      <c r="W24" s="17">
        <f>'CFS (Adjusted)'!W24-'CFS (Base)'!W24</f>
        <v>0</v>
      </c>
      <c r="X24" s="101">
        <f>'CFS (Adjusted)'!X24-'CFS (Base)'!X24</f>
        <v>0</v>
      </c>
      <c r="Y24" s="16">
        <f>'CFS (Adjusted)'!Y24-'CFS (Base)'!Y24</f>
        <v>0</v>
      </c>
      <c r="Z24" s="16">
        <f>'CFS (Adjusted)'!Z24-'CFS (Base)'!Z24</f>
        <v>0</v>
      </c>
      <c r="AA24" s="16">
        <f>'CFS (Adjusted)'!AA24-'CFS (Base)'!AA24</f>
        <v>0</v>
      </c>
      <c r="AB24" s="17">
        <f>'CFS (Adjusted)'!AB24-'CFS (Base)'!AB24</f>
        <v>0</v>
      </c>
      <c r="AC24" s="16">
        <f>'CFS (Adjusted)'!AC24-'CFS (Base)'!AC24</f>
        <v>0</v>
      </c>
      <c r="AD24" s="16">
        <f>'CFS (Adjusted)'!AD24-'CFS (Base)'!AD24</f>
        <v>0</v>
      </c>
      <c r="AE24" s="16">
        <f>'CFS (Adjusted)'!AE24-'CFS (Base)'!AE24</f>
        <v>0</v>
      </c>
      <c r="AF24" s="16">
        <f>'CFS (Adjusted)'!AF24-'CFS (Base)'!AF24</f>
        <v>0</v>
      </c>
      <c r="AG24" s="17">
        <f>'CFS (Adjusted)'!AG24-'CFS (Base)'!AG24</f>
        <v>0</v>
      </c>
      <c r="AH24" s="16">
        <f>'CFS (Adjusted)'!AH24-'CFS (Base)'!AH24</f>
        <v>0</v>
      </c>
      <c r="AI24" s="16">
        <f>'CFS (Adjusted)'!AI24-'CFS (Base)'!AI24</f>
        <v>0</v>
      </c>
      <c r="AJ24" s="16">
        <f>'CFS (Adjusted)'!AJ24-'CFS (Base)'!AJ24</f>
        <v>0</v>
      </c>
      <c r="AK24" s="16">
        <f>'CFS (Adjusted)'!AK24-'CFS (Base)'!AK24</f>
        <v>0</v>
      </c>
      <c r="AL24" s="17">
        <f>'CFS (Adjusted)'!AL24-'CFS (Base)'!AL24</f>
        <v>0</v>
      </c>
      <c r="AM24" s="16">
        <f>'CFS (Adjusted)'!AM24-'CFS (Base)'!AM24</f>
        <v>0</v>
      </c>
      <c r="AN24" s="16">
        <f>'CFS (Adjusted)'!AN24-'CFS (Base)'!AN24</f>
        <v>0</v>
      </c>
      <c r="AO24" s="16">
        <f>'CFS (Adjusted)'!AO24-'CFS (Base)'!AO24</f>
        <v>0</v>
      </c>
      <c r="AP24" s="16">
        <f>'CFS (Adjusted)'!AP24-'CFS (Base)'!AP24</f>
        <v>0</v>
      </c>
      <c r="AQ24" s="17">
        <f>'CFS (Adjusted)'!AQ24-'CFS (Base)'!AQ24</f>
        <v>0</v>
      </c>
      <c r="AR24" s="16">
        <f>'CFS (Adjusted)'!AR24-'CFS (Base)'!AR24</f>
        <v>0</v>
      </c>
      <c r="AS24" s="16">
        <f>'CFS (Adjusted)'!AS24-'CFS (Base)'!AS24</f>
        <v>0</v>
      </c>
      <c r="AT24" s="16">
        <f>'CFS (Adjusted)'!AT24-'CFS (Base)'!AT24</f>
        <v>0</v>
      </c>
      <c r="AU24" s="16">
        <f>'CFS (Adjusted)'!AU24-'CFS (Base)'!AU24</f>
        <v>0</v>
      </c>
      <c r="AV24" s="17">
        <f>'CFS (Adjusted)'!AV24-'CFS (Base)'!AV24</f>
        <v>0</v>
      </c>
    </row>
    <row r="25" spans="2:48" outlineLevel="1" x14ac:dyDescent="0.3">
      <c r="B25" s="580" t="s">
        <v>283</v>
      </c>
      <c r="C25" s="581"/>
      <c r="D25" s="16">
        <f>'CFS (Adjusted)'!D25-'CFS (Base)'!D25</f>
        <v>0</v>
      </c>
      <c r="E25" s="16">
        <f>'CFS (Adjusted)'!E25-'CFS (Base)'!E25</f>
        <v>0</v>
      </c>
      <c r="F25" s="16">
        <f>'CFS (Adjusted)'!F25-'CFS (Base)'!F25</f>
        <v>0</v>
      </c>
      <c r="G25" s="16">
        <f>'CFS (Adjusted)'!G25-'CFS (Base)'!G25</f>
        <v>0</v>
      </c>
      <c r="H25" s="169">
        <f>'CFS (Adjusted)'!H25-'CFS (Base)'!H25</f>
        <v>0</v>
      </c>
      <c r="I25" s="16">
        <f>'CFS (Adjusted)'!I25-'CFS (Base)'!I25</f>
        <v>0</v>
      </c>
      <c r="J25" s="16">
        <f>'CFS (Adjusted)'!J25-'CFS (Base)'!J25</f>
        <v>0</v>
      </c>
      <c r="K25" s="16">
        <f>'CFS (Adjusted)'!K25-'CFS (Base)'!K25</f>
        <v>0</v>
      </c>
      <c r="L25" s="16">
        <f>'CFS (Adjusted)'!L25-'CFS (Base)'!L25</f>
        <v>0</v>
      </c>
      <c r="M25" s="169">
        <f>'CFS (Adjusted)'!M25-'CFS (Base)'!M25</f>
        <v>0</v>
      </c>
      <c r="N25" s="16">
        <f>'CFS (Adjusted)'!N25-'CFS (Base)'!N25</f>
        <v>0</v>
      </c>
      <c r="O25" s="16">
        <f>'CFS (Adjusted)'!O25-'CFS (Base)'!O25</f>
        <v>0</v>
      </c>
      <c r="P25" s="16">
        <f>'CFS (Adjusted)'!P25-'CFS (Base)'!P25</f>
        <v>0</v>
      </c>
      <c r="Q25" s="16">
        <f>'CFS (Adjusted)'!Q25-'CFS (Base)'!Q25</f>
        <v>0</v>
      </c>
      <c r="R25" s="169">
        <f>'CFS (Adjusted)'!R25-'CFS (Base)'!R25</f>
        <v>0</v>
      </c>
      <c r="S25" s="16">
        <f>'CFS (Adjusted)'!S25-'CFS (Base)'!S25</f>
        <v>0</v>
      </c>
      <c r="T25" s="16">
        <f>'CFS (Adjusted)'!T25-'CFS (Base)'!T25</f>
        <v>0</v>
      </c>
      <c r="U25" s="16">
        <f>'CFS (Adjusted)'!U25-'CFS (Base)'!U25</f>
        <v>0</v>
      </c>
      <c r="V25" s="16">
        <f>'CFS (Adjusted)'!V25-'CFS (Base)'!V25</f>
        <v>0</v>
      </c>
      <c r="W25" s="169">
        <f>'CFS (Adjusted)'!W25-'CFS (Base)'!W25</f>
        <v>0</v>
      </c>
      <c r="X25" s="101">
        <f>'CFS (Adjusted)'!X25-'CFS (Base)'!X25</f>
        <v>0</v>
      </c>
      <c r="Y25" s="16">
        <f>'CFS (Adjusted)'!Y25-'CFS (Base)'!Y25</f>
        <v>0</v>
      </c>
      <c r="Z25" s="16">
        <f>'CFS (Adjusted)'!Z25-'CFS (Base)'!Z25</f>
        <v>0</v>
      </c>
      <c r="AA25" s="16">
        <f>'CFS (Adjusted)'!AA25-'CFS (Base)'!AA25</f>
        <v>0</v>
      </c>
      <c r="AB25" s="418">
        <f>'CFS (Adjusted)'!AB25-'CFS (Base)'!AB25</f>
        <v>0</v>
      </c>
      <c r="AC25" s="16">
        <f>'CFS (Adjusted)'!AC25-'CFS (Base)'!AC25</f>
        <v>0</v>
      </c>
      <c r="AD25" s="16">
        <f>'CFS (Adjusted)'!AD25-'CFS (Base)'!AD25</f>
        <v>0</v>
      </c>
      <c r="AE25" s="16">
        <f>'CFS (Adjusted)'!AE25-'CFS (Base)'!AE25</f>
        <v>0</v>
      </c>
      <c r="AF25" s="16">
        <f>'CFS (Adjusted)'!AF25-'CFS (Base)'!AF25</f>
        <v>0</v>
      </c>
      <c r="AG25" s="418">
        <f>'CFS (Adjusted)'!AG25-'CFS (Base)'!AG25</f>
        <v>0</v>
      </c>
      <c r="AH25" s="16">
        <f>'CFS (Adjusted)'!AH25-'CFS (Base)'!AH25</f>
        <v>0</v>
      </c>
      <c r="AI25" s="16">
        <f>'CFS (Adjusted)'!AI25-'CFS (Base)'!AI25</f>
        <v>0</v>
      </c>
      <c r="AJ25" s="16">
        <f>'CFS (Adjusted)'!AJ25-'CFS (Base)'!AJ25</f>
        <v>0</v>
      </c>
      <c r="AK25" s="16">
        <f>'CFS (Adjusted)'!AK25-'CFS (Base)'!AK25</f>
        <v>0</v>
      </c>
      <c r="AL25" s="418">
        <f>'CFS (Adjusted)'!AL25-'CFS (Base)'!AL25</f>
        <v>0</v>
      </c>
      <c r="AM25" s="16">
        <f>'CFS (Adjusted)'!AM25-'CFS (Base)'!AM25</f>
        <v>0</v>
      </c>
      <c r="AN25" s="16">
        <f>'CFS (Adjusted)'!AN25-'CFS (Base)'!AN25</f>
        <v>0</v>
      </c>
      <c r="AO25" s="16">
        <f>'CFS (Adjusted)'!AO25-'CFS (Base)'!AO25</f>
        <v>0</v>
      </c>
      <c r="AP25" s="16">
        <f>'CFS (Adjusted)'!AP25-'CFS (Base)'!AP25</f>
        <v>0</v>
      </c>
      <c r="AQ25" s="17">
        <f>'CFS (Adjusted)'!AQ25-'CFS (Base)'!AQ25</f>
        <v>0</v>
      </c>
      <c r="AR25" s="16">
        <f>'CFS (Adjusted)'!AR25-'CFS (Base)'!AR25</f>
        <v>0</v>
      </c>
      <c r="AS25" s="16">
        <f>'CFS (Adjusted)'!AS25-'CFS (Base)'!AS25</f>
        <v>0</v>
      </c>
      <c r="AT25" s="16">
        <f>'CFS (Adjusted)'!AT25-'CFS (Base)'!AT25</f>
        <v>0</v>
      </c>
      <c r="AU25" s="16">
        <f>'CFS (Adjusted)'!AU25-'CFS (Base)'!AU25</f>
        <v>0</v>
      </c>
      <c r="AV25" s="17">
        <f>'CFS (Adjusted)'!AV25-'CFS (Base)'!AV25</f>
        <v>0</v>
      </c>
    </row>
    <row r="26" spans="2:48" ht="16.2" outlineLevel="1" x14ac:dyDescent="0.45">
      <c r="B26" s="580" t="s">
        <v>284</v>
      </c>
      <c r="C26" s="581"/>
      <c r="D26" s="260">
        <f>'CFS (Adjusted)'!D26-'CFS (Base)'!D26</f>
        <v>0</v>
      </c>
      <c r="E26" s="260">
        <f>'CFS (Adjusted)'!E26-'CFS (Base)'!E26</f>
        <v>0</v>
      </c>
      <c r="F26" s="260">
        <f>'CFS (Adjusted)'!F26-'CFS (Base)'!F26</f>
        <v>0</v>
      </c>
      <c r="G26" s="260">
        <f>'CFS (Adjusted)'!G26-'CFS (Base)'!G26</f>
        <v>0</v>
      </c>
      <c r="H26" s="261">
        <f>'CFS (Adjusted)'!H26-'CFS (Base)'!H26</f>
        <v>0</v>
      </c>
      <c r="I26" s="260">
        <f>'CFS (Adjusted)'!I26-'CFS (Base)'!I26</f>
        <v>0</v>
      </c>
      <c r="J26" s="260">
        <f>'CFS (Adjusted)'!J26-'CFS (Base)'!J26</f>
        <v>0</v>
      </c>
      <c r="K26" s="260">
        <f>'CFS (Adjusted)'!K26-'CFS (Base)'!K26</f>
        <v>0</v>
      </c>
      <c r="L26" s="260">
        <f>'CFS (Adjusted)'!L26-'CFS (Base)'!L26</f>
        <v>0</v>
      </c>
      <c r="M26" s="261">
        <f>'CFS (Adjusted)'!M26-'CFS (Base)'!M26</f>
        <v>0</v>
      </c>
      <c r="N26" s="260">
        <f>'CFS (Adjusted)'!N26-'CFS (Base)'!N26</f>
        <v>0</v>
      </c>
      <c r="O26" s="260">
        <f>'CFS (Adjusted)'!O26-'CFS (Base)'!O26</f>
        <v>0</v>
      </c>
      <c r="P26" s="260">
        <f>'CFS (Adjusted)'!P26-'CFS (Base)'!P26</f>
        <v>0</v>
      </c>
      <c r="Q26" s="260">
        <f>'CFS (Adjusted)'!Q26-'CFS (Base)'!Q26</f>
        <v>0</v>
      </c>
      <c r="R26" s="261">
        <f>'CFS (Adjusted)'!R26-'CFS (Base)'!R26</f>
        <v>0</v>
      </c>
      <c r="S26" s="260">
        <f>'CFS (Adjusted)'!S26-'CFS (Base)'!S26</f>
        <v>0</v>
      </c>
      <c r="T26" s="260">
        <f>'CFS (Adjusted)'!T26-'CFS (Base)'!T26</f>
        <v>0</v>
      </c>
      <c r="U26" s="260">
        <f>'CFS (Adjusted)'!U26-'CFS (Base)'!U26</f>
        <v>0</v>
      </c>
      <c r="V26" s="260">
        <f>'CFS (Adjusted)'!V26-'CFS (Base)'!V26</f>
        <v>0</v>
      </c>
      <c r="W26" s="261">
        <f>'CFS (Adjusted)'!W26-'CFS (Base)'!W26</f>
        <v>0</v>
      </c>
      <c r="X26" s="112">
        <f>'CFS (Adjusted)'!X26-'CFS (Base)'!X26</f>
        <v>0</v>
      </c>
      <c r="Y26" s="260">
        <f>'CFS (Adjusted)'!Y26-'CFS (Base)'!Y26</f>
        <v>0</v>
      </c>
      <c r="Z26" s="260">
        <f>'CFS (Adjusted)'!Z26-'CFS (Base)'!Z26</f>
        <v>0</v>
      </c>
      <c r="AA26" s="260">
        <f>'CFS (Adjusted)'!AA26-'CFS (Base)'!AA26</f>
        <v>0</v>
      </c>
      <c r="AB26" s="261">
        <f>'CFS (Adjusted)'!AB26-'CFS (Base)'!AB26</f>
        <v>0</v>
      </c>
      <c r="AC26" s="260">
        <f>'CFS (Adjusted)'!AC26-'CFS (Base)'!AC26</f>
        <v>0</v>
      </c>
      <c r="AD26" s="260">
        <f>'CFS (Adjusted)'!AD26-'CFS (Base)'!AD26</f>
        <v>0</v>
      </c>
      <c r="AE26" s="260">
        <f>'CFS (Adjusted)'!AE26-'CFS (Base)'!AE26</f>
        <v>0</v>
      </c>
      <c r="AF26" s="260">
        <f>'CFS (Adjusted)'!AF26-'CFS (Base)'!AF26</f>
        <v>0</v>
      </c>
      <c r="AG26" s="261">
        <f>'CFS (Adjusted)'!AG26-'CFS (Base)'!AG26</f>
        <v>0</v>
      </c>
      <c r="AH26" s="260">
        <f>'CFS (Adjusted)'!AH26-'CFS (Base)'!AH26</f>
        <v>0</v>
      </c>
      <c r="AI26" s="260">
        <f>'CFS (Adjusted)'!AI26-'CFS (Base)'!AI26</f>
        <v>0</v>
      </c>
      <c r="AJ26" s="260">
        <f>'CFS (Adjusted)'!AJ26-'CFS (Base)'!AJ26</f>
        <v>0</v>
      </c>
      <c r="AK26" s="260">
        <f>'CFS (Adjusted)'!AK26-'CFS (Base)'!AK26</f>
        <v>0</v>
      </c>
      <c r="AL26" s="261">
        <f>'CFS (Adjusted)'!AL26-'CFS (Base)'!AL26</f>
        <v>0</v>
      </c>
      <c r="AM26" s="260">
        <f>'CFS (Adjusted)'!AM26-'CFS (Base)'!AM26</f>
        <v>0</v>
      </c>
      <c r="AN26" s="260">
        <f>'CFS (Adjusted)'!AN26-'CFS (Base)'!AN26</f>
        <v>0</v>
      </c>
      <c r="AO26" s="260">
        <f>'CFS (Adjusted)'!AO26-'CFS (Base)'!AO26</f>
        <v>0</v>
      </c>
      <c r="AP26" s="260">
        <f>'CFS (Adjusted)'!AP26-'CFS (Base)'!AP26</f>
        <v>0</v>
      </c>
      <c r="AQ26" s="261">
        <f>'CFS (Adjusted)'!AQ26-'CFS (Base)'!AQ26</f>
        <v>0</v>
      </c>
      <c r="AR26" s="260">
        <f>'CFS (Adjusted)'!AR26-'CFS (Base)'!AR26</f>
        <v>0</v>
      </c>
      <c r="AS26" s="260">
        <f>'CFS (Adjusted)'!AS26-'CFS (Base)'!AS26</f>
        <v>0</v>
      </c>
      <c r="AT26" s="260">
        <f>'CFS (Adjusted)'!AT26-'CFS (Base)'!AT26</f>
        <v>0</v>
      </c>
      <c r="AU26" s="260">
        <f>'CFS (Adjusted)'!AU26-'CFS (Base)'!AU26</f>
        <v>0</v>
      </c>
      <c r="AV26" s="261">
        <f>'CFS (Adjusted)'!AV26-'CFS (Base)'!AV26</f>
        <v>0</v>
      </c>
    </row>
    <row r="27" spans="2:48" outlineLevel="1" x14ac:dyDescent="0.3">
      <c r="B27" s="587" t="s">
        <v>285</v>
      </c>
      <c r="C27" s="588"/>
      <c r="D27" s="21">
        <f>'CFS (Adjusted)'!D27-'CFS (Base)'!D27</f>
        <v>0</v>
      </c>
      <c r="E27" s="21">
        <f>'CFS (Adjusted)'!E27-'CFS (Base)'!E27</f>
        <v>0</v>
      </c>
      <c r="F27" s="21">
        <f>'CFS (Adjusted)'!F27-'CFS (Base)'!F27</f>
        <v>0</v>
      </c>
      <c r="G27" s="21">
        <f>'CFS (Adjusted)'!G27-'CFS (Base)'!G27</f>
        <v>0</v>
      </c>
      <c r="H27" s="22">
        <f>'CFS (Adjusted)'!H27-'CFS (Base)'!H27</f>
        <v>0</v>
      </c>
      <c r="I27" s="21">
        <f>'CFS (Adjusted)'!I27-'CFS (Base)'!I27</f>
        <v>0</v>
      </c>
      <c r="J27" s="21">
        <f>'CFS (Adjusted)'!J27-'CFS (Base)'!J27</f>
        <v>0</v>
      </c>
      <c r="K27" s="21">
        <f>'CFS (Adjusted)'!K27-'CFS (Base)'!K27</f>
        <v>0</v>
      </c>
      <c r="L27" s="21">
        <f>'CFS (Adjusted)'!L27-'CFS (Base)'!L27</f>
        <v>0</v>
      </c>
      <c r="M27" s="22">
        <f>'CFS (Adjusted)'!M27-'CFS (Base)'!M27</f>
        <v>0</v>
      </c>
      <c r="N27" s="21">
        <f>'CFS (Adjusted)'!N27-'CFS (Base)'!N27</f>
        <v>0</v>
      </c>
      <c r="O27" s="21">
        <f>'CFS (Adjusted)'!O27-'CFS (Base)'!O27</f>
        <v>0</v>
      </c>
      <c r="P27" s="21">
        <f>'CFS (Adjusted)'!P27-'CFS (Base)'!P27</f>
        <v>0</v>
      </c>
      <c r="Q27" s="21">
        <f>'CFS (Adjusted)'!Q27-'CFS (Base)'!Q27</f>
        <v>0</v>
      </c>
      <c r="R27" s="22">
        <f>'CFS (Adjusted)'!R27-'CFS (Base)'!R27</f>
        <v>0</v>
      </c>
      <c r="S27" s="21">
        <f>'CFS (Adjusted)'!S27-'CFS (Base)'!S27</f>
        <v>0</v>
      </c>
      <c r="T27" s="21">
        <f>'CFS (Adjusted)'!T27-'CFS (Base)'!T27</f>
        <v>0</v>
      </c>
      <c r="U27" s="21">
        <f>'CFS (Adjusted)'!U27-'CFS (Base)'!U27</f>
        <v>0</v>
      </c>
      <c r="V27" s="21">
        <f>'CFS (Adjusted)'!V27-'CFS (Base)'!V27</f>
        <v>0</v>
      </c>
      <c r="W27" s="22">
        <f>'CFS (Adjusted)'!W27-'CFS (Base)'!W27</f>
        <v>0</v>
      </c>
      <c r="X27" s="21">
        <f>'CFS (Adjusted)'!X27-'CFS (Base)'!X27</f>
        <v>0</v>
      </c>
      <c r="Y27" s="21">
        <f>'CFS (Adjusted)'!Y27-'CFS (Base)'!Y27</f>
        <v>0</v>
      </c>
      <c r="Z27" s="21">
        <f>'CFS (Adjusted)'!Z27-'CFS (Base)'!Z27</f>
        <v>0</v>
      </c>
      <c r="AA27" s="21">
        <f>'CFS (Adjusted)'!AA27-'CFS (Base)'!AA27</f>
        <v>0</v>
      </c>
      <c r="AB27" s="22">
        <f>'CFS (Adjusted)'!AB27-'CFS (Base)'!AB27</f>
        <v>0</v>
      </c>
      <c r="AC27" s="21">
        <f>'CFS (Adjusted)'!AC27-'CFS (Base)'!AC27</f>
        <v>0</v>
      </c>
      <c r="AD27" s="21">
        <f>'CFS (Adjusted)'!AD27-'CFS (Base)'!AD27</f>
        <v>0</v>
      </c>
      <c r="AE27" s="21">
        <f>'CFS (Adjusted)'!AE27-'CFS (Base)'!AE27</f>
        <v>0</v>
      </c>
      <c r="AF27" s="21">
        <f>'CFS (Adjusted)'!AF27-'CFS (Base)'!AF27</f>
        <v>0</v>
      </c>
      <c r="AG27" s="22">
        <f>'CFS (Adjusted)'!AG27-'CFS (Base)'!AG27</f>
        <v>0</v>
      </c>
      <c r="AH27" s="21">
        <f>'CFS (Adjusted)'!AH27-'CFS (Base)'!AH27</f>
        <v>0</v>
      </c>
      <c r="AI27" s="21">
        <f>'CFS (Adjusted)'!AI27-'CFS (Base)'!AI27</f>
        <v>0</v>
      </c>
      <c r="AJ27" s="21">
        <f>'CFS (Adjusted)'!AJ27-'CFS (Base)'!AJ27</f>
        <v>0</v>
      </c>
      <c r="AK27" s="21">
        <f>'CFS (Adjusted)'!AK27-'CFS (Base)'!AK27</f>
        <v>0</v>
      </c>
      <c r="AL27" s="22">
        <f>'CFS (Adjusted)'!AL27-'CFS (Base)'!AL27</f>
        <v>0</v>
      </c>
      <c r="AM27" s="21">
        <f>'CFS (Adjusted)'!AM27-'CFS (Base)'!AM27</f>
        <v>0</v>
      </c>
      <c r="AN27" s="21">
        <f>'CFS (Adjusted)'!AN27-'CFS (Base)'!AN27</f>
        <v>0</v>
      </c>
      <c r="AO27" s="21">
        <f>'CFS (Adjusted)'!AO27-'CFS (Base)'!AO27</f>
        <v>0</v>
      </c>
      <c r="AP27" s="21">
        <f>'CFS (Adjusted)'!AP27-'CFS (Base)'!AP27</f>
        <v>0</v>
      </c>
      <c r="AQ27" s="22">
        <f>'CFS (Adjusted)'!AQ27-'CFS (Base)'!AQ27</f>
        <v>0</v>
      </c>
      <c r="AR27" s="21">
        <f>'CFS (Adjusted)'!AR27-'CFS (Base)'!AR27</f>
        <v>0</v>
      </c>
      <c r="AS27" s="21">
        <f>'CFS (Adjusted)'!AS27-'CFS (Base)'!AS27</f>
        <v>0</v>
      </c>
      <c r="AT27" s="21">
        <f>'CFS (Adjusted)'!AT27-'CFS (Base)'!AT27</f>
        <v>0</v>
      </c>
      <c r="AU27" s="21">
        <f>'CFS (Adjusted)'!AU27-'CFS (Base)'!AU27</f>
        <v>0</v>
      </c>
      <c r="AV27" s="22">
        <f>'CFS (Adjusted)'!AV27-'CFS (Base)'!AV27</f>
        <v>0</v>
      </c>
    </row>
    <row r="28" spans="2:48" outlineLevel="1" x14ac:dyDescent="0.3">
      <c r="B28" s="625" t="s">
        <v>286</v>
      </c>
      <c r="C28" s="626"/>
      <c r="D28" s="321">
        <f>'CFS (Adjusted)'!D28-'CFS (Base)'!D28</f>
        <v>0</v>
      </c>
      <c r="E28" s="323">
        <f>'CFS (Adjusted)'!E28-'CFS (Base)'!E28</f>
        <v>0</v>
      </c>
      <c r="F28" s="323">
        <f>'CFS (Adjusted)'!F28-'CFS (Base)'!F28</f>
        <v>0</v>
      </c>
      <c r="G28" s="323">
        <f>'CFS (Adjusted)'!G28-'CFS (Base)'!G28</f>
        <v>0</v>
      </c>
      <c r="H28" s="324">
        <f>'CFS (Adjusted)'!H28-'CFS (Base)'!H28</f>
        <v>0</v>
      </c>
      <c r="I28" s="323">
        <f>'CFS (Adjusted)'!I28-'CFS (Base)'!I28</f>
        <v>0</v>
      </c>
      <c r="J28" s="323">
        <f>'CFS (Adjusted)'!J28-'CFS (Base)'!J28</f>
        <v>0</v>
      </c>
      <c r="K28" s="323">
        <f>'CFS (Adjusted)'!K28-'CFS (Base)'!K28</f>
        <v>0</v>
      </c>
      <c r="L28" s="323">
        <f>'CFS (Adjusted)'!L28-'CFS (Base)'!L28</f>
        <v>0</v>
      </c>
      <c r="M28" s="324">
        <f>'CFS (Adjusted)'!M28-'CFS (Base)'!M28</f>
        <v>0</v>
      </c>
      <c r="N28" s="323">
        <f>'CFS (Adjusted)'!N28-'CFS (Base)'!N28</f>
        <v>0</v>
      </c>
      <c r="O28" s="323">
        <f>'CFS (Adjusted)'!O28-'CFS (Base)'!O28</f>
        <v>0</v>
      </c>
      <c r="P28" s="323">
        <f>'CFS (Adjusted)'!P28-'CFS (Base)'!P28</f>
        <v>0</v>
      </c>
      <c r="Q28" s="323">
        <f>'CFS (Adjusted)'!Q28-'CFS (Base)'!Q28</f>
        <v>0</v>
      </c>
      <c r="R28" s="324">
        <f>'CFS (Adjusted)'!R28-'CFS (Base)'!R28</f>
        <v>0</v>
      </c>
      <c r="S28" s="323">
        <f>'CFS (Adjusted)'!S28-'CFS (Base)'!S28</f>
        <v>0</v>
      </c>
      <c r="T28" s="323">
        <f>'CFS (Adjusted)'!T28-'CFS (Base)'!T28</f>
        <v>0</v>
      </c>
      <c r="U28" s="323">
        <f>'CFS (Adjusted)'!U28-'CFS (Base)'!U28</f>
        <v>0</v>
      </c>
      <c r="V28" s="323">
        <f>'CFS (Adjusted)'!V28-'CFS (Base)'!V28</f>
        <v>0</v>
      </c>
      <c r="W28" s="324">
        <f>'CFS (Adjusted)'!W28-'CFS (Base)'!W28</f>
        <v>0</v>
      </c>
      <c r="X28" s="323">
        <f>'CFS (Adjusted)'!X28-'CFS (Base)'!X28</f>
        <v>0</v>
      </c>
      <c r="Y28" s="323">
        <f>'CFS (Adjusted)'!Y28-'CFS (Base)'!Y28</f>
        <v>0</v>
      </c>
      <c r="Z28" s="323">
        <f>'CFS (Adjusted)'!Z28-'CFS (Base)'!Z28</f>
        <v>0</v>
      </c>
      <c r="AA28" s="323">
        <f>'CFS (Adjusted)'!AA28-'CFS (Base)'!AA28</f>
        <v>0</v>
      </c>
      <c r="AB28" s="324">
        <f>'CFS (Adjusted)'!AB28-'CFS (Base)'!AB28</f>
        <v>0</v>
      </c>
      <c r="AC28" s="323">
        <f>'CFS (Adjusted)'!AC28-'CFS (Base)'!AC28</f>
        <v>0</v>
      </c>
      <c r="AD28" s="323">
        <f>'CFS (Adjusted)'!AD28-'CFS (Base)'!AD28</f>
        <v>0</v>
      </c>
      <c r="AE28" s="323">
        <f>'CFS (Adjusted)'!AE28-'CFS (Base)'!AE28</f>
        <v>0</v>
      </c>
      <c r="AF28" s="323">
        <f>'CFS (Adjusted)'!AF28-'CFS (Base)'!AF28</f>
        <v>0</v>
      </c>
      <c r="AG28" s="324">
        <f>'CFS (Adjusted)'!AG28-'CFS (Base)'!AG28</f>
        <v>0</v>
      </c>
      <c r="AH28" s="323">
        <f>'CFS (Adjusted)'!AH28-'CFS (Base)'!AH28</f>
        <v>0</v>
      </c>
      <c r="AI28" s="323">
        <f>'CFS (Adjusted)'!AI28-'CFS (Base)'!AI28</f>
        <v>0</v>
      </c>
      <c r="AJ28" s="323">
        <f>'CFS (Adjusted)'!AJ28-'CFS (Base)'!AJ28</f>
        <v>0</v>
      </c>
      <c r="AK28" s="323">
        <f>'CFS (Adjusted)'!AK28-'CFS (Base)'!AK28</f>
        <v>0</v>
      </c>
      <c r="AL28" s="324">
        <f>'CFS (Adjusted)'!AL28-'CFS (Base)'!AL28</f>
        <v>0</v>
      </c>
      <c r="AM28" s="323">
        <f>'CFS (Adjusted)'!AM28-'CFS (Base)'!AM28</f>
        <v>0</v>
      </c>
      <c r="AN28" s="323">
        <f>'CFS (Adjusted)'!AN28-'CFS (Base)'!AN28</f>
        <v>0</v>
      </c>
      <c r="AO28" s="323">
        <f>'CFS (Adjusted)'!AO28-'CFS (Base)'!AO28</f>
        <v>0</v>
      </c>
      <c r="AP28" s="323">
        <f>'CFS (Adjusted)'!AP28-'CFS (Base)'!AP28</f>
        <v>0</v>
      </c>
      <c r="AQ28" s="324">
        <f>'CFS (Adjusted)'!AQ28-'CFS (Base)'!AQ28</f>
        <v>0</v>
      </c>
      <c r="AR28" s="323">
        <f>'CFS (Adjusted)'!AR28-'CFS (Base)'!AR28</f>
        <v>0</v>
      </c>
      <c r="AS28" s="323">
        <f>'CFS (Adjusted)'!AS28-'CFS (Base)'!AS28</f>
        <v>0</v>
      </c>
      <c r="AT28" s="323">
        <f>'CFS (Adjusted)'!AT28-'CFS (Base)'!AT28</f>
        <v>0</v>
      </c>
      <c r="AU28" s="323">
        <f>'CFS (Adjusted)'!AU28-'CFS (Base)'!AU28</f>
        <v>0</v>
      </c>
      <c r="AV28" s="324">
        <f>'CFS (Adjusted)'!AV28-'CFS (Base)'!AV28</f>
        <v>0</v>
      </c>
    </row>
    <row r="29" spans="2:48" outlineLevel="1" x14ac:dyDescent="0.3">
      <c r="B29" s="623" t="s">
        <v>263</v>
      </c>
      <c r="C29" s="624"/>
      <c r="D29" s="327">
        <f>'CFS (Adjusted)'!D29-'CFS (Base)'!D29</f>
        <v>0</v>
      </c>
      <c r="E29" s="327">
        <f>'CFS (Adjusted)'!E29-'CFS (Base)'!E29</f>
        <v>0</v>
      </c>
      <c r="F29" s="327">
        <f>'CFS (Adjusted)'!F29-'CFS (Base)'!F29</f>
        <v>0</v>
      </c>
      <c r="G29" s="327">
        <f>'CFS (Adjusted)'!G29-'CFS (Base)'!G29</f>
        <v>0</v>
      </c>
      <c r="H29" s="328">
        <f>'CFS (Adjusted)'!H29-'CFS (Base)'!H29</f>
        <v>0</v>
      </c>
      <c r="I29" s="327">
        <f>'CFS (Adjusted)'!I29-'CFS (Base)'!I29</f>
        <v>0</v>
      </c>
      <c r="J29" s="327">
        <f>'CFS (Adjusted)'!J29-'CFS (Base)'!J29</f>
        <v>0</v>
      </c>
      <c r="K29" s="327">
        <f>'CFS (Adjusted)'!K29-'CFS (Base)'!K29</f>
        <v>0</v>
      </c>
      <c r="L29" s="327">
        <f>'CFS (Adjusted)'!L29-'CFS (Base)'!L29</f>
        <v>0</v>
      </c>
      <c r="M29" s="328">
        <f>'CFS (Adjusted)'!M29-'CFS (Base)'!M29</f>
        <v>0</v>
      </c>
      <c r="N29" s="327">
        <f>'CFS (Adjusted)'!N29-'CFS (Base)'!N29</f>
        <v>0</v>
      </c>
      <c r="O29" s="327">
        <f>'CFS (Adjusted)'!O29-'CFS (Base)'!O29</f>
        <v>0</v>
      </c>
      <c r="P29" s="327">
        <f>'CFS (Adjusted)'!P29-'CFS (Base)'!P29</f>
        <v>0</v>
      </c>
      <c r="Q29" s="327">
        <f>'CFS (Adjusted)'!Q29-'CFS (Base)'!Q29</f>
        <v>0</v>
      </c>
      <c r="R29" s="328">
        <f>'CFS (Adjusted)'!R29-'CFS (Base)'!R29</f>
        <v>0</v>
      </c>
      <c r="S29" s="327">
        <f>'CFS (Adjusted)'!S29-'CFS (Base)'!S29</f>
        <v>0</v>
      </c>
      <c r="T29" s="327">
        <f>'CFS (Adjusted)'!T29-'CFS (Base)'!T29</f>
        <v>0</v>
      </c>
      <c r="U29" s="327">
        <f>'CFS (Adjusted)'!U29-'CFS (Base)'!U29</f>
        <v>0</v>
      </c>
      <c r="V29" s="327">
        <f>'CFS (Adjusted)'!V29-'CFS (Base)'!V29</f>
        <v>0</v>
      </c>
      <c r="W29" s="328">
        <f>'CFS (Adjusted)'!W29-'CFS (Base)'!W29</f>
        <v>0</v>
      </c>
      <c r="X29" s="327">
        <f>'CFS (Adjusted)'!X29-'CFS (Base)'!X29</f>
        <v>0</v>
      </c>
      <c r="Y29" s="327">
        <f>'CFS (Adjusted)'!Y29-'CFS (Base)'!Y29</f>
        <v>0</v>
      </c>
      <c r="Z29" s="327">
        <f>'CFS (Adjusted)'!Z29-'CFS (Base)'!Z29</f>
        <v>0</v>
      </c>
      <c r="AA29" s="327">
        <f>'CFS (Adjusted)'!AA29-'CFS (Base)'!AA29</f>
        <v>0</v>
      </c>
      <c r="AB29" s="328">
        <f>'CFS (Adjusted)'!AB29-'CFS (Base)'!AB29</f>
        <v>0</v>
      </c>
      <c r="AC29" s="327">
        <f>'CFS (Adjusted)'!AC29-'CFS (Base)'!AC29</f>
        <v>0</v>
      </c>
      <c r="AD29" s="327">
        <f>'CFS (Adjusted)'!AD29-'CFS (Base)'!AD29</f>
        <v>0</v>
      </c>
      <c r="AE29" s="327">
        <f>'CFS (Adjusted)'!AE29-'CFS (Base)'!AE29</f>
        <v>0</v>
      </c>
      <c r="AF29" s="327">
        <f>'CFS (Adjusted)'!AF29-'CFS (Base)'!AF29</f>
        <v>0</v>
      </c>
      <c r="AG29" s="328">
        <f>'CFS (Adjusted)'!AG29-'CFS (Base)'!AG29</f>
        <v>0</v>
      </c>
      <c r="AH29" s="327">
        <f>'CFS (Adjusted)'!AH29-'CFS (Base)'!AH29</f>
        <v>0</v>
      </c>
      <c r="AI29" s="327">
        <f>'CFS (Adjusted)'!AI29-'CFS (Base)'!AI29</f>
        <v>0</v>
      </c>
      <c r="AJ29" s="327">
        <f>'CFS (Adjusted)'!AJ29-'CFS (Base)'!AJ29</f>
        <v>0</v>
      </c>
      <c r="AK29" s="327">
        <f>'CFS (Adjusted)'!AK29-'CFS (Base)'!AK29</f>
        <v>0</v>
      </c>
      <c r="AL29" s="328">
        <f>'CFS (Adjusted)'!AL29-'CFS (Base)'!AL29</f>
        <v>0</v>
      </c>
      <c r="AM29" s="327">
        <f>'CFS (Adjusted)'!AM29-'CFS (Base)'!AM29</f>
        <v>0</v>
      </c>
      <c r="AN29" s="327">
        <f>'CFS (Adjusted)'!AN29-'CFS (Base)'!AN29</f>
        <v>0</v>
      </c>
      <c r="AO29" s="327">
        <f>'CFS (Adjusted)'!AO29-'CFS (Base)'!AO29</f>
        <v>0</v>
      </c>
      <c r="AP29" s="327">
        <f>'CFS (Adjusted)'!AP29-'CFS (Base)'!AP29</f>
        <v>0</v>
      </c>
      <c r="AQ29" s="328">
        <f>'CFS (Adjusted)'!AQ29-'CFS (Base)'!AQ29</f>
        <v>0</v>
      </c>
      <c r="AR29" s="327">
        <f>'CFS (Adjusted)'!AR29-'CFS (Base)'!AR29</f>
        <v>0</v>
      </c>
      <c r="AS29" s="327">
        <f>'CFS (Adjusted)'!AS29-'CFS (Base)'!AS29</f>
        <v>0</v>
      </c>
      <c r="AT29" s="327">
        <f>'CFS (Adjusted)'!AT29-'CFS (Base)'!AT29</f>
        <v>0</v>
      </c>
      <c r="AU29" s="327">
        <f>'CFS (Adjusted)'!AU29-'CFS (Base)'!AU29</f>
        <v>0</v>
      </c>
      <c r="AV29" s="328">
        <f>'CFS (Adjusted)'!AV29-'CFS (Base)'!AV29</f>
        <v>0</v>
      </c>
    </row>
    <row r="30" spans="2:48" outlineLevel="1" x14ac:dyDescent="0.3">
      <c r="B30" s="325" t="s">
        <v>287</v>
      </c>
      <c r="C30" s="326"/>
      <c r="D30" s="327">
        <f>'CFS (Adjusted)'!D30-'CFS (Base)'!D30</f>
        <v>0</v>
      </c>
      <c r="E30" s="327">
        <f>'CFS (Adjusted)'!E30-'CFS (Base)'!E30</f>
        <v>0</v>
      </c>
      <c r="F30" s="327">
        <f>'CFS (Adjusted)'!F30-'CFS (Base)'!F30</f>
        <v>0</v>
      </c>
      <c r="G30" s="327">
        <f>'CFS (Adjusted)'!G30-'CFS (Base)'!G30</f>
        <v>0</v>
      </c>
      <c r="H30" s="328">
        <f>'CFS (Adjusted)'!H30-'CFS (Base)'!H30</f>
        <v>0</v>
      </c>
      <c r="I30" s="327">
        <f>'CFS (Adjusted)'!I30-'CFS (Base)'!I30</f>
        <v>0</v>
      </c>
      <c r="J30" s="327">
        <f>'CFS (Adjusted)'!J30-'CFS (Base)'!J30</f>
        <v>0</v>
      </c>
      <c r="K30" s="327">
        <f>'CFS (Adjusted)'!K30-'CFS (Base)'!K30</f>
        <v>0</v>
      </c>
      <c r="L30" s="327">
        <f>'CFS (Adjusted)'!L30-'CFS (Base)'!L30</f>
        <v>0</v>
      </c>
      <c r="M30" s="328">
        <f>'CFS (Adjusted)'!M30-'CFS (Base)'!M30</f>
        <v>0</v>
      </c>
      <c r="N30" s="327">
        <f>'CFS (Adjusted)'!N30-'CFS (Base)'!N30</f>
        <v>0</v>
      </c>
      <c r="O30" s="327">
        <f>'CFS (Adjusted)'!O30-'CFS (Base)'!O30</f>
        <v>0</v>
      </c>
      <c r="P30" s="327">
        <f>'CFS (Adjusted)'!P30-'CFS (Base)'!P30</f>
        <v>0</v>
      </c>
      <c r="Q30" s="327">
        <f>'CFS (Adjusted)'!Q30-'CFS (Base)'!Q30</f>
        <v>0</v>
      </c>
      <c r="R30" s="328">
        <f>'CFS (Adjusted)'!R30-'CFS (Base)'!R30</f>
        <v>0</v>
      </c>
      <c r="S30" s="327">
        <f>'CFS (Adjusted)'!S30-'CFS (Base)'!S30</f>
        <v>0</v>
      </c>
      <c r="T30" s="327">
        <f>'CFS (Adjusted)'!T30-'CFS (Base)'!T30</f>
        <v>0</v>
      </c>
      <c r="U30" s="327">
        <f>'CFS (Adjusted)'!U30-'CFS (Base)'!U30</f>
        <v>0</v>
      </c>
      <c r="V30" s="327">
        <f>'CFS (Adjusted)'!V30-'CFS (Base)'!V30</f>
        <v>0</v>
      </c>
      <c r="W30" s="328">
        <f>'CFS (Adjusted)'!W30-'CFS (Base)'!W30</f>
        <v>0</v>
      </c>
      <c r="X30" s="327">
        <f>'CFS (Adjusted)'!X30-'CFS (Base)'!X30</f>
        <v>0</v>
      </c>
      <c r="Y30" s="327">
        <f>'CFS (Adjusted)'!Y30-'CFS (Base)'!Y30</f>
        <v>0</v>
      </c>
      <c r="Z30" s="327">
        <f>'CFS (Adjusted)'!Z30-'CFS (Base)'!Z30</f>
        <v>0</v>
      </c>
      <c r="AA30" s="327">
        <f>'CFS (Adjusted)'!AA30-'CFS (Base)'!AA30</f>
        <v>0</v>
      </c>
      <c r="AB30" s="328">
        <f>'CFS (Adjusted)'!AB30-'CFS (Base)'!AB30</f>
        <v>0</v>
      </c>
      <c r="AC30" s="327">
        <f>'CFS (Adjusted)'!AC30-'CFS (Base)'!AC30</f>
        <v>0</v>
      </c>
      <c r="AD30" s="327">
        <f>'CFS (Adjusted)'!AD30-'CFS (Base)'!AD30</f>
        <v>0</v>
      </c>
      <c r="AE30" s="327">
        <f>'CFS (Adjusted)'!AE30-'CFS (Base)'!AE30</f>
        <v>0</v>
      </c>
      <c r="AF30" s="327">
        <f>'CFS (Adjusted)'!AF30-'CFS (Base)'!AF30</f>
        <v>0</v>
      </c>
      <c r="AG30" s="328">
        <f>'CFS (Adjusted)'!AG30-'CFS (Base)'!AG30</f>
        <v>0</v>
      </c>
      <c r="AH30" s="327">
        <f>'CFS (Adjusted)'!AH30-'CFS (Base)'!AH30</f>
        <v>0</v>
      </c>
      <c r="AI30" s="327">
        <f>'CFS (Adjusted)'!AI30-'CFS (Base)'!AI30</f>
        <v>0</v>
      </c>
      <c r="AJ30" s="327">
        <f>'CFS (Adjusted)'!AJ30-'CFS (Base)'!AJ30</f>
        <v>0</v>
      </c>
      <c r="AK30" s="327">
        <f>'CFS (Adjusted)'!AK30-'CFS (Base)'!AK30</f>
        <v>0</v>
      </c>
      <c r="AL30" s="328">
        <f>'CFS (Adjusted)'!AL30-'CFS (Base)'!AL30</f>
        <v>0</v>
      </c>
      <c r="AM30" s="327">
        <f>'CFS (Adjusted)'!AM30-'CFS (Base)'!AM30</f>
        <v>0</v>
      </c>
      <c r="AN30" s="327">
        <f>'CFS (Adjusted)'!AN30-'CFS (Base)'!AN30</f>
        <v>0</v>
      </c>
      <c r="AO30" s="327">
        <f>'CFS (Adjusted)'!AO30-'CFS (Base)'!AO30</f>
        <v>0</v>
      </c>
      <c r="AP30" s="327">
        <f>'CFS (Adjusted)'!AP30-'CFS (Base)'!AP30</f>
        <v>0</v>
      </c>
      <c r="AQ30" s="328">
        <f>'CFS (Adjusted)'!AQ30-'CFS (Base)'!AQ30</f>
        <v>0</v>
      </c>
      <c r="AR30" s="327">
        <f>'CFS (Adjusted)'!AR30-'CFS (Base)'!AR30</f>
        <v>0</v>
      </c>
      <c r="AS30" s="327">
        <f>'CFS (Adjusted)'!AS30-'CFS (Base)'!AS30</f>
        <v>0</v>
      </c>
      <c r="AT30" s="327">
        <f>'CFS (Adjusted)'!AT30-'CFS (Base)'!AT30</f>
        <v>0</v>
      </c>
      <c r="AU30" s="327">
        <f>'CFS (Adjusted)'!AU30-'CFS (Base)'!AU30</f>
        <v>0</v>
      </c>
      <c r="AV30" s="328">
        <f>'CFS (Adjusted)'!AV30-'CFS (Base)'!AV30</f>
        <v>0</v>
      </c>
    </row>
    <row r="31" spans="2:48" outlineLevel="1" x14ac:dyDescent="0.3">
      <c r="B31" s="325" t="s">
        <v>288</v>
      </c>
      <c r="C31" s="326"/>
      <c r="D31" s="327">
        <f>'CFS (Adjusted)'!D31-'CFS (Base)'!D31</f>
        <v>0</v>
      </c>
      <c r="E31" s="327">
        <f>'CFS (Adjusted)'!E31-'CFS (Base)'!E31</f>
        <v>0</v>
      </c>
      <c r="F31" s="327">
        <f>'CFS (Adjusted)'!F31-'CFS (Base)'!F31</f>
        <v>0</v>
      </c>
      <c r="G31" s="327">
        <f>'CFS (Adjusted)'!G31-'CFS (Base)'!G31</f>
        <v>0</v>
      </c>
      <c r="H31" s="328">
        <f>'CFS (Adjusted)'!H31-'CFS (Base)'!H31</f>
        <v>0</v>
      </c>
      <c r="I31" s="327">
        <f>'CFS (Adjusted)'!I31-'CFS (Base)'!I31</f>
        <v>0</v>
      </c>
      <c r="J31" s="327">
        <f>'CFS (Adjusted)'!J31-'CFS (Base)'!J31</f>
        <v>0</v>
      </c>
      <c r="K31" s="327">
        <f>'CFS (Adjusted)'!K31-'CFS (Base)'!K31</f>
        <v>0</v>
      </c>
      <c r="L31" s="327">
        <f>'CFS (Adjusted)'!L31-'CFS (Base)'!L31</f>
        <v>0</v>
      </c>
      <c r="M31" s="328">
        <f>'CFS (Adjusted)'!M31-'CFS (Base)'!M31</f>
        <v>0</v>
      </c>
      <c r="N31" s="327">
        <f>'CFS (Adjusted)'!N31-'CFS (Base)'!N31</f>
        <v>0</v>
      </c>
      <c r="O31" s="327">
        <f>'CFS (Adjusted)'!O31-'CFS (Base)'!O31</f>
        <v>0</v>
      </c>
      <c r="P31" s="327">
        <f>'CFS (Adjusted)'!P31-'CFS (Base)'!P31</f>
        <v>0</v>
      </c>
      <c r="Q31" s="327">
        <f>'CFS (Adjusted)'!Q31-'CFS (Base)'!Q31</f>
        <v>0</v>
      </c>
      <c r="R31" s="328">
        <f>'CFS (Adjusted)'!R31-'CFS (Base)'!R31</f>
        <v>0</v>
      </c>
      <c r="S31" s="327">
        <f>'CFS (Adjusted)'!S31-'CFS (Base)'!S31</f>
        <v>0</v>
      </c>
      <c r="T31" s="327">
        <f>'CFS (Adjusted)'!T31-'CFS (Base)'!T31</f>
        <v>0</v>
      </c>
      <c r="U31" s="327">
        <f>'CFS (Adjusted)'!U31-'CFS (Base)'!U31</f>
        <v>0</v>
      </c>
      <c r="V31" s="327">
        <f>'CFS (Adjusted)'!V31-'CFS (Base)'!V31</f>
        <v>0</v>
      </c>
      <c r="W31" s="328">
        <f>'CFS (Adjusted)'!W31-'CFS (Base)'!W31</f>
        <v>0</v>
      </c>
      <c r="X31" s="327">
        <f>'CFS (Adjusted)'!X31-'CFS (Base)'!X31</f>
        <v>0</v>
      </c>
      <c r="Y31" s="327">
        <f>'CFS (Adjusted)'!Y31-'CFS (Base)'!Y31</f>
        <v>0</v>
      </c>
      <c r="Z31" s="327">
        <f>'CFS (Adjusted)'!Z31-'CFS (Base)'!Z31</f>
        <v>0</v>
      </c>
      <c r="AA31" s="327">
        <f>'CFS (Adjusted)'!AA31-'CFS (Base)'!AA31</f>
        <v>0</v>
      </c>
      <c r="AB31" s="328">
        <f>'CFS (Adjusted)'!AB31-'CFS (Base)'!AB31</f>
        <v>0</v>
      </c>
      <c r="AC31" s="327">
        <f>'CFS (Adjusted)'!AC31-'CFS (Base)'!AC31</f>
        <v>0</v>
      </c>
      <c r="AD31" s="327">
        <f>'CFS (Adjusted)'!AD31-'CFS (Base)'!AD31</f>
        <v>0</v>
      </c>
      <c r="AE31" s="327">
        <f>'CFS (Adjusted)'!AE31-'CFS (Base)'!AE31</f>
        <v>0</v>
      </c>
      <c r="AF31" s="327">
        <f>'CFS (Adjusted)'!AF31-'CFS (Base)'!AF31</f>
        <v>0</v>
      </c>
      <c r="AG31" s="328">
        <f>'CFS (Adjusted)'!AG31-'CFS (Base)'!AG31</f>
        <v>0</v>
      </c>
      <c r="AH31" s="327">
        <f>'CFS (Adjusted)'!AH31-'CFS (Base)'!AH31</f>
        <v>0</v>
      </c>
      <c r="AI31" s="327">
        <f>'CFS (Adjusted)'!AI31-'CFS (Base)'!AI31</f>
        <v>0</v>
      </c>
      <c r="AJ31" s="327">
        <f>'CFS (Adjusted)'!AJ31-'CFS (Base)'!AJ31</f>
        <v>0</v>
      </c>
      <c r="AK31" s="327">
        <f>'CFS (Adjusted)'!AK31-'CFS (Base)'!AK31</f>
        <v>0</v>
      </c>
      <c r="AL31" s="328">
        <f>'CFS (Adjusted)'!AL31-'CFS (Base)'!AL31</f>
        <v>0</v>
      </c>
      <c r="AM31" s="327">
        <f>'CFS (Adjusted)'!AM31-'CFS (Base)'!AM31</f>
        <v>0</v>
      </c>
      <c r="AN31" s="327">
        <f>'CFS (Adjusted)'!AN31-'CFS (Base)'!AN31</f>
        <v>0</v>
      </c>
      <c r="AO31" s="327">
        <f>'CFS (Adjusted)'!AO31-'CFS (Base)'!AO31</f>
        <v>0</v>
      </c>
      <c r="AP31" s="327">
        <f>'CFS (Adjusted)'!AP31-'CFS (Base)'!AP31</f>
        <v>0</v>
      </c>
      <c r="AQ31" s="328">
        <f>'CFS (Adjusted)'!AQ31-'CFS (Base)'!AQ31</f>
        <v>0</v>
      </c>
      <c r="AR31" s="327">
        <f>'CFS (Adjusted)'!AR31-'CFS (Base)'!AR31</f>
        <v>0</v>
      </c>
      <c r="AS31" s="327">
        <f>'CFS (Adjusted)'!AS31-'CFS (Base)'!AS31</f>
        <v>0</v>
      </c>
      <c r="AT31" s="327">
        <f>'CFS (Adjusted)'!AT31-'CFS (Base)'!AT31</f>
        <v>0</v>
      </c>
      <c r="AU31" s="327">
        <f>'CFS (Adjusted)'!AU31-'CFS (Base)'!AU31</f>
        <v>0</v>
      </c>
      <c r="AV31" s="328">
        <f>'CFS (Adjusted)'!AV31-'CFS (Base)'!AV31</f>
        <v>0</v>
      </c>
    </row>
    <row r="32" spans="2:48" outlineLevel="1" x14ac:dyDescent="0.3">
      <c r="B32" s="325" t="s">
        <v>289</v>
      </c>
      <c r="C32" s="326"/>
      <c r="D32" s="327">
        <f>'CFS (Adjusted)'!D32-'CFS (Base)'!D32</f>
        <v>0</v>
      </c>
      <c r="E32" s="327">
        <f>'CFS (Adjusted)'!E32-'CFS (Base)'!E32</f>
        <v>0</v>
      </c>
      <c r="F32" s="327">
        <f>'CFS (Adjusted)'!F32-'CFS (Base)'!F32</f>
        <v>0</v>
      </c>
      <c r="G32" s="327">
        <f>'CFS (Adjusted)'!G32-'CFS (Base)'!G32</f>
        <v>0</v>
      </c>
      <c r="H32" s="328">
        <f>'CFS (Adjusted)'!H32-'CFS (Base)'!H32</f>
        <v>0</v>
      </c>
      <c r="I32" s="327">
        <f>'CFS (Adjusted)'!I32-'CFS (Base)'!I32</f>
        <v>0</v>
      </c>
      <c r="J32" s="327">
        <f>'CFS (Adjusted)'!J32-'CFS (Base)'!J32</f>
        <v>0</v>
      </c>
      <c r="K32" s="327">
        <f>'CFS (Adjusted)'!K32-'CFS (Base)'!K32</f>
        <v>0</v>
      </c>
      <c r="L32" s="327">
        <f>'CFS (Adjusted)'!L32-'CFS (Base)'!L32</f>
        <v>0</v>
      </c>
      <c r="M32" s="328">
        <f>'CFS (Adjusted)'!M32-'CFS (Base)'!M32</f>
        <v>0</v>
      </c>
      <c r="N32" s="327">
        <f>'CFS (Adjusted)'!N32-'CFS (Base)'!N32</f>
        <v>0</v>
      </c>
      <c r="O32" s="327">
        <f>'CFS (Adjusted)'!O32-'CFS (Base)'!O32</f>
        <v>0</v>
      </c>
      <c r="P32" s="327">
        <f>'CFS (Adjusted)'!P32-'CFS (Base)'!P32</f>
        <v>0</v>
      </c>
      <c r="Q32" s="327">
        <f>'CFS (Adjusted)'!Q32-'CFS (Base)'!Q32</f>
        <v>0</v>
      </c>
      <c r="R32" s="328">
        <f>'CFS (Adjusted)'!R32-'CFS (Base)'!R32</f>
        <v>0</v>
      </c>
      <c r="S32" s="327">
        <f>'CFS (Adjusted)'!S32-'CFS (Base)'!S32</f>
        <v>0</v>
      </c>
      <c r="T32" s="327">
        <f>'CFS (Adjusted)'!T32-'CFS (Base)'!T32</f>
        <v>0</v>
      </c>
      <c r="U32" s="327">
        <f>'CFS (Adjusted)'!U32-'CFS (Base)'!U32</f>
        <v>0</v>
      </c>
      <c r="V32" s="327">
        <f>'CFS (Adjusted)'!V32-'CFS (Base)'!V32</f>
        <v>0</v>
      </c>
      <c r="W32" s="328">
        <f>'CFS (Adjusted)'!W32-'CFS (Base)'!W32</f>
        <v>0</v>
      </c>
      <c r="X32" s="327">
        <f>'CFS (Adjusted)'!X32-'CFS (Base)'!X32</f>
        <v>0</v>
      </c>
      <c r="Y32" s="327">
        <f>'CFS (Adjusted)'!Y32-'CFS (Base)'!Y32</f>
        <v>0</v>
      </c>
      <c r="Z32" s="327">
        <f>'CFS (Adjusted)'!Z32-'CFS (Base)'!Z32</f>
        <v>0</v>
      </c>
      <c r="AA32" s="327">
        <f>'CFS (Adjusted)'!AA32-'CFS (Base)'!AA32</f>
        <v>0</v>
      </c>
      <c r="AB32" s="328">
        <f>'CFS (Adjusted)'!AB32-'CFS (Base)'!AB32</f>
        <v>0</v>
      </c>
      <c r="AC32" s="327">
        <f>'CFS (Adjusted)'!AC32-'CFS (Base)'!AC32</f>
        <v>0</v>
      </c>
      <c r="AD32" s="327">
        <f>'CFS (Adjusted)'!AD32-'CFS (Base)'!AD32</f>
        <v>0</v>
      </c>
      <c r="AE32" s="327">
        <f>'CFS (Adjusted)'!AE32-'CFS (Base)'!AE32</f>
        <v>0</v>
      </c>
      <c r="AF32" s="327">
        <f>'CFS (Adjusted)'!AF32-'CFS (Base)'!AF32</f>
        <v>0</v>
      </c>
      <c r="AG32" s="328">
        <f>'CFS (Adjusted)'!AG32-'CFS (Base)'!AG32</f>
        <v>0</v>
      </c>
      <c r="AH32" s="327">
        <f>'CFS (Adjusted)'!AH32-'CFS (Base)'!AH32</f>
        <v>0</v>
      </c>
      <c r="AI32" s="327">
        <f>'CFS (Adjusted)'!AI32-'CFS (Base)'!AI32</f>
        <v>0</v>
      </c>
      <c r="AJ32" s="327">
        <f>'CFS (Adjusted)'!AJ32-'CFS (Base)'!AJ32</f>
        <v>0</v>
      </c>
      <c r="AK32" s="327">
        <f>'CFS (Adjusted)'!AK32-'CFS (Base)'!AK32</f>
        <v>0</v>
      </c>
      <c r="AL32" s="328">
        <f>'CFS (Adjusted)'!AL32-'CFS (Base)'!AL32</f>
        <v>0</v>
      </c>
      <c r="AM32" s="327">
        <f>'CFS (Adjusted)'!AM32-'CFS (Base)'!AM32</f>
        <v>0</v>
      </c>
      <c r="AN32" s="327">
        <f>'CFS (Adjusted)'!AN32-'CFS (Base)'!AN32</f>
        <v>0</v>
      </c>
      <c r="AO32" s="327">
        <f>'CFS (Adjusted)'!AO32-'CFS (Base)'!AO32</f>
        <v>0</v>
      </c>
      <c r="AP32" s="327">
        <f>'CFS (Adjusted)'!AP32-'CFS (Base)'!AP32</f>
        <v>0</v>
      </c>
      <c r="AQ32" s="328">
        <f>'CFS (Adjusted)'!AQ32-'CFS (Base)'!AQ32</f>
        <v>0</v>
      </c>
      <c r="AR32" s="327">
        <f>'CFS (Adjusted)'!AR32-'CFS (Base)'!AR32</f>
        <v>0</v>
      </c>
      <c r="AS32" s="327">
        <f>'CFS (Adjusted)'!AS32-'CFS (Base)'!AS32</f>
        <v>0</v>
      </c>
      <c r="AT32" s="327">
        <f>'CFS (Adjusted)'!AT32-'CFS (Base)'!AT32</f>
        <v>0</v>
      </c>
      <c r="AU32" s="327">
        <f>'CFS (Adjusted)'!AU32-'CFS (Base)'!AU32</f>
        <v>0</v>
      </c>
      <c r="AV32" s="328">
        <f>'CFS (Adjusted)'!AV32-'CFS (Base)'!AV32</f>
        <v>0</v>
      </c>
    </row>
    <row r="33" spans="2:48" outlineLevel="1" x14ac:dyDescent="0.3">
      <c r="B33" s="325" t="s">
        <v>290</v>
      </c>
      <c r="C33" s="326"/>
      <c r="D33" s="327">
        <f>'CFS (Adjusted)'!D33-'CFS (Base)'!D33</f>
        <v>0</v>
      </c>
      <c r="E33" s="327">
        <f>'CFS (Adjusted)'!E33-'CFS (Base)'!E33</f>
        <v>0</v>
      </c>
      <c r="F33" s="327">
        <f>'CFS (Adjusted)'!F33-'CFS (Base)'!F33</f>
        <v>0</v>
      </c>
      <c r="G33" s="327">
        <f>'CFS (Adjusted)'!G33-'CFS (Base)'!G33</f>
        <v>0</v>
      </c>
      <c r="H33" s="328">
        <f>'CFS (Adjusted)'!H33-'CFS (Base)'!H33</f>
        <v>0</v>
      </c>
      <c r="I33" s="327">
        <f>'CFS (Adjusted)'!I33-'CFS (Base)'!I33</f>
        <v>0</v>
      </c>
      <c r="J33" s="327">
        <f>'CFS (Adjusted)'!J33-'CFS (Base)'!J33</f>
        <v>0</v>
      </c>
      <c r="K33" s="327">
        <f>'CFS (Adjusted)'!K33-'CFS (Base)'!K33</f>
        <v>0</v>
      </c>
      <c r="L33" s="327">
        <f>'CFS (Adjusted)'!L33-'CFS (Base)'!L33</f>
        <v>0</v>
      </c>
      <c r="M33" s="328">
        <f>'CFS (Adjusted)'!M33-'CFS (Base)'!M33</f>
        <v>0</v>
      </c>
      <c r="N33" s="327">
        <f>'CFS (Adjusted)'!N33-'CFS (Base)'!N33</f>
        <v>0</v>
      </c>
      <c r="O33" s="327">
        <f>'CFS (Adjusted)'!O33-'CFS (Base)'!O33</f>
        <v>0</v>
      </c>
      <c r="P33" s="327">
        <f>'CFS (Adjusted)'!P33-'CFS (Base)'!P33</f>
        <v>0</v>
      </c>
      <c r="Q33" s="327">
        <f>'CFS (Adjusted)'!Q33-'CFS (Base)'!Q33</f>
        <v>0</v>
      </c>
      <c r="R33" s="328">
        <f>'CFS (Adjusted)'!R33-'CFS (Base)'!R33</f>
        <v>0</v>
      </c>
      <c r="S33" s="327">
        <f>'CFS (Adjusted)'!S33-'CFS (Base)'!S33</f>
        <v>0</v>
      </c>
      <c r="T33" s="327">
        <f>'CFS (Adjusted)'!T33-'CFS (Base)'!T33</f>
        <v>0</v>
      </c>
      <c r="U33" s="327">
        <f>'CFS (Adjusted)'!U33-'CFS (Base)'!U33</f>
        <v>0</v>
      </c>
      <c r="V33" s="327">
        <f>'CFS (Adjusted)'!V33-'CFS (Base)'!V33</f>
        <v>0</v>
      </c>
      <c r="W33" s="328">
        <f>'CFS (Adjusted)'!W33-'CFS (Base)'!W33</f>
        <v>0</v>
      </c>
      <c r="X33" s="327">
        <f>'CFS (Adjusted)'!X33-'CFS (Base)'!X33</f>
        <v>0</v>
      </c>
      <c r="Y33" s="327">
        <f>'CFS (Adjusted)'!Y33-'CFS (Base)'!Y33</f>
        <v>0</v>
      </c>
      <c r="Z33" s="327">
        <f>'CFS (Adjusted)'!Z33-'CFS (Base)'!Z33</f>
        <v>0</v>
      </c>
      <c r="AA33" s="327">
        <f>'CFS (Adjusted)'!AA33-'CFS (Base)'!AA33</f>
        <v>0</v>
      </c>
      <c r="AB33" s="328">
        <f>'CFS (Adjusted)'!AB33-'CFS (Base)'!AB33</f>
        <v>0</v>
      </c>
      <c r="AC33" s="327">
        <f>'CFS (Adjusted)'!AC33-'CFS (Base)'!AC33</f>
        <v>0</v>
      </c>
      <c r="AD33" s="327">
        <f>'CFS (Adjusted)'!AD33-'CFS (Base)'!AD33</f>
        <v>0</v>
      </c>
      <c r="AE33" s="327">
        <f>'CFS (Adjusted)'!AE33-'CFS (Base)'!AE33</f>
        <v>0</v>
      </c>
      <c r="AF33" s="327">
        <f>'CFS (Adjusted)'!AF33-'CFS (Base)'!AF33</f>
        <v>0</v>
      </c>
      <c r="AG33" s="328">
        <f>'CFS (Adjusted)'!AG33-'CFS (Base)'!AG33</f>
        <v>0</v>
      </c>
      <c r="AH33" s="327">
        <f>'CFS (Adjusted)'!AH33-'CFS (Base)'!AH33</f>
        <v>0</v>
      </c>
      <c r="AI33" s="327">
        <f>'CFS (Adjusted)'!AI33-'CFS (Base)'!AI33</f>
        <v>0</v>
      </c>
      <c r="AJ33" s="327">
        <f>'CFS (Adjusted)'!AJ33-'CFS (Base)'!AJ33</f>
        <v>0</v>
      </c>
      <c r="AK33" s="327">
        <f>'CFS (Adjusted)'!AK33-'CFS (Base)'!AK33</f>
        <v>0</v>
      </c>
      <c r="AL33" s="328">
        <f>'CFS (Adjusted)'!AL33-'CFS (Base)'!AL33</f>
        <v>0</v>
      </c>
      <c r="AM33" s="327">
        <f>'CFS (Adjusted)'!AM33-'CFS (Base)'!AM33</f>
        <v>0</v>
      </c>
      <c r="AN33" s="327">
        <f>'CFS (Adjusted)'!AN33-'CFS (Base)'!AN33</f>
        <v>0</v>
      </c>
      <c r="AO33" s="327">
        <f>'CFS (Adjusted)'!AO33-'CFS (Base)'!AO33</f>
        <v>0</v>
      </c>
      <c r="AP33" s="327">
        <f>'CFS (Adjusted)'!AP33-'CFS (Base)'!AP33</f>
        <v>0</v>
      </c>
      <c r="AQ33" s="328">
        <f>'CFS (Adjusted)'!AQ33-'CFS (Base)'!AQ33</f>
        <v>0</v>
      </c>
      <c r="AR33" s="327">
        <f>'CFS (Adjusted)'!AR33-'CFS (Base)'!AR33</f>
        <v>0</v>
      </c>
      <c r="AS33" s="327">
        <f>'CFS (Adjusted)'!AS33-'CFS (Base)'!AS33</f>
        <v>0</v>
      </c>
      <c r="AT33" s="327">
        <f>'CFS (Adjusted)'!AT33-'CFS (Base)'!AT33</f>
        <v>0</v>
      </c>
      <c r="AU33" s="327">
        <f>'CFS (Adjusted)'!AU33-'CFS (Base)'!AU33</f>
        <v>0</v>
      </c>
      <c r="AV33" s="328">
        <f>'CFS (Adjusted)'!AV33-'CFS (Base)'!AV33</f>
        <v>0</v>
      </c>
    </row>
    <row r="34" spans="2:48" outlineLevel="1" x14ac:dyDescent="0.3">
      <c r="B34" s="325" t="s">
        <v>291</v>
      </c>
      <c r="C34" s="338"/>
      <c r="D34" s="327">
        <f>'CFS (Adjusted)'!D34-'CFS (Base)'!D34</f>
        <v>0</v>
      </c>
      <c r="E34" s="327">
        <f>'CFS (Adjusted)'!E34-'CFS (Base)'!E34</f>
        <v>0</v>
      </c>
      <c r="F34" s="327">
        <f>'CFS (Adjusted)'!F34-'CFS (Base)'!F34</f>
        <v>0</v>
      </c>
      <c r="G34" s="327">
        <f>'CFS (Adjusted)'!G34-'CFS (Base)'!G34</f>
        <v>0</v>
      </c>
      <c r="H34" s="328">
        <f>'CFS (Adjusted)'!H34-'CFS (Base)'!H34</f>
        <v>0</v>
      </c>
      <c r="I34" s="327">
        <f>'CFS (Adjusted)'!I34-'CFS (Base)'!I34</f>
        <v>0</v>
      </c>
      <c r="J34" s="327">
        <f>'CFS (Adjusted)'!J34-'CFS (Base)'!J34</f>
        <v>0</v>
      </c>
      <c r="K34" s="327">
        <f>'CFS (Adjusted)'!K34-'CFS (Base)'!K34</f>
        <v>0</v>
      </c>
      <c r="L34" s="327">
        <f>'CFS (Adjusted)'!L34-'CFS (Base)'!L34</f>
        <v>0</v>
      </c>
      <c r="M34" s="328">
        <f>'CFS (Adjusted)'!M34-'CFS (Base)'!M34</f>
        <v>0</v>
      </c>
      <c r="N34" s="327">
        <f>'CFS (Adjusted)'!N34-'CFS (Base)'!N34</f>
        <v>0</v>
      </c>
      <c r="O34" s="327">
        <f>'CFS (Adjusted)'!O34-'CFS (Base)'!O34</f>
        <v>0</v>
      </c>
      <c r="P34" s="327">
        <f>'CFS (Adjusted)'!P34-'CFS (Base)'!P34</f>
        <v>0</v>
      </c>
      <c r="Q34" s="327">
        <f>'CFS (Adjusted)'!Q34-'CFS (Base)'!Q34</f>
        <v>0</v>
      </c>
      <c r="R34" s="328">
        <f>'CFS (Adjusted)'!R34-'CFS (Base)'!R34</f>
        <v>0</v>
      </c>
      <c r="S34" s="327">
        <f>'CFS (Adjusted)'!S34-'CFS (Base)'!S34</f>
        <v>0</v>
      </c>
      <c r="T34" s="327">
        <f>'CFS (Adjusted)'!T34-'CFS (Base)'!T34</f>
        <v>0</v>
      </c>
      <c r="U34" s="327">
        <f>'CFS (Adjusted)'!U34-'CFS (Base)'!U34</f>
        <v>0</v>
      </c>
      <c r="V34" s="327">
        <f>'CFS (Adjusted)'!V34-'CFS (Base)'!V34</f>
        <v>0</v>
      </c>
      <c r="W34" s="328">
        <f>'CFS (Adjusted)'!W34-'CFS (Base)'!W34</f>
        <v>0</v>
      </c>
      <c r="X34" s="327">
        <f>'CFS (Adjusted)'!X34-'CFS (Base)'!X34</f>
        <v>0</v>
      </c>
      <c r="Y34" s="327">
        <f>'CFS (Adjusted)'!Y34-'CFS (Base)'!Y34</f>
        <v>0</v>
      </c>
      <c r="Z34" s="327">
        <f>'CFS (Adjusted)'!Z34-'CFS (Base)'!Z34</f>
        <v>0</v>
      </c>
      <c r="AA34" s="327">
        <f>'CFS (Adjusted)'!AA34-'CFS (Base)'!AA34</f>
        <v>0</v>
      </c>
      <c r="AB34" s="328">
        <f>'CFS (Adjusted)'!AB34-'CFS (Base)'!AB34</f>
        <v>0</v>
      </c>
      <c r="AC34" s="327">
        <f>'CFS (Adjusted)'!AC34-'CFS (Base)'!AC34</f>
        <v>0</v>
      </c>
      <c r="AD34" s="327">
        <f>'CFS (Adjusted)'!AD34-'CFS (Base)'!AD34</f>
        <v>0</v>
      </c>
      <c r="AE34" s="327">
        <f>'CFS (Adjusted)'!AE34-'CFS (Base)'!AE34</f>
        <v>0</v>
      </c>
      <c r="AF34" s="327">
        <f>'CFS (Adjusted)'!AF34-'CFS (Base)'!AF34</f>
        <v>0</v>
      </c>
      <c r="AG34" s="328">
        <f>'CFS (Adjusted)'!AG34-'CFS (Base)'!AG34</f>
        <v>0</v>
      </c>
      <c r="AH34" s="327">
        <f>'CFS (Adjusted)'!AH34-'CFS (Base)'!AH34</f>
        <v>0</v>
      </c>
      <c r="AI34" s="327">
        <f>'CFS (Adjusted)'!AI34-'CFS (Base)'!AI34</f>
        <v>0</v>
      </c>
      <c r="AJ34" s="327">
        <f>'CFS (Adjusted)'!AJ34-'CFS (Base)'!AJ34</f>
        <v>0</v>
      </c>
      <c r="AK34" s="327">
        <f>'CFS (Adjusted)'!AK34-'CFS (Base)'!AK34</f>
        <v>0</v>
      </c>
      <c r="AL34" s="328">
        <f>'CFS (Adjusted)'!AL34-'CFS (Base)'!AL34</f>
        <v>0</v>
      </c>
      <c r="AM34" s="327">
        <f>'CFS (Adjusted)'!AM34-'CFS (Base)'!AM34</f>
        <v>0</v>
      </c>
      <c r="AN34" s="327">
        <f>'CFS (Adjusted)'!AN34-'CFS (Base)'!AN34</f>
        <v>0</v>
      </c>
      <c r="AO34" s="327">
        <f>'CFS (Adjusted)'!AO34-'CFS (Base)'!AO34</f>
        <v>0</v>
      </c>
      <c r="AP34" s="327">
        <f>'CFS (Adjusted)'!AP34-'CFS (Base)'!AP34</f>
        <v>0</v>
      </c>
      <c r="AQ34" s="328">
        <f>'CFS (Adjusted)'!AQ34-'CFS (Base)'!AQ34</f>
        <v>0</v>
      </c>
      <c r="AR34" s="327">
        <f>'CFS (Adjusted)'!AR34-'CFS (Base)'!AR34</f>
        <v>0</v>
      </c>
      <c r="AS34" s="327">
        <f>'CFS (Adjusted)'!AS34-'CFS (Base)'!AS34</f>
        <v>0</v>
      </c>
      <c r="AT34" s="327">
        <f>'CFS (Adjusted)'!AT34-'CFS (Base)'!AT34</f>
        <v>0</v>
      </c>
      <c r="AU34" s="327">
        <f>'CFS (Adjusted)'!AU34-'CFS (Base)'!AU34</f>
        <v>0</v>
      </c>
      <c r="AV34" s="328">
        <f>'CFS (Adjusted)'!AV34-'CFS (Base)'!AV34</f>
        <v>0</v>
      </c>
    </row>
    <row r="35" spans="2:48" outlineLevel="1" x14ac:dyDescent="0.3">
      <c r="B35" s="325" t="s">
        <v>292</v>
      </c>
      <c r="C35" s="339"/>
      <c r="D35" s="327">
        <f>'CFS (Adjusted)'!D35-'CFS (Base)'!D35</f>
        <v>0</v>
      </c>
      <c r="E35" s="327">
        <f>'CFS (Adjusted)'!E35-'CFS (Base)'!E35</f>
        <v>0</v>
      </c>
      <c r="F35" s="327">
        <f>'CFS (Adjusted)'!F35-'CFS (Base)'!F35</f>
        <v>0</v>
      </c>
      <c r="G35" s="327">
        <f>'CFS (Adjusted)'!G35-'CFS (Base)'!G35</f>
        <v>0</v>
      </c>
      <c r="H35" s="328">
        <f>'CFS (Adjusted)'!H35-'CFS (Base)'!H35</f>
        <v>0</v>
      </c>
      <c r="I35" s="327">
        <f>'CFS (Adjusted)'!I35-'CFS (Base)'!I35</f>
        <v>0</v>
      </c>
      <c r="J35" s="327">
        <f>'CFS (Adjusted)'!J35-'CFS (Base)'!J35</f>
        <v>0</v>
      </c>
      <c r="K35" s="327">
        <f>'CFS (Adjusted)'!K35-'CFS (Base)'!K35</f>
        <v>0</v>
      </c>
      <c r="L35" s="327">
        <f>'CFS (Adjusted)'!L35-'CFS (Base)'!L35</f>
        <v>0</v>
      </c>
      <c r="M35" s="328">
        <f>'CFS (Adjusted)'!M35-'CFS (Base)'!M35</f>
        <v>0</v>
      </c>
      <c r="N35" s="327">
        <f>'CFS (Adjusted)'!N35-'CFS (Base)'!N35</f>
        <v>0</v>
      </c>
      <c r="O35" s="327">
        <f>'CFS (Adjusted)'!O35-'CFS (Base)'!O35</f>
        <v>0</v>
      </c>
      <c r="P35" s="327">
        <f>'CFS (Adjusted)'!P35-'CFS (Base)'!P35</f>
        <v>0</v>
      </c>
      <c r="Q35" s="327">
        <f>'CFS (Adjusted)'!Q35-'CFS (Base)'!Q35</f>
        <v>0</v>
      </c>
      <c r="R35" s="328">
        <f>'CFS (Adjusted)'!R35-'CFS (Base)'!R35</f>
        <v>0</v>
      </c>
      <c r="S35" s="327">
        <f>'CFS (Adjusted)'!S35-'CFS (Base)'!S35</f>
        <v>0</v>
      </c>
      <c r="T35" s="327">
        <f>'CFS (Adjusted)'!T35-'CFS (Base)'!T35</f>
        <v>0</v>
      </c>
      <c r="U35" s="327">
        <f>'CFS (Adjusted)'!U35-'CFS (Base)'!U35</f>
        <v>0</v>
      </c>
      <c r="V35" s="327">
        <f>'CFS (Adjusted)'!V35-'CFS (Base)'!V35</f>
        <v>0</v>
      </c>
      <c r="W35" s="328">
        <f>'CFS (Adjusted)'!W35-'CFS (Base)'!W35</f>
        <v>0</v>
      </c>
      <c r="X35" s="327">
        <f>'CFS (Adjusted)'!X35-'CFS (Base)'!X35</f>
        <v>0</v>
      </c>
      <c r="Y35" s="327">
        <f>'CFS (Adjusted)'!Y35-'CFS (Base)'!Y35</f>
        <v>0</v>
      </c>
      <c r="Z35" s="327">
        <f>'CFS (Adjusted)'!Z35-'CFS (Base)'!Z35</f>
        <v>0</v>
      </c>
      <c r="AA35" s="327">
        <f>'CFS (Adjusted)'!AA35-'CFS (Base)'!AA35</f>
        <v>0</v>
      </c>
      <c r="AB35" s="328">
        <f>'CFS (Adjusted)'!AB35-'CFS (Base)'!AB35</f>
        <v>0</v>
      </c>
      <c r="AC35" s="327">
        <f>'CFS (Adjusted)'!AC35-'CFS (Base)'!AC35</f>
        <v>0</v>
      </c>
      <c r="AD35" s="327">
        <f>'CFS (Adjusted)'!AD35-'CFS (Base)'!AD35</f>
        <v>0</v>
      </c>
      <c r="AE35" s="327">
        <f>'CFS (Adjusted)'!AE35-'CFS (Base)'!AE35</f>
        <v>0</v>
      </c>
      <c r="AF35" s="327">
        <f>'CFS (Adjusted)'!AF35-'CFS (Base)'!AF35</f>
        <v>0</v>
      </c>
      <c r="AG35" s="328">
        <f>'CFS (Adjusted)'!AG35-'CFS (Base)'!AG35</f>
        <v>0</v>
      </c>
      <c r="AH35" s="327">
        <f>'CFS (Adjusted)'!AH35-'CFS (Base)'!AH35</f>
        <v>0</v>
      </c>
      <c r="AI35" s="327">
        <f>'CFS (Adjusted)'!AI35-'CFS (Base)'!AI35</f>
        <v>0</v>
      </c>
      <c r="AJ35" s="327">
        <f>'CFS (Adjusted)'!AJ35-'CFS (Base)'!AJ35</f>
        <v>0</v>
      </c>
      <c r="AK35" s="327">
        <f>'CFS (Adjusted)'!AK35-'CFS (Base)'!AK35</f>
        <v>0</v>
      </c>
      <c r="AL35" s="328">
        <f>'CFS (Adjusted)'!AL35-'CFS (Base)'!AL35</f>
        <v>0</v>
      </c>
      <c r="AM35" s="327">
        <f>'CFS (Adjusted)'!AM35-'CFS (Base)'!AM35</f>
        <v>0</v>
      </c>
      <c r="AN35" s="327">
        <f>'CFS (Adjusted)'!AN35-'CFS (Base)'!AN35</f>
        <v>0</v>
      </c>
      <c r="AO35" s="327">
        <f>'CFS (Adjusted)'!AO35-'CFS (Base)'!AO35</f>
        <v>0</v>
      </c>
      <c r="AP35" s="327">
        <f>'CFS (Adjusted)'!AP35-'CFS (Base)'!AP35</f>
        <v>0</v>
      </c>
      <c r="AQ35" s="328">
        <f>'CFS (Adjusted)'!AQ35-'CFS (Base)'!AQ35</f>
        <v>0</v>
      </c>
      <c r="AR35" s="327">
        <f>'CFS (Adjusted)'!AR35-'CFS (Base)'!AR35</f>
        <v>0</v>
      </c>
      <c r="AS35" s="327">
        <f>'CFS (Adjusted)'!AS35-'CFS (Base)'!AS35</f>
        <v>0</v>
      </c>
      <c r="AT35" s="327">
        <f>'CFS (Adjusted)'!AT35-'CFS (Base)'!AT35</f>
        <v>0</v>
      </c>
      <c r="AU35" s="327">
        <f>'CFS (Adjusted)'!AU35-'CFS (Base)'!AU35</f>
        <v>0</v>
      </c>
      <c r="AV35" s="328">
        <f>'CFS (Adjusted)'!AV35-'CFS (Base)'!AV35</f>
        <v>0</v>
      </c>
    </row>
    <row r="36" spans="2:48" ht="16.2" outlineLevel="1" x14ac:dyDescent="0.45">
      <c r="B36" s="623" t="s">
        <v>293</v>
      </c>
      <c r="C36" s="624"/>
      <c r="D36" s="329">
        <f>'CFS (Adjusted)'!D36-'CFS (Base)'!D36</f>
        <v>0</v>
      </c>
      <c r="E36" s="329">
        <f>'CFS (Adjusted)'!E36-'CFS (Base)'!E36</f>
        <v>0</v>
      </c>
      <c r="F36" s="329">
        <f>'CFS (Adjusted)'!F36-'CFS (Base)'!F36</f>
        <v>0</v>
      </c>
      <c r="G36" s="329">
        <f>'CFS (Adjusted)'!G36-'CFS (Base)'!G36</f>
        <v>0</v>
      </c>
      <c r="H36" s="330">
        <f>'CFS (Adjusted)'!H36-'CFS (Base)'!H36</f>
        <v>0</v>
      </c>
      <c r="I36" s="329">
        <f>'CFS (Adjusted)'!I36-'CFS (Base)'!I36</f>
        <v>0</v>
      </c>
      <c r="J36" s="329">
        <f>'CFS (Adjusted)'!J36-'CFS (Base)'!J36</f>
        <v>0</v>
      </c>
      <c r="K36" s="329">
        <f>'CFS (Adjusted)'!K36-'CFS (Base)'!K36</f>
        <v>0</v>
      </c>
      <c r="L36" s="329">
        <f>'CFS (Adjusted)'!L36-'CFS (Base)'!L36</f>
        <v>0</v>
      </c>
      <c r="M36" s="330">
        <f>'CFS (Adjusted)'!M36-'CFS (Base)'!M36</f>
        <v>0</v>
      </c>
      <c r="N36" s="329">
        <f>'CFS (Adjusted)'!N36-'CFS (Base)'!N36</f>
        <v>0</v>
      </c>
      <c r="O36" s="329">
        <f>'CFS (Adjusted)'!O36-'CFS (Base)'!O36</f>
        <v>0</v>
      </c>
      <c r="P36" s="329">
        <f>'CFS (Adjusted)'!P36-'CFS (Base)'!P36</f>
        <v>0</v>
      </c>
      <c r="Q36" s="329">
        <f>'CFS (Adjusted)'!Q36-'CFS (Base)'!Q36</f>
        <v>0</v>
      </c>
      <c r="R36" s="330">
        <f>'CFS (Adjusted)'!R36-'CFS (Base)'!R36</f>
        <v>0</v>
      </c>
      <c r="S36" s="329">
        <f>'CFS (Adjusted)'!S36-'CFS (Base)'!S36</f>
        <v>0</v>
      </c>
      <c r="T36" s="329">
        <f>'CFS (Adjusted)'!T36-'CFS (Base)'!T36</f>
        <v>0</v>
      </c>
      <c r="U36" s="329">
        <f>'CFS (Adjusted)'!U36-'CFS (Base)'!U36</f>
        <v>0</v>
      </c>
      <c r="V36" s="329">
        <f>'CFS (Adjusted)'!V36-'CFS (Base)'!V36</f>
        <v>0</v>
      </c>
      <c r="W36" s="330">
        <f>'CFS (Adjusted)'!W36-'CFS (Base)'!W36</f>
        <v>0</v>
      </c>
      <c r="X36" s="329">
        <f>'CFS (Adjusted)'!X36-'CFS (Base)'!X36</f>
        <v>0</v>
      </c>
      <c r="Y36" s="329">
        <f>'CFS (Adjusted)'!Y36-'CFS (Base)'!Y36</f>
        <v>0</v>
      </c>
      <c r="Z36" s="329">
        <f>'CFS (Adjusted)'!Z36-'CFS (Base)'!Z36</f>
        <v>0</v>
      </c>
      <c r="AA36" s="329">
        <f>'CFS (Adjusted)'!AA36-'CFS (Base)'!AA36</f>
        <v>0</v>
      </c>
      <c r="AB36" s="330">
        <f>'CFS (Adjusted)'!AB36-'CFS (Base)'!AB36</f>
        <v>0</v>
      </c>
      <c r="AC36" s="329">
        <f>'CFS (Adjusted)'!AC36-'CFS (Base)'!AC36</f>
        <v>0</v>
      </c>
      <c r="AD36" s="329">
        <f>'CFS (Adjusted)'!AD36-'CFS (Base)'!AD36</f>
        <v>0</v>
      </c>
      <c r="AE36" s="329">
        <f>'CFS (Adjusted)'!AE36-'CFS (Base)'!AE36</f>
        <v>0</v>
      </c>
      <c r="AF36" s="329">
        <f>'CFS (Adjusted)'!AF36-'CFS (Base)'!AF36</f>
        <v>0</v>
      </c>
      <c r="AG36" s="330">
        <f>'CFS (Adjusted)'!AG36-'CFS (Base)'!AG36</f>
        <v>0</v>
      </c>
      <c r="AH36" s="329">
        <f>'CFS (Adjusted)'!AH36-'CFS (Base)'!AH36</f>
        <v>0</v>
      </c>
      <c r="AI36" s="329">
        <f>'CFS (Adjusted)'!AI36-'CFS (Base)'!AI36</f>
        <v>0</v>
      </c>
      <c r="AJ36" s="329">
        <f>'CFS (Adjusted)'!AJ36-'CFS (Base)'!AJ36</f>
        <v>0</v>
      </c>
      <c r="AK36" s="329">
        <f>'CFS (Adjusted)'!AK36-'CFS (Base)'!AK36</f>
        <v>0</v>
      </c>
      <c r="AL36" s="330">
        <f>'CFS (Adjusted)'!AL36-'CFS (Base)'!AL36</f>
        <v>0</v>
      </c>
      <c r="AM36" s="329">
        <f>'CFS (Adjusted)'!AM36-'CFS (Base)'!AM36</f>
        <v>0</v>
      </c>
      <c r="AN36" s="329">
        <f>'CFS (Adjusted)'!AN36-'CFS (Base)'!AN36</f>
        <v>0</v>
      </c>
      <c r="AO36" s="329">
        <f>'CFS (Adjusted)'!AO36-'CFS (Base)'!AO36</f>
        <v>0</v>
      </c>
      <c r="AP36" s="329">
        <f>'CFS (Adjusted)'!AP36-'CFS (Base)'!AP36</f>
        <v>0</v>
      </c>
      <c r="AQ36" s="330">
        <f>'CFS (Adjusted)'!AQ36-'CFS (Base)'!AQ36</f>
        <v>0</v>
      </c>
      <c r="AR36" s="329">
        <f>'CFS (Adjusted)'!AR36-'CFS (Base)'!AR36</f>
        <v>0</v>
      </c>
      <c r="AS36" s="329">
        <f>'CFS (Adjusted)'!AS36-'CFS (Base)'!AS36</f>
        <v>0</v>
      </c>
      <c r="AT36" s="329">
        <f>'CFS (Adjusted)'!AT36-'CFS (Base)'!AT36</f>
        <v>0</v>
      </c>
      <c r="AU36" s="329">
        <f>'CFS (Adjusted)'!AU36-'CFS (Base)'!AU36</f>
        <v>0</v>
      </c>
      <c r="AV36" s="330">
        <f>'CFS (Adjusted)'!AV36-'CFS (Base)'!AV36</f>
        <v>0</v>
      </c>
    </row>
    <row r="37" spans="2:48" outlineLevel="1" x14ac:dyDescent="0.3">
      <c r="B37" s="627" t="s">
        <v>294</v>
      </c>
      <c r="C37" s="628"/>
      <c r="D37" s="331">
        <f>'CFS (Adjusted)'!D37-'CFS (Base)'!D37</f>
        <v>0</v>
      </c>
      <c r="E37" s="331">
        <f>'CFS (Adjusted)'!E37-'CFS (Base)'!E37</f>
        <v>0</v>
      </c>
      <c r="F37" s="331">
        <f>'CFS (Adjusted)'!F37-'CFS (Base)'!F37</f>
        <v>0</v>
      </c>
      <c r="G37" s="331">
        <f>'CFS (Adjusted)'!G37-'CFS (Base)'!G37</f>
        <v>0</v>
      </c>
      <c r="H37" s="332">
        <f>'CFS (Adjusted)'!H37-'CFS (Base)'!H37</f>
        <v>0</v>
      </c>
      <c r="I37" s="331">
        <f>'CFS (Adjusted)'!I37-'CFS (Base)'!I37</f>
        <v>0</v>
      </c>
      <c r="J37" s="331">
        <f>'CFS (Adjusted)'!J37-'CFS (Base)'!J37</f>
        <v>0</v>
      </c>
      <c r="K37" s="331">
        <f>'CFS (Adjusted)'!K37-'CFS (Base)'!K37</f>
        <v>0</v>
      </c>
      <c r="L37" s="331">
        <f>'CFS (Adjusted)'!L37-'CFS (Base)'!L37</f>
        <v>0</v>
      </c>
      <c r="M37" s="332">
        <f>'CFS (Adjusted)'!M37-'CFS (Base)'!M37</f>
        <v>0</v>
      </c>
      <c r="N37" s="331">
        <f>'CFS (Adjusted)'!N37-'CFS (Base)'!N37</f>
        <v>0</v>
      </c>
      <c r="O37" s="331">
        <f>'CFS (Adjusted)'!O37-'CFS (Base)'!O37</f>
        <v>0</v>
      </c>
      <c r="P37" s="331">
        <f>'CFS (Adjusted)'!P37-'CFS (Base)'!P37</f>
        <v>0</v>
      </c>
      <c r="Q37" s="331">
        <f>'CFS (Adjusted)'!Q37-'CFS (Base)'!Q37</f>
        <v>0</v>
      </c>
      <c r="R37" s="332">
        <f>'CFS (Adjusted)'!R37-'CFS (Base)'!R37</f>
        <v>0</v>
      </c>
      <c r="S37" s="331">
        <f>'CFS (Adjusted)'!S37-'CFS (Base)'!S37</f>
        <v>0</v>
      </c>
      <c r="T37" s="331">
        <f>'CFS (Adjusted)'!T37-'CFS (Base)'!T37</f>
        <v>0</v>
      </c>
      <c r="U37" s="331">
        <f>'CFS (Adjusted)'!U37-'CFS (Base)'!U37</f>
        <v>0</v>
      </c>
      <c r="V37" s="331">
        <f>'CFS (Adjusted)'!V37-'CFS (Base)'!V37</f>
        <v>0</v>
      </c>
      <c r="W37" s="332">
        <f>'CFS (Adjusted)'!W37-'CFS (Base)'!W37</f>
        <v>0</v>
      </c>
      <c r="X37" s="331">
        <f>'CFS (Adjusted)'!X37-'CFS (Base)'!X37</f>
        <v>0</v>
      </c>
      <c r="Y37" s="331">
        <f>'CFS (Adjusted)'!Y37-'CFS (Base)'!Y37</f>
        <v>0</v>
      </c>
      <c r="Z37" s="331">
        <f>'CFS (Adjusted)'!Z37-'CFS (Base)'!Z37</f>
        <v>0</v>
      </c>
      <c r="AA37" s="331">
        <f>'CFS (Adjusted)'!AA37-'CFS (Base)'!AA37</f>
        <v>0</v>
      </c>
      <c r="AB37" s="332">
        <f>'CFS (Adjusted)'!AB37-'CFS (Base)'!AB37</f>
        <v>0</v>
      </c>
      <c r="AC37" s="331">
        <f>'CFS (Adjusted)'!AC37-'CFS (Base)'!AC37</f>
        <v>0</v>
      </c>
      <c r="AD37" s="331">
        <f>'CFS (Adjusted)'!AD37-'CFS (Base)'!AD37</f>
        <v>0</v>
      </c>
      <c r="AE37" s="331">
        <f>'CFS (Adjusted)'!AE37-'CFS (Base)'!AE37</f>
        <v>0</v>
      </c>
      <c r="AF37" s="331">
        <f>'CFS (Adjusted)'!AF37-'CFS (Base)'!AF37</f>
        <v>0</v>
      </c>
      <c r="AG37" s="332">
        <f>'CFS (Adjusted)'!AG37-'CFS (Base)'!AG37</f>
        <v>0</v>
      </c>
      <c r="AH37" s="331">
        <f>'CFS (Adjusted)'!AH37-'CFS (Base)'!AH37</f>
        <v>0</v>
      </c>
      <c r="AI37" s="331">
        <f>'CFS (Adjusted)'!AI37-'CFS (Base)'!AI37</f>
        <v>0</v>
      </c>
      <c r="AJ37" s="331">
        <f>'CFS (Adjusted)'!AJ37-'CFS (Base)'!AJ37</f>
        <v>0</v>
      </c>
      <c r="AK37" s="331">
        <f>'CFS (Adjusted)'!AK37-'CFS (Base)'!AK37</f>
        <v>0</v>
      </c>
      <c r="AL37" s="332">
        <f>'CFS (Adjusted)'!AL37-'CFS (Base)'!AL37</f>
        <v>0</v>
      </c>
      <c r="AM37" s="331">
        <f>'CFS (Adjusted)'!AM37-'CFS (Base)'!AM37</f>
        <v>0</v>
      </c>
      <c r="AN37" s="331">
        <f>'CFS (Adjusted)'!AN37-'CFS (Base)'!AN37</f>
        <v>0</v>
      </c>
      <c r="AO37" s="331">
        <f>'CFS (Adjusted)'!AO37-'CFS (Base)'!AO37</f>
        <v>0</v>
      </c>
      <c r="AP37" s="331">
        <f>'CFS (Adjusted)'!AP37-'CFS (Base)'!AP37</f>
        <v>0</v>
      </c>
      <c r="AQ37" s="332">
        <f>'CFS (Adjusted)'!AQ37-'CFS (Base)'!AQ37</f>
        <v>0</v>
      </c>
      <c r="AR37" s="331">
        <f>'CFS (Adjusted)'!AR37-'CFS (Base)'!AR37</f>
        <v>0</v>
      </c>
      <c r="AS37" s="331">
        <f>'CFS (Adjusted)'!AS37-'CFS (Base)'!AS37</f>
        <v>0</v>
      </c>
      <c r="AT37" s="331">
        <f>'CFS (Adjusted)'!AT37-'CFS (Base)'!AT37</f>
        <v>0</v>
      </c>
      <c r="AU37" s="331">
        <f>'CFS (Adjusted)'!AU37-'CFS (Base)'!AU37</f>
        <v>0</v>
      </c>
      <c r="AV37" s="332">
        <f>'CFS (Adjusted)'!AV37-'CFS (Base)'!AV37</f>
        <v>0</v>
      </c>
    </row>
    <row r="38" spans="2:48" outlineLevel="1" x14ac:dyDescent="0.3">
      <c r="B38" s="248" t="s">
        <v>295</v>
      </c>
      <c r="C38" s="249"/>
      <c r="D38" s="333">
        <f>'CFS (Adjusted)'!D38-'CFS (Base)'!D38</f>
        <v>0</v>
      </c>
      <c r="E38" s="340">
        <f>'CFS (Adjusted)'!E38-'CFS (Base)'!E38</f>
        <v>0</v>
      </c>
      <c r="F38" s="340">
        <f>'CFS (Adjusted)'!F38-'CFS (Base)'!F38</f>
        <v>0</v>
      </c>
      <c r="G38" s="340">
        <f>'CFS (Adjusted)'!G38-'CFS (Base)'!G38</f>
        <v>0</v>
      </c>
      <c r="H38" s="337">
        <f>'CFS (Adjusted)'!H38-'CFS (Base)'!H38</f>
        <v>0</v>
      </c>
      <c r="I38" s="340">
        <f>'CFS (Adjusted)'!I38-'CFS (Base)'!I38</f>
        <v>0</v>
      </c>
      <c r="J38" s="340">
        <f>'CFS (Adjusted)'!J38-'CFS (Base)'!J38</f>
        <v>0</v>
      </c>
      <c r="K38" s="340">
        <f>'CFS (Adjusted)'!K38-'CFS (Base)'!K38</f>
        <v>0</v>
      </c>
      <c r="L38" s="340">
        <f>'CFS (Adjusted)'!L38-'CFS (Base)'!L38</f>
        <v>0</v>
      </c>
      <c r="M38" s="337">
        <f>'CFS (Adjusted)'!M38-'CFS (Base)'!M38</f>
        <v>0</v>
      </c>
      <c r="N38" s="340">
        <f>'CFS (Adjusted)'!N38-'CFS (Base)'!N38</f>
        <v>0</v>
      </c>
      <c r="O38" s="340">
        <f>'CFS (Adjusted)'!O38-'CFS (Base)'!O38</f>
        <v>0</v>
      </c>
      <c r="P38" s="340">
        <f>'CFS (Adjusted)'!P38-'CFS (Base)'!P38</f>
        <v>0</v>
      </c>
      <c r="Q38" s="340">
        <f>'CFS (Adjusted)'!Q38-'CFS (Base)'!Q38</f>
        <v>0</v>
      </c>
      <c r="R38" s="337">
        <f>'CFS (Adjusted)'!R38-'CFS (Base)'!R38</f>
        <v>0</v>
      </c>
      <c r="S38" s="340">
        <f>'CFS (Adjusted)'!S38-'CFS (Base)'!S38</f>
        <v>0</v>
      </c>
      <c r="T38" s="340">
        <f>'CFS (Adjusted)'!T38-'CFS (Base)'!T38</f>
        <v>0</v>
      </c>
      <c r="U38" s="340">
        <f>'CFS (Adjusted)'!U38-'CFS (Base)'!U38</f>
        <v>0</v>
      </c>
      <c r="V38" s="340">
        <f>'CFS (Adjusted)'!V38-'CFS (Base)'!V38</f>
        <v>0</v>
      </c>
      <c r="W38" s="337">
        <f>'CFS (Adjusted)'!W38-'CFS (Base)'!W38</f>
        <v>0</v>
      </c>
      <c r="X38" s="340">
        <f>'CFS (Adjusted)'!X38-'CFS (Base)'!X38</f>
        <v>0</v>
      </c>
      <c r="Y38" s="341">
        <f>'CFS (Adjusted)'!Y38-'CFS (Base)'!Y38</f>
        <v>0</v>
      </c>
      <c r="Z38" s="341">
        <f>'CFS (Adjusted)'!Z38-'CFS (Base)'!Z38</f>
        <v>0</v>
      </c>
      <c r="AA38" s="341">
        <f>'CFS (Adjusted)'!AA38-'CFS (Base)'!AA38</f>
        <v>0</v>
      </c>
      <c r="AB38" s="337">
        <f>'CFS (Adjusted)'!AB38-'CFS (Base)'!AB38</f>
        <v>0</v>
      </c>
      <c r="AC38" s="341">
        <f>'CFS (Adjusted)'!AC38-'CFS (Base)'!AC38</f>
        <v>0</v>
      </c>
      <c r="AD38" s="341">
        <f>'CFS (Adjusted)'!AD38-'CFS (Base)'!AD38</f>
        <v>0</v>
      </c>
      <c r="AE38" s="341">
        <f>'CFS (Adjusted)'!AE38-'CFS (Base)'!AE38</f>
        <v>0</v>
      </c>
      <c r="AF38" s="341">
        <f>'CFS (Adjusted)'!AF38-'CFS (Base)'!AF38</f>
        <v>0</v>
      </c>
      <c r="AG38" s="337">
        <f>'CFS (Adjusted)'!AG38-'CFS (Base)'!AG38</f>
        <v>0</v>
      </c>
      <c r="AH38" s="341">
        <f>'CFS (Adjusted)'!AH38-'CFS (Base)'!AH38</f>
        <v>0</v>
      </c>
      <c r="AI38" s="341">
        <f>'CFS (Adjusted)'!AI38-'CFS (Base)'!AI38</f>
        <v>0</v>
      </c>
      <c r="AJ38" s="341">
        <f>'CFS (Adjusted)'!AJ38-'CFS (Base)'!AJ38</f>
        <v>0</v>
      </c>
      <c r="AK38" s="341">
        <f>'CFS (Adjusted)'!AK38-'CFS (Base)'!AK38</f>
        <v>0</v>
      </c>
      <c r="AL38" s="337">
        <f>'CFS (Adjusted)'!AL38-'CFS (Base)'!AL38</f>
        <v>0</v>
      </c>
      <c r="AM38" s="341">
        <f>'CFS (Adjusted)'!AM38-'CFS (Base)'!AM38</f>
        <v>0</v>
      </c>
      <c r="AN38" s="341">
        <f>'CFS (Adjusted)'!AN38-'CFS (Base)'!AN38</f>
        <v>0</v>
      </c>
      <c r="AO38" s="341">
        <f>'CFS (Adjusted)'!AO38-'CFS (Base)'!AO38</f>
        <v>0</v>
      </c>
      <c r="AP38" s="341">
        <f>'CFS (Adjusted)'!AP38-'CFS (Base)'!AP38</f>
        <v>0</v>
      </c>
      <c r="AQ38" s="337">
        <f>'CFS (Adjusted)'!AQ38-'CFS (Base)'!AQ38</f>
        <v>0</v>
      </c>
      <c r="AR38" s="341">
        <f>'CFS (Adjusted)'!AR38-'CFS (Base)'!AR38</f>
        <v>0</v>
      </c>
      <c r="AS38" s="341">
        <f>'CFS (Adjusted)'!AS38-'CFS (Base)'!AS38</f>
        <v>0</v>
      </c>
      <c r="AT38" s="341">
        <f>'CFS (Adjusted)'!AT38-'CFS (Base)'!AT38</f>
        <v>0</v>
      </c>
      <c r="AU38" s="341">
        <f>'CFS (Adjusted)'!AU38-'CFS (Base)'!AU38</f>
        <v>0</v>
      </c>
      <c r="AV38" s="337">
        <f>'CFS (Adjusted)'!AV38-'CFS (Base)'!AV38</f>
        <v>0</v>
      </c>
    </row>
    <row r="39" spans="2:48" ht="16.2" outlineLevel="1" x14ac:dyDescent="0.45">
      <c r="B39" s="580" t="s">
        <v>296</v>
      </c>
      <c r="C39" s="581"/>
      <c r="D39" s="260">
        <f>'CFS (Adjusted)'!D39-'CFS (Base)'!D39</f>
        <v>0</v>
      </c>
      <c r="E39" s="260">
        <f>'CFS (Adjusted)'!E39-'CFS (Base)'!E39</f>
        <v>0</v>
      </c>
      <c r="F39" s="260">
        <f>'CFS (Adjusted)'!F39-'CFS (Base)'!F39</f>
        <v>0</v>
      </c>
      <c r="G39" s="260">
        <f>'CFS (Adjusted)'!G39-'CFS (Base)'!G39</f>
        <v>0</v>
      </c>
      <c r="H39" s="261">
        <f>'CFS (Adjusted)'!H39-'CFS (Base)'!H39</f>
        <v>0</v>
      </c>
      <c r="I39" s="260">
        <f>'CFS (Adjusted)'!I39-'CFS (Base)'!I39</f>
        <v>0</v>
      </c>
      <c r="J39" s="260">
        <f>'CFS (Adjusted)'!J39-'CFS (Base)'!J39</f>
        <v>0</v>
      </c>
      <c r="K39" s="260">
        <f>'CFS (Adjusted)'!K39-'CFS (Base)'!K39</f>
        <v>0</v>
      </c>
      <c r="L39" s="260">
        <f>'CFS (Adjusted)'!L39-'CFS (Base)'!L39</f>
        <v>0</v>
      </c>
      <c r="M39" s="261">
        <f>'CFS (Adjusted)'!M39-'CFS (Base)'!M39</f>
        <v>0</v>
      </c>
      <c r="N39" s="260">
        <f>'CFS (Adjusted)'!N39-'CFS (Base)'!N39</f>
        <v>0</v>
      </c>
      <c r="O39" s="260">
        <f>'CFS (Adjusted)'!O39-'CFS (Base)'!O39</f>
        <v>0</v>
      </c>
      <c r="P39" s="260">
        <f>'CFS (Adjusted)'!P39-'CFS (Base)'!P39</f>
        <v>0</v>
      </c>
      <c r="Q39" s="260">
        <f>'CFS (Adjusted)'!Q39-'CFS (Base)'!Q39</f>
        <v>0</v>
      </c>
      <c r="R39" s="261">
        <f>'CFS (Adjusted)'!R39-'CFS (Base)'!R39</f>
        <v>0</v>
      </c>
      <c r="S39" s="260">
        <f>'CFS (Adjusted)'!S39-'CFS (Base)'!S39</f>
        <v>0</v>
      </c>
      <c r="T39" s="260">
        <f>'CFS (Adjusted)'!T39-'CFS (Base)'!T39</f>
        <v>0</v>
      </c>
      <c r="U39" s="260">
        <f>'CFS (Adjusted)'!U39-'CFS (Base)'!U39</f>
        <v>0</v>
      </c>
      <c r="V39" s="260">
        <f>'CFS (Adjusted)'!V39-'CFS (Base)'!V39</f>
        <v>0</v>
      </c>
      <c r="W39" s="261">
        <f>'CFS (Adjusted)'!W39-'CFS (Base)'!W39</f>
        <v>0</v>
      </c>
      <c r="X39" s="260">
        <f>'CFS (Adjusted)'!X39-'CFS (Base)'!X39</f>
        <v>0</v>
      </c>
      <c r="Y39" s="260">
        <f>'CFS (Adjusted)'!Y39-'CFS (Base)'!Y39</f>
        <v>0</v>
      </c>
      <c r="Z39" s="260">
        <f>'CFS (Adjusted)'!Z39-'CFS (Base)'!Z39</f>
        <v>0</v>
      </c>
      <c r="AA39" s="260">
        <f>'CFS (Adjusted)'!AA39-'CFS (Base)'!AA39</f>
        <v>0</v>
      </c>
      <c r="AB39" s="261">
        <f>'CFS (Adjusted)'!AB39-'CFS (Base)'!AB39</f>
        <v>0</v>
      </c>
      <c r="AC39" s="260">
        <f>'CFS (Adjusted)'!AC39-'CFS (Base)'!AC39</f>
        <v>0</v>
      </c>
      <c r="AD39" s="260">
        <f>'CFS (Adjusted)'!AD39-'CFS (Base)'!AD39</f>
        <v>0</v>
      </c>
      <c r="AE39" s="260">
        <f>'CFS (Adjusted)'!AE39-'CFS (Base)'!AE39</f>
        <v>0</v>
      </c>
      <c r="AF39" s="260">
        <f>'CFS (Adjusted)'!AF39-'CFS (Base)'!AF39</f>
        <v>0</v>
      </c>
      <c r="AG39" s="261">
        <f>'CFS (Adjusted)'!AG39-'CFS (Base)'!AG39</f>
        <v>0</v>
      </c>
      <c r="AH39" s="260">
        <f>'CFS (Adjusted)'!AH39-'CFS (Base)'!AH39</f>
        <v>0</v>
      </c>
      <c r="AI39" s="260">
        <f>'CFS (Adjusted)'!AI39-'CFS (Base)'!AI39</f>
        <v>0</v>
      </c>
      <c r="AJ39" s="260">
        <f>'CFS (Adjusted)'!AJ39-'CFS (Base)'!AJ39</f>
        <v>0</v>
      </c>
      <c r="AK39" s="260">
        <f>'CFS (Adjusted)'!AK39-'CFS (Base)'!AK39</f>
        <v>0</v>
      </c>
      <c r="AL39" s="261">
        <f>'CFS (Adjusted)'!AL39-'CFS (Base)'!AL39</f>
        <v>0</v>
      </c>
      <c r="AM39" s="260">
        <f>'CFS (Adjusted)'!AM39-'CFS (Base)'!AM39</f>
        <v>0</v>
      </c>
      <c r="AN39" s="260">
        <f>'CFS (Adjusted)'!AN39-'CFS (Base)'!AN39</f>
        <v>0</v>
      </c>
      <c r="AO39" s="260">
        <f>'CFS (Adjusted)'!AO39-'CFS (Base)'!AO39</f>
        <v>0</v>
      </c>
      <c r="AP39" s="260">
        <f>'CFS (Adjusted)'!AP39-'CFS (Base)'!AP39</f>
        <v>0</v>
      </c>
      <c r="AQ39" s="261">
        <f>'CFS (Adjusted)'!AQ39-'CFS (Base)'!AQ39</f>
        <v>0</v>
      </c>
      <c r="AR39" s="260">
        <f>'CFS (Adjusted)'!AR39-'CFS (Base)'!AR39</f>
        <v>0</v>
      </c>
      <c r="AS39" s="260">
        <f>'CFS (Adjusted)'!AS39-'CFS (Base)'!AS39</f>
        <v>0</v>
      </c>
      <c r="AT39" s="260">
        <f>'CFS (Adjusted)'!AT39-'CFS (Base)'!AT39</f>
        <v>0</v>
      </c>
      <c r="AU39" s="260">
        <f>'CFS (Adjusted)'!AU39-'CFS (Base)'!AU39</f>
        <v>0</v>
      </c>
      <c r="AV39" s="261">
        <f>'CFS (Adjusted)'!AV39-'CFS (Base)'!AV39</f>
        <v>0</v>
      </c>
    </row>
    <row r="40" spans="2:48" ht="16.2" outlineLevel="1" x14ac:dyDescent="0.45">
      <c r="B40" s="580" t="s">
        <v>297</v>
      </c>
      <c r="C40" s="581"/>
      <c r="D40" s="260">
        <f>'CFS (Adjusted)'!D40-'CFS (Base)'!D40</f>
        <v>0</v>
      </c>
      <c r="E40" s="260">
        <f>'CFS (Adjusted)'!E40-'CFS (Base)'!E40</f>
        <v>0</v>
      </c>
      <c r="F40" s="260">
        <f>'CFS (Adjusted)'!F40-'CFS (Base)'!F40</f>
        <v>0</v>
      </c>
      <c r="G40" s="260">
        <f>'CFS (Adjusted)'!G40-'CFS (Base)'!G40</f>
        <v>0</v>
      </c>
      <c r="H40" s="261">
        <f>'CFS (Adjusted)'!H40-'CFS (Base)'!H40</f>
        <v>0</v>
      </c>
      <c r="I40" s="112">
        <f>'CFS (Adjusted)'!I40-'CFS (Base)'!I40</f>
        <v>0</v>
      </c>
      <c r="J40" s="260">
        <f>'CFS (Adjusted)'!J40-'CFS (Base)'!J40</f>
        <v>0</v>
      </c>
      <c r="K40" s="260">
        <f>'CFS (Adjusted)'!K40-'CFS (Base)'!K40</f>
        <v>0</v>
      </c>
      <c r="L40" s="260">
        <f>'CFS (Adjusted)'!L40-'CFS (Base)'!L40</f>
        <v>0</v>
      </c>
      <c r="M40" s="261">
        <f>'CFS (Adjusted)'!M40-'CFS (Base)'!M40</f>
        <v>0</v>
      </c>
      <c r="N40" s="260">
        <f>'CFS (Adjusted)'!N40-'CFS (Base)'!N40</f>
        <v>0</v>
      </c>
      <c r="O40" s="260">
        <f>'CFS (Adjusted)'!O40-'CFS (Base)'!O40</f>
        <v>0</v>
      </c>
      <c r="P40" s="260">
        <f>'CFS (Adjusted)'!P40-'CFS (Base)'!P40</f>
        <v>0</v>
      </c>
      <c r="Q40" s="260">
        <f>'CFS (Adjusted)'!Q40-'CFS (Base)'!Q40</f>
        <v>0</v>
      </c>
      <c r="R40" s="261">
        <f>'CFS (Adjusted)'!R40-'CFS (Base)'!R40</f>
        <v>0</v>
      </c>
      <c r="S40" s="260">
        <f>'CFS (Adjusted)'!S40-'CFS (Base)'!S40</f>
        <v>0</v>
      </c>
      <c r="T40" s="260">
        <f>'CFS (Adjusted)'!T40-'CFS (Base)'!T40</f>
        <v>0</v>
      </c>
      <c r="U40" s="260">
        <f>'CFS (Adjusted)'!U40-'CFS (Base)'!U40</f>
        <v>0</v>
      </c>
      <c r="V40" s="260">
        <f>'CFS (Adjusted)'!V40-'CFS (Base)'!V40</f>
        <v>0</v>
      </c>
      <c r="W40" s="261">
        <f>'CFS (Adjusted)'!W40-'CFS (Base)'!W40</f>
        <v>0</v>
      </c>
      <c r="X40" s="260">
        <f>'CFS (Adjusted)'!X40-'CFS (Base)'!X40</f>
        <v>0</v>
      </c>
      <c r="Y40" s="260">
        <f>'CFS (Adjusted)'!Y40-'CFS (Base)'!Y40</f>
        <v>0</v>
      </c>
      <c r="Z40" s="260">
        <f>'CFS (Adjusted)'!Z40-'CFS (Base)'!Z40</f>
        <v>0</v>
      </c>
      <c r="AA40" s="260">
        <f>'CFS (Adjusted)'!AA40-'CFS (Base)'!AA40</f>
        <v>0</v>
      </c>
      <c r="AB40" s="261">
        <f>'CFS (Adjusted)'!AB40-'CFS (Base)'!AB40</f>
        <v>0</v>
      </c>
      <c r="AC40" s="260">
        <f>'CFS (Adjusted)'!AC40-'CFS (Base)'!AC40</f>
        <v>0</v>
      </c>
      <c r="AD40" s="260">
        <f>'CFS (Adjusted)'!AD40-'CFS (Base)'!AD40</f>
        <v>0</v>
      </c>
      <c r="AE40" s="260">
        <f>'CFS (Adjusted)'!AE40-'CFS (Base)'!AE40</f>
        <v>0</v>
      </c>
      <c r="AF40" s="260">
        <f>'CFS (Adjusted)'!AF40-'CFS (Base)'!AF40</f>
        <v>0</v>
      </c>
      <c r="AG40" s="261">
        <f>'CFS (Adjusted)'!AG40-'CFS (Base)'!AG40</f>
        <v>0</v>
      </c>
      <c r="AH40" s="260">
        <f>'CFS (Adjusted)'!AH40-'CFS (Base)'!AH40</f>
        <v>0</v>
      </c>
      <c r="AI40" s="260">
        <f>'CFS (Adjusted)'!AI40-'CFS (Base)'!AI40</f>
        <v>0</v>
      </c>
      <c r="AJ40" s="260">
        <f>'CFS (Adjusted)'!AJ40-'CFS (Base)'!AJ40</f>
        <v>0</v>
      </c>
      <c r="AK40" s="260">
        <f>'CFS (Adjusted)'!AK40-'CFS (Base)'!AK40</f>
        <v>0</v>
      </c>
      <c r="AL40" s="261">
        <f>'CFS (Adjusted)'!AL40-'CFS (Base)'!AL40</f>
        <v>0</v>
      </c>
      <c r="AM40" s="260">
        <f>'CFS (Adjusted)'!AM40-'CFS (Base)'!AM40</f>
        <v>0</v>
      </c>
      <c r="AN40" s="260">
        <f>'CFS (Adjusted)'!AN40-'CFS (Base)'!AN40</f>
        <v>0</v>
      </c>
      <c r="AO40" s="260">
        <f>'CFS (Adjusted)'!AO40-'CFS (Base)'!AO40</f>
        <v>0</v>
      </c>
      <c r="AP40" s="260">
        <f>'CFS (Adjusted)'!AP40-'CFS (Base)'!AP40</f>
        <v>0</v>
      </c>
      <c r="AQ40" s="261">
        <f>'CFS (Adjusted)'!AQ40-'CFS (Base)'!AQ40</f>
        <v>0</v>
      </c>
      <c r="AR40" s="260">
        <f>'CFS (Adjusted)'!AR40-'CFS (Base)'!AR40</f>
        <v>0</v>
      </c>
      <c r="AS40" s="260">
        <f>'CFS (Adjusted)'!AS40-'CFS (Base)'!AS40</f>
        <v>0</v>
      </c>
      <c r="AT40" s="260">
        <f>'CFS (Adjusted)'!AT40-'CFS (Base)'!AT40</f>
        <v>0</v>
      </c>
      <c r="AU40" s="260">
        <f>'CFS (Adjusted)'!AU40-'CFS (Base)'!AU40</f>
        <v>0</v>
      </c>
      <c r="AV40" s="261">
        <f>'CFS (Adjusted)'!AV40-'CFS (Base)'!AV40</f>
        <v>0</v>
      </c>
    </row>
    <row r="41" spans="2:48" outlineLevel="1" x14ac:dyDescent="0.3">
      <c r="B41" s="629" t="s">
        <v>298</v>
      </c>
      <c r="C41" s="630"/>
      <c r="D41" s="116">
        <f>'CFS (Adjusted)'!D41-'CFS (Base)'!D41</f>
        <v>0</v>
      </c>
      <c r="E41" s="116">
        <f>'CFS (Adjusted)'!E41-'CFS (Base)'!E41</f>
        <v>0</v>
      </c>
      <c r="F41" s="116">
        <f>'CFS (Adjusted)'!F41-'CFS (Base)'!F41</f>
        <v>0</v>
      </c>
      <c r="G41" s="116">
        <f>'CFS (Adjusted)'!G41-'CFS (Base)'!G41</f>
        <v>0</v>
      </c>
      <c r="H41" s="150">
        <f>'CFS (Adjusted)'!H41-'CFS (Base)'!H41</f>
        <v>0</v>
      </c>
      <c r="I41" s="116">
        <f>'CFS (Adjusted)'!I41-'CFS (Base)'!I41</f>
        <v>0</v>
      </c>
      <c r="J41" s="116">
        <f>'CFS (Adjusted)'!J41-'CFS (Base)'!J41</f>
        <v>0</v>
      </c>
      <c r="K41" s="116">
        <f>'CFS (Adjusted)'!K41-'CFS (Base)'!K41</f>
        <v>0</v>
      </c>
      <c r="L41" s="21">
        <f>'CFS (Adjusted)'!L41-'CFS (Base)'!L41</f>
        <v>0</v>
      </c>
      <c r="M41" s="22">
        <f>'CFS (Adjusted)'!M41-'CFS (Base)'!M41</f>
        <v>0</v>
      </c>
      <c r="N41" s="21">
        <f>'CFS (Adjusted)'!N41-'CFS (Base)'!N41</f>
        <v>0</v>
      </c>
      <c r="O41" s="21">
        <f>'CFS (Adjusted)'!O41-'CFS (Base)'!O41</f>
        <v>0</v>
      </c>
      <c r="P41" s="21">
        <f>'CFS (Adjusted)'!P41-'CFS (Base)'!P41</f>
        <v>0</v>
      </c>
      <c r="Q41" s="21">
        <f>'CFS (Adjusted)'!Q41-'CFS (Base)'!Q41</f>
        <v>0</v>
      </c>
      <c r="R41" s="22">
        <f>'CFS (Adjusted)'!R41-'CFS (Base)'!R41</f>
        <v>0</v>
      </c>
      <c r="S41" s="21">
        <f>'CFS (Adjusted)'!S41-'CFS (Base)'!S41</f>
        <v>0</v>
      </c>
      <c r="T41" s="21">
        <f>'CFS (Adjusted)'!T41-'CFS (Base)'!T41</f>
        <v>0</v>
      </c>
      <c r="U41" s="21">
        <f>'CFS (Adjusted)'!U41-'CFS (Base)'!U41</f>
        <v>0</v>
      </c>
      <c r="V41" s="21">
        <f>'CFS (Adjusted)'!V41-'CFS (Base)'!V41</f>
        <v>0</v>
      </c>
      <c r="W41" s="22">
        <f>'CFS (Adjusted)'!W41-'CFS (Base)'!W41</f>
        <v>0</v>
      </c>
      <c r="X41" s="21">
        <f>'CFS (Adjusted)'!X41-'CFS (Base)'!X41</f>
        <v>0</v>
      </c>
      <c r="Y41" s="21">
        <f>'CFS (Adjusted)'!Y41-'CFS (Base)'!Y41</f>
        <v>0</v>
      </c>
      <c r="Z41" s="21">
        <f>'CFS (Adjusted)'!Z41-'CFS (Base)'!Z41</f>
        <v>0</v>
      </c>
      <c r="AA41" s="21">
        <f>'CFS (Adjusted)'!AA41-'CFS (Base)'!AA41</f>
        <v>0</v>
      </c>
      <c r="AB41" s="22">
        <f>'CFS (Adjusted)'!AB41-'CFS (Base)'!AB41</f>
        <v>0</v>
      </c>
      <c r="AC41" s="21">
        <f>'CFS (Adjusted)'!AC41-'CFS (Base)'!AC41</f>
        <v>0</v>
      </c>
      <c r="AD41" s="21">
        <f>'CFS (Adjusted)'!AD41-'CFS (Base)'!AD41</f>
        <v>0</v>
      </c>
      <c r="AE41" s="21">
        <f>'CFS (Adjusted)'!AE41-'CFS (Base)'!AE41</f>
        <v>0</v>
      </c>
      <c r="AF41" s="21">
        <f>'CFS (Adjusted)'!AF41-'CFS (Base)'!AF41</f>
        <v>0</v>
      </c>
      <c r="AG41" s="22">
        <f>'CFS (Adjusted)'!AG41-'CFS (Base)'!AG41</f>
        <v>0</v>
      </c>
      <c r="AH41" s="21">
        <f>'CFS (Adjusted)'!AH41-'CFS (Base)'!AH41</f>
        <v>0</v>
      </c>
      <c r="AI41" s="21">
        <f>'CFS (Adjusted)'!AI41-'CFS (Base)'!AI41</f>
        <v>0</v>
      </c>
      <c r="AJ41" s="21">
        <f>'CFS (Adjusted)'!AJ41-'CFS (Base)'!AJ41</f>
        <v>0</v>
      </c>
      <c r="AK41" s="21">
        <f>'CFS (Adjusted)'!AK41-'CFS (Base)'!AK41</f>
        <v>0</v>
      </c>
      <c r="AL41" s="22">
        <f>'CFS (Adjusted)'!AL41-'CFS (Base)'!AL41</f>
        <v>0</v>
      </c>
      <c r="AM41" s="21">
        <f>'CFS (Adjusted)'!AM41-'CFS (Base)'!AM41</f>
        <v>0</v>
      </c>
      <c r="AN41" s="21">
        <f>'CFS (Adjusted)'!AN41-'CFS (Base)'!AN41</f>
        <v>0</v>
      </c>
      <c r="AO41" s="21">
        <f>'CFS (Adjusted)'!AO41-'CFS (Base)'!AO41</f>
        <v>0</v>
      </c>
      <c r="AP41" s="21">
        <f>'CFS (Adjusted)'!AP41-'CFS (Base)'!AP41</f>
        <v>0</v>
      </c>
      <c r="AQ41" s="22">
        <f>'CFS (Adjusted)'!AQ41-'CFS (Base)'!AQ41</f>
        <v>0</v>
      </c>
      <c r="AR41" s="21">
        <f>'CFS (Adjusted)'!AR41-'CFS (Base)'!AR41</f>
        <v>0</v>
      </c>
      <c r="AS41" s="21">
        <f>'CFS (Adjusted)'!AS41-'CFS (Base)'!AS41</f>
        <v>0</v>
      </c>
      <c r="AT41" s="21">
        <f>'CFS (Adjusted)'!AT41-'CFS (Base)'!AT41</f>
        <v>0</v>
      </c>
      <c r="AU41" s="21">
        <f>'CFS (Adjusted)'!AU41-'CFS (Base)'!AU41</f>
        <v>0</v>
      </c>
      <c r="AV41" s="22">
        <f>'CFS (Adjusted)'!AV41-'CFS (Base)'!AV41</f>
        <v>0</v>
      </c>
    </row>
    <row r="42" spans="2:48" s="23" customFormat="1" outlineLevel="1" x14ac:dyDescent="0.3">
      <c r="B42" s="631" t="s">
        <v>299</v>
      </c>
      <c r="C42" s="632"/>
      <c r="D42" s="321">
        <f>'CFS (Adjusted)'!D42-'CFS (Base)'!D42</f>
        <v>0</v>
      </c>
      <c r="E42" s="321">
        <f>'CFS (Adjusted)'!E42-'CFS (Base)'!E42</f>
        <v>0</v>
      </c>
      <c r="F42" s="321">
        <f>'CFS (Adjusted)'!F42-'CFS (Base)'!F42</f>
        <v>0</v>
      </c>
      <c r="G42" s="321">
        <f>'CFS (Adjusted)'!G42-'CFS (Base)'!G42</f>
        <v>0</v>
      </c>
      <c r="H42" s="342">
        <f>'CFS (Adjusted)'!H42-'CFS (Base)'!H42</f>
        <v>0</v>
      </c>
      <c r="I42" s="321">
        <f>'CFS (Adjusted)'!I42-'CFS (Base)'!I42</f>
        <v>0</v>
      </c>
      <c r="J42" s="321">
        <f>'CFS (Adjusted)'!J42-'CFS (Base)'!J42</f>
        <v>0</v>
      </c>
      <c r="K42" s="321">
        <f>'CFS (Adjusted)'!K42-'CFS (Base)'!K42</f>
        <v>0</v>
      </c>
      <c r="L42" s="321">
        <f>'CFS (Adjusted)'!L42-'CFS (Base)'!L42</f>
        <v>0</v>
      </c>
      <c r="M42" s="342">
        <f>'CFS (Adjusted)'!M42-'CFS (Base)'!M42</f>
        <v>0</v>
      </c>
      <c r="N42" s="321">
        <f>'CFS (Adjusted)'!N42-'CFS (Base)'!N42</f>
        <v>0</v>
      </c>
      <c r="O42" s="321">
        <f>'CFS (Adjusted)'!O42-'CFS (Base)'!O42</f>
        <v>0</v>
      </c>
      <c r="P42" s="321">
        <f>'CFS (Adjusted)'!P42-'CFS (Base)'!P42</f>
        <v>0</v>
      </c>
      <c r="Q42" s="321">
        <f>'CFS (Adjusted)'!Q42-'CFS (Base)'!Q42</f>
        <v>0</v>
      </c>
      <c r="R42" s="342">
        <f>'CFS (Adjusted)'!R42-'CFS (Base)'!R42</f>
        <v>0</v>
      </c>
      <c r="S42" s="321">
        <f>'CFS (Adjusted)'!S42-'CFS (Base)'!S42</f>
        <v>0</v>
      </c>
      <c r="T42" s="321">
        <f>'CFS (Adjusted)'!T42-'CFS (Base)'!T42</f>
        <v>0</v>
      </c>
      <c r="U42" s="321">
        <f>'CFS (Adjusted)'!U42-'CFS (Base)'!U42</f>
        <v>0</v>
      </c>
      <c r="V42" s="321">
        <f>'CFS (Adjusted)'!V42-'CFS (Base)'!V42</f>
        <v>0</v>
      </c>
      <c r="W42" s="342">
        <f>'CFS (Adjusted)'!W42-'CFS (Base)'!W42</f>
        <v>0</v>
      </c>
      <c r="X42" s="321">
        <f>'CFS (Adjusted)'!X42-'CFS (Base)'!X42</f>
        <v>0</v>
      </c>
      <c r="Y42" s="321">
        <f>'CFS (Adjusted)'!Y42-'CFS (Base)'!Y42</f>
        <v>0</v>
      </c>
      <c r="Z42" s="321">
        <f>'CFS (Adjusted)'!Z42-'CFS (Base)'!Z42</f>
        <v>0</v>
      </c>
      <c r="AA42" s="321">
        <f>'CFS (Adjusted)'!AA42-'CFS (Base)'!AA42</f>
        <v>0</v>
      </c>
      <c r="AB42" s="342">
        <f>'CFS (Adjusted)'!AB42-'CFS (Base)'!AB42</f>
        <v>0</v>
      </c>
      <c r="AC42" s="321">
        <f>'CFS (Adjusted)'!AC42-'CFS (Base)'!AC42</f>
        <v>0</v>
      </c>
      <c r="AD42" s="321">
        <f>'CFS (Adjusted)'!AD42-'CFS (Base)'!AD42</f>
        <v>0</v>
      </c>
      <c r="AE42" s="321">
        <f>'CFS (Adjusted)'!AE42-'CFS (Base)'!AE42</f>
        <v>0</v>
      </c>
      <c r="AF42" s="321">
        <f>'CFS (Adjusted)'!AF42-'CFS (Base)'!AF42</f>
        <v>0</v>
      </c>
      <c r="AG42" s="342">
        <f>'CFS (Adjusted)'!AG42-'CFS (Base)'!AG42</f>
        <v>0</v>
      </c>
      <c r="AH42" s="321">
        <f>'CFS (Adjusted)'!AH42-'CFS (Base)'!AH42</f>
        <v>0</v>
      </c>
      <c r="AI42" s="321">
        <f>'CFS (Adjusted)'!AI42-'CFS (Base)'!AI42</f>
        <v>0</v>
      </c>
      <c r="AJ42" s="321">
        <f>'CFS (Adjusted)'!AJ42-'CFS (Base)'!AJ42</f>
        <v>0</v>
      </c>
      <c r="AK42" s="321">
        <f>'CFS (Adjusted)'!AK42-'CFS (Base)'!AK42</f>
        <v>0</v>
      </c>
      <c r="AL42" s="342">
        <f>'CFS (Adjusted)'!AL42-'CFS (Base)'!AL42</f>
        <v>0</v>
      </c>
      <c r="AM42" s="321">
        <f>'CFS (Adjusted)'!AM42-'CFS (Base)'!AM42</f>
        <v>0</v>
      </c>
      <c r="AN42" s="321">
        <f>'CFS (Adjusted)'!AN42-'CFS (Base)'!AN42</f>
        <v>0</v>
      </c>
      <c r="AO42" s="321">
        <f>'CFS (Adjusted)'!AO42-'CFS (Base)'!AO42</f>
        <v>0</v>
      </c>
      <c r="AP42" s="321">
        <f>'CFS (Adjusted)'!AP42-'CFS (Base)'!AP42</f>
        <v>0</v>
      </c>
      <c r="AQ42" s="342">
        <f>'CFS (Adjusted)'!AQ42-'CFS (Base)'!AQ42</f>
        <v>0</v>
      </c>
      <c r="AR42" s="321">
        <f>'CFS (Adjusted)'!AR42-'CFS (Base)'!AR42</f>
        <v>0</v>
      </c>
      <c r="AS42" s="321">
        <f>'CFS (Adjusted)'!AS42-'CFS (Base)'!AS42</f>
        <v>0</v>
      </c>
      <c r="AT42" s="321">
        <f>'CFS (Adjusted)'!AT42-'CFS (Base)'!AT42</f>
        <v>0</v>
      </c>
      <c r="AU42" s="321">
        <f>'CFS (Adjusted)'!AU42-'CFS (Base)'!AU42</f>
        <v>0</v>
      </c>
      <c r="AV42" s="342">
        <f>'CFS (Adjusted)'!AV42-'CFS (Base)'!AV42</f>
        <v>0</v>
      </c>
    </row>
    <row r="43" spans="2:48" s="23" customFormat="1" outlineLevel="1" x14ac:dyDescent="0.3">
      <c r="B43" s="325" t="s">
        <v>300</v>
      </c>
      <c r="C43" s="326"/>
      <c r="D43" s="327">
        <f>'CFS (Adjusted)'!D43-'CFS (Base)'!D43</f>
        <v>0</v>
      </c>
      <c r="E43" s="327">
        <f>'CFS (Adjusted)'!E43-'CFS (Base)'!E43</f>
        <v>0</v>
      </c>
      <c r="F43" s="343">
        <f>'CFS (Adjusted)'!F43-'CFS (Base)'!F43</f>
        <v>0</v>
      </c>
      <c r="G43" s="327">
        <f>'CFS (Adjusted)'!G43-'CFS (Base)'!G43</f>
        <v>0</v>
      </c>
      <c r="H43" s="328">
        <f>'CFS (Adjusted)'!H43-'CFS (Base)'!H43</f>
        <v>0</v>
      </c>
      <c r="I43" s="327">
        <f>'CFS (Adjusted)'!I43-'CFS (Base)'!I43</f>
        <v>0</v>
      </c>
      <c r="J43" s="327">
        <f>'CFS (Adjusted)'!J43-'CFS (Base)'!J43</f>
        <v>0</v>
      </c>
      <c r="K43" s="327">
        <f>'CFS (Adjusted)'!K43-'CFS (Base)'!K43</f>
        <v>0</v>
      </c>
      <c r="L43" s="327">
        <f>'CFS (Adjusted)'!L43-'CFS (Base)'!L43</f>
        <v>0</v>
      </c>
      <c r="M43" s="328">
        <f>'CFS (Adjusted)'!M43-'CFS (Base)'!M43</f>
        <v>0</v>
      </c>
      <c r="N43" s="327">
        <f>'CFS (Adjusted)'!N43-'CFS (Base)'!N43</f>
        <v>0</v>
      </c>
      <c r="O43" s="327">
        <f>'CFS (Adjusted)'!O43-'CFS (Base)'!O43</f>
        <v>0</v>
      </c>
      <c r="P43" s="327">
        <f>'CFS (Adjusted)'!P43-'CFS (Base)'!P43</f>
        <v>0</v>
      </c>
      <c r="Q43" s="327">
        <f>'CFS (Adjusted)'!Q43-'CFS (Base)'!Q43</f>
        <v>0</v>
      </c>
      <c r="R43" s="328">
        <f>'CFS (Adjusted)'!R43-'CFS (Base)'!R43</f>
        <v>0</v>
      </c>
      <c r="S43" s="327">
        <f>'CFS (Adjusted)'!S43-'CFS (Base)'!S43</f>
        <v>0</v>
      </c>
      <c r="T43" s="327">
        <f>'CFS (Adjusted)'!T43-'CFS (Base)'!T43</f>
        <v>0</v>
      </c>
      <c r="U43" s="327">
        <f>'CFS (Adjusted)'!U43-'CFS (Base)'!U43</f>
        <v>0</v>
      </c>
      <c r="V43" s="327">
        <f>'CFS (Adjusted)'!V43-'CFS (Base)'!V43</f>
        <v>0</v>
      </c>
      <c r="W43" s="328">
        <f>'CFS (Adjusted)'!W43-'CFS (Base)'!W43</f>
        <v>0</v>
      </c>
      <c r="X43" s="327">
        <f>'CFS (Adjusted)'!X43-'CFS (Base)'!X43</f>
        <v>0</v>
      </c>
      <c r="Y43" s="327">
        <f>'CFS (Adjusted)'!Y43-'CFS (Base)'!Y43</f>
        <v>0</v>
      </c>
      <c r="Z43" s="327">
        <f>'CFS (Adjusted)'!Z43-'CFS (Base)'!Z43</f>
        <v>0</v>
      </c>
      <c r="AA43" s="327">
        <f>'CFS (Adjusted)'!AA43-'CFS (Base)'!AA43</f>
        <v>0</v>
      </c>
      <c r="AB43" s="328">
        <f>'CFS (Adjusted)'!AB43-'CFS (Base)'!AB43</f>
        <v>0</v>
      </c>
      <c r="AC43" s="327">
        <f>'CFS (Adjusted)'!AC43-'CFS (Base)'!AC43</f>
        <v>0</v>
      </c>
      <c r="AD43" s="327">
        <f>'CFS (Adjusted)'!AD43-'CFS (Base)'!AD43</f>
        <v>0</v>
      </c>
      <c r="AE43" s="327">
        <f>'CFS (Adjusted)'!AE43-'CFS (Base)'!AE43</f>
        <v>0</v>
      </c>
      <c r="AF43" s="327">
        <f>'CFS (Adjusted)'!AF43-'CFS (Base)'!AF43</f>
        <v>0</v>
      </c>
      <c r="AG43" s="328">
        <f>'CFS (Adjusted)'!AG43-'CFS (Base)'!AG43</f>
        <v>0</v>
      </c>
      <c r="AH43" s="327">
        <f>'CFS (Adjusted)'!AH43-'CFS (Base)'!AH43</f>
        <v>0</v>
      </c>
      <c r="AI43" s="327">
        <f>'CFS (Adjusted)'!AI43-'CFS (Base)'!AI43</f>
        <v>0</v>
      </c>
      <c r="AJ43" s="327">
        <f>'CFS (Adjusted)'!AJ43-'CFS (Base)'!AJ43</f>
        <v>0</v>
      </c>
      <c r="AK43" s="327">
        <f>'CFS (Adjusted)'!AK43-'CFS (Base)'!AK43</f>
        <v>0</v>
      </c>
      <c r="AL43" s="328">
        <f>'CFS (Adjusted)'!AL43-'CFS (Base)'!AL43</f>
        <v>0</v>
      </c>
      <c r="AM43" s="327">
        <f>'CFS (Adjusted)'!AM43-'CFS (Base)'!AM43</f>
        <v>0</v>
      </c>
      <c r="AN43" s="327">
        <f>'CFS (Adjusted)'!AN43-'CFS (Base)'!AN43</f>
        <v>0</v>
      </c>
      <c r="AO43" s="327">
        <f>'CFS (Adjusted)'!AO43-'CFS (Base)'!AO43</f>
        <v>0</v>
      </c>
      <c r="AP43" s="327">
        <f>'CFS (Adjusted)'!AP43-'CFS (Base)'!AP43</f>
        <v>0</v>
      </c>
      <c r="AQ43" s="328">
        <f>'CFS (Adjusted)'!AQ43-'CFS (Base)'!AQ43</f>
        <v>0</v>
      </c>
      <c r="AR43" s="327">
        <f>'CFS (Adjusted)'!AR43-'CFS (Base)'!AR43</f>
        <v>0</v>
      </c>
      <c r="AS43" s="327">
        <f>'CFS (Adjusted)'!AS43-'CFS (Base)'!AS43</f>
        <v>0</v>
      </c>
      <c r="AT43" s="327">
        <f>'CFS (Adjusted)'!AT43-'CFS (Base)'!AT43</f>
        <v>0</v>
      </c>
      <c r="AU43" s="327">
        <f>'CFS (Adjusted)'!AU43-'CFS (Base)'!AU43</f>
        <v>0</v>
      </c>
      <c r="AV43" s="328">
        <f>'CFS (Adjusted)'!AV43-'CFS (Base)'!AV43</f>
        <v>0</v>
      </c>
    </row>
    <row r="44" spans="2:48" s="23" customFormat="1" outlineLevel="1" x14ac:dyDescent="0.3">
      <c r="B44" s="633" t="s">
        <v>301</v>
      </c>
      <c r="C44" s="634"/>
      <c r="D44" s="344">
        <f>'CFS (Adjusted)'!D44-'CFS (Base)'!D44</f>
        <v>0</v>
      </c>
      <c r="E44" s="344">
        <f>'CFS (Adjusted)'!E44-'CFS (Base)'!E44</f>
        <v>0</v>
      </c>
      <c r="F44" s="344">
        <f>'CFS (Adjusted)'!F44-'CFS (Base)'!F44</f>
        <v>0</v>
      </c>
      <c r="G44" s="344">
        <f>'CFS (Adjusted)'!G44-'CFS (Base)'!G44</f>
        <v>0</v>
      </c>
      <c r="H44" s="345">
        <f>'CFS (Adjusted)'!H44-'CFS (Base)'!H44</f>
        <v>0</v>
      </c>
      <c r="I44" s="344">
        <f>'CFS (Adjusted)'!I44-'CFS (Base)'!I44</f>
        <v>0</v>
      </c>
      <c r="J44" s="344">
        <f>'CFS (Adjusted)'!J44-'CFS (Base)'!J44</f>
        <v>0</v>
      </c>
      <c r="K44" s="344">
        <f>'CFS (Adjusted)'!K44-'CFS (Base)'!K44</f>
        <v>0</v>
      </c>
      <c r="L44" s="344">
        <f>'CFS (Adjusted)'!L44-'CFS (Base)'!L44</f>
        <v>0</v>
      </c>
      <c r="M44" s="345">
        <f>'CFS (Adjusted)'!M44-'CFS (Base)'!M44</f>
        <v>0</v>
      </c>
      <c r="N44" s="344">
        <f>'CFS (Adjusted)'!N44-'CFS (Base)'!N44</f>
        <v>0</v>
      </c>
      <c r="O44" s="344">
        <f>'CFS (Adjusted)'!O44-'CFS (Base)'!O44</f>
        <v>0</v>
      </c>
      <c r="P44" s="344">
        <f>'CFS (Adjusted)'!P44-'CFS (Base)'!P44</f>
        <v>0</v>
      </c>
      <c r="Q44" s="344">
        <f>'CFS (Adjusted)'!Q44-'CFS (Base)'!Q44</f>
        <v>0</v>
      </c>
      <c r="R44" s="345">
        <f>'CFS (Adjusted)'!R44-'CFS (Base)'!R44</f>
        <v>0</v>
      </c>
      <c r="S44" s="344">
        <f>'CFS (Adjusted)'!S44-'CFS (Base)'!S44</f>
        <v>0</v>
      </c>
      <c r="T44" s="344">
        <f>'CFS (Adjusted)'!T44-'CFS (Base)'!T44</f>
        <v>0</v>
      </c>
      <c r="U44" s="344">
        <f>'CFS (Adjusted)'!U44-'CFS (Base)'!U44</f>
        <v>0</v>
      </c>
      <c r="V44" s="344">
        <f>'CFS (Adjusted)'!V44-'CFS (Base)'!V44</f>
        <v>0</v>
      </c>
      <c r="W44" s="345">
        <f>'CFS (Adjusted)'!W44-'CFS (Base)'!W44</f>
        <v>0</v>
      </c>
      <c r="X44" s="344">
        <f>'CFS (Adjusted)'!X44-'CFS (Base)'!X44</f>
        <v>0</v>
      </c>
      <c r="Y44" s="344">
        <f>'CFS (Adjusted)'!Y44-'CFS (Base)'!Y44</f>
        <v>0</v>
      </c>
      <c r="Z44" s="344">
        <f>'CFS (Adjusted)'!Z44-'CFS (Base)'!Z44</f>
        <v>0</v>
      </c>
      <c r="AA44" s="344">
        <f>'CFS (Adjusted)'!AA44-'CFS (Base)'!AA44</f>
        <v>0</v>
      </c>
      <c r="AB44" s="345">
        <f>'CFS (Adjusted)'!AB44-'CFS (Base)'!AB44</f>
        <v>0</v>
      </c>
      <c r="AC44" s="344">
        <f>'CFS (Adjusted)'!AC44-'CFS (Base)'!AC44</f>
        <v>0</v>
      </c>
      <c r="AD44" s="344">
        <f>'CFS (Adjusted)'!AD44-'CFS (Base)'!AD44</f>
        <v>0</v>
      </c>
      <c r="AE44" s="344">
        <f>'CFS (Adjusted)'!AE44-'CFS (Base)'!AE44</f>
        <v>0</v>
      </c>
      <c r="AF44" s="344">
        <f>'CFS (Adjusted)'!AF44-'CFS (Base)'!AF44</f>
        <v>0</v>
      </c>
      <c r="AG44" s="345">
        <f>'CFS (Adjusted)'!AG44-'CFS (Base)'!AG44</f>
        <v>0</v>
      </c>
      <c r="AH44" s="344">
        <f>'CFS (Adjusted)'!AH44-'CFS (Base)'!AH44</f>
        <v>0</v>
      </c>
      <c r="AI44" s="344">
        <f>'CFS (Adjusted)'!AI44-'CFS (Base)'!AI44</f>
        <v>0</v>
      </c>
      <c r="AJ44" s="344">
        <f>'CFS (Adjusted)'!AJ44-'CFS (Base)'!AJ44</f>
        <v>0</v>
      </c>
      <c r="AK44" s="344">
        <f>'CFS (Adjusted)'!AK44-'CFS (Base)'!AK44</f>
        <v>0</v>
      </c>
      <c r="AL44" s="345">
        <f>'CFS (Adjusted)'!AL44-'CFS (Base)'!AL44</f>
        <v>0</v>
      </c>
      <c r="AM44" s="344">
        <f>'CFS (Adjusted)'!AM44-'CFS (Base)'!AM44</f>
        <v>0</v>
      </c>
      <c r="AN44" s="344">
        <f>'CFS (Adjusted)'!AN44-'CFS (Base)'!AN44</f>
        <v>0</v>
      </c>
      <c r="AO44" s="344">
        <f>'CFS (Adjusted)'!AO44-'CFS (Base)'!AO44</f>
        <v>0</v>
      </c>
      <c r="AP44" s="344">
        <f>'CFS (Adjusted)'!AP44-'CFS (Base)'!AP44</f>
        <v>0</v>
      </c>
      <c r="AQ44" s="345">
        <f>'CFS (Adjusted)'!AQ44-'CFS (Base)'!AQ44</f>
        <v>0</v>
      </c>
      <c r="AR44" s="344">
        <f>'CFS (Adjusted)'!AR44-'CFS (Base)'!AR44</f>
        <v>0</v>
      </c>
      <c r="AS44" s="344">
        <f>'CFS (Adjusted)'!AS44-'CFS (Base)'!AS44</f>
        <v>0</v>
      </c>
      <c r="AT44" s="344">
        <f>'CFS (Adjusted)'!AT44-'CFS (Base)'!AT44</f>
        <v>0</v>
      </c>
      <c r="AU44" s="344">
        <f>'CFS (Adjusted)'!AU44-'CFS (Base)'!AU44</f>
        <v>0</v>
      </c>
      <c r="AV44" s="345">
        <f>'CFS (Adjusted)'!AV44-'CFS (Base)'!AV44</f>
        <v>0</v>
      </c>
    </row>
    <row r="45" spans="2:48" outlineLevel="1" x14ac:dyDescent="0.3">
      <c r="B45" s="250" t="s">
        <v>302</v>
      </c>
      <c r="C45" s="249"/>
      <c r="D45" s="334">
        <f>'CFS (Adjusted)'!D45-'CFS (Base)'!D45</f>
        <v>0</v>
      </c>
      <c r="E45" s="334">
        <f>'CFS (Adjusted)'!E45-'CFS (Base)'!E45</f>
        <v>0</v>
      </c>
      <c r="F45" s="334">
        <f>'CFS (Adjusted)'!F45-'CFS (Base)'!F45</f>
        <v>0</v>
      </c>
      <c r="G45" s="334">
        <f>'CFS (Adjusted)'!G45-'CFS (Base)'!G45</f>
        <v>0</v>
      </c>
      <c r="H45" s="335">
        <f>'CFS (Adjusted)'!H45-'CFS (Base)'!H45</f>
        <v>0</v>
      </c>
      <c r="I45" s="334">
        <f>'CFS (Adjusted)'!I45-'CFS (Base)'!I45</f>
        <v>0</v>
      </c>
      <c r="J45" s="334">
        <f>'CFS (Adjusted)'!J45-'CFS (Base)'!J45</f>
        <v>0</v>
      </c>
      <c r="K45" s="334">
        <f>'CFS (Adjusted)'!K45-'CFS (Base)'!K45</f>
        <v>0</v>
      </c>
      <c r="L45" s="334">
        <f>'CFS (Adjusted)'!L45-'CFS (Base)'!L45</f>
        <v>0</v>
      </c>
      <c r="M45" s="335">
        <f>'CFS (Adjusted)'!M45-'CFS (Base)'!M45</f>
        <v>0</v>
      </c>
      <c r="N45" s="334">
        <f>'CFS (Adjusted)'!N45-'CFS (Base)'!N45</f>
        <v>0</v>
      </c>
      <c r="O45" s="334">
        <f>'CFS (Adjusted)'!O45-'CFS (Base)'!O45</f>
        <v>0</v>
      </c>
      <c r="P45" s="334">
        <f>'CFS (Adjusted)'!P45-'CFS (Base)'!P45</f>
        <v>0</v>
      </c>
      <c r="Q45" s="334">
        <f>'CFS (Adjusted)'!Q45-'CFS (Base)'!Q45</f>
        <v>0</v>
      </c>
      <c r="R45" s="335">
        <f>'CFS (Adjusted)'!R45-'CFS (Base)'!R45</f>
        <v>0</v>
      </c>
      <c r="S45" s="334">
        <f>'CFS (Adjusted)'!S45-'CFS (Base)'!S45</f>
        <v>0</v>
      </c>
      <c r="T45" s="334">
        <f>'CFS (Adjusted)'!T45-'CFS (Base)'!T45</f>
        <v>0</v>
      </c>
      <c r="U45" s="334">
        <f>'CFS (Adjusted)'!U45-'CFS (Base)'!U45</f>
        <v>0</v>
      </c>
      <c r="V45" s="334">
        <f>'CFS (Adjusted)'!V45-'CFS (Base)'!V45</f>
        <v>0</v>
      </c>
      <c r="W45" s="335">
        <f>'CFS (Adjusted)'!W45-'CFS (Base)'!W45</f>
        <v>0</v>
      </c>
      <c r="X45" s="334">
        <f>'CFS (Adjusted)'!X45-'CFS (Base)'!X45</f>
        <v>0</v>
      </c>
      <c r="Y45" s="334">
        <f>'CFS (Adjusted)'!Y45-'CFS (Base)'!Y45</f>
        <v>0</v>
      </c>
      <c r="Z45" s="334">
        <f>'CFS (Adjusted)'!Z45-'CFS (Base)'!Z45</f>
        <v>0</v>
      </c>
      <c r="AA45" s="334">
        <f>'CFS (Adjusted)'!AA45-'CFS (Base)'!AA45</f>
        <v>0</v>
      </c>
      <c r="AB45" s="335">
        <f>'CFS (Adjusted)'!AB45-'CFS (Base)'!AB45</f>
        <v>0</v>
      </c>
      <c r="AC45" s="334">
        <f>'CFS (Adjusted)'!AC45-'CFS (Base)'!AC45</f>
        <v>0</v>
      </c>
      <c r="AD45" s="334">
        <f>'CFS (Adjusted)'!AD45-'CFS (Base)'!AD45</f>
        <v>0</v>
      </c>
      <c r="AE45" s="334">
        <f>'CFS (Adjusted)'!AE45-'CFS (Base)'!AE45</f>
        <v>0</v>
      </c>
      <c r="AF45" s="334">
        <f>'CFS (Adjusted)'!AF45-'CFS (Base)'!AF45</f>
        <v>0</v>
      </c>
      <c r="AG45" s="335">
        <f>'CFS (Adjusted)'!AG45-'CFS (Base)'!AG45</f>
        <v>0</v>
      </c>
      <c r="AH45" s="334">
        <f>'CFS (Adjusted)'!AH45-'CFS (Base)'!AH45</f>
        <v>0</v>
      </c>
      <c r="AI45" s="334">
        <f>'CFS (Adjusted)'!AI45-'CFS (Base)'!AI45</f>
        <v>0</v>
      </c>
      <c r="AJ45" s="334">
        <f>'CFS (Adjusted)'!AJ45-'CFS (Base)'!AJ45</f>
        <v>0</v>
      </c>
      <c r="AK45" s="334">
        <f>'CFS (Adjusted)'!AK45-'CFS (Base)'!AK45</f>
        <v>0</v>
      </c>
      <c r="AL45" s="335">
        <f>'CFS (Adjusted)'!AL45-'CFS (Base)'!AL45</f>
        <v>0</v>
      </c>
      <c r="AM45" s="334">
        <f>'CFS (Adjusted)'!AM45-'CFS (Base)'!AM45</f>
        <v>0</v>
      </c>
      <c r="AN45" s="334">
        <f>'CFS (Adjusted)'!AN45-'CFS (Base)'!AN45</f>
        <v>0</v>
      </c>
      <c r="AO45" s="334">
        <f>'CFS (Adjusted)'!AO45-'CFS (Base)'!AO45</f>
        <v>0</v>
      </c>
      <c r="AP45" s="334">
        <f>'CFS (Adjusted)'!AP45-'CFS (Base)'!AP45</f>
        <v>0</v>
      </c>
      <c r="AQ45" s="335">
        <f>'CFS (Adjusted)'!AQ45-'CFS (Base)'!AQ45</f>
        <v>0</v>
      </c>
      <c r="AR45" s="334">
        <f>'CFS (Adjusted)'!AR45-'CFS (Base)'!AR45</f>
        <v>0</v>
      </c>
      <c r="AS45" s="334">
        <f>'CFS (Adjusted)'!AS45-'CFS (Base)'!AS45</f>
        <v>0</v>
      </c>
      <c r="AT45" s="334">
        <f>'CFS (Adjusted)'!AT45-'CFS (Base)'!AT45</f>
        <v>0</v>
      </c>
      <c r="AU45" s="334">
        <f>'CFS (Adjusted)'!AU45-'CFS (Base)'!AU45</f>
        <v>0</v>
      </c>
      <c r="AV45" s="335">
        <f>'CFS (Adjusted)'!AV45-'CFS (Base)'!AV45</f>
        <v>0</v>
      </c>
    </row>
    <row r="46" spans="2:48" outlineLevel="1" x14ac:dyDescent="0.3">
      <c r="B46" s="200" t="s">
        <v>303</v>
      </c>
      <c r="C46" s="201"/>
      <c r="D46" s="16">
        <f>'CFS (Adjusted)'!D46-'CFS (Base)'!D46</f>
        <v>0</v>
      </c>
      <c r="E46" s="16">
        <f>'CFS (Adjusted)'!E46-'CFS (Base)'!E46</f>
        <v>0</v>
      </c>
      <c r="F46" s="16">
        <f>'CFS (Adjusted)'!F46-'CFS (Base)'!F46</f>
        <v>0</v>
      </c>
      <c r="G46" s="16">
        <f>'CFS (Adjusted)'!G46-'CFS (Base)'!G46</f>
        <v>0</v>
      </c>
      <c r="H46" s="17">
        <f>'CFS (Adjusted)'!H46-'CFS (Base)'!H46</f>
        <v>0</v>
      </c>
      <c r="I46" s="16">
        <f>'CFS (Adjusted)'!I46-'CFS (Base)'!I46</f>
        <v>0</v>
      </c>
      <c r="J46" s="16">
        <f>'CFS (Adjusted)'!J46-'CFS (Base)'!J46</f>
        <v>0</v>
      </c>
      <c r="K46" s="16">
        <f>'CFS (Adjusted)'!K46-'CFS (Base)'!K46</f>
        <v>0</v>
      </c>
      <c r="L46" s="16">
        <f>'CFS (Adjusted)'!L46-'CFS (Base)'!L46</f>
        <v>0</v>
      </c>
      <c r="M46" s="17">
        <f>'CFS (Adjusted)'!M46-'CFS (Base)'!M46</f>
        <v>0</v>
      </c>
      <c r="N46" s="16">
        <f>'CFS (Adjusted)'!N46-'CFS (Base)'!N46</f>
        <v>0</v>
      </c>
      <c r="O46" s="16">
        <f>'CFS (Adjusted)'!O46-'CFS (Base)'!O46</f>
        <v>0</v>
      </c>
      <c r="P46" s="16">
        <f>'CFS (Adjusted)'!P46-'CFS (Base)'!P46</f>
        <v>0</v>
      </c>
      <c r="Q46" s="16">
        <f>'CFS (Adjusted)'!Q46-'CFS (Base)'!Q46</f>
        <v>0</v>
      </c>
      <c r="R46" s="17">
        <f>'CFS (Adjusted)'!R46-'CFS (Base)'!R46</f>
        <v>0</v>
      </c>
      <c r="S46" s="16">
        <f>'CFS (Adjusted)'!S46-'CFS (Base)'!S46</f>
        <v>0</v>
      </c>
      <c r="T46" s="16">
        <f>'CFS (Adjusted)'!T46-'CFS (Base)'!T46</f>
        <v>0</v>
      </c>
      <c r="U46" s="16">
        <f>'CFS (Adjusted)'!U46-'CFS (Base)'!U46</f>
        <v>0</v>
      </c>
      <c r="V46" s="16">
        <f>'CFS (Adjusted)'!V46-'CFS (Base)'!V46</f>
        <v>0</v>
      </c>
      <c r="W46" s="17">
        <f>'CFS (Adjusted)'!W46-'CFS (Base)'!W46</f>
        <v>0</v>
      </c>
      <c r="X46" s="16">
        <f>'CFS (Adjusted)'!X46-'CFS (Base)'!X46</f>
        <v>0</v>
      </c>
      <c r="Y46" s="16">
        <f>'CFS (Adjusted)'!Y46-'CFS (Base)'!Y46</f>
        <v>0</v>
      </c>
      <c r="Z46" s="16">
        <f>'CFS (Adjusted)'!Z46-'CFS (Base)'!Z46</f>
        <v>0</v>
      </c>
      <c r="AA46" s="16">
        <f>'CFS (Adjusted)'!AA46-'CFS (Base)'!AA46</f>
        <v>0</v>
      </c>
      <c r="AB46" s="17">
        <f>'CFS (Adjusted)'!AB46-'CFS (Base)'!AB46</f>
        <v>0</v>
      </c>
      <c r="AC46" s="16">
        <f>'CFS (Adjusted)'!AC46-'CFS (Base)'!AC46</f>
        <v>0</v>
      </c>
      <c r="AD46" s="16">
        <f>'CFS (Adjusted)'!AD46-'CFS (Base)'!AD46</f>
        <v>0</v>
      </c>
      <c r="AE46" s="16">
        <f>'CFS (Adjusted)'!AE46-'CFS (Base)'!AE46</f>
        <v>0</v>
      </c>
      <c r="AF46" s="16">
        <f>'CFS (Adjusted)'!AF46-'CFS (Base)'!AF46</f>
        <v>0</v>
      </c>
      <c r="AG46" s="17">
        <f>'CFS (Adjusted)'!AG46-'CFS (Base)'!AG46</f>
        <v>0</v>
      </c>
      <c r="AH46" s="16">
        <f>'CFS (Adjusted)'!AH46-'CFS (Base)'!AH46</f>
        <v>0</v>
      </c>
      <c r="AI46" s="16">
        <f>'CFS (Adjusted)'!AI46-'CFS (Base)'!AI46</f>
        <v>0</v>
      </c>
      <c r="AJ46" s="16">
        <f>'CFS (Adjusted)'!AJ46-'CFS (Base)'!AJ46</f>
        <v>0</v>
      </c>
      <c r="AK46" s="16">
        <f>'CFS (Adjusted)'!AK46-'CFS (Base)'!AK46</f>
        <v>0</v>
      </c>
      <c r="AL46" s="17">
        <f>'CFS (Adjusted)'!AL46-'CFS (Base)'!AL46</f>
        <v>0</v>
      </c>
      <c r="AM46" s="16">
        <f>'CFS (Adjusted)'!AM46-'CFS (Base)'!AM46</f>
        <v>0</v>
      </c>
      <c r="AN46" s="16">
        <f>'CFS (Adjusted)'!AN46-'CFS (Base)'!AN46</f>
        <v>0</v>
      </c>
      <c r="AO46" s="16">
        <f>'CFS (Adjusted)'!AO46-'CFS (Base)'!AO46</f>
        <v>0</v>
      </c>
      <c r="AP46" s="16">
        <f>'CFS (Adjusted)'!AP46-'CFS (Base)'!AP46</f>
        <v>0</v>
      </c>
      <c r="AQ46" s="17">
        <f>'CFS (Adjusted)'!AQ46-'CFS (Base)'!AQ46</f>
        <v>0</v>
      </c>
      <c r="AR46" s="16">
        <f>'CFS (Adjusted)'!AR46-'CFS (Base)'!AR46</f>
        <v>0</v>
      </c>
      <c r="AS46" s="16">
        <f>'CFS (Adjusted)'!AS46-'CFS (Base)'!AS46</f>
        <v>0</v>
      </c>
      <c r="AT46" s="16">
        <f>'CFS (Adjusted)'!AT46-'CFS (Base)'!AT46</f>
        <v>0</v>
      </c>
      <c r="AU46" s="16">
        <f>'CFS (Adjusted)'!AU46-'CFS (Base)'!AU46</f>
        <v>0</v>
      </c>
      <c r="AV46" s="17">
        <f>'CFS (Adjusted)'!AV46-'CFS (Base)'!AV46</f>
        <v>0</v>
      </c>
    </row>
    <row r="47" spans="2:48" outlineLevel="1" x14ac:dyDescent="0.3">
      <c r="B47" s="200" t="s">
        <v>304</v>
      </c>
      <c r="C47" s="201"/>
      <c r="D47" s="16">
        <f>'CFS (Adjusted)'!D47-'CFS (Base)'!D47</f>
        <v>0</v>
      </c>
      <c r="E47" s="16">
        <f>'CFS (Adjusted)'!E47-'CFS (Base)'!E47</f>
        <v>0</v>
      </c>
      <c r="F47" s="16">
        <f>'CFS (Adjusted)'!F47-'CFS (Base)'!F47</f>
        <v>0</v>
      </c>
      <c r="G47" s="16">
        <f>'CFS (Adjusted)'!G47-'CFS (Base)'!G47</f>
        <v>0</v>
      </c>
      <c r="H47" s="17">
        <f>'CFS (Adjusted)'!H47-'CFS (Base)'!H47</f>
        <v>0</v>
      </c>
      <c r="I47" s="16">
        <f>'CFS (Adjusted)'!I47-'CFS (Base)'!I47</f>
        <v>0</v>
      </c>
      <c r="J47" s="16">
        <f>'CFS (Adjusted)'!J47-'CFS (Base)'!J47</f>
        <v>0</v>
      </c>
      <c r="K47" s="16">
        <f>'CFS (Adjusted)'!K47-'CFS (Base)'!K47</f>
        <v>0</v>
      </c>
      <c r="L47" s="16">
        <f>'CFS (Adjusted)'!L47-'CFS (Base)'!L47</f>
        <v>0</v>
      </c>
      <c r="M47" s="17">
        <f>'CFS (Adjusted)'!M47-'CFS (Base)'!M47</f>
        <v>0</v>
      </c>
      <c r="N47" s="16">
        <f>'CFS (Adjusted)'!N47-'CFS (Base)'!N47</f>
        <v>0</v>
      </c>
      <c r="O47" s="16">
        <f>'CFS (Adjusted)'!O47-'CFS (Base)'!O47</f>
        <v>0</v>
      </c>
      <c r="P47" s="16">
        <f>'CFS (Adjusted)'!P47-'CFS (Base)'!P47</f>
        <v>0</v>
      </c>
      <c r="Q47" s="16">
        <f>'CFS (Adjusted)'!Q47-'CFS (Base)'!Q47</f>
        <v>0</v>
      </c>
      <c r="R47" s="17">
        <f>'CFS (Adjusted)'!R47-'CFS (Base)'!R47</f>
        <v>0</v>
      </c>
      <c r="S47" s="16">
        <f>'CFS (Adjusted)'!S47-'CFS (Base)'!S47</f>
        <v>0</v>
      </c>
      <c r="T47" s="16">
        <f>'CFS (Adjusted)'!T47-'CFS (Base)'!T47</f>
        <v>0</v>
      </c>
      <c r="U47" s="16">
        <f>'CFS (Adjusted)'!U47-'CFS (Base)'!U47</f>
        <v>0</v>
      </c>
      <c r="V47" s="16">
        <f>'CFS (Adjusted)'!V47-'CFS (Base)'!V47</f>
        <v>0</v>
      </c>
      <c r="W47" s="17">
        <f>'CFS (Adjusted)'!W47-'CFS (Base)'!W47</f>
        <v>0</v>
      </c>
      <c r="X47" s="16">
        <f>'CFS (Adjusted)'!X47-'CFS (Base)'!X47</f>
        <v>0</v>
      </c>
      <c r="Y47" s="16">
        <f>'CFS (Adjusted)'!Y47-'CFS (Base)'!Y47</f>
        <v>0</v>
      </c>
      <c r="Z47" s="16">
        <f>'CFS (Adjusted)'!Z47-'CFS (Base)'!Z47</f>
        <v>0</v>
      </c>
      <c r="AA47" s="16">
        <f>'CFS (Adjusted)'!AA47-'CFS (Base)'!AA47</f>
        <v>0</v>
      </c>
      <c r="AB47" s="17">
        <f>'CFS (Adjusted)'!AB47-'CFS (Base)'!AB47</f>
        <v>0</v>
      </c>
      <c r="AC47" s="16">
        <f>'CFS (Adjusted)'!AC47-'CFS (Base)'!AC47</f>
        <v>0</v>
      </c>
      <c r="AD47" s="16">
        <f>'CFS (Adjusted)'!AD47-'CFS (Base)'!AD47</f>
        <v>0</v>
      </c>
      <c r="AE47" s="16">
        <f>'CFS (Adjusted)'!AE47-'CFS (Base)'!AE47</f>
        <v>0</v>
      </c>
      <c r="AF47" s="16">
        <f>'CFS (Adjusted)'!AF47-'CFS (Base)'!AF47</f>
        <v>0</v>
      </c>
      <c r="AG47" s="17">
        <f>'CFS (Adjusted)'!AG47-'CFS (Base)'!AG47</f>
        <v>0</v>
      </c>
      <c r="AH47" s="16">
        <f>'CFS (Adjusted)'!AH47-'CFS (Base)'!AH47</f>
        <v>0</v>
      </c>
      <c r="AI47" s="16">
        <f>'CFS (Adjusted)'!AI47-'CFS (Base)'!AI47</f>
        <v>0</v>
      </c>
      <c r="AJ47" s="16">
        <f>'CFS (Adjusted)'!AJ47-'CFS (Base)'!AJ47</f>
        <v>0</v>
      </c>
      <c r="AK47" s="16">
        <f>'CFS (Adjusted)'!AK47-'CFS (Base)'!AK47</f>
        <v>0</v>
      </c>
      <c r="AL47" s="17">
        <f>'CFS (Adjusted)'!AL47-'CFS (Base)'!AL47</f>
        <v>0</v>
      </c>
      <c r="AM47" s="16">
        <f>'CFS (Adjusted)'!AM47-'CFS (Base)'!AM47</f>
        <v>0</v>
      </c>
      <c r="AN47" s="16">
        <f>'CFS (Adjusted)'!AN47-'CFS (Base)'!AN47</f>
        <v>0</v>
      </c>
      <c r="AO47" s="16">
        <f>'CFS (Adjusted)'!AO47-'CFS (Base)'!AO47</f>
        <v>0</v>
      </c>
      <c r="AP47" s="16">
        <f>'CFS (Adjusted)'!AP47-'CFS (Base)'!AP47</f>
        <v>0</v>
      </c>
      <c r="AQ47" s="17">
        <f>'CFS (Adjusted)'!AQ47-'CFS (Base)'!AQ47</f>
        <v>0</v>
      </c>
      <c r="AR47" s="16">
        <f>'CFS (Adjusted)'!AR47-'CFS (Base)'!AR47</f>
        <v>0</v>
      </c>
      <c r="AS47" s="16">
        <f>'CFS (Adjusted)'!AS47-'CFS (Base)'!AS47</f>
        <v>0</v>
      </c>
      <c r="AT47" s="16">
        <f>'CFS (Adjusted)'!AT47-'CFS (Base)'!AT47</f>
        <v>0</v>
      </c>
      <c r="AU47" s="16">
        <f>'CFS (Adjusted)'!AU47-'CFS (Base)'!AU47</f>
        <v>0</v>
      </c>
      <c r="AV47" s="17">
        <f>'CFS (Adjusted)'!AV47-'CFS (Base)'!AV47</f>
        <v>0</v>
      </c>
    </row>
    <row r="48" spans="2:48" outlineLevel="1" x14ac:dyDescent="0.3">
      <c r="B48" s="635" t="s">
        <v>305</v>
      </c>
      <c r="C48" s="636"/>
      <c r="D48" s="346">
        <f>'CFS (Adjusted)'!D48-'CFS (Base)'!D48</f>
        <v>0</v>
      </c>
      <c r="E48" s="346">
        <f>'CFS (Adjusted)'!E48-'CFS (Base)'!E48</f>
        <v>0</v>
      </c>
      <c r="F48" s="346">
        <f>'CFS (Adjusted)'!F48-'CFS (Base)'!F48</f>
        <v>0</v>
      </c>
      <c r="G48" s="346">
        <f>'CFS (Adjusted)'!G48-'CFS (Base)'!G48</f>
        <v>0</v>
      </c>
      <c r="H48" s="347">
        <f>'CFS (Adjusted)'!H48-'CFS (Base)'!H48</f>
        <v>0</v>
      </c>
      <c r="I48" s="346">
        <f>'CFS (Adjusted)'!I48-'CFS (Base)'!I48</f>
        <v>0</v>
      </c>
      <c r="J48" s="346">
        <f>'CFS (Adjusted)'!J48-'CFS (Base)'!J48</f>
        <v>0</v>
      </c>
      <c r="K48" s="346">
        <f>'CFS (Adjusted)'!K48-'CFS (Base)'!K48</f>
        <v>0</v>
      </c>
      <c r="L48" s="346">
        <f>'CFS (Adjusted)'!L48-'CFS (Base)'!L48</f>
        <v>0</v>
      </c>
      <c r="M48" s="347">
        <f>'CFS (Adjusted)'!M48-'CFS (Base)'!M48</f>
        <v>0</v>
      </c>
      <c r="N48" s="346">
        <f>'CFS (Adjusted)'!N48-'CFS (Base)'!N48</f>
        <v>0</v>
      </c>
      <c r="O48" s="346">
        <f>'CFS (Adjusted)'!O48-'CFS (Base)'!O48</f>
        <v>0</v>
      </c>
      <c r="P48" s="346">
        <f>'CFS (Adjusted)'!P48-'CFS (Base)'!P48</f>
        <v>0</v>
      </c>
      <c r="Q48" s="346">
        <f>'CFS (Adjusted)'!Q48-'CFS (Base)'!Q48</f>
        <v>0</v>
      </c>
      <c r="R48" s="347">
        <f>'CFS (Adjusted)'!R48-'CFS (Base)'!R48</f>
        <v>0</v>
      </c>
      <c r="S48" s="346">
        <f>'CFS (Adjusted)'!S48-'CFS (Base)'!S48</f>
        <v>0</v>
      </c>
      <c r="T48" s="346">
        <f>'CFS (Adjusted)'!T48-'CFS (Base)'!T48</f>
        <v>0</v>
      </c>
      <c r="U48" s="346">
        <f>'CFS (Adjusted)'!U48-'CFS (Base)'!U48</f>
        <v>0</v>
      </c>
      <c r="V48" s="346">
        <f>'CFS (Adjusted)'!V48-'CFS (Base)'!V48</f>
        <v>0</v>
      </c>
      <c r="W48" s="347">
        <f>'CFS (Adjusted)'!W48-'CFS (Base)'!W48</f>
        <v>0</v>
      </c>
      <c r="X48" s="346">
        <f>'CFS (Adjusted)'!X48-'CFS (Base)'!X48</f>
        <v>0</v>
      </c>
      <c r="Y48" s="346">
        <f>'CFS (Adjusted)'!Y48-'CFS (Base)'!Y48</f>
        <v>0</v>
      </c>
      <c r="Z48" s="346">
        <f>'CFS (Adjusted)'!Z48-'CFS (Base)'!Z48</f>
        <v>0</v>
      </c>
      <c r="AA48" s="346">
        <f>'CFS (Adjusted)'!AA48-'CFS (Base)'!AA48</f>
        <v>0</v>
      </c>
      <c r="AB48" s="347">
        <f>'CFS (Adjusted)'!AB48-'CFS (Base)'!AB48</f>
        <v>0</v>
      </c>
      <c r="AC48" s="346">
        <f>'CFS (Adjusted)'!AC48-'CFS (Base)'!AC48</f>
        <v>0</v>
      </c>
      <c r="AD48" s="346">
        <f>'CFS (Adjusted)'!AD48-'CFS (Base)'!AD48</f>
        <v>0</v>
      </c>
      <c r="AE48" s="346">
        <f>'CFS (Adjusted)'!AE48-'CFS (Base)'!AE48</f>
        <v>0</v>
      </c>
      <c r="AF48" s="346">
        <f>'CFS (Adjusted)'!AF48-'CFS (Base)'!AF48</f>
        <v>0</v>
      </c>
      <c r="AG48" s="347">
        <f>'CFS (Adjusted)'!AG48-'CFS (Base)'!AG48</f>
        <v>0</v>
      </c>
      <c r="AH48" s="346">
        <f>'CFS (Adjusted)'!AH48-'CFS (Base)'!AH48</f>
        <v>0</v>
      </c>
      <c r="AI48" s="346">
        <f>'CFS (Adjusted)'!AI48-'CFS (Base)'!AI48</f>
        <v>0</v>
      </c>
      <c r="AJ48" s="346">
        <f>'CFS (Adjusted)'!AJ48-'CFS (Base)'!AJ48</f>
        <v>0</v>
      </c>
      <c r="AK48" s="346">
        <f>'CFS (Adjusted)'!AK48-'CFS (Base)'!AK48</f>
        <v>0</v>
      </c>
      <c r="AL48" s="347">
        <f>'CFS (Adjusted)'!AL48-'CFS (Base)'!AL48</f>
        <v>0</v>
      </c>
      <c r="AM48" s="346">
        <f>'CFS (Adjusted)'!AM48-'CFS (Base)'!AM48</f>
        <v>0</v>
      </c>
      <c r="AN48" s="346">
        <f>'CFS (Adjusted)'!AN48-'CFS (Base)'!AN48</f>
        <v>0</v>
      </c>
      <c r="AO48" s="346">
        <f>'CFS (Adjusted)'!AO48-'CFS (Base)'!AO48</f>
        <v>0</v>
      </c>
      <c r="AP48" s="346">
        <f>'CFS (Adjusted)'!AP48-'CFS (Base)'!AP48</f>
        <v>0</v>
      </c>
      <c r="AQ48" s="347">
        <f>'CFS (Adjusted)'!AQ48-'CFS (Base)'!AQ48</f>
        <v>0</v>
      </c>
      <c r="AR48" s="346">
        <f>'CFS (Adjusted)'!AR48-'CFS (Base)'!AR48</f>
        <v>0</v>
      </c>
      <c r="AS48" s="346">
        <f>'CFS (Adjusted)'!AS48-'CFS (Base)'!AS48</f>
        <v>0</v>
      </c>
      <c r="AT48" s="346">
        <f>'CFS (Adjusted)'!AT48-'CFS (Base)'!AT48</f>
        <v>0</v>
      </c>
      <c r="AU48" s="346">
        <f>'CFS (Adjusted)'!AU48-'CFS (Base)'!AU48</f>
        <v>0</v>
      </c>
      <c r="AV48" s="347">
        <f>'CFS (Adjusted)'!AV48-'CFS (Base)'!AV48</f>
        <v>0</v>
      </c>
    </row>
    <row r="49" spans="2:48" x14ac:dyDescent="0.3">
      <c r="B49" s="637"/>
      <c r="C49" s="637"/>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583" t="s">
        <v>306</v>
      </c>
      <c r="C50" s="584"/>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3" t="s">
        <v>407</v>
      </c>
      <c r="Y50" s="13" t="s">
        <v>451</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85"/>
      <c r="C51" s="586"/>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4" t="s">
        <v>408</v>
      </c>
      <c r="Y51" s="14" t="s">
        <v>452</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601" t="s">
        <v>307</v>
      </c>
      <c r="C52" s="602"/>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'CFS (Adjusted)'!D53-'CFS (Base)'!D53</f>
        <v>0</v>
      </c>
      <c r="E53" s="281">
        <f>'CFS (Adjusted)'!E53-'CFS (Base)'!E53</f>
        <v>0</v>
      </c>
      <c r="F53" s="113">
        <f>'CFS (Adjusted)'!F53-'CFS (Base)'!F53</f>
        <v>0</v>
      </c>
      <c r="G53" s="113">
        <f>'CFS (Adjusted)'!G53-'CFS (Base)'!G53</f>
        <v>0</v>
      </c>
      <c r="H53" s="125">
        <f>'CFS (Adjusted)'!H53-'CFS (Base)'!H53</f>
        <v>0</v>
      </c>
      <c r="I53" s="113">
        <f>'CFS (Adjusted)'!I53-'CFS (Base)'!I53</f>
        <v>0</v>
      </c>
      <c r="J53" s="113">
        <f>'CFS (Adjusted)'!J53-'CFS (Base)'!J53</f>
        <v>0</v>
      </c>
      <c r="K53" s="113">
        <f>'CFS (Adjusted)'!K53-'CFS (Base)'!K53</f>
        <v>0</v>
      </c>
      <c r="L53" s="113">
        <f>'CFS (Adjusted)'!L53-'CFS (Base)'!L53</f>
        <v>0</v>
      </c>
      <c r="M53" s="282">
        <f>'CFS (Adjusted)'!M53-'CFS (Base)'!M53</f>
        <v>0</v>
      </c>
      <c r="N53" s="113">
        <f>'CFS (Adjusted)'!N53-'CFS (Base)'!N53</f>
        <v>0</v>
      </c>
      <c r="O53" s="113">
        <f>'CFS (Adjusted)'!O53-'CFS (Base)'!O53</f>
        <v>0</v>
      </c>
      <c r="P53" s="113">
        <f>'CFS (Adjusted)'!P53-'CFS (Base)'!P53</f>
        <v>0</v>
      </c>
      <c r="Q53" s="113">
        <f>'CFS (Adjusted)'!Q53-'CFS (Base)'!Q53</f>
        <v>0</v>
      </c>
      <c r="R53" s="282">
        <f>'CFS (Adjusted)'!R53-'CFS (Base)'!R53</f>
        <v>0</v>
      </c>
      <c r="S53" s="113">
        <f>'CFS (Adjusted)'!S53-'CFS (Base)'!S53</f>
        <v>0</v>
      </c>
      <c r="T53" s="113">
        <f>'CFS (Adjusted)'!T53-'CFS (Base)'!T53</f>
        <v>0</v>
      </c>
      <c r="U53" s="113">
        <f>'CFS (Adjusted)'!U53-'CFS (Base)'!U53</f>
        <v>0</v>
      </c>
      <c r="V53" s="113">
        <f>'CFS (Adjusted)'!V53-'CFS (Base)'!V53</f>
        <v>0</v>
      </c>
      <c r="W53" s="282">
        <f>'CFS (Adjusted)'!W53-'CFS (Base)'!W53</f>
        <v>0</v>
      </c>
      <c r="X53" s="113">
        <f>'CFS (Adjusted)'!X53-'CFS (Base)'!X53</f>
        <v>0</v>
      </c>
      <c r="Y53" s="35">
        <f>'CFS (Adjusted)'!Y53-'CFS (Base)'!Y53</f>
        <v>0</v>
      </c>
      <c r="Z53" s="35">
        <f>'CFS (Adjusted)'!Z53-'CFS (Base)'!Z53</f>
        <v>0</v>
      </c>
      <c r="AA53" s="35">
        <f>'CFS (Adjusted)'!AA53-'CFS (Base)'!AA53</f>
        <v>0</v>
      </c>
      <c r="AB53" s="282">
        <f>'CFS (Adjusted)'!AB53-'CFS (Base)'!AB53</f>
        <v>0</v>
      </c>
      <c r="AC53" s="35">
        <f>'CFS (Adjusted)'!AC53-'CFS (Base)'!AC53</f>
        <v>0</v>
      </c>
      <c r="AD53" s="35">
        <f>'CFS (Adjusted)'!AD53-'CFS (Base)'!AD53</f>
        <v>0</v>
      </c>
      <c r="AE53" s="35">
        <f>'CFS (Adjusted)'!AE53-'CFS (Base)'!AE53</f>
        <v>0</v>
      </c>
      <c r="AF53" s="35">
        <f>'CFS (Adjusted)'!AF53-'CFS (Base)'!AF53</f>
        <v>0</v>
      </c>
      <c r="AG53" s="282">
        <f>'CFS (Adjusted)'!AG53-'CFS (Base)'!AG53</f>
        <v>0</v>
      </c>
      <c r="AH53" s="35">
        <f>'CFS (Adjusted)'!AH53-'CFS (Base)'!AH53</f>
        <v>0</v>
      </c>
      <c r="AI53" s="35">
        <f>'CFS (Adjusted)'!AI53-'CFS (Base)'!AI53</f>
        <v>0</v>
      </c>
      <c r="AJ53" s="35">
        <f>'CFS (Adjusted)'!AJ53-'CFS (Base)'!AJ53</f>
        <v>0</v>
      </c>
      <c r="AK53" s="35">
        <f>'CFS (Adjusted)'!AK53-'CFS (Base)'!AK53</f>
        <v>0</v>
      </c>
      <c r="AL53" s="282">
        <f>'CFS (Adjusted)'!AL53-'CFS (Base)'!AL53</f>
        <v>0</v>
      </c>
      <c r="AM53" s="35">
        <f>'CFS (Adjusted)'!AM53-'CFS (Base)'!AM53</f>
        <v>0</v>
      </c>
      <c r="AN53" s="35">
        <f>'CFS (Adjusted)'!AN53-'CFS (Base)'!AN53</f>
        <v>0</v>
      </c>
      <c r="AO53" s="35">
        <f>'CFS (Adjusted)'!AO53-'CFS (Base)'!AO53</f>
        <v>0</v>
      </c>
      <c r="AP53" s="35">
        <f>'CFS (Adjusted)'!AP53-'CFS (Base)'!AP53</f>
        <v>0</v>
      </c>
      <c r="AQ53" s="282">
        <f>'CFS (Adjusted)'!AQ53-'CFS (Base)'!AQ53</f>
        <v>0</v>
      </c>
      <c r="AR53" s="35">
        <f>'CFS (Adjusted)'!AR53-'CFS (Base)'!AR53</f>
        <v>0</v>
      </c>
      <c r="AS53" s="35">
        <f>'CFS (Adjusted)'!AS53-'CFS (Base)'!AS53</f>
        <v>0</v>
      </c>
      <c r="AT53" s="35">
        <f>'CFS (Adjusted)'!AT53-'CFS (Base)'!AT53</f>
        <v>0</v>
      </c>
      <c r="AU53" s="35">
        <f>'CFS (Adjusted)'!AU53-'CFS (Base)'!AU53</f>
        <v>0</v>
      </c>
      <c r="AV53" s="282">
        <f>'CFS (Adjusted)'!AV53-'CFS (Base)'!AV53</f>
        <v>0</v>
      </c>
    </row>
    <row r="54" spans="2:48" s="23" customFormat="1" outlineLevel="1" x14ac:dyDescent="0.3">
      <c r="B54" s="200" t="s">
        <v>309</v>
      </c>
      <c r="C54" s="201"/>
      <c r="D54" s="351">
        <f>'CFS (Adjusted)'!D54-'CFS (Base)'!D54</f>
        <v>0</v>
      </c>
      <c r="E54" s="351">
        <f>'CFS (Adjusted)'!E54-'CFS (Base)'!E54</f>
        <v>0</v>
      </c>
      <c r="F54" s="113">
        <f>'CFS (Adjusted)'!F54-'CFS (Base)'!F54</f>
        <v>0</v>
      </c>
      <c r="G54" s="113">
        <f>'CFS (Adjusted)'!G54-'CFS (Base)'!G54</f>
        <v>0</v>
      </c>
      <c r="H54" s="125">
        <f>'CFS (Adjusted)'!H54-'CFS (Base)'!H54</f>
        <v>0</v>
      </c>
      <c r="I54" s="113">
        <f>'CFS (Adjusted)'!I54-'CFS (Base)'!I54</f>
        <v>0</v>
      </c>
      <c r="J54" s="113">
        <f>'CFS (Adjusted)'!J54-'CFS (Base)'!J54</f>
        <v>0</v>
      </c>
      <c r="K54" s="113">
        <f>'CFS (Adjusted)'!K54-'CFS (Base)'!K54</f>
        <v>0</v>
      </c>
      <c r="L54" s="113">
        <f>'CFS (Adjusted)'!L54-'CFS (Base)'!L54</f>
        <v>0</v>
      </c>
      <c r="M54" s="282">
        <f>'CFS (Adjusted)'!M54-'CFS (Base)'!M54</f>
        <v>0</v>
      </c>
      <c r="N54" s="113">
        <f>'CFS (Adjusted)'!N54-'CFS (Base)'!N54</f>
        <v>0</v>
      </c>
      <c r="O54" s="113">
        <f>'CFS (Adjusted)'!O54-'CFS (Base)'!O54</f>
        <v>0</v>
      </c>
      <c r="P54" s="113">
        <f>'CFS (Adjusted)'!P54-'CFS (Base)'!P54</f>
        <v>0</v>
      </c>
      <c r="Q54" s="113">
        <f>'CFS (Adjusted)'!Q54-'CFS (Base)'!Q54</f>
        <v>0</v>
      </c>
      <c r="R54" s="282">
        <f>'CFS (Adjusted)'!R54-'CFS (Base)'!R54</f>
        <v>0</v>
      </c>
      <c r="S54" s="113">
        <f>'CFS (Adjusted)'!S54-'CFS (Base)'!S54</f>
        <v>0</v>
      </c>
      <c r="T54" s="113">
        <f>'CFS (Adjusted)'!T54-'CFS (Base)'!T54</f>
        <v>0</v>
      </c>
      <c r="U54" s="113">
        <f>'CFS (Adjusted)'!U54-'CFS (Base)'!U54</f>
        <v>0</v>
      </c>
      <c r="V54" s="113">
        <f>'CFS (Adjusted)'!V54-'CFS (Base)'!V54</f>
        <v>0</v>
      </c>
      <c r="W54" s="282">
        <f>'CFS (Adjusted)'!W54-'CFS (Base)'!W54</f>
        <v>0</v>
      </c>
      <c r="X54" s="113">
        <f>'CFS (Adjusted)'!X54-'CFS (Base)'!X54</f>
        <v>0</v>
      </c>
      <c r="Y54" s="35">
        <f>'CFS (Adjusted)'!Y54-'CFS (Base)'!Y54</f>
        <v>0</v>
      </c>
      <c r="Z54" s="35">
        <f>'CFS (Adjusted)'!Z54-'CFS (Base)'!Z54</f>
        <v>0</v>
      </c>
      <c r="AA54" s="35">
        <f>'CFS (Adjusted)'!AA54-'CFS (Base)'!AA54</f>
        <v>0</v>
      </c>
      <c r="AB54" s="282">
        <f>'CFS (Adjusted)'!AB54-'CFS (Base)'!AB54</f>
        <v>0</v>
      </c>
      <c r="AC54" s="35">
        <f>'CFS (Adjusted)'!AC54-'CFS (Base)'!AC54</f>
        <v>0</v>
      </c>
      <c r="AD54" s="35">
        <f>'CFS (Adjusted)'!AD54-'CFS (Base)'!AD54</f>
        <v>0</v>
      </c>
      <c r="AE54" s="35">
        <f>'CFS (Adjusted)'!AE54-'CFS (Base)'!AE54</f>
        <v>0</v>
      </c>
      <c r="AF54" s="35">
        <f>'CFS (Adjusted)'!AF54-'CFS (Base)'!AF54</f>
        <v>0</v>
      </c>
      <c r="AG54" s="282">
        <f>'CFS (Adjusted)'!AG54-'CFS (Base)'!AG54</f>
        <v>0</v>
      </c>
      <c r="AH54" s="35">
        <f>'CFS (Adjusted)'!AH54-'CFS (Base)'!AH54</f>
        <v>0</v>
      </c>
      <c r="AI54" s="35">
        <f>'CFS (Adjusted)'!AI54-'CFS (Base)'!AI54</f>
        <v>0</v>
      </c>
      <c r="AJ54" s="35">
        <f>'CFS (Adjusted)'!AJ54-'CFS (Base)'!AJ54</f>
        <v>0</v>
      </c>
      <c r="AK54" s="35">
        <f>'CFS (Adjusted)'!AK54-'CFS (Base)'!AK54</f>
        <v>0</v>
      </c>
      <c r="AL54" s="282">
        <f>'CFS (Adjusted)'!AL54-'CFS (Base)'!AL54</f>
        <v>0</v>
      </c>
      <c r="AM54" s="35">
        <f>'CFS (Adjusted)'!AM54-'CFS (Base)'!AM54</f>
        <v>0</v>
      </c>
      <c r="AN54" s="35">
        <f>'CFS (Adjusted)'!AN54-'CFS (Base)'!AN54</f>
        <v>0</v>
      </c>
      <c r="AO54" s="35">
        <f>'CFS (Adjusted)'!AO54-'CFS (Base)'!AO54</f>
        <v>0</v>
      </c>
      <c r="AP54" s="35">
        <f>'CFS (Adjusted)'!AP54-'CFS (Base)'!AP54</f>
        <v>0</v>
      </c>
      <c r="AQ54" s="282">
        <f>'CFS (Adjusted)'!AQ54-'CFS (Base)'!AQ54</f>
        <v>0</v>
      </c>
      <c r="AR54" s="35">
        <f>'CFS (Adjusted)'!AR54-'CFS (Base)'!AR54</f>
        <v>0</v>
      </c>
      <c r="AS54" s="35">
        <f>'CFS (Adjusted)'!AS54-'CFS (Base)'!AS54</f>
        <v>0</v>
      </c>
      <c r="AT54" s="35">
        <f>'CFS (Adjusted)'!AT54-'CFS (Base)'!AT54</f>
        <v>0</v>
      </c>
      <c r="AU54" s="35">
        <f>'CFS (Adjusted)'!AU54-'CFS (Base)'!AU54</f>
        <v>0</v>
      </c>
      <c r="AV54" s="282">
        <f>'CFS (Adjusted)'!AV54-'CFS (Base)'!AV54</f>
        <v>0</v>
      </c>
    </row>
    <row r="55" spans="2:48" s="23" customFormat="1" outlineLevel="1" x14ac:dyDescent="0.3">
      <c r="B55" s="580" t="s">
        <v>310</v>
      </c>
      <c r="C55" s="581"/>
      <c r="D55" s="352">
        <f>'CFS (Adjusted)'!D55-'CFS (Base)'!D55</f>
        <v>0</v>
      </c>
      <c r="E55" s="352">
        <f>'CFS (Adjusted)'!E55-'CFS (Base)'!E55</f>
        <v>0</v>
      </c>
      <c r="F55" s="352">
        <f>'CFS (Adjusted)'!F55-'CFS (Base)'!F55</f>
        <v>0</v>
      </c>
      <c r="G55" s="352">
        <f>'CFS (Adjusted)'!G55-'CFS (Base)'!G55</f>
        <v>0</v>
      </c>
      <c r="H55" s="353">
        <f>'CFS (Adjusted)'!H55-'CFS (Base)'!H55</f>
        <v>0</v>
      </c>
      <c r="I55" s="352">
        <f>'CFS (Adjusted)'!I55-'CFS (Base)'!I55</f>
        <v>0</v>
      </c>
      <c r="J55" s="352">
        <f>'CFS (Adjusted)'!J55-'CFS (Base)'!J55</f>
        <v>0</v>
      </c>
      <c r="K55" s="352">
        <f>'CFS (Adjusted)'!K55-'CFS (Base)'!K55</f>
        <v>0</v>
      </c>
      <c r="L55" s="352">
        <f>'CFS (Adjusted)'!L55-'CFS (Base)'!L55</f>
        <v>0</v>
      </c>
      <c r="M55" s="353">
        <f>'CFS (Adjusted)'!M55-'CFS (Base)'!M55</f>
        <v>0</v>
      </c>
      <c r="N55" s="352">
        <f>'CFS (Adjusted)'!N55-'CFS (Base)'!N55</f>
        <v>0</v>
      </c>
      <c r="O55" s="352">
        <f>'CFS (Adjusted)'!O55-'CFS (Base)'!O55</f>
        <v>0</v>
      </c>
      <c r="P55" s="352">
        <f>'CFS (Adjusted)'!P55-'CFS (Base)'!P55</f>
        <v>0</v>
      </c>
      <c r="Q55" s="352">
        <f>'CFS (Adjusted)'!Q55-'CFS (Base)'!Q55</f>
        <v>0</v>
      </c>
      <c r="R55" s="353">
        <f>'CFS (Adjusted)'!R55-'CFS (Base)'!R55</f>
        <v>0</v>
      </c>
      <c r="S55" s="352">
        <f>'CFS (Adjusted)'!S55-'CFS (Base)'!S55</f>
        <v>0</v>
      </c>
      <c r="T55" s="352">
        <f>'CFS (Adjusted)'!T55-'CFS (Base)'!T55</f>
        <v>0</v>
      </c>
      <c r="U55" s="352">
        <f>'CFS (Adjusted)'!U55-'CFS (Base)'!U55</f>
        <v>0</v>
      </c>
      <c r="V55" s="352">
        <f>'CFS (Adjusted)'!V55-'CFS (Base)'!V55</f>
        <v>0</v>
      </c>
      <c r="W55" s="353">
        <f>'CFS (Adjusted)'!W55-'CFS (Base)'!W55</f>
        <v>0</v>
      </c>
      <c r="X55" s="352">
        <f>'CFS (Adjusted)'!X55-'CFS (Base)'!X55</f>
        <v>0</v>
      </c>
      <c r="Y55" s="352">
        <f>'CFS (Adjusted)'!Y55-'CFS (Base)'!Y55</f>
        <v>0</v>
      </c>
      <c r="Z55" s="352">
        <f>'CFS (Adjusted)'!Z55-'CFS (Base)'!Z55</f>
        <v>0</v>
      </c>
      <c r="AA55" s="352">
        <f>'CFS (Adjusted)'!AA55-'CFS (Base)'!AA55</f>
        <v>0</v>
      </c>
      <c r="AB55" s="353">
        <f>'CFS (Adjusted)'!AB55-'CFS (Base)'!AB55</f>
        <v>0</v>
      </c>
      <c r="AC55" s="352">
        <f>'CFS (Adjusted)'!AC55-'CFS (Base)'!AC55</f>
        <v>0</v>
      </c>
      <c r="AD55" s="352">
        <f>'CFS (Adjusted)'!AD55-'CFS (Base)'!AD55</f>
        <v>0</v>
      </c>
      <c r="AE55" s="352">
        <f>'CFS (Adjusted)'!AE55-'CFS (Base)'!AE55</f>
        <v>0</v>
      </c>
      <c r="AF55" s="352">
        <f>'CFS (Adjusted)'!AF55-'CFS (Base)'!AF55</f>
        <v>0</v>
      </c>
      <c r="AG55" s="353">
        <f>'CFS (Adjusted)'!AG55-'CFS (Base)'!AG55</f>
        <v>0</v>
      </c>
      <c r="AH55" s="352">
        <f>'CFS (Adjusted)'!AH55-'CFS (Base)'!AH55</f>
        <v>0</v>
      </c>
      <c r="AI55" s="352">
        <f>'CFS (Adjusted)'!AI55-'CFS (Base)'!AI55</f>
        <v>0</v>
      </c>
      <c r="AJ55" s="352">
        <f>'CFS (Adjusted)'!AJ55-'CFS (Base)'!AJ55</f>
        <v>0</v>
      </c>
      <c r="AK55" s="352">
        <f>'CFS (Adjusted)'!AK55-'CFS (Base)'!AK55</f>
        <v>0</v>
      </c>
      <c r="AL55" s="353">
        <f>'CFS (Adjusted)'!AL55-'CFS (Base)'!AL55</f>
        <v>0</v>
      </c>
      <c r="AM55" s="352">
        <f>'CFS (Adjusted)'!AM55-'CFS (Base)'!AM55</f>
        <v>0</v>
      </c>
      <c r="AN55" s="352">
        <f>'CFS (Adjusted)'!AN55-'CFS (Base)'!AN55</f>
        <v>0</v>
      </c>
      <c r="AO55" s="352">
        <f>'CFS (Adjusted)'!AO55-'CFS (Base)'!AO55</f>
        <v>0</v>
      </c>
      <c r="AP55" s="352">
        <f>'CFS (Adjusted)'!AP55-'CFS (Base)'!AP55</f>
        <v>0</v>
      </c>
      <c r="AQ55" s="353">
        <f>'CFS (Adjusted)'!AQ55-'CFS (Base)'!AQ55</f>
        <v>0</v>
      </c>
      <c r="AR55" s="352">
        <f>'CFS (Adjusted)'!AR55-'CFS (Base)'!AR55</f>
        <v>0</v>
      </c>
      <c r="AS55" s="352">
        <f>'CFS (Adjusted)'!AS55-'CFS (Base)'!AS55</f>
        <v>0</v>
      </c>
      <c r="AT55" s="352">
        <f>'CFS (Adjusted)'!AT55-'CFS (Base)'!AT55</f>
        <v>0</v>
      </c>
      <c r="AU55" s="352">
        <f>'CFS (Adjusted)'!AU55-'CFS (Base)'!AU55</f>
        <v>0</v>
      </c>
      <c r="AV55" s="353">
        <f>'CFS (Adjusted)'!AV55-'CFS (Base)'!AV55</f>
        <v>0</v>
      </c>
    </row>
    <row r="56" spans="2:48" outlineLevel="1" x14ac:dyDescent="0.3">
      <c r="B56" s="200" t="s">
        <v>311</v>
      </c>
      <c r="C56" s="356"/>
      <c r="D56" s="351">
        <f>'CFS (Adjusted)'!D56-'CFS (Base)'!D56</f>
        <v>0</v>
      </c>
      <c r="E56" s="351">
        <f>'CFS (Adjusted)'!E56-'CFS (Base)'!E56</f>
        <v>0</v>
      </c>
      <c r="F56" s="113">
        <f>'CFS (Adjusted)'!F56-'CFS (Base)'!F56</f>
        <v>0</v>
      </c>
      <c r="G56" s="113">
        <f>'CFS (Adjusted)'!G56-'CFS (Base)'!G56</f>
        <v>0</v>
      </c>
      <c r="H56" s="363">
        <f>'CFS (Adjusted)'!H56-'CFS (Base)'!H56</f>
        <v>0</v>
      </c>
      <c r="I56" s="354">
        <f>'CFS (Adjusted)'!I56-'CFS (Base)'!I56</f>
        <v>0</v>
      </c>
      <c r="J56" s="118">
        <f>'CFS (Adjusted)'!J56-'CFS (Base)'!J56</f>
        <v>0</v>
      </c>
      <c r="K56" s="118">
        <f>'CFS (Adjusted)'!K56-'CFS (Base)'!K56</f>
        <v>0</v>
      </c>
      <c r="L56" s="113">
        <f>'CFS (Adjusted)'!L56-'CFS (Base)'!L56</f>
        <v>0</v>
      </c>
      <c r="M56" s="353">
        <f>'CFS (Adjusted)'!M56-'CFS (Base)'!M56</f>
        <v>0</v>
      </c>
      <c r="N56" s="354">
        <f>'CFS (Adjusted)'!N56-'CFS (Base)'!N56</f>
        <v>0</v>
      </c>
      <c r="O56" s="118">
        <f>'CFS (Adjusted)'!O56-'CFS (Base)'!O56</f>
        <v>0</v>
      </c>
      <c r="P56" s="118">
        <f>'CFS (Adjusted)'!P56-'CFS (Base)'!P56</f>
        <v>0</v>
      </c>
      <c r="Q56" s="118">
        <f>'CFS (Adjusted)'!Q56-'CFS (Base)'!Q56</f>
        <v>0</v>
      </c>
      <c r="R56" s="353">
        <f>'CFS (Adjusted)'!R56-'CFS (Base)'!R56</f>
        <v>0</v>
      </c>
      <c r="S56" s="354">
        <f>'CFS (Adjusted)'!S56-'CFS (Base)'!S56</f>
        <v>0</v>
      </c>
      <c r="T56" s="118">
        <f>'CFS (Adjusted)'!T56-'CFS (Base)'!T56</f>
        <v>0</v>
      </c>
      <c r="U56" s="118">
        <f>'CFS (Adjusted)'!U56-'CFS (Base)'!U56</f>
        <v>0</v>
      </c>
      <c r="V56" s="118">
        <f>'CFS (Adjusted)'!V56-'CFS (Base)'!V56</f>
        <v>0</v>
      </c>
      <c r="W56" s="353">
        <f>'CFS (Adjusted)'!W56-'CFS (Base)'!W56</f>
        <v>0</v>
      </c>
      <c r="X56" s="354">
        <f>'CFS (Adjusted)'!X56-'CFS (Base)'!X56</f>
        <v>0</v>
      </c>
      <c r="Y56" s="355">
        <f>'CFS (Adjusted)'!Y56-'CFS (Base)'!Y56</f>
        <v>0</v>
      </c>
      <c r="Z56" s="355">
        <f>'CFS (Adjusted)'!Z56-'CFS (Base)'!Z56</f>
        <v>0</v>
      </c>
      <c r="AA56" s="355">
        <f>'CFS (Adjusted)'!AA56-'CFS (Base)'!AA56</f>
        <v>0</v>
      </c>
      <c r="AB56" s="353">
        <f>'CFS (Adjusted)'!AB56-'CFS (Base)'!AB56</f>
        <v>0</v>
      </c>
      <c r="AC56" s="355">
        <f>'CFS (Adjusted)'!AC56-'CFS (Base)'!AC56</f>
        <v>0</v>
      </c>
      <c r="AD56" s="35">
        <f>'CFS (Adjusted)'!AD56-'CFS (Base)'!AD56</f>
        <v>0</v>
      </c>
      <c r="AE56" s="35">
        <f>'CFS (Adjusted)'!AE56-'CFS (Base)'!AE56</f>
        <v>0</v>
      </c>
      <c r="AF56" s="35">
        <f>'CFS (Adjusted)'!AF56-'CFS (Base)'!AF56</f>
        <v>0</v>
      </c>
      <c r="AG56" s="353">
        <f>'CFS (Adjusted)'!AG56-'CFS (Base)'!AG56</f>
        <v>0</v>
      </c>
      <c r="AH56" s="355">
        <f>'CFS (Adjusted)'!AH56-'CFS (Base)'!AH56</f>
        <v>0</v>
      </c>
      <c r="AI56" s="35">
        <f>'CFS (Adjusted)'!AI56-'CFS (Base)'!AI56</f>
        <v>0</v>
      </c>
      <c r="AJ56" s="35">
        <f>'CFS (Adjusted)'!AJ56-'CFS (Base)'!AJ56</f>
        <v>0</v>
      </c>
      <c r="AK56" s="35">
        <f>'CFS (Adjusted)'!AK56-'CFS (Base)'!AK56</f>
        <v>0</v>
      </c>
      <c r="AL56" s="353">
        <f>'CFS (Adjusted)'!AL56-'CFS (Base)'!AL56</f>
        <v>0</v>
      </c>
      <c r="AM56" s="355">
        <f>'CFS (Adjusted)'!AM56-'CFS (Base)'!AM56</f>
        <v>0</v>
      </c>
      <c r="AN56" s="35">
        <f>'CFS (Adjusted)'!AN56-'CFS (Base)'!AN56</f>
        <v>0</v>
      </c>
      <c r="AO56" s="35">
        <f>'CFS (Adjusted)'!AO56-'CFS (Base)'!AO56</f>
        <v>0</v>
      </c>
      <c r="AP56" s="35">
        <f>'CFS (Adjusted)'!AP56-'CFS (Base)'!AP56</f>
        <v>0</v>
      </c>
      <c r="AQ56" s="353">
        <f>'CFS (Adjusted)'!AQ56-'CFS (Base)'!AQ56</f>
        <v>0</v>
      </c>
      <c r="AR56" s="355">
        <f>'CFS (Adjusted)'!AR56-'CFS (Base)'!AR56</f>
        <v>0</v>
      </c>
      <c r="AS56" s="35">
        <f>'CFS (Adjusted)'!AS56-'CFS (Base)'!AS56</f>
        <v>0</v>
      </c>
      <c r="AT56" s="35">
        <f>'CFS (Adjusted)'!AT56-'CFS (Base)'!AT56</f>
        <v>0</v>
      </c>
      <c r="AU56" s="35">
        <f>'CFS (Adjusted)'!AU56-'CFS (Base)'!AU56</f>
        <v>0</v>
      </c>
      <c r="AV56" s="353">
        <f>'CFS (Adjusted)'!AV56-'CFS (Base)'!AV56</f>
        <v>0</v>
      </c>
    </row>
    <row r="57" spans="2:48" outlineLevel="1" x14ac:dyDescent="0.3">
      <c r="B57" s="200" t="s">
        <v>312</v>
      </c>
      <c r="C57" s="356"/>
      <c r="D57" s="299">
        <f>'CFS (Adjusted)'!D57-'CFS (Base)'!D57</f>
        <v>0</v>
      </c>
      <c r="E57" s="299">
        <f>'CFS (Adjusted)'!E57-'CFS (Base)'!E57</f>
        <v>0</v>
      </c>
      <c r="F57" s="146">
        <f>'CFS (Adjusted)'!F57-'CFS (Base)'!F57</f>
        <v>0</v>
      </c>
      <c r="G57" s="146">
        <f>'CFS (Adjusted)'!G57-'CFS (Base)'!G57</f>
        <v>0</v>
      </c>
      <c r="H57" s="122">
        <f>'CFS (Adjusted)'!H57-'CFS (Base)'!H57</f>
        <v>0</v>
      </c>
      <c r="I57" s="299">
        <f>'CFS (Adjusted)'!I57-'CFS (Base)'!I57</f>
        <v>0</v>
      </c>
      <c r="J57" s="146">
        <f>'CFS (Adjusted)'!J57-'CFS (Base)'!J57</f>
        <v>0</v>
      </c>
      <c r="K57" s="146">
        <f>'CFS (Adjusted)'!K57-'CFS (Base)'!K57</f>
        <v>0</v>
      </c>
      <c r="L57" s="146">
        <f>'CFS (Adjusted)'!L57-'CFS (Base)'!L57</f>
        <v>0</v>
      </c>
      <c r="M57" s="122">
        <f>'CFS (Adjusted)'!M57-'CFS (Base)'!M57</f>
        <v>0</v>
      </c>
      <c r="N57" s="299">
        <f>'CFS (Adjusted)'!N57-'CFS (Base)'!N57</f>
        <v>0</v>
      </c>
      <c r="O57" s="146">
        <f>'CFS (Adjusted)'!O57-'CFS (Base)'!O57</f>
        <v>0</v>
      </c>
      <c r="P57" s="146">
        <f>'CFS (Adjusted)'!P57-'CFS (Base)'!P57</f>
        <v>0</v>
      </c>
      <c r="Q57" s="146">
        <f>'CFS (Adjusted)'!Q57-'CFS (Base)'!Q57</f>
        <v>0</v>
      </c>
      <c r="R57" s="122">
        <f>'CFS (Adjusted)'!R57-'CFS (Base)'!R57</f>
        <v>0</v>
      </c>
      <c r="S57" s="299">
        <f>'CFS (Adjusted)'!S57-'CFS (Base)'!S57</f>
        <v>0</v>
      </c>
      <c r="T57" s="146">
        <f>'CFS (Adjusted)'!T57-'CFS (Base)'!T57</f>
        <v>0</v>
      </c>
      <c r="U57" s="146">
        <f>'CFS (Adjusted)'!U57-'CFS (Base)'!U57</f>
        <v>0</v>
      </c>
      <c r="V57" s="146">
        <f>'CFS (Adjusted)'!V57-'CFS (Base)'!V57</f>
        <v>0</v>
      </c>
      <c r="W57" s="122">
        <f>'CFS (Adjusted)'!W57-'CFS (Base)'!W57</f>
        <v>0</v>
      </c>
      <c r="X57" s="299">
        <f>'CFS (Adjusted)'!X57-'CFS (Base)'!X57</f>
        <v>0</v>
      </c>
      <c r="Y57" s="299">
        <f>'CFS (Adjusted)'!Y57-'CFS (Base)'!Y57</f>
        <v>0</v>
      </c>
      <c r="Z57" s="299">
        <f>'CFS (Adjusted)'!Z57-'CFS (Base)'!Z57</f>
        <v>0</v>
      </c>
      <c r="AA57" s="299">
        <f>'CFS (Adjusted)'!AA57-'CFS (Base)'!AA57</f>
        <v>0</v>
      </c>
      <c r="AB57" s="166">
        <f>'CFS (Adjusted)'!AB57-'CFS (Base)'!AB57</f>
        <v>0</v>
      </c>
      <c r="AC57" s="299">
        <f>'CFS (Adjusted)'!AC57-'CFS (Base)'!AC57</f>
        <v>0</v>
      </c>
      <c r="AD57" s="146">
        <f>'CFS (Adjusted)'!AD57-'CFS (Base)'!AD57</f>
        <v>0</v>
      </c>
      <c r="AE57" s="146">
        <f>'CFS (Adjusted)'!AE57-'CFS (Base)'!AE57</f>
        <v>0</v>
      </c>
      <c r="AF57" s="146">
        <f>'CFS (Adjusted)'!AF57-'CFS (Base)'!AF57</f>
        <v>0</v>
      </c>
      <c r="AG57" s="166">
        <f>'CFS (Adjusted)'!AG57-'CFS (Base)'!AG57</f>
        <v>0</v>
      </c>
      <c r="AH57" s="299">
        <f>'CFS (Adjusted)'!AH57-'CFS (Base)'!AH57</f>
        <v>0</v>
      </c>
      <c r="AI57" s="146">
        <f>'CFS (Adjusted)'!AI57-'CFS (Base)'!AI57</f>
        <v>0</v>
      </c>
      <c r="AJ57" s="146">
        <f>'CFS (Adjusted)'!AJ57-'CFS (Base)'!AJ57</f>
        <v>0</v>
      </c>
      <c r="AK57" s="146">
        <f>'CFS (Adjusted)'!AK57-'CFS (Base)'!AK57</f>
        <v>0</v>
      </c>
      <c r="AL57" s="122">
        <f>'CFS (Adjusted)'!AL57-'CFS (Base)'!AL57</f>
        <v>0</v>
      </c>
      <c r="AM57" s="299">
        <f>'CFS (Adjusted)'!AM57-'CFS (Base)'!AM57</f>
        <v>0</v>
      </c>
      <c r="AN57" s="146">
        <f>'CFS (Adjusted)'!AN57-'CFS (Base)'!AN57</f>
        <v>0</v>
      </c>
      <c r="AO57" s="146">
        <f>'CFS (Adjusted)'!AO57-'CFS (Base)'!AO57</f>
        <v>0</v>
      </c>
      <c r="AP57" s="146">
        <f>'CFS (Adjusted)'!AP57-'CFS (Base)'!AP57</f>
        <v>0</v>
      </c>
      <c r="AQ57" s="122">
        <f>'CFS (Adjusted)'!AQ57-'CFS (Base)'!AQ57</f>
        <v>0</v>
      </c>
      <c r="AR57" s="299">
        <f>'CFS (Adjusted)'!AR57-'CFS (Base)'!AR57</f>
        <v>0</v>
      </c>
      <c r="AS57" s="146">
        <f>'CFS (Adjusted)'!AS57-'CFS (Base)'!AS57</f>
        <v>0</v>
      </c>
      <c r="AT57" s="146">
        <f>'CFS (Adjusted)'!AT57-'CFS (Base)'!AT57</f>
        <v>0</v>
      </c>
      <c r="AU57" s="146">
        <f>'CFS (Adjusted)'!AU57-'CFS (Base)'!AU57</f>
        <v>0</v>
      </c>
      <c r="AV57" s="122">
        <f>'CFS (Adjusted)'!AV57-'CFS (Base)'!AV57</f>
        <v>0</v>
      </c>
    </row>
    <row r="58" spans="2:48" outlineLevel="1" x14ac:dyDescent="0.3">
      <c r="B58" s="203" t="s">
        <v>313</v>
      </c>
      <c r="C58" s="364"/>
      <c r="D58" s="365">
        <f>'CFS (Adjusted)'!D58-'CFS (Base)'!D58</f>
        <v>0</v>
      </c>
      <c r="E58" s="365">
        <f>'CFS (Adjusted)'!E58-'CFS (Base)'!E58</f>
        <v>0</v>
      </c>
      <c r="F58" s="366">
        <f>'CFS (Adjusted)'!F58-'CFS (Base)'!F58</f>
        <v>0</v>
      </c>
      <c r="G58" s="366">
        <f>'CFS (Adjusted)'!G58-'CFS (Base)'!G58</f>
        <v>0</v>
      </c>
      <c r="H58" s="367">
        <f>'CFS (Adjusted)'!H58-'CFS (Base)'!H58</f>
        <v>0</v>
      </c>
      <c r="I58" s="365">
        <f>'CFS (Adjusted)'!I58-'CFS (Base)'!I58</f>
        <v>0</v>
      </c>
      <c r="J58" s="366">
        <f>'CFS (Adjusted)'!J58-'CFS (Base)'!J58</f>
        <v>0</v>
      </c>
      <c r="K58" s="366">
        <f>'CFS (Adjusted)'!K58-'CFS (Base)'!K58</f>
        <v>0</v>
      </c>
      <c r="L58" s="366">
        <f>'CFS (Adjusted)'!L58-'CFS (Base)'!L58</f>
        <v>0</v>
      </c>
      <c r="M58" s="367">
        <f>'CFS (Adjusted)'!M58-'CFS (Base)'!M58</f>
        <v>0</v>
      </c>
      <c r="N58" s="365">
        <f>'CFS (Adjusted)'!N58-'CFS (Base)'!N58</f>
        <v>0</v>
      </c>
      <c r="O58" s="366">
        <f>'CFS (Adjusted)'!O58-'CFS (Base)'!O58</f>
        <v>0</v>
      </c>
      <c r="P58" s="366">
        <f>'CFS (Adjusted)'!P58-'CFS (Base)'!P58</f>
        <v>0</v>
      </c>
      <c r="Q58" s="366">
        <f>'CFS (Adjusted)'!Q58-'CFS (Base)'!Q58</f>
        <v>0</v>
      </c>
      <c r="R58" s="367">
        <f>'CFS (Adjusted)'!R58-'CFS (Base)'!R58</f>
        <v>0</v>
      </c>
      <c r="S58" s="365">
        <f>'CFS (Adjusted)'!S58-'CFS (Base)'!S58</f>
        <v>0</v>
      </c>
      <c r="T58" s="366">
        <f>'CFS (Adjusted)'!T58-'CFS (Base)'!T58</f>
        <v>0</v>
      </c>
      <c r="U58" s="366">
        <f>'CFS (Adjusted)'!U58-'CFS (Base)'!U58</f>
        <v>0</v>
      </c>
      <c r="V58" s="366">
        <f>'CFS (Adjusted)'!V58-'CFS (Base)'!V58</f>
        <v>0</v>
      </c>
      <c r="W58" s="367">
        <f>'CFS (Adjusted)'!W58-'CFS (Base)'!W58</f>
        <v>0</v>
      </c>
      <c r="X58" s="365">
        <f>'CFS (Adjusted)'!X58-'CFS (Base)'!X58</f>
        <v>0</v>
      </c>
      <c r="Y58" s="365">
        <f>'CFS (Adjusted)'!Y58-'CFS (Base)'!Y58</f>
        <v>0</v>
      </c>
      <c r="Z58" s="365">
        <f>'CFS (Adjusted)'!Z58-'CFS (Base)'!Z58</f>
        <v>0</v>
      </c>
      <c r="AA58" s="365">
        <f>'CFS (Adjusted)'!AA58-'CFS (Base)'!AA58</f>
        <v>0</v>
      </c>
      <c r="AB58" s="368">
        <f>'CFS (Adjusted)'!AB58-'CFS (Base)'!AB58</f>
        <v>0</v>
      </c>
      <c r="AC58" s="365">
        <f>'CFS (Adjusted)'!AC58-'CFS (Base)'!AC58</f>
        <v>0</v>
      </c>
      <c r="AD58" s="365">
        <f>'CFS (Adjusted)'!AD58-'CFS (Base)'!AD58</f>
        <v>0</v>
      </c>
      <c r="AE58" s="365">
        <f>'CFS (Adjusted)'!AE58-'CFS (Base)'!AE58</f>
        <v>0</v>
      </c>
      <c r="AF58" s="365">
        <f>'CFS (Adjusted)'!AF58-'CFS (Base)'!AF58</f>
        <v>0</v>
      </c>
      <c r="AG58" s="368">
        <f>'CFS (Adjusted)'!AG58-'CFS (Base)'!AG58</f>
        <v>0</v>
      </c>
      <c r="AH58" s="365">
        <f>'CFS (Adjusted)'!AH58-'CFS (Base)'!AH58</f>
        <v>0</v>
      </c>
      <c r="AI58" s="365">
        <f>'CFS (Adjusted)'!AI58-'CFS (Base)'!AI58</f>
        <v>0</v>
      </c>
      <c r="AJ58" s="365">
        <f>'CFS (Adjusted)'!AJ58-'CFS (Base)'!AJ58</f>
        <v>0</v>
      </c>
      <c r="AK58" s="365">
        <f>'CFS (Adjusted)'!AK58-'CFS (Base)'!AK58</f>
        <v>0</v>
      </c>
      <c r="AL58" s="394">
        <f>'CFS (Adjusted)'!AL58-'CFS (Base)'!AL58</f>
        <v>0</v>
      </c>
      <c r="AM58" s="365">
        <f>'CFS (Adjusted)'!AM58-'CFS (Base)'!AM58</f>
        <v>0</v>
      </c>
      <c r="AN58" s="366">
        <f>'CFS (Adjusted)'!AN58-'CFS (Base)'!AN58</f>
        <v>0</v>
      </c>
      <c r="AO58" s="366">
        <f>'CFS (Adjusted)'!AO58-'CFS (Base)'!AO58</f>
        <v>0</v>
      </c>
      <c r="AP58" s="366">
        <f>'CFS (Adjusted)'!AP58-'CFS (Base)'!AP58</f>
        <v>0</v>
      </c>
      <c r="AQ58" s="367">
        <f>'CFS (Adjusted)'!AQ58-'CFS (Base)'!AQ58</f>
        <v>0</v>
      </c>
      <c r="AR58" s="365">
        <f>'CFS (Adjusted)'!AR58-'CFS (Base)'!AR58</f>
        <v>0</v>
      </c>
      <c r="AS58" s="366">
        <f>'CFS (Adjusted)'!AS58-'CFS (Base)'!AS58</f>
        <v>0</v>
      </c>
      <c r="AT58" s="366">
        <f>'CFS (Adjusted)'!AT58-'CFS (Base)'!AT58</f>
        <v>0</v>
      </c>
      <c r="AU58" s="366">
        <f>'CFS (Adjusted)'!AU58-'CFS (Base)'!AU58</f>
        <v>0</v>
      </c>
      <c r="AV58" s="367">
        <f>'CFS (Adjusted)'!AV58-'CFS (Base)'!AV58</f>
        <v>0</v>
      </c>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'CFS (Adjusted)'!AL59-'CFS (Base)'!AL59</f>
        <v>0</v>
      </c>
    </row>
    <row r="60" spans="2:48" x14ac:dyDescent="0.3">
      <c r="B60" s="308" t="s">
        <v>330</v>
      </c>
      <c r="D60" s="399"/>
      <c r="E60" s="399"/>
      <c r="I60" s="399"/>
      <c r="J60" s="399"/>
      <c r="N60" s="399"/>
      <c r="O60" s="399"/>
      <c r="S60" s="399"/>
      <c r="T60" s="399"/>
      <c r="X60" s="399"/>
      <c r="Y60" s="399"/>
      <c r="AC60" s="399"/>
      <c r="AD60" s="399"/>
      <c r="AH60" s="399"/>
      <c r="AI60" s="399"/>
      <c r="AL60" s="29">
        <f>'CFS (Adjusted)'!AL60-'CFS (Base)'!AL60</f>
        <v>0</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'CFS (Adjusted)'!AL61-'CFS (Base)'!AL61</f>
        <v>0</v>
      </c>
      <c r="AM61" s="427"/>
    </row>
    <row r="62" spans="2:48" s="23" customFormat="1" x14ac:dyDescent="0.3">
      <c r="B62" s="395" t="s">
        <v>442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'CFS (Adjusted)'!AL62-'CFS (Base)'!AL62</f>
        <v>0</v>
      </c>
      <c r="AM62" s="408"/>
      <c r="AN62" s="48"/>
      <c r="AO62" s="309"/>
      <c r="AP62" s="309"/>
      <c r="AQ62" s="309"/>
      <c r="AR62" s="48"/>
      <c r="AS62" s="48"/>
      <c r="AT62" s="309"/>
      <c r="AU62" s="309"/>
      <c r="AV62" s="309"/>
    </row>
    <row r="63" spans="2:48" s="23" customFormat="1" x14ac:dyDescent="0.3">
      <c r="B63" s="311" t="s">
        <v>443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'CFS (Adjusted)'!AL63-'CFS (Base)'!AL63</f>
        <v>0</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552">
        <f>'CFS (Adjusted)'!AL64-'CFS (Base)'!AL64</f>
        <v>0</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553">
        <f>'CFS (Adjusted)'!AL65-'CFS (Base)'!AL65</f>
        <v>0</v>
      </c>
      <c r="AM65" s="48"/>
      <c r="AN65" s="48"/>
      <c r="AO65" s="309"/>
      <c r="AP65" s="309"/>
      <c r="AQ65" s="309"/>
      <c r="AR65" s="48"/>
      <c r="AS65" s="48"/>
      <c r="AT65" s="309"/>
      <c r="AU65" s="309"/>
      <c r="AV65" s="309"/>
    </row>
    <row r="66" spans="2:48" x14ac:dyDescent="0.3">
      <c r="B66" s="395" t="s">
        <v>444</v>
      </c>
      <c r="C66" s="409"/>
      <c r="D66" s="410"/>
      <c r="E66" s="410"/>
      <c r="F66" s="411"/>
      <c r="G66" s="411"/>
      <c r="H66" s="411"/>
      <c r="I66" s="410"/>
      <c r="J66" s="410"/>
      <c r="K66" s="411"/>
      <c r="L66" s="411"/>
      <c r="M66" s="411"/>
      <c r="N66" s="410"/>
      <c r="O66" s="410"/>
      <c r="P66" s="411"/>
      <c r="Q66" s="411"/>
      <c r="R66" s="411"/>
      <c r="S66" s="410"/>
      <c r="T66" s="410"/>
      <c r="U66" s="411"/>
      <c r="V66" s="411"/>
      <c r="W66" s="411"/>
      <c r="X66" s="410"/>
      <c r="Y66" s="410"/>
      <c r="Z66" s="411"/>
      <c r="AA66" s="411"/>
      <c r="AB66" s="411"/>
      <c r="AC66" s="410"/>
      <c r="AD66" s="410"/>
      <c r="AE66" s="411"/>
      <c r="AF66" s="411"/>
      <c r="AG66" s="411"/>
      <c r="AH66" s="410"/>
      <c r="AI66" s="410"/>
      <c r="AJ66" s="411"/>
      <c r="AK66" s="411"/>
      <c r="AL66" s="554">
        <f>'CFS (Adjusted)'!AL66-'CFS (Base)'!AL66</f>
        <v>0</v>
      </c>
    </row>
    <row r="67" spans="2:48" x14ac:dyDescent="0.3">
      <c r="B67" s="311" t="s">
        <v>445</v>
      </c>
      <c r="C67" s="413"/>
      <c r="D67" s="313"/>
      <c r="E67" s="313"/>
      <c r="F67" s="314"/>
      <c r="G67" s="314"/>
      <c r="H67" s="314"/>
      <c r="I67" s="313"/>
      <c r="J67" s="313"/>
      <c r="K67" s="314"/>
      <c r="L67" s="314"/>
      <c r="M67" s="314"/>
      <c r="N67" s="313"/>
      <c r="O67" s="313"/>
      <c r="P67" s="314"/>
      <c r="Q67" s="314"/>
      <c r="R67" s="314"/>
      <c r="S67" s="313"/>
      <c r="T67" s="313"/>
      <c r="U67" s="314"/>
      <c r="V67" s="314"/>
      <c r="W67" s="314"/>
      <c r="X67" s="313"/>
      <c r="Y67" s="313"/>
      <c r="Z67" s="314"/>
      <c r="AA67" s="314"/>
      <c r="AB67" s="314"/>
      <c r="AC67" s="313"/>
      <c r="AD67" s="313"/>
      <c r="AE67" s="314"/>
      <c r="AF67" s="314"/>
      <c r="AG67" s="314"/>
      <c r="AH67" s="313"/>
      <c r="AI67" s="313"/>
      <c r="AJ67" s="314"/>
      <c r="AK67" s="314"/>
      <c r="AL67" s="555">
        <f>'CFS (Adjusted)'!AL67-'CFS (Base)'!AL67</f>
        <v>0</v>
      </c>
    </row>
  </sheetData>
  <dataConsolidate/>
  <mergeCells count="27">
    <mergeCell ref="B18:C18"/>
    <mergeCell ref="B3:C3"/>
    <mergeCell ref="B5:C5"/>
    <mergeCell ref="B14:C14"/>
    <mergeCell ref="B15:C15"/>
    <mergeCell ref="B17:C17"/>
    <mergeCell ref="B40:C40"/>
    <mergeCell ref="B21:C21"/>
    <mergeCell ref="B22:C22"/>
    <mergeCell ref="B23:C23"/>
    <mergeCell ref="B25:C25"/>
    <mergeCell ref="B26:C26"/>
    <mergeCell ref="B27:C27"/>
    <mergeCell ref="B28:C28"/>
    <mergeCell ref="B29:C29"/>
    <mergeCell ref="B36:C36"/>
    <mergeCell ref="B37:C37"/>
    <mergeCell ref="B39:C39"/>
    <mergeCell ref="B51:C51"/>
    <mergeCell ref="B52:C52"/>
    <mergeCell ref="B55:C55"/>
    <mergeCell ref="B41:C41"/>
    <mergeCell ref="B42:C42"/>
    <mergeCell ref="B44:C44"/>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07C97-C490-473B-83B3-D06B0577A978}">
  <sheetPr>
    <tabColor theme="6" tint="0.39997558519241921"/>
    <pageSetUpPr fitToPage="1"/>
  </sheetPr>
  <dimension ref="A1:AV67"/>
  <sheetViews>
    <sheetView showGridLines="0" zoomScaleNormal="100" workbookViewId="0">
      <pane xSplit="3" ySplit="5" topLeftCell="S35" activePane="bottomRight" state="frozen"/>
      <selection activeCell="AA123" sqref="AA123"/>
      <selection pane="topRight" activeCell="AA123" sqref="AA123"/>
      <selection pane="bottomLeft" activeCell="AA123" sqref="AA123"/>
      <selection pane="bottomRight" activeCell="AA123" sqref="AA123"/>
    </sheetView>
  </sheetViews>
  <sheetFormatPr defaultColWidth="8.88671875" defaultRowHeight="14.4" outlineLevelRow="1" outlineLevelCol="1" x14ac:dyDescent="0.3"/>
  <cols>
    <col min="1" max="1" width="2" style="2" customWidth="1"/>
    <col min="2" max="2" width="26.77734375" style="2" customWidth="1"/>
    <col min="3" max="3" width="19"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36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583" t="s">
        <v>249</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583" t="s">
        <v>211</v>
      </c>
      <c r="C5" s="584"/>
      <c r="D5" s="13"/>
      <c r="E5" s="13"/>
      <c r="F5" s="13"/>
      <c r="G5" s="258"/>
      <c r="H5" s="259"/>
      <c r="I5" s="258"/>
      <c r="J5" s="13"/>
      <c r="K5" s="13"/>
      <c r="L5" s="258"/>
      <c r="M5" s="259"/>
      <c r="N5" s="258"/>
      <c r="O5" s="13"/>
      <c r="P5" s="13"/>
      <c r="Q5" s="258"/>
      <c r="R5" s="259"/>
      <c r="S5" s="258"/>
      <c r="T5" s="13"/>
      <c r="U5" s="13"/>
      <c r="V5" s="258"/>
      <c r="W5" s="259"/>
      <c r="X5" s="258"/>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580" t="s">
        <v>212</v>
      </c>
      <c r="C6" s="581"/>
      <c r="D6" s="16">
        <f>'CFS (F1Q23)'!D41</f>
        <v>4761.6000000000004</v>
      </c>
      <c r="E6" s="16">
        <f>'CFS (F1Q23)'!E41</f>
        <v>2055.1000000000004</v>
      </c>
      <c r="F6" s="16">
        <f>'CFS (F1Q23)'!F41</f>
        <v>4763.4000000000015</v>
      </c>
      <c r="G6" s="101">
        <f>'CFS (F1Q23)'!G41</f>
        <v>2686.6000000000022</v>
      </c>
      <c r="H6" s="17">
        <f>G6</f>
        <v>2686.6000000000022</v>
      </c>
      <c r="I6" s="16">
        <f>'CFS (F1Q23)'!I41</f>
        <v>3040.5000000000036</v>
      </c>
      <c r="J6" s="16">
        <f>'CFS (F1Q23)'!J41</f>
        <v>2572.3000000000029</v>
      </c>
      <c r="K6" s="16">
        <f>'CFS (F1Q23)'!K41</f>
        <v>3965.9000000000042</v>
      </c>
      <c r="L6" s="101">
        <f>'CFS (F1Q23)'!L41</f>
        <v>4350.900000000006</v>
      </c>
      <c r="M6" s="17">
        <f>L6</f>
        <v>4350.900000000006</v>
      </c>
      <c r="N6" s="16">
        <f>'CFS (F1Q23)'!N41</f>
        <v>5028.00000000001</v>
      </c>
      <c r="O6" s="16">
        <f>'CFS (F1Q23)'!O41</f>
        <v>3880.6000000000104</v>
      </c>
      <c r="P6" s="16">
        <f>'CFS (F1Q23)'!P41</f>
        <v>4753.1000000000095</v>
      </c>
      <c r="Q6" s="16">
        <f>'CFS (F1Q23)'!Q41</f>
        <v>6455.7000000000089</v>
      </c>
      <c r="R6" s="17">
        <f>Q6</f>
        <v>6455.7000000000089</v>
      </c>
      <c r="S6" s="16">
        <f>'CFS (F1Q23)'!S41</f>
        <v>3969.4000000000078</v>
      </c>
      <c r="T6" s="16">
        <f>'CFS (F1Q23)'!T41</f>
        <v>3913.4000000000083</v>
      </c>
      <c r="U6" s="16">
        <f>'CFS (F1Q23)'!U41</f>
        <v>3177.5000000000073</v>
      </c>
      <c r="V6" s="16">
        <f>'CFS (F1Q23)'!V41</f>
        <v>2818.3000000000061</v>
      </c>
      <c r="W6" s="17">
        <f>V6</f>
        <v>2818.3000000000061</v>
      </c>
      <c r="X6" s="16">
        <f>'CFS (F1Q23)'!X41</f>
        <v>3186.4000000000078</v>
      </c>
      <c r="Y6" s="16">
        <f>'CFS (F1Q23)'!Y41</f>
        <v>3154.4116183818369</v>
      </c>
      <c r="Z6" s="16">
        <f>'CFS (F1Q23)'!Z41</f>
        <v>2816.2614710799576</v>
      </c>
      <c r="AA6" s="16">
        <f>'CFS (F1Q23)'!AA41</f>
        <v>3237.5887195372052</v>
      </c>
      <c r="AB6" s="17">
        <f>AA6</f>
        <v>3237.5887195372052</v>
      </c>
      <c r="AC6" s="16">
        <f>'CFS (F1Q23)'!AC41</f>
        <v>3820.8673891126668</v>
      </c>
      <c r="AD6" s="16">
        <f>'CFS (F1Q23)'!AD41</f>
        <v>3353.1743409527116</v>
      </c>
      <c r="AE6" s="16">
        <f>'CFS (F1Q23)'!AE41</f>
        <v>3371.8142331090821</v>
      </c>
      <c r="AF6" s="16">
        <f>'CFS (F1Q23)'!AF41</f>
        <v>3899.1812439323821</v>
      </c>
      <c r="AG6" s="17">
        <f>AF6</f>
        <v>3899.1812439323821</v>
      </c>
      <c r="AH6" s="16">
        <f>'CFS (F1Q23)'!AH41</f>
        <v>4588.6387887219526</v>
      </c>
      <c r="AI6" s="16">
        <f>'CFS (F1Q23)'!AI41</f>
        <v>4252.0979313825392</v>
      </c>
      <c r="AJ6" s="16">
        <f>'CFS (F1Q23)'!AJ41</f>
        <v>6208.9319632167389</v>
      </c>
      <c r="AK6" s="16">
        <f>'CFS (F1Q23)'!AK41</f>
        <v>1560.5683288985401</v>
      </c>
      <c r="AL6" s="17">
        <f>AK6</f>
        <v>1560.5683288985401</v>
      </c>
      <c r="AM6" s="16">
        <f>'CFS (F1Q23)'!AM41</f>
        <v>2241.6346235136471</v>
      </c>
      <c r="AN6" s="16">
        <f>'CFS (F1Q23)'!AN41</f>
        <v>856.11500282232396</v>
      </c>
      <c r="AO6" s="16">
        <f>'CFS (F1Q23)'!AO41</f>
        <v>922.31758875464243</v>
      </c>
      <c r="AP6" s="16">
        <f>'CFS (F1Q23)'!AP41</f>
        <v>1523.9366769930277</v>
      </c>
      <c r="AQ6" s="17">
        <f>AP6</f>
        <v>1523.9366769930277</v>
      </c>
      <c r="AR6" s="16">
        <f>'CFS (F1Q23)'!AR41</f>
        <v>2404.7551473558797</v>
      </c>
      <c r="AS6" s="16">
        <f>'CFS (F1Q23)'!AS41</f>
        <v>2008.0095055337731</v>
      </c>
      <c r="AT6" s="16">
        <f>'CFS (F1Q23)'!AT41</f>
        <v>2197.8258046920737</v>
      </c>
      <c r="AU6" s="16">
        <f>'CFS (F1Q23)'!AU41</f>
        <v>2845.6494226177269</v>
      </c>
      <c r="AV6" s="17">
        <f>AU6</f>
        <v>2845.6494226177269</v>
      </c>
    </row>
    <row r="7" spans="1:48" ht="14.55" customHeight="1" outlineLevel="1" x14ac:dyDescent="0.3">
      <c r="A7" s="161"/>
      <c r="B7" s="200" t="s">
        <v>213</v>
      </c>
      <c r="C7" s="201"/>
      <c r="D7" s="16">
        <v>230.2</v>
      </c>
      <c r="E7" s="16">
        <v>76.599999999999994</v>
      </c>
      <c r="F7" s="16">
        <v>72.099999999999994</v>
      </c>
      <c r="G7" s="16">
        <v>70.5</v>
      </c>
      <c r="H7" s="17">
        <f>+G7</f>
        <v>70.5</v>
      </c>
      <c r="I7" s="16">
        <v>68.400000000000006</v>
      </c>
      <c r="J7" s="16">
        <v>52.9</v>
      </c>
      <c r="K7" s="16">
        <v>229.9</v>
      </c>
      <c r="L7" s="16">
        <v>281.2</v>
      </c>
      <c r="M7" s="17">
        <f>+L7</f>
        <v>281.2</v>
      </c>
      <c r="N7" s="16">
        <v>235.5</v>
      </c>
      <c r="O7" s="16">
        <v>123</v>
      </c>
      <c r="P7" s="16">
        <v>153.6</v>
      </c>
      <c r="Q7" s="101">
        <v>162.19999999999999</v>
      </c>
      <c r="R7" s="17">
        <f>+Q7</f>
        <v>162.19999999999999</v>
      </c>
      <c r="S7" s="16">
        <v>87.4</v>
      </c>
      <c r="T7" s="16">
        <v>82.1</v>
      </c>
      <c r="U7" s="16">
        <v>76.900000000000006</v>
      </c>
      <c r="V7" s="16">
        <v>364.5</v>
      </c>
      <c r="W7" s="17">
        <f>+V7</f>
        <v>364.5</v>
      </c>
      <c r="X7" s="101">
        <v>123.9</v>
      </c>
      <c r="Y7" s="16">
        <f>+Y53*Y42*Y54</f>
        <v>146.31986731440927</v>
      </c>
      <c r="Z7" s="16">
        <f>+Z53*Z42*Z54</f>
        <v>168.37985396028722</v>
      </c>
      <c r="AA7" s="16">
        <f>+AA53*AA42*AA54</f>
        <v>197.16311853295636</v>
      </c>
      <c r="AB7" s="17">
        <f>+AA7</f>
        <v>197.16311853295636</v>
      </c>
      <c r="AC7" s="16">
        <f>+AC53*AC42*AC54</f>
        <v>165.63973886366995</v>
      </c>
      <c r="AD7" s="16">
        <f>+AD53*AD42*AD54</f>
        <v>173.01952973283144</v>
      </c>
      <c r="AE7" s="16">
        <f>+AE53*AE42*AE54</f>
        <v>181.53931258366725</v>
      </c>
      <c r="AF7" s="16">
        <f>+AF53*AF42*AF54</f>
        <v>186.2072822878032</v>
      </c>
      <c r="AG7" s="17">
        <f>+AF7</f>
        <v>186.2072822878032</v>
      </c>
      <c r="AH7" s="16">
        <f>+AH53*AH42*AH54</f>
        <v>186.94763206036785</v>
      </c>
      <c r="AI7" s="16">
        <f>+AI53*AI42*AI54</f>
        <v>188.58804143652094</v>
      </c>
      <c r="AJ7" s="16">
        <f>+AJ53*AJ42*AJ54</f>
        <v>205.44256019036277</v>
      </c>
      <c r="AK7" s="16">
        <f>+AK53*AK42*AK54</f>
        <v>176.77388686152091</v>
      </c>
      <c r="AL7" s="17">
        <f>+AK7</f>
        <v>176.77388686152091</v>
      </c>
      <c r="AM7" s="16">
        <f>+AM53*AM42*AM54</f>
        <v>182.01109295070771</v>
      </c>
      <c r="AN7" s="16">
        <f>+AN53*AN42*AN54</f>
        <v>174.79793767858092</v>
      </c>
      <c r="AO7" s="16">
        <f>+AO53*AO42*AO54</f>
        <v>179.60261808641638</v>
      </c>
      <c r="AP7" s="16">
        <f>+AP53*AP42*AP54</f>
        <v>182.71339113147414</v>
      </c>
      <c r="AQ7" s="17">
        <f>+AP7</f>
        <v>182.71339113147414</v>
      </c>
      <c r="AR7" s="16">
        <f>+AR53*AR42*AR54</f>
        <v>189.57184486679262</v>
      </c>
      <c r="AS7" s="16">
        <f>+AS53*AS42*AS54</f>
        <v>188.15991260785179</v>
      </c>
      <c r="AT7" s="16">
        <f>+AT53*AT42*AT54</f>
        <v>193.51959254652127</v>
      </c>
      <c r="AU7" s="16">
        <f>+AU53*AU42*AU54</f>
        <v>197.30190468057202</v>
      </c>
      <c r="AV7" s="17">
        <f>+AU7</f>
        <v>197.30190468057202</v>
      </c>
    </row>
    <row r="8" spans="1:48" s="23" customFormat="1" ht="14.55" customHeight="1" outlineLevel="1" x14ac:dyDescent="0.3">
      <c r="A8" s="161"/>
      <c r="B8" s="580" t="s">
        <v>214</v>
      </c>
      <c r="C8" s="581"/>
      <c r="D8" s="16">
        <v>721.4</v>
      </c>
      <c r="E8" s="16">
        <v>703.6</v>
      </c>
      <c r="F8" s="16">
        <v>790.6</v>
      </c>
      <c r="G8" s="16">
        <v>879</v>
      </c>
      <c r="H8" s="17">
        <f>G8</f>
        <v>879</v>
      </c>
      <c r="I8" s="16">
        <v>908.1</v>
      </c>
      <c r="J8" s="16">
        <v>941</v>
      </c>
      <c r="K8" s="16">
        <v>881.1</v>
      </c>
      <c r="L8" s="16">
        <v>883.4</v>
      </c>
      <c r="M8" s="17">
        <f>L8</f>
        <v>883.4</v>
      </c>
      <c r="N8" s="16">
        <v>888</v>
      </c>
      <c r="O8" s="16">
        <v>880.2</v>
      </c>
      <c r="P8" s="16">
        <v>911.2</v>
      </c>
      <c r="Q8" s="101">
        <v>940</v>
      </c>
      <c r="R8" s="17">
        <f>Q8</f>
        <v>940</v>
      </c>
      <c r="S8" s="16">
        <v>1031.0999999999999</v>
      </c>
      <c r="T8" s="16">
        <v>1001.9</v>
      </c>
      <c r="U8" s="16">
        <v>1146.0999999999999</v>
      </c>
      <c r="V8" s="16">
        <v>1175.5</v>
      </c>
      <c r="W8" s="17">
        <f>V8</f>
        <v>1175.5</v>
      </c>
      <c r="X8" s="101">
        <v>1162.9000000000001</v>
      </c>
      <c r="Y8" s="16">
        <f>'IS (F1Q23)'!Y8/Y47</f>
        <v>1170.3739480262548</v>
      </c>
      <c r="Z8" s="16">
        <f>'IS (F1Q23)'!Z8/Z47</f>
        <v>1374.5168997683709</v>
      </c>
      <c r="AA8" s="16">
        <f>'IS (F1Q23)'!AA8/AA47</f>
        <v>1251.3105374174274</v>
      </c>
      <c r="AB8" s="17">
        <f>AA8</f>
        <v>1251.3105374174274</v>
      </c>
      <c r="AC8" s="16">
        <f>'IS (F1Q23)'!AC8/AC47</f>
        <v>1275.5439101501295</v>
      </c>
      <c r="AD8" s="16">
        <f>'IS (F1Q23)'!AD8/AD47</f>
        <v>1239.3302292105109</v>
      </c>
      <c r="AE8" s="16">
        <f>'IS (F1Q23)'!AE8/AE47</f>
        <v>1379.1395457969638</v>
      </c>
      <c r="AF8" s="16">
        <f>'IS (F1Q23)'!AF8/AF47</f>
        <v>1342.0818639816675</v>
      </c>
      <c r="AG8" s="17">
        <f>AF8</f>
        <v>1342.0818639816675</v>
      </c>
      <c r="AH8" s="16">
        <f>'IS (F1Q23)'!AH8/AH47</f>
        <v>1418.0524672615754</v>
      </c>
      <c r="AI8" s="16">
        <f>'IS (F1Q23)'!AI8/AI47</f>
        <v>1387.8716668807454</v>
      </c>
      <c r="AJ8" s="16">
        <f>'IS (F1Q23)'!AJ8/AJ47</f>
        <v>1601.3200005257177</v>
      </c>
      <c r="AK8" s="16">
        <f>'IS (F1Q23)'!AK8/AK47</f>
        <v>1555.3265312281535</v>
      </c>
      <c r="AL8" s="17">
        <f>AK8</f>
        <v>1555.3265312281535</v>
      </c>
      <c r="AM8" s="16">
        <f>'IS (F1Q23)'!AM8/AM47</f>
        <v>1568.2385491736948</v>
      </c>
      <c r="AN8" s="16">
        <f>'IS (F1Q23)'!AN8/AN47</f>
        <v>1532.3494999448678</v>
      </c>
      <c r="AO8" s="16">
        <f>'IS (F1Q23)'!AO8/AO47</f>
        <v>1750.5035874135888</v>
      </c>
      <c r="AP8" s="16">
        <f>'IS (F1Q23)'!AP8/AP47</f>
        <v>1662.8703341776884</v>
      </c>
      <c r="AQ8" s="17">
        <f>AP8</f>
        <v>1662.8703341776884</v>
      </c>
      <c r="AR8" s="16">
        <f>'IS (F1Q23)'!AR8/AR47</f>
        <v>1661.7009392924608</v>
      </c>
      <c r="AS8" s="16">
        <f>'IS (F1Q23)'!AS8/AS47</f>
        <v>1618.2180354928207</v>
      </c>
      <c r="AT8" s="16">
        <f>'IS (F1Q23)'!AT8/AT47</f>
        <v>1833.8223661596423</v>
      </c>
      <c r="AU8" s="16">
        <f>'IS (F1Q23)'!AU8/AU47</f>
        <v>1766.1661222890777</v>
      </c>
      <c r="AV8" s="17">
        <f>AU8</f>
        <v>1766.1661222890777</v>
      </c>
    </row>
    <row r="9" spans="1:48" s="23" customFormat="1" ht="14.55" customHeight="1" outlineLevel="1" x14ac:dyDescent="0.3">
      <c r="A9" s="161"/>
      <c r="B9" s="200" t="s">
        <v>215</v>
      </c>
      <c r="C9" s="201"/>
      <c r="D9" s="16">
        <v>1354.6</v>
      </c>
      <c r="E9" s="16">
        <v>1443</v>
      </c>
      <c r="F9" s="16">
        <v>1517.2</v>
      </c>
      <c r="G9" s="16">
        <v>1529.4</v>
      </c>
      <c r="H9" s="17">
        <f>G9</f>
        <v>1529.4</v>
      </c>
      <c r="I9" s="16">
        <v>1408.7</v>
      </c>
      <c r="J9" s="16">
        <v>1492.2</v>
      </c>
      <c r="K9" s="16">
        <v>1583.8</v>
      </c>
      <c r="L9" s="16">
        <v>1551.4</v>
      </c>
      <c r="M9" s="17">
        <f>L9</f>
        <v>1551.4</v>
      </c>
      <c r="N9" s="16">
        <v>1471.5</v>
      </c>
      <c r="O9" s="16">
        <v>1503.6</v>
      </c>
      <c r="P9" s="16">
        <v>1548.2</v>
      </c>
      <c r="Q9" s="101">
        <v>1603.9</v>
      </c>
      <c r="R9" s="17">
        <f>Q9</f>
        <v>1603.9</v>
      </c>
      <c r="S9" s="16">
        <v>1637.1</v>
      </c>
      <c r="T9" s="16">
        <v>1920</v>
      </c>
      <c r="U9" s="16">
        <v>2132.9</v>
      </c>
      <c r="V9" s="16">
        <v>2176.6</v>
      </c>
      <c r="W9" s="17">
        <f>V9</f>
        <v>2176.6</v>
      </c>
      <c r="X9" s="101">
        <v>2088.1</v>
      </c>
      <c r="Y9" s="16">
        <f>'IS (F1Q23)'!Y9/Y49</f>
        <v>2080.2346607759728</v>
      </c>
      <c r="Z9" s="16">
        <f>'IS (F1Q23)'!Z9/Z49</f>
        <v>2412.0930816686655</v>
      </c>
      <c r="AA9" s="16">
        <f>'IS (F1Q23)'!AA9/AA49</f>
        <v>2107.8826181412796</v>
      </c>
      <c r="AB9" s="17">
        <f>AA9</f>
        <v>2107.8826181412796</v>
      </c>
      <c r="AC9" s="16">
        <f>'IS (F1Q23)'!AC9/AC49</f>
        <v>2130.1052263755837</v>
      </c>
      <c r="AD9" s="16">
        <f>'IS (F1Q23)'!AD9/AD49</f>
        <v>2258.701171849998</v>
      </c>
      <c r="AE9" s="16">
        <f>'IS (F1Q23)'!AE9/AE49</f>
        <v>2451.4770119240643</v>
      </c>
      <c r="AF9" s="16">
        <f>'IS (F1Q23)'!AF9/AF49</f>
        <v>2318.9382034838713</v>
      </c>
      <c r="AG9" s="17">
        <f>AF9</f>
        <v>2318.9382034838713</v>
      </c>
      <c r="AH9" s="16">
        <f>'IS (F1Q23)'!AH9/AH49</f>
        <v>2338.9565447698251</v>
      </c>
      <c r="AI9" s="16">
        <f>'IS (F1Q23)'!AI9/AI49</f>
        <v>2510.3837194677371</v>
      </c>
      <c r="AJ9" s="16">
        <f>'IS (F1Q23)'!AJ9/AJ49</f>
        <v>2794.6811607301152</v>
      </c>
      <c r="AK9" s="16">
        <f>'IS (F1Q23)'!AK9/AK49</f>
        <v>2677.9327487449118</v>
      </c>
      <c r="AL9" s="17">
        <f>AK9</f>
        <v>2677.9327487449118</v>
      </c>
      <c r="AM9" s="16">
        <f>'IS (F1Q23)'!AM9/AM49</f>
        <v>2628.6089807818148</v>
      </c>
      <c r="AN9" s="16">
        <f>'IS (F1Q23)'!AN9/AN49</f>
        <v>2728.9983230581083</v>
      </c>
      <c r="AO9" s="16">
        <f>'IS (F1Q23)'!AO9/AO49</f>
        <v>3032.1772543327729</v>
      </c>
      <c r="AP9" s="16">
        <f>'IS (F1Q23)'!AP9/AP49</f>
        <v>2843.4157690100242</v>
      </c>
      <c r="AQ9" s="17">
        <f>AP9</f>
        <v>2843.4157690100242</v>
      </c>
      <c r="AR9" s="16">
        <f>'IS (F1Q23)'!AR9/AR49</f>
        <v>2756.041462287094</v>
      </c>
      <c r="AS9" s="16">
        <f>'IS (F1Q23)'!AS9/AS49</f>
        <v>2905.2426655236027</v>
      </c>
      <c r="AT9" s="16">
        <f>'IS (F1Q23)'!AT9/AT49</f>
        <v>3185.6155605090216</v>
      </c>
      <c r="AU9" s="16">
        <f>'IS (F1Q23)'!AU9/AU49</f>
        <v>3021.0708223974311</v>
      </c>
      <c r="AV9" s="17">
        <f>AU9</f>
        <v>3021.0708223974311</v>
      </c>
    </row>
    <row r="10" spans="1:48" ht="16.2" customHeight="1" outlineLevel="1" x14ac:dyDescent="0.45">
      <c r="A10" s="161"/>
      <c r="B10" s="580" t="s">
        <v>216</v>
      </c>
      <c r="C10" s="581"/>
      <c r="D10" s="260">
        <v>608.5</v>
      </c>
      <c r="E10" s="112">
        <v>674</v>
      </c>
      <c r="F10" s="112">
        <v>591.6</v>
      </c>
      <c r="G10" s="112">
        <v>488.2</v>
      </c>
      <c r="H10" s="261">
        <f>G10</f>
        <v>488.2</v>
      </c>
      <c r="I10" s="112">
        <v>474</v>
      </c>
      <c r="J10" s="112">
        <v>691.5</v>
      </c>
      <c r="K10" s="112">
        <v>920.3</v>
      </c>
      <c r="L10" s="112">
        <v>739.5</v>
      </c>
      <c r="M10" s="261">
        <f>L10</f>
        <v>739.5</v>
      </c>
      <c r="N10" s="112">
        <v>734.4</v>
      </c>
      <c r="O10" s="112">
        <v>592</v>
      </c>
      <c r="P10" s="112">
        <v>565.6</v>
      </c>
      <c r="Q10" s="112">
        <v>594.6</v>
      </c>
      <c r="R10" s="261">
        <f>Q10</f>
        <v>594.6</v>
      </c>
      <c r="S10" s="112">
        <v>530.1</v>
      </c>
      <c r="T10" s="112">
        <v>623.70000000000005</v>
      </c>
      <c r="U10" s="112">
        <v>534.1</v>
      </c>
      <c r="V10" s="112">
        <v>483.7</v>
      </c>
      <c r="W10" s="261">
        <f>V10</f>
        <v>483.7</v>
      </c>
      <c r="X10" s="112">
        <v>373.5</v>
      </c>
      <c r="Y10" s="32">
        <f>X10*1.01</f>
        <v>377.23500000000001</v>
      </c>
      <c r="Z10" s="32">
        <f>Y10*1.01</f>
        <v>381.00735000000003</v>
      </c>
      <c r="AA10" s="32">
        <f>Z10*1.01</f>
        <v>384.81742350000002</v>
      </c>
      <c r="AB10" s="261">
        <f>AA10</f>
        <v>384.81742350000002</v>
      </c>
      <c r="AC10" s="32">
        <f>AA10*1.01</f>
        <v>388.66559773500001</v>
      </c>
      <c r="AD10" s="32">
        <f>AC10*1.01</f>
        <v>392.55225371235002</v>
      </c>
      <c r="AE10" s="32">
        <f>AD10*1.01</f>
        <v>396.47777624947355</v>
      </c>
      <c r="AF10" s="32">
        <f>AE10*1.01</f>
        <v>400.4425540119683</v>
      </c>
      <c r="AG10" s="261">
        <f>AF10</f>
        <v>400.4425540119683</v>
      </c>
      <c r="AH10" s="32">
        <f>AF10*1.01</f>
        <v>404.44697955208801</v>
      </c>
      <c r="AI10" s="32">
        <f>AH10*1.01</f>
        <v>408.49144934760892</v>
      </c>
      <c r="AJ10" s="32">
        <f>AI10*1.01</f>
        <v>412.57636384108503</v>
      </c>
      <c r="AK10" s="32">
        <f>AJ10*1.01</f>
        <v>416.70212747949586</v>
      </c>
      <c r="AL10" s="261">
        <f>AK10</f>
        <v>416.70212747949586</v>
      </c>
      <c r="AM10" s="32">
        <f>AK10*1.01</f>
        <v>420.86914875429085</v>
      </c>
      <c r="AN10" s="32">
        <f>AM10*1.01</f>
        <v>425.07784024183377</v>
      </c>
      <c r="AO10" s="32">
        <f>AN10*1.01</f>
        <v>429.32861864425212</v>
      </c>
      <c r="AP10" s="32">
        <f>AO10*1.01</f>
        <v>433.62190483069463</v>
      </c>
      <c r="AQ10" s="261">
        <f>AP10</f>
        <v>433.62190483069463</v>
      </c>
      <c r="AR10" s="32">
        <f>AP10*1.01</f>
        <v>437.95812387900156</v>
      </c>
      <c r="AS10" s="32">
        <f>AR10*1.01</f>
        <v>442.33770511779159</v>
      </c>
      <c r="AT10" s="32">
        <f>AS10*1.01</f>
        <v>446.76108216896949</v>
      </c>
      <c r="AU10" s="32">
        <f>AT10*1.01</f>
        <v>451.22869299065917</v>
      </c>
      <c r="AV10" s="261">
        <f>AU10</f>
        <v>451.22869299065917</v>
      </c>
    </row>
    <row r="11" spans="1:48" ht="14.55" customHeight="1" outlineLevel="1" x14ac:dyDescent="0.3">
      <c r="A11" s="161"/>
      <c r="B11" s="205" t="s">
        <v>217</v>
      </c>
      <c r="C11" s="206"/>
      <c r="D11" s="21">
        <f t="shared" ref="D11:AV11" si="0">SUM(D6:D10)</f>
        <v>7676.2999999999993</v>
      </c>
      <c r="E11" s="21">
        <f t="shared" si="0"/>
        <v>4952.3</v>
      </c>
      <c r="F11" s="21">
        <f t="shared" si="0"/>
        <v>7734.9000000000024</v>
      </c>
      <c r="G11" s="21">
        <f t="shared" si="0"/>
        <v>5653.7000000000016</v>
      </c>
      <c r="H11" s="22">
        <f t="shared" si="0"/>
        <v>5653.7000000000016</v>
      </c>
      <c r="I11" s="21">
        <f t="shared" si="0"/>
        <v>5899.7000000000035</v>
      </c>
      <c r="J11" s="21">
        <f t="shared" si="0"/>
        <v>5749.9000000000033</v>
      </c>
      <c r="K11" s="21">
        <f t="shared" si="0"/>
        <v>7581.0000000000045</v>
      </c>
      <c r="L11" s="116">
        <f t="shared" si="0"/>
        <v>7806.4000000000051</v>
      </c>
      <c r="M11" s="22">
        <f t="shared" si="0"/>
        <v>7806.4000000000051</v>
      </c>
      <c r="N11" s="21">
        <f t="shared" si="0"/>
        <v>8357.4000000000106</v>
      </c>
      <c r="O11" s="21">
        <f t="shared" si="0"/>
        <v>6979.4000000000106</v>
      </c>
      <c r="P11" s="21">
        <f t="shared" si="0"/>
        <v>7931.7000000000098</v>
      </c>
      <c r="Q11" s="116">
        <f t="shared" si="0"/>
        <v>9756.4000000000087</v>
      </c>
      <c r="R11" s="22">
        <f t="shared" si="0"/>
        <v>9756.4000000000087</v>
      </c>
      <c r="S11" s="21">
        <f t="shared" si="0"/>
        <v>7255.1000000000076</v>
      </c>
      <c r="T11" s="21">
        <f t="shared" si="0"/>
        <v>7541.1000000000076</v>
      </c>
      <c r="U11" s="21">
        <f t="shared" si="0"/>
        <v>7067.5000000000073</v>
      </c>
      <c r="V11" s="116">
        <f t="shared" si="0"/>
        <v>7018.6000000000067</v>
      </c>
      <c r="W11" s="22">
        <f t="shared" si="0"/>
        <v>7018.6000000000067</v>
      </c>
      <c r="X11" s="116">
        <f>SUM(X6:X10)</f>
        <v>6934.8000000000084</v>
      </c>
      <c r="Y11" s="21">
        <f t="shared" si="0"/>
        <v>6928.5750944984738</v>
      </c>
      <c r="Z11" s="21">
        <f t="shared" si="0"/>
        <v>7152.258656477281</v>
      </c>
      <c r="AA11" s="21">
        <f t="shared" si="0"/>
        <v>7178.762417128868</v>
      </c>
      <c r="AB11" s="22">
        <f t="shared" si="0"/>
        <v>7178.762417128868</v>
      </c>
      <c r="AC11" s="21">
        <f t="shared" si="0"/>
        <v>7780.8218622370505</v>
      </c>
      <c r="AD11" s="21">
        <f t="shared" si="0"/>
        <v>7416.7775254584021</v>
      </c>
      <c r="AE11" s="21">
        <f t="shared" si="0"/>
        <v>7780.4478796632511</v>
      </c>
      <c r="AF11" s="21">
        <f t="shared" si="0"/>
        <v>8146.8511476976928</v>
      </c>
      <c r="AG11" s="22">
        <f t="shared" si="0"/>
        <v>8146.8511476976928</v>
      </c>
      <c r="AH11" s="21">
        <f t="shared" si="0"/>
        <v>8937.0424123658086</v>
      </c>
      <c r="AI11" s="21">
        <f t="shared" si="0"/>
        <v>8747.4328085151519</v>
      </c>
      <c r="AJ11" s="21">
        <f t="shared" si="0"/>
        <v>11222.952048504019</v>
      </c>
      <c r="AK11" s="21">
        <f t="shared" si="0"/>
        <v>6387.3036232126224</v>
      </c>
      <c r="AL11" s="22">
        <f t="shared" si="0"/>
        <v>6387.3036232126224</v>
      </c>
      <c r="AM11" s="21">
        <f t="shared" si="0"/>
        <v>7041.3623951741556</v>
      </c>
      <c r="AN11" s="21">
        <f t="shared" si="0"/>
        <v>5717.3386037457149</v>
      </c>
      <c r="AO11" s="21">
        <f t="shared" si="0"/>
        <v>6313.9296672316732</v>
      </c>
      <c r="AP11" s="21">
        <f t="shared" si="0"/>
        <v>6646.5580761429092</v>
      </c>
      <c r="AQ11" s="22">
        <f t="shared" si="0"/>
        <v>6646.5580761429092</v>
      </c>
      <c r="AR11" s="21">
        <f t="shared" si="0"/>
        <v>7450.0275176812283</v>
      </c>
      <c r="AS11" s="21">
        <f t="shared" si="0"/>
        <v>7161.9678242758391</v>
      </c>
      <c r="AT11" s="21">
        <f t="shared" si="0"/>
        <v>7857.5444060762284</v>
      </c>
      <c r="AU11" s="21">
        <f t="shared" si="0"/>
        <v>8281.4169649754658</v>
      </c>
      <c r="AV11" s="22">
        <f t="shared" si="0"/>
        <v>8281.4169649754658</v>
      </c>
    </row>
    <row r="12" spans="1:48" ht="14.55" customHeight="1" outlineLevel="1" x14ac:dyDescent="0.3">
      <c r="A12" s="161"/>
      <c r="B12" s="200" t="s">
        <v>218</v>
      </c>
      <c r="C12" s="207"/>
      <c r="D12" s="16">
        <v>265</v>
      </c>
      <c r="E12" s="16">
        <v>251.9</v>
      </c>
      <c r="F12" s="16">
        <v>222.6</v>
      </c>
      <c r="G12" s="16">
        <v>220</v>
      </c>
      <c r="H12" s="17">
        <f t="shared" ref="H12:H18" si="1">+G12</f>
        <v>220</v>
      </c>
      <c r="I12" s="16">
        <v>199.8</v>
      </c>
      <c r="J12" s="16">
        <v>198.8</v>
      </c>
      <c r="K12" s="16">
        <v>223.4</v>
      </c>
      <c r="L12" s="101">
        <v>206.1</v>
      </c>
      <c r="M12" s="17">
        <f>+L12</f>
        <v>206.1</v>
      </c>
      <c r="N12" s="16">
        <v>190.9</v>
      </c>
      <c r="O12" s="16">
        <v>284.8</v>
      </c>
      <c r="P12" s="16">
        <v>285.89999999999998</v>
      </c>
      <c r="Q12" s="101">
        <v>281.7</v>
      </c>
      <c r="R12" s="17">
        <f>+Q12</f>
        <v>281.7</v>
      </c>
      <c r="S12" s="16">
        <v>299.60000000000002</v>
      </c>
      <c r="T12" s="16">
        <v>285.60000000000002</v>
      </c>
      <c r="U12" s="16">
        <v>292.5</v>
      </c>
      <c r="V12" s="101">
        <v>279.10000000000002</v>
      </c>
      <c r="W12" s="17">
        <f>+V12</f>
        <v>279.10000000000002</v>
      </c>
      <c r="X12" s="101">
        <v>283.60000000000002</v>
      </c>
      <c r="Y12" s="16">
        <f>+Y53*Y42*(1-Y54)</f>
        <v>303.25536234389511</v>
      </c>
      <c r="Z12" s="16">
        <f>+Z53*Z42*(1-Z54)</f>
        <v>311.32371470083166</v>
      </c>
      <c r="AA12" s="16">
        <f>+AA53*AA42*(1-AA54)</f>
        <v>312.67603962438159</v>
      </c>
      <c r="AB12" s="17">
        <f>+AA12</f>
        <v>312.67603962438159</v>
      </c>
      <c r="AC12" s="16">
        <f>+AC53*AC42*(1-AC54)</f>
        <v>318.9576208058067</v>
      </c>
      <c r="AD12" s="16">
        <f>+AD53*AD42*(1-AD54)</f>
        <v>319.56419182867972</v>
      </c>
      <c r="AE12" s="16">
        <f>+AE53*AE42*(1-AE54)</f>
        <v>325.98526852759795</v>
      </c>
      <c r="AF12" s="16">
        <f>+AF53*AF42*(1-AF54)</f>
        <v>331.94557135952277</v>
      </c>
      <c r="AG12" s="17">
        <f>+AF12</f>
        <v>331.94557135952277</v>
      </c>
      <c r="AH12" s="16">
        <f>+AH53*AH42*(1-AH54)</f>
        <v>343.35472950712773</v>
      </c>
      <c r="AI12" s="16">
        <f>+AI53*AI42*(1-AI54)</f>
        <v>342.33094400377854</v>
      </c>
      <c r="AJ12" s="16">
        <f>+AJ53*AJ42*(1-AJ54)</f>
        <v>371.3176700902269</v>
      </c>
      <c r="AK12" s="16">
        <f>+AK53*AK42*(1-AK54)</f>
        <v>320.02294174392625</v>
      </c>
      <c r="AL12" s="17">
        <f>+AK12</f>
        <v>320.02294174392625</v>
      </c>
      <c r="AM12" s="16">
        <f>+AM53*AM42*(1-AM54)</f>
        <v>330.77957447580707</v>
      </c>
      <c r="AN12" s="16">
        <f>+AN53*AN42*(1-AN54)</f>
        <v>316.83545060140364</v>
      </c>
      <c r="AO12" s="16">
        <f>+AO53*AO42*(1-AO54)</f>
        <v>325.42546456774397</v>
      </c>
      <c r="AP12" s="16">
        <f>+AP53*AP42*(1-AP54)</f>
        <v>331.26861232038988</v>
      </c>
      <c r="AQ12" s="17">
        <f>+AP12</f>
        <v>331.26861232038988</v>
      </c>
      <c r="AR12" s="16">
        <f>+AR53*AR42*(1-AR54)</f>
        <v>343.83138567731112</v>
      </c>
      <c r="AS12" s="16">
        <f>+AS53*AS42*(1-AS54)</f>
        <v>341.09988725615949</v>
      </c>
      <c r="AT12" s="16">
        <f>+AT53*AT42*(1-AT54)</f>
        <v>350.82753070006072</v>
      </c>
      <c r="AU12" s="16">
        <f>+AU53*AU42*(1-AU54)</f>
        <v>357.73173828223025</v>
      </c>
      <c r="AV12" s="17">
        <f>+AU12</f>
        <v>357.73173828223025</v>
      </c>
    </row>
    <row r="13" spans="1:48" ht="14.55" customHeight="1" outlineLevel="1" x14ac:dyDescent="0.3">
      <c r="A13" s="161"/>
      <c r="B13" s="200" t="s">
        <v>219</v>
      </c>
      <c r="C13" s="207"/>
      <c r="D13" s="16">
        <v>336.1</v>
      </c>
      <c r="E13" s="16">
        <v>309.3</v>
      </c>
      <c r="F13" s="16">
        <v>340.3</v>
      </c>
      <c r="G13" s="16">
        <v>396</v>
      </c>
      <c r="H13" s="17">
        <f t="shared" si="1"/>
        <v>396</v>
      </c>
      <c r="I13" s="16">
        <v>411.3</v>
      </c>
      <c r="J13" s="16">
        <v>420.9</v>
      </c>
      <c r="K13" s="16">
        <v>426.1</v>
      </c>
      <c r="L13" s="101">
        <v>478.7</v>
      </c>
      <c r="M13" s="17">
        <f>+L13</f>
        <v>478.7</v>
      </c>
      <c r="N13" s="16">
        <v>496</v>
      </c>
      <c r="O13" s="16">
        <v>499.4</v>
      </c>
      <c r="P13" s="16">
        <v>535.29999999999995</v>
      </c>
      <c r="Q13" s="101">
        <v>268.5</v>
      </c>
      <c r="R13" s="17">
        <f>+Q13</f>
        <v>268.5</v>
      </c>
      <c r="S13" s="16">
        <v>251.9</v>
      </c>
      <c r="T13" s="16">
        <v>270.8</v>
      </c>
      <c r="U13" s="16">
        <v>302.7</v>
      </c>
      <c r="V13" s="101">
        <v>311.2</v>
      </c>
      <c r="W13" s="17">
        <f>+V13</f>
        <v>311.2</v>
      </c>
      <c r="X13" s="101">
        <v>330.5</v>
      </c>
      <c r="Y13" s="33">
        <f>X13</f>
        <v>330.5</v>
      </c>
      <c r="Z13" s="33">
        <f>Y13</f>
        <v>330.5</v>
      </c>
      <c r="AA13" s="33">
        <f>Z13</f>
        <v>330.5</v>
      </c>
      <c r="AB13" s="17">
        <f>+AA13</f>
        <v>330.5</v>
      </c>
      <c r="AC13" s="33">
        <f>AA13</f>
        <v>330.5</v>
      </c>
      <c r="AD13" s="33">
        <f>AC13</f>
        <v>330.5</v>
      </c>
      <c r="AE13" s="33">
        <f>AD13</f>
        <v>330.5</v>
      </c>
      <c r="AF13" s="33">
        <f>AE13</f>
        <v>330.5</v>
      </c>
      <c r="AG13" s="17">
        <f>+AF13</f>
        <v>330.5</v>
      </c>
      <c r="AH13" s="33">
        <f>AF13</f>
        <v>330.5</v>
      </c>
      <c r="AI13" s="33">
        <f>AH13</f>
        <v>330.5</v>
      </c>
      <c r="AJ13" s="33">
        <f>AI13</f>
        <v>330.5</v>
      </c>
      <c r="AK13" s="33">
        <f>AJ13</f>
        <v>330.5</v>
      </c>
      <c r="AL13" s="17">
        <f>+AK13</f>
        <v>330.5</v>
      </c>
      <c r="AM13" s="33">
        <f>AK13</f>
        <v>330.5</v>
      </c>
      <c r="AN13" s="33">
        <f>AM13</f>
        <v>330.5</v>
      </c>
      <c r="AO13" s="33">
        <f>AN13</f>
        <v>330.5</v>
      </c>
      <c r="AP13" s="33">
        <f>AO13</f>
        <v>330.5</v>
      </c>
      <c r="AQ13" s="17">
        <f>+AP13</f>
        <v>330.5</v>
      </c>
      <c r="AR13" s="33">
        <f>AP13</f>
        <v>330.5</v>
      </c>
      <c r="AS13" s="33">
        <f>AR13</f>
        <v>330.5</v>
      </c>
      <c r="AT13" s="33">
        <f>AS13</f>
        <v>330.5</v>
      </c>
      <c r="AU13" s="33">
        <f>AT13</f>
        <v>330.5</v>
      </c>
      <c r="AV13" s="17">
        <f>+AU13</f>
        <v>330.5</v>
      </c>
    </row>
    <row r="14" spans="1:48" s="8" customFormat="1" outlineLevel="1" x14ac:dyDescent="0.3">
      <c r="A14" s="161"/>
      <c r="B14" s="200" t="s">
        <v>220</v>
      </c>
      <c r="C14" s="206"/>
      <c r="D14" s="16">
        <v>6039.3</v>
      </c>
      <c r="E14" s="16">
        <v>6135.5</v>
      </c>
      <c r="F14" s="16">
        <v>6187.8</v>
      </c>
      <c r="G14" s="16">
        <v>6431.7</v>
      </c>
      <c r="H14" s="17">
        <f t="shared" si="1"/>
        <v>6431.7</v>
      </c>
      <c r="I14" s="16">
        <v>6390.9</v>
      </c>
      <c r="J14" s="16">
        <v>6387</v>
      </c>
      <c r="K14" s="16">
        <v>6295.6</v>
      </c>
      <c r="L14" s="101">
        <v>6241.4</v>
      </c>
      <c r="M14" s="17">
        <f>+L14</f>
        <v>6241.4</v>
      </c>
      <c r="N14" s="16">
        <v>6177.9</v>
      </c>
      <c r="O14" s="16">
        <v>6123.1</v>
      </c>
      <c r="P14" s="16">
        <v>6151.4</v>
      </c>
      <c r="Q14" s="101">
        <v>6369.5</v>
      </c>
      <c r="R14" s="17">
        <f>+Q14</f>
        <v>6369.5</v>
      </c>
      <c r="S14" s="16">
        <v>6398</v>
      </c>
      <c r="T14" s="16">
        <v>6460.8</v>
      </c>
      <c r="U14" s="101">
        <v>6408.2</v>
      </c>
      <c r="V14" s="101">
        <v>6560.5</v>
      </c>
      <c r="W14" s="17">
        <f>+V14</f>
        <v>6560.5</v>
      </c>
      <c r="X14" s="101">
        <v>6699.5</v>
      </c>
      <c r="Y14" s="16">
        <f>+X14-'CFS (F1Q23)'!Y25-'CFS (F1Q23)'!Y7</f>
        <v>6955.420117267442</v>
      </c>
      <c r="Z14" s="16">
        <f>+Y14-'CFS (F1Q23)'!Z25-'CFS (F1Q23)'!Z7</f>
        <v>7244.2326662884361</v>
      </c>
      <c r="AA14" s="16">
        <f>+Z14-'CFS (F1Q23)'!AA25-'CFS (F1Q23)'!AA7</f>
        <v>7549.2047265091978</v>
      </c>
      <c r="AB14" s="17">
        <f>+AA14</f>
        <v>7549.2047265091978</v>
      </c>
      <c r="AC14" s="16">
        <f>+AA14-'CFS (F1Q23)'!AC25-'CFS (F1Q23)'!AC7</f>
        <v>7818.0620213968577</v>
      </c>
      <c r="AD14" s="16">
        <f>+AC14-'CFS (F1Q23)'!AD25-'CFS (F1Q23)'!AD7</f>
        <v>8034.629221026421</v>
      </c>
      <c r="AE14" s="16">
        <f>+AD14-'CFS (F1Q23)'!AE25-'CFS (F1Q23)'!AE7</f>
        <v>8299.7726956271199</v>
      </c>
      <c r="AF14" s="16">
        <f>+AE14-'CFS (F1Q23)'!AF25-'CFS (F1Q23)'!AF7</f>
        <v>8576.9913568673583</v>
      </c>
      <c r="AG14" s="17">
        <f>+AF14</f>
        <v>8576.9913568673583</v>
      </c>
      <c r="AH14" s="16">
        <f>+AF14-'CFS (F1Q23)'!AH25-'CFS (F1Q23)'!AH7</f>
        <v>8786.2670279390422</v>
      </c>
      <c r="AI14" s="16">
        <f>+AH14-'CFS (F1Q23)'!AI25-'CFS (F1Q23)'!AI7</f>
        <v>8950.0331429300695</v>
      </c>
      <c r="AJ14" s="16">
        <f>+AI14-'CFS (F1Q23)'!AJ25-'CFS (F1Q23)'!AJ7</f>
        <v>9166.8534436899463</v>
      </c>
      <c r="AK14" s="16">
        <f>+AJ14-'CFS (F1Q23)'!AK25-'CFS (F1Q23)'!AK7</f>
        <v>9397.770141443576</v>
      </c>
      <c r="AL14" s="17">
        <f>+AK14</f>
        <v>9397.770141443576</v>
      </c>
      <c r="AM14" s="16">
        <f>+AK14-'CFS (F1Q23)'!AM25-'CFS (F1Q23)'!AM7</f>
        <v>9628.1194004482386</v>
      </c>
      <c r="AN14" s="16">
        <f>+AM14-'CFS (F1Q23)'!AN25-'CFS (F1Q23)'!AN7</f>
        <v>9806.8605579123796</v>
      </c>
      <c r="AO14" s="16">
        <f>+AN14-'CFS (F1Q23)'!AO25-'CFS (F1Q23)'!AO7</f>
        <v>10040.896103808263</v>
      </c>
      <c r="AP14" s="16">
        <f>+AO14-'CFS (F1Q23)'!AP25-'CFS (F1Q23)'!AP7</f>
        <v>10287.39803555463</v>
      </c>
      <c r="AQ14" s="17">
        <f>+AP14</f>
        <v>10287.39803555463</v>
      </c>
      <c r="AR14" s="16">
        <f>+AP14-'CFS (F1Q23)'!AR25-'CFS (F1Q23)'!AR7</f>
        <v>10516.917985520824</v>
      </c>
      <c r="AS14" s="16">
        <f>+AR14-'CFS (F1Q23)'!AS25-'CFS (F1Q23)'!AS7</f>
        <v>10692.494151626748</v>
      </c>
      <c r="AT14" s="16">
        <f>+AS14-'CFS (F1Q23)'!AT25-'CFS (F1Q23)'!AT7</f>
        <v>10927.48996068879</v>
      </c>
      <c r="AU14" s="16">
        <f>+AT14-'CFS (F1Q23)'!AU25-'CFS (F1Q23)'!AU7</f>
        <v>11176.394898203425</v>
      </c>
      <c r="AV14" s="17">
        <f>+AU14</f>
        <v>11176.394898203425</v>
      </c>
    </row>
    <row r="15" spans="1:48" s="8" customFormat="1" outlineLevel="1" x14ac:dyDescent="0.3">
      <c r="A15" s="161"/>
      <c r="B15" s="200" t="s">
        <v>221</v>
      </c>
      <c r="C15" s="206"/>
      <c r="D15" s="16">
        <v>0</v>
      </c>
      <c r="E15" s="16">
        <v>0</v>
      </c>
      <c r="F15" s="16">
        <v>0</v>
      </c>
      <c r="G15" s="16">
        <v>0</v>
      </c>
      <c r="H15" s="17">
        <f t="shared" si="1"/>
        <v>0</v>
      </c>
      <c r="I15" s="16">
        <v>8358.5</v>
      </c>
      <c r="J15" s="16">
        <v>8260.7999999999993</v>
      </c>
      <c r="K15" s="16">
        <v>8214</v>
      </c>
      <c r="L15" s="101">
        <v>8134.1</v>
      </c>
      <c r="M15" s="17">
        <f>L15</f>
        <v>8134.1</v>
      </c>
      <c r="N15" s="16">
        <v>8199.4</v>
      </c>
      <c r="O15" s="16">
        <v>8036.8</v>
      </c>
      <c r="P15" s="16">
        <v>8065.2</v>
      </c>
      <c r="Q15" s="101">
        <v>8236</v>
      </c>
      <c r="R15" s="17">
        <f>Q15</f>
        <v>8236</v>
      </c>
      <c r="S15" s="16">
        <v>8203.4</v>
      </c>
      <c r="T15" s="16">
        <v>8170.2</v>
      </c>
      <c r="U15" s="101">
        <v>8037.1</v>
      </c>
      <c r="V15" s="101">
        <v>8015.6</v>
      </c>
      <c r="W15" s="17">
        <f>V15</f>
        <v>8015.6</v>
      </c>
      <c r="X15" s="101">
        <v>8133.8</v>
      </c>
      <c r="Y15" s="33">
        <f>X15*0.996</f>
        <v>8101.2647999999999</v>
      </c>
      <c r="Z15" s="33">
        <f>Y15*0.996</f>
        <v>8068.8597407999996</v>
      </c>
      <c r="AA15" s="33">
        <f>Z15*0.996</f>
        <v>8036.5843018367996</v>
      </c>
      <c r="AB15" s="17">
        <f>AA15</f>
        <v>8036.5843018367996</v>
      </c>
      <c r="AC15" s="33">
        <f>AA15*0.996</f>
        <v>8004.4379646294519</v>
      </c>
      <c r="AD15" s="33">
        <f>AC15*0.996</f>
        <v>7972.4202127709341</v>
      </c>
      <c r="AE15" s="33">
        <f>AD15*0.996</f>
        <v>7940.5305319198505</v>
      </c>
      <c r="AF15" s="33">
        <f>AE15*0.996</f>
        <v>7908.768409792171</v>
      </c>
      <c r="AG15" s="17">
        <f>AF15</f>
        <v>7908.768409792171</v>
      </c>
      <c r="AH15" s="33">
        <f>AF15*0.996</f>
        <v>7877.1333361530023</v>
      </c>
      <c r="AI15" s="33">
        <f>AH15*0.996</f>
        <v>7845.6248028083901</v>
      </c>
      <c r="AJ15" s="33">
        <f>AI15*0.996</f>
        <v>7814.2423035971569</v>
      </c>
      <c r="AK15" s="33">
        <f>AJ15*0.996</f>
        <v>7782.9853343827681</v>
      </c>
      <c r="AL15" s="17">
        <f>AK15</f>
        <v>7782.9853343827681</v>
      </c>
      <c r="AM15" s="33">
        <f>AK15*0.996</f>
        <v>7751.8533930452368</v>
      </c>
      <c r="AN15" s="33">
        <f>AM15*0.996</f>
        <v>7720.8459794730561</v>
      </c>
      <c r="AO15" s="33">
        <f>AN15*0.996</f>
        <v>7689.9625955551637</v>
      </c>
      <c r="AP15" s="33">
        <f>AO15*0.996</f>
        <v>7659.2027451729427</v>
      </c>
      <c r="AQ15" s="17">
        <f>AP15</f>
        <v>7659.2027451729427</v>
      </c>
      <c r="AR15" s="33">
        <f>AP15*0.996</f>
        <v>7628.565934192251</v>
      </c>
      <c r="AS15" s="33">
        <f>AR15*0.996</f>
        <v>7598.0516704554821</v>
      </c>
      <c r="AT15" s="33">
        <f>AS15*0.996</f>
        <v>7567.6594637736598</v>
      </c>
      <c r="AU15" s="33">
        <f>AT15*0.996</f>
        <v>7537.3888259185651</v>
      </c>
      <c r="AV15" s="17">
        <f>AU15</f>
        <v>7537.3888259185651</v>
      </c>
    </row>
    <row r="16" spans="1:48" s="8" customFormat="1" outlineLevel="1" x14ac:dyDescent="0.3">
      <c r="A16" s="161"/>
      <c r="B16" s="200" t="s">
        <v>222</v>
      </c>
      <c r="C16" s="206"/>
      <c r="D16" s="16">
        <v>650</v>
      </c>
      <c r="E16" s="16">
        <v>1006.6</v>
      </c>
      <c r="F16" s="16">
        <v>1533</v>
      </c>
      <c r="G16" s="16">
        <v>1765.8</v>
      </c>
      <c r="H16" s="17">
        <f t="shared" si="1"/>
        <v>1765.8</v>
      </c>
      <c r="I16" s="16">
        <v>1731.4</v>
      </c>
      <c r="J16" s="16">
        <v>1709.7</v>
      </c>
      <c r="K16" s="16">
        <v>1740</v>
      </c>
      <c r="L16" s="101">
        <v>1789.9</v>
      </c>
      <c r="M16" s="17">
        <f>+L16</f>
        <v>1789.9</v>
      </c>
      <c r="N16" s="16">
        <v>1792.4</v>
      </c>
      <c r="O16" s="16">
        <v>1770</v>
      </c>
      <c r="P16" s="16">
        <v>1851</v>
      </c>
      <c r="Q16" s="101">
        <v>1874.8</v>
      </c>
      <c r="R16" s="17">
        <f>+Q16</f>
        <v>1874.8</v>
      </c>
      <c r="S16" s="16">
        <v>1859.7</v>
      </c>
      <c r="T16" s="16">
        <v>1809.4</v>
      </c>
      <c r="U16" s="101">
        <v>1752.9</v>
      </c>
      <c r="V16" s="101">
        <v>1799.7</v>
      </c>
      <c r="W16" s="169">
        <f>+V16</f>
        <v>1799.7</v>
      </c>
      <c r="X16" s="101">
        <v>1811.8</v>
      </c>
      <c r="Y16" s="101">
        <f>Y55*(Y27+Y33)</f>
        <v>1774.8711163975818</v>
      </c>
      <c r="Z16" s="101">
        <f>Z55*(Z27+Z33)</f>
        <v>1761.7569520787977</v>
      </c>
      <c r="AA16" s="101">
        <f>AA55*(AA27+AA33)</f>
        <v>1756.2549945545895</v>
      </c>
      <c r="AB16" s="169">
        <f>+AA16</f>
        <v>1756.2549945545895</v>
      </c>
      <c r="AC16" s="101">
        <f>AC55*(AC27+AC33)</f>
        <v>1854.1618437506531</v>
      </c>
      <c r="AD16" s="101">
        <f>AD55*(AD27+AD33)</f>
        <v>1778.6660766668581</v>
      </c>
      <c r="AE16" s="101">
        <f>AE55*(AE27+AE33)</f>
        <v>1767.0655070130422</v>
      </c>
      <c r="AF16" s="101">
        <f>AF55*(AF27+AF33)</f>
        <v>1755.971850495313</v>
      </c>
      <c r="AG16" s="169">
        <f>+AF16</f>
        <v>1755.971850495313</v>
      </c>
      <c r="AH16" s="101">
        <f>AH55*(AH27+AH33)</f>
        <v>1875.1000237264948</v>
      </c>
      <c r="AI16" s="101">
        <f>AI55*(AI27+AI33)</f>
        <v>1787.0859973848437</v>
      </c>
      <c r="AJ16" s="101">
        <f>AJ55*(AJ27+AJ33)</f>
        <v>1775.5961627989705</v>
      </c>
      <c r="AK16" s="101">
        <f>AK55*(AK27+AK33)</f>
        <v>1764.2718790528331</v>
      </c>
      <c r="AL16" s="169">
        <f>+AK16</f>
        <v>1764.2718790528331</v>
      </c>
      <c r="AM16" s="101">
        <f>AM55*(AM27+AM33)</f>
        <v>1895.4989437735933</v>
      </c>
      <c r="AN16" s="101">
        <f>AN55*(AN27+AN33)</f>
        <v>1799.6026892365567</v>
      </c>
      <c r="AO16" s="101">
        <f>AO55*(AO27+AO33)</f>
        <v>1788.0017626451208</v>
      </c>
      <c r="AP16" s="101">
        <f>AP55*(AP27+AP33)</f>
        <v>1776.5213161561946</v>
      </c>
      <c r="AQ16" s="169">
        <f>+AP16</f>
        <v>1776.5213161561946</v>
      </c>
      <c r="AR16" s="101">
        <f>AR55*(AR27+AR33)</f>
        <v>1919.4585661129133</v>
      </c>
      <c r="AS16" s="101">
        <f>AS55*(AS27+AS33)</f>
        <v>1816.0614374479353</v>
      </c>
      <c r="AT16" s="101">
        <f>AT55*(AT27+AT33)</f>
        <v>1804.2154376499554</v>
      </c>
      <c r="AU16" s="101">
        <f>AU55*(AU27+AU33)</f>
        <v>1792.4683427434591</v>
      </c>
      <c r="AV16" s="17">
        <f>+AU16</f>
        <v>1792.4683427434591</v>
      </c>
    </row>
    <row r="17" spans="1:48" s="8" customFormat="1" outlineLevel="1" x14ac:dyDescent="0.3">
      <c r="A17" s="161"/>
      <c r="B17" s="200" t="s">
        <v>223</v>
      </c>
      <c r="C17" s="206"/>
      <c r="D17" s="16">
        <v>472.7</v>
      </c>
      <c r="E17" s="16">
        <v>464.5</v>
      </c>
      <c r="F17" s="16">
        <v>458</v>
      </c>
      <c r="G17" s="16">
        <v>479.6</v>
      </c>
      <c r="H17" s="17">
        <f t="shared" si="1"/>
        <v>479.6</v>
      </c>
      <c r="I17" s="16">
        <v>484.7</v>
      </c>
      <c r="J17" s="16">
        <v>580.1</v>
      </c>
      <c r="K17" s="16">
        <v>550.79999999999995</v>
      </c>
      <c r="L17" s="101">
        <v>568.6</v>
      </c>
      <c r="M17" s="17">
        <f>+L17</f>
        <v>568.6</v>
      </c>
      <c r="N17" s="16">
        <v>541.1</v>
      </c>
      <c r="O17" s="16">
        <v>574.9</v>
      </c>
      <c r="P17" s="16">
        <v>586.29999999999995</v>
      </c>
      <c r="Q17" s="101">
        <v>578.5</v>
      </c>
      <c r="R17" s="17">
        <f>+Q17</f>
        <v>578.5</v>
      </c>
      <c r="S17" s="16">
        <v>588</v>
      </c>
      <c r="T17" s="16">
        <v>582.79999999999995</v>
      </c>
      <c r="U17" s="101">
        <v>640.70000000000005</v>
      </c>
      <c r="V17" s="101">
        <v>554.20000000000005</v>
      </c>
      <c r="W17" s="17">
        <f>+V17</f>
        <v>554.20000000000005</v>
      </c>
      <c r="X17" s="101">
        <v>527.6</v>
      </c>
      <c r="Y17" s="33">
        <f>+X17*(Y42/X42)</f>
        <v>531.17285180199781</v>
      </c>
      <c r="Z17" s="33">
        <f>+Y17*(Z42/Y42)</f>
        <v>539.99968342413763</v>
      </c>
      <c r="AA17" s="33">
        <f>+Z17*(AA42/Z42)</f>
        <v>545.41865786788617</v>
      </c>
      <c r="AB17" s="17">
        <f>+AA17</f>
        <v>545.41865786788617</v>
      </c>
      <c r="AC17" s="33">
        <f>+AA17*(AC42/AA42)</f>
        <v>563.1812139853979</v>
      </c>
      <c r="AD17" s="33">
        <f>+AC17*(AD42/AC42)</f>
        <v>558.17585837978709</v>
      </c>
      <c r="AE17" s="33">
        <f>+AD17*(AE42/AD42)</f>
        <v>569.28330224151728</v>
      </c>
      <c r="AF17" s="33">
        <f>+AE17*(AF42/AE42)</f>
        <v>580.68796141229689</v>
      </c>
      <c r="AG17" s="17">
        <f>+AF17</f>
        <v>580.68796141229689</v>
      </c>
      <c r="AH17" s="33">
        <f>+AF17*(AH42/AF42)</f>
        <v>601.4584605108023</v>
      </c>
      <c r="AI17" s="33">
        <f>+AH17*(AI42/AH42)</f>
        <v>598.55477316770532</v>
      </c>
      <c r="AJ17" s="33">
        <f>+AI17*(AJ42/AI42)</f>
        <v>649.40985174989009</v>
      </c>
      <c r="AK17" s="33">
        <f>+AJ17*(AK42/AJ42)</f>
        <v>559.90766822381352</v>
      </c>
      <c r="AL17" s="17">
        <f>+AK17</f>
        <v>559.90766822381352</v>
      </c>
      <c r="AM17" s="33">
        <f>+AK17*(AM42/AK42)</f>
        <v>578.75272888144025</v>
      </c>
      <c r="AN17" s="33">
        <f>+AM17*(AN42/AM42)</f>
        <v>554.19633715409509</v>
      </c>
      <c r="AO17" s="33">
        <f>+AN17*(AO42/AN42)</f>
        <v>569.27809176017684</v>
      </c>
      <c r="AP17" s="33">
        <f>+AO17*(AP42/AO42)</f>
        <v>579.53315132162834</v>
      </c>
      <c r="AQ17" s="17">
        <f>+AP17</f>
        <v>579.53315132162834</v>
      </c>
      <c r="AR17" s="33">
        <f>+AP17*(AR42/AP42)</f>
        <v>601.49804340027788</v>
      </c>
      <c r="AS17" s="33">
        <f>+AR17*(AS42/AR42)</f>
        <v>596.69712520850305</v>
      </c>
      <c r="AT17" s="33">
        <f>+AS17*(AT42/AS42)</f>
        <v>613.7290206024968</v>
      </c>
      <c r="AU17" s="33">
        <f>+AT17*(AU42/AT42)</f>
        <v>625.81070129235309</v>
      </c>
      <c r="AV17" s="17">
        <f>+AU17</f>
        <v>625.81070129235309</v>
      </c>
    </row>
    <row r="18" spans="1:48" s="8" customFormat="1" outlineLevel="1" x14ac:dyDescent="0.3">
      <c r="A18" s="161"/>
      <c r="B18" s="200" t="s">
        <v>224</v>
      </c>
      <c r="C18" s="206"/>
      <c r="D18" s="16">
        <v>981.6</v>
      </c>
      <c r="E18" s="16">
        <v>918.3</v>
      </c>
      <c r="F18" s="16">
        <v>853.2</v>
      </c>
      <c r="G18" s="16">
        <v>781.8</v>
      </c>
      <c r="H18" s="17">
        <f t="shared" si="1"/>
        <v>781.8</v>
      </c>
      <c r="I18" s="16">
        <v>739.1</v>
      </c>
      <c r="J18" s="16">
        <v>678.7</v>
      </c>
      <c r="K18" s="16">
        <v>599.6</v>
      </c>
      <c r="L18" s="101">
        <v>552.1</v>
      </c>
      <c r="M18" s="17">
        <f>+L18</f>
        <v>552.1</v>
      </c>
      <c r="N18" s="16">
        <v>506.4</v>
      </c>
      <c r="O18" s="16">
        <v>444.3</v>
      </c>
      <c r="P18" s="16">
        <v>398</v>
      </c>
      <c r="Q18" s="101">
        <v>349.9</v>
      </c>
      <c r="R18" s="17">
        <f>+Q18</f>
        <v>349.9</v>
      </c>
      <c r="S18" s="16">
        <v>302.5</v>
      </c>
      <c r="T18" s="16">
        <v>254.7</v>
      </c>
      <c r="U18" s="101">
        <v>203.4</v>
      </c>
      <c r="V18" s="101">
        <v>155.9</v>
      </c>
      <c r="W18" s="17">
        <f>+V18</f>
        <v>155.9</v>
      </c>
      <c r="X18" s="101">
        <v>151.4</v>
      </c>
      <c r="Y18" s="33">
        <f>+X18*0.92</f>
        <v>139.28800000000001</v>
      </c>
      <c r="Z18" s="33">
        <f>+Y18*0.92</f>
        <v>128.14496000000003</v>
      </c>
      <c r="AA18" s="33">
        <f>+Z18*0.92</f>
        <v>117.89336320000002</v>
      </c>
      <c r="AB18" s="17">
        <f>+AA18</f>
        <v>117.89336320000002</v>
      </c>
      <c r="AC18" s="33">
        <f>+AA18*0.92</f>
        <v>108.46189414400003</v>
      </c>
      <c r="AD18" s="33">
        <f>+AC18*0.92</f>
        <v>99.784942612480023</v>
      </c>
      <c r="AE18" s="33">
        <f>+AD18*0.92</f>
        <v>91.802147203481624</v>
      </c>
      <c r="AF18" s="33">
        <f>+AE18*0.92</f>
        <v>84.457975427203095</v>
      </c>
      <c r="AG18" s="17">
        <f>+AF18</f>
        <v>84.457975427203095</v>
      </c>
      <c r="AH18" s="33">
        <f>+AF18*0.92</f>
        <v>77.701337393026847</v>
      </c>
      <c r="AI18" s="33">
        <f>+AH18*0.92</f>
        <v>71.485230401584701</v>
      </c>
      <c r="AJ18" s="33">
        <f>+AI18*0.92</f>
        <v>65.766411969457934</v>
      </c>
      <c r="AK18" s="33">
        <f>+AJ18*0.92</f>
        <v>60.505099011901301</v>
      </c>
      <c r="AL18" s="17">
        <f>+AK18</f>
        <v>60.505099011901301</v>
      </c>
      <c r="AM18" s="33">
        <f>+AK18*0.92</f>
        <v>55.664691090949198</v>
      </c>
      <c r="AN18" s="33">
        <f>+AM18*0.92</f>
        <v>51.211515803673265</v>
      </c>
      <c r="AO18" s="33">
        <f>+AN18*0.92</f>
        <v>47.114594539379404</v>
      </c>
      <c r="AP18" s="33">
        <f>+AO18*0.92</f>
        <v>43.345426976229056</v>
      </c>
      <c r="AQ18" s="17">
        <f>+AP18</f>
        <v>43.345426976229056</v>
      </c>
      <c r="AR18" s="33">
        <f>+AP18*0.92</f>
        <v>39.877792818130736</v>
      </c>
      <c r="AS18" s="33">
        <f>+AR18*0.92</f>
        <v>36.687569392680281</v>
      </c>
      <c r="AT18" s="33">
        <f>+AS18*0.92</f>
        <v>33.752563841265861</v>
      </c>
      <c r="AU18" s="33">
        <f>+AT18*0.92</f>
        <v>31.052358733964592</v>
      </c>
      <c r="AV18" s="17">
        <f>+AU18</f>
        <v>31.052358733964592</v>
      </c>
    </row>
    <row r="19" spans="1:48" ht="16.2" outlineLevel="1" x14ac:dyDescent="0.45">
      <c r="A19" s="161"/>
      <c r="B19" s="580" t="s">
        <v>225</v>
      </c>
      <c r="C19" s="581"/>
      <c r="D19" s="260">
        <v>3560.3</v>
      </c>
      <c r="E19" s="260">
        <v>3603.5</v>
      </c>
      <c r="F19" s="260">
        <v>3564.7</v>
      </c>
      <c r="G19" s="260">
        <v>3490.8</v>
      </c>
      <c r="H19" s="261">
        <f>G19</f>
        <v>3490.8</v>
      </c>
      <c r="I19" s="260">
        <v>3515.9</v>
      </c>
      <c r="J19" s="260">
        <v>3493</v>
      </c>
      <c r="K19" s="260">
        <v>3510.1</v>
      </c>
      <c r="L19" s="112">
        <v>3597.2</v>
      </c>
      <c r="M19" s="261">
        <f>L19</f>
        <v>3597.2</v>
      </c>
      <c r="N19" s="260">
        <v>3706.8</v>
      </c>
      <c r="O19" s="260">
        <v>3658.9</v>
      </c>
      <c r="P19" s="260">
        <v>3672</v>
      </c>
      <c r="Q19" s="112">
        <v>3677.3</v>
      </c>
      <c r="R19" s="261">
        <f>Q19</f>
        <v>3677.3</v>
      </c>
      <c r="S19" s="260">
        <v>3675.7</v>
      </c>
      <c r="T19" s="260">
        <v>3646.1</v>
      </c>
      <c r="U19" s="112">
        <v>3451.2</v>
      </c>
      <c r="V19" s="112">
        <v>3283.5</v>
      </c>
      <c r="W19" s="261">
        <f>V19</f>
        <v>3283.5</v>
      </c>
      <c r="X19" s="112">
        <v>3383</v>
      </c>
      <c r="Y19" s="32">
        <f>+X19</f>
        <v>3383</v>
      </c>
      <c r="Z19" s="32">
        <f>+Y19</f>
        <v>3383</v>
      </c>
      <c r="AA19" s="32">
        <f>+Z19</f>
        <v>3383</v>
      </c>
      <c r="AB19" s="261">
        <f>AA19</f>
        <v>3383</v>
      </c>
      <c r="AC19" s="32">
        <f>+AA19</f>
        <v>3383</v>
      </c>
      <c r="AD19" s="32">
        <f>+AC19</f>
        <v>3383</v>
      </c>
      <c r="AE19" s="32">
        <f>+AD19</f>
        <v>3383</v>
      </c>
      <c r="AF19" s="32">
        <f>+AE19</f>
        <v>3383</v>
      </c>
      <c r="AG19" s="261">
        <f>AF19</f>
        <v>3383</v>
      </c>
      <c r="AH19" s="32">
        <f>+AF19</f>
        <v>3383</v>
      </c>
      <c r="AI19" s="32">
        <f>+AH19</f>
        <v>3383</v>
      </c>
      <c r="AJ19" s="32">
        <f>+AI19</f>
        <v>3383</v>
      </c>
      <c r="AK19" s="32">
        <f>+AJ19</f>
        <v>3383</v>
      </c>
      <c r="AL19" s="261">
        <f>AK19</f>
        <v>3383</v>
      </c>
      <c r="AM19" s="32">
        <f>+AK19</f>
        <v>3383</v>
      </c>
      <c r="AN19" s="32">
        <f>+AM19</f>
        <v>3383</v>
      </c>
      <c r="AO19" s="32">
        <f>+AN19</f>
        <v>3383</v>
      </c>
      <c r="AP19" s="32">
        <f>+AO19</f>
        <v>3383</v>
      </c>
      <c r="AQ19" s="261">
        <f>AP19</f>
        <v>3383</v>
      </c>
      <c r="AR19" s="32">
        <f>+AP19</f>
        <v>3383</v>
      </c>
      <c r="AS19" s="32">
        <f>+AR19</f>
        <v>3383</v>
      </c>
      <c r="AT19" s="32">
        <f>+AS19</f>
        <v>3383</v>
      </c>
      <c r="AU19" s="32">
        <f>+AT19</f>
        <v>3383</v>
      </c>
      <c r="AV19" s="261">
        <f>AU19</f>
        <v>3383</v>
      </c>
    </row>
    <row r="20" spans="1:48" outlineLevel="1" x14ac:dyDescent="0.3">
      <c r="A20" s="161"/>
      <c r="B20" s="619" t="s">
        <v>226</v>
      </c>
      <c r="C20" s="620"/>
      <c r="D20" s="21">
        <f t="shared" ref="D20:AV20" si="2">+SUM(D11:D19)</f>
        <v>19981.3</v>
      </c>
      <c r="E20" s="21">
        <f t="shared" si="2"/>
        <v>17641.900000000001</v>
      </c>
      <c r="F20" s="21">
        <f t="shared" si="2"/>
        <v>20894.500000000004</v>
      </c>
      <c r="G20" s="21">
        <f t="shared" si="2"/>
        <v>19219.400000000001</v>
      </c>
      <c r="H20" s="22">
        <f t="shared" si="2"/>
        <v>19219.400000000001</v>
      </c>
      <c r="I20" s="21">
        <f t="shared" si="2"/>
        <v>27731.300000000007</v>
      </c>
      <c r="J20" s="21">
        <f t="shared" si="2"/>
        <v>27478.9</v>
      </c>
      <c r="K20" s="21">
        <f t="shared" si="2"/>
        <v>29140.600000000002</v>
      </c>
      <c r="L20" s="21">
        <f t="shared" si="2"/>
        <v>29374.500000000004</v>
      </c>
      <c r="M20" s="22">
        <f t="shared" si="2"/>
        <v>29374.500000000004</v>
      </c>
      <c r="N20" s="21">
        <f t="shared" si="2"/>
        <v>29968.30000000001</v>
      </c>
      <c r="O20" s="21">
        <f t="shared" si="2"/>
        <v>28371.600000000013</v>
      </c>
      <c r="P20" s="21">
        <f t="shared" si="2"/>
        <v>29476.800000000007</v>
      </c>
      <c r="Q20" s="21">
        <f t="shared" si="2"/>
        <v>31392.600000000009</v>
      </c>
      <c r="R20" s="22">
        <f t="shared" si="2"/>
        <v>31392.600000000009</v>
      </c>
      <c r="S20" s="21">
        <f t="shared" si="2"/>
        <v>28833.900000000009</v>
      </c>
      <c r="T20" s="21">
        <f t="shared" si="2"/>
        <v>29021.500000000007</v>
      </c>
      <c r="U20" s="21">
        <f t="shared" si="2"/>
        <v>28156.200000000012</v>
      </c>
      <c r="V20" s="21">
        <f t="shared" si="2"/>
        <v>27978.30000000001</v>
      </c>
      <c r="W20" s="22">
        <f t="shared" si="2"/>
        <v>27978.30000000001</v>
      </c>
      <c r="X20" s="21">
        <f>+SUM(X11:X19)</f>
        <v>28256.000000000007</v>
      </c>
      <c r="Y20" s="21">
        <f t="shared" si="2"/>
        <v>28447.347342309393</v>
      </c>
      <c r="Z20" s="21">
        <f t="shared" si="2"/>
        <v>28920.076373769487</v>
      </c>
      <c r="AA20" s="21">
        <f t="shared" si="2"/>
        <v>29210.294500721724</v>
      </c>
      <c r="AB20" s="22">
        <f t="shared" si="2"/>
        <v>29210.294500721724</v>
      </c>
      <c r="AC20" s="21">
        <f t="shared" si="2"/>
        <v>30161.584420949217</v>
      </c>
      <c r="AD20" s="21">
        <f t="shared" si="2"/>
        <v>29893.518028743561</v>
      </c>
      <c r="AE20" s="21">
        <f t="shared" si="2"/>
        <v>30488.38733219586</v>
      </c>
      <c r="AF20" s="21">
        <f t="shared" si="2"/>
        <v>31099.174273051554</v>
      </c>
      <c r="AG20" s="22">
        <f t="shared" si="2"/>
        <v>31099.174273051554</v>
      </c>
      <c r="AH20" s="21">
        <f t="shared" si="2"/>
        <v>32211.557327595307</v>
      </c>
      <c r="AI20" s="21">
        <f t="shared" si="2"/>
        <v>32056.047699211525</v>
      </c>
      <c r="AJ20" s="21">
        <f t="shared" si="2"/>
        <v>34779.637892399667</v>
      </c>
      <c r="AK20" s="21">
        <f t="shared" si="2"/>
        <v>29986.266687071438</v>
      </c>
      <c r="AL20" s="22">
        <f t="shared" si="2"/>
        <v>29986.266687071438</v>
      </c>
      <c r="AM20" s="21">
        <f t="shared" si="2"/>
        <v>30995.531126889418</v>
      </c>
      <c r="AN20" s="21">
        <f t="shared" si="2"/>
        <v>29680.391133926878</v>
      </c>
      <c r="AO20" s="21">
        <f t="shared" si="2"/>
        <v>30488.108280107524</v>
      </c>
      <c r="AP20" s="21">
        <f t="shared" si="2"/>
        <v>31037.327363644927</v>
      </c>
      <c r="AQ20" s="22">
        <f t="shared" si="2"/>
        <v>31037.327363644927</v>
      </c>
      <c r="AR20" s="21">
        <f t="shared" si="2"/>
        <v>32213.677225402938</v>
      </c>
      <c r="AS20" s="21">
        <f t="shared" si="2"/>
        <v>31956.559665663346</v>
      </c>
      <c r="AT20" s="21">
        <f t="shared" si="2"/>
        <v>32868.71838333246</v>
      </c>
      <c r="AU20" s="21">
        <f t="shared" si="2"/>
        <v>33515.763830149459</v>
      </c>
      <c r="AV20" s="22">
        <f t="shared" si="2"/>
        <v>33515.763830149459</v>
      </c>
    </row>
    <row r="21" spans="1:48" ht="17.399999999999999" x14ac:dyDescent="0.45">
      <c r="A21" s="161"/>
      <c r="B21" s="583" t="s">
        <v>227</v>
      </c>
      <c r="C21" s="584"/>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4" t="s">
        <v>408</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580" t="s">
        <v>228</v>
      </c>
      <c r="C22" s="581"/>
      <c r="D22" s="101">
        <v>1100.5</v>
      </c>
      <c r="E22" s="101">
        <v>1096.7</v>
      </c>
      <c r="F22" s="101">
        <v>1145.4000000000001</v>
      </c>
      <c r="G22" s="101">
        <v>1189.7</v>
      </c>
      <c r="H22" s="169">
        <f t="shared" ref="H22:H29" si="3">G22</f>
        <v>1189.7</v>
      </c>
      <c r="I22" s="101">
        <v>1085.5999999999999</v>
      </c>
      <c r="J22" s="101">
        <v>997.7</v>
      </c>
      <c r="K22" s="101">
        <v>860.8</v>
      </c>
      <c r="L22" s="101">
        <v>997.9</v>
      </c>
      <c r="M22" s="169">
        <f t="shared" ref="M22:M29" si="4">L22</f>
        <v>997.9</v>
      </c>
      <c r="N22" s="101">
        <v>1050.5999999999999</v>
      </c>
      <c r="O22" s="101">
        <v>1033.5999999999999</v>
      </c>
      <c r="P22" s="101">
        <v>1127</v>
      </c>
      <c r="Q22" s="101">
        <v>1211.5999999999999</v>
      </c>
      <c r="R22" s="169">
        <f t="shared" ref="R22:R29" si="5">Q22</f>
        <v>1211.5999999999999</v>
      </c>
      <c r="S22" s="101">
        <v>1289.4000000000001</v>
      </c>
      <c r="T22" s="101">
        <v>1329.5</v>
      </c>
      <c r="U22" s="101">
        <v>1489.8</v>
      </c>
      <c r="V22" s="101">
        <v>1441.4</v>
      </c>
      <c r="W22" s="169">
        <f t="shared" ref="W22:W29" si="6">V22</f>
        <v>1441.4</v>
      </c>
      <c r="X22" s="101">
        <v>1348.2</v>
      </c>
      <c r="Y22" s="101">
        <f>('IS (F1Q23)'!Y9/Y51)</f>
        <v>1419.801987085378</v>
      </c>
      <c r="Z22" s="101">
        <f>('IS (F1Q23)'!Z9/Z51)</f>
        <v>1591.8344292347244</v>
      </c>
      <c r="AA22" s="101">
        <f>('IS (F1Q23)'!AA9/AA51)</f>
        <v>1450.7295913585228</v>
      </c>
      <c r="AB22" s="169">
        <f t="shared" ref="AB22:AB29" si="7">AA22</f>
        <v>1450.7295913585228</v>
      </c>
      <c r="AC22" s="101">
        <f>('IS (F1Q23)'!AC9/AC51)</f>
        <v>1521.5144011917448</v>
      </c>
      <c r="AD22" s="101">
        <f>('IS (F1Q23)'!AD9/AD51)</f>
        <v>1552.6253932803695</v>
      </c>
      <c r="AE22" s="101">
        <f>('IS (F1Q23)'!AE9/AE51)</f>
        <v>1706.913872434267</v>
      </c>
      <c r="AF22" s="101">
        <f>('IS (F1Q23)'!AF9/AF51)</f>
        <v>1630.9788076117911</v>
      </c>
      <c r="AG22" s="169">
        <f t="shared" ref="AG22:AG29" si="8">AF22</f>
        <v>1630.9788076117911</v>
      </c>
      <c r="AH22" s="101">
        <f>('IS (F1Q23)'!AH9/AH51)</f>
        <v>1670.9406203449312</v>
      </c>
      <c r="AI22" s="101">
        <f>('IS (F1Q23)'!AI9/AI51)</f>
        <v>1725.6147957440937</v>
      </c>
      <c r="AJ22" s="101">
        <f>('IS (F1Q23)'!AJ9/AJ51)</f>
        <v>1913.8494239284767</v>
      </c>
      <c r="AK22" s="101">
        <f>('IS (F1Q23)'!AK9/AK51)</f>
        <v>1834.2293737673504</v>
      </c>
      <c r="AL22" s="169">
        <f t="shared" ref="AL22:AL29" si="9">AK22</f>
        <v>1834.2293737673504</v>
      </c>
      <c r="AM22" s="101">
        <f>('IS (F1Q23)'!AM9/AM51)</f>
        <v>1816.0028757911709</v>
      </c>
      <c r="AN22" s="101">
        <f>('IS (F1Q23)'!AN9/AN51)</f>
        <v>1871.4192626322758</v>
      </c>
      <c r="AO22" s="101">
        <f>('IS (F1Q23)'!AO9/AO51)</f>
        <v>2063.1651554191294</v>
      </c>
      <c r="AP22" s="101">
        <f>('IS (F1Q23)'!AP9/AP51)</f>
        <v>1968.2245786318954</v>
      </c>
      <c r="AQ22" s="169">
        <f t="shared" ref="AQ22:AQ29" si="10">AP22</f>
        <v>1968.2245786318954</v>
      </c>
      <c r="AR22" s="101">
        <f>('IS (F1Q23)'!AR9/AR51)</f>
        <v>1947.0008975922613</v>
      </c>
      <c r="AS22" s="101">
        <f>('IS (F1Q23)'!AS9/AS51)</f>
        <v>1995.4523361557924</v>
      </c>
      <c r="AT22" s="101">
        <f>('IS (F1Q23)'!AT9/AT51)</f>
        <v>2189.214645161147</v>
      </c>
      <c r="AU22" s="101">
        <f>('IS (F1Q23)'!AU9/AU51)</f>
        <v>2095.2211779353547</v>
      </c>
      <c r="AV22" s="169">
        <f t="shared" ref="AV22:AV29" si="11">AU22</f>
        <v>2095.2211779353547</v>
      </c>
    </row>
    <row r="23" spans="1:48" outlineLevel="1" x14ac:dyDescent="0.3">
      <c r="A23" s="161"/>
      <c r="B23" s="580" t="s">
        <v>229</v>
      </c>
      <c r="C23" s="581"/>
      <c r="D23" s="101">
        <v>2564</v>
      </c>
      <c r="E23" s="101">
        <v>2569.3000000000002</v>
      </c>
      <c r="F23" s="101">
        <v>3238.7</v>
      </c>
      <c r="G23" s="101">
        <v>1753.7</v>
      </c>
      <c r="H23" s="169">
        <f t="shared" si="3"/>
        <v>1753.7</v>
      </c>
      <c r="I23" s="101">
        <v>1637.8</v>
      </c>
      <c r="J23" s="101">
        <v>1539</v>
      </c>
      <c r="K23" s="101">
        <v>1511.7</v>
      </c>
      <c r="L23" s="101">
        <v>1160.7</v>
      </c>
      <c r="M23" s="169">
        <f t="shared" si="4"/>
        <v>1160.7</v>
      </c>
      <c r="N23" s="101">
        <v>1616.9</v>
      </c>
      <c r="O23" s="101">
        <v>1771.6</v>
      </c>
      <c r="P23" s="101">
        <v>1791.4</v>
      </c>
      <c r="Q23" s="101">
        <v>1973.2</v>
      </c>
      <c r="R23" s="169">
        <f t="shared" si="5"/>
        <v>1973.2</v>
      </c>
      <c r="S23" s="101">
        <v>2444.3000000000002</v>
      </c>
      <c r="T23" s="101">
        <v>2092.4</v>
      </c>
      <c r="U23" s="101">
        <v>2068.9</v>
      </c>
      <c r="V23" s="101">
        <v>2137.1</v>
      </c>
      <c r="W23" s="169">
        <f t="shared" si="6"/>
        <v>2137.1</v>
      </c>
      <c r="X23" s="101">
        <v>2089.6</v>
      </c>
      <c r="Y23" s="33">
        <f>X23</f>
        <v>2089.6</v>
      </c>
      <c r="Z23" s="33">
        <f>Y23</f>
        <v>2089.6</v>
      </c>
      <c r="AA23" s="33">
        <f>Z23</f>
        <v>2089.6</v>
      </c>
      <c r="AB23" s="169">
        <f t="shared" si="7"/>
        <v>2089.6</v>
      </c>
      <c r="AC23" s="33">
        <f>AA23</f>
        <v>2089.6</v>
      </c>
      <c r="AD23" s="33">
        <f>AC23</f>
        <v>2089.6</v>
      </c>
      <c r="AE23" s="33">
        <f>AD23</f>
        <v>2089.6</v>
      </c>
      <c r="AF23" s="33">
        <f>AE23</f>
        <v>2089.6</v>
      </c>
      <c r="AG23" s="169">
        <f t="shared" si="8"/>
        <v>2089.6</v>
      </c>
      <c r="AH23" s="33">
        <f>AF23</f>
        <v>2089.6</v>
      </c>
      <c r="AI23" s="33">
        <f>AH23</f>
        <v>2089.6</v>
      </c>
      <c r="AJ23" s="33">
        <f>AI23</f>
        <v>2089.6</v>
      </c>
      <c r="AK23" s="33">
        <f>AJ23</f>
        <v>2089.6</v>
      </c>
      <c r="AL23" s="169">
        <f t="shared" si="9"/>
        <v>2089.6</v>
      </c>
      <c r="AM23" s="33">
        <f>AK23</f>
        <v>2089.6</v>
      </c>
      <c r="AN23" s="33">
        <f>AM23</f>
        <v>2089.6</v>
      </c>
      <c r="AO23" s="33">
        <f>AN23</f>
        <v>2089.6</v>
      </c>
      <c r="AP23" s="33">
        <f>AO23</f>
        <v>2089.6</v>
      </c>
      <c r="AQ23" s="169">
        <f t="shared" si="10"/>
        <v>2089.6</v>
      </c>
      <c r="AR23" s="33">
        <f>AP23</f>
        <v>2089.6</v>
      </c>
      <c r="AS23" s="33">
        <f>AR23</f>
        <v>2089.6</v>
      </c>
      <c r="AT23" s="33">
        <f>AS23</f>
        <v>2089.6</v>
      </c>
      <c r="AU23" s="33">
        <f>AT23</f>
        <v>2089.6</v>
      </c>
      <c r="AV23" s="169">
        <f t="shared" si="11"/>
        <v>2089.6</v>
      </c>
    </row>
    <row r="24" spans="1:48" outlineLevel="1" x14ac:dyDescent="0.3">
      <c r="A24" s="161"/>
      <c r="B24" s="200" t="s">
        <v>230</v>
      </c>
      <c r="C24" s="201"/>
      <c r="D24" s="101">
        <v>0</v>
      </c>
      <c r="E24" s="101">
        <v>0</v>
      </c>
      <c r="F24" s="101">
        <v>0</v>
      </c>
      <c r="G24" s="101">
        <v>664.6</v>
      </c>
      <c r="H24" s="169">
        <f t="shared" si="3"/>
        <v>664.6</v>
      </c>
      <c r="I24" s="101">
        <v>578.5</v>
      </c>
      <c r="J24" s="101">
        <v>596.1</v>
      </c>
      <c r="K24" s="101">
        <v>652.1</v>
      </c>
      <c r="L24" s="101">
        <v>696</v>
      </c>
      <c r="M24" s="169">
        <f t="shared" si="4"/>
        <v>696</v>
      </c>
      <c r="N24" s="101">
        <v>685.3</v>
      </c>
      <c r="O24" s="101">
        <v>646.1</v>
      </c>
      <c r="P24" s="101">
        <v>741</v>
      </c>
      <c r="Q24" s="101">
        <v>772.3</v>
      </c>
      <c r="R24" s="169">
        <f t="shared" si="5"/>
        <v>772.3</v>
      </c>
      <c r="S24" s="101">
        <v>664.1</v>
      </c>
      <c r="T24" s="101">
        <v>665.9</v>
      </c>
      <c r="U24" s="101">
        <v>706.8</v>
      </c>
      <c r="V24" s="101">
        <v>761.7</v>
      </c>
      <c r="W24" s="169">
        <f t="shared" si="6"/>
        <v>761.7</v>
      </c>
      <c r="X24" s="101">
        <v>664.6</v>
      </c>
      <c r="Y24" s="33">
        <f t="shared" ref="Y24:AA25" si="12">X24</f>
        <v>664.6</v>
      </c>
      <c r="Z24" s="33">
        <f t="shared" si="12"/>
        <v>664.6</v>
      </c>
      <c r="AA24" s="33">
        <f t="shared" si="12"/>
        <v>664.6</v>
      </c>
      <c r="AB24" s="169">
        <f t="shared" si="7"/>
        <v>664.6</v>
      </c>
      <c r="AC24" s="33">
        <f>AA24</f>
        <v>664.6</v>
      </c>
      <c r="AD24" s="33">
        <f t="shared" ref="AD24:AF25" si="13">AC24</f>
        <v>664.6</v>
      </c>
      <c r="AE24" s="33">
        <f t="shared" si="13"/>
        <v>664.6</v>
      </c>
      <c r="AF24" s="33">
        <f t="shared" si="13"/>
        <v>664.6</v>
      </c>
      <c r="AG24" s="169">
        <f t="shared" si="8"/>
        <v>664.6</v>
      </c>
      <c r="AH24" s="33">
        <f>AF24</f>
        <v>664.6</v>
      </c>
      <c r="AI24" s="33">
        <f t="shared" ref="AI24:AK25" si="14">AH24</f>
        <v>664.6</v>
      </c>
      <c r="AJ24" s="33">
        <f t="shared" si="14"/>
        <v>664.6</v>
      </c>
      <c r="AK24" s="33">
        <f t="shared" si="14"/>
        <v>664.6</v>
      </c>
      <c r="AL24" s="169">
        <f t="shared" si="9"/>
        <v>664.6</v>
      </c>
      <c r="AM24" s="33">
        <f>AK24</f>
        <v>664.6</v>
      </c>
      <c r="AN24" s="33">
        <f t="shared" ref="AN24:AP25" si="15">AM24</f>
        <v>664.6</v>
      </c>
      <c r="AO24" s="33">
        <f t="shared" si="15"/>
        <v>664.6</v>
      </c>
      <c r="AP24" s="33">
        <f t="shared" si="15"/>
        <v>664.6</v>
      </c>
      <c r="AQ24" s="169">
        <f t="shared" si="10"/>
        <v>664.6</v>
      </c>
      <c r="AR24" s="33">
        <f>AP24</f>
        <v>664.6</v>
      </c>
      <c r="AS24" s="33">
        <f t="shared" ref="AS24:AU25" si="16">AR24</f>
        <v>664.6</v>
      </c>
      <c r="AT24" s="33">
        <f t="shared" si="16"/>
        <v>664.6</v>
      </c>
      <c r="AU24" s="33">
        <f t="shared" si="16"/>
        <v>664.6</v>
      </c>
      <c r="AV24" s="169">
        <f t="shared" si="11"/>
        <v>664.6</v>
      </c>
    </row>
    <row r="25" spans="1:48" outlineLevel="1" x14ac:dyDescent="0.3">
      <c r="A25" s="161"/>
      <c r="B25" s="200" t="s">
        <v>231</v>
      </c>
      <c r="C25" s="201"/>
      <c r="D25" s="101">
        <v>0</v>
      </c>
      <c r="E25" s="101">
        <v>0</v>
      </c>
      <c r="F25" s="101">
        <v>0</v>
      </c>
      <c r="G25" s="101">
        <v>1291.7</v>
      </c>
      <c r="H25" s="169">
        <f t="shared" si="3"/>
        <v>1291.7</v>
      </c>
      <c r="I25" s="101">
        <v>1414</v>
      </c>
      <c r="J25" s="101">
        <v>86.7</v>
      </c>
      <c r="K25" s="101">
        <v>90.9</v>
      </c>
      <c r="L25" s="101">
        <v>98.2</v>
      </c>
      <c r="M25" s="169">
        <f t="shared" si="4"/>
        <v>98.2</v>
      </c>
      <c r="N25" s="101">
        <v>149.69999999999999</v>
      </c>
      <c r="O25" s="101">
        <v>117</v>
      </c>
      <c r="P25" s="101">
        <v>204.8</v>
      </c>
      <c r="Q25" s="101">
        <v>348</v>
      </c>
      <c r="R25" s="169">
        <f t="shared" si="5"/>
        <v>348</v>
      </c>
      <c r="S25" s="101"/>
      <c r="T25" s="101">
        <f>S25</f>
        <v>0</v>
      </c>
      <c r="U25" s="101">
        <f>T25</f>
        <v>0</v>
      </c>
      <c r="V25" s="101">
        <f>U25</f>
        <v>0</v>
      </c>
      <c r="W25" s="169">
        <f t="shared" si="6"/>
        <v>0</v>
      </c>
      <c r="X25" s="101">
        <v>0</v>
      </c>
      <c r="Y25" s="33">
        <f t="shared" si="12"/>
        <v>0</v>
      </c>
      <c r="Z25" s="33">
        <f t="shared" si="12"/>
        <v>0</v>
      </c>
      <c r="AA25" s="33">
        <f t="shared" si="12"/>
        <v>0</v>
      </c>
      <c r="AB25" s="169">
        <f t="shared" si="7"/>
        <v>0</v>
      </c>
      <c r="AC25" s="33">
        <f>AA25</f>
        <v>0</v>
      </c>
      <c r="AD25" s="33">
        <f t="shared" si="13"/>
        <v>0</v>
      </c>
      <c r="AE25" s="33">
        <f t="shared" si="13"/>
        <v>0</v>
      </c>
      <c r="AF25" s="33">
        <f t="shared" si="13"/>
        <v>0</v>
      </c>
      <c r="AG25" s="169">
        <f t="shared" si="8"/>
        <v>0</v>
      </c>
      <c r="AH25" s="33">
        <f>AF25</f>
        <v>0</v>
      </c>
      <c r="AI25" s="33">
        <f t="shared" si="14"/>
        <v>0</v>
      </c>
      <c r="AJ25" s="33">
        <f t="shared" si="14"/>
        <v>0</v>
      </c>
      <c r="AK25" s="33">
        <f t="shared" si="14"/>
        <v>0</v>
      </c>
      <c r="AL25" s="169">
        <f t="shared" si="9"/>
        <v>0</v>
      </c>
      <c r="AM25" s="33">
        <f>AK25</f>
        <v>0</v>
      </c>
      <c r="AN25" s="33">
        <f t="shared" si="15"/>
        <v>0</v>
      </c>
      <c r="AO25" s="33">
        <f t="shared" si="15"/>
        <v>0</v>
      </c>
      <c r="AP25" s="33">
        <f t="shared" si="15"/>
        <v>0</v>
      </c>
      <c r="AQ25" s="169">
        <f t="shared" si="10"/>
        <v>0</v>
      </c>
      <c r="AR25" s="33">
        <f>AP25</f>
        <v>0</v>
      </c>
      <c r="AS25" s="33">
        <f t="shared" si="16"/>
        <v>0</v>
      </c>
      <c r="AT25" s="33">
        <f t="shared" si="16"/>
        <v>0</v>
      </c>
      <c r="AU25" s="33">
        <f t="shared" si="16"/>
        <v>0</v>
      </c>
      <c r="AV25" s="169">
        <f t="shared" si="11"/>
        <v>0</v>
      </c>
    </row>
    <row r="26" spans="1:48" outlineLevel="1" x14ac:dyDescent="0.3">
      <c r="A26" s="161"/>
      <c r="B26" s="200" t="s">
        <v>232</v>
      </c>
      <c r="C26" s="201"/>
      <c r="D26" s="101">
        <v>0</v>
      </c>
      <c r="E26" s="101">
        <v>0</v>
      </c>
      <c r="F26" s="101">
        <v>0</v>
      </c>
      <c r="G26" s="101">
        <v>0</v>
      </c>
      <c r="H26" s="169">
        <f t="shared" si="3"/>
        <v>0</v>
      </c>
      <c r="I26" s="101">
        <v>1268.9000000000001</v>
      </c>
      <c r="J26" s="101">
        <v>1253.5</v>
      </c>
      <c r="K26" s="101">
        <v>1237.0999999999999</v>
      </c>
      <c r="L26" s="101">
        <v>1248.8</v>
      </c>
      <c r="M26" s="169">
        <f t="shared" si="4"/>
        <v>1248.8</v>
      </c>
      <c r="N26" s="101">
        <v>1267.5999999999999</v>
      </c>
      <c r="O26" s="101">
        <v>1296.4000000000001</v>
      </c>
      <c r="P26" s="101">
        <v>1308.4000000000001</v>
      </c>
      <c r="Q26" s="101">
        <v>1251.3</v>
      </c>
      <c r="R26" s="169">
        <f t="shared" si="5"/>
        <v>1251.3</v>
      </c>
      <c r="S26" s="101">
        <v>1253.3</v>
      </c>
      <c r="T26" s="101">
        <v>1236.3</v>
      </c>
      <c r="U26" s="101">
        <v>1214.8</v>
      </c>
      <c r="V26" s="101">
        <v>1245.7</v>
      </c>
      <c r="W26" s="169">
        <f t="shared" si="6"/>
        <v>1245.7</v>
      </c>
      <c r="X26" s="101">
        <v>1257.5</v>
      </c>
      <c r="Y26" s="33">
        <f>X26*0.996</f>
        <v>1252.47</v>
      </c>
      <c r="Z26" s="33">
        <f>Y26*0.996</f>
        <v>1247.46012</v>
      </c>
      <c r="AA26" s="33">
        <f>Z26*0.996</f>
        <v>1242.4702795199998</v>
      </c>
      <c r="AB26" s="169">
        <f t="shared" si="7"/>
        <v>1242.4702795199998</v>
      </c>
      <c r="AC26" s="33">
        <f>AA26*0.996</f>
        <v>1237.5003984019199</v>
      </c>
      <c r="AD26" s="33">
        <f>AC26*0.996</f>
        <v>1232.5503968083121</v>
      </c>
      <c r="AE26" s="33">
        <f>AD26*0.996</f>
        <v>1227.6201952210788</v>
      </c>
      <c r="AF26" s="33">
        <f>AE26*0.996</f>
        <v>1222.7097144401944</v>
      </c>
      <c r="AG26" s="169">
        <f t="shared" si="8"/>
        <v>1222.7097144401944</v>
      </c>
      <c r="AH26" s="33">
        <f>AF26*0.996</f>
        <v>1217.8188755824335</v>
      </c>
      <c r="AI26" s="33">
        <f>AH26*0.996</f>
        <v>1212.9476000801037</v>
      </c>
      <c r="AJ26" s="33">
        <f>AI26*0.996</f>
        <v>1208.0958096797833</v>
      </c>
      <c r="AK26" s="33">
        <f>AJ26*0.996</f>
        <v>1203.2634264410642</v>
      </c>
      <c r="AL26" s="169">
        <f t="shared" si="9"/>
        <v>1203.2634264410642</v>
      </c>
      <c r="AM26" s="33">
        <f>AK26*0.996</f>
        <v>1198.4503727352999</v>
      </c>
      <c r="AN26" s="33">
        <f>AM26*0.996</f>
        <v>1193.6565712443587</v>
      </c>
      <c r="AO26" s="33">
        <f>AN26*0.996</f>
        <v>1188.8819449593814</v>
      </c>
      <c r="AP26" s="33">
        <f>AO26*0.996</f>
        <v>1184.1264171795438</v>
      </c>
      <c r="AQ26" s="169">
        <f t="shared" si="10"/>
        <v>1184.1264171795438</v>
      </c>
      <c r="AR26" s="33">
        <f>AP26*0.996</f>
        <v>1179.3899115108256</v>
      </c>
      <c r="AS26" s="33">
        <f>AR26*0.996</f>
        <v>1174.6723518647823</v>
      </c>
      <c r="AT26" s="33">
        <f>AS26*0.996</f>
        <v>1169.9736624573231</v>
      </c>
      <c r="AU26" s="33">
        <f>AT26*0.996</f>
        <v>1165.2937678074939</v>
      </c>
      <c r="AV26" s="169">
        <f t="shared" si="11"/>
        <v>1165.2937678074939</v>
      </c>
    </row>
    <row r="27" spans="1:48" outlineLevel="1" x14ac:dyDescent="0.3">
      <c r="A27" s="161"/>
      <c r="B27" s="200" t="s">
        <v>233</v>
      </c>
      <c r="C27" s="201"/>
      <c r="D27" s="101">
        <v>1554.2</v>
      </c>
      <c r="E27" s="101">
        <v>1311.4</v>
      </c>
      <c r="F27" s="101">
        <v>1300.2</v>
      </c>
      <c r="G27" s="101">
        <v>1269</v>
      </c>
      <c r="H27" s="169">
        <f t="shared" si="3"/>
        <v>1269</v>
      </c>
      <c r="I27" s="101">
        <v>1694.1</v>
      </c>
      <c r="J27" s="101">
        <v>1436.3</v>
      </c>
      <c r="K27" s="101">
        <v>1463.3</v>
      </c>
      <c r="L27" s="101">
        <v>1456.5</v>
      </c>
      <c r="M27" s="169">
        <f t="shared" si="4"/>
        <v>1456.5</v>
      </c>
      <c r="N27" s="101">
        <v>1871.2</v>
      </c>
      <c r="O27" s="101">
        <v>1622.1</v>
      </c>
      <c r="P27" s="101">
        <v>1628.3</v>
      </c>
      <c r="Q27" s="101">
        <v>1596.1</v>
      </c>
      <c r="R27" s="169">
        <f t="shared" si="5"/>
        <v>1596.1</v>
      </c>
      <c r="S27" s="101">
        <v>2070.6999999999998</v>
      </c>
      <c r="T27" s="101">
        <v>1781.6</v>
      </c>
      <c r="U27" s="101">
        <v>1723</v>
      </c>
      <c r="V27" s="101">
        <v>1641.9</v>
      </c>
      <c r="W27" s="169">
        <f t="shared" si="6"/>
        <v>1641.9</v>
      </c>
      <c r="X27" s="101">
        <v>2137</v>
      </c>
      <c r="Y27" s="33">
        <f>X27*0.85</f>
        <v>1816.45</v>
      </c>
      <c r="Z27" s="33">
        <f>Y27*0.99</f>
        <v>1798.2855</v>
      </c>
      <c r="AA27" s="33">
        <f>Z27*0.99</f>
        <v>1780.302645</v>
      </c>
      <c r="AB27" s="169">
        <f t="shared" si="7"/>
        <v>1780.302645</v>
      </c>
      <c r="AC27" s="33">
        <f>AA27*1.3</f>
        <v>2314.3934385000002</v>
      </c>
      <c r="AD27" s="33">
        <f>AC27*0.85</f>
        <v>1967.2344227250001</v>
      </c>
      <c r="AE27" s="33">
        <f>AD27*0.99</f>
        <v>1947.56207849775</v>
      </c>
      <c r="AF27" s="33">
        <f>AE27*0.99</f>
        <v>1928.0864577127725</v>
      </c>
      <c r="AG27" s="169">
        <f t="shared" si="8"/>
        <v>1928.0864577127725</v>
      </c>
      <c r="AH27" s="33">
        <f>AF27*1.3</f>
        <v>2506.5123950266043</v>
      </c>
      <c r="AI27" s="33">
        <f>AH27*0.85</f>
        <v>2130.5355357726135</v>
      </c>
      <c r="AJ27" s="33">
        <f>AI27*0.99</f>
        <v>2109.2301804148874</v>
      </c>
      <c r="AK27" s="33">
        <f>AJ27*0.99</f>
        <v>2088.1378786107384</v>
      </c>
      <c r="AL27" s="169">
        <f t="shared" si="9"/>
        <v>2088.1378786107384</v>
      </c>
      <c r="AM27" s="33">
        <f>AK27*1.3</f>
        <v>2714.57924219396</v>
      </c>
      <c r="AN27" s="33">
        <f>AM27*0.85</f>
        <v>2307.3923558648657</v>
      </c>
      <c r="AO27" s="33">
        <f>AN27*0.99</f>
        <v>2284.3184323062169</v>
      </c>
      <c r="AP27" s="33">
        <f>AO27*0.99</f>
        <v>2261.4752479831545</v>
      </c>
      <c r="AQ27" s="169">
        <f t="shared" si="10"/>
        <v>2261.4752479831545</v>
      </c>
      <c r="AR27" s="33">
        <f>AP27*1.3</f>
        <v>2939.9178223781009</v>
      </c>
      <c r="AS27" s="33">
        <f>AR27*0.85</f>
        <v>2498.9301490213857</v>
      </c>
      <c r="AT27" s="33">
        <f>AS27*0.99</f>
        <v>2473.9408475311716</v>
      </c>
      <c r="AU27" s="33">
        <f>AT27*0.99</f>
        <v>2449.2014390558597</v>
      </c>
      <c r="AV27" s="169">
        <f t="shared" si="11"/>
        <v>2449.2014390558597</v>
      </c>
    </row>
    <row r="28" spans="1:48" outlineLevel="1" x14ac:dyDescent="0.3">
      <c r="A28" s="161"/>
      <c r="B28" s="200" t="s">
        <v>234</v>
      </c>
      <c r="C28" s="201"/>
      <c r="D28" s="101">
        <v>0</v>
      </c>
      <c r="E28" s="101">
        <f>75+0</f>
        <v>75</v>
      </c>
      <c r="F28" s="101">
        <v>0</v>
      </c>
      <c r="G28" s="101">
        <v>0</v>
      </c>
      <c r="H28" s="169">
        <f t="shared" si="3"/>
        <v>0</v>
      </c>
      <c r="I28" s="101">
        <f>497.9+498.7</f>
        <v>996.59999999999991</v>
      </c>
      <c r="J28" s="101">
        <f>1107.1+1249.4</f>
        <v>2356.5</v>
      </c>
      <c r="K28" s="101">
        <f>936.5+1249.6</f>
        <v>2186.1</v>
      </c>
      <c r="L28" s="101">
        <f>438.8+1249.9</f>
        <v>1688.7</v>
      </c>
      <c r="M28" s="169">
        <f t="shared" si="4"/>
        <v>1688.7</v>
      </c>
      <c r="N28" s="101">
        <f>492.6+750</f>
        <v>1242.5999999999999</v>
      </c>
      <c r="O28" s="101">
        <v>18.3</v>
      </c>
      <c r="P28" s="101">
        <v>998.9</v>
      </c>
      <c r="Q28" s="101">
        <v>998.9</v>
      </c>
      <c r="R28" s="169">
        <f t="shared" si="5"/>
        <v>998.9</v>
      </c>
      <c r="S28" s="101">
        <f>200+999.3</f>
        <v>1199.3</v>
      </c>
      <c r="T28" s="101">
        <v>1998.6</v>
      </c>
      <c r="U28" s="101">
        <f>200+999.1</f>
        <v>1199.0999999999999</v>
      </c>
      <c r="V28" s="101">
        <f>175+1749</f>
        <v>1924</v>
      </c>
      <c r="W28" s="169">
        <f t="shared" si="6"/>
        <v>1924</v>
      </c>
      <c r="X28" s="101">
        <v>1749.3</v>
      </c>
      <c r="Y28" s="33">
        <f>X28-Y59+Y60</f>
        <v>750.3</v>
      </c>
      <c r="Z28" s="33">
        <f>Y28-Z59+Z60</f>
        <v>1889.3</v>
      </c>
      <c r="AA28" s="33">
        <f>Z28-AA59+AA60</f>
        <v>1889.3</v>
      </c>
      <c r="AB28" s="169">
        <f t="shared" si="7"/>
        <v>1889.3</v>
      </c>
      <c r="AC28" s="33">
        <f>AA28-AC59+AC60</f>
        <v>1139.3</v>
      </c>
      <c r="AD28" s="33">
        <f>AC28-AD59+AD60</f>
        <v>0.29999999999995453</v>
      </c>
      <c r="AE28" s="33">
        <f t="shared" ref="AE28:AF28" si="17">AD28-AE59+AE60</f>
        <v>0.29999999999995453</v>
      </c>
      <c r="AF28" s="33">
        <f t="shared" si="17"/>
        <v>0.29999999999995453</v>
      </c>
      <c r="AG28" s="169">
        <f t="shared" si="8"/>
        <v>0.29999999999995453</v>
      </c>
      <c r="AH28" s="33">
        <f>AF28-AH59+AH60</f>
        <v>1250.3</v>
      </c>
      <c r="AI28" s="33">
        <f t="shared" ref="AI28:AK28" si="18">AH28-AI59+AI60</f>
        <v>1250.3</v>
      </c>
      <c r="AJ28" s="33">
        <f t="shared" si="18"/>
        <v>2250.3000000000002</v>
      </c>
      <c r="AK28" s="33">
        <f t="shared" si="18"/>
        <v>1500.3000000000002</v>
      </c>
      <c r="AL28" s="169">
        <f t="shared" si="9"/>
        <v>1500.3000000000002</v>
      </c>
      <c r="AM28" s="33">
        <f>AK28-AM59+AM60</f>
        <v>1500.3000000000002</v>
      </c>
      <c r="AN28" s="33">
        <f t="shared" ref="AN28:AP28" si="19">AM28-AN59+AN60</f>
        <v>500.30000000000018</v>
      </c>
      <c r="AO28" s="33">
        <f t="shared" si="19"/>
        <v>500.30000000000018</v>
      </c>
      <c r="AP28" s="33">
        <f t="shared" si="19"/>
        <v>500.30000000000018</v>
      </c>
      <c r="AQ28" s="169">
        <f t="shared" si="10"/>
        <v>500.30000000000018</v>
      </c>
      <c r="AR28" s="33">
        <f>AP28-AR59+AR60</f>
        <v>500.30000000000018</v>
      </c>
      <c r="AS28" s="33">
        <f t="shared" ref="AS28:AU28" si="20">AR28-AS59+AS60</f>
        <v>600.30000000000018</v>
      </c>
      <c r="AT28" s="33">
        <f t="shared" si="20"/>
        <v>600.30000000000018</v>
      </c>
      <c r="AU28" s="33">
        <f t="shared" si="20"/>
        <v>600.30000000000018</v>
      </c>
      <c r="AV28" s="169">
        <f t="shared" si="11"/>
        <v>600.30000000000018</v>
      </c>
    </row>
    <row r="29" spans="1:48" ht="16.2" outlineLevel="1" x14ac:dyDescent="0.45">
      <c r="A29" s="161"/>
      <c r="B29" s="200" t="s">
        <v>235</v>
      </c>
      <c r="C29" s="201"/>
      <c r="D29" s="112">
        <v>208.8</v>
      </c>
      <c r="E29" s="112">
        <v>221</v>
      </c>
      <c r="F29" s="112">
        <v>211.5</v>
      </c>
      <c r="G29" s="112">
        <v>0</v>
      </c>
      <c r="H29" s="262">
        <f t="shared" si="3"/>
        <v>0</v>
      </c>
      <c r="I29" s="112">
        <v>0</v>
      </c>
      <c r="J29" s="112">
        <v>0</v>
      </c>
      <c r="K29" s="112">
        <v>0</v>
      </c>
      <c r="L29" s="112">
        <v>0</v>
      </c>
      <c r="M29" s="262">
        <f t="shared" si="4"/>
        <v>0</v>
      </c>
      <c r="N29" s="112">
        <v>0</v>
      </c>
      <c r="O29" s="112">
        <v>0</v>
      </c>
      <c r="P29" s="112">
        <v>0</v>
      </c>
      <c r="Q29" s="112">
        <v>0</v>
      </c>
      <c r="R29" s="262">
        <f t="shared" si="5"/>
        <v>0</v>
      </c>
      <c r="S29" s="112">
        <v>0</v>
      </c>
      <c r="T29" s="112">
        <v>0</v>
      </c>
      <c r="U29" s="112">
        <v>0</v>
      </c>
      <c r="V29" s="112">
        <v>0</v>
      </c>
      <c r="W29" s="262">
        <f t="shared" si="6"/>
        <v>0</v>
      </c>
      <c r="X29" s="112">
        <v>0</v>
      </c>
      <c r="Y29" s="32">
        <v>0</v>
      </c>
      <c r="Z29" s="32">
        <v>0</v>
      </c>
      <c r="AA29" s="32">
        <v>0</v>
      </c>
      <c r="AB29" s="262">
        <f t="shared" si="7"/>
        <v>0</v>
      </c>
      <c r="AC29" s="32">
        <v>0</v>
      </c>
      <c r="AD29" s="32">
        <v>0</v>
      </c>
      <c r="AE29" s="32">
        <v>0</v>
      </c>
      <c r="AF29" s="32">
        <v>0</v>
      </c>
      <c r="AG29" s="262">
        <f t="shared" si="8"/>
        <v>0</v>
      </c>
      <c r="AH29" s="32">
        <v>0</v>
      </c>
      <c r="AI29" s="32">
        <v>0</v>
      </c>
      <c r="AJ29" s="32">
        <v>0</v>
      </c>
      <c r="AK29" s="32">
        <v>0</v>
      </c>
      <c r="AL29" s="262">
        <f t="shared" si="9"/>
        <v>0</v>
      </c>
      <c r="AM29" s="32">
        <v>0</v>
      </c>
      <c r="AN29" s="32">
        <v>0</v>
      </c>
      <c r="AO29" s="32">
        <v>0</v>
      </c>
      <c r="AP29" s="32">
        <v>0</v>
      </c>
      <c r="AQ29" s="262">
        <f t="shared" si="10"/>
        <v>0</v>
      </c>
      <c r="AR29" s="32">
        <v>0</v>
      </c>
      <c r="AS29" s="32">
        <v>0</v>
      </c>
      <c r="AT29" s="32">
        <v>0</v>
      </c>
      <c r="AU29" s="32">
        <v>0</v>
      </c>
      <c r="AV29" s="262">
        <f t="shared" si="11"/>
        <v>0</v>
      </c>
    </row>
    <row r="30" spans="1:48" outlineLevel="1" x14ac:dyDescent="0.3">
      <c r="A30" s="161"/>
      <c r="B30" s="205" t="s">
        <v>236</v>
      </c>
      <c r="C30" s="201"/>
      <c r="D30" s="116">
        <f t="shared" ref="D30:K30" si="21">SUM(D22:D29)</f>
        <v>5427.5</v>
      </c>
      <c r="E30" s="116">
        <f t="shared" si="21"/>
        <v>5273.4</v>
      </c>
      <c r="F30" s="116">
        <f t="shared" si="21"/>
        <v>5895.8</v>
      </c>
      <c r="G30" s="116">
        <f t="shared" si="21"/>
        <v>6168.7</v>
      </c>
      <c r="H30" s="150">
        <f t="shared" si="21"/>
        <v>6168.7</v>
      </c>
      <c r="I30" s="116">
        <f t="shared" si="21"/>
        <v>8675.5</v>
      </c>
      <c r="J30" s="116">
        <f t="shared" si="21"/>
        <v>8265.7999999999993</v>
      </c>
      <c r="K30" s="116">
        <f t="shared" si="21"/>
        <v>8002</v>
      </c>
      <c r="L30" s="116">
        <f t="shared" ref="L30:AV30" si="22">SUM(L22:L28)</f>
        <v>7346.7999999999993</v>
      </c>
      <c r="M30" s="150">
        <f t="shared" si="22"/>
        <v>7346.7999999999993</v>
      </c>
      <c r="N30" s="116">
        <f t="shared" si="22"/>
        <v>7883.9</v>
      </c>
      <c r="O30" s="116">
        <f t="shared" si="22"/>
        <v>6505.0999999999995</v>
      </c>
      <c r="P30" s="116">
        <f t="shared" si="22"/>
        <v>7799.8</v>
      </c>
      <c r="Q30" s="116">
        <f t="shared" si="22"/>
        <v>8151.4</v>
      </c>
      <c r="R30" s="150">
        <f t="shared" si="22"/>
        <v>8151.4</v>
      </c>
      <c r="S30" s="116">
        <f t="shared" si="22"/>
        <v>8921.1</v>
      </c>
      <c r="T30" s="116">
        <f t="shared" si="22"/>
        <v>9104.3000000000011</v>
      </c>
      <c r="U30" s="116">
        <f t="shared" si="22"/>
        <v>8402.4</v>
      </c>
      <c r="V30" s="116">
        <f t="shared" si="22"/>
        <v>9151.7999999999993</v>
      </c>
      <c r="W30" s="150">
        <f t="shared" si="22"/>
        <v>9151.7999999999993</v>
      </c>
      <c r="X30" s="116">
        <f>SUM(X22:X28)</f>
        <v>9246.2000000000007</v>
      </c>
      <c r="Y30" s="116">
        <f t="shared" si="22"/>
        <v>7993.2219870853787</v>
      </c>
      <c r="Z30" s="116">
        <f t="shared" si="22"/>
        <v>9281.0800492347244</v>
      </c>
      <c r="AA30" s="116">
        <f t="shared" si="22"/>
        <v>9117.0025158785229</v>
      </c>
      <c r="AB30" s="150">
        <f t="shared" si="22"/>
        <v>9117.0025158785229</v>
      </c>
      <c r="AC30" s="116">
        <f t="shared" si="22"/>
        <v>8966.9082380936652</v>
      </c>
      <c r="AD30" s="116">
        <f t="shared" si="22"/>
        <v>7506.9102128136828</v>
      </c>
      <c r="AE30" s="116">
        <f t="shared" si="22"/>
        <v>7636.596146153096</v>
      </c>
      <c r="AF30" s="116">
        <f t="shared" si="22"/>
        <v>7536.2749797647575</v>
      </c>
      <c r="AG30" s="150">
        <f t="shared" si="22"/>
        <v>7536.2749797647575</v>
      </c>
      <c r="AH30" s="116">
        <f t="shared" si="22"/>
        <v>9399.771890953969</v>
      </c>
      <c r="AI30" s="116">
        <f t="shared" si="22"/>
        <v>9073.5979315968107</v>
      </c>
      <c r="AJ30" s="116">
        <f t="shared" si="22"/>
        <v>10235.675414023148</v>
      </c>
      <c r="AK30" s="116">
        <f t="shared" si="22"/>
        <v>9380.1306788191541</v>
      </c>
      <c r="AL30" s="150">
        <f t="shared" si="22"/>
        <v>9380.1306788191541</v>
      </c>
      <c r="AM30" s="116">
        <f t="shared" si="22"/>
        <v>9983.5324907204304</v>
      </c>
      <c r="AN30" s="116">
        <f t="shared" si="22"/>
        <v>8626.9681897415012</v>
      </c>
      <c r="AO30" s="116">
        <f t="shared" si="22"/>
        <v>8790.8655326847256</v>
      </c>
      <c r="AP30" s="116">
        <f t="shared" si="22"/>
        <v>8668.3262437945923</v>
      </c>
      <c r="AQ30" s="150">
        <f t="shared" si="22"/>
        <v>8668.3262437945923</v>
      </c>
      <c r="AR30" s="116">
        <f t="shared" si="22"/>
        <v>9320.8086314811881</v>
      </c>
      <c r="AS30" s="116">
        <f t="shared" si="22"/>
        <v>9023.5548370419601</v>
      </c>
      <c r="AT30" s="116">
        <f t="shared" si="22"/>
        <v>9187.6291551496433</v>
      </c>
      <c r="AU30" s="116">
        <f t="shared" si="22"/>
        <v>9064.2163847987104</v>
      </c>
      <c r="AV30" s="150">
        <f t="shared" si="22"/>
        <v>9064.2163847987104</v>
      </c>
    </row>
    <row r="31" spans="1:48" outlineLevel="1" x14ac:dyDescent="0.3">
      <c r="A31" s="161"/>
      <c r="B31" s="203" t="s">
        <v>237</v>
      </c>
      <c r="C31" s="204"/>
      <c r="D31" s="101">
        <v>9130.7000000000007</v>
      </c>
      <c r="E31" s="101">
        <v>9141.5</v>
      </c>
      <c r="F31" s="101">
        <v>11159.1</v>
      </c>
      <c r="G31" s="101">
        <v>11167</v>
      </c>
      <c r="H31" s="169">
        <f>G31</f>
        <v>11167</v>
      </c>
      <c r="I31" s="101">
        <v>10653.2</v>
      </c>
      <c r="J31" s="101">
        <v>11658.7</v>
      </c>
      <c r="K31" s="101">
        <v>14645.6</v>
      </c>
      <c r="L31" s="101">
        <v>14659.6</v>
      </c>
      <c r="M31" s="169">
        <f>L31</f>
        <v>14659.6</v>
      </c>
      <c r="N31" s="101">
        <v>14673.5</v>
      </c>
      <c r="O31" s="101">
        <v>14630.3</v>
      </c>
      <c r="P31" s="101">
        <v>13619.2</v>
      </c>
      <c r="Q31" s="101">
        <v>13616.9</v>
      </c>
      <c r="R31" s="169">
        <f>Q31</f>
        <v>13616.9</v>
      </c>
      <c r="S31" s="101">
        <v>13586.3</v>
      </c>
      <c r="T31" s="101">
        <v>14014.4</v>
      </c>
      <c r="U31" s="101">
        <v>13930.8</v>
      </c>
      <c r="V31" s="101">
        <v>13119.9</v>
      </c>
      <c r="W31" s="169">
        <f>V31</f>
        <v>13119.9</v>
      </c>
      <c r="X31" s="101">
        <v>13176.7</v>
      </c>
      <c r="Y31" s="33">
        <f>X31-Y60+Y61</f>
        <v>14676.7</v>
      </c>
      <c r="Z31" s="33">
        <f>Y31-Z60+Z61</f>
        <v>13537.7</v>
      </c>
      <c r="AA31" s="33">
        <f>Z31-AA60+AA61</f>
        <v>13537.7</v>
      </c>
      <c r="AB31" s="169">
        <f>AA31</f>
        <v>13537.7</v>
      </c>
      <c r="AC31" s="33">
        <f>AA31-AC60+AC61</f>
        <v>14287.7</v>
      </c>
      <c r="AD31" s="33">
        <f>AC31-AD60+AD61</f>
        <v>15426.7</v>
      </c>
      <c r="AE31" s="33">
        <f>AD31-AE60+AE61</f>
        <v>15426.7</v>
      </c>
      <c r="AF31" s="33">
        <f>AE31-AF60+AF61</f>
        <v>15626.7</v>
      </c>
      <c r="AG31" s="169">
        <f>AF31</f>
        <v>15626.7</v>
      </c>
      <c r="AH31" s="33">
        <f>AF31-AH60+AH61</f>
        <v>14376.7</v>
      </c>
      <c r="AI31" s="33">
        <f>AH31-AI60+AI61</f>
        <v>14376.7</v>
      </c>
      <c r="AJ31" s="33">
        <f>AI31-AJ60+AJ61</f>
        <v>20581.300000000003</v>
      </c>
      <c r="AK31" s="33">
        <f>AJ31-AK60+AK61</f>
        <v>21331.300000000003</v>
      </c>
      <c r="AL31" s="169">
        <f>AK31</f>
        <v>21331.300000000003</v>
      </c>
      <c r="AM31" s="33">
        <f>AK31-AM60+AM61</f>
        <v>21331.300000000003</v>
      </c>
      <c r="AN31" s="33">
        <f>AM31-AN60+AN61</f>
        <v>21331.300000000003</v>
      </c>
      <c r="AO31" s="33">
        <f>AN31-AO60+AO61</f>
        <v>21331.300000000003</v>
      </c>
      <c r="AP31" s="33">
        <f>AO31-AP60+AP61</f>
        <v>21331.300000000003</v>
      </c>
      <c r="AQ31" s="169">
        <f>AP31</f>
        <v>21331.300000000003</v>
      </c>
      <c r="AR31" s="33">
        <f>AP31-AR60+AR61</f>
        <v>21331.300000000003</v>
      </c>
      <c r="AS31" s="33">
        <f>AR31-AS60+AS61</f>
        <v>21231.300000000003</v>
      </c>
      <c r="AT31" s="33">
        <f>AS31-AT60+AT61</f>
        <v>21231.300000000003</v>
      </c>
      <c r="AU31" s="33">
        <f>AT31-AU60+AU61</f>
        <v>21231.300000000003</v>
      </c>
      <c r="AV31" s="169">
        <f>AU31</f>
        <v>21231.300000000003</v>
      </c>
    </row>
    <row r="32" spans="1:48" outlineLevel="1" x14ac:dyDescent="0.3">
      <c r="A32" s="161"/>
      <c r="B32" s="200" t="s">
        <v>238</v>
      </c>
      <c r="C32" s="207"/>
      <c r="D32" s="101">
        <v>0</v>
      </c>
      <c r="E32" s="101">
        <v>0</v>
      </c>
      <c r="F32" s="101">
        <v>0</v>
      </c>
      <c r="G32" s="101">
        <v>0</v>
      </c>
      <c r="H32" s="169">
        <f>G32</f>
        <v>0</v>
      </c>
      <c r="I32" s="101">
        <v>7711.7</v>
      </c>
      <c r="J32" s="101">
        <v>7650.4</v>
      </c>
      <c r="K32" s="101">
        <v>7653.6</v>
      </c>
      <c r="L32" s="101">
        <v>7661.7</v>
      </c>
      <c r="M32" s="169">
        <f>L32</f>
        <v>7661.7</v>
      </c>
      <c r="N32" s="101">
        <v>7754.5</v>
      </c>
      <c r="O32" s="101">
        <v>7577.7</v>
      </c>
      <c r="P32" s="101">
        <v>7597.8</v>
      </c>
      <c r="Q32" s="101">
        <v>7738</v>
      </c>
      <c r="R32" s="169">
        <f>Q32</f>
        <v>7738</v>
      </c>
      <c r="S32" s="101">
        <v>7708</v>
      </c>
      <c r="T32" s="101">
        <v>7668.5</v>
      </c>
      <c r="U32" s="101">
        <v>7554.4</v>
      </c>
      <c r="V32" s="101">
        <v>7515.2</v>
      </c>
      <c r="W32" s="169">
        <f>V32</f>
        <v>7515.2</v>
      </c>
      <c r="X32" s="101">
        <v>7635.4</v>
      </c>
      <c r="Y32" s="33">
        <f t="shared" ref="Y32:AA32" si="23">X32*0.996</f>
        <v>7604.8583999999992</v>
      </c>
      <c r="Z32" s="33">
        <f t="shared" si="23"/>
        <v>7574.4389663999991</v>
      </c>
      <c r="AA32" s="33">
        <f t="shared" si="23"/>
        <v>7544.1412105343989</v>
      </c>
      <c r="AB32" s="169">
        <f>AA32</f>
        <v>7544.1412105343989</v>
      </c>
      <c r="AC32" s="33">
        <f>AA32*0.996</f>
        <v>7513.964645692261</v>
      </c>
      <c r="AD32" s="33">
        <f t="shared" ref="AD32:AF32" si="24">AC32*0.996</f>
        <v>7483.9087871094916</v>
      </c>
      <c r="AE32" s="33">
        <f t="shared" si="24"/>
        <v>7453.9731519610541</v>
      </c>
      <c r="AF32" s="33">
        <f t="shared" si="24"/>
        <v>7424.1572593532101</v>
      </c>
      <c r="AG32" s="169">
        <f>AF32</f>
        <v>7424.1572593532101</v>
      </c>
      <c r="AH32" s="33">
        <f>AF32*0.996</f>
        <v>7394.4606303157971</v>
      </c>
      <c r="AI32" s="33">
        <f t="shared" ref="AI32:AK32" si="25">AH32*0.996</f>
        <v>7364.8827877945341</v>
      </c>
      <c r="AJ32" s="33">
        <f t="shared" si="25"/>
        <v>7335.4232566433557</v>
      </c>
      <c r="AK32" s="33">
        <f t="shared" si="25"/>
        <v>7306.0815636167827</v>
      </c>
      <c r="AL32" s="169">
        <f>AK32</f>
        <v>7306.0815636167827</v>
      </c>
      <c r="AM32" s="33">
        <f>AK32*0.996</f>
        <v>7276.8572373623156</v>
      </c>
      <c r="AN32" s="33">
        <f t="shared" ref="AN32:AP32" si="26">AM32*0.996</f>
        <v>7247.7498084128665</v>
      </c>
      <c r="AO32" s="33">
        <f t="shared" si="26"/>
        <v>7218.7588091792149</v>
      </c>
      <c r="AP32" s="33">
        <f t="shared" si="26"/>
        <v>7189.883773942498</v>
      </c>
      <c r="AQ32" s="169">
        <f>AP32</f>
        <v>7189.883773942498</v>
      </c>
      <c r="AR32" s="33">
        <f>AP32*0.996</f>
        <v>7161.1242388467281</v>
      </c>
      <c r="AS32" s="33">
        <f t="shared" ref="AS32:AU32" si="27">AR32*0.996</f>
        <v>7132.4797418913413</v>
      </c>
      <c r="AT32" s="33">
        <f t="shared" si="27"/>
        <v>7103.9498229237761</v>
      </c>
      <c r="AU32" s="33">
        <f t="shared" si="27"/>
        <v>7075.5340236320808</v>
      </c>
      <c r="AV32" s="169">
        <f>AU32</f>
        <v>7075.5340236320808</v>
      </c>
    </row>
    <row r="33" spans="1:48" outlineLevel="1" x14ac:dyDescent="0.3">
      <c r="A33" s="161"/>
      <c r="B33" s="200" t="s">
        <v>239</v>
      </c>
      <c r="C33" s="207"/>
      <c r="D33" s="101">
        <v>6823.7</v>
      </c>
      <c r="E33" s="101">
        <v>6761.9</v>
      </c>
      <c r="F33" s="101">
        <v>6717.9</v>
      </c>
      <c r="G33" s="101">
        <v>6744.4</v>
      </c>
      <c r="H33" s="169">
        <f>G33</f>
        <v>6744.4</v>
      </c>
      <c r="I33" s="101">
        <v>6748.8</v>
      </c>
      <c r="J33" s="101">
        <v>6685.5</v>
      </c>
      <c r="K33" s="101">
        <v>6642.6</v>
      </c>
      <c r="L33" s="101">
        <v>6598.5</v>
      </c>
      <c r="M33" s="169">
        <f>L33</f>
        <v>6598.5</v>
      </c>
      <c r="N33" s="101">
        <v>6597.7</v>
      </c>
      <c r="O33" s="101">
        <v>6532.1</v>
      </c>
      <c r="P33" s="101">
        <v>6491.4</v>
      </c>
      <c r="Q33" s="101">
        <v>6463</v>
      </c>
      <c r="R33" s="169">
        <f>Q33</f>
        <v>6463</v>
      </c>
      <c r="S33" s="101">
        <v>6447.7</v>
      </c>
      <c r="T33" s="101">
        <v>6381.9</v>
      </c>
      <c r="U33" s="101">
        <v>6333.1</v>
      </c>
      <c r="V33" s="101">
        <v>6279.7</v>
      </c>
      <c r="W33" s="169">
        <f>V33</f>
        <v>6279.7</v>
      </c>
      <c r="X33" s="101">
        <v>6263.2</v>
      </c>
      <c r="Y33" s="33">
        <f>X33*0.995</f>
        <v>6231.884</v>
      </c>
      <c r="Z33" s="33">
        <f>Y33*0.995</f>
        <v>6200.7245800000001</v>
      </c>
      <c r="AA33" s="33">
        <f>Z33*0.995</f>
        <v>6169.7209571000003</v>
      </c>
      <c r="AB33" s="169">
        <f>AA33</f>
        <v>6169.7209571000003</v>
      </c>
      <c r="AC33" s="33">
        <f>AA33*0.995</f>
        <v>6138.8723523144999</v>
      </c>
      <c r="AD33" s="33">
        <f>AC33*0.995</f>
        <v>6108.1779905529274</v>
      </c>
      <c r="AE33" s="33">
        <f>AD33*0.995</f>
        <v>6077.6371006001627</v>
      </c>
      <c r="AF33" s="33">
        <f>AE33*0.995</f>
        <v>6047.2489150971624</v>
      </c>
      <c r="AG33" s="169">
        <f>AF33</f>
        <v>6047.2489150971624</v>
      </c>
      <c r="AH33" s="33">
        <f>AF33*0.995</f>
        <v>6017.0126705216762</v>
      </c>
      <c r="AI33" s="33">
        <f>AH33*0.995</f>
        <v>5986.9276071690674</v>
      </c>
      <c r="AJ33" s="33">
        <f>AI33*0.995</f>
        <v>5956.9929691332218</v>
      </c>
      <c r="AK33" s="33">
        <f>AJ33*0.995</f>
        <v>5927.2080042875559</v>
      </c>
      <c r="AL33" s="169">
        <f>AK33</f>
        <v>5927.2080042875559</v>
      </c>
      <c r="AM33" s="33">
        <f>AK33*0.995</f>
        <v>5897.5719642661179</v>
      </c>
      <c r="AN33" s="33">
        <f>AM33*0.995</f>
        <v>5868.084104444787</v>
      </c>
      <c r="AO33" s="33">
        <f>AN33*0.995</f>
        <v>5838.7436839225629</v>
      </c>
      <c r="AP33" s="33">
        <f>AO33*0.995</f>
        <v>5809.5499655029498</v>
      </c>
      <c r="AQ33" s="169">
        <f>AP33</f>
        <v>5809.5499655029498</v>
      </c>
      <c r="AR33" s="33">
        <f>AP33*0.995</f>
        <v>5780.5022156754349</v>
      </c>
      <c r="AS33" s="33">
        <f>AR33*0.995</f>
        <v>5751.599704597058</v>
      </c>
      <c r="AT33" s="33">
        <f>AS33*0.995</f>
        <v>5722.841706074073</v>
      </c>
      <c r="AU33" s="33">
        <f>AT33*0.995</f>
        <v>5694.2274975437031</v>
      </c>
      <c r="AV33" s="169">
        <f>AU33</f>
        <v>5694.2274975437031</v>
      </c>
    </row>
    <row r="34" spans="1:48" ht="15.75" customHeight="1" outlineLevel="1" x14ac:dyDescent="0.45">
      <c r="A34" s="161"/>
      <c r="B34" s="580" t="s">
        <v>240</v>
      </c>
      <c r="C34" s="581"/>
      <c r="D34" s="112">
        <v>1478.2</v>
      </c>
      <c r="E34" s="112">
        <v>1500.3</v>
      </c>
      <c r="F34" s="112">
        <v>1440.6</v>
      </c>
      <c r="G34" s="112">
        <v>1370.5</v>
      </c>
      <c r="H34" s="262">
        <f>G34</f>
        <v>1370.5</v>
      </c>
      <c r="I34" s="112">
        <v>701.2</v>
      </c>
      <c r="J34" s="112">
        <v>751.4</v>
      </c>
      <c r="K34" s="112">
        <v>821.1</v>
      </c>
      <c r="L34" s="112">
        <v>907.3</v>
      </c>
      <c r="M34" s="262">
        <f>L34</f>
        <v>907.3</v>
      </c>
      <c r="N34" s="112">
        <v>962.8</v>
      </c>
      <c r="O34" s="112">
        <v>774.8</v>
      </c>
      <c r="P34" s="112">
        <v>762.9</v>
      </c>
      <c r="Q34" s="112">
        <v>737.8</v>
      </c>
      <c r="R34" s="262">
        <f>Q34</f>
        <v>737.8</v>
      </c>
      <c r="S34" s="112">
        <v>621.1</v>
      </c>
      <c r="T34" s="112">
        <v>613.6</v>
      </c>
      <c r="U34" s="112">
        <v>594.4</v>
      </c>
      <c r="V34" s="112">
        <v>610.5</v>
      </c>
      <c r="W34" s="262">
        <f>V34</f>
        <v>610.5</v>
      </c>
      <c r="X34" s="112">
        <v>600.5</v>
      </c>
      <c r="Y34" s="32">
        <f>X34</f>
        <v>600.5</v>
      </c>
      <c r="Z34" s="32">
        <f>Y34</f>
        <v>600.5</v>
      </c>
      <c r="AA34" s="32">
        <f>Z34</f>
        <v>600.5</v>
      </c>
      <c r="AB34" s="262">
        <f>AA34</f>
        <v>600.5</v>
      </c>
      <c r="AC34" s="32">
        <f>AA34</f>
        <v>600.5</v>
      </c>
      <c r="AD34" s="32">
        <f>AC34</f>
        <v>600.5</v>
      </c>
      <c r="AE34" s="32">
        <f>AD34</f>
        <v>600.5</v>
      </c>
      <c r="AF34" s="32">
        <f>AE34</f>
        <v>600.5</v>
      </c>
      <c r="AG34" s="262">
        <f>AF34</f>
        <v>600.5</v>
      </c>
      <c r="AH34" s="32">
        <f>AF34</f>
        <v>600.5</v>
      </c>
      <c r="AI34" s="32">
        <f>AH34</f>
        <v>600.5</v>
      </c>
      <c r="AJ34" s="32">
        <f>AI34</f>
        <v>600.5</v>
      </c>
      <c r="AK34" s="32">
        <f>AJ34</f>
        <v>600.5</v>
      </c>
      <c r="AL34" s="262">
        <f>AK34</f>
        <v>600.5</v>
      </c>
      <c r="AM34" s="32">
        <f>AK34</f>
        <v>600.5</v>
      </c>
      <c r="AN34" s="32">
        <f>AM34</f>
        <v>600.5</v>
      </c>
      <c r="AO34" s="32">
        <f>AN34</f>
        <v>600.5</v>
      </c>
      <c r="AP34" s="32">
        <f>AO34</f>
        <v>600.5</v>
      </c>
      <c r="AQ34" s="262">
        <f>AP34</f>
        <v>600.5</v>
      </c>
      <c r="AR34" s="32">
        <f>AP34</f>
        <v>600.5</v>
      </c>
      <c r="AS34" s="32">
        <f>AR34</f>
        <v>600.5</v>
      </c>
      <c r="AT34" s="32">
        <f>AS34</f>
        <v>600.5</v>
      </c>
      <c r="AU34" s="32">
        <f>AT34</f>
        <v>600.5</v>
      </c>
      <c r="AV34" s="262">
        <f>AU34</f>
        <v>600.5</v>
      </c>
    </row>
    <row r="35" spans="1:48" outlineLevel="1" x14ac:dyDescent="0.3">
      <c r="A35" s="161"/>
      <c r="B35" s="619" t="s">
        <v>241</v>
      </c>
      <c r="C35" s="620"/>
      <c r="D35" s="116">
        <f t="shared" ref="D35:AV35" si="28">SUM(D30:D34)</f>
        <v>22860.100000000002</v>
      </c>
      <c r="E35" s="116">
        <f t="shared" si="28"/>
        <v>22677.1</v>
      </c>
      <c r="F35" s="116">
        <f t="shared" si="28"/>
        <v>25213.4</v>
      </c>
      <c r="G35" s="116">
        <f t="shared" si="28"/>
        <v>25450.6</v>
      </c>
      <c r="H35" s="150">
        <f t="shared" si="28"/>
        <v>25450.6</v>
      </c>
      <c r="I35" s="116">
        <f t="shared" si="28"/>
        <v>34490.400000000001</v>
      </c>
      <c r="J35" s="116">
        <f t="shared" si="28"/>
        <v>35011.800000000003</v>
      </c>
      <c r="K35" s="116">
        <f t="shared" si="28"/>
        <v>37764.899999999994</v>
      </c>
      <c r="L35" s="116">
        <f t="shared" si="28"/>
        <v>37173.900000000009</v>
      </c>
      <c r="M35" s="150">
        <f t="shared" si="28"/>
        <v>37173.900000000009</v>
      </c>
      <c r="N35" s="116">
        <f t="shared" si="28"/>
        <v>37872.400000000001</v>
      </c>
      <c r="O35" s="116">
        <f t="shared" si="28"/>
        <v>36020</v>
      </c>
      <c r="P35" s="116">
        <f t="shared" si="28"/>
        <v>36271.1</v>
      </c>
      <c r="Q35" s="116">
        <f t="shared" si="28"/>
        <v>36707.100000000006</v>
      </c>
      <c r="R35" s="150">
        <f t="shared" si="28"/>
        <v>36707.100000000006</v>
      </c>
      <c r="S35" s="116">
        <f t="shared" si="28"/>
        <v>37284.199999999997</v>
      </c>
      <c r="T35" s="116">
        <f t="shared" si="28"/>
        <v>37782.699999999997</v>
      </c>
      <c r="U35" s="116">
        <f t="shared" si="28"/>
        <v>36815.1</v>
      </c>
      <c r="V35" s="116">
        <f t="shared" si="28"/>
        <v>36677.1</v>
      </c>
      <c r="W35" s="150">
        <f t="shared" si="28"/>
        <v>36677.1</v>
      </c>
      <c r="X35" s="116">
        <f>SUM(X30:X34)</f>
        <v>36922</v>
      </c>
      <c r="Y35" s="116">
        <f t="shared" si="28"/>
        <v>37107.164387085373</v>
      </c>
      <c r="Z35" s="116">
        <f t="shared" si="28"/>
        <v>37194.443595634722</v>
      </c>
      <c r="AA35" s="116">
        <f t="shared" si="28"/>
        <v>36969.064683512923</v>
      </c>
      <c r="AB35" s="150">
        <f t="shared" si="28"/>
        <v>36969.064683512923</v>
      </c>
      <c r="AC35" s="116">
        <f t="shared" si="28"/>
        <v>37507.945236100422</v>
      </c>
      <c r="AD35" s="116">
        <f t="shared" si="28"/>
        <v>37126.196990476106</v>
      </c>
      <c r="AE35" s="116">
        <f t="shared" si="28"/>
        <v>37195.406398714316</v>
      </c>
      <c r="AF35" s="116">
        <f t="shared" si="28"/>
        <v>37234.881154215131</v>
      </c>
      <c r="AG35" s="150">
        <f t="shared" si="28"/>
        <v>37234.881154215131</v>
      </c>
      <c r="AH35" s="116">
        <f t="shared" si="28"/>
        <v>37788.445191791441</v>
      </c>
      <c r="AI35" s="116">
        <f t="shared" si="28"/>
        <v>37402.60832656041</v>
      </c>
      <c r="AJ35" s="116">
        <f t="shared" si="28"/>
        <v>44709.891639799731</v>
      </c>
      <c r="AK35" s="116">
        <f t="shared" si="28"/>
        <v>44545.220246723497</v>
      </c>
      <c r="AL35" s="150">
        <f t="shared" si="28"/>
        <v>44545.220246723497</v>
      </c>
      <c r="AM35" s="116">
        <f t="shared" si="28"/>
        <v>45089.761692348868</v>
      </c>
      <c r="AN35" s="116">
        <f t="shared" si="28"/>
        <v>43674.602102599158</v>
      </c>
      <c r="AO35" s="116">
        <f t="shared" si="28"/>
        <v>43780.168025786508</v>
      </c>
      <c r="AP35" s="116">
        <f t="shared" si="28"/>
        <v>43599.55998324004</v>
      </c>
      <c r="AQ35" s="150">
        <f t="shared" si="28"/>
        <v>43599.55998324004</v>
      </c>
      <c r="AR35" s="116">
        <f t="shared" si="28"/>
        <v>44194.235086003355</v>
      </c>
      <c r="AS35" s="116">
        <f t="shared" si="28"/>
        <v>43739.434283530361</v>
      </c>
      <c r="AT35" s="116">
        <f t="shared" si="28"/>
        <v>43846.220684147498</v>
      </c>
      <c r="AU35" s="116">
        <f t="shared" si="28"/>
        <v>43665.777905974493</v>
      </c>
      <c r="AV35" s="150">
        <f t="shared" si="28"/>
        <v>43665.777905974493</v>
      </c>
    </row>
    <row r="36" spans="1:48" ht="17.399999999999999" x14ac:dyDescent="0.45">
      <c r="B36" s="583" t="s">
        <v>242</v>
      </c>
      <c r="C36" s="584"/>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14" t="s">
        <v>408</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580" t="s">
        <v>243</v>
      </c>
      <c r="C37" s="581"/>
      <c r="D37" s="16">
        <f>1.2+41.1</f>
        <v>42.300000000000004</v>
      </c>
      <c r="E37" s="16">
        <f>1.2+41.1</f>
        <v>42.300000000000004</v>
      </c>
      <c r="F37" s="16">
        <f>1.2+41.1</f>
        <v>42.300000000000004</v>
      </c>
      <c r="G37" s="16">
        <f>1.2+41.1</f>
        <v>42.300000000000004</v>
      </c>
      <c r="H37" s="17">
        <f>G37</f>
        <v>42.300000000000004</v>
      </c>
      <c r="I37" s="16">
        <f>1.2+41.1</f>
        <v>42.300000000000004</v>
      </c>
      <c r="J37" s="16">
        <f>1.2+41.1</f>
        <v>42.300000000000004</v>
      </c>
      <c r="K37" s="16">
        <f>1.2+115.4</f>
        <v>116.60000000000001</v>
      </c>
      <c r="L37" s="16">
        <f>1.2+373.9</f>
        <v>375.09999999999997</v>
      </c>
      <c r="M37" s="17">
        <f>L37</f>
        <v>375.09999999999997</v>
      </c>
      <c r="N37" s="16">
        <f>1.2+488.6</f>
        <v>489.8</v>
      </c>
      <c r="O37" s="16">
        <f>1.2+595.4</f>
        <v>596.6</v>
      </c>
      <c r="P37" s="16">
        <f>1.2+729.3</f>
        <v>730.5</v>
      </c>
      <c r="Q37" s="16">
        <f>1.2+846.1</f>
        <v>847.30000000000007</v>
      </c>
      <c r="R37" s="17">
        <f>Q37</f>
        <v>847.30000000000007</v>
      </c>
      <c r="S37" s="16">
        <f>1.2+41.1</f>
        <v>42.300000000000004</v>
      </c>
      <c r="T37" s="16">
        <f>1.1+41.1</f>
        <v>42.2</v>
      </c>
      <c r="U37" s="16">
        <f>1.1+117.1</f>
        <v>118.19999999999999</v>
      </c>
      <c r="V37" s="16">
        <f>1.1+205.3</f>
        <v>206.4</v>
      </c>
      <c r="W37" s="17">
        <f>V37</f>
        <v>206.4</v>
      </c>
      <c r="X37" s="101">
        <f>1.1+67.2</f>
        <v>68.3</v>
      </c>
      <c r="Y37" s="16">
        <f>+X37+'CFS (F1Q23)'!Y12+'CFS (F1Q23)'!Y35</f>
        <v>73.126081587943901</v>
      </c>
      <c r="Z37" s="16">
        <f>+Y37+'CFS (F1Q23)'!Z12+'CFS (F1Q23)'!Z35</f>
        <v>78.565039907398045</v>
      </c>
      <c r="AA37" s="16">
        <f>+Z37+'CFS (F1Q23)'!AA12+'CFS (F1Q23)'!AA35</f>
        <v>84.368571763346523</v>
      </c>
      <c r="AB37" s="17">
        <f>AA37</f>
        <v>84.368571763346523</v>
      </c>
      <c r="AC37" s="16">
        <f>+AA37+'CFS (F1Q23)'!AC12+'CFS (F1Q23)'!AC35</f>
        <v>90.414924845225414</v>
      </c>
      <c r="AD37" s="16">
        <f>+AC37+'CFS (F1Q23)'!AD12+'CFS (F1Q23)'!AD35</f>
        <v>95.948034851835004</v>
      </c>
      <c r="AE37" s="16">
        <f>+AD37+'CFS (F1Q23)'!AE12+'CFS (F1Q23)'!AE35</f>
        <v>102.07513268155331</v>
      </c>
      <c r="AF37" s="16">
        <f>+AE37+'CFS (F1Q23)'!AF12+'CFS (F1Q23)'!AF35</f>
        <v>108.45276624679811</v>
      </c>
      <c r="AG37" s="17">
        <f>AF37</f>
        <v>108.45276624679811</v>
      </c>
      <c r="AH37" s="16">
        <f>+AF37+'CFS (F1Q23)'!AH12+'CFS (F1Q23)'!AH35</f>
        <v>115.0438568009359</v>
      </c>
      <c r="AI37" s="16">
        <f>+AH37+'CFS (F1Q23)'!AI12+'CFS (F1Q23)'!AI35</f>
        <v>121.27505474483846</v>
      </c>
      <c r="AJ37" s="16">
        <f>+AI37+'CFS (F1Q23)'!AJ12+'CFS (F1Q23)'!AJ35</f>
        <v>128.12705077739409</v>
      </c>
      <c r="AK37" s="16">
        <f>+AJ37+'CFS (F1Q23)'!AK12+'CFS (F1Q23)'!AK35</f>
        <v>135.23290497133468</v>
      </c>
      <c r="AL37" s="17">
        <f>AK37</f>
        <v>135.23290497133468</v>
      </c>
      <c r="AM37" s="16">
        <f>+AK37+'CFS (F1Q23)'!AM12+'CFS (F1Q23)'!AM35</f>
        <v>142.45238192048296</v>
      </c>
      <c r="AN37" s="16">
        <f>+AM37+'CFS (F1Q23)'!AN12+'CFS (F1Q23)'!AN35</f>
        <v>149.28668352040728</v>
      </c>
      <c r="AO37" s="16">
        <f>+AN37+'CFS (F1Q23)'!AO12+'CFS (F1Q23)'!AO35</f>
        <v>156.75883991390651</v>
      </c>
      <c r="AP37" s="16">
        <f>+AO37+'CFS (F1Q23)'!AP12+'CFS (F1Q23)'!AP35</f>
        <v>164.47621516761353</v>
      </c>
      <c r="AQ37" s="17">
        <f>AP37</f>
        <v>164.47621516761353</v>
      </c>
      <c r="AR37" s="16">
        <f>+AP37+'CFS (F1Q23)'!AR12+'CFS (F1Q23)'!AR35</f>
        <v>172.15729754124305</v>
      </c>
      <c r="AS37" s="16">
        <f>+AR37+'CFS (F1Q23)'!AS12+'CFS (F1Q23)'!AS35</f>
        <v>179.43276390848371</v>
      </c>
      <c r="AT37" s="16">
        <f>+AS37+'CFS (F1Q23)'!AT12+'CFS (F1Q23)'!AT35</f>
        <v>187.38196010661812</v>
      </c>
      <c r="AU37" s="16">
        <f>+AT37+'CFS (F1Q23)'!AU12+'CFS (F1Q23)'!AU35</f>
        <v>195.59108448008067</v>
      </c>
      <c r="AV37" s="17">
        <f>AU37</f>
        <v>195.59108448008067</v>
      </c>
    </row>
    <row r="38" spans="1:48" outlineLevel="1" x14ac:dyDescent="0.3">
      <c r="B38" s="621" t="s">
        <v>244</v>
      </c>
      <c r="C38" s="622"/>
      <c r="D38" s="16">
        <v>-2584</v>
      </c>
      <c r="E38" s="101">
        <v>-4807.7</v>
      </c>
      <c r="F38" s="101">
        <v>-4013.9</v>
      </c>
      <c r="G38" s="101">
        <v>-5771.2</v>
      </c>
      <c r="H38" s="169">
        <f>G38</f>
        <v>-5771.2</v>
      </c>
      <c r="I38" s="101">
        <v>-6414.8</v>
      </c>
      <c r="J38" s="101">
        <v>-7050.6</v>
      </c>
      <c r="K38" s="101">
        <v>-8208.2999999999993</v>
      </c>
      <c r="L38" s="101">
        <v>-7815.6</v>
      </c>
      <c r="M38" s="169">
        <f>L38</f>
        <v>-7815.6</v>
      </c>
      <c r="N38" s="101">
        <v>-8253.6</v>
      </c>
      <c r="O38" s="101">
        <v>-8124.3</v>
      </c>
      <c r="P38" s="101">
        <v>-7501.6</v>
      </c>
      <c r="Q38" s="101">
        <v>-6315.7</v>
      </c>
      <c r="R38" s="169">
        <f>Q38</f>
        <v>-6315.7</v>
      </c>
      <c r="S38" s="101">
        <v>-8753</v>
      </c>
      <c r="T38" s="101">
        <v>-9070.5</v>
      </c>
      <c r="U38" s="101">
        <v>-8719.7000000000007</v>
      </c>
      <c r="V38" s="101">
        <v>-8449.7999999999993</v>
      </c>
      <c r="W38" s="169">
        <f>V38</f>
        <v>-8449.7999999999993</v>
      </c>
      <c r="X38" s="101">
        <v>-8203.2000000000007</v>
      </c>
      <c r="Y38" s="101">
        <f>X38+'CFS (F1Q23)'!Y6+'CFS (F1Q23)'!Y33+'CFS (F1Q23)'!Y34</f>
        <v>-8201.8431263639395</v>
      </c>
      <c r="Z38" s="101">
        <f>Y38+'CFS (F1Q23)'!Z6+'CFS (F1Q23)'!Z33+'CFS (F1Q23)'!Z34</f>
        <v>-7821.8322617726462</v>
      </c>
      <c r="AA38" s="101">
        <f>Z38+'CFS (F1Q23)'!AA6+'CFS (F1Q23)'!AA33+'CFS (F1Q23)'!AA34</f>
        <v>-7312.0387545545536</v>
      </c>
      <c r="AB38" s="169">
        <f>AA38</f>
        <v>-7312.0387545545536</v>
      </c>
      <c r="AC38" s="101">
        <f>AA38+'CFS (F1Q23)'!AC6+'CFS (F1Q23)'!AC33+'CFS (F1Q23)'!AC34</f>
        <v>-6905.6757399964426</v>
      </c>
      <c r="AD38" s="101">
        <f>AC38+'CFS (F1Q23)'!AD6+'CFS (F1Q23)'!AD33+'CFS (F1Q23)'!AD34</f>
        <v>-6797.5269965843827</v>
      </c>
      <c r="AE38" s="101">
        <f>AD38+'CFS (F1Q23)'!AE6+'CFS (F1Q23)'!AE33+'CFS (F1Q23)'!AE34</f>
        <v>-6277.994199200014</v>
      </c>
      <c r="AF38" s="101">
        <f>AE38+'CFS (F1Q23)'!AF6+'CFS (F1Q23)'!AF33+'CFS (F1Q23)'!AF34</f>
        <v>-5713.0596474103804</v>
      </c>
      <c r="AG38" s="169">
        <f>AF38</f>
        <v>-5713.0596474103804</v>
      </c>
      <c r="AH38" s="101">
        <f>AF38+'CFS (F1Q23)'!AH6+'CFS (F1Q23)'!AH33+'CFS (F1Q23)'!AH34</f>
        <v>-5160.8317209970846</v>
      </c>
      <c r="AI38" s="101">
        <f>AH38+'CFS (F1Q23)'!AI6+'CFS (F1Q23)'!AI33+'CFS (F1Q23)'!AI34</f>
        <v>-4936.7356820937384</v>
      </c>
      <c r="AJ38" s="101">
        <f>AI38+'CFS (F1Q23)'!AJ6+'CFS (F1Q23)'!AJ33+'CFS (F1Q23)'!AJ34</f>
        <v>-9527.2807981774622</v>
      </c>
      <c r="AK38" s="101">
        <f>AJ38+'CFS (F1Q23)'!AK6+'CFS (F1Q23)'!AK33+'CFS (F1Q23)'!AK34</f>
        <v>-14163.086464623399</v>
      </c>
      <c r="AL38" s="169">
        <f>AK38</f>
        <v>-14163.086464623399</v>
      </c>
      <c r="AM38" s="101">
        <f>AK38+'CFS (F1Q23)'!AM6+'CFS (F1Q23)'!AM33+'CFS (F1Q23)'!AM34</f>
        <v>-13705.582947379937</v>
      </c>
      <c r="AN38" s="101">
        <f>AM38+'CFS (F1Q23)'!AN6+'CFS (F1Q23)'!AN33+'CFS (F1Q23)'!AN34</f>
        <v>-13612.397652192692</v>
      </c>
      <c r="AO38" s="101">
        <f>AN38+'CFS (F1Q23)'!AO6+'CFS (F1Q23)'!AO33+'CFS (F1Q23)'!AO34</f>
        <v>-12917.718585592902</v>
      </c>
      <c r="AP38" s="101">
        <f>AO38+'CFS (F1Q23)'!AP6+'CFS (F1Q23)'!AP33+'CFS (F1Q23)'!AP34</f>
        <v>-12195.608834762743</v>
      </c>
      <c r="AQ38" s="169">
        <f>AP38</f>
        <v>-12195.608834762743</v>
      </c>
      <c r="AR38" s="101">
        <f>AP38+'CFS (F1Q23)'!AR6+'CFS (F1Q23)'!AR33+'CFS (F1Q23)'!AR34</f>
        <v>-11621.615158141669</v>
      </c>
      <c r="AS38" s="101">
        <f>AR38+'CFS (F1Q23)'!AS6+'CFS (F1Q23)'!AS33+'CFS (F1Q23)'!AS34</f>
        <v>-11431.207381775508</v>
      </c>
      <c r="AT38" s="101">
        <f>AS38+'CFS (F1Q23)'!AT6+'CFS (F1Q23)'!AT33+'CFS (F1Q23)'!AT34</f>
        <v>-10633.784260921666</v>
      </c>
      <c r="AU38" s="101">
        <f>AT38+'CFS (F1Q23)'!AU6+'CFS (F1Q23)'!AU33+'CFS (F1Q23)'!AU34</f>
        <v>-9814.5051603051234</v>
      </c>
      <c r="AV38" s="169">
        <f>AU38</f>
        <v>-9814.5051603051234</v>
      </c>
    </row>
    <row r="39" spans="1:48" outlineLevel="1" x14ac:dyDescent="0.3">
      <c r="B39" s="621" t="s">
        <v>245</v>
      </c>
      <c r="C39" s="622"/>
      <c r="D39" s="16">
        <v>-343.2</v>
      </c>
      <c r="E39" s="102">
        <v>-271.5</v>
      </c>
      <c r="F39" s="101">
        <v>-349</v>
      </c>
      <c r="G39" s="101">
        <v>-503.3</v>
      </c>
      <c r="H39" s="169">
        <f>+G39</f>
        <v>-503.3</v>
      </c>
      <c r="I39" s="101">
        <v>-387.4</v>
      </c>
      <c r="J39" s="101">
        <v>-521.79999999999995</v>
      </c>
      <c r="K39" s="101">
        <v>-529.9</v>
      </c>
      <c r="L39" s="101">
        <v>-364.6</v>
      </c>
      <c r="M39" s="169">
        <f>+L39</f>
        <v>-364.6</v>
      </c>
      <c r="N39" s="101">
        <v>-145.9</v>
      </c>
      <c r="O39" s="101">
        <v>-126.3</v>
      </c>
      <c r="P39" s="101">
        <v>-29.7</v>
      </c>
      <c r="Q39" s="101">
        <v>147.19999999999999</v>
      </c>
      <c r="R39" s="169">
        <f>+Q39</f>
        <v>147.19999999999999</v>
      </c>
      <c r="S39" s="101">
        <v>253.5</v>
      </c>
      <c r="T39" s="101">
        <v>260.3</v>
      </c>
      <c r="U39" s="101">
        <v>-65</v>
      </c>
      <c r="V39" s="101">
        <v>-463.2</v>
      </c>
      <c r="W39" s="169">
        <f t="shared" ref="W39:W40" si="29">+V39</f>
        <v>-463.2</v>
      </c>
      <c r="X39" s="101">
        <v>-538.9</v>
      </c>
      <c r="Y39" s="101">
        <f t="shared" ref="Y39:AB40" si="30">+X39</f>
        <v>-538.9</v>
      </c>
      <c r="Z39" s="101">
        <f t="shared" si="30"/>
        <v>-538.9</v>
      </c>
      <c r="AA39" s="101">
        <f t="shared" si="30"/>
        <v>-538.9</v>
      </c>
      <c r="AB39" s="169">
        <f t="shared" si="30"/>
        <v>-538.9</v>
      </c>
      <c r="AC39" s="101">
        <f>+AA39</f>
        <v>-538.9</v>
      </c>
      <c r="AD39" s="101">
        <f t="shared" ref="AD39:AG40" si="31">+AC39</f>
        <v>-538.9</v>
      </c>
      <c r="AE39" s="101">
        <f t="shared" si="31"/>
        <v>-538.9</v>
      </c>
      <c r="AF39" s="101">
        <f t="shared" si="31"/>
        <v>-538.9</v>
      </c>
      <c r="AG39" s="169">
        <f t="shared" si="31"/>
        <v>-538.9</v>
      </c>
      <c r="AH39" s="101">
        <f>+AF39</f>
        <v>-538.9</v>
      </c>
      <c r="AI39" s="101">
        <f t="shared" ref="AI39:AL40" si="32">+AH39</f>
        <v>-538.9</v>
      </c>
      <c r="AJ39" s="101">
        <f t="shared" si="32"/>
        <v>-538.9</v>
      </c>
      <c r="AK39" s="101">
        <f t="shared" si="32"/>
        <v>-538.9</v>
      </c>
      <c r="AL39" s="169">
        <f t="shared" si="32"/>
        <v>-538.9</v>
      </c>
      <c r="AM39" s="101">
        <f>+AK39</f>
        <v>-538.9</v>
      </c>
      <c r="AN39" s="101">
        <f t="shared" ref="AN39:AQ40" si="33">+AM39</f>
        <v>-538.9</v>
      </c>
      <c r="AO39" s="101">
        <f t="shared" si="33"/>
        <v>-538.9</v>
      </c>
      <c r="AP39" s="101">
        <f t="shared" si="33"/>
        <v>-538.9</v>
      </c>
      <c r="AQ39" s="169">
        <f t="shared" si="33"/>
        <v>-538.9</v>
      </c>
      <c r="AR39" s="101">
        <f>+AP39</f>
        <v>-538.9</v>
      </c>
      <c r="AS39" s="101">
        <f t="shared" ref="AS39:AV40" si="34">+AR39</f>
        <v>-538.9</v>
      </c>
      <c r="AT39" s="101">
        <f t="shared" si="34"/>
        <v>-538.9</v>
      </c>
      <c r="AU39" s="101">
        <f t="shared" si="34"/>
        <v>-538.9</v>
      </c>
      <c r="AV39" s="169">
        <f t="shared" si="34"/>
        <v>-538.9</v>
      </c>
    </row>
    <row r="40" spans="1:48" ht="16.2" outlineLevel="1" x14ac:dyDescent="0.45">
      <c r="B40" s="265" t="s">
        <v>246</v>
      </c>
      <c r="C40" s="266"/>
      <c r="D40" s="260">
        <v>6.1</v>
      </c>
      <c r="E40" s="112">
        <v>1.7</v>
      </c>
      <c r="F40" s="112">
        <v>1.6</v>
      </c>
      <c r="G40" s="112">
        <v>1.2</v>
      </c>
      <c r="H40" s="261">
        <f>+G40</f>
        <v>1.2</v>
      </c>
      <c r="I40" s="112">
        <v>0.8</v>
      </c>
      <c r="J40" s="112">
        <v>-2.8</v>
      </c>
      <c r="K40" s="112">
        <v>-2.7</v>
      </c>
      <c r="L40" s="112">
        <v>5.7</v>
      </c>
      <c r="M40" s="262">
        <f>+L40</f>
        <v>5.7</v>
      </c>
      <c r="N40" s="112">
        <v>5.7</v>
      </c>
      <c r="O40" s="112">
        <v>5.7</v>
      </c>
      <c r="P40" s="112">
        <v>6.5</v>
      </c>
      <c r="Q40" s="112">
        <v>6.7</v>
      </c>
      <c r="R40" s="262">
        <f>+Q40</f>
        <v>6.7</v>
      </c>
      <c r="S40" s="112">
        <v>6.9</v>
      </c>
      <c r="T40" s="112">
        <v>6.8</v>
      </c>
      <c r="U40" s="112">
        <v>7.6</v>
      </c>
      <c r="V40" s="112">
        <v>7.9</v>
      </c>
      <c r="W40" s="262">
        <f t="shared" si="29"/>
        <v>7.9</v>
      </c>
      <c r="X40" s="112">
        <v>7.9</v>
      </c>
      <c r="Y40" s="112">
        <f t="shared" si="30"/>
        <v>7.9</v>
      </c>
      <c r="Z40" s="112">
        <f t="shared" si="30"/>
        <v>7.9</v>
      </c>
      <c r="AA40" s="112">
        <f t="shared" si="30"/>
        <v>7.9</v>
      </c>
      <c r="AB40" s="262">
        <f t="shared" si="30"/>
        <v>7.9</v>
      </c>
      <c r="AC40" s="112">
        <f>+AA40</f>
        <v>7.9</v>
      </c>
      <c r="AD40" s="112">
        <f t="shared" si="31"/>
        <v>7.9</v>
      </c>
      <c r="AE40" s="112">
        <f t="shared" si="31"/>
        <v>7.9</v>
      </c>
      <c r="AF40" s="112">
        <f t="shared" si="31"/>
        <v>7.9</v>
      </c>
      <c r="AG40" s="262">
        <f t="shared" si="31"/>
        <v>7.9</v>
      </c>
      <c r="AH40" s="112">
        <f>+AF40</f>
        <v>7.9</v>
      </c>
      <c r="AI40" s="112">
        <f t="shared" si="32"/>
        <v>7.9</v>
      </c>
      <c r="AJ40" s="112">
        <f t="shared" si="32"/>
        <v>7.9</v>
      </c>
      <c r="AK40" s="112">
        <f t="shared" si="32"/>
        <v>7.9</v>
      </c>
      <c r="AL40" s="262">
        <f t="shared" si="32"/>
        <v>7.9</v>
      </c>
      <c r="AM40" s="112">
        <f>+AK40</f>
        <v>7.9</v>
      </c>
      <c r="AN40" s="112">
        <f t="shared" si="33"/>
        <v>7.9</v>
      </c>
      <c r="AO40" s="112">
        <f t="shared" si="33"/>
        <v>7.9</v>
      </c>
      <c r="AP40" s="112">
        <f t="shared" si="33"/>
        <v>7.9</v>
      </c>
      <c r="AQ40" s="262">
        <f t="shared" si="33"/>
        <v>7.9</v>
      </c>
      <c r="AR40" s="112">
        <f>+AP40</f>
        <v>7.9</v>
      </c>
      <c r="AS40" s="112">
        <f t="shared" si="34"/>
        <v>7.9</v>
      </c>
      <c r="AT40" s="112">
        <f t="shared" si="34"/>
        <v>7.9</v>
      </c>
      <c r="AU40" s="112">
        <f t="shared" si="34"/>
        <v>7.9</v>
      </c>
      <c r="AV40" s="262">
        <f t="shared" si="34"/>
        <v>7.9</v>
      </c>
    </row>
    <row r="41" spans="1:48" outlineLevel="1" x14ac:dyDescent="0.3">
      <c r="B41" s="619" t="s">
        <v>247</v>
      </c>
      <c r="C41" s="620"/>
      <c r="D41" s="21">
        <f t="shared" ref="D41:AV41" si="35">SUM(D37:D40)</f>
        <v>-2878.7999999999997</v>
      </c>
      <c r="E41" s="21">
        <f t="shared" si="35"/>
        <v>-5035.2</v>
      </c>
      <c r="F41" s="21">
        <f t="shared" si="35"/>
        <v>-4319</v>
      </c>
      <c r="G41" s="21">
        <f t="shared" si="35"/>
        <v>-6231</v>
      </c>
      <c r="H41" s="22">
        <f t="shared" si="35"/>
        <v>-6231</v>
      </c>
      <c r="I41" s="21">
        <f t="shared" si="35"/>
        <v>-6759.0999999999995</v>
      </c>
      <c r="J41" s="21">
        <f t="shared" si="35"/>
        <v>-7532.9000000000005</v>
      </c>
      <c r="K41" s="21">
        <f t="shared" si="35"/>
        <v>-8624.2999999999993</v>
      </c>
      <c r="L41" s="21">
        <f t="shared" si="35"/>
        <v>-7799.4000000000005</v>
      </c>
      <c r="M41" s="22">
        <f t="shared" si="35"/>
        <v>-7799.4000000000005</v>
      </c>
      <c r="N41" s="21">
        <f t="shared" si="35"/>
        <v>-7904</v>
      </c>
      <c r="O41" s="21">
        <f t="shared" si="35"/>
        <v>-7648.3</v>
      </c>
      <c r="P41" s="21">
        <f t="shared" si="35"/>
        <v>-6794.3</v>
      </c>
      <c r="Q41" s="21">
        <f t="shared" si="35"/>
        <v>-5314.5</v>
      </c>
      <c r="R41" s="22">
        <f t="shared" si="35"/>
        <v>-5314.5</v>
      </c>
      <c r="S41" s="21">
        <f t="shared" si="35"/>
        <v>-8450.3000000000011</v>
      </c>
      <c r="T41" s="21">
        <f t="shared" si="35"/>
        <v>-8761.2000000000007</v>
      </c>
      <c r="U41" s="21">
        <f t="shared" si="35"/>
        <v>-8658.9</v>
      </c>
      <c r="V41" s="21">
        <f t="shared" si="35"/>
        <v>-8698.7000000000007</v>
      </c>
      <c r="W41" s="22">
        <f t="shared" si="35"/>
        <v>-8698.7000000000007</v>
      </c>
      <c r="X41" s="116">
        <f t="shared" si="35"/>
        <v>-8665.9000000000015</v>
      </c>
      <c r="Y41" s="21">
        <f t="shared" si="35"/>
        <v>-8659.7170447759963</v>
      </c>
      <c r="Z41" s="21">
        <f t="shared" si="35"/>
        <v>-8274.2672218652478</v>
      </c>
      <c r="AA41" s="21">
        <f t="shared" si="35"/>
        <v>-7758.6701827912075</v>
      </c>
      <c r="AB41" s="22">
        <f t="shared" si="35"/>
        <v>-7758.6701827912075</v>
      </c>
      <c r="AC41" s="21">
        <f t="shared" si="35"/>
        <v>-7346.2608151512177</v>
      </c>
      <c r="AD41" s="21">
        <f t="shared" si="35"/>
        <v>-7232.5789617325481</v>
      </c>
      <c r="AE41" s="21">
        <f t="shared" si="35"/>
        <v>-6706.9190665184606</v>
      </c>
      <c r="AF41" s="21">
        <f t="shared" si="35"/>
        <v>-6135.6068811635823</v>
      </c>
      <c r="AG41" s="22">
        <f t="shared" si="35"/>
        <v>-6135.6068811635823</v>
      </c>
      <c r="AH41" s="21">
        <f t="shared" si="35"/>
        <v>-5576.7878641961488</v>
      </c>
      <c r="AI41" s="21">
        <f t="shared" si="35"/>
        <v>-5346.4606273488998</v>
      </c>
      <c r="AJ41" s="21">
        <f t="shared" si="35"/>
        <v>-9930.1537474000688</v>
      </c>
      <c r="AK41" s="21">
        <f t="shared" si="35"/>
        <v>-14558.853559652063</v>
      </c>
      <c r="AL41" s="22">
        <f t="shared" si="35"/>
        <v>-14558.853559652063</v>
      </c>
      <c r="AM41" s="21">
        <f t="shared" si="35"/>
        <v>-14094.130565459454</v>
      </c>
      <c r="AN41" s="21">
        <f t="shared" si="35"/>
        <v>-13994.110968672285</v>
      </c>
      <c r="AO41" s="21">
        <f t="shared" si="35"/>
        <v>-13291.959745678996</v>
      </c>
      <c r="AP41" s="21">
        <f t="shared" si="35"/>
        <v>-12562.13261959513</v>
      </c>
      <c r="AQ41" s="22">
        <f t="shared" si="35"/>
        <v>-12562.13261959513</v>
      </c>
      <c r="AR41" s="21">
        <f t="shared" si="35"/>
        <v>-11980.457860600425</v>
      </c>
      <c r="AS41" s="21">
        <f t="shared" si="35"/>
        <v>-11782.774617867024</v>
      </c>
      <c r="AT41" s="21">
        <f t="shared" si="35"/>
        <v>-10977.402300815047</v>
      </c>
      <c r="AU41" s="21">
        <f t="shared" si="35"/>
        <v>-10149.914075825043</v>
      </c>
      <c r="AV41" s="22">
        <f t="shared" si="35"/>
        <v>-10149.914075825043</v>
      </c>
    </row>
    <row r="42" spans="1:48" outlineLevel="1" x14ac:dyDescent="0.3">
      <c r="B42" s="617" t="s">
        <v>248</v>
      </c>
      <c r="C42" s="618"/>
      <c r="D42" s="267">
        <f t="shared" ref="D42:AV42" si="36">D41+D35</f>
        <v>19981.300000000003</v>
      </c>
      <c r="E42" s="267">
        <f t="shared" si="36"/>
        <v>17641.899999999998</v>
      </c>
      <c r="F42" s="267">
        <f t="shared" si="36"/>
        <v>20894.400000000001</v>
      </c>
      <c r="G42" s="267">
        <f t="shared" si="36"/>
        <v>19219.599999999999</v>
      </c>
      <c r="H42" s="268">
        <f t="shared" si="36"/>
        <v>19219.599999999999</v>
      </c>
      <c r="I42" s="267">
        <f t="shared" si="36"/>
        <v>27731.300000000003</v>
      </c>
      <c r="J42" s="267">
        <f t="shared" si="36"/>
        <v>27478.9</v>
      </c>
      <c r="K42" s="267">
        <f t="shared" si="36"/>
        <v>29140.599999999995</v>
      </c>
      <c r="L42" s="267">
        <f t="shared" si="36"/>
        <v>29374.500000000007</v>
      </c>
      <c r="M42" s="268">
        <f t="shared" si="36"/>
        <v>29374.500000000007</v>
      </c>
      <c r="N42" s="267">
        <f t="shared" si="36"/>
        <v>29968.400000000001</v>
      </c>
      <c r="O42" s="267">
        <f t="shared" si="36"/>
        <v>28371.7</v>
      </c>
      <c r="P42" s="267">
        <f t="shared" si="36"/>
        <v>29476.799999999999</v>
      </c>
      <c r="Q42" s="267">
        <f t="shared" si="36"/>
        <v>31392.600000000006</v>
      </c>
      <c r="R42" s="268">
        <f t="shared" si="36"/>
        <v>31392.600000000006</v>
      </c>
      <c r="S42" s="267">
        <f t="shared" si="36"/>
        <v>28833.899999999994</v>
      </c>
      <c r="T42" s="267">
        <f t="shared" si="36"/>
        <v>29021.499999999996</v>
      </c>
      <c r="U42" s="267">
        <f t="shared" si="36"/>
        <v>28156.199999999997</v>
      </c>
      <c r="V42" s="267">
        <f t="shared" si="36"/>
        <v>27978.399999999998</v>
      </c>
      <c r="W42" s="268">
        <f t="shared" si="36"/>
        <v>27978.399999999998</v>
      </c>
      <c r="X42" s="267">
        <f t="shared" si="36"/>
        <v>28256.1</v>
      </c>
      <c r="Y42" s="267">
        <f t="shared" si="36"/>
        <v>28447.447342309377</v>
      </c>
      <c r="Z42" s="267">
        <f t="shared" si="36"/>
        <v>28920.176373769475</v>
      </c>
      <c r="AA42" s="267">
        <f t="shared" si="36"/>
        <v>29210.394500721715</v>
      </c>
      <c r="AB42" s="268">
        <f t="shared" si="36"/>
        <v>29210.394500721715</v>
      </c>
      <c r="AC42" s="267">
        <f t="shared" si="36"/>
        <v>30161.684420949205</v>
      </c>
      <c r="AD42" s="267">
        <f t="shared" si="36"/>
        <v>29893.618028743556</v>
      </c>
      <c r="AE42" s="267">
        <f t="shared" si="36"/>
        <v>30488.487332195855</v>
      </c>
      <c r="AF42" s="267">
        <f t="shared" si="36"/>
        <v>31099.274273051549</v>
      </c>
      <c r="AG42" s="268">
        <f t="shared" si="36"/>
        <v>31099.274273051549</v>
      </c>
      <c r="AH42" s="267">
        <f t="shared" si="36"/>
        <v>32211.657327595291</v>
      </c>
      <c r="AI42" s="267">
        <f t="shared" si="36"/>
        <v>32056.147699211509</v>
      </c>
      <c r="AJ42" s="267">
        <f t="shared" si="36"/>
        <v>34779.737892399658</v>
      </c>
      <c r="AK42" s="267">
        <f t="shared" si="36"/>
        <v>29986.366687071433</v>
      </c>
      <c r="AL42" s="268">
        <f t="shared" si="36"/>
        <v>29986.366687071433</v>
      </c>
      <c r="AM42" s="267">
        <f t="shared" si="36"/>
        <v>30995.631126889413</v>
      </c>
      <c r="AN42" s="267">
        <f t="shared" si="36"/>
        <v>29680.491133926873</v>
      </c>
      <c r="AO42" s="267">
        <f t="shared" si="36"/>
        <v>30488.208280107512</v>
      </c>
      <c r="AP42" s="267">
        <f t="shared" si="36"/>
        <v>31037.427363644911</v>
      </c>
      <c r="AQ42" s="268">
        <f t="shared" si="36"/>
        <v>31037.427363644911</v>
      </c>
      <c r="AR42" s="267">
        <f t="shared" si="36"/>
        <v>32213.77722540293</v>
      </c>
      <c r="AS42" s="267">
        <f t="shared" si="36"/>
        <v>31956.659665663337</v>
      </c>
      <c r="AT42" s="267">
        <f t="shared" si="36"/>
        <v>32868.818383332451</v>
      </c>
      <c r="AU42" s="267">
        <f t="shared" si="36"/>
        <v>33515.86383014945</v>
      </c>
      <c r="AV42" s="268">
        <f t="shared" si="36"/>
        <v>33515.86383014945</v>
      </c>
    </row>
    <row r="43" spans="1:48" s="99" customFormat="1" x14ac:dyDescent="0.3">
      <c r="B43" s="491"/>
      <c r="C43" s="492"/>
      <c r="D43" s="493">
        <f t="shared" ref="D43:AV43" si="37">ROUND((D42-D20),0)</f>
        <v>0</v>
      </c>
      <c r="E43" s="493">
        <f t="shared" si="37"/>
        <v>0</v>
      </c>
      <c r="F43" s="493">
        <f t="shared" si="37"/>
        <v>0</v>
      </c>
      <c r="G43" s="493">
        <f t="shared" si="37"/>
        <v>0</v>
      </c>
      <c r="H43" s="493">
        <f t="shared" si="37"/>
        <v>0</v>
      </c>
      <c r="I43" s="493">
        <f t="shared" si="37"/>
        <v>0</v>
      </c>
      <c r="J43" s="493">
        <f t="shared" si="37"/>
        <v>0</v>
      </c>
      <c r="K43" s="493">
        <f t="shared" si="37"/>
        <v>0</v>
      </c>
      <c r="L43" s="494">
        <f t="shared" si="37"/>
        <v>0</v>
      </c>
      <c r="M43" s="494">
        <f t="shared" si="37"/>
        <v>0</v>
      </c>
      <c r="N43" s="494">
        <f t="shared" si="37"/>
        <v>0</v>
      </c>
      <c r="O43" s="494">
        <f t="shared" si="37"/>
        <v>0</v>
      </c>
      <c r="P43" s="494">
        <f t="shared" si="37"/>
        <v>0</v>
      </c>
      <c r="Q43" s="494">
        <f t="shared" si="37"/>
        <v>0</v>
      </c>
      <c r="R43" s="494">
        <f t="shared" si="37"/>
        <v>0</v>
      </c>
      <c r="S43" s="494">
        <f t="shared" si="37"/>
        <v>0</v>
      </c>
      <c r="T43" s="494">
        <f t="shared" si="37"/>
        <v>0</v>
      </c>
      <c r="U43" s="494">
        <f t="shared" si="37"/>
        <v>0</v>
      </c>
      <c r="V43" s="494">
        <f t="shared" si="37"/>
        <v>0</v>
      </c>
      <c r="W43" s="494">
        <f t="shared" si="37"/>
        <v>0</v>
      </c>
      <c r="X43" s="494">
        <f t="shared" si="37"/>
        <v>0</v>
      </c>
      <c r="Y43" s="494">
        <f t="shared" si="37"/>
        <v>0</v>
      </c>
      <c r="Z43" s="494">
        <f t="shared" si="37"/>
        <v>0</v>
      </c>
      <c r="AA43" s="494">
        <f t="shared" si="37"/>
        <v>0</v>
      </c>
      <c r="AB43" s="494">
        <f t="shared" si="37"/>
        <v>0</v>
      </c>
      <c r="AC43" s="494">
        <f t="shared" si="37"/>
        <v>0</v>
      </c>
      <c r="AD43" s="494">
        <f t="shared" si="37"/>
        <v>0</v>
      </c>
      <c r="AE43" s="494">
        <f t="shared" si="37"/>
        <v>0</v>
      </c>
      <c r="AF43" s="494">
        <f t="shared" si="37"/>
        <v>0</v>
      </c>
      <c r="AG43" s="494">
        <f t="shared" si="37"/>
        <v>0</v>
      </c>
      <c r="AH43" s="494">
        <f t="shared" si="37"/>
        <v>0</v>
      </c>
      <c r="AI43" s="494">
        <f t="shared" si="37"/>
        <v>0</v>
      </c>
      <c r="AJ43" s="494">
        <f t="shared" si="37"/>
        <v>0</v>
      </c>
      <c r="AK43" s="494">
        <f t="shared" si="37"/>
        <v>0</v>
      </c>
      <c r="AL43" s="494">
        <f t="shared" si="37"/>
        <v>0</v>
      </c>
      <c r="AM43" s="494">
        <f t="shared" si="37"/>
        <v>0</v>
      </c>
      <c r="AN43" s="494">
        <f t="shared" si="37"/>
        <v>0</v>
      </c>
      <c r="AO43" s="494">
        <f t="shared" si="37"/>
        <v>0</v>
      </c>
      <c r="AP43" s="494">
        <f t="shared" si="37"/>
        <v>0</v>
      </c>
      <c r="AQ43" s="494">
        <f t="shared" si="37"/>
        <v>0</v>
      </c>
      <c r="AR43" s="494">
        <f t="shared" si="37"/>
        <v>0</v>
      </c>
      <c r="AS43" s="494">
        <f t="shared" si="37"/>
        <v>0</v>
      </c>
      <c r="AT43" s="494">
        <f t="shared" si="37"/>
        <v>0</v>
      </c>
      <c r="AU43" s="494">
        <f t="shared" si="37"/>
        <v>0</v>
      </c>
      <c r="AV43" s="494">
        <f t="shared" si="37"/>
        <v>0</v>
      </c>
    </row>
    <row r="44" spans="1:48" ht="15.6" x14ac:dyDescent="0.3">
      <c r="B44" s="583" t="s">
        <v>249</v>
      </c>
      <c r="C44" s="584"/>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3" t="s">
        <v>407</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85"/>
      <c r="C45" s="586"/>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4" t="s">
        <v>408</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31+30+31</f>
        <v>92</v>
      </c>
      <c r="E46" s="274">
        <f>31+28+31</f>
        <v>90</v>
      </c>
      <c r="F46" s="274">
        <f>30+31+30</f>
        <v>91</v>
      </c>
      <c r="G46" s="274">
        <f>31+31+30</f>
        <v>92</v>
      </c>
      <c r="H46" s="122"/>
      <c r="I46" s="274">
        <f>31+30+31</f>
        <v>92</v>
      </c>
      <c r="J46" s="274">
        <f>31+29+31</f>
        <v>91</v>
      </c>
      <c r="K46" s="274">
        <f>30+31+30</f>
        <v>91</v>
      </c>
      <c r="L46" s="274">
        <f>31+31+30</f>
        <v>92</v>
      </c>
      <c r="M46" s="122"/>
      <c r="N46" s="274">
        <f>31+30+31</f>
        <v>92</v>
      </c>
      <c r="O46" s="274">
        <f>31+28+31</f>
        <v>90</v>
      </c>
      <c r="P46" s="274">
        <f>30+31+30</f>
        <v>91</v>
      </c>
      <c r="Q46" s="274">
        <f>31+31+30</f>
        <v>92</v>
      </c>
      <c r="R46" s="122"/>
      <c r="S46" s="274">
        <f>31+30+31</f>
        <v>92</v>
      </c>
      <c r="T46" s="274">
        <f>31+28+31</f>
        <v>90</v>
      </c>
      <c r="U46" s="274">
        <f>30+31+30</f>
        <v>91</v>
      </c>
      <c r="V46" s="274">
        <f>31+31+30</f>
        <v>92</v>
      </c>
      <c r="W46" s="122"/>
      <c r="X46" s="274">
        <f>31+30+31</f>
        <v>92</v>
      </c>
      <c r="Y46" s="274">
        <f>31+28+31</f>
        <v>90</v>
      </c>
      <c r="Z46" s="274">
        <f>30+31+30</f>
        <v>91</v>
      </c>
      <c r="AA46" s="274">
        <f>31+31+30</f>
        <v>92</v>
      </c>
      <c r="AB46" s="122"/>
      <c r="AC46" s="274">
        <f>31+30+31</f>
        <v>92</v>
      </c>
      <c r="AD46" s="274">
        <f>31+29+31</f>
        <v>91</v>
      </c>
      <c r="AE46" s="274">
        <f>30+31+30</f>
        <v>91</v>
      </c>
      <c r="AF46" s="274">
        <f>31+31+30</f>
        <v>92</v>
      </c>
      <c r="AG46" s="122"/>
      <c r="AH46" s="274">
        <f>31+30+31</f>
        <v>92</v>
      </c>
      <c r="AI46" s="274">
        <f>31+28+31</f>
        <v>90</v>
      </c>
      <c r="AJ46" s="274">
        <f>30+31+30</f>
        <v>91</v>
      </c>
      <c r="AK46" s="274">
        <f>31+31+30</f>
        <v>92</v>
      </c>
      <c r="AL46" s="122"/>
      <c r="AM46" s="274">
        <f>31+30+31</f>
        <v>92</v>
      </c>
      <c r="AN46" s="274">
        <f>31+28+31</f>
        <v>90</v>
      </c>
      <c r="AO46" s="274">
        <f>30+31+30</f>
        <v>91</v>
      </c>
      <c r="AP46" s="274">
        <f>31+31+30</f>
        <v>92</v>
      </c>
      <c r="AQ46" s="122"/>
      <c r="AR46" s="274">
        <f>31+30+31</f>
        <v>92</v>
      </c>
      <c r="AS46" s="274">
        <f>31+28+31</f>
        <v>90</v>
      </c>
      <c r="AT46" s="274">
        <f>30+31+30</f>
        <v>91</v>
      </c>
      <c r="AU46" s="274">
        <f>31+31+30</f>
        <v>92</v>
      </c>
      <c r="AV46" s="122"/>
    </row>
    <row r="47" spans="1:48" outlineLevel="1" x14ac:dyDescent="0.3">
      <c r="B47" s="580" t="s">
        <v>251</v>
      </c>
      <c r="C47" s="581"/>
      <c r="D47" s="276">
        <f>'IS (F1Q23)'!D8/'BS (F1Q23)'!D8</f>
        <v>9.1942057111172737</v>
      </c>
      <c r="E47" s="276">
        <f>'IS (F1Q23)'!E8/'BS (F1Q23)'!E8</f>
        <v>8.9623365548607161</v>
      </c>
      <c r="F47" s="276">
        <f>'IS (F1Q23)'!F8/'BS (F1Q23)'!F8</f>
        <v>8.6301543131798635</v>
      </c>
      <c r="G47" s="276">
        <f>'IS (F1Q23)'!G8/'BS (F1Q23)'!G8</f>
        <v>7.6757679180887379</v>
      </c>
      <c r="H47" s="126"/>
      <c r="I47" s="276">
        <f>'IS (F1Q23)'!I8/'BS (F1Q23)'!I8</f>
        <v>7.8153287082920375</v>
      </c>
      <c r="J47" s="276">
        <f>'IS (F1Q23)'!J8/'BS (F1Q23)'!J8</f>
        <v>6.3716259298618487</v>
      </c>
      <c r="K47" s="276">
        <f>'IS (F1Q23)'!K8/'BS (F1Q23)'!K8</f>
        <v>4.7918510952218822</v>
      </c>
      <c r="L47" s="276">
        <f>'IS (F1Q23)'!L8/'BS (F1Q23)'!L8</f>
        <v>7.0218474077428121</v>
      </c>
      <c r="M47" s="31"/>
      <c r="N47" s="276">
        <f>'IS (F1Q23)'!N8/'BS (F1Q23)'!N8</f>
        <v>7.6006756756756761</v>
      </c>
      <c r="O47" s="276">
        <f>'IS (F1Q23)'!O8/'BS (F1Q23)'!O8</f>
        <v>7.5755510111338324</v>
      </c>
      <c r="P47" s="276">
        <f>'IS (F1Q23)'!P8/'BS (F1Q23)'!P8</f>
        <v>8.2270632133450388</v>
      </c>
      <c r="Q47" s="276">
        <f>'IS (F1Q23)'!Q8/'BS (F1Q23)'!Q8</f>
        <v>8.6667021276595744</v>
      </c>
      <c r="R47" s="31"/>
      <c r="S47" s="276">
        <f>'IS (F1Q23)'!S8/'BS (F1Q23)'!S8</f>
        <v>7.8075841334497138</v>
      </c>
      <c r="T47" s="276">
        <f>'IS (F1Q23)'!T8/'BS (F1Q23)'!T8</f>
        <v>7.6211198722427387</v>
      </c>
      <c r="U47" s="276">
        <f>'IS (F1Q23)'!U8/'BS (F1Q23)'!U8</f>
        <v>7.1111595846784761</v>
      </c>
      <c r="V47" s="276">
        <f>'IS (F1Q23)'!V8/'BS (F1Q23)'!V8</f>
        <v>7.1579753296469582</v>
      </c>
      <c r="W47" s="126"/>
      <c r="X47" s="276">
        <f>'IS (F1Q23)'!X8/'BS (F1Q23)'!X8</f>
        <v>7.4932496345343527</v>
      </c>
      <c r="Y47" s="277">
        <f t="shared" ref="Y47:AA47" si="38">AVERAGE(T47,O47,J47)</f>
        <v>7.1894322710794727</v>
      </c>
      <c r="Z47" s="277">
        <f t="shared" si="38"/>
        <v>6.7100246310817999</v>
      </c>
      <c r="AA47" s="277">
        <f t="shared" si="38"/>
        <v>7.6155082883497807</v>
      </c>
      <c r="AB47" s="278"/>
      <c r="AC47" s="277">
        <f t="shared" ref="AC47:AF47" si="39">AVERAGE(X47,S47,N47)</f>
        <v>7.6338364812199133</v>
      </c>
      <c r="AD47" s="277">
        <f t="shared" si="39"/>
        <v>7.4620343848186819</v>
      </c>
      <c r="AE47" s="277">
        <f t="shared" si="39"/>
        <v>7.3494158097017719</v>
      </c>
      <c r="AF47" s="277">
        <f t="shared" si="39"/>
        <v>7.813395248552105</v>
      </c>
      <c r="AG47" s="278"/>
      <c r="AH47" s="277">
        <f t="shared" ref="AH47:AK47" si="40">AVERAGE(AC47,X47,S47)</f>
        <v>7.6448900830679944</v>
      </c>
      <c r="AI47" s="277">
        <f t="shared" si="40"/>
        <v>7.4241955093802972</v>
      </c>
      <c r="AJ47" s="277">
        <f t="shared" si="40"/>
        <v>7.0568666751540157</v>
      </c>
      <c r="AK47" s="277">
        <f t="shared" si="40"/>
        <v>7.5289596221829482</v>
      </c>
      <c r="AL47" s="278"/>
      <c r="AM47" s="277">
        <f t="shared" ref="AM47:AP47" si="41">AVERAGE(AH47,AC47,X47)</f>
        <v>7.5906587329407529</v>
      </c>
      <c r="AN47" s="277">
        <f t="shared" si="41"/>
        <v>7.3585540550928172</v>
      </c>
      <c r="AO47" s="277">
        <f t="shared" si="41"/>
        <v>7.0387690386458628</v>
      </c>
      <c r="AP47" s="277">
        <f t="shared" si="41"/>
        <v>7.6526210530282777</v>
      </c>
      <c r="AQ47" s="278"/>
      <c r="AR47" s="277">
        <f t="shared" ref="AR47:AU47" si="42">AVERAGE(AM47,AH47,AC47)</f>
        <v>7.6231284324095538</v>
      </c>
      <c r="AS47" s="277">
        <f t="shared" si="42"/>
        <v>7.4149279830972654</v>
      </c>
      <c r="AT47" s="277">
        <f t="shared" si="42"/>
        <v>7.1483505078338831</v>
      </c>
      <c r="AU47" s="277">
        <f t="shared" si="42"/>
        <v>7.6649919745877773</v>
      </c>
      <c r="AV47" s="278"/>
    </row>
    <row r="48" spans="1:48" s="23" customFormat="1" outlineLevel="1" x14ac:dyDescent="0.3">
      <c r="B48" s="607" t="s">
        <v>252</v>
      </c>
      <c r="C48" s="608"/>
      <c r="D48" s="279">
        <f>D46/D47</f>
        <v>10.00630210924661</v>
      </c>
      <c r="E48" s="279">
        <f>E46/E47</f>
        <v>10.042024136126486</v>
      </c>
      <c r="F48" s="274">
        <f>F46/F47</f>
        <v>10.544423274219552</v>
      </c>
      <c r="G48" s="274">
        <f>G46/G47</f>
        <v>11.985771453979545</v>
      </c>
      <c r="H48" s="126"/>
      <c r="I48" s="274">
        <f>I46/I47</f>
        <v>11.771737752039567</v>
      </c>
      <c r="J48" s="274">
        <f>J46/J47</f>
        <v>14.28206881598479</v>
      </c>
      <c r="K48" s="274">
        <f>K46/K47</f>
        <v>18.990573411335589</v>
      </c>
      <c r="L48" s="279">
        <f>L46/L47</f>
        <v>13.101965146459028</v>
      </c>
      <c r="M48" s="31"/>
      <c r="N48" s="279">
        <f>N46/N47</f>
        <v>12.104187038847897</v>
      </c>
      <c r="O48" s="279">
        <f>O46/O47</f>
        <v>11.880323935212958</v>
      </c>
      <c r="P48" s="279">
        <f>P46/P47</f>
        <v>11.061055159074236</v>
      </c>
      <c r="Q48" s="279">
        <f>Q46/Q47</f>
        <v>10.615341181091731</v>
      </c>
      <c r="R48" s="31"/>
      <c r="S48" s="279">
        <f>S46/S47</f>
        <v>11.783414488721057</v>
      </c>
      <c r="T48" s="279">
        <f>T46/T47</f>
        <v>11.809288071664309</v>
      </c>
      <c r="U48" s="279">
        <f>U46/U47</f>
        <v>12.79678776947522</v>
      </c>
      <c r="V48" s="279">
        <f>V46/V47</f>
        <v>12.852796463121866</v>
      </c>
      <c r="W48" s="126"/>
      <c r="X48" s="279">
        <f>X46/X47</f>
        <v>12.277717210433906</v>
      </c>
      <c r="Y48" s="279">
        <f>Y46/Y47</f>
        <v>12.518373719443463</v>
      </c>
      <c r="Z48" s="279">
        <f>Z46/Z47</f>
        <v>13.561798205400752</v>
      </c>
      <c r="AA48" s="279">
        <f>AA46/AA47</f>
        <v>12.080611893068488</v>
      </c>
      <c r="AB48" s="31"/>
      <c r="AC48" s="279">
        <f>AC46/AC47</f>
        <v>12.051607370203728</v>
      </c>
      <c r="AD48" s="279">
        <f>AD46/AD47</f>
        <v>12.195065756482867</v>
      </c>
      <c r="AE48" s="279">
        <f>AE46/AE47</f>
        <v>12.381936517984638</v>
      </c>
      <c r="AF48" s="279">
        <f>AF46/AF47</f>
        <v>11.774650721406735</v>
      </c>
      <c r="AG48" s="31"/>
      <c r="AH48" s="279">
        <f>AH46/AH47</f>
        <v>12.034182179252365</v>
      </c>
      <c r="AI48" s="279">
        <f>AI46/AI47</f>
        <v>12.122525583585064</v>
      </c>
      <c r="AJ48" s="279">
        <f>AJ46/AJ47</f>
        <v>12.89524149866611</v>
      </c>
      <c r="AK48" s="279">
        <f>AK46/AK47</f>
        <v>12.219483782186296</v>
      </c>
      <c r="AL48" s="31"/>
      <c r="AM48" s="279">
        <f>AM46/AM47</f>
        <v>12.120160217551712</v>
      </c>
      <c r="AN48" s="279">
        <f>AN46/AN47</f>
        <v>12.230663704605318</v>
      </c>
      <c r="AO48" s="279">
        <f>AO46/AO47</f>
        <v>12.928396925708309</v>
      </c>
      <c r="AP48" s="279">
        <f>AP46/AP47</f>
        <v>12.022024788956978</v>
      </c>
      <c r="AQ48" s="31"/>
      <c r="AR48" s="279">
        <f>AR46/AR47</f>
        <v>12.068536010604797</v>
      </c>
      <c r="AS48" s="279">
        <f>AS46/AS47</f>
        <v>12.137676887106648</v>
      </c>
      <c r="AT48" s="279">
        <f>AT46/AT47</f>
        <v>12.730209563769016</v>
      </c>
      <c r="AU48" s="279">
        <f>AU46/AU47</f>
        <v>12.002621829874487</v>
      </c>
      <c r="AV48" s="31"/>
    </row>
    <row r="49" spans="2:48" outlineLevel="1" x14ac:dyDescent="0.3">
      <c r="B49" s="580" t="s">
        <v>253</v>
      </c>
      <c r="C49" s="581"/>
      <c r="D49" s="276">
        <f>'IS (F1Q23)'!D9/'BS (F1Q23)'!D9</f>
        <v>1.6062306215857083</v>
      </c>
      <c r="E49" s="276">
        <f>'IS (F1Q23)'!E9/'BS (F1Q23)'!E9</f>
        <v>1.3943173943173943</v>
      </c>
      <c r="F49" s="276">
        <f>'IS (F1Q23)'!F9/'BS (F1Q23)'!F9</f>
        <v>1.4497759029791721</v>
      </c>
      <c r="G49" s="276">
        <f>'IS (F1Q23)'!G9/'BS (F1Q23)'!G9</f>
        <v>1.3989146070354381</v>
      </c>
      <c r="H49" s="126"/>
      <c r="I49" s="276">
        <f>'IS (F1Q23)'!I9/'BS (F1Q23)'!I9</f>
        <v>1.5875630013487614</v>
      </c>
      <c r="J49" s="276">
        <f>'IS (F1Q23)'!J9/'BS (F1Q23)'!J9</f>
        <v>1.3387615601125855</v>
      </c>
      <c r="K49" s="276">
        <f>'IS (F1Q23)'!K9/'BS (F1Q23)'!K9</f>
        <v>0.93698699330723578</v>
      </c>
      <c r="L49" s="276">
        <f>'IS (F1Q23)'!L9/'BS (F1Q23)'!L9</f>
        <v>1.2742039448240299</v>
      </c>
      <c r="M49" s="31"/>
      <c r="N49" s="276">
        <f>'IS (F1Q23)'!N9/'BS (F1Q23)'!N9</f>
        <v>1.3925246347264695</v>
      </c>
      <c r="O49" s="276">
        <f>'IS (F1Q23)'!O9/'BS (F1Q23)'!O9</f>
        <v>1.3250864591646716</v>
      </c>
      <c r="P49" s="276">
        <f>'IS (F1Q23)'!P9/'BS (F1Q23)'!P9</f>
        <v>1.4248805063945227</v>
      </c>
      <c r="Q49" s="276">
        <f>'IS (F1Q23)'!Q9/'BS (F1Q23)'!Q9</f>
        <v>1.5531516927489244</v>
      </c>
      <c r="R49" s="31"/>
      <c r="S49" s="276">
        <f>'IS (F1Q23)'!S9/'BS (F1Q23)'!S9</f>
        <v>1.5435220817298883</v>
      </c>
      <c r="T49" s="276">
        <f>'IS (F1Q23)'!T9/'BS (F1Q23)'!T9</f>
        <v>1.2842708333333335</v>
      </c>
      <c r="U49" s="276">
        <f>'IS (F1Q23)'!U9/'BS (F1Q23)'!U9</f>
        <v>1.2253739040742651</v>
      </c>
      <c r="V49" s="276">
        <f>'IS (F1Q23)'!V9/'BS (F1Q23)'!V9</f>
        <v>1.2455205366167417</v>
      </c>
      <c r="W49" s="126"/>
      <c r="X49" s="276">
        <f>'IS (F1Q23)'!X9/'BS (F1Q23)'!X9</f>
        <v>1.3458167712274316</v>
      </c>
      <c r="Y49" s="277">
        <f t="shared" ref="Y49:AA49" si="43">AVERAGE(T49,O49,J49)</f>
        <v>1.3160396175368636</v>
      </c>
      <c r="Z49" s="277">
        <f t="shared" si="43"/>
        <v>1.1957471345920079</v>
      </c>
      <c r="AA49" s="277">
        <f t="shared" si="43"/>
        <v>1.3576253913965652</v>
      </c>
      <c r="AB49" s="278"/>
      <c r="AC49" s="277">
        <f t="shared" ref="AC49:AF49" si="44">AVERAGE(X49,S49,N49)</f>
        <v>1.4272878292279298</v>
      </c>
      <c r="AD49" s="277">
        <f t="shared" si="44"/>
        <v>1.3084656366782896</v>
      </c>
      <c r="AE49" s="277">
        <f t="shared" si="44"/>
        <v>1.2820005150202654</v>
      </c>
      <c r="AF49" s="277">
        <f t="shared" si="44"/>
        <v>1.385432540254077</v>
      </c>
      <c r="AG49" s="278"/>
      <c r="AH49" s="277">
        <f t="shared" ref="AH49:AK49" si="45">AVERAGE(AC49,X49,S49)</f>
        <v>1.4388755607284167</v>
      </c>
      <c r="AI49" s="277">
        <f t="shared" si="45"/>
        <v>1.3029253625161621</v>
      </c>
      <c r="AJ49" s="277">
        <f t="shared" si="45"/>
        <v>1.234373851228846</v>
      </c>
      <c r="AK49" s="277">
        <f t="shared" si="45"/>
        <v>1.3295261560891281</v>
      </c>
      <c r="AL49" s="278"/>
      <c r="AM49" s="277">
        <f t="shared" ref="AM49:AP49" si="46">AVERAGE(AH49,AC49,X49)</f>
        <v>1.4039933870612593</v>
      </c>
      <c r="AN49" s="277">
        <f t="shared" si="46"/>
        <v>1.3091435389104384</v>
      </c>
      <c r="AO49" s="277">
        <f t="shared" si="46"/>
        <v>1.2373738336137066</v>
      </c>
      <c r="AP49" s="277">
        <f t="shared" si="46"/>
        <v>1.3575280292465901</v>
      </c>
      <c r="AQ49" s="278"/>
      <c r="AR49" s="277">
        <f t="shared" ref="AR49:AU49" si="47">AVERAGE(AM49,AH49,AC49)</f>
        <v>1.423385592339202</v>
      </c>
      <c r="AS49" s="277">
        <f t="shared" si="47"/>
        <v>1.3068448460349635</v>
      </c>
      <c r="AT49" s="277">
        <f t="shared" si="47"/>
        <v>1.2512493999542726</v>
      </c>
      <c r="AU49" s="277">
        <f t="shared" si="47"/>
        <v>1.3574955751965982</v>
      </c>
      <c r="AV49" s="278"/>
    </row>
    <row r="50" spans="2:48" s="23" customFormat="1" outlineLevel="1" x14ac:dyDescent="0.3">
      <c r="B50" s="607" t="s">
        <v>252</v>
      </c>
      <c r="C50" s="608"/>
      <c r="D50" s="279">
        <f>D46/D49</f>
        <v>57.276955602536987</v>
      </c>
      <c r="E50" s="279">
        <f>E46/E49</f>
        <v>64.547713717693838</v>
      </c>
      <c r="F50" s="274">
        <f>F46/F49</f>
        <v>62.768321513002363</v>
      </c>
      <c r="G50" s="274">
        <f>G46/G49</f>
        <v>65.765272259873825</v>
      </c>
      <c r="H50" s="126"/>
      <c r="I50" s="274">
        <f>I46/I49</f>
        <v>57.950456090144868</v>
      </c>
      <c r="J50" s="274">
        <f>J46/J49</f>
        <v>67.973269259648589</v>
      </c>
      <c r="K50" s="274">
        <f>K46/K49</f>
        <v>97.119811320754721</v>
      </c>
      <c r="L50" s="279">
        <f>L46/L49</f>
        <v>72.201942533387296</v>
      </c>
      <c r="M50" s="31"/>
      <c r="N50" s="279">
        <f>N46/N49</f>
        <v>66.067053828510083</v>
      </c>
      <c r="O50" s="279">
        <f>O46/O49</f>
        <v>67.920096366191515</v>
      </c>
      <c r="P50" s="279">
        <f>P46/P49</f>
        <v>63.865004533091565</v>
      </c>
      <c r="Q50" s="279">
        <f>Q46/Q49</f>
        <v>59.234394444221429</v>
      </c>
      <c r="R50" s="31"/>
      <c r="S50" s="279">
        <f>S46/S49</f>
        <v>59.603941588507659</v>
      </c>
      <c r="T50" s="279">
        <f>T46/T49</f>
        <v>70.078676291670035</v>
      </c>
      <c r="U50" s="279">
        <f>U46/U49</f>
        <v>74.263047138047142</v>
      </c>
      <c r="V50" s="279">
        <f>V46/V49</f>
        <v>73.864699372925116</v>
      </c>
      <c r="W50" s="126"/>
      <c r="X50" s="279">
        <f>X46/X49</f>
        <v>68.359974379047756</v>
      </c>
      <c r="Y50" s="279">
        <f>Y46/Y49</f>
        <v>68.38699899357627</v>
      </c>
      <c r="Z50" s="279">
        <f>Z46/Z49</f>
        <v>76.103046678886201</v>
      </c>
      <c r="AA50" s="279">
        <f>AA46/AA49</f>
        <v>67.765379598094597</v>
      </c>
      <c r="AB50" s="31"/>
      <c r="AC50" s="279">
        <f>AC46/AC49</f>
        <v>64.457916697689512</v>
      </c>
      <c r="AD50" s="279">
        <f>AD46/AD49</f>
        <v>69.547107275216902</v>
      </c>
      <c r="AE50" s="279">
        <f>AE46/AE49</f>
        <v>70.982810797514773</v>
      </c>
      <c r="AF50" s="279">
        <f>AF46/AF49</f>
        <v>66.405254190960434</v>
      </c>
      <c r="AG50" s="31"/>
      <c r="AH50" s="279">
        <f>AH46/AH49</f>
        <v>63.938816191600267</v>
      </c>
      <c r="AI50" s="279">
        <f>AI46/AI49</f>
        <v>69.075330474951585</v>
      </c>
      <c r="AJ50" s="279">
        <f>AJ46/AJ49</f>
        <v>73.721587596340868</v>
      </c>
      <c r="AK50" s="279">
        <f>AK46/AK49</f>
        <v>69.19758560495184</v>
      </c>
      <c r="AL50" s="31"/>
      <c r="AM50" s="279">
        <f>AM46/AM49</f>
        <v>65.527374165606261</v>
      </c>
      <c r="AN50" s="279">
        <f>AN46/AN49</f>
        <v>68.747236131879276</v>
      </c>
      <c r="AO50" s="279">
        <f>AO46/AO49</f>
        <v>73.542851422870086</v>
      </c>
      <c r="AP50" s="279">
        <f>AP46/AP49</f>
        <v>67.770239743085654</v>
      </c>
      <c r="AQ50" s="31"/>
      <c r="AR50" s="279">
        <f>AR46/AR49</f>
        <v>64.634629221451192</v>
      </c>
      <c r="AS50" s="279">
        <f>AS46/AS49</f>
        <v>68.868160036797605</v>
      </c>
      <c r="AT50" s="279">
        <f>AT46/AT49</f>
        <v>72.727307604163983</v>
      </c>
      <c r="AU50" s="279">
        <f>AU46/AU49</f>
        <v>67.771859946339916</v>
      </c>
      <c r="AV50" s="31"/>
    </row>
    <row r="51" spans="2:48" s="23" customFormat="1" outlineLevel="1" x14ac:dyDescent="0.3">
      <c r="B51" s="580" t="s">
        <v>254</v>
      </c>
      <c r="C51" s="581"/>
      <c r="D51" s="276">
        <f>'IS (F1Q23)'!D9/'BS (F1Q23)'!D22</f>
        <v>1.9771013175829171</v>
      </c>
      <c r="E51" s="276">
        <f>'IS (F1Q23)'!E9/'BS (F1Q23)'!E22</f>
        <v>1.8345946931704202</v>
      </c>
      <c r="F51" s="276">
        <f>'IS (F1Q23)'!F9/'BS (F1Q23)'!F22</f>
        <v>1.9203771608171816</v>
      </c>
      <c r="G51" s="276">
        <f>'IS (F1Q23)'!G9/'BS (F1Q23)'!G22</f>
        <v>1.7983525258468513</v>
      </c>
      <c r="H51" s="127"/>
      <c r="I51" s="276">
        <f>'IS (F1Q23)'!I9/'BS (F1Q23)'!I22</f>
        <v>2.0600589535740608</v>
      </c>
      <c r="J51" s="276">
        <f>'IS (F1Q23)'!J9/'BS (F1Q23)'!J22</f>
        <v>2.0023053021950488</v>
      </c>
      <c r="K51" s="276">
        <f>'IS (F1Q23)'!K9/'BS (F1Q23)'!K22</f>
        <v>1.7239776951672863</v>
      </c>
      <c r="L51" s="276">
        <f>'IS (F1Q23)'!L9/'BS (F1Q23)'!L22</f>
        <v>1.9809600160336707</v>
      </c>
      <c r="M51" s="280"/>
      <c r="N51" s="276">
        <f>'IS (F1Q23)'!N9/'BS (F1Q23)'!N22</f>
        <v>1.9504092899295642</v>
      </c>
      <c r="O51" s="276">
        <f>'IS (F1Q23)'!O9/'BS (F1Q23)'!O22</f>
        <v>1.9276315789473686</v>
      </c>
      <c r="P51" s="276">
        <f>'IS (F1Q23)'!P9/'BS (F1Q23)'!P22</f>
        <v>1.9574090505767525</v>
      </c>
      <c r="Q51" s="276">
        <f>'IS (F1Q23)'!Q9/'BS (F1Q23)'!Q22</f>
        <v>2.0560415978870914</v>
      </c>
      <c r="R51" s="280"/>
      <c r="S51" s="276">
        <f>'IS (F1Q23)'!S9/'BS (F1Q23)'!S22</f>
        <v>1.9597487203350394</v>
      </c>
      <c r="T51" s="276">
        <f>'IS (F1Q23)'!T9/'BS (F1Q23)'!T22</f>
        <v>1.8546822113576533</v>
      </c>
      <c r="U51" s="276">
        <f>'IS (F1Q23)'!U9/'BS (F1Q23)'!U22</f>
        <v>1.7543294401933145</v>
      </c>
      <c r="V51" s="276">
        <f>'IS (F1Q23)'!V9/'BS (F1Q23)'!V22</f>
        <v>1.8808103232967948</v>
      </c>
      <c r="W51" s="127"/>
      <c r="X51" s="276">
        <f>'IS (F1Q23)'!X9/'BS (F1Q23)'!X22</f>
        <v>2.0844088414181869</v>
      </c>
      <c r="Y51" s="277">
        <f t="shared" ref="Y51:AA51" si="48">AVERAGE(T51,O51,J51)</f>
        <v>1.9282063641666902</v>
      </c>
      <c r="Z51" s="277">
        <f t="shared" si="48"/>
        <v>1.8119053953124509</v>
      </c>
      <c r="AA51" s="277">
        <f t="shared" si="48"/>
        <v>1.9726039790725192</v>
      </c>
      <c r="AB51" s="31"/>
      <c r="AC51" s="277">
        <f t="shared" ref="AC51:AF51" si="49">AVERAGE(X51,S51,N51)</f>
        <v>1.9981889505609303</v>
      </c>
      <c r="AD51" s="277">
        <f t="shared" si="49"/>
        <v>1.9035067181572376</v>
      </c>
      <c r="AE51" s="277">
        <f t="shared" si="49"/>
        <v>1.8412146286941729</v>
      </c>
      <c r="AF51" s="277">
        <f t="shared" si="49"/>
        <v>1.9698186334188019</v>
      </c>
      <c r="AG51" s="31"/>
      <c r="AH51" s="277">
        <f t="shared" ref="AH51:AK51" si="50">AVERAGE(AC51,X51,S51)</f>
        <v>2.0141155041047187</v>
      </c>
      <c r="AI51" s="277">
        <f t="shared" si="50"/>
        <v>1.8954650978938605</v>
      </c>
      <c r="AJ51" s="277">
        <f t="shared" si="50"/>
        <v>1.8024831547333129</v>
      </c>
      <c r="AK51" s="277">
        <f t="shared" si="50"/>
        <v>1.9410776452627054</v>
      </c>
      <c r="AL51" s="31"/>
      <c r="AM51" s="277">
        <f t="shared" ref="AM51:AP51" si="51">AVERAGE(AH51,AC51,X51)</f>
        <v>2.0322377653612786</v>
      </c>
      <c r="AN51" s="277">
        <f t="shared" si="51"/>
        <v>1.9090593934059295</v>
      </c>
      <c r="AO51" s="277">
        <f t="shared" si="51"/>
        <v>1.8185343929133122</v>
      </c>
      <c r="AP51" s="277">
        <f t="shared" si="51"/>
        <v>1.9611667525846757</v>
      </c>
      <c r="AQ51" s="31"/>
      <c r="AR51" s="277">
        <f t="shared" ref="AR51:AU51" si="52">AVERAGE(AM51,AH51,AC51)</f>
        <v>2.0148474066756425</v>
      </c>
      <c r="AS51" s="277">
        <f t="shared" si="52"/>
        <v>1.9026770698190092</v>
      </c>
      <c r="AT51" s="277">
        <f t="shared" si="52"/>
        <v>1.8207440587802661</v>
      </c>
      <c r="AU51" s="277">
        <f t="shared" si="52"/>
        <v>1.9573543437553944</v>
      </c>
      <c r="AV51" s="31"/>
    </row>
    <row r="52" spans="2:48" s="23" customFormat="1" outlineLevel="1" x14ac:dyDescent="0.3">
      <c r="B52" s="607" t="s">
        <v>255</v>
      </c>
      <c r="C52" s="608"/>
      <c r="D52" s="16">
        <f>D46/D51</f>
        <v>46.532769556025364</v>
      </c>
      <c r="E52" s="16">
        <f>E46/E51</f>
        <v>49.057157057654081</v>
      </c>
      <c r="F52" s="101">
        <f>F46/F51</f>
        <v>47.386524822695037</v>
      </c>
      <c r="G52" s="101">
        <f>G46/G51</f>
        <v>51.157934096751603</v>
      </c>
      <c r="H52" s="128"/>
      <c r="I52" s="101">
        <f>I46/I51</f>
        <v>44.658916115185114</v>
      </c>
      <c r="J52" s="101">
        <f>J46/J51</f>
        <v>45.447614756970509</v>
      </c>
      <c r="K52" s="101">
        <f>K46/K51</f>
        <v>52.784905660377355</v>
      </c>
      <c r="L52" s="16">
        <f>L46/L51</f>
        <v>46.44212869283691</v>
      </c>
      <c r="M52" s="28"/>
      <c r="N52" s="16">
        <f>N46/N51</f>
        <v>47.169586647796592</v>
      </c>
      <c r="O52" s="16">
        <f>O46/O51</f>
        <v>46.689419795221838</v>
      </c>
      <c r="P52" s="16">
        <f>P46/P51</f>
        <v>46.490027198549406</v>
      </c>
      <c r="Q52" s="16">
        <f>Q46/Q51</f>
        <v>44.74617638794107</v>
      </c>
      <c r="R52" s="28"/>
      <c r="S52" s="16">
        <f>S46/S51</f>
        <v>46.944794016383717</v>
      </c>
      <c r="T52" s="16">
        <f>T46/T51</f>
        <v>48.525833400924647</v>
      </c>
      <c r="U52" s="16">
        <f>U46/U51</f>
        <v>51.871671258034894</v>
      </c>
      <c r="V52" s="16">
        <f>V46/V51</f>
        <v>48.915086683880489</v>
      </c>
      <c r="W52" s="28"/>
      <c r="X52" s="16">
        <f>X46/X51</f>
        <v>44.137214433136435</v>
      </c>
      <c r="Y52" s="16">
        <f>Y46/Y51</f>
        <v>46.675501996330745</v>
      </c>
      <c r="Z52" s="16">
        <f>Z46/Z51</f>
        <v>50.223372718810005</v>
      </c>
      <c r="AA52" s="16">
        <f>AA46/AA51</f>
        <v>46.638859586634645</v>
      </c>
      <c r="AB52" s="28"/>
      <c r="AC52" s="16">
        <f>AC46/AC51</f>
        <v>46.041691890135723</v>
      </c>
      <c r="AD52" s="16">
        <f>AD46/AD51</f>
        <v>47.80650319327269</v>
      </c>
      <c r="AE52" s="16">
        <f>AE46/AE51</f>
        <v>49.423895824974551</v>
      </c>
      <c r="AF52" s="16">
        <f>AF46/AF51</f>
        <v>46.70480745748938</v>
      </c>
      <c r="AG52" s="28"/>
      <c r="AH52" s="16">
        <f>AH46/AH51</f>
        <v>45.677618692923133</v>
      </c>
      <c r="AI52" s="16">
        <f>AI46/AI51</f>
        <v>47.481750046467852</v>
      </c>
      <c r="AJ52" s="16">
        <f>AJ46/AJ51</f>
        <v>50.485908709345992</v>
      </c>
      <c r="AK52" s="16">
        <f>AK46/AK51</f>
        <v>47.396352343004146</v>
      </c>
      <c r="AL52" s="28"/>
      <c r="AM52" s="16">
        <f>AM46/AM51</f>
        <v>45.270293450946085</v>
      </c>
      <c r="AN52" s="16">
        <f>AN46/AN51</f>
        <v>47.143635400170609</v>
      </c>
      <c r="AO52" s="16">
        <f>AO46/AO51</f>
        <v>50.040296380766819</v>
      </c>
      <c r="AP52" s="16">
        <f>AP46/AP51</f>
        <v>46.910850328637615</v>
      </c>
      <c r="AQ52" s="28"/>
      <c r="AR52" s="16">
        <f>AR46/AR51</f>
        <v>45.661026088220531</v>
      </c>
      <c r="AS52" s="16">
        <f>AS46/AS51</f>
        <v>47.301773604998132</v>
      </c>
      <c r="AT52" s="16">
        <f>AT46/AT51</f>
        <v>49.979567178135831</v>
      </c>
      <c r="AU52" s="16">
        <f>AU46/AU51</f>
        <v>47.002220264057108</v>
      </c>
      <c r="AV52" s="28"/>
    </row>
    <row r="53" spans="2:48" s="23" customFormat="1" outlineLevel="1" x14ac:dyDescent="0.3">
      <c r="B53" s="580" t="s">
        <v>256</v>
      </c>
      <c r="C53" s="581"/>
      <c r="D53" s="30">
        <f t="shared" ref="D53:L53" si="53">(D12+D7)/D20</f>
        <v>2.4783172266068774E-2</v>
      </c>
      <c r="E53" s="30">
        <f t="shared" si="53"/>
        <v>1.862044337628033E-2</v>
      </c>
      <c r="F53" s="118">
        <f t="shared" si="53"/>
        <v>1.4104190097872643E-2</v>
      </c>
      <c r="G53" s="118">
        <f t="shared" si="53"/>
        <v>1.5114935950133718E-2</v>
      </c>
      <c r="H53" s="128">
        <f t="shared" si="53"/>
        <v>1.5114935950133718E-2</v>
      </c>
      <c r="I53" s="118">
        <f t="shared" si="53"/>
        <v>9.6713821566244626E-3</v>
      </c>
      <c r="J53" s="118">
        <f t="shared" si="53"/>
        <v>9.1597553031598795E-3</v>
      </c>
      <c r="K53" s="118">
        <f t="shared" si="53"/>
        <v>1.5555616562459249E-2</v>
      </c>
      <c r="L53" s="118">
        <f t="shared" si="53"/>
        <v>1.6589218539890038E-2</v>
      </c>
      <c r="M53" s="28"/>
      <c r="N53" s="118">
        <f>(N12+N7)/N20</f>
        <v>1.4228367975494099E-2</v>
      </c>
      <c r="O53" s="118">
        <f>(O12+O7)/O20</f>
        <v>1.4373528458035493E-2</v>
      </c>
      <c r="P53" s="118">
        <f>(P12+P7)/P20</f>
        <v>1.4910030939586384E-2</v>
      </c>
      <c r="Q53" s="118">
        <f>(Q12+Q7)/Q20</f>
        <v>1.4140275096678831E-2</v>
      </c>
      <c r="R53" s="28"/>
      <c r="S53" s="118">
        <f>(S12+S7)/S20</f>
        <v>1.3421701538813684E-2</v>
      </c>
      <c r="T53" s="118">
        <f>(T12+T7)/T20</f>
        <v>1.2669917130403319E-2</v>
      </c>
      <c r="U53" s="118">
        <f>(U12+U7)/U20</f>
        <v>1.3119668137035531E-2</v>
      </c>
      <c r="V53" s="118">
        <f>(V12+V7)/V20</f>
        <v>2.3003542030788138E-2</v>
      </c>
      <c r="W53" s="28"/>
      <c r="X53" s="118">
        <f>(X12+X7)/X20</f>
        <v>1.442171574178935E-2</v>
      </c>
      <c r="Y53" s="34">
        <f>AVERAGE(T53,U53,V53,X53)</f>
        <v>1.5803710760004086E-2</v>
      </c>
      <c r="Z53" s="34">
        <f>AVERAGE(U53,V53,X53,Y53)</f>
        <v>1.6587159167404275E-2</v>
      </c>
      <c r="AA53" s="34">
        <f>AVERAGE(V53,X53,Y53,Z53)</f>
        <v>1.7454031924996463E-2</v>
      </c>
      <c r="AB53" s="28"/>
      <c r="AC53" s="34">
        <f>AVERAGE(X53,Y53,Z53,AA53)</f>
        <v>1.6066654398548545E-2</v>
      </c>
      <c r="AD53" s="34">
        <f>AVERAGE(Y53,Z53,AA53,AC53)</f>
        <v>1.6477889062738341E-2</v>
      </c>
      <c r="AE53" s="34">
        <f>AVERAGE(Z53,AA53,AC53,AD53)</f>
        <v>1.6646433638421904E-2</v>
      </c>
      <c r="AF53" s="34">
        <f>AVERAGE(AA53,AC53,AD53,AE53)</f>
        <v>1.6661252256176311E-2</v>
      </c>
      <c r="AG53" s="28"/>
      <c r="AH53" s="34">
        <f>AVERAGE(AC53,AD53,AE53,AF53)</f>
        <v>1.6463057338971278E-2</v>
      </c>
      <c r="AI53" s="34">
        <f>AVERAGE(AD53,AE53,AF53,AH53)</f>
        <v>1.656215807407696E-2</v>
      </c>
      <c r="AJ53" s="34">
        <f>AVERAGE(AE53,AF53,AH53,AI53)</f>
        <v>1.6583225326911616E-2</v>
      </c>
      <c r="AK53" s="34">
        <f>AVERAGE(AF53,AH53,AI53,AJ53)</f>
        <v>1.6567423249034041E-2</v>
      </c>
      <c r="AL53" s="28"/>
      <c r="AM53" s="34">
        <f>AVERAGE(AH53,AI53,AJ53,AK53)</f>
        <v>1.6543965997248472E-2</v>
      </c>
      <c r="AN53" s="34">
        <f>AVERAGE(AI53,AJ53,AK53,AM53)</f>
        <v>1.6564193161817772E-2</v>
      </c>
      <c r="AO53" s="34">
        <f>AVERAGE(AJ53,AK53,AM53,AN53)</f>
        <v>1.6564701933752975E-2</v>
      </c>
      <c r="AP53" s="34">
        <f>AVERAGE(AK53,AM53,AN53,AO53)</f>
        <v>1.6560071085463316E-2</v>
      </c>
      <c r="AQ53" s="28"/>
      <c r="AR53" s="34">
        <f>AVERAGE(AM53,AN53,AO53,AP53)</f>
        <v>1.6558233044570634E-2</v>
      </c>
      <c r="AS53" s="34">
        <f>AVERAGE(AN53,AO53,AP53,AR53)</f>
        <v>1.6561799806401174E-2</v>
      </c>
      <c r="AT53" s="34">
        <f>AVERAGE(AO53,AP53,AR53,AS53)</f>
        <v>1.6561201467547023E-2</v>
      </c>
      <c r="AU53" s="34">
        <f>AVERAGE(AP53,AR53,AS53,AT53)</f>
        <v>1.6560326350995538E-2</v>
      </c>
      <c r="AV53" s="28"/>
    </row>
    <row r="54" spans="2:48" s="23" customFormat="1" outlineLevel="1" x14ac:dyDescent="0.3">
      <c r="B54" s="180" t="s">
        <v>257</v>
      </c>
      <c r="C54" s="201"/>
      <c r="D54" s="30">
        <f t="shared" ref="D54:L54" si="54">D7/(D7+D12)</f>
        <v>0.4648626817447496</v>
      </c>
      <c r="E54" s="30">
        <f t="shared" si="54"/>
        <v>0.23318112633181123</v>
      </c>
      <c r="F54" s="118">
        <f t="shared" si="54"/>
        <v>0.24465558194774345</v>
      </c>
      <c r="G54" s="118">
        <f t="shared" si="54"/>
        <v>0.24268502581755594</v>
      </c>
      <c r="H54" s="128">
        <f t="shared" si="54"/>
        <v>0.24268502581755594</v>
      </c>
      <c r="I54" s="118">
        <f t="shared" si="54"/>
        <v>0.25503355704697983</v>
      </c>
      <c r="J54" s="118">
        <f t="shared" si="54"/>
        <v>0.21017083829956296</v>
      </c>
      <c r="K54" s="118">
        <f t="shared" si="54"/>
        <v>0.50716964482682547</v>
      </c>
      <c r="L54" s="118">
        <f t="shared" si="54"/>
        <v>0.57705725425815724</v>
      </c>
      <c r="M54" s="28"/>
      <c r="N54" s="118">
        <f>N7/(N7+N12)</f>
        <v>0.55229831144465291</v>
      </c>
      <c r="O54" s="118">
        <f>O7/(O7+O12)</f>
        <v>0.30161844041196662</v>
      </c>
      <c r="P54" s="118">
        <f>P7/(P7+P12)</f>
        <v>0.34948805460750854</v>
      </c>
      <c r="Q54" s="118">
        <f>Q7/(Q7+Q12)</f>
        <v>0.3653976120747916</v>
      </c>
      <c r="R54" s="28"/>
      <c r="S54" s="118">
        <f>S7/(S7+S12)</f>
        <v>0.22583979328165377</v>
      </c>
      <c r="T54" s="118">
        <f>T7/(T7+T12)</f>
        <v>0.22327984770193088</v>
      </c>
      <c r="U54" s="118">
        <f>U7/(U7+U12)</f>
        <v>0.20817541959935032</v>
      </c>
      <c r="V54" s="118">
        <f>V7/(V7+V12)</f>
        <v>0.5663455562461156</v>
      </c>
      <c r="W54" s="28"/>
      <c r="X54" s="118">
        <f>X7/(X7+X12)</f>
        <v>0.30404907975460121</v>
      </c>
      <c r="Y54" s="34">
        <f>AVERAGE(T54,U54,V54,X54)</f>
        <v>0.32546247582549948</v>
      </c>
      <c r="Z54" s="34">
        <f>AVERAGE(U54,V54,X54,Y54)</f>
        <v>0.35100813285639165</v>
      </c>
      <c r="AA54" s="34">
        <f>AVERAGE(V54,X54,Y54,Z54)</f>
        <v>0.38671631117065203</v>
      </c>
      <c r="AB54" s="28"/>
      <c r="AC54" s="34">
        <f>AVERAGE(X54,Y54,Z54,AA54)</f>
        <v>0.34180899990178609</v>
      </c>
      <c r="AD54" s="34">
        <f>AVERAGE(Y54,Z54,AA54,AC54)</f>
        <v>0.35124897993858234</v>
      </c>
      <c r="AE54" s="34">
        <f>AVERAGE(Z54,AA54,AC54,AD54)</f>
        <v>0.35769560596685301</v>
      </c>
      <c r="AF54" s="34">
        <f>AVERAGE(AA54,AC54,AD54,AE54)</f>
        <v>0.35936747424446835</v>
      </c>
      <c r="AG54" s="28"/>
      <c r="AH54" s="34">
        <f>AVERAGE(AC54,AD54,AE54,AF54)</f>
        <v>0.35253026501292245</v>
      </c>
      <c r="AI54" s="34">
        <f>AVERAGE(AD54,AE54,AF54,AH54)</f>
        <v>0.35521058129070654</v>
      </c>
      <c r="AJ54" s="34">
        <f>AVERAGE(AE54,AF54,AH54,AI54)</f>
        <v>0.35620098162873759</v>
      </c>
      <c r="AK54" s="34">
        <f>AVERAGE(AF54,AH54,AI54,AJ54)</f>
        <v>0.35582732554420871</v>
      </c>
      <c r="AL54" s="28"/>
      <c r="AM54" s="34">
        <f>AVERAGE(AH54,AI54,AJ54,AK54)</f>
        <v>0.35494228836914377</v>
      </c>
      <c r="AN54" s="34">
        <f>AVERAGE(AI54,AJ54,AK54,AM54)</f>
        <v>0.35554529420819919</v>
      </c>
      <c r="AO54" s="34">
        <f>AVERAGE(AJ54,AK54,AM54,AN54)</f>
        <v>0.3556289724375723</v>
      </c>
      <c r="AP54" s="34">
        <f>AVERAGE(AK54,AM54,AN54,AO54)</f>
        <v>0.355485970139781</v>
      </c>
      <c r="AQ54" s="28"/>
      <c r="AR54" s="34">
        <f>AVERAGE(AM54,AN54,AO54,AP54)</f>
        <v>0.35540063128867405</v>
      </c>
      <c r="AS54" s="34">
        <f>AVERAGE(AN54,AO54,AP54,AR54)</f>
        <v>0.3555152170185566</v>
      </c>
      <c r="AT54" s="34">
        <f>AVERAGE(AO54,AP54,AR54,AS54)</f>
        <v>0.35550769772114599</v>
      </c>
      <c r="AU54" s="34">
        <f>AVERAGE(AP54,AR54,AS54,AT54)</f>
        <v>0.35547737904203941</v>
      </c>
      <c r="AV54" s="28"/>
    </row>
    <row r="55" spans="2:48" s="23" customFormat="1" outlineLevel="1" x14ac:dyDescent="0.3">
      <c r="B55" s="200" t="s">
        <v>258</v>
      </c>
      <c r="C55" s="201"/>
      <c r="D55" s="30">
        <f t="shared" ref="D55:L55" si="55">+D16/(D27+D33)</f>
        <v>7.7585075018799465E-2</v>
      </c>
      <c r="E55" s="30">
        <f t="shared" si="55"/>
        <v>0.12468259571674534</v>
      </c>
      <c r="F55" s="113">
        <f t="shared" si="55"/>
        <v>0.19119242713361023</v>
      </c>
      <c r="G55" s="113">
        <f t="shared" si="55"/>
        <v>0.22035590386103276</v>
      </c>
      <c r="H55" s="125">
        <f t="shared" si="55"/>
        <v>0.22035590386103276</v>
      </c>
      <c r="I55" s="281">
        <f t="shared" si="55"/>
        <v>0.20507171706404201</v>
      </c>
      <c r="J55" s="281">
        <f t="shared" si="55"/>
        <v>0.21050752296288999</v>
      </c>
      <c r="K55" s="113">
        <f t="shared" si="55"/>
        <v>0.2146584586535733</v>
      </c>
      <c r="L55" s="113">
        <f t="shared" si="55"/>
        <v>0.22220980757293607</v>
      </c>
      <c r="M55" s="282"/>
      <c r="N55" s="281">
        <f>+N16/(N27+N33)</f>
        <v>0.21164495979407008</v>
      </c>
      <c r="O55" s="281">
        <f>+O16/(O27+O33)</f>
        <v>0.21706605185058006</v>
      </c>
      <c r="P55" s="113">
        <f>+P16/(P27+P33)</f>
        <v>0.22796408734312845</v>
      </c>
      <c r="Q55" s="113">
        <f>+Q16/(Q27+Q33)</f>
        <v>0.23263143527192862</v>
      </c>
      <c r="R55" s="282"/>
      <c r="S55" s="281">
        <f>+S16/(S27+S33)</f>
        <v>0.21831564613072879</v>
      </c>
      <c r="T55" s="281">
        <f>+T16/(T27+T33)</f>
        <v>0.22164512770257855</v>
      </c>
      <c r="U55" s="281">
        <f>+U16/(U27+U33)</f>
        <v>0.21758667345241495</v>
      </c>
      <c r="V55" s="113">
        <f>+V16/(V27+V33)</f>
        <v>0.22718895172692385</v>
      </c>
      <c r="W55" s="282"/>
      <c r="X55" s="281">
        <f>+X16/(X27+X33)</f>
        <v>0.21568534082521842</v>
      </c>
      <c r="Y55" s="283">
        <f>AVERAGE(T55,U55,V55,X55)</f>
        <v>0.22052652342678394</v>
      </c>
      <c r="Z55" s="35">
        <f>AVERAGE(U55,V55,X55,Y55)</f>
        <v>0.22024687235783527</v>
      </c>
      <c r="AA55" s="284">
        <f>AVERAGE(V55,X55,Y55,Z55)</f>
        <v>0.22091192208419036</v>
      </c>
      <c r="AB55" s="28"/>
      <c r="AC55" s="283">
        <f>AVERAGE(X55,Y55,Z55,AA55)</f>
        <v>0.21934266467350699</v>
      </c>
      <c r="AD55" s="283">
        <f>AVERAGE(Y55,Z55,AA55,AC55)</f>
        <v>0.22025699563557916</v>
      </c>
      <c r="AE55" s="35">
        <f>AVERAGE(Z55,AA55,AC55,AD55)</f>
        <v>0.22018961368777795</v>
      </c>
      <c r="AF55" s="284">
        <f>AVERAGE(AA55,AC55,AD55,AE55)</f>
        <v>0.22017529902026362</v>
      </c>
      <c r="AG55" s="28"/>
      <c r="AH55" s="283">
        <f>AVERAGE(AC55,AD55,AE55,AF55)</f>
        <v>0.21999114325428193</v>
      </c>
      <c r="AI55" s="283">
        <f>AVERAGE(AD55,AE55,AF55,AH55)</f>
        <v>0.22015326289947565</v>
      </c>
      <c r="AJ55" s="35">
        <f>AVERAGE(AE55,AF55,AH55,AI55)</f>
        <v>0.22012732971544979</v>
      </c>
      <c r="AK55" s="284">
        <f>AVERAGE(AF55,AH55,AI55,AJ55)</f>
        <v>0.22011175872236774</v>
      </c>
      <c r="AL55" s="28"/>
      <c r="AM55" s="283">
        <f>AVERAGE(AH55,AI55,AJ55,AK55)</f>
        <v>0.22009587364789379</v>
      </c>
      <c r="AN55" s="283">
        <f>AVERAGE(AI55,AJ55,AK55,AM55)</f>
        <v>0.22012205624629677</v>
      </c>
      <c r="AO55" s="35">
        <f>AVERAGE(AJ55,AK55,AM55,AN55)</f>
        <v>0.22011425458300202</v>
      </c>
      <c r="AP55" s="284">
        <f>AVERAGE(AK55,AM55,AN55,AO55)</f>
        <v>0.22011098579989008</v>
      </c>
      <c r="AQ55" s="28"/>
      <c r="AR55" s="283">
        <f>AVERAGE(AM55,AN55,AO55,AP55)</f>
        <v>0.22011079256927066</v>
      </c>
      <c r="AS55" s="283">
        <f>AVERAGE(AN55,AO55,AP55,AR55)</f>
        <v>0.2201145222996149</v>
      </c>
      <c r="AT55" s="35">
        <f>AVERAGE(AO55,AP55,AR55,AS55)</f>
        <v>0.22011263881294443</v>
      </c>
      <c r="AU55" s="284">
        <f>AVERAGE(AP55,AR55,AS55,AT55)</f>
        <v>0.22011223487043002</v>
      </c>
      <c r="AV55" s="28"/>
    </row>
    <row r="56" spans="2:48" outlineLevel="1" x14ac:dyDescent="0.3">
      <c r="B56" s="200" t="s">
        <v>259</v>
      </c>
      <c r="C56" s="201"/>
      <c r="D56" s="285"/>
      <c r="E56" s="285">
        <f>+'CFS (F1Q23)'!E7/((E14+D14)/2)</f>
        <v>6.122482504846076E-2</v>
      </c>
      <c r="F56" s="286">
        <f>+'CFS (F1Q23)'!F7/((F14+E14)/2)</f>
        <v>5.8442138063667992E-2</v>
      </c>
      <c r="G56" s="286">
        <f>+'CFS (F1Q23)'!G7/((G14+F14)/2)</f>
        <v>5.7957922263164152E-2</v>
      </c>
      <c r="H56" s="125">
        <f>+'CFS (F1Q23)'!H7/((H14+G14)/2)</f>
        <v>0.2253370026587061</v>
      </c>
      <c r="I56" s="287">
        <f>+'CFS (F1Q23)'!I7/((I14+G14)/2)</f>
        <v>5.75858250276855E-2</v>
      </c>
      <c r="J56" s="287">
        <f>+'CFS (F1Q23)'!J7/((J14+I14)/2)</f>
        <v>5.9117695395957084E-2</v>
      </c>
      <c r="K56" s="286">
        <f>+'CFS (F1Q23)'!K7/((K14+J14)/2)</f>
        <v>5.9467301657388859E-2</v>
      </c>
      <c r="L56" s="286">
        <f>+'CFS (F1Q23)'!L7/((L14+K14)/2)</f>
        <v>6.0492940894950963E-2</v>
      </c>
      <c r="M56" s="282"/>
      <c r="N56" s="287">
        <f>+'CFS (F1Q23)'!N7/((N14+L14)/2)</f>
        <v>6.2547808652661588E-2</v>
      </c>
      <c r="O56" s="287">
        <f>+'CFS (F1Q23)'!O7/((O14+N14)/2)</f>
        <v>6.251524266319812E-2</v>
      </c>
      <c r="P56" s="286">
        <f>+'CFS (F1Q23)'!P7/((P14+O14)/2)</f>
        <v>6.0825288199111989E-2</v>
      </c>
      <c r="Q56" s="286">
        <f>+'CFS (F1Q23)'!Q7/((Q14+P14)/2)</f>
        <v>6.0363072942040873E-2</v>
      </c>
      <c r="R56" s="282"/>
      <c r="S56" s="287">
        <f>+'CFS (F1Q23)'!S7/((S14+Q14)/2)</f>
        <v>6.052868611709418E-2</v>
      </c>
      <c r="T56" s="287">
        <f>+'CFS (F1Q23)'!T7/((T14+S14)/2)</f>
        <v>6.0861044576476821E-2</v>
      </c>
      <c r="U56" s="287">
        <f>+'CFS (F1Q23)'!U7/((U14+T14)/2)</f>
        <v>6.0812805967829661E-2</v>
      </c>
      <c r="V56" s="286">
        <f>+'CFS (F1Q23)'!V7/((V14+U14)/2)</f>
        <v>5.5579973320379075E-2</v>
      </c>
      <c r="W56" s="282"/>
      <c r="X56" s="287">
        <f>+'CFS (F1Q23)'!X7/((X14+V14)/2)</f>
        <v>5.165912518853695E-2</v>
      </c>
      <c r="Y56" s="289">
        <f>AVERAGE(V56,X56)</f>
        <v>5.3619549254458013E-2</v>
      </c>
      <c r="Z56" s="490">
        <f>AVERAGE(U56,V56,X56,Y56)</f>
        <v>5.5417863432800918E-2</v>
      </c>
      <c r="AA56" s="288">
        <f>AVERAGE(V56,X56,Y56,Z56)</f>
        <v>5.4069127799043742E-2</v>
      </c>
      <c r="AB56" s="290"/>
      <c r="AC56" s="289">
        <f>AVERAGE(X56,Y56,Z56,AA56)</f>
        <v>5.3691416418709906E-2</v>
      </c>
      <c r="AD56" s="289">
        <f>AVERAGE(Y56,Z56,AA56,AC56)</f>
        <v>5.4199489226253145E-2</v>
      </c>
      <c r="AE56" s="288">
        <f>AVERAGE(Z56,AA56,AC56,AD56)</f>
        <v>5.4344474219201931E-2</v>
      </c>
      <c r="AF56" s="288">
        <f>AVERAGE(AA56,AC56,AD56,AE56)</f>
        <v>5.4076126915802179E-2</v>
      </c>
      <c r="AG56" s="290"/>
      <c r="AH56" s="289">
        <f>AVERAGE(AC56,AD56,AE56,AF56)</f>
        <v>5.407787669499179E-2</v>
      </c>
      <c r="AI56" s="289">
        <f>AVERAGE(AD56,AE56,AF56,AH56)</f>
        <v>5.4174491764062263E-2</v>
      </c>
      <c r="AJ56" s="288">
        <f>AVERAGE(AE56,AF56,AH56,AI56)</f>
        <v>5.4168242398514546E-2</v>
      </c>
      <c r="AK56" s="288">
        <f>AVERAGE(AF56,AH56,AI56,AJ56)</f>
        <v>5.4124184443342688E-2</v>
      </c>
      <c r="AL56" s="290"/>
      <c r="AM56" s="289">
        <f>AVERAGE(AH56,AI56,AJ56,AK56)</f>
        <v>5.413619882522782E-2</v>
      </c>
      <c r="AN56" s="289">
        <f>AVERAGE(AI56,AJ56,AK56,AM56)</f>
        <v>5.4150779357786831E-2</v>
      </c>
      <c r="AO56" s="288">
        <f>AVERAGE(AJ56,AK56,AM56,AN56)</f>
        <v>5.4144851256217971E-2</v>
      </c>
      <c r="AP56" s="288">
        <f>AVERAGE(AK56,AM56,AN56,AO56)</f>
        <v>5.4139003470643834E-2</v>
      </c>
      <c r="AQ56" s="290"/>
      <c r="AR56" s="289">
        <f>AVERAGE(AM56,AN56,AO56,AP56)</f>
        <v>5.4142708227469111E-2</v>
      </c>
      <c r="AS56" s="289">
        <f>AVERAGE(AN56,AO56,AP56,AR56)</f>
        <v>5.4144335578029439E-2</v>
      </c>
      <c r="AT56" s="288">
        <f>AVERAGE(AO56,AP56,AR56,AS56)</f>
        <v>5.414272463309009E-2</v>
      </c>
      <c r="AU56" s="288">
        <f>AVERAGE(AP56,AR56,AS56,AT56)</f>
        <v>5.4142192977308115E-2</v>
      </c>
      <c r="AV56" s="290"/>
    </row>
    <row r="57" spans="2:48" outlineLevel="1" x14ac:dyDescent="0.3">
      <c r="B57" s="200"/>
      <c r="C57" s="201"/>
      <c r="D57" s="285"/>
      <c r="E57" s="285"/>
      <c r="F57" s="286"/>
      <c r="G57" s="286"/>
      <c r="H57" s="125"/>
      <c r="I57" s="287"/>
      <c r="J57" s="287"/>
      <c r="K57" s="286"/>
      <c r="L57" s="286"/>
      <c r="M57" s="282"/>
      <c r="N57" s="287"/>
      <c r="O57" s="287"/>
      <c r="P57" s="286"/>
      <c r="Q57" s="286"/>
      <c r="R57" s="282"/>
      <c r="S57" s="287"/>
      <c r="T57" s="287"/>
      <c r="U57" s="287"/>
      <c r="V57" s="286"/>
      <c r="W57" s="282"/>
      <c r="X57" s="287"/>
      <c r="Y57" s="289"/>
      <c r="Z57" s="288"/>
      <c r="AA57" s="288"/>
      <c r="AB57" s="290"/>
      <c r="AC57" s="289"/>
      <c r="AD57" s="289"/>
      <c r="AE57" s="288"/>
      <c r="AF57" s="288"/>
      <c r="AG57" s="290"/>
      <c r="AH57" s="289"/>
      <c r="AI57" s="289"/>
      <c r="AJ57" s="288"/>
      <c r="AK57" s="288"/>
      <c r="AL57" s="290"/>
      <c r="AM57" s="289"/>
      <c r="AN57" s="289"/>
      <c r="AO57" s="288"/>
      <c r="AP57" s="288"/>
      <c r="AQ57" s="290"/>
      <c r="AR57" s="289"/>
      <c r="AS57" s="289"/>
      <c r="AT57" s="288"/>
      <c r="AU57" s="288"/>
      <c r="AV57" s="290"/>
    </row>
    <row r="58" spans="2:48" s="296" customFormat="1" outlineLevel="1" x14ac:dyDescent="0.3">
      <c r="B58" s="291" t="s">
        <v>260</v>
      </c>
      <c r="C58" s="249"/>
      <c r="D58" s="292"/>
      <c r="E58" s="292"/>
      <c r="F58" s="293"/>
      <c r="G58" s="293"/>
      <c r="H58" s="294"/>
      <c r="I58" s="292"/>
      <c r="J58" s="292"/>
      <c r="K58" s="293"/>
      <c r="L58" s="293"/>
      <c r="M58" s="294"/>
      <c r="N58" s="292"/>
      <c r="O58" s="292"/>
      <c r="P58" s="293"/>
      <c r="Q58" s="293"/>
      <c r="R58" s="294"/>
      <c r="S58" s="292"/>
      <c r="T58" s="292"/>
      <c r="U58" s="292"/>
      <c r="V58" s="293"/>
      <c r="W58" s="294"/>
      <c r="X58" s="292"/>
      <c r="Y58" s="292"/>
      <c r="Z58" s="293"/>
      <c r="AA58" s="293"/>
      <c r="AB58" s="295"/>
      <c r="AC58" s="292"/>
      <c r="AD58" s="292"/>
      <c r="AE58" s="293"/>
      <c r="AF58" s="293"/>
      <c r="AG58" s="295"/>
      <c r="AH58" s="292"/>
      <c r="AI58" s="292"/>
      <c r="AJ58" s="293"/>
      <c r="AK58" s="293"/>
      <c r="AL58" s="295"/>
      <c r="AM58" s="292"/>
      <c r="AN58" s="292"/>
      <c r="AO58" s="293"/>
      <c r="AP58" s="293"/>
      <c r="AQ58" s="295"/>
      <c r="AR58" s="292"/>
      <c r="AS58" s="292"/>
      <c r="AT58" s="293"/>
      <c r="AU58" s="293"/>
      <c r="AV58" s="295"/>
    </row>
    <row r="59" spans="2:48" s="302" customFormat="1" outlineLevel="1" x14ac:dyDescent="0.3">
      <c r="B59" s="200" t="s">
        <v>261</v>
      </c>
      <c r="C59" s="297"/>
      <c r="D59" s="298"/>
      <c r="E59" s="298"/>
      <c r="F59" s="146"/>
      <c r="G59" s="146"/>
      <c r="H59" s="122"/>
      <c r="I59" s="299"/>
      <c r="J59" s="299"/>
      <c r="K59" s="146"/>
      <c r="L59" s="146"/>
      <c r="M59" s="26"/>
      <c r="N59" s="299"/>
      <c r="O59" s="299"/>
      <c r="P59" s="146"/>
      <c r="Q59" s="146"/>
      <c r="R59" s="26"/>
      <c r="S59" s="299"/>
      <c r="T59" s="299"/>
      <c r="U59" s="299"/>
      <c r="V59" s="146"/>
      <c r="W59" s="26"/>
      <c r="X59" s="299"/>
      <c r="Y59" s="301">
        <v>999</v>
      </c>
      <c r="Z59" s="300">
        <v>0</v>
      </c>
      <c r="AA59" s="300">
        <v>0</v>
      </c>
      <c r="AB59" s="6"/>
      <c r="AC59" s="301">
        <v>750</v>
      </c>
      <c r="AD59" s="301">
        <f>500+639</f>
        <v>1139</v>
      </c>
      <c r="AE59" s="300">
        <v>0</v>
      </c>
      <c r="AF59" s="300">
        <v>0</v>
      </c>
      <c r="AG59" s="6"/>
      <c r="AH59" s="301">
        <v>0</v>
      </c>
      <c r="AI59" s="301">
        <v>0</v>
      </c>
      <c r="AJ59" s="300">
        <v>0</v>
      </c>
      <c r="AK59" s="300">
        <v>1250</v>
      </c>
      <c r="AL59" s="6"/>
      <c r="AM59" s="301">
        <v>0</v>
      </c>
      <c r="AN59" s="301">
        <v>1000</v>
      </c>
      <c r="AO59" s="300">
        <v>500</v>
      </c>
      <c r="AP59" s="300">
        <v>0</v>
      </c>
      <c r="AQ59" s="6"/>
      <c r="AR59" s="301">
        <v>0</v>
      </c>
      <c r="AS59" s="301">
        <v>500</v>
      </c>
      <c r="AT59" s="300">
        <v>0</v>
      </c>
      <c r="AU59" s="300">
        <v>0</v>
      </c>
      <c r="AV59" s="6"/>
    </row>
    <row r="60" spans="2:48" s="302" customFormat="1" outlineLevel="1" x14ac:dyDescent="0.3">
      <c r="B60" s="200" t="s">
        <v>262</v>
      </c>
      <c r="C60" s="297"/>
      <c r="D60" s="298"/>
      <c r="E60" s="298"/>
      <c r="F60" s="146"/>
      <c r="G60" s="146"/>
      <c r="H60" s="122"/>
      <c r="I60" s="299"/>
      <c r="J60" s="299"/>
      <c r="K60" s="146"/>
      <c r="L60" s="146"/>
      <c r="M60" s="26"/>
      <c r="N60" s="299"/>
      <c r="O60" s="299"/>
      <c r="P60" s="146"/>
      <c r="Q60" s="146"/>
      <c r="R60" s="26"/>
      <c r="S60" s="299"/>
      <c r="T60" s="299"/>
      <c r="U60" s="299"/>
      <c r="V60" s="146"/>
      <c r="W60" s="26"/>
      <c r="X60" s="146"/>
      <c r="Y60" s="300"/>
      <c r="Z60" s="300">
        <f>AD59</f>
        <v>1139</v>
      </c>
      <c r="AA60" s="300">
        <f>AE59</f>
        <v>0</v>
      </c>
      <c r="AB60" s="6"/>
      <c r="AC60" s="300">
        <f>AF59</f>
        <v>0</v>
      </c>
      <c r="AD60" s="300">
        <f>AH59</f>
        <v>0</v>
      </c>
      <c r="AE60" s="300">
        <f>AI59</f>
        <v>0</v>
      </c>
      <c r="AF60" s="300">
        <f>AJ59</f>
        <v>0</v>
      </c>
      <c r="AG60" s="6"/>
      <c r="AH60" s="300">
        <f>AK59</f>
        <v>1250</v>
      </c>
      <c r="AI60" s="300">
        <f>AM59</f>
        <v>0</v>
      </c>
      <c r="AJ60" s="300">
        <f>AN59</f>
        <v>1000</v>
      </c>
      <c r="AK60" s="300">
        <f>AO59</f>
        <v>500</v>
      </c>
      <c r="AL60" s="6"/>
      <c r="AM60" s="300">
        <f>AP59</f>
        <v>0</v>
      </c>
      <c r="AN60" s="300">
        <f>AR59</f>
        <v>0</v>
      </c>
      <c r="AO60" s="300">
        <f>AS59</f>
        <v>500</v>
      </c>
      <c r="AP60" s="300">
        <f>AT59</f>
        <v>0</v>
      </c>
      <c r="AQ60" s="6"/>
      <c r="AR60" s="300">
        <f>AU60</f>
        <v>0</v>
      </c>
      <c r="AS60" s="300">
        <v>600</v>
      </c>
      <c r="AT60" s="300">
        <f t="shared" ref="AT60:AU60" si="56">AX60</f>
        <v>0</v>
      </c>
      <c r="AU60" s="300">
        <f t="shared" si="56"/>
        <v>0</v>
      </c>
      <c r="AV60" s="6"/>
    </row>
    <row r="61" spans="2:48" s="302" customFormat="1" outlineLevel="1" x14ac:dyDescent="0.3">
      <c r="B61" s="200" t="s">
        <v>263</v>
      </c>
      <c r="C61" s="297"/>
      <c r="D61" s="298"/>
      <c r="E61" s="298"/>
      <c r="F61" s="146"/>
      <c r="G61" s="146"/>
      <c r="H61" s="122"/>
      <c r="I61" s="299"/>
      <c r="J61" s="299"/>
      <c r="K61" s="146"/>
      <c r="L61" s="146"/>
      <c r="M61" s="26"/>
      <c r="N61" s="299"/>
      <c r="O61" s="299"/>
      <c r="P61" s="146"/>
      <c r="Q61" s="146"/>
      <c r="R61" s="26"/>
      <c r="S61" s="299"/>
      <c r="T61" s="299"/>
      <c r="U61" s="299"/>
      <c r="V61" s="146"/>
      <c r="W61" s="26"/>
      <c r="X61" s="299"/>
      <c r="Y61" s="301">
        <v>1500</v>
      </c>
      <c r="Z61" s="300">
        <f>Z59</f>
        <v>0</v>
      </c>
      <c r="AA61" s="300">
        <f>AA59</f>
        <v>0</v>
      </c>
      <c r="AB61" s="6"/>
      <c r="AC61" s="301">
        <f>AC59</f>
        <v>750</v>
      </c>
      <c r="AD61" s="301">
        <f>AD59</f>
        <v>1139</v>
      </c>
      <c r="AE61" s="300">
        <v>0</v>
      </c>
      <c r="AF61" s="300">
        <f>0.5*(SUM('IS (F1Q23)'!AC154:AF154))</f>
        <v>200</v>
      </c>
      <c r="AG61" s="6"/>
      <c r="AH61" s="301"/>
      <c r="AI61" s="301"/>
      <c r="AJ61" s="300">
        <f>0.65*(SUM('IS (F1Q23)'!AH154:AK154))</f>
        <v>7204.6</v>
      </c>
      <c r="AK61" s="300">
        <f>AK59</f>
        <v>1250</v>
      </c>
      <c r="AL61" s="6"/>
      <c r="AM61" s="301">
        <v>0</v>
      </c>
      <c r="AN61" s="301">
        <v>0</v>
      </c>
      <c r="AO61" s="300">
        <f>AO59</f>
        <v>500</v>
      </c>
      <c r="AP61" s="300">
        <v>0</v>
      </c>
      <c r="AQ61" s="6"/>
      <c r="AR61" s="301">
        <v>0</v>
      </c>
      <c r="AS61" s="301">
        <f>AS59</f>
        <v>500</v>
      </c>
      <c r="AT61" s="300">
        <v>0</v>
      </c>
      <c r="AU61" s="300">
        <v>0</v>
      </c>
      <c r="AV61" s="6"/>
    </row>
    <row r="62" spans="2:48" s="23" customFormat="1" outlineLevel="1" x14ac:dyDescent="0.3">
      <c r="B62" s="200" t="s">
        <v>264</v>
      </c>
      <c r="C62" s="201"/>
      <c r="D62" s="179">
        <f>+(D28+D31)/D41</f>
        <v>-3.1717034875642636</v>
      </c>
      <c r="E62" s="179">
        <f>+(E28+E31)/E41</f>
        <v>-1.8304138862408643</v>
      </c>
      <c r="F62" s="303">
        <f>+(F28+F31)/F41</f>
        <v>-2.5837230840472332</v>
      </c>
      <c r="G62" s="303">
        <f>+(G28+G31)/G41</f>
        <v>-1.7921681913015568</v>
      </c>
      <c r="H62" s="128"/>
      <c r="I62" s="303">
        <f>+(I28+I31)/I41</f>
        <v>-1.7235726649997785</v>
      </c>
      <c r="J62" s="303">
        <f>+(J28+J31)/J41</f>
        <v>-1.8605318005017988</v>
      </c>
      <c r="K62" s="303">
        <f>+(K28+K31)/K41</f>
        <v>-1.9516598448569742</v>
      </c>
      <c r="L62" s="179">
        <f>+(L28+L31)/L41</f>
        <v>-2.0960971356771032</v>
      </c>
      <c r="M62" s="28"/>
      <c r="N62" s="179">
        <f>+(N28+N31)/N41</f>
        <v>-2.0136766194331983</v>
      </c>
      <c r="O62" s="179">
        <f>+(O28+O31)/O41</f>
        <v>-1.9152752899337104</v>
      </c>
      <c r="P62" s="179">
        <f>+(P28+P31)/P41</f>
        <v>-2.1515240716482933</v>
      </c>
      <c r="Q62" s="179">
        <f>+(Q28+Q31)/Q41</f>
        <v>-2.7501740521215541</v>
      </c>
      <c r="R62" s="28"/>
      <c r="S62" s="179">
        <f t="shared" ref="S62:AA62" si="57">+(S28+S31)/S41</f>
        <v>-1.7497130279398361</v>
      </c>
      <c r="T62" s="179">
        <f t="shared" si="57"/>
        <v>-1.8277176642469066</v>
      </c>
      <c r="U62" s="179">
        <f t="shared" si="57"/>
        <v>-1.7473235630391852</v>
      </c>
      <c r="V62" s="179">
        <f t="shared" si="57"/>
        <v>-1.7294423304631725</v>
      </c>
      <c r="W62" s="28">
        <f t="shared" si="57"/>
        <v>-1.7294423304631725</v>
      </c>
      <c r="X62" s="179">
        <f t="shared" si="57"/>
        <v>-1.7223831338926132</v>
      </c>
      <c r="Y62" s="179">
        <f t="shared" si="57"/>
        <v>-1.7814669833013066</v>
      </c>
      <c r="Z62" s="179">
        <f t="shared" si="57"/>
        <v>-1.8644551337710276</v>
      </c>
      <c r="AA62" s="179">
        <f t="shared" si="57"/>
        <v>-1.9883562049353778</v>
      </c>
      <c r="AB62" s="28"/>
      <c r="AC62" s="179">
        <f>+(AC28+AC31)/AC41</f>
        <v>-2.0999798929249485</v>
      </c>
      <c r="AD62" s="179">
        <f>+(AD28+AD31)/AD41</f>
        <v>-2.1329874283604773</v>
      </c>
      <c r="AE62" s="179">
        <f>+(AE28+AE31)/AE41</f>
        <v>-2.3001619442543988</v>
      </c>
      <c r="AF62" s="179">
        <f>+(AF28+AF31)/AF41</f>
        <v>-2.5469363182271598</v>
      </c>
      <c r="AG62" s="28"/>
      <c r="AH62" s="179">
        <f>+(AH28+AH31)/AH41</f>
        <v>-2.8021506968783565</v>
      </c>
      <c r="AI62" s="179">
        <f>+(AI28+AI31)/AI41</f>
        <v>-2.9228682467168596</v>
      </c>
      <c r="AJ62" s="179">
        <f>+(AJ28+AJ31)/AJ41</f>
        <v>-2.2992191843935763</v>
      </c>
      <c r="AK62" s="179">
        <f>+(AK28+AK31)/AK41</f>
        <v>-1.5682278763538609</v>
      </c>
      <c r="AL62" s="28"/>
      <c r="AM62" s="179">
        <f>+(AM28+AM31)/AM41</f>
        <v>-1.6199367455807101</v>
      </c>
      <c r="AN62" s="179">
        <f>+(AN28+AN31)/AN41</f>
        <v>-1.5600562300008196</v>
      </c>
      <c r="AO62" s="179">
        <f>+(AO28+AO31)/AO41</f>
        <v>-1.6424666052044814</v>
      </c>
      <c r="AP62" s="179">
        <f>+(AP28+AP31)/AP41</f>
        <v>-1.7378896291817385</v>
      </c>
      <c r="AQ62" s="28"/>
      <c r="AR62" s="179">
        <f>+(AR28+AR31)/AR41</f>
        <v>-1.8222675839290392</v>
      </c>
      <c r="AS62" s="179">
        <f>+(AS28+AS31)/AS41</f>
        <v>-1.8528403290423003</v>
      </c>
      <c r="AT62" s="179">
        <f>+(AT28+AT31)/AT41</f>
        <v>-1.9887765248777531</v>
      </c>
      <c r="AU62" s="179">
        <f>+(AU28+AU31)/AU41</f>
        <v>-2.1509147601552878</v>
      </c>
      <c r="AV62" s="28"/>
    </row>
    <row r="63" spans="2:48" s="23" customFormat="1" outlineLevel="1" x14ac:dyDescent="0.3">
      <c r="B63" s="200" t="s">
        <v>265</v>
      </c>
      <c r="C63" s="201"/>
      <c r="D63" s="179">
        <f>+D28/(D28+D31)</f>
        <v>0</v>
      </c>
      <c r="E63" s="179">
        <f>+E28/(E28+E31)</f>
        <v>8.1375793413985785E-3</v>
      </c>
      <c r="F63" s="303">
        <f>+F28/(F28+F31)</f>
        <v>0</v>
      </c>
      <c r="G63" s="303">
        <f>+G28/(G28+G31)</f>
        <v>0</v>
      </c>
      <c r="H63" s="128"/>
      <c r="I63" s="303">
        <f>+I28/(I28+I31)</f>
        <v>8.5546532987690757E-2</v>
      </c>
      <c r="J63" s="303">
        <f>+J28/(J28+J31)</f>
        <v>0.16813887778982817</v>
      </c>
      <c r="K63" s="303">
        <f>+K28/(K28+K31)</f>
        <v>0.12987992894360045</v>
      </c>
      <c r="L63" s="179">
        <f>+L28/(L28+L31)</f>
        <v>0.10329514383758555</v>
      </c>
      <c r="M63" s="28"/>
      <c r="N63" s="179">
        <f>+N28/(N28+N31)</f>
        <v>7.8071889470410452E-2</v>
      </c>
      <c r="O63" s="179">
        <f>+O28/(O28+O31)</f>
        <v>1.2492661414742708E-3</v>
      </c>
      <c r="P63" s="179">
        <f>+P28/(P28+P31)</f>
        <v>6.8333093904132544E-2</v>
      </c>
      <c r="Q63" s="179">
        <f>+Q28/(Q28+Q31)</f>
        <v>6.8343847069609609E-2</v>
      </c>
      <c r="R63" s="28"/>
      <c r="S63" s="179">
        <f t="shared" ref="S63:AA63" si="58">+S28/(S28+S31)</f>
        <v>8.1112704252786494E-2</v>
      </c>
      <c r="T63" s="179">
        <f t="shared" si="58"/>
        <v>0.12481109098857178</v>
      </c>
      <c r="U63" s="179">
        <f t="shared" si="58"/>
        <v>7.9253663276029576E-2</v>
      </c>
      <c r="V63" s="179">
        <f t="shared" si="58"/>
        <v>0.12789236833533857</v>
      </c>
      <c r="W63" s="28">
        <f t="shared" si="58"/>
        <v>0.12789236833533857</v>
      </c>
      <c r="X63" s="179">
        <f t="shared" si="58"/>
        <v>0.11719817767653758</v>
      </c>
      <c r="Y63" s="179">
        <f t="shared" si="58"/>
        <v>4.8635509172230501E-2</v>
      </c>
      <c r="Z63" s="179">
        <f t="shared" si="58"/>
        <v>0.12246710313087444</v>
      </c>
      <c r="AA63" s="179">
        <f t="shared" si="58"/>
        <v>0.12246710313087444</v>
      </c>
      <c r="AB63" s="28"/>
      <c r="AC63" s="179">
        <f>+AC28/(AC28+AC31)</f>
        <v>7.385104038374278E-2</v>
      </c>
      <c r="AD63" s="179">
        <f>+AD28/(AD28+AD31)</f>
        <v>1.9446425098849713E-5</v>
      </c>
      <c r="AE63" s="179">
        <f>+AE28/(AE28+AE31)</f>
        <v>1.9446425098849713E-5</v>
      </c>
      <c r="AF63" s="179">
        <f>+AF28/(AF28+AF31)</f>
        <v>1.919754271452963E-5</v>
      </c>
      <c r="AG63" s="28"/>
      <c r="AH63" s="179">
        <f>+AH28/(AH28+AH31)</f>
        <v>8.0008958853266782E-2</v>
      </c>
      <c r="AI63" s="179">
        <f>+AI28/(AI28+AI31)</f>
        <v>8.0008958853266782E-2</v>
      </c>
      <c r="AJ63" s="179">
        <f>+AJ28/(AJ28+AJ31)</f>
        <v>9.8560766656738907E-2</v>
      </c>
      <c r="AK63" s="179">
        <f>+AK28/(AK28+AK31)</f>
        <v>6.5711557665691409E-2</v>
      </c>
      <c r="AL63" s="28"/>
      <c r="AM63" s="179">
        <f>+AM28/(AM28+AM31)</f>
        <v>6.5711557665691409E-2</v>
      </c>
      <c r="AN63" s="179">
        <f>+AN28/(AN28+AN31)</f>
        <v>2.2916323127942988E-2</v>
      </c>
      <c r="AO63" s="179">
        <f>+AO28/(AO28+AO31)</f>
        <v>2.2916323127942988E-2</v>
      </c>
      <c r="AP63" s="179">
        <f>+AP28/(AP28+AP31)</f>
        <v>2.2916323127942988E-2</v>
      </c>
      <c r="AQ63" s="28"/>
      <c r="AR63" s="179">
        <f>+AR28/(AR28+AR31)</f>
        <v>2.2916323127942988E-2</v>
      </c>
      <c r="AS63" s="179">
        <f>+AS28/(AS28+AS31)</f>
        <v>2.7496839443742104E-2</v>
      </c>
      <c r="AT63" s="179">
        <f>+AT28/(AT28+AT31)</f>
        <v>2.7496839443742104E-2</v>
      </c>
      <c r="AU63" s="179">
        <f>+AU28/(AU28+AU31)</f>
        <v>2.7496839443742104E-2</v>
      </c>
      <c r="AV63" s="28"/>
    </row>
    <row r="64" spans="2:48" outlineLevel="1" x14ac:dyDescent="0.3">
      <c r="B64" s="200" t="s">
        <v>328</v>
      </c>
      <c r="C64" s="201"/>
      <c r="D64" s="304"/>
      <c r="E64" s="304"/>
      <c r="F64" s="304"/>
      <c r="G64" s="304"/>
      <c r="H64" s="306"/>
      <c r="I64" s="305"/>
      <c r="J64" s="305"/>
      <c r="K64" s="305"/>
      <c r="L64" s="305"/>
      <c r="M64" s="306">
        <f>M67/(M65-M66)</f>
        <v>14.55407378391847</v>
      </c>
      <c r="N64" s="305"/>
      <c r="O64" s="305"/>
      <c r="P64" s="305"/>
      <c r="Q64" s="305"/>
      <c r="R64" s="306">
        <f>R67/(R65-R66)</f>
        <v>3.5268936560411204</v>
      </c>
      <c r="S64" s="305"/>
      <c r="T64" s="305"/>
      <c r="U64" s="305"/>
      <c r="V64" s="305"/>
      <c r="W64" s="306">
        <f>W67/(W65-W66)</f>
        <v>4.1612739491288941</v>
      </c>
      <c r="X64" s="307"/>
      <c r="Y64" s="307"/>
      <c r="Z64" s="307"/>
      <c r="AA64" s="307"/>
      <c r="AB64" s="306">
        <f>AB67/(AB65-AB66)</f>
        <v>3.6231930884846801</v>
      </c>
      <c r="AC64" s="307"/>
      <c r="AD64" s="307"/>
      <c r="AE64" s="307"/>
      <c r="AF64" s="307"/>
      <c r="AG64" s="405">
        <f>AG67/(AG65-AG66)</f>
        <v>3.0361005112519073</v>
      </c>
      <c r="AH64" s="307"/>
      <c r="AI64" s="307"/>
      <c r="AJ64" s="307"/>
      <c r="AK64" s="307"/>
      <c r="AL64" s="405">
        <f>AL67/(AL65-AL66)</f>
        <v>3.6181306689555424</v>
      </c>
      <c r="AM64" s="307"/>
      <c r="AN64" s="307"/>
      <c r="AO64" s="307"/>
      <c r="AP64" s="307"/>
      <c r="AQ64" s="306">
        <f>AQ67/(AQ65-AQ66)</f>
        <v>3.0781990149708172</v>
      </c>
      <c r="AR64" s="307"/>
      <c r="AS64" s="307"/>
      <c r="AT64" s="307"/>
      <c r="AU64" s="307"/>
      <c r="AV64" s="306">
        <f>AV67/(AV65-AV66)</f>
        <v>2.8694048376394776</v>
      </c>
    </row>
    <row r="65" spans="2:48" outlineLevel="1" x14ac:dyDescent="0.3">
      <c r="B65" s="180" t="s">
        <v>325</v>
      </c>
      <c r="C65" s="44"/>
      <c r="D65" s="139"/>
      <c r="E65" s="139"/>
      <c r="F65" s="309"/>
      <c r="G65" s="309"/>
      <c r="H65" s="17"/>
      <c r="I65" s="139"/>
      <c r="J65" s="139"/>
      <c r="K65" s="309"/>
      <c r="L65" s="309"/>
      <c r="M65" s="17">
        <f>'IS (F1Q23)'!M19+'IS (F1Q23)'!M12</f>
        <v>3564.3800000000042</v>
      </c>
      <c r="N65" s="139"/>
      <c r="O65" s="139"/>
      <c r="P65" s="309"/>
      <c r="Q65" s="309"/>
      <c r="R65" s="17">
        <f>'IS (F1Q23)'!R19+'IS (F1Q23)'!R12</f>
        <v>6703.7999999999975</v>
      </c>
      <c r="S65" s="139"/>
      <c r="T65" s="139"/>
      <c r="U65" s="309"/>
      <c r="V65" s="309"/>
      <c r="W65" s="17">
        <f>'IS (F1Q23)'!W19+'IS (F1Q23)'!W12</f>
        <v>6302.899999999996</v>
      </c>
      <c r="X65" s="139"/>
      <c r="Y65" s="305"/>
      <c r="Z65" s="305"/>
      <c r="AA65" s="310"/>
      <c r="AB65" s="17">
        <f>'IS (F1Q23)'!AB19+'IS (F1Q23)'!AB12</f>
        <v>7079.9157470664859</v>
      </c>
      <c r="AC65" s="139"/>
      <c r="AD65" s="139"/>
      <c r="AE65" s="309"/>
      <c r="AF65" s="309"/>
      <c r="AG65" s="17">
        <f>'IS (F1Q23)'!AG19+'IS (F1Q23)'!AG12</f>
        <v>8110.2355129855987</v>
      </c>
      <c r="AH65" s="139"/>
      <c r="AI65" s="139"/>
      <c r="AJ65" s="309"/>
      <c r="AK65" s="309"/>
      <c r="AL65" s="17">
        <f>'IS (F1Q23)'!AL19+'IS (F1Q23)'!AL12</f>
        <v>9421.6617615345513</v>
      </c>
      <c r="AM65" s="139"/>
      <c r="AN65" s="139"/>
      <c r="AO65" s="309"/>
      <c r="AP65" s="309"/>
      <c r="AQ65" s="17">
        <f>'IS (F1Q23)'!AQ19+'IS (F1Q23)'!AQ12</f>
        <v>10359.226869514421</v>
      </c>
      <c r="AR65" s="139"/>
      <c r="AS65" s="139"/>
      <c r="AT65" s="309"/>
      <c r="AU65" s="309"/>
      <c r="AV65" s="17">
        <f>'IS (F1Q23)'!AV19+'IS (F1Q23)'!AV12</f>
        <v>11038.649862701724</v>
      </c>
    </row>
    <row r="66" spans="2:48" outlineLevel="1" x14ac:dyDescent="0.3">
      <c r="B66" s="180" t="s">
        <v>327</v>
      </c>
      <c r="C66" s="44"/>
      <c r="D66" s="139"/>
      <c r="E66" s="139"/>
      <c r="F66" s="309"/>
      <c r="G66" s="309"/>
      <c r="H66" s="387"/>
      <c r="I66" s="139"/>
      <c r="J66" s="139"/>
      <c r="K66" s="309"/>
      <c r="L66" s="309"/>
      <c r="M66" s="387">
        <v>2441.1</v>
      </c>
      <c r="N66" s="139"/>
      <c r="O66" s="139"/>
      <c r="P66" s="309"/>
      <c r="Q66" s="309"/>
      <c r="R66" s="387">
        <v>2559.6999999999998</v>
      </c>
      <c r="S66" s="139"/>
      <c r="T66" s="139"/>
      <c r="U66" s="309"/>
      <c r="V66" s="309"/>
      <c r="W66" s="388">
        <f>R66*1.05</f>
        <v>2687.6849999999999</v>
      </c>
      <c r="X66" s="139"/>
      <c r="Y66" s="179"/>
      <c r="Z66" s="179"/>
      <c r="AA66" s="310"/>
      <c r="AB66" s="388">
        <f>W66*1.05</f>
        <v>2822.06925</v>
      </c>
      <c r="AC66" s="139"/>
      <c r="AD66" s="139"/>
      <c r="AE66" s="309"/>
      <c r="AF66" s="309"/>
      <c r="AG66" s="388">
        <f>AB66*1.05</f>
        <v>2963.1727125000002</v>
      </c>
      <c r="AH66" s="139"/>
      <c r="AI66" s="139"/>
      <c r="AJ66" s="309"/>
      <c r="AK66" s="309"/>
      <c r="AL66" s="388">
        <f>AG66*1.05</f>
        <v>3111.3313481250002</v>
      </c>
      <c r="AM66" s="139"/>
      <c r="AN66" s="139"/>
      <c r="AO66" s="309"/>
      <c r="AP66" s="309"/>
      <c r="AQ66" s="388">
        <f>AL66*1.05</f>
        <v>3266.8979155312504</v>
      </c>
      <c r="AR66" s="139"/>
      <c r="AS66" s="139"/>
      <c r="AT66" s="309"/>
      <c r="AU66" s="309"/>
      <c r="AV66" s="388">
        <f>AQ66*1.05</f>
        <v>3430.2428113078131</v>
      </c>
    </row>
    <row r="67" spans="2:48" outlineLevel="1" x14ac:dyDescent="0.3">
      <c r="B67" s="386" t="s">
        <v>326</v>
      </c>
      <c r="C67" s="312"/>
      <c r="D67" s="313"/>
      <c r="E67" s="313"/>
      <c r="F67" s="314"/>
      <c r="G67" s="314"/>
      <c r="H67" s="316"/>
      <c r="I67" s="313"/>
      <c r="J67" s="313"/>
      <c r="K67" s="314"/>
      <c r="L67" s="314"/>
      <c r="M67" s="316">
        <f>M28+M31</f>
        <v>16348.300000000001</v>
      </c>
      <c r="N67" s="313"/>
      <c r="O67" s="313"/>
      <c r="P67" s="314"/>
      <c r="Q67" s="314"/>
      <c r="R67" s="316">
        <f>R28+R31</f>
        <v>14615.8</v>
      </c>
      <c r="S67" s="313"/>
      <c r="T67" s="313"/>
      <c r="U67" s="314"/>
      <c r="V67" s="314"/>
      <c r="W67" s="316">
        <f>W28+W31</f>
        <v>15043.9</v>
      </c>
      <c r="X67" s="313"/>
      <c r="Y67" s="313"/>
      <c r="Z67" s="314"/>
      <c r="AA67" s="315"/>
      <c r="AB67" s="316">
        <f>AB28+AB31</f>
        <v>15427</v>
      </c>
      <c r="AC67" s="313"/>
      <c r="AD67" s="313"/>
      <c r="AE67" s="314"/>
      <c r="AF67" s="314"/>
      <c r="AG67" s="316">
        <f>AG28+AG31</f>
        <v>15627</v>
      </c>
      <c r="AH67" s="313"/>
      <c r="AI67" s="313"/>
      <c r="AJ67" s="314"/>
      <c r="AK67" s="314"/>
      <c r="AL67" s="316">
        <f>AL28+AL31</f>
        <v>22831.600000000002</v>
      </c>
      <c r="AM67" s="313"/>
      <c r="AN67" s="313"/>
      <c r="AO67" s="314"/>
      <c r="AP67" s="314"/>
      <c r="AQ67" s="316">
        <f>AQ28+AQ31</f>
        <v>21831.600000000002</v>
      </c>
      <c r="AR67" s="313"/>
      <c r="AS67" s="313"/>
      <c r="AT67" s="314"/>
      <c r="AU67" s="314"/>
      <c r="AV67" s="316">
        <f>AV28+AV31</f>
        <v>21831.600000000002</v>
      </c>
    </row>
  </sheetData>
  <dataConsolidate/>
  <mergeCells count="27">
    <mergeCell ref="B51:C51"/>
    <mergeCell ref="B52:C52"/>
    <mergeCell ref="B53:C53"/>
    <mergeCell ref="B44:C44"/>
    <mergeCell ref="B45:C45"/>
    <mergeCell ref="B47:C47"/>
    <mergeCell ref="B48:C48"/>
    <mergeCell ref="B49:C49"/>
    <mergeCell ref="B50:C50"/>
    <mergeCell ref="B42:C42"/>
    <mergeCell ref="B20:C20"/>
    <mergeCell ref="B21:C21"/>
    <mergeCell ref="B22:C22"/>
    <mergeCell ref="B23:C23"/>
    <mergeCell ref="B34:C34"/>
    <mergeCell ref="B35:C35"/>
    <mergeCell ref="B36:C36"/>
    <mergeCell ref="B37:C37"/>
    <mergeCell ref="B38:C38"/>
    <mergeCell ref="B39:C39"/>
    <mergeCell ref="B41:C41"/>
    <mergeCell ref="B19:C19"/>
    <mergeCell ref="B3:C3"/>
    <mergeCell ref="B5:C5"/>
    <mergeCell ref="B6:C6"/>
    <mergeCell ref="B8:C8"/>
    <mergeCell ref="B10:C1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57608-D79B-47B4-978A-4E64D98FE3C9}">
  <sheetPr>
    <tabColor theme="4" tint="0.39997558519241921"/>
    <pageSetUpPr fitToPage="1"/>
  </sheetPr>
  <dimension ref="A1:AV316"/>
  <sheetViews>
    <sheetView showGridLines="0" zoomScaleNormal="100" workbookViewId="0">
      <pane xSplit="3" ySplit="4" topLeftCell="T98" activePane="bottomRight" state="frozen"/>
      <selection activeCell="AB90" sqref="AB90"/>
      <selection pane="topRight" activeCell="AB90" sqref="AB90"/>
      <selection pane="bottomLeft" activeCell="AB90" sqref="AB90"/>
      <selection pane="bottomRight" activeCell="AB90" sqref="AB90"/>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91"/>
      <c r="AA1" s="391"/>
      <c r="AB1" s="391"/>
      <c r="AC1" s="391"/>
      <c r="AD1" s="369"/>
      <c r="AE1" s="369"/>
      <c r="AF1" s="369"/>
      <c r="AG1" s="369"/>
      <c r="AH1" s="369"/>
      <c r="AI1" s="369"/>
      <c r="AJ1" s="369"/>
      <c r="AK1" s="369"/>
      <c r="AL1" s="42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582"/>
      <c r="B3" s="583" t="s">
        <v>18</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82"/>
      <c r="B4" s="585" t="s">
        <v>3</v>
      </c>
      <c r="C4" s="586"/>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580" t="s">
        <v>101</v>
      </c>
      <c r="C5" s="581"/>
      <c r="D5" s="105">
        <v>5370.3</v>
      </c>
      <c r="E5" s="105">
        <v>5159</v>
      </c>
      <c r="F5" s="105">
        <v>5535</v>
      </c>
      <c r="G5" s="105">
        <f>H5-F5-E5-D5</f>
        <v>5480.1000000000013</v>
      </c>
      <c r="H5" s="170">
        <v>21544.400000000001</v>
      </c>
      <c r="I5" s="105">
        <v>5780.7</v>
      </c>
      <c r="J5" s="105">
        <v>4766</v>
      </c>
      <c r="K5" s="105">
        <v>3444.4</v>
      </c>
      <c r="L5" s="105">
        <v>5173.6000000000004</v>
      </c>
      <c r="M5" s="49">
        <f>SUM(I5:L5)</f>
        <v>19164.7</v>
      </c>
      <c r="N5" s="48">
        <v>5726.5</v>
      </c>
      <c r="O5" s="48">
        <v>5653.1</v>
      </c>
      <c r="P5" s="48">
        <v>6363.1</v>
      </c>
      <c r="Q5" s="105">
        <v>6864.3</v>
      </c>
      <c r="R5" s="49">
        <f>SUM(N5:Q5)</f>
        <v>24607</v>
      </c>
      <c r="S5" s="48">
        <v>6722.4</v>
      </c>
      <c r="T5" s="48">
        <v>6276.7</v>
      </c>
      <c r="U5" s="48">
        <v>6675.5</v>
      </c>
      <c r="V5" s="48">
        <v>6901.4</v>
      </c>
      <c r="W5" s="49">
        <f>SUM(S5:V5)</f>
        <v>26576</v>
      </c>
      <c r="X5" s="48">
        <f>+X45+X78</f>
        <v>7204.236885170114</v>
      </c>
      <c r="Y5" s="48">
        <f>+Y45+Y78</f>
        <v>6906.5614817300857</v>
      </c>
      <c r="Z5" s="48">
        <f>+Z45+Z78</f>
        <v>7581.390910744406</v>
      </c>
      <c r="AA5" s="48">
        <f>+AA45+AA78</f>
        <v>7835.44075388909</v>
      </c>
      <c r="AB5" s="49">
        <f>SUM(X5:AA5)</f>
        <v>29527.630031533692</v>
      </c>
      <c r="AC5" s="48">
        <f>+AC45+AC78</f>
        <v>8138.1630751959001</v>
      </c>
      <c r="AD5" s="48">
        <f>+AD45+AD78</f>
        <v>7580.445212518769</v>
      </c>
      <c r="AE5" s="48">
        <f>+AE45+AE78</f>
        <v>8325.2058167317136</v>
      </c>
      <c r="AF5" s="48">
        <f>+AF45+AF78</f>
        <v>8626.4384055351184</v>
      </c>
      <c r="AG5" s="49">
        <f>SUM(AC5:AF5)</f>
        <v>32670.252509981503</v>
      </c>
      <c r="AH5" s="48">
        <f>+AH45+AH78</f>
        <v>9091.0835655753417</v>
      </c>
      <c r="AI5" s="48">
        <f>+AI45+AI78</f>
        <v>8463.6997125969319</v>
      </c>
      <c r="AJ5" s="48">
        <f>+AJ45+AJ78</f>
        <v>9299.8122324812502</v>
      </c>
      <c r="AK5" s="48">
        <f>+AK45+AK78</f>
        <v>9653.4448894361358</v>
      </c>
      <c r="AL5" s="49">
        <f>SUM(AH5:AK5)</f>
        <v>36508.04040008966</v>
      </c>
      <c r="AM5" s="48">
        <f>+AM45+AM78</f>
        <v>10013.96584915275</v>
      </c>
      <c r="AN5" s="48">
        <f>+AN45+AN78</f>
        <v>9284.7429771720308</v>
      </c>
      <c r="AO5" s="48">
        <f>+AO45+AO78</f>
        <v>10172.463148394339</v>
      </c>
      <c r="AP5" s="48">
        <f>+AP45+AP78</f>
        <v>10534.541483940771</v>
      </c>
      <c r="AQ5" s="49">
        <f>SUM(AM5:AP5)</f>
        <v>40005.713458659884</v>
      </c>
      <c r="AR5" s="48">
        <f>+AR45+AR78</f>
        <v>10700.967979134808</v>
      </c>
      <c r="AS5" s="48">
        <f>+AS45+AS78</f>
        <v>9916.3075998363602</v>
      </c>
      <c r="AT5" s="48">
        <f>+AT45+AT78</f>
        <v>10860.696783420613</v>
      </c>
      <c r="AU5" s="48">
        <f>+AU45+AU78</f>
        <v>11246.535916505294</v>
      </c>
      <c r="AV5" s="49">
        <f>SUM(AR5:AU5)</f>
        <v>42724.508278897076</v>
      </c>
    </row>
    <row r="6" spans="1:48" outlineLevel="1" x14ac:dyDescent="0.3">
      <c r="B6" s="580" t="s">
        <v>102</v>
      </c>
      <c r="C6" s="581"/>
      <c r="D6" s="105">
        <v>737.1</v>
      </c>
      <c r="E6" s="105">
        <v>678.2</v>
      </c>
      <c r="F6" s="105">
        <v>725</v>
      </c>
      <c r="G6" s="105">
        <f t="shared" ref="G6:G16" si="0">H6-F6-E6-D6</f>
        <v>734.69999999999993</v>
      </c>
      <c r="H6" s="170">
        <v>2875</v>
      </c>
      <c r="I6" s="105">
        <v>792</v>
      </c>
      <c r="J6" s="105">
        <v>689.8</v>
      </c>
      <c r="K6" s="105">
        <v>300.5</v>
      </c>
      <c r="L6" s="48">
        <v>544.6</v>
      </c>
      <c r="M6" s="49">
        <f t="shared" ref="M6:M7" si="1">SUM(I6:L6)</f>
        <v>2326.9</v>
      </c>
      <c r="N6" s="48">
        <v>613.79999999999995</v>
      </c>
      <c r="O6" s="48">
        <v>595</v>
      </c>
      <c r="P6" s="48">
        <v>680.2</v>
      </c>
      <c r="Q6" s="105">
        <v>794.5</v>
      </c>
      <c r="R6" s="49">
        <f>SUM(N6:Q6)</f>
        <v>2683.5</v>
      </c>
      <c r="S6" s="48">
        <v>850.8</v>
      </c>
      <c r="T6" s="48">
        <v>849.5</v>
      </c>
      <c r="U6" s="48">
        <v>956.8</v>
      </c>
      <c r="V6" s="48">
        <v>998.4</v>
      </c>
      <c r="W6" s="49">
        <f t="shared" ref="W6:W7" si="2">SUM(S6:V6)</f>
        <v>3655.5</v>
      </c>
      <c r="X6" s="48">
        <f>+X54+X87</f>
        <v>1007.3279572260561</v>
      </c>
      <c r="Y6" s="48">
        <f>+Y54+Y87</f>
        <v>1013.5447982914288</v>
      </c>
      <c r="Z6" s="48">
        <f>+Z54+Z87</f>
        <v>1128.0454970508563</v>
      </c>
      <c r="AA6" s="48">
        <f>+AA54+AA87</f>
        <v>1179.6200269712072</v>
      </c>
      <c r="AB6" s="49">
        <f t="shared" ref="AB6:AB7" si="3">SUM(X6:AA6)</f>
        <v>4328.538279539549</v>
      </c>
      <c r="AC6" s="48">
        <f>+AC54+AC87</f>
        <v>1122.3506506583644</v>
      </c>
      <c r="AD6" s="48">
        <f>+AD54+AD87</f>
        <v>1130.1038585778633</v>
      </c>
      <c r="AE6" s="48">
        <f>+AE54+AE87</f>
        <v>1260.3825469343951</v>
      </c>
      <c r="AF6" s="48">
        <f>+AF54+AF87</f>
        <v>1317.5653892157457</v>
      </c>
      <c r="AG6" s="49">
        <f t="shared" ref="AG6:AG7" si="4">SUM(AC6:AF6)</f>
        <v>4830.4024453863685</v>
      </c>
      <c r="AH6" s="48">
        <f>+AH54+AH87</f>
        <v>1266.0912988731188</v>
      </c>
      <c r="AI6" s="48">
        <f>+AI54+AI87</f>
        <v>1275.4955039870742</v>
      </c>
      <c r="AJ6" s="48">
        <f>+AJ54+AJ87</f>
        <v>1423.8740912931548</v>
      </c>
      <c r="AK6" s="48">
        <f>+AK54+AK87</f>
        <v>1488.542568025257</v>
      </c>
      <c r="AL6" s="49">
        <f t="shared" ref="AL6:AL7" si="5">SUM(AH6:AK6)</f>
        <v>5454.0034621786053</v>
      </c>
      <c r="AM6" s="48">
        <f>+AM54+AM87</f>
        <v>1406.7452168365685</v>
      </c>
      <c r="AN6" s="48">
        <f>+AN54+AN87</f>
        <v>1400.688919119146</v>
      </c>
      <c r="AO6" s="48">
        <f>+AO54+AO87</f>
        <v>1546.3860169361456</v>
      </c>
      <c r="AP6" s="48">
        <f>+AP54+AP87</f>
        <v>1597.692425773073</v>
      </c>
      <c r="AQ6" s="49">
        <f t="shared" ref="AQ6:AQ7" si="6">SUM(AM6:AP6)</f>
        <v>5951.5125786649332</v>
      </c>
      <c r="AR6" s="48">
        <f>+AR54+AR87</f>
        <v>1472.4845205117902</v>
      </c>
      <c r="AS6" s="48">
        <f>+AS54+AS87</f>
        <v>1466.0902454926754</v>
      </c>
      <c r="AT6" s="48">
        <f>+AT54+AT87</f>
        <v>1618.7999559528362</v>
      </c>
      <c r="AU6" s="48">
        <f>+AU54+AU87</f>
        <v>1672.2524174619641</v>
      </c>
      <c r="AV6" s="49">
        <f t="shared" ref="AV6:AV7" si="7">SUM(AR6:AU6)</f>
        <v>6229.6271394192654</v>
      </c>
    </row>
    <row r="7" spans="1:48" ht="16.2" outlineLevel="1" x14ac:dyDescent="0.45">
      <c r="B7" s="580" t="s">
        <v>103</v>
      </c>
      <c r="C7" s="581"/>
      <c r="D7" s="104">
        <v>525.29999999999995</v>
      </c>
      <c r="E7" s="104">
        <v>468.7</v>
      </c>
      <c r="F7" s="104">
        <v>563</v>
      </c>
      <c r="G7" s="104">
        <f t="shared" si="0"/>
        <v>532.19999999999982</v>
      </c>
      <c r="H7" s="173">
        <v>2089.1999999999998</v>
      </c>
      <c r="I7" s="104">
        <v>524.4</v>
      </c>
      <c r="J7" s="104">
        <v>539.9</v>
      </c>
      <c r="K7" s="104">
        <v>477.2</v>
      </c>
      <c r="L7" s="52">
        <v>484.9</v>
      </c>
      <c r="M7" s="53">
        <f t="shared" si="1"/>
        <v>2026.4</v>
      </c>
      <c r="N7" s="52">
        <v>409.1</v>
      </c>
      <c r="O7" s="52">
        <v>419.9</v>
      </c>
      <c r="P7" s="52">
        <v>453.2</v>
      </c>
      <c r="Q7" s="104">
        <v>487.9</v>
      </c>
      <c r="R7" s="53">
        <f>SUM(N7:Q7)</f>
        <v>1770.1</v>
      </c>
      <c r="S7" s="52">
        <v>477.2</v>
      </c>
      <c r="T7" s="52">
        <v>509.4</v>
      </c>
      <c r="U7" s="52">
        <v>517.79999999999995</v>
      </c>
      <c r="V7" s="52">
        <v>514.4</v>
      </c>
      <c r="W7" s="173">
        <f t="shared" si="2"/>
        <v>2018.7999999999997</v>
      </c>
      <c r="X7" s="52">
        <f>+X55+X88+X108+X123</f>
        <v>514.53500000000008</v>
      </c>
      <c r="Y7" s="52">
        <f>+Y55+Y88+Y108+Y123</f>
        <v>527.98200000000008</v>
      </c>
      <c r="Z7" s="52">
        <f>+Z55+Z88+Z108+Z123</f>
        <v>541.15800000000002</v>
      </c>
      <c r="AA7" s="52">
        <f>+AA55+AA88+AA108+AA123</f>
        <v>536.21299999999997</v>
      </c>
      <c r="AB7" s="53">
        <f t="shared" si="3"/>
        <v>2119.8879999999999</v>
      </c>
      <c r="AC7" s="52">
        <f>+AC55+AC88+AC108+AC123</f>
        <v>538.26440000000014</v>
      </c>
      <c r="AD7" s="52">
        <f>+AD55+AD88+AD108+AD123</f>
        <v>552.56346000000008</v>
      </c>
      <c r="AE7" s="52">
        <f>+AE55+AE88+AE108+AE123</f>
        <v>566.17452000000003</v>
      </c>
      <c r="AF7" s="52">
        <f>+AF55+AF88+AF108+AF123</f>
        <v>560.76692000000003</v>
      </c>
      <c r="AG7" s="53">
        <f t="shared" si="4"/>
        <v>2217.7693000000004</v>
      </c>
      <c r="AH7" s="52">
        <f>+AH55+AH88+AH108+AH123</f>
        <v>567.58199600000012</v>
      </c>
      <c r="AI7" s="52">
        <f>+AI55+AI88+AI108+AI123</f>
        <v>580.59704340000019</v>
      </c>
      <c r="AJ7" s="52">
        <f>+AJ55+AJ88+AJ108+AJ123</f>
        <v>593.31856080000011</v>
      </c>
      <c r="AK7" s="52">
        <f>+AK55+AK88+AK108+AK123</f>
        <v>587.50131680000004</v>
      </c>
      <c r="AL7" s="53">
        <f t="shared" si="5"/>
        <v>2328.9989170000008</v>
      </c>
      <c r="AM7" s="52">
        <f>+AM55+AM88+AM108+AM123</f>
        <v>594.36976184000025</v>
      </c>
      <c r="AN7" s="52">
        <f>+AN55+AN88+AN108+AN123</f>
        <v>607.20447663600021</v>
      </c>
      <c r="AO7" s="52">
        <f>+AO55+AO88+AO108+AO123</f>
        <v>620.07958123200001</v>
      </c>
      <c r="AP7" s="52">
        <f>+AP55+AP88+AP108+AP123</f>
        <v>613.55564547200015</v>
      </c>
      <c r="AQ7" s="53">
        <f t="shared" si="6"/>
        <v>2435.2094651800007</v>
      </c>
      <c r="AR7" s="52">
        <f>+AR55+AR88+AR108+AR123</f>
        <v>620.6669569136003</v>
      </c>
      <c r="AS7" s="52">
        <f>+AS55+AS88+AS108+AS123</f>
        <v>633.83488747644026</v>
      </c>
      <c r="AT7" s="52">
        <f>+AT55+AT88+AT108+AT123</f>
        <v>647.37274528128012</v>
      </c>
      <c r="AU7" s="52">
        <f>+AU55+AU88+AU108+AU123</f>
        <v>639.94803739088024</v>
      </c>
      <c r="AV7" s="53">
        <f t="shared" si="7"/>
        <v>2541.8226270622008</v>
      </c>
    </row>
    <row r="8" spans="1:48" s="8" customFormat="1" x14ac:dyDescent="0.3">
      <c r="B8" s="587" t="s">
        <v>104</v>
      </c>
      <c r="C8" s="588"/>
      <c r="D8" s="103">
        <f t="shared" ref="D8:AB8" si="8">SUM(D5:D7)</f>
        <v>6632.7000000000007</v>
      </c>
      <c r="E8" s="103">
        <f t="shared" si="8"/>
        <v>6305.9</v>
      </c>
      <c r="F8" s="103">
        <f t="shared" si="8"/>
        <v>6823</v>
      </c>
      <c r="G8" s="103">
        <f t="shared" si="8"/>
        <v>6747.0000000000009</v>
      </c>
      <c r="H8" s="171">
        <f t="shared" si="8"/>
        <v>26508.600000000002</v>
      </c>
      <c r="I8" s="103">
        <f>SUM(I5:I7)</f>
        <v>7097.0999999999995</v>
      </c>
      <c r="J8" s="103">
        <f>SUM(J5:J7)</f>
        <v>5995.7</v>
      </c>
      <c r="K8" s="103">
        <f>SUM(K5:K7)</f>
        <v>4222.1000000000004</v>
      </c>
      <c r="L8" s="103">
        <f>SUM(L5:L7)</f>
        <v>6203.1</v>
      </c>
      <c r="M8" s="171">
        <f t="shared" si="8"/>
        <v>23518.000000000004</v>
      </c>
      <c r="N8" s="103">
        <f t="shared" si="8"/>
        <v>6749.4000000000005</v>
      </c>
      <c r="O8" s="103">
        <f t="shared" si="8"/>
        <v>6668</v>
      </c>
      <c r="P8" s="103">
        <f t="shared" si="8"/>
        <v>7496.5</v>
      </c>
      <c r="Q8" s="103">
        <f>SUM(Q5:Q7)</f>
        <v>8146.7</v>
      </c>
      <c r="R8" s="171">
        <f t="shared" si="8"/>
        <v>29060.6</v>
      </c>
      <c r="S8" s="103">
        <f t="shared" si="8"/>
        <v>8050.4</v>
      </c>
      <c r="T8" s="103">
        <f t="shared" si="8"/>
        <v>7635.5999999999995</v>
      </c>
      <c r="U8" s="103">
        <f t="shared" si="8"/>
        <v>8150.1</v>
      </c>
      <c r="V8" s="103">
        <f t="shared" si="8"/>
        <v>8414.1999999999989</v>
      </c>
      <c r="W8" s="171">
        <f t="shared" si="8"/>
        <v>32250.3</v>
      </c>
      <c r="X8" s="50">
        <f t="shared" si="8"/>
        <v>8726.0998423961701</v>
      </c>
      <c r="Y8" s="50">
        <f t="shared" si="8"/>
        <v>8448.0882800215149</v>
      </c>
      <c r="Z8" s="50">
        <f t="shared" si="8"/>
        <v>9250.5944077952627</v>
      </c>
      <c r="AA8" s="50">
        <f t="shared" si="8"/>
        <v>9551.2737808602978</v>
      </c>
      <c r="AB8" s="171">
        <f t="shared" si="8"/>
        <v>35976.05631107324</v>
      </c>
      <c r="AC8" s="50">
        <f t="shared" ref="AC8:AV8" si="9">SUM(AC5:AC7)</f>
        <v>9798.7781258542636</v>
      </c>
      <c r="AD8" s="50">
        <f t="shared" si="9"/>
        <v>9263.1125310966327</v>
      </c>
      <c r="AE8" s="50">
        <f t="shared" si="9"/>
        <v>10151.76288366611</v>
      </c>
      <c r="AF8" s="50">
        <f t="shared" si="9"/>
        <v>10504.770714750864</v>
      </c>
      <c r="AG8" s="51">
        <f t="shared" si="9"/>
        <v>39718.424255367871</v>
      </c>
      <c r="AH8" s="50">
        <f t="shared" si="9"/>
        <v>10924.756860448462</v>
      </c>
      <c r="AI8" s="50">
        <f t="shared" si="9"/>
        <v>10319.792259984008</v>
      </c>
      <c r="AJ8" s="50">
        <f t="shared" si="9"/>
        <v>11317.004884574406</v>
      </c>
      <c r="AK8" s="50">
        <f t="shared" si="9"/>
        <v>11729.488774261394</v>
      </c>
      <c r="AL8" s="51">
        <f t="shared" si="9"/>
        <v>44291.04277926826</v>
      </c>
      <c r="AM8" s="50">
        <f t="shared" si="9"/>
        <v>12015.080827829319</v>
      </c>
      <c r="AN8" s="50">
        <f t="shared" si="9"/>
        <v>11292.636372927176</v>
      </c>
      <c r="AO8" s="50">
        <f t="shared" si="9"/>
        <v>12338.928746562484</v>
      </c>
      <c r="AP8" s="50">
        <f t="shared" si="9"/>
        <v>12745.789555185846</v>
      </c>
      <c r="AQ8" s="51">
        <f t="shared" si="9"/>
        <v>48392.435502504813</v>
      </c>
      <c r="AR8" s="50">
        <f t="shared" si="9"/>
        <v>12794.1194565602</v>
      </c>
      <c r="AS8" s="50">
        <f t="shared" si="9"/>
        <v>12016.232732805476</v>
      </c>
      <c r="AT8" s="50">
        <f t="shared" si="9"/>
        <v>13126.86948465473</v>
      </c>
      <c r="AU8" s="50">
        <f t="shared" si="9"/>
        <v>13558.73637135814</v>
      </c>
      <c r="AV8" s="51">
        <f t="shared" si="9"/>
        <v>51495.958045378546</v>
      </c>
    </row>
    <row r="9" spans="1:48" outlineLevel="1" x14ac:dyDescent="0.3">
      <c r="B9" s="589" t="s">
        <v>100</v>
      </c>
      <c r="C9" s="590"/>
      <c r="D9" s="105">
        <v>2175.8000000000002</v>
      </c>
      <c r="E9" s="105">
        <v>2012</v>
      </c>
      <c r="F9" s="105">
        <v>2199.6</v>
      </c>
      <c r="G9" s="105">
        <f t="shared" si="0"/>
        <v>2139.4999999999991</v>
      </c>
      <c r="H9" s="170">
        <v>8526.9</v>
      </c>
      <c r="I9" s="105">
        <v>2236.4</v>
      </c>
      <c r="J9" s="105">
        <v>1997.7</v>
      </c>
      <c r="K9" s="105">
        <v>1484</v>
      </c>
      <c r="L9" s="105">
        <v>1976.8</v>
      </c>
      <c r="M9" s="170">
        <f>SUM(I9:L9)</f>
        <v>7694.9000000000005</v>
      </c>
      <c r="N9" s="105">
        <v>2049.1</v>
      </c>
      <c r="O9" s="105">
        <v>1992.4</v>
      </c>
      <c r="P9" s="105">
        <v>2206</v>
      </c>
      <c r="Q9" s="105">
        <v>2491.1</v>
      </c>
      <c r="R9" s="170">
        <f>SUM(N9:Q9)</f>
        <v>8738.6</v>
      </c>
      <c r="S9" s="105">
        <v>2526.9</v>
      </c>
      <c r="T9" s="105">
        <v>2465.8000000000002</v>
      </c>
      <c r="U9" s="105">
        <v>2613.6</v>
      </c>
      <c r="V9" s="105">
        <v>2711</v>
      </c>
      <c r="W9" s="170">
        <f>SUM(S9:V9)</f>
        <v>10317.300000000001</v>
      </c>
      <c r="X9" s="105">
        <f>+X60+X93+X110+X125</f>
        <v>2809.7561209281325</v>
      </c>
      <c r="Y9" s="105">
        <f>+Y60+Y93+Y110+Y125</f>
        <v>2699.3982766901318</v>
      </c>
      <c r="Z9" s="105">
        <f>+Z60+Z93+Z110+Z125</f>
        <v>2953.4425681740177</v>
      </c>
      <c r="AA9" s="105">
        <f>+AA60+AA93+AA110+AA125</f>
        <v>2973.3067245893253</v>
      </c>
      <c r="AB9" s="49">
        <f>SUM(X9:AA9)</f>
        <v>11435.903690381607</v>
      </c>
      <c r="AC9" s="105">
        <f>+AC60+AC93+AC110+AC125</f>
        <v>3041.5113220718995</v>
      </c>
      <c r="AD9" s="105">
        <f>+AD60+AD93+AD110+AD125</f>
        <v>2903.1668094643019</v>
      </c>
      <c r="AE9" s="105">
        <f>+AE60+AE93+AE110+AE125</f>
        <v>3218.9928666783635</v>
      </c>
      <c r="AF9" s="105">
        <f>+AF60+AF93+AF110+AF125</f>
        <v>3339.3922116260846</v>
      </c>
      <c r="AG9" s="49">
        <f>SUM(AC9:AF9)</f>
        <v>12503.06320984065</v>
      </c>
      <c r="AH9" s="105">
        <f>+AH60+AH93+AH110+AH125</f>
        <v>3368.5058911581773</v>
      </c>
      <c r="AI9" s="105">
        <f>+AI60+AI93+AI110+AI125</f>
        <v>3208.5858525268595</v>
      </c>
      <c r="AJ9" s="105">
        <f>+AJ60+AJ93+AJ110+AJ125</f>
        <v>3536.1565173238541</v>
      </c>
      <c r="AK9" s="105">
        <f>+AK60+AK93+AK110+AK125</f>
        <v>3704.9473191236725</v>
      </c>
      <c r="AL9" s="49">
        <f>SUM(AH9:AK9)</f>
        <v>13818.195580132564</v>
      </c>
      <c r="AM9" s="105">
        <f>+AM60+AM93+AM110+AM125</f>
        <v>3698.3676453184553</v>
      </c>
      <c r="AN9" s="105">
        <f>+AN60+AN93+AN110+AN125</f>
        <v>3500.6945901858285</v>
      </c>
      <c r="AO9" s="105">
        <f>+AO60+AO93+AO110+AO125</f>
        <v>3846.9622965880703</v>
      </c>
      <c r="AP9" s="105">
        <f>+AP60+AP93+AP110+AP125</f>
        <v>4017.7817355813277</v>
      </c>
      <c r="AQ9" s="49">
        <f>SUM(AM9:AP9)</f>
        <v>15063.806267673681</v>
      </c>
      <c r="AR9" s="105">
        <f>+AR60+AR93+AR110+AR125</f>
        <v>3932.73775623961</v>
      </c>
      <c r="AS9" s="105">
        <f>+AS60+AS93+AS110+AS125</f>
        <v>3718.7962706389526</v>
      </c>
      <c r="AT9" s="105">
        <f>+AT60+AT93+AT110+AT125</f>
        <v>4086.8002227888828</v>
      </c>
      <c r="AU9" s="105">
        <f>+AU60+AU93+AU110+AU125</f>
        <v>4269.0127607265395</v>
      </c>
      <c r="AV9" s="49">
        <f>SUM(AR9:AU9)</f>
        <v>16007.347010393984</v>
      </c>
    </row>
    <row r="10" spans="1:48" outlineLevel="1" x14ac:dyDescent="0.3">
      <c r="B10" s="38" t="s">
        <v>32</v>
      </c>
      <c r="C10" s="18"/>
      <c r="D10" s="105">
        <v>2586.8000000000002</v>
      </c>
      <c r="E10" s="105">
        <v>2554.1</v>
      </c>
      <c r="F10" s="105">
        <v>2643.2</v>
      </c>
      <c r="G10" s="105">
        <f t="shared" si="0"/>
        <v>2709.5000000000009</v>
      </c>
      <c r="H10" s="170">
        <v>10493.6</v>
      </c>
      <c r="I10" s="105">
        <v>2821.5</v>
      </c>
      <c r="J10" s="105">
        <v>2721.4</v>
      </c>
      <c r="K10" s="105">
        <v>2537.8000000000002</v>
      </c>
      <c r="L10" s="48">
        <v>2683.4</v>
      </c>
      <c r="M10" s="49">
        <f t="shared" ref="M10:M13" si="10">SUM(I10:L10)</f>
        <v>10764.1</v>
      </c>
      <c r="N10" s="48">
        <v>2867.3</v>
      </c>
      <c r="O10" s="105">
        <v>2823.3</v>
      </c>
      <c r="P10" s="105">
        <v>2966.9</v>
      </c>
      <c r="Q10" s="105">
        <v>3273.4</v>
      </c>
      <c r="R10" s="170">
        <f t="shared" ref="R10:R13" si="11">SUM(N10:Q10)</f>
        <v>11930.9</v>
      </c>
      <c r="S10" s="48">
        <v>3400</v>
      </c>
      <c r="T10" s="48">
        <v>3314.7</v>
      </c>
      <c r="U10" s="48">
        <v>3302.5</v>
      </c>
      <c r="V10" s="48">
        <v>3544.7</v>
      </c>
      <c r="W10" s="170">
        <f t="shared" ref="W10:W13" si="12">SUM(S10:V10)</f>
        <v>13561.900000000001</v>
      </c>
      <c r="X10" s="48">
        <f>+X62+X95</f>
        <v>3712.0322819241269</v>
      </c>
      <c r="Y10" s="48">
        <f>+Y62+Y95</f>
        <v>3647.7301353684679</v>
      </c>
      <c r="Z10" s="48">
        <f>+Z62+Z95</f>
        <v>3818.3957687435072</v>
      </c>
      <c r="AA10" s="48">
        <f>+AA62+AA95</f>
        <v>4012.0755758568134</v>
      </c>
      <c r="AB10" s="49">
        <f t="shared" ref="AB10:AB13" si="13">SUM(X10:AA10)</f>
        <v>15190.233761892916</v>
      </c>
      <c r="AC10" s="48">
        <f>+AC62+AC95</f>
        <v>4118.2275886473926</v>
      </c>
      <c r="AD10" s="48">
        <f>+AD62+AD95</f>
        <v>3960.6977901032215</v>
      </c>
      <c r="AE10" s="48">
        <f>+AE62+AE95</f>
        <v>4192.114437193788</v>
      </c>
      <c r="AF10" s="48">
        <f>+AF62+AF95</f>
        <v>4479.7142835984268</v>
      </c>
      <c r="AG10" s="49">
        <f t="shared" ref="AG10:AG14" si="14">SUM(AC10:AF10)</f>
        <v>16750.754099542828</v>
      </c>
      <c r="AH10" s="48">
        <f>+AH62+AH95</f>
        <v>4585.8869027870696</v>
      </c>
      <c r="AI10" s="48">
        <f>+AI62+AI95</f>
        <v>4407.4082627055004</v>
      </c>
      <c r="AJ10" s="48">
        <f>+AJ62+AJ95</f>
        <v>4636.6017246107494</v>
      </c>
      <c r="AK10" s="48">
        <f>+AK62+AK95</f>
        <v>4998.3471039219748</v>
      </c>
      <c r="AL10" s="49">
        <f t="shared" ref="AL10:AL14" si="15">SUM(AH10:AK10)</f>
        <v>18628.243994025295</v>
      </c>
      <c r="AM10" s="48">
        <f>+AM62+AM95</f>
        <v>5047.6042613459767</v>
      </c>
      <c r="AN10" s="48">
        <f>+AN62+AN95</f>
        <v>4830.9362232935364</v>
      </c>
      <c r="AO10" s="48">
        <f>+AO62+AO95</f>
        <v>5073.3067650341582</v>
      </c>
      <c r="AP10" s="48">
        <f>+AP62+AP95</f>
        <v>5453.567633906624</v>
      </c>
      <c r="AQ10" s="49">
        <f t="shared" ref="AQ10:AQ14" si="16">SUM(AM10:AP10)</f>
        <v>20405.414883580295</v>
      </c>
      <c r="AR10" s="48">
        <f>+AR62+AR95</f>
        <v>5393.1611105473003</v>
      </c>
      <c r="AS10" s="48">
        <f>+AS62+AS95</f>
        <v>5158.5483052034506</v>
      </c>
      <c r="AT10" s="48">
        <f>+AT62+AT95</f>
        <v>5417.1219650673938</v>
      </c>
      <c r="AU10" s="48">
        <f>+AU62+AU95</f>
        <v>5821.5455809762943</v>
      </c>
      <c r="AV10" s="49">
        <f t="shared" ref="AV10:AV14" si="17">SUM(AR10:AU10)</f>
        <v>21790.376961794438</v>
      </c>
    </row>
    <row r="11" spans="1:48" outlineLevel="1" x14ac:dyDescent="0.3">
      <c r="B11" s="38" t="s">
        <v>33</v>
      </c>
      <c r="C11" s="18"/>
      <c r="D11" s="105">
        <v>97.6</v>
      </c>
      <c r="E11" s="105">
        <v>87.1</v>
      </c>
      <c r="F11" s="105">
        <v>94.4</v>
      </c>
      <c r="G11" s="105">
        <f t="shared" si="0"/>
        <v>91.900000000000034</v>
      </c>
      <c r="H11" s="170">
        <v>371</v>
      </c>
      <c r="I11" s="105">
        <v>101.8</v>
      </c>
      <c r="J11" s="105">
        <v>95</v>
      </c>
      <c r="K11" s="105">
        <v>133.6</v>
      </c>
      <c r="L11" s="48">
        <v>99.9</v>
      </c>
      <c r="M11" s="49">
        <f t="shared" si="10"/>
        <v>430.29999999999995</v>
      </c>
      <c r="N11" s="48">
        <v>91.8</v>
      </c>
      <c r="O11" s="105">
        <v>87.7</v>
      </c>
      <c r="P11" s="105">
        <v>71.400000000000006</v>
      </c>
      <c r="Q11" s="105">
        <v>108.6</v>
      </c>
      <c r="R11" s="170">
        <f t="shared" si="11"/>
        <v>359.5</v>
      </c>
      <c r="S11" s="48">
        <v>101.7</v>
      </c>
      <c r="T11" s="48">
        <v>101.7</v>
      </c>
      <c r="U11" s="48">
        <v>135.1</v>
      </c>
      <c r="V11" s="48">
        <v>123.1</v>
      </c>
      <c r="W11" s="170">
        <f t="shared" si="12"/>
        <v>461.6</v>
      </c>
      <c r="X11" s="48">
        <f>+X64+X97+X112+X126</f>
        <v>120.29628972658007</v>
      </c>
      <c r="Y11" s="48">
        <f>+Y64+Y97+Y112+Y126</f>
        <v>113.05865459489708</v>
      </c>
      <c r="Z11" s="48">
        <f>+Z64+Z97+Z112+Z126</f>
        <v>148.00872565099138</v>
      </c>
      <c r="AA11" s="48">
        <f>+AA64+AA97+AA112+AA126</f>
        <v>133.58845381256481</v>
      </c>
      <c r="AB11" s="49">
        <f t="shared" si="13"/>
        <v>514.95212378503334</v>
      </c>
      <c r="AC11" s="48">
        <f>+AC64+AC97+AC112+AC126</f>
        <v>127.4889897818028</v>
      </c>
      <c r="AD11" s="48">
        <f>+AD64+AD97+AD112+AD126</f>
        <v>125.0302973164742</v>
      </c>
      <c r="AE11" s="48">
        <f>+AE64+AE97+AE112+AE126</f>
        <v>152.60475095415632</v>
      </c>
      <c r="AF11" s="48">
        <f>+AF64+AF97+AF112+AF126</f>
        <v>139.40788842965267</v>
      </c>
      <c r="AG11" s="49">
        <f t="shared" si="14"/>
        <v>544.53192648208596</v>
      </c>
      <c r="AH11" s="48">
        <f>+AH64+AH97+AH112+AH126</f>
        <v>135.17883227231368</v>
      </c>
      <c r="AI11" s="48">
        <f>+AI64+AI97+AI112+AI126</f>
        <v>134.54056257697874</v>
      </c>
      <c r="AJ11" s="48">
        <f>+AJ64+AJ97+AJ112+AJ126</f>
        <v>153.74034732260091</v>
      </c>
      <c r="AK11" s="48">
        <f>+AK64+AK97+AK112+AK126</f>
        <v>149.85549562809024</v>
      </c>
      <c r="AL11" s="49">
        <f t="shared" si="15"/>
        <v>573.31523779998361</v>
      </c>
      <c r="AM11" s="48">
        <f>+AM64+AM97+AM112+AM126</f>
        <v>149.0726819521814</v>
      </c>
      <c r="AN11" s="48">
        <f>+AN64+AN97+AN112+AN126</f>
        <v>147.45061249203374</v>
      </c>
      <c r="AO11" s="48">
        <f>+AO64+AO97+AO112+AO126</f>
        <v>167.61162568826262</v>
      </c>
      <c r="AP11" s="48">
        <f>+AP64+AP97+AP112+AP126</f>
        <v>163.89600926458689</v>
      </c>
      <c r="AQ11" s="49">
        <f t="shared" si="16"/>
        <v>628.03092939706471</v>
      </c>
      <c r="AR11" s="48">
        <f>+AR64+AR97+AR112+AR126</f>
        <v>158.37847839263083</v>
      </c>
      <c r="AS11" s="48">
        <f>+AS64+AS97+AS112+AS126</f>
        <v>156.56128999027925</v>
      </c>
      <c r="AT11" s="48">
        <f>+AT64+AT97+AT112+AT126</f>
        <v>177.984538491623</v>
      </c>
      <c r="AU11" s="48">
        <f>+AU64+AU97+AU112+AU126</f>
        <v>174.78967008026356</v>
      </c>
      <c r="AV11" s="49">
        <f t="shared" si="17"/>
        <v>667.71397695479664</v>
      </c>
    </row>
    <row r="12" spans="1:48" outlineLevel="1" x14ac:dyDescent="0.3">
      <c r="B12" s="38" t="s">
        <v>34</v>
      </c>
      <c r="C12" s="18"/>
      <c r="D12" s="105">
        <v>333.4</v>
      </c>
      <c r="E12" s="105">
        <v>356.2</v>
      </c>
      <c r="F12" s="105">
        <v>343.1</v>
      </c>
      <c r="G12" s="105">
        <f t="shared" si="0"/>
        <v>344.5999999999998</v>
      </c>
      <c r="H12" s="170">
        <v>1377.3</v>
      </c>
      <c r="I12" s="105">
        <v>351</v>
      </c>
      <c r="J12" s="105">
        <v>356.3</v>
      </c>
      <c r="K12" s="105">
        <v>361</v>
      </c>
      <c r="L12" s="48">
        <v>362.9</v>
      </c>
      <c r="M12" s="49">
        <f t="shared" ref="M12" si="18">SUM(I12:L12)</f>
        <v>1431.1999999999998</v>
      </c>
      <c r="N12" s="48">
        <v>366.1</v>
      </c>
      <c r="O12" s="105">
        <v>366.7</v>
      </c>
      <c r="P12" s="105">
        <v>354.3</v>
      </c>
      <c r="Q12" s="105">
        <v>354.7</v>
      </c>
      <c r="R12" s="170">
        <f t="shared" ref="R12" si="19">SUM(N12:Q12)</f>
        <v>1441.8</v>
      </c>
      <c r="S12" s="48">
        <v>366</v>
      </c>
      <c r="T12" s="48">
        <v>367.7</v>
      </c>
      <c r="U12" s="48">
        <v>356.8</v>
      </c>
      <c r="V12" s="48">
        <v>357.4</v>
      </c>
      <c r="W12" s="170">
        <f t="shared" ref="W12" si="20">SUM(S12:V12)</f>
        <v>1447.9</v>
      </c>
      <c r="X12" s="48">
        <f t="shared" ref="X12:AA13" si="21">+X66+X99+X114+X127</f>
        <v>370.4933872246732</v>
      </c>
      <c r="Y12" s="48">
        <f t="shared" si="21"/>
        <v>380.97042698433893</v>
      </c>
      <c r="Z12" s="48">
        <f t="shared" si="21"/>
        <v>388.64054015083883</v>
      </c>
      <c r="AA12" s="48">
        <f t="shared" si="21"/>
        <v>398.16649631848816</v>
      </c>
      <c r="AB12" s="49">
        <f t="shared" ref="AB12" si="22">SUM(X12:AA12)</f>
        <v>1538.2708506783392</v>
      </c>
      <c r="AC12" s="48">
        <f t="shared" ref="AC12:AF13" si="23">+AC66+AC99+AC114+AC127</f>
        <v>416.39777914675113</v>
      </c>
      <c r="AD12" s="48">
        <f t="shared" si="23"/>
        <v>428.84504346236196</v>
      </c>
      <c r="AE12" s="48">
        <f t="shared" si="23"/>
        <v>438.68740920228663</v>
      </c>
      <c r="AF12" s="48">
        <f t="shared" si="23"/>
        <v>451.9556816933171</v>
      </c>
      <c r="AG12" s="49">
        <f t="shared" si="14"/>
        <v>1735.8859135047167</v>
      </c>
      <c r="AH12" s="48">
        <f t="shared" ref="AH12:AK13" si="24">+AH66+AH99+AH114+AH127</f>
        <v>466.77643803429117</v>
      </c>
      <c r="AI12" s="48">
        <f t="shared" si="24"/>
        <v>476.88945545241887</v>
      </c>
      <c r="AJ12" s="48">
        <f t="shared" si="24"/>
        <v>484.50006486915396</v>
      </c>
      <c r="AK12" s="48">
        <f t="shared" si="24"/>
        <v>495.29344978362923</v>
      </c>
      <c r="AL12" s="49">
        <f t="shared" si="15"/>
        <v>1923.4594081394932</v>
      </c>
      <c r="AM12" s="48">
        <f t="shared" ref="AM12:AP13" si="25">+AM66+AM99+AM114+AM127</f>
        <v>506.94418219058548</v>
      </c>
      <c r="AN12" s="48">
        <f t="shared" si="25"/>
        <v>518.71023429914203</v>
      </c>
      <c r="AO12" s="48">
        <f t="shared" si="25"/>
        <v>527.34973217315132</v>
      </c>
      <c r="AP12" s="48">
        <f t="shared" si="25"/>
        <v>539.13681149282968</v>
      </c>
      <c r="AQ12" s="49">
        <f t="shared" si="16"/>
        <v>2092.1409601557084</v>
      </c>
      <c r="AR12" s="48">
        <f t="shared" ref="AR12:AU13" si="26">+AR66+AR99+AR114+AR127</f>
        <v>551.63255817809215</v>
      </c>
      <c r="AS12" s="48">
        <f t="shared" si="26"/>
        <v>563.5342399503329</v>
      </c>
      <c r="AT12" s="48">
        <f t="shared" si="26"/>
        <v>572.06099918554582</v>
      </c>
      <c r="AU12" s="48">
        <f t="shared" si="26"/>
        <v>583.93635876692451</v>
      </c>
      <c r="AV12" s="49">
        <f t="shared" si="17"/>
        <v>2271.1641560808953</v>
      </c>
    </row>
    <row r="13" spans="1:48" ht="17.25" customHeight="1" outlineLevel="1" x14ac:dyDescent="0.3">
      <c r="B13" s="38" t="s">
        <v>83</v>
      </c>
      <c r="C13" s="18"/>
      <c r="D13" s="105">
        <v>448</v>
      </c>
      <c r="E13" s="105">
        <v>458.1</v>
      </c>
      <c r="F13" s="105">
        <v>459.7</v>
      </c>
      <c r="G13" s="105">
        <f t="shared" si="0"/>
        <v>458.29999999999984</v>
      </c>
      <c r="H13" s="170">
        <v>1824.1</v>
      </c>
      <c r="I13" s="105">
        <v>434.2</v>
      </c>
      <c r="J13" s="105">
        <v>406.5</v>
      </c>
      <c r="K13" s="105">
        <v>399.9</v>
      </c>
      <c r="L13" s="48">
        <v>439</v>
      </c>
      <c r="M13" s="170">
        <f t="shared" si="10"/>
        <v>1679.6</v>
      </c>
      <c r="N13" s="48">
        <v>472.1</v>
      </c>
      <c r="O13" s="105">
        <v>464.4</v>
      </c>
      <c r="P13" s="105">
        <v>494.9</v>
      </c>
      <c r="Q13" s="105">
        <v>501.2</v>
      </c>
      <c r="R13" s="170">
        <f t="shared" si="11"/>
        <v>1932.6000000000001</v>
      </c>
      <c r="S13" s="48">
        <v>525.79999999999995</v>
      </c>
      <c r="T13" s="48">
        <v>481.5</v>
      </c>
      <c r="U13" s="48">
        <v>486.7</v>
      </c>
      <c r="V13" s="48">
        <v>538</v>
      </c>
      <c r="W13" s="170">
        <f t="shared" si="12"/>
        <v>2032</v>
      </c>
      <c r="X13" s="48">
        <f t="shared" si="21"/>
        <v>544.25125533612845</v>
      </c>
      <c r="Y13" s="48">
        <f t="shared" si="21"/>
        <v>517.41632376289635</v>
      </c>
      <c r="Z13" s="48">
        <f t="shared" si="21"/>
        <v>533.71886617741893</v>
      </c>
      <c r="AA13" s="48">
        <f t="shared" si="21"/>
        <v>468.275797139112</v>
      </c>
      <c r="AB13" s="49">
        <f t="shared" si="13"/>
        <v>2063.6622424155557</v>
      </c>
      <c r="AC13" s="48">
        <f t="shared" si="23"/>
        <v>552.89031031583443</v>
      </c>
      <c r="AD13" s="48">
        <f t="shared" si="23"/>
        <v>552.94491947301162</v>
      </c>
      <c r="AE13" s="48">
        <f t="shared" si="23"/>
        <v>551.23382692573193</v>
      </c>
      <c r="AF13" s="48">
        <f t="shared" si="23"/>
        <v>481.58084894351344</v>
      </c>
      <c r="AG13" s="49">
        <f t="shared" si="14"/>
        <v>2138.6499056580915</v>
      </c>
      <c r="AH13" s="48">
        <f t="shared" si="24"/>
        <v>569.04902489984295</v>
      </c>
      <c r="AI13" s="48">
        <f t="shared" si="24"/>
        <v>569.38629855263707</v>
      </c>
      <c r="AJ13" s="48">
        <f t="shared" si="24"/>
        <v>566.77978956576874</v>
      </c>
      <c r="AK13" s="48">
        <f t="shared" si="24"/>
        <v>489.69874794571558</v>
      </c>
      <c r="AL13" s="49">
        <f t="shared" si="15"/>
        <v>2194.9138609639645</v>
      </c>
      <c r="AM13" s="48">
        <f t="shared" si="25"/>
        <v>596.94522947343592</v>
      </c>
      <c r="AN13" s="48">
        <f t="shared" si="25"/>
        <v>594.71549817314758</v>
      </c>
      <c r="AO13" s="48">
        <f t="shared" si="25"/>
        <v>590.3950413972633</v>
      </c>
      <c r="AP13" s="48">
        <f t="shared" si="25"/>
        <v>505.04680378107707</v>
      </c>
      <c r="AQ13" s="49">
        <f t="shared" si="16"/>
        <v>2287.1025728249238</v>
      </c>
      <c r="AR13" s="48">
        <f t="shared" si="26"/>
        <v>614.82442887912077</v>
      </c>
      <c r="AS13" s="48">
        <f t="shared" si="26"/>
        <v>612.18593213587098</v>
      </c>
      <c r="AT13" s="48">
        <f t="shared" si="26"/>
        <v>607.57342902990888</v>
      </c>
      <c r="AU13" s="48">
        <f t="shared" si="26"/>
        <v>516.95083478370577</v>
      </c>
      <c r="AV13" s="49">
        <f t="shared" si="17"/>
        <v>2351.5346248286064</v>
      </c>
    </row>
    <row r="14" spans="1:48" ht="17.25" customHeight="1" outlineLevel="1" x14ac:dyDescent="0.45">
      <c r="B14" s="38" t="s">
        <v>42</v>
      </c>
      <c r="C14" s="18"/>
      <c r="D14" s="104">
        <v>43.2</v>
      </c>
      <c r="E14" s="104">
        <v>43</v>
      </c>
      <c r="F14" s="104">
        <v>37.700000000000003</v>
      </c>
      <c r="G14" s="104">
        <f t="shared" si="0"/>
        <v>11.900000000000006</v>
      </c>
      <c r="H14" s="173">
        <v>135.80000000000001</v>
      </c>
      <c r="I14" s="104">
        <v>6.3</v>
      </c>
      <c r="J14" s="104">
        <v>-0.7</v>
      </c>
      <c r="K14" s="104">
        <v>78.099999999999994</v>
      </c>
      <c r="L14" s="104">
        <v>195</v>
      </c>
      <c r="M14" s="53">
        <f t="shared" ref="M14" si="27">SUM(I14:L14)</f>
        <v>278.7</v>
      </c>
      <c r="N14" s="52">
        <v>72.2</v>
      </c>
      <c r="O14" s="104">
        <v>23</v>
      </c>
      <c r="P14" s="104">
        <v>19.8</v>
      </c>
      <c r="Q14" s="104">
        <v>55.5</v>
      </c>
      <c r="R14" s="173">
        <f t="shared" ref="R14" si="28">SUM(N14:Q14)</f>
        <v>170.5</v>
      </c>
      <c r="S14" s="52">
        <v>-7.5</v>
      </c>
      <c r="T14" s="52">
        <v>4.4000000000000004</v>
      </c>
      <c r="U14" s="52">
        <v>14</v>
      </c>
      <c r="V14" s="52">
        <v>35.1</v>
      </c>
      <c r="W14" s="173">
        <f t="shared" ref="W14" si="29">SUM(S14:V14)</f>
        <v>46</v>
      </c>
      <c r="X14" s="52">
        <f>+X69+X102+X117+X129</f>
        <v>50</v>
      </c>
      <c r="Y14" s="52">
        <f>+Y69+Y102+Y117+Y129</f>
        <v>0</v>
      </c>
      <c r="Z14" s="52">
        <f>+Z69+Z102+Z117+Z129</f>
        <v>0</v>
      </c>
      <c r="AA14" s="52">
        <f>+AA69+AA102+AA117+AA129</f>
        <v>0</v>
      </c>
      <c r="AB14" s="53">
        <f t="shared" ref="AB14" si="30">SUM(X14:AA14)</f>
        <v>50</v>
      </c>
      <c r="AC14" s="52">
        <f>+AC69+AC102+AC117+AC129</f>
        <v>0</v>
      </c>
      <c r="AD14" s="52">
        <f>+AD69+AD102+AD117+AD129</f>
        <v>0</v>
      </c>
      <c r="AE14" s="52">
        <f>+AE69+AE102+AE117+AE129</f>
        <v>0</v>
      </c>
      <c r="AF14" s="52">
        <f>+AF69+AF102+AF117+AF129</f>
        <v>0</v>
      </c>
      <c r="AG14" s="53">
        <f t="shared" si="14"/>
        <v>0</v>
      </c>
      <c r="AH14" s="52">
        <f>+AH69+AH102+AH117+AH129</f>
        <v>0</v>
      </c>
      <c r="AI14" s="52">
        <f>+AI69+AI102+AI117+AI129</f>
        <v>0</v>
      </c>
      <c r="AJ14" s="52">
        <f>+AJ69+AJ102+AJ117+AJ129</f>
        <v>0</v>
      </c>
      <c r="AK14" s="52">
        <f>+AK69+AK102+AK117+AK129</f>
        <v>0</v>
      </c>
      <c r="AL14" s="53">
        <f t="shared" si="15"/>
        <v>0</v>
      </c>
      <c r="AM14" s="52">
        <f>+AM69+AM102+AM117+AM129</f>
        <v>0</v>
      </c>
      <c r="AN14" s="52">
        <f>+AN69+AN102+AN117+AN129</f>
        <v>0</v>
      </c>
      <c r="AO14" s="52">
        <f>+AO69+AO102+AO117+AO129</f>
        <v>0</v>
      </c>
      <c r="AP14" s="52">
        <f>+AP69+AP102+AP117+AP129</f>
        <v>0</v>
      </c>
      <c r="AQ14" s="53">
        <f t="shared" si="16"/>
        <v>0</v>
      </c>
      <c r="AR14" s="52">
        <f>+AR69+AR102+AR117+AR129</f>
        <v>0</v>
      </c>
      <c r="AS14" s="52">
        <f>+AS69+AS102+AS117+AS129</f>
        <v>0</v>
      </c>
      <c r="AT14" s="52">
        <f>+AT69+AT102+AT117+AT129</f>
        <v>0</v>
      </c>
      <c r="AU14" s="52">
        <f>+AU69+AU102+AU117+AU129</f>
        <v>0</v>
      </c>
      <c r="AV14" s="53">
        <f t="shared" si="17"/>
        <v>0</v>
      </c>
    </row>
    <row r="15" spans="1:48" s="20" customFormat="1" ht="17.25" customHeight="1" x14ac:dyDescent="0.45">
      <c r="B15" s="46" t="s">
        <v>8</v>
      </c>
      <c r="C15" s="19"/>
      <c r="D15" s="106">
        <f t="shared" ref="D15:AL15" si="31">SUM(D10:D14)+D9</f>
        <v>5684.8</v>
      </c>
      <c r="E15" s="106">
        <f t="shared" si="31"/>
        <v>5510.5</v>
      </c>
      <c r="F15" s="106">
        <f t="shared" si="31"/>
        <v>5777.6999999999989</v>
      </c>
      <c r="G15" s="106">
        <f t="shared" si="31"/>
        <v>5755.7</v>
      </c>
      <c r="H15" s="175">
        <f t="shared" si="31"/>
        <v>22728.699999999997</v>
      </c>
      <c r="I15" s="106">
        <f t="shared" si="31"/>
        <v>5951.2000000000007</v>
      </c>
      <c r="J15" s="106">
        <f t="shared" si="31"/>
        <v>5576.2000000000007</v>
      </c>
      <c r="K15" s="106">
        <f t="shared" si="31"/>
        <v>4994.3999999999996</v>
      </c>
      <c r="L15" s="54">
        <f t="shared" si="31"/>
        <v>5757</v>
      </c>
      <c r="M15" s="55">
        <f t="shared" si="31"/>
        <v>22278.799999999999</v>
      </c>
      <c r="N15" s="54">
        <f t="shared" si="31"/>
        <v>5918.6</v>
      </c>
      <c r="O15" s="106">
        <f t="shared" si="31"/>
        <v>5757.5</v>
      </c>
      <c r="P15" s="106">
        <f>SUM(P10:P14)+P9</f>
        <v>6113.3000000000011</v>
      </c>
      <c r="Q15" s="106">
        <f>SUM(Q10:Q14)+Q9</f>
        <v>6784.5</v>
      </c>
      <c r="R15" s="175">
        <f t="shared" si="31"/>
        <v>24573.9</v>
      </c>
      <c r="S15" s="54">
        <f t="shared" si="31"/>
        <v>6912.9</v>
      </c>
      <c r="T15" s="54">
        <f t="shared" si="31"/>
        <v>6735.7999999999993</v>
      </c>
      <c r="U15" s="54">
        <f t="shared" si="31"/>
        <v>6908.7000000000007</v>
      </c>
      <c r="V15" s="54">
        <f t="shared" si="31"/>
        <v>7309.3</v>
      </c>
      <c r="W15" s="175">
        <f t="shared" si="31"/>
        <v>27866.700000000004</v>
      </c>
      <c r="X15" s="54">
        <f t="shared" si="31"/>
        <v>7606.8293351396405</v>
      </c>
      <c r="Y15" s="54">
        <f t="shared" si="31"/>
        <v>7358.573817400732</v>
      </c>
      <c r="Z15" s="54">
        <f t="shared" si="31"/>
        <v>7842.2064688967739</v>
      </c>
      <c r="AA15" s="54">
        <f>SUM(AA10:AA14)+AA9</f>
        <v>7985.4130477163044</v>
      </c>
      <c r="AB15" s="55">
        <f>SUM(AB10:AB14)+AB9</f>
        <v>30793.022669153455</v>
      </c>
      <c r="AC15" s="54">
        <f t="shared" si="31"/>
        <v>8256.5159899636819</v>
      </c>
      <c r="AD15" s="54">
        <f t="shared" si="31"/>
        <v>7970.684859819371</v>
      </c>
      <c r="AE15" s="54">
        <f t="shared" si="31"/>
        <v>8553.6332909543271</v>
      </c>
      <c r="AF15" s="54">
        <f t="shared" si="31"/>
        <v>8892.0509142909941</v>
      </c>
      <c r="AG15" s="55">
        <f t="shared" si="31"/>
        <v>33672.885055028368</v>
      </c>
      <c r="AH15" s="54">
        <f t="shared" si="31"/>
        <v>9125.3970891516947</v>
      </c>
      <c r="AI15" s="54">
        <f t="shared" si="31"/>
        <v>8796.8104318143942</v>
      </c>
      <c r="AJ15" s="54">
        <f t="shared" si="31"/>
        <v>9377.7784436921283</v>
      </c>
      <c r="AK15" s="54">
        <f t="shared" si="31"/>
        <v>9838.1421164030835</v>
      </c>
      <c r="AL15" s="55">
        <f t="shared" si="31"/>
        <v>37138.128081061295</v>
      </c>
      <c r="AM15" s="54">
        <f t="shared" ref="AM15:AQ15" si="32">SUM(AM10:AM14)+AM9</f>
        <v>9998.9340002806348</v>
      </c>
      <c r="AN15" s="54">
        <f t="shared" si="32"/>
        <v>9592.5071584436882</v>
      </c>
      <c r="AO15" s="54">
        <f t="shared" si="32"/>
        <v>10205.625460880905</v>
      </c>
      <c r="AP15" s="54">
        <f t="shared" si="32"/>
        <v>10679.428994026446</v>
      </c>
      <c r="AQ15" s="55">
        <f t="shared" si="32"/>
        <v>40476.495613631676</v>
      </c>
      <c r="AR15" s="54">
        <f t="shared" ref="AR15:AV15" si="33">SUM(AR10:AR14)+AR9</f>
        <v>10650.734332236754</v>
      </c>
      <c r="AS15" s="54">
        <f t="shared" si="33"/>
        <v>10209.626037918886</v>
      </c>
      <c r="AT15" s="54">
        <f t="shared" si="33"/>
        <v>10861.541154563354</v>
      </c>
      <c r="AU15" s="54">
        <f t="shared" si="33"/>
        <v>11366.235205333727</v>
      </c>
      <c r="AV15" s="55">
        <f t="shared" si="33"/>
        <v>43088.13673005272</v>
      </c>
    </row>
    <row r="16" spans="1:48" s="23" customFormat="1" ht="17.25" customHeight="1" x14ac:dyDescent="0.45">
      <c r="B16" s="591" t="s">
        <v>36</v>
      </c>
      <c r="C16" s="592"/>
      <c r="D16" s="104">
        <v>67.8</v>
      </c>
      <c r="E16" s="104">
        <v>62.3</v>
      </c>
      <c r="F16" s="104">
        <v>76</v>
      </c>
      <c r="G16" s="104">
        <f t="shared" si="0"/>
        <v>91.899999999999991</v>
      </c>
      <c r="H16" s="173">
        <v>298</v>
      </c>
      <c r="I16" s="104">
        <v>73.900000000000006</v>
      </c>
      <c r="J16" s="104">
        <v>67.900000000000006</v>
      </c>
      <c r="K16" s="104">
        <v>68.400000000000006</v>
      </c>
      <c r="L16" s="52">
        <v>112.2</v>
      </c>
      <c r="M16" s="53">
        <f t="shared" ref="M16" si="34">SUM(I16:L16)</f>
        <v>322.40000000000003</v>
      </c>
      <c r="N16" s="52">
        <v>82.7</v>
      </c>
      <c r="O16" s="104">
        <v>77.099999999999994</v>
      </c>
      <c r="P16" s="104">
        <v>105.5</v>
      </c>
      <c r="Q16" s="104">
        <v>120</v>
      </c>
      <c r="R16" s="173">
        <f t="shared" ref="R16" si="35">SUM(N16:Q16)</f>
        <v>385.3</v>
      </c>
      <c r="S16" s="52">
        <v>40.299999999999997</v>
      </c>
      <c r="T16" s="52">
        <v>49.1</v>
      </c>
      <c r="U16" s="52">
        <v>54.1</v>
      </c>
      <c r="V16" s="52">
        <v>90.6</v>
      </c>
      <c r="W16" s="173">
        <f t="shared" ref="W16" si="36">SUM(S16:V16)</f>
        <v>234.1</v>
      </c>
      <c r="X16" s="52">
        <f>+X104+X119</f>
        <v>90.4</v>
      </c>
      <c r="Y16" s="52">
        <f>+Y104+Y119</f>
        <v>90.5</v>
      </c>
      <c r="Z16" s="52">
        <f>+Z104+Z119</f>
        <v>90.6</v>
      </c>
      <c r="AA16" s="52">
        <f>+AA104+AA119</f>
        <v>90.7</v>
      </c>
      <c r="AB16" s="53">
        <f t="shared" ref="AB16" si="37">SUM(X16:AA16)</f>
        <v>362.2</v>
      </c>
      <c r="AC16" s="52">
        <f>+AC104+AC119</f>
        <v>91</v>
      </c>
      <c r="AD16" s="52">
        <f>+AD104+AD119</f>
        <v>91</v>
      </c>
      <c r="AE16" s="52">
        <f>+AE104+AE119</f>
        <v>91</v>
      </c>
      <c r="AF16" s="52">
        <f>+AF104+AF119</f>
        <v>91</v>
      </c>
      <c r="AG16" s="53">
        <f t="shared" ref="AG16" si="38">SUM(AC16:AF16)</f>
        <v>364</v>
      </c>
      <c r="AH16" s="52">
        <f>+AH104+AH119</f>
        <v>91</v>
      </c>
      <c r="AI16" s="52">
        <f>+AI104+AI119</f>
        <v>91</v>
      </c>
      <c r="AJ16" s="52">
        <f>+AJ104+AJ119</f>
        <v>91</v>
      </c>
      <c r="AK16" s="52">
        <f>+AK104+AK119</f>
        <v>91</v>
      </c>
      <c r="AL16" s="53">
        <f t="shared" ref="AL16" si="39">SUM(AH16:AK16)</f>
        <v>364</v>
      </c>
      <c r="AM16" s="52">
        <f>+AM104+AM119</f>
        <v>91</v>
      </c>
      <c r="AN16" s="52">
        <f>+AN104+AN119</f>
        <v>91</v>
      </c>
      <c r="AO16" s="52">
        <f>+AO104+AO119</f>
        <v>91</v>
      </c>
      <c r="AP16" s="52">
        <f>+AP104+AP119</f>
        <v>91</v>
      </c>
      <c r="AQ16" s="53">
        <f t="shared" ref="AQ16" si="40">SUM(AM16:AP16)</f>
        <v>364</v>
      </c>
      <c r="AR16" s="52">
        <f>+AR104+AR119</f>
        <v>91</v>
      </c>
      <c r="AS16" s="52">
        <f>+AS104+AS119</f>
        <v>91</v>
      </c>
      <c r="AT16" s="52">
        <f>+AT104+AT119</f>
        <v>91</v>
      </c>
      <c r="AU16" s="52">
        <f>+AU104+AU119</f>
        <v>91</v>
      </c>
      <c r="AV16" s="53">
        <f t="shared" ref="AV16" si="41">SUM(AR16:AU16)</f>
        <v>364</v>
      </c>
    </row>
    <row r="17" spans="1:48" x14ac:dyDescent="0.3">
      <c r="B17" s="135" t="s">
        <v>10</v>
      </c>
      <c r="C17" s="136"/>
      <c r="D17" s="103">
        <f t="shared" ref="D17:AV17" si="42">D8-D15+D16</f>
        <v>1015.7000000000005</v>
      </c>
      <c r="E17" s="103">
        <f t="shared" si="42"/>
        <v>857.69999999999959</v>
      </c>
      <c r="F17" s="103">
        <f t="shared" si="42"/>
        <v>1121.3000000000011</v>
      </c>
      <c r="G17" s="103">
        <f t="shared" si="42"/>
        <v>1083.2000000000012</v>
      </c>
      <c r="H17" s="171">
        <f t="shared" si="42"/>
        <v>4077.9000000000051</v>
      </c>
      <c r="I17" s="103">
        <f t="shared" si="42"/>
        <v>1219.7999999999988</v>
      </c>
      <c r="J17" s="103">
        <f t="shared" si="42"/>
        <v>487.39999999999907</v>
      </c>
      <c r="K17" s="103">
        <f t="shared" si="42"/>
        <v>-703.8999999999993</v>
      </c>
      <c r="L17" s="50">
        <f t="shared" si="42"/>
        <v>558.30000000000041</v>
      </c>
      <c r="M17" s="51">
        <f t="shared" si="42"/>
        <v>1561.6000000000045</v>
      </c>
      <c r="N17" s="50">
        <f t="shared" si="42"/>
        <v>913.50000000000023</v>
      </c>
      <c r="O17" s="103">
        <f t="shared" si="42"/>
        <v>987.6</v>
      </c>
      <c r="P17" s="103">
        <f>P8-P15+P16</f>
        <v>1488.6999999999989</v>
      </c>
      <c r="Q17" s="103">
        <f>Q8-Q15+Q16</f>
        <v>1482.1999999999998</v>
      </c>
      <c r="R17" s="171">
        <f t="shared" si="42"/>
        <v>4871.9999999999973</v>
      </c>
      <c r="S17" s="50">
        <f t="shared" si="42"/>
        <v>1177.8</v>
      </c>
      <c r="T17" s="50">
        <f t="shared" si="42"/>
        <v>948.9000000000002</v>
      </c>
      <c r="U17" s="50">
        <f t="shared" si="42"/>
        <v>1295.4999999999995</v>
      </c>
      <c r="V17" s="50">
        <f t="shared" si="42"/>
        <v>1195.4999999999986</v>
      </c>
      <c r="W17" s="171">
        <f t="shared" si="42"/>
        <v>4617.6999999999953</v>
      </c>
      <c r="X17" s="50">
        <f t="shared" si="42"/>
        <v>1209.6705072565296</v>
      </c>
      <c r="Y17" s="50">
        <f t="shared" si="42"/>
        <v>1180.014462620783</v>
      </c>
      <c r="Z17" s="50">
        <f t="shared" si="42"/>
        <v>1498.9879388984887</v>
      </c>
      <c r="AA17" s="50">
        <f t="shared" si="42"/>
        <v>1656.5607331439935</v>
      </c>
      <c r="AB17" s="51">
        <f>AB8-AB15+AB16</f>
        <v>5545.2336419197845</v>
      </c>
      <c r="AC17" s="50">
        <f t="shared" si="42"/>
        <v>1633.2621358905817</v>
      </c>
      <c r="AD17" s="50">
        <f t="shared" si="42"/>
        <v>1383.4276712772617</v>
      </c>
      <c r="AE17" s="50">
        <f t="shared" si="42"/>
        <v>1689.1295927117826</v>
      </c>
      <c r="AF17" s="50">
        <f t="shared" si="42"/>
        <v>1703.7198004598704</v>
      </c>
      <c r="AG17" s="51">
        <f t="shared" si="42"/>
        <v>6409.5392003395027</v>
      </c>
      <c r="AH17" s="50">
        <f t="shared" si="42"/>
        <v>1890.3597712967676</v>
      </c>
      <c r="AI17" s="50">
        <f t="shared" si="42"/>
        <v>1613.9818281696134</v>
      </c>
      <c r="AJ17" s="50">
        <f t="shared" si="42"/>
        <v>2030.2264408822775</v>
      </c>
      <c r="AK17" s="50">
        <f t="shared" si="42"/>
        <v>1982.3466578583102</v>
      </c>
      <c r="AL17" s="51">
        <f t="shared" si="42"/>
        <v>7516.9146982069651</v>
      </c>
      <c r="AM17" s="50">
        <f t="shared" si="42"/>
        <v>2107.1468275486841</v>
      </c>
      <c r="AN17" s="50">
        <f t="shared" si="42"/>
        <v>1791.1292144834879</v>
      </c>
      <c r="AO17" s="50">
        <f t="shared" si="42"/>
        <v>2224.3032856815789</v>
      </c>
      <c r="AP17" s="50">
        <f t="shared" si="42"/>
        <v>2157.3605611593994</v>
      </c>
      <c r="AQ17" s="51">
        <f t="shared" si="42"/>
        <v>8279.9398888731375</v>
      </c>
      <c r="AR17" s="50">
        <f t="shared" si="42"/>
        <v>2234.3851243234458</v>
      </c>
      <c r="AS17" s="50">
        <f t="shared" si="42"/>
        <v>1897.60669488659</v>
      </c>
      <c r="AT17" s="50">
        <f t="shared" si="42"/>
        <v>2356.3283300913754</v>
      </c>
      <c r="AU17" s="50">
        <f t="shared" si="42"/>
        <v>2283.5011660244127</v>
      </c>
      <c r="AV17" s="51">
        <f t="shared" si="42"/>
        <v>8771.8213153258257</v>
      </c>
    </row>
    <row r="18" spans="1:48" ht="16.2" x14ac:dyDescent="0.45">
      <c r="B18" s="123" t="s">
        <v>70</v>
      </c>
      <c r="C18" s="88"/>
      <c r="D18" s="107">
        <f>+D170</f>
        <v>138</v>
      </c>
      <c r="E18" s="107">
        <f>+E170</f>
        <v>141.4</v>
      </c>
      <c r="F18" s="107">
        <f>+F170</f>
        <v>125.30000000000001</v>
      </c>
      <c r="G18" s="107">
        <f>+G170</f>
        <v>77.399999999999991</v>
      </c>
      <c r="H18" s="176">
        <f>SUM(D18:G18)</f>
        <v>482.09999999999997</v>
      </c>
      <c r="I18" s="107">
        <f>+I170</f>
        <v>71.599999999999994</v>
      </c>
      <c r="J18" s="107">
        <f>+J170</f>
        <v>66.8</v>
      </c>
      <c r="K18" s="107">
        <f>+K170</f>
        <v>173.67999999999998</v>
      </c>
      <c r="L18" s="89">
        <f>+L170</f>
        <v>259.5</v>
      </c>
      <c r="M18" s="90">
        <f>SUM(I18:L18)</f>
        <v>571.57999999999993</v>
      </c>
      <c r="N18" s="107">
        <f>+N170</f>
        <v>134.9</v>
      </c>
      <c r="O18" s="107">
        <f>+O170</f>
        <v>88.2</v>
      </c>
      <c r="P18" s="107">
        <f>+P170</f>
        <v>51.7</v>
      </c>
      <c r="Q18" s="107">
        <f>+Q170</f>
        <v>115.2</v>
      </c>
      <c r="R18" s="176">
        <f>SUM(N18:Q18)</f>
        <v>390</v>
      </c>
      <c r="S18" s="89">
        <f>+S170</f>
        <v>35.199999999999996</v>
      </c>
      <c r="T18" s="89">
        <f>+T170</f>
        <v>47.5</v>
      </c>
      <c r="U18" s="89">
        <f>+U170</f>
        <v>77.5</v>
      </c>
      <c r="V18" s="89">
        <f>+V170</f>
        <v>77.099999999999994</v>
      </c>
      <c r="W18" s="176">
        <f>SUM(S18:V18)</f>
        <v>237.29999999999998</v>
      </c>
      <c r="X18" s="89">
        <f>+X170</f>
        <v>60.201091631188127</v>
      </c>
      <c r="Y18" s="89">
        <f>+Y170</f>
        <v>10.201091631188127</v>
      </c>
      <c r="Z18" s="89">
        <f>+Z170</f>
        <v>10.201091631188127</v>
      </c>
      <c r="AA18" s="89">
        <f>+AA170</f>
        <v>10.201091631188127</v>
      </c>
      <c r="AB18" s="90">
        <f>SUM(X18:AA18)</f>
        <v>90.80436652475251</v>
      </c>
      <c r="AC18" s="89">
        <f t="shared" ref="AC18:AF18" si="43">+AC170</f>
        <v>10.201091631188127</v>
      </c>
      <c r="AD18" s="89">
        <f t="shared" si="43"/>
        <v>42</v>
      </c>
      <c r="AE18" s="89">
        <f t="shared" si="43"/>
        <v>42</v>
      </c>
      <c r="AF18" s="89">
        <f t="shared" si="43"/>
        <v>42</v>
      </c>
      <c r="AG18" s="90">
        <f>SUM(AC18:AF18)</f>
        <v>136.20109163118812</v>
      </c>
      <c r="AH18" s="89">
        <f t="shared" ref="AH18:AK18" si="44">+AH170</f>
        <v>42</v>
      </c>
      <c r="AI18" s="89">
        <f t="shared" si="44"/>
        <v>42</v>
      </c>
      <c r="AJ18" s="89">
        <f t="shared" si="44"/>
        <v>42</v>
      </c>
      <c r="AK18" s="89">
        <f t="shared" si="44"/>
        <v>42</v>
      </c>
      <c r="AL18" s="90">
        <f>SUM(AH18:AK18)</f>
        <v>168</v>
      </c>
      <c r="AM18" s="89">
        <f t="shared" ref="AM18:AP18" si="45">+AM170</f>
        <v>42</v>
      </c>
      <c r="AN18" s="89">
        <f t="shared" si="45"/>
        <v>42</v>
      </c>
      <c r="AO18" s="89">
        <f t="shared" si="45"/>
        <v>42</v>
      </c>
      <c r="AP18" s="89">
        <f t="shared" si="45"/>
        <v>42</v>
      </c>
      <c r="AQ18" s="90">
        <f>SUM(AM18:AP18)</f>
        <v>168</v>
      </c>
      <c r="AR18" s="89">
        <f t="shared" ref="AR18:AU18" si="46">+AR170</f>
        <v>42</v>
      </c>
      <c r="AS18" s="89">
        <f t="shared" si="46"/>
        <v>42</v>
      </c>
      <c r="AT18" s="89">
        <f t="shared" si="46"/>
        <v>42</v>
      </c>
      <c r="AU18" s="89">
        <f t="shared" si="46"/>
        <v>42</v>
      </c>
      <c r="AV18" s="90">
        <f>SUM(AR18:AU18)</f>
        <v>168</v>
      </c>
    </row>
    <row r="19" spans="1:48" x14ac:dyDescent="0.3">
      <c r="B19" s="124" t="s">
        <v>71</v>
      </c>
      <c r="C19" s="79"/>
      <c r="D19" s="108">
        <f t="shared" ref="D19:AV19" si="47">+D17+D18</f>
        <v>1153.7000000000005</v>
      </c>
      <c r="E19" s="108">
        <f t="shared" si="47"/>
        <v>999.09999999999957</v>
      </c>
      <c r="F19" s="108">
        <f t="shared" si="47"/>
        <v>1246.600000000001</v>
      </c>
      <c r="G19" s="108">
        <f t="shared" si="47"/>
        <v>1160.6000000000013</v>
      </c>
      <c r="H19" s="177">
        <f t="shared" si="47"/>
        <v>4560.0000000000055</v>
      </c>
      <c r="I19" s="108">
        <f t="shared" si="47"/>
        <v>1291.3999999999987</v>
      </c>
      <c r="J19" s="108">
        <f t="shared" si="47"/>
        <v>554.19999999999902</v>
      </c>
      <c r="K19" s="108">
        <f t="shared" si="47"/>
        <v>-530.21999999999935</v>
      </c>
      <c r="L19" s="80">
        <f t="shared" si="47"/>
        <v>817.80000000000041</v>
      </c>
      <c r="M19" s="81">
        <f t="shared" si="47"/>
        <v>2133.1800000000044</v>
      </c>
      <c r="N19" s="108">
        <f t="shared" si="47"/>
        <v>1048.4000000000003</v>
      </c>
      <c r="O19" s="108">
        <f t="shared" si="47"/>
        <v>1075.8</v>
      </c>
      <c r="P19" s="108">
        <f t="shared" si="47"/>
        <v>1540.399999999999</v>
      </c>
      <c r="Q19" s="108">
        <f t="shared" si="47"/>
        <v>1597.3999999999999</v>
      </c>
      <c r="R19" s="177">
        <f t="shared" si="47"/>
        <v>5261.9999999999973</v>
      </c>
      <c r="S19" s="80">
        <f t="shared" si="47"/>
        <v>1213</v>
      </c>
      <c r="T19" s="80">
        <f t="shared" si="47"/>
        <v>996.4000000000002</v>
      </c>
      <c r="U19" s="80">
        <f t="shared" si="47"/>
        <v>1372.9999999999995</v>
      </c>
      <c r="V19" s="80">
        <f t="shared" si="47"/>
        <v>1272.5999999999985</v>
      </c>
      <c r="W19" s="177">
        <f t="shared" si="47"/>
        <v>4854.9999999999955</v>
      </c>
      <c r="X19" s="80">
        <f t="shared" si="47"/>
        <v>1269.8715988877177</v>
      </c>
      <c r="Y19" s="80">
        <f t="shared" si="47"/>
        <v>1190.2155542519711</v>
      </c>
      <c r="Z19" s="80">
        <f t="shared" si="47"/>
        <v>1509.1890305296768</v>
      </c>
      <c r="AA19" s="80">
        <f t="shared" si="47"/>
        <v>1666.7618247751816</v>
      </c>
      <c r="AB19" s="81">
        <f>+AB17+AB18</f>
        <v>5636.0380084445369</v>
      </c>
      <c r="AC19" s="80">
        <f t="shared" si="47"/>
        <v>1643.4632275217698</v>
      </c>
      <c r="AD19" s="80">
        <f t="shared" si="47"/>
        <v>1425.4276712772617</v>
      </c>
      <c r="AE19" s="80">
        <f t="shared" si="47"/>
        <v>1731.1295927117826</v>
      </c>
      <c r="AF19" s="80">
        <f t="shared" si="47"/>
        <v>1745.7198004598704</v>
      </c>
      <c r="AG19" s="81">
        <f t="shared" si="47"/>
        <v>6545.740291970691</v>
      </c>
      <c r="AH19" s="80">
        <f t="shared" si="47"/>
        <v>1932.3597712967676</v>
      </c>
      <c r="AI19" s="80">
        <f t="shared" si="47"/>
        <v>1655.9818281696134</v>
      </c>
      <c r="AJ19" s="80">
        <f t="shared" si="47"/>
        <v>2072.2264408822775</v>
      </c>
      <c r="AK19" s="80">
        <f t="shared" si="47"/>
        <v>2024.3466578583102</v>
      </c>
      <c r="AL19" s="81">
        <f t="shared" si="47"/>
        <v>7684.9146982069651</v>
      </c>
      <c r="AM19" s="80">
        <f t="shared" si="47"/>
        <v>2149.1468275486841</v>
      </c>
      <c r="AN19" s="80">
        <f t="shared" si="47"/>
        <v>1833.1292144834879</v>
      </c>
      <c r="AO19" s="80">
        <f t="shared" si="47"/>
        <v>2266.3032856815789</v>
      </c>
      <c r="AP19" s="80">
        <f t="shared" si="47"/>
        <v>2199.3605611593994</v>
      </c>
      <c r="AQ19" s="81">
        <f t="shared" si="47"/>
        <v>8447.9398888731375</v>
      </c>
      <c r="AR19" s="80">
        <f t="shared" si="47"/>
        <v>2276.3851243234458</v>
      </c>
      <c r="AS19" s="80">
        <f t="shared" si="47"/>
        <v>1939.60669488659</v>
      </c>
      <c r="AT19" s="80">
        <f t="shared" si="47"/>
        <v>2398.3283300913754</v>
      </c>
      <c r="AU19" s="80">
        <f t="shared" si="47"/>
        <v>2325.5011660244127</v>
      </c>
      <c r="AV19" s="81">
        <f t="shared" si="47"/>
        <v>8939.8213153258257</v>
      </c>
    </row>
    <row r="20" spans="1:48" x14ac:dyDescent="0.3">
      <c r="B20" s="38" t="s">
        <v>63</v>
      </c>
      <c r="C20" s="18"/>
      <c r="D20" s="105">
        <v>0</v>
      </c>
      <c r="E20" s="105">
        <v>21</v>
      </c>
      <c r="F20" s="105">
        <v>601.79999999999995</v>
      </c>
      <c r="G20" s="105">
        <f t="shared" ref="G20:G22" si="48">H20-F20-E20-D20</f>
        <v>0</v>
      </c>
      <c r="H20" s="170">
        <v>622.79999999999995</v>
      </c>
      <c r="I20" s="105">
        <v>0</v>
      </c>
      <c r="J20" s="105">
        <v>0</v>
      </c>
      <c r="K20" s="105">
        <v>0</v>
      </c>
      <c r="L20" s="105">
        <v>0</v>
      </c>
      <c r="M20" s="170">
        <f>SUM(I20:L20)</f>
        <v>0</v>
      </c>
      <c r="N20" s="105">
        <v>0</v>
      </c>
      <c r="O20" s="105">
        <v>0</v>
      </c>
      <c r="P20" s="105">
        <v>0</v>
      </c>
      <c r="Q20" s="105">
        <v>864.5</v>
      </c>
      <c r="R20" s="170">
        <f>SUM(N20:Q20)</f>
        <v>864.5</v>
      </c>
      <c r="S20" s="105">
        <v>0</v>
      </c>
      <c r="T20" s="105">
        <v>0</v>
      </c>
      <c r="U20" s="105">
        <v>0</v>
      </c>
      <c r="V20" s="105">
        <v>0</v>
      </c>
      <c r="W20" s="170">
        <f>SUM(S20:V20)</f>
        <v>0</v>
      </c>
      <c r="X20" s="105">
        <v>0</v>
      </c>
      <c r="Y20" s="105">
        <v>0</v>
      </c>
      <c r="Z20" s="105">
        <v>0</v>
      </c>
      <c r="AA20" s="105">
        <v>0</v>
      </c>
      <c r="AB20" s="170">
        <f>SUM(X20:AA20)</f>
        <v>0</v>
      </c>
      <c r="AC20" s="105">
        <v>0</v>
      </c>
      <c r="AD20" s="105">
        <v>0</v>
      </c>
      <c r="AE20" s="105">
        <v>0</v>
      </c>
      <c r="AF20" s="105">
        <v>0</v>
      </c>
      <c r="AG20" s="170">
        <f>SUM(AC20:AF20)</f>
        <v>0</v>
      </c>
      <c r="AH20" s="105">
        <v>0</v>
      </c>
      <c r="AI20" s="105">
        <v>0</v>
      </c>
      <c r="AJ20" s="105">
        <v>0</v>
      </c>
      <c r="AK20" s="105">
        <v>0</v>
      </c>
      <c r="AL20" s="170">
        <f>SUM(AH20:AK20)</f>
        <v>0</v>
      </c>
      <c r="AM20" s="105">
        <v>0</v>
      </c>
      <c r="AN20" s="105">
        <v>0</v>
      </c>
      <c r="AO20" s="105">
        <v>0</v>
      </c>
      <c r="AP20" s="105">
        <v>0</v>
      </c>
      <c r="AQ20" s="170">
        <f>SUM(AM20:AP20)</f>
        <v>0</v>
      </c>
      <c r="AR20" s="105">
        <v>0</v>
      </c>
      <c r="AS20" s="105">
        <v>0</v>
      </c>
      <c r="AT20" s="105">
        <v>0</v>
      </c>
      <c r="AU20" s="105">
        <v>0</v>
      </c>
      <c r="AV20" s="170">
        <f>SUM(AR20:AU20)</f>
        <v>0</v>
      </c>
    </row>
    <row r="21" spans="1:48" x14ac:dyDescent="0.3">
      <c r="B21" s="38" t="s">
        <v>37</v>
      </c>
      <c r="C21" s="18"/>
      <c r="D21" s="105">
        <v>24.8</v>
      </c>
      <c r="E21" s="105">
        <v>15.2</v>
      </c>
      <c r="F21" s="102">
        <v>40.200000000000003</v>
      </c>
      <c r="G21" s="105">
        <f t="shared" si="48"/>
        <v>16.299999999999994</v>
      </c>
      <c r="H21" s="170">
        <v>96.5</v>
      </c>
      <c r="I21" s="105">
        <v>15.9</v>
      </c>
      <c r="J21" s="105">
        <v>2</v>
      </c>
      <c r="K21" s="105">
        <v>12.7</v>
      </c>
      <c r="L21" s="105">
        <v>9.1</v>
      </c>
      <c r="M21" s="170">
        <f t="shared" ref="M21:M22" si="49">SUM(I21:L21)</f>
        <v>39.699999999999996</v>
      </c>
      <c r="N21" s="105">
        <v>15.5</v>
      </c>
      <c r="O21" s="105">
        <v>17.3</v>
      </c>
      <c r="P21" s="105">
        <v>36</v>
      </c>
      <c r="Q21" s="105">
        <v>21.5</v>
      </c>
      <c r="R21" s="170">
        <f t="shared" ref="R21" si="50">SUM(N21:Q21)</f>
        <v>90.3</v>
      </c>
      <c r="S21" s="105">
        <v>-0.1</v>
      </c>
      <c r="T21" s="105">
        <v>46.3</v>
      </c>
      <c r="U21" s="105">
        <v>19.8</v>
      </c>
      <c r="V21" s="105">
        <v>31</v>
      </c>
      <c r="W21" s="170">
        <f t="shared" ref="W21:W22" si="51">SUM(S21:V21)</f>
        <v>97</v>
      </c>
      <c r="X21" s="105">
        <f>('BS (F4Q2022)'!V6+'BS (F4Q2022)'!V7+'BS (F4Q2022)'!V12)*'IS (F4Q2022)'!X144</f>
        <v>29.1536469218868</v>
      </c>
      <c r="Y21" s="105">
        <f>('BS (F4Q2022)'!X6+'BS (F4Q2022)'!X7+'BS (F4Q2022)'!X12)*'IS (F4Q2022)'!Y144</f>
        <v>57.260330499207051</v>
      </c>
      <c r="Z21" s="105">
        <f>('BS (F4Q2022)'!Y6+'BS (F4Q2022)'!Y7+'BS (F4Q2022)'!Y12)*'IS (F4Q2022)'!Z144</f>
        <v>51.523422498694345</v>
      </c>
      <c r="AA21" s="105">
        <f>('BS (F4Q2022)'!Z6+'BS (F4Q2022)'!Z7+'BS (F4Q2022)'!Z12)*'IS (F4Q2022)'!AA144</f>
        <v>31.034990809734069</v>
      </c>
      <c r="AB21" s="170">
        <f t="shared" ref="AB21:AB22" si="52">SUM(X21:AA21)</f>
        <v>168.97239072952226</v>
      </c>
      <c r="AC21" s="105">
        <f>('BS (F4Q2022)'!AA6+'BS (F4Q2022)'!AA7+'BS (F4Q2022)'!AA12)*'IS (F4Q2022)'!AC144</f>
        <v>35.930287086412527</v>
      </c>
      <c r="AD21" s="105">
        <f>('BS (F4Q2022)'!AC6+'BS (F4Q2022)'!AC7+'BS (F4Q2022)'!AC12)*'IS (F4Q2022)'!AD144</f>
        <v>43.648603070311871</v>
      </c>
      <c r="AE21" s="105">
        <f>('BS (F4Q2022)'!AD6+'BS (F4Q2022)'!AD7+'BS (F4Q2022)'!AD12)*'IS (F4Q2022)'!AE144</f>
        <v>41.834380982580193</v>
      </c>
      <c r="AF21" s="105">
        <f>('BS (F4Q2022)'!AE6+'BS (F4Q2022)'!AE7+'BS (F4Q2022)'!AE12)*'IS (F4Q2022)'!AF144</f>
        <v>42.322843271748539</v>
      </c>
      <c r="AG21" s="170">
        <f t="shared" ref="AG21:AG22" si="53">SUM(AC21:AF21)</f>
        <v>163.73611441105311</v>
      </c>
      <c r="AH21" s="105">
        <f>('BS (F4Q2022)'!AF6+'BS (F4Q2022)'!AF7+'BS (F4Q2022)'!AF12)*'IS (F4Q2022)'!AH144</f>
        <v>45.906236895337244</v>
      </c>
      <c r="AI21" s="105">
        <f>('BS (F4Q2022)'!AH6+'BS (F4Q2022)'!AH7+'BS (F4Q2022)'!AH12)*'IS (F4Q2022)'!AI144</f>
        <v>54.584864774155541</v>
      </c>
      <c r="AJ21" s="105">
        <f>('BS (F4Q2022)'!AI6+'BS (F4Q2022)'!AI7+'BS (F4Q2022)'!AI12)*'IS (F4Q2022)'!AJ144</f>
        <v>52.821207249852698</v>
      </c>
      <c r="AK21" s="105">
        <f>('BS (F4Q2022)'!AJ6+'BS (F4Q2022)'!AJ7+'BS (F4Q2022)'!AJ12)*'IS (F4Q2022)'!AK144</f>
        <v>56.109972933715568</v>
      </c>
      <c r="AL21" s="170">
        <f t="shared" ref="AL21:AL22" si="54">SUM(AH21:AK21)</f>
        <v>209.42228185306107</v>
      </c>
      <c r="AM21" s="105">
        <f>('BS (F4Q2022)'!AK6+'BS (F4Q2022)'!AK7+'BS (F4Q2022)'!AK12)*'IS (F4Q2022)'!AM144</f>
        <v>16.221883376779306</v>
      </c>
      <c r="AN21" s="105">
        <f>('BS (F4Q2022)'!AM6+'BS (F4Q2022)'!AM7+'BS (F4Q2022)'!AM12)*'IS (F4Q2022)'!AN144</f>
        <v>25.644789285182732</v>
      </c>
      <c r="AO21" s="105">
        <f>('BS (F4Q2022)'!AN6+'BS (F4Q2022)'!AN7+'BS (F4Q2022)'!AN12)*'IS (F4Q2022)'!AO144</f>
        <v>22.642081192224271</v>
      </c>
      <c r="AP21" s="105">
        <f>('BS (F4Q2022)'!AO6+'BS (F4Q2022)'!AO7+'BS (F4Q2022)'!AO12)*'IS (F4Q2022)'!AP144</f>
        <v>23.307571739536687</v>
      </c>
      <c r="AQ21" s="170">
        <f t="shared" ref="AQ21:AQ22" si="55">SUM(AM21:AP21)</f>
        <v>87.816325593722993</v>
      </c>
      <c r="AR21" s="105">
        <f>('BS (F4Q2022)'!AP6+'BS (F4Q2022)'!AP7+'BS (F4Q2022)'!AP12)*'IS (F4Q2022)'!AR144</f>
        <v>28.04615244463827</v>
      </c>
      <c r="AS21" s="105">
        <f>('BS (F4Q2022)'!AR6+'BS (F4Q2022)'!AR7+'BS (F4Q2022)'!AR12)*'IS (F4Q2022)'!AS144</f>
        <v>38.866557627250046</v>
      </c>
      <c r="AT21" s="105">
        <f>('BS (F4Q2022)'!AS6+'BS (F4Q2022)'!AS7+'BS (F4Q2022)'!AS12)*'IS (F4Q2022)'!AT144</f>
        <v>36.625560309226124</v>
      </c>
      <c r="AU21" s="105">
        <f>('BS (F4Q2022)'!AT6+'BS (F4Q2022)'!AT7+'BS (F4Q2022)'!AT12)*'IS (F4Q2022)'!AU144</f>
        <v>38.374247511986368</v>
      </c>
      <c r="AV21" s="170">
        <f t="shared" ref="AV21:AV22" si="56">SUM(AR21:AU21)</f>
        <v>141.91251789310081</v>
      </c>
    </row>
    <row r="22" spans="1:48" ht="16.2" x14ac:dyDescent="0.45">
      <c r="B22" s="38" t="s">
        <v>38</v>
      </c>
      <c r="C22" s="356"/>
      <c r="D22" s="104">
        <v>-75</v>
      </c>
      <c r="E22" s="104">
        <v>-73.900000000000006</v>
      </c>
      <c r="F22" s="104">
        <v>-86.4</v>
      </c>
      <c r="G22" s="104">
        <f t="shared" si="48"/>
        <v>-95.699999999999989</v>
      </c>
      <c r="H22" s="173">
        <v>-331</v>
      </c>
      <c r="I22" s="104">
        <v>-91.9</v>
      </c>
      <c r="J22" s="104">
        <v>-99.2</v>
      </c>
      <c r="K22" s="104">
        <v>-120.8</v>
      </c>
      <c r="L22" s="104">
        <v>-125</v>
      </c>
      <c r="M22" s="173">
        <f t="shared" si="49"/>
        <v>-436.90000000000003</v>
      </c>
      <c r="N22" s="104">
        <v>-120.7</v>
      </c>
      <c r="O22" s="104">
        <v>-115</v>
      </c>
      <c r="P22" s="104">
        <v>-113.4</v>
      </c>
      <c r="Q22" s="104">
        <v>-120.6</v>
      </c>
      <c r="R22" s="173">
        <f t="shared" ref="R22" si="57">SUM(N22:Q22)</f>
        <v>-469.70000000000005</v>
      </c>
      <c r="S22" s="104">
        <v>-115.3</v>
      </c>
      <c r="T22" s="104">
        <v>-119.1</v>
      </c>
      <c r="U22" s="104">
        <v>-123.1</v>
      </c>
      <c r="V22" s="104">
        <v>-125.3</v>
      </c>
      <c r="W22" s="173">
        <f t="shared" si="51"/>
        <v>-482.8</v>
      </c>
      <c r="X22" s="104">
        <f>-('BS (F4Q2022)'!V28+'BS (F4Q2022)'!V31)*X145</f>
        <v>-137.49999999999989</v>
      </c>
      <c r="Y22" s="104">
        <f>-('BS (F4Q2022)'!X28+'BS (F4Q2022)'!X31)*Y145</f>
        <v>-137.49999999999989</v>
      </c>
      <c r="Z22" s="104">
        <f>-('BS (F4Q2022)'!Y28+'BS (F4Q2022)'!Y31)*Z145</f>
        <v>-137.49999999999989</v>
      </c>
      <c r="AA22" s="104">
        <f>-('BS (F4Q2022)'!Z28+'BS (F4Q2022)'!Z31)*AA145</f>
        <v>-137.49999999999991</v>
      </c>
      <c r="AB22" s="430">
        <f t="shared" si="52"/>
        <v>-549.99999999999955</v>
      </c>
      <c r="AC22" s="104">
        <f>-('BS (F4Q2022)'!AA28+'BS (F4Q2022)'!AA31)*AC145</f>
        <v>-139.00438999999989</v>
      </c>
      <c r="AD22" s="104">
        <f>-('BS (F4Q2022)'!AC28+'BS (F4Q2022)'!AC31)*AD145</f>
        <v>-140.50877999999989</v>
      </c>
      <c r="AE22" s="104">
        <f>-('BS (F4Q2022)'!AD28+'BS (F4Q2022)'!AD31)*AE145</f>
        <v>-142.01033802484716</v>
      </c>
      <c r="AF22" s="104">
        <f>-('BS (F4Q2022)'!AE28+'BS (F4Q2022)'!AE31)*AF145</f>
        <v>-143.51469802484715</v>
      </c>
      <c r="AG22" s="173">
        <f t="shared" si="53"/>
        <v>-565.03820604969405</v>
      </c>
      <c r="AH22" s="104">
        <f>-('BS (F4Q2022)'!AF28+'BS (F4Q2022)'!AF31)*AH145</f>
        <v>-145.98304974242038</v>
      </c>
      <c r="AI22" s="104">
        <f>-('BS (F4Q2022)'!AH28+'BS (F4Q2022)'!AH31)*AI145</f>
        <v>-147.49740974242036</v>
      </c>
      <c r="AJ22" s="104">
        <f>-('BS (F4Q2022)'!AI28+'BS (F4Q2022)'!AI31)*AJ145</f>
        <v>-149.01176974242034</v>
      </c>
      <c r="AK22" s="104">
        <f>-('BS (F4Q2022)'!AJ28+'BS (F4Q2022)'!AJ31)*AK145</f>
        <v>-205.61296383319919</v>
      </c>
      <c r="AL22" s="173">
        <f t="shared" si="54"/>
        <v>-648.10519306046024</v>
      </c>
      <c r="AM22" s="104">
        <f>-('BS (F4Q2022)'!AK28+'BS (F4Q2022)'!AK31)*AM145</f>
        <v>-205.61296383319919</v>
      </c>
      <c r="AN22" s="104">
        <f>-('BS (F4Q2022)'!AM28+'BS (F4Q2022)'!AM31)*AN145</f>
        <v>-205.61296383319919</v>
      </c>
      <c r="AO22" s="104">
        <f>-('BS (F4Q2022)'!AN28+'BS (F4Q2022)'!AN31)*AO145</f>
        <v>-205.61296383319919</v>
      </c>
      <c r="AP22" s="104">
        <f>-('BS (F4Q2022)'!AO28+'BS (F4Q2022)'!AO31)*AP145</f>
        <v>-205.61296383319919</v>
      </c>
      <c r="AQ22" s="173">
        <f t="shared" si="55"/>
        <v>-822.45185533279675</v>
      </c>
      <c r="AR22" s="104">
        <f>-('BS (F4Q2022)'!AP28+'BS (F4Q2022)'!AP31)*AR145</f>
        <v>-205.61296383319919</v>
      </c>
      <c r="AS22" s="104">
        <f>-('BS (F4Q2022)'!AR28+'BS (F4Q2022)'!AR31)*AS145</f>
        <v>-205.61296383319919</v>
      </c>
      <c r="AT22" s="104">
        <f>-('BS (F4Q2022)'!AS28+'BS (F4Q2022)'!AS31)*AT145</f>
        <v>-205.61296383319919</v>
      </c>
      <c r="AU22" s="104">
        <f>-('BS (F4Q2022)'!AT28+'BS (F4Q2022)'!AT31)*AU145</f>
        <v>-205.61296383319919</v>
      </c>
      <c r="AV22" s="173">
        <f t="shared" si="56"/>
        <v>-822.45185533279675</v>
      </c>
    </row>
    <row r="23" spans="1:48" x14ac:dyDescent="0.3">
      <c r="B23" s="209" t="s">
        <v>11</v>
      </c>
      <c r="C23" s="479"/>
      <c r="D23" s="103">
        <f t="shared" ref="D23:AV23" si="58">D17+D21+D22+D20</f>
        <v>965.50000000000045</v>
      </c>
      <c r="E23" s="103">
        <f t="shared" si="58"/>
        <v>819.99999999999966</v>
      </c>
      <c r="F23" s="103">
        <f t="shared" si="58"/>
        <v>1676.900000000001</v>
      </c>
      <c r="G23" s="103">
        <f t="shared" si="58"/>
        <v>1003.8000000000011</v>
      </c>
      <c r="H23" s="171">
        <f t="shared" si="58"/>
        <v>4466.2000000000053</v>
      </c>
      <c r="I23" s="103">
        <f t="shared" si="58"/>
        <v>1143.7999999999988</v>
      </c>
      <c r="J23" s="103">
        <f t="shared" si="58"/>
        <v>390.19999999999908</v>
      </c>
      <c r="K23" s="103">
        <f t="shared" si="58"/>
        <v>-811.9999999999992</v>
      </c>
      <c r="L23" s="50">
        <f t="shared" si="58"/>
        <v>442.40000000000043</v>
      </c>
      <c r="M23" s="51">
        <f t="shared" si="58"/>
        <v>1164.4000000000044</v>
      </c>
      <c r="N23" s="50">
        <f t="shared" si="58"/>
        <v>808.30000000000018</v>
      </c>
      <c r="O23" s="103">
        <f t="shared" si="58"/>
        <v>889.9</v>
      </c>
      <c r="P23" s="103">
        <f t="shared" si="58"/>
        <v>1411.2999999999988</v>
      </c>
      <c r="Q23" s="103">
        <f>Q17+Q21+Q22+Q20</f>
        <v>2247.6</v>
      </c>
      <c r="R23" s="171">
        <f t="shared" si="58"/>
        <v>5357.0999999999976</v>
      </c>
      <c r="S23" s="50">
        <f t="shared" si="58"/>
        <v>1062.4000000000001</v>
      </c>
      <c r="T23" s="50">
        <f t="shared" si="58"/>
        <v>876.10000000000014</v>
      </c>
      <c r="U23" s="50">
        <f t="shared" si="58"/>
        <v>1192.1999999999996</v>
      </c>
      <c r="V23" s="50">
        <f t="shared" si="58"/>
        <v>1101.1999999999987</v>
      </c>
      <c r="W23" s="171">
        <f t="shared" si="58"/>
        <v>4231.8999999999951</v>
      </c>
      <c r="X23" s="50">
        <f t="shared" si="58"/>
        <v>1101.3241541784164</v>
      </c>
      <c r="Y23" s="50">
        <f t="shared" si="58"/>
        <v>1099.7747931199901</v>
      </c>
      <c r="Z23" s="50">
        <f t="shared" si="58"/>
        <v>1413.011361397183</v>
      </c>
      <c r="AA23" s="50">
        <f>AA17+AA21+AA22+AA20</f>
        <v>1550.0957239537277</v>
      </c>
      <c r="AB23" s="51">
        <f>AB17+AB21+AB22+AB20</f>
        <v>5164.2060326493065</v>
      </c>
      <c r="AC23" s="50">
        <f t="shared" si="58"/>
        <v>1530.1880329769945</v>
      </c>
      <c r="AD23" s="50">
        <f t="shared" si="58"/>
        <v>1286.5674943475735</v>
      </c>
      <c r="AE23" s="50">
        <f t="shared" si="58"/>
        <v>1588.9536356695155</v>
      </c>
      <c r="AF23" s="50">
        <f t="shared" si="58"/>
        <v>1602.5279457067718</v>
      </c>
      <c r="AG23" s="51">
        <f t="shared" si="58"/>
        <v>6008.2371087008614</v>
      </c>
      <c r="AH23" s="50">
        <f t="shared" si="58"/>
        <v>1790.2829584496844</v>
      </c>
      <c r="AI23" s="50">
        <f t="shared" si="58"/>
        <v>1521.0692832013485</v>
      </c>
      <c r="AJ23" s="50">
        <f t="shared" si="58"/>
        <v>1934.03587838971</v>
      </c>
      <c r="AK23" s="50">
        <f t="shared" si="58"/>
        <v>1832.8436669588266</v>
      </c>
      <c r="AL23" s="51">
        <f t="shared" si="58"/>
        <v>7078.2317869995659</v>
      </c>
      <c r="AM23" s="50">
        <f t="shared" si="58"/>
        <v>1917.7557470922641</v>
      </c>
      <c r="AN23" s="50">
        <f t="shared" si="58"/>
        <v>1611.1610399354713</v>
      </c>
      <c r="AO23" s="50">
        <f t="shared" si="58"/>
        <v>2041.332403040604</v>
      </c>
      <c r="AP23" s="50">
        <f t="shared" si="58"/>
        <v>1975.0551690657369</v>
      </c>
      <c r="AQ23" s="51">
        <f t="shared" si="58"/>
        <v>7545.3043591340638</v>
      </c>
      <c r="AR23" s="50">
        <f t="shared" si="58"/>
        <v>2056.8183129348849</v>
      </c>
      <c r="AS23" s="50">
        <f t="shared" si="58"/>
        <v>1730.8602886806409</v>
      </c>
      <c r="AT23" s="50">
        <f t="shared" si="58"/>
        <v>2187.3409265674027</v>
      </c>
      <c r="AU23" s="50">
        <f t="shared" si="58"/>
        <v>2116.2624497031998</v>
      </c>
      <c r="AV23" s="51">
        <f t="shared" si="58"/>
        <v>8091.2819778861294</v>
      </c>
    </row>
    <row r="24" spans="1:48" ht="16.2" x14ac:dyDescent="0.45">
      <c r="B24" s="595" t="s">
        <v>5</v>
      </c>
      <c r="C24" s="596"/>
      <c r="D24" s="104">
        <v>205.1</v>
      </c>
      <c r="E24" s="104">
        <v>161.19999999999999</v>
      </c>
      <c r="F24" s="104">
        <v>303.7</v>
      </c>
      <c r="G24" s="104">
        <f t="shared" ref="G24" si="59">H24-F24-E24-D24</f>
        <v>201.60000000000011</v>
      </c>
      <c r="H24" s="173">
        <v>871.6</v>
      </c>
      <c r="I24" s="104">
        <v>258.5</v>
      </c>
      <c r="J24" s="104">
        <v>65.400000000000006</v>
      </c>
      <c r="K24" s="104">
        <v>-133.9</v>
      </c>
      <c r="L24" s="52">
        <v>49.7</v>
      </c>
      <c r="M24" s="53">
        <f>SUM(I24:L24)</f>
        <v>239.7</v>
      </c>
      <c r="N24" s="52">
        <v>186.1</v>
      </c>
      <c r="O24" s="104">
        <v>230.5</v>
      </c>
      <c r="P24" s="104">
        <v>257.10000000000002</v>
      </c>
      <c r="Q24" s="104">
        <v>483</v>
      </c>
      <c r="R24" s="173">
        <f>SUM(N24:Q24)</f>
        <v>1156.7</v>
      </c>
      <c r="S24" s="52">
        <v>246.3</v>
      </c>
      <c r="T24" s="52">
        <v>201.1</v>
      </c>
      <c r="U24" s="52">
        <v>278.5</v>
      </c>
      <c r="V24" s="52">
        <v>222.7</v>
      </c>
      <c r="W24" s="173">
        <f>SUM(S24:V24)</f>
        <v>948.59999999999991</v>
      </c>
      <c r="X24" s="52">
        <f>+X23*X143</f>
        <v>269.82441777371201</v>
      </c>
      <c r="Y24" s="52">
        <f>+Y23*Y143</f>
        <v>269.44482431439758</v>
      </c>
      <c r="Z24" s="52">
        <f>+Z23*Z143</f>
        <v>346.18778354230983</v>
      </c>
      <c r="AA24" s="52">
        <f>+AA23*AA143</f>
        <v>379.77345236866324</v>
      </c>
      <c r="AB24" s="53">
        <f>SUM(X24:AA24)</f>
        <v>1265.2304779990827</v>
      </c>
      <c r="AC24" s="52">
        <f>+AC23*AC143</f>
        <v>374.89606807936366</v>
      </c>
      <c r="AD24" s="52">
        <f>+AD23*AD143</f>
        <v>315.20903611515553</v>
      </c>
      <c r="AE24" s="52">
        <f>+AE23*AE143</f>
        <v>389.29364073903128</v>
      </c>
      <c r="AF24" s="52">
        <f>+AF23*AF143</f>
        <v>392.61934669815906</v>
      </c>
      <c r="AG24" s="53">
        <f>SUM(AC24:AF24)</f>
        <v>1472.0180916317095</v>
      </c>
      <c r="AH24" s="52">
        <f>+AH23*AH143</f>
        <v>438.61932482017266</v>
      </c>
      <c r="AI24" s="52">
        <f>+AI23*AI143</f>
        <v>372.66197438433039</v>
      </c>
      <c r="AJ24" s="52">
        <f>+AJ23*AJ143</f>
        <v>473.83879020547892</v>
      </c>
      <c r="AK24" s="52">
        <f>+AK23*AK143</f>
        <v>449.04669840491249</v>
      </c>
      <c r="AL24" s="53">
        <f>SUM(AH24:AK24)</f>
        <v>1734.1667878148946</v>
      </c>
      <c r="AM24" s="52">
        <f>+AM23*AM143</f>
        <v>469.85015803760467</v>
      </c>
      <c r="AN24" s="52">
        <f>+AN23*AN143</f>
        <v>394.73445478419046</v>
      </c>
      <c r="AO24" s="52">
        <f>+AO23*AO143</f>
        <v>500.12643874494796</v>
      </c>
      <c r="AP24" s="52">
        <f>+AP23*AP143</f>
        <v>483.88851642110552</v>
      </c>
      <c r="AQ24" s="53">
        <f>SUM(AM24:AP24)</f>
        <v>1848.5995679878488</v>
      </c>
      <c r="AR24" s="52">
        <f>+AR23*AR143</f>
        <v>503.9204866690468</v>
      </c>
      <c r="AS24" s="52">
        <f>+AS23*AS143</f>
        <v>424.06077072675703</v>
      </c>
      <c r="AT24" s="52">
        <f>+AT23*AT143</f>
        <v>535.89852700901361</v>
      </c>
      <c r="AU24" s="52">
        <f>+AU23*AU143</f>
        <v>518.4843001772839</v>
      </c>
      <c r="AV24" s="53">
        <f>SUM(AR24:AU24)</f>
        <v>1982.3640845821014</v>
      </c>
    </row>
    <row r="25" spans="1:48" x14ac:dyDescent="0.3">
      <c r="A25" s="23"/>
      <c r="B25" s="593" t="s">
        <v>39</v>
      </c>
      <c r="C25" s="594"/>
      <c r="D25" s="103">
        <f t="shared" ref="D25:AV25" si="60">+D23-D24</f>
        <v>760.40000000000043</v>
      </c>
      <c r="E25" s="103">
        <f t="shared" si="60"/>
        <v>658.79999999999973</v>
      </c>
      <c r="F25" s="103">
        <f t="shared" si="60"/>
        <v>1373.200000000001</v>
      </c>
      <c r="G25" s="103">
        <f t="shared" si="60"/>
        <v>802.20000000000095</v>
      </c>
      <c r="H25" s="171">
        <f t="shared" si="60"/>
        <v>3594.6000000000054</v>
      </c>
      <c r="I25" s="103">
        <f t="shared" si="60"/>
        <v>885.29999999999882</v>
      </c>
      <c r="J25" s="103">
        <f t="shared" si="60"/>
        <v>324.79999999999905</v>
      </c>
      <c r="K25" s="103">
        <f t="shared" si="60"/>
        <v>-678.09999999999923</v>
      </c>
      <c r="L25" s="50">
        <f t="shared" si="60"/>
        <v>392.70000000000044</v>
      </c>
      <c r="M25" s="51">
        <f t="shared" si="60"/>
        <v>924.70000000000437</v>
      </c>
      <c r="N25" s="50">
        <f t="shared" si="60"/>
        <v>622.20000000000016</v>
      </c>
      <c r="O25" s="103">
        <f t="shared" si="60"/>
        <v>659.4</v>
      </c>
      <c r="P25" s="103">
        <f t="shared" si="60"/>
        <v>1154.1999999999989</v>
      </c>
      <c r="Q25" s="103">
        <f>+Q23-Q24</f>
        <v>1764.6</v>
      </c>
      <c r="R25" s="171">
        <f t="shared" si="60"/>
        <v>4200.3999999999978</v>
      </c>
      <c r="S25" s="50">
        <f t="shared" si="60"/>
        <v>816.10000000000014</v>
      </c>
      <c r="T25" s="50">
        <f t="shared" si="60"/>
        <v>675.00000000000011</v>
      </c>
      <c r="U25" s="50">
        <f t="shared" si="60"/>
        <v>913.69999999999959</v>
      </c>
      <c r="V25" s="50">
        <f t="shared" si="60"/>
        <v>878.49999999999864</v>
      </c>
      <c r="W25" s="171">
        <f t="shared" si="60"/>
        <v>3283.2999999999952</v>
      </c>
      <c r="X25" s="50">
        <f t="shared" si="60"/>
        <v>831.49973640470444</v>
      </c>
      <c r="Y25" s="50">
        <f t="shared" si="60"/>
        <v>830.32996880559256</v>
      </c>
      <c r="Z25" s="50">
        <f t="shared" si="60"/>
        <v>1066.8235778548733</v>
      </c>
      <c r="AA25" s="50">
        <f>+AA23-AA24</f>
        <v>1170.3222715850643</v>
      </c>
      <c r="AB25" s="51">
        <f>+AB23-AB24</f>
        <v>3898.9755546502238</v>
      </c>
      <c r="AC25" s="50">
        <f t="shared" si="60"/>
        <v>1155.2919648976308</v>
      </c>
      <c r="AD25" s="50">
        <f t="shared" si="60"/>
        <v>971.358458232418</v>
      </c>
      <c r="AE25" s="50">
        <f t="shared" si="60"/>
        <v>1199.6599949304841</v>
      </c>
      <c r="AF25" s="103">
        <f t="shared" si="60"/>
        <v>1209.9085990086128</v>
      </c>
      <c r="AG25" s="171">
        <f t="shared" si="60"/>
        <v>4536.219017069152</v>
      </c>
      <c r="AH25" s="103">
        <f t="shared" si="60"/>
        <v>1351.6636336295119</v>
      </c>
      <c r="AI25" s="103">
        <f t="shared" si="60"/>
        <v>1148.407308817018</v>
      </c>
      <c r="AJ25" s="103">
        <f t="shared" si="60"/>
        <v>1460.197088184231</v>
      </c>
      <c r="AK25" s="103">
        <f t="shared" si="60"/>
        <v>1383.7969685539142</v>
      </c>
      <c r="AL25" s="51">
        <f t="shared" si="60"/>
        <v>5344.0649991846713</v>
      </c>
      <c r="AM25" s="103">
        <f t="shared" si="60"/>
        <v>1447.9055890546595</v>
      </c>
      <c r="AN25" s="103">
        <f t="shared" si="60"/>
        <v>1216.426585151281</v>
      </c>
      <c r="AO25" s="103">
        <f t="shared" si="60"/>
        <v>1541.205964295656</v>
      </c>
      <c r="AP25" s="103">
        <f t="shared" si="60"/>
        <v>1491.1666526446313</v>
      </c>
      <c r="AQ25" s="51">
        <f t="shared" si="60"/>
        <v>5696.704791146215</v>
      </c>
      <c r="AR25" s="103">
        <f t="shared" si="60"/>
        <v>1552.8978262658381</v>
      </c>
      <c r="AS25" s="103">
        <f t="shared" si="60"/>
        <v>1306.7995179538839</v>
      </c>
      <c r="AT25" s="103">
        <f t="shared" si="60"/>
        <v>1651.4423995583891</v>
      </c>
      <c r="AU25" s="103">
        <f t="shared" si="60"/>
        <v>1597.778149525916</v>
      </c>
      <c r="AV25" s="51">
        <f t="shared" si="60"/>
        <v>6108.9178933040275</v>
      </c>
    </row>
    <row r="26" spans="1:48" ht="16.2" x14ac:dyDescent="0.45">
      <c r="A26" s="23"/>
      <c r="B26" s="210" t="s">
        <v>40</v>
      </c>
      <c r="C26" s="201"/>
      <c r="D26" s="104">
        <v>-0.2</v>
      </c>
      <c r="E26" s="104">
        <v>-4.4000000000000004</v>
      </c>
      <c r="F26" s="104">
        <v>0.4</v>
      </c>
      <c r="G26" s="104">
        <f t="shared" ref="G26" si="61">H26-F26-E26-D26</f>
        <v>-0.39999999999999963</v>
      </c>
      <c r="H26" s="173">
        <v>-4.5999999999999996</v>
      </c>
      <c r="I26" s="104">
        <v>-0.4</v>
      </c>
      <c r="J26" s="104">
        <v>-3.6</v>
      </c>
      <c r="K26" s="104">
        <v>0.3</v>
      </c>
      <c r="L26" s="104">
        <v>0.1</v>
      </c>
      <c r="M26" s="173">
        <f>SUM(I26:L26)</f>
        <v>-3.6</v>
      </c>
      <c r="N26" s="104">
        <v>0</v>
      </c>
      <c r="O26" s="104">
        <v>0</v>
      </c>
      <c r="P26" s="104">
        <v>0.8</v>
      </c>
      <c r="Q26" s="104">
        <v>0.2</v>
      </c>
      <c r="R26" s="173">
        <f>SUM(N26:Q26)</f>
        <v>1</v>
      </c>
      <c r="S26" s="104">
        <v>0.2</v>
      </c>
      <c r="T26" s="104">
        <f>AVERAGE(S26,Q26,P26,O26)</f>
        <v>0.30000000000000004</v>
      </c>
      <c r="U26" s="104">
        <v>0.8</v>
      </c>
      <c r="V26" s="104">
        <v>0.49999999999999983</v>
      </c>
      <c r="W26" s="173">
        <f>SUM(S26:V26)</f>
        <v>1.7999999999999998</v>
      </c>
      <c r="X26" s="104">
        <f>AVERAGE(V26,U26,T26,S26)</f>
        <v>0.44999999999999996</v>
      </c>
      <c r="Y26" s="104">
        <f>AVERAGE(X26,V26,U26,T26)</f>
        <v>0.51249999999999996</v>
      </c>
      <c r="Z26" s="104">
        <f>AVERAGE(Y26,X26,V26,U26)</f>
        <v>0.56562499999999993</v>
      </c>
      <c r="AA26" s="104">
        <f>AVERAGE(Z26,Y26,X26,V26)</f>
        <v>0.50703124999999993</v>
      </c>
      <c r="AB26" s="173">
        <f>SUM(X26:AA26)</f>
        <v>2.0351562499999996</v>
      </c>
      <c r="AC26" s="104">
        <f>AVERAGE(AA26,Z26,Y26,X26)</f>
        <v>0.5087890625</v>
      </c>
      <c r="AD26" s="104">
        <f>AVERAGE(AC26,AA26,Z26,Y26)</f>
        <v>0.52348632812499996</v>
      </c>
      <c r="AE26" s="104">
        <f>AVERAGE(AD26,AC26,AA26,Z26)</f>
        <v>0.52623291015624996</v>
      </c>
      <c r="AF26" s="104">
        <f>AVERAGE(AE26,AD26,AC26,AA26)</f>
        <v>0.51638488769531243</v>
      </c>
      <c r="AG26" s="173">
        <f>SUM(AC26:AF26)</f>
        <v>2.0748931884765622</v>
      </c>
      <c r="AH26" s="104">
        <f>AVERAGE(AF26,AE26,AD26,AC26)</f>
        <v>0.51872329711914067</v>
      </c>
      <c r="AI26" s="104">
        <f>AVERAGE(AH26,AF26,AE26,AD26)</f>
        <v>0.52120685577392578</v>
      </c>
      <c r="AJ26" s="104">
        <f>AVERAGE(AI26,AH26,AF26,AE26)</f>
        <v>0.52063698768615718</v>
      </c>
      <c r="AK26" s="104">
        <f>AVERAGE(AJ26,AI26,AH26,AF26)</f>
        <v>0.51923800706863399</v>
      </c>
      <c r="AL26" s="53">
        <f>SUM(AH26:AK26)</f>
        <v>2.0798051476478578</v>
      </c>
      <c r="AM26" s="104">
        <f>AVERAGE(AK26,AJ26,AI26,AH26)</f>
        <v>0.51995128691196446</v>
      </c>
      <c r="AN26" s="104">
        <f>AVERAGE(AM26,AK26,AJ26,AI26)</f>
        <v>0.52025828436017041</v>
      </c>
      <c r="AO26" s="104">
        <f>AVERAGE(AN26,AM26,AK26,AJ26)</f>
        <v>0.52002114150673151</v>
      </c>
      <c r="AP26" s="104">
        <f>AVERAGE(AO26,AN26,AM26,AK26)</f>
        <v>0.51986717996187504</v>
      </c>
      <c r="AQ26" s="53">
        <f>SUM(AM26:AP26)</f>
        <v>2.0800978927407412</v>
      </c>
      <c r="AR26" s="104">
        <f>AVERAGE(AP26,AO26,AN26,AM26)</f>
        <v>0.5200244731851853</v>
      </c>
      <c r="AS26" s="104">
        <f>AVERAGE(AR26,AP26,AO26,AN26)</f>
        <v>0.52004276975349062</v>
      </c>
      <c r="AT26" s="104">
        <f>AVERAGE(AS26,AR26,AP26,AO26)</f>
        <v>0.51998889110182067</v>
      </c>
      <c r="AU26" s="104">
        <f>AVERAGE(AT26,AS26,AR26,AP26)</f>
        <v>0.51998082850059291</v>
      </c>
      <c r="AV26" s="53">
        <f>SUM(AR26:AU26)</f>
        <v>2.0800369625410893</v>
      </c>
    </row>
    <row r="27" spans="1:48" s="8" customFormat="1" x14ac:dyDescent="0.3">
      <c r="A27" s="20"/>
      <c r="B27" s="209" t="s">
        <v>16</v>
      </c>
      <c r="C27" s="202"/>
      <c r="D27" s="103">
        <f t="shared" ref="D27:AV27" si="62">+D25-D26</f>
        <v>760.60000000000048</v>
      </c>
      <c r="E27" s="103">
        <f t="shared" si="62"/>
        <v>663.1999999999997</v>
      </c>
      <c r="F27" s="103">
        <f t="shared" si="62"/>
        <v>1372.8000000000009</v>
      </c>
      <c r="G27" s="103">
        <f t="shared" si="62"/>
        <v>802.60000000000093</v>
      </c>
      <c r="H27" s="171">
        <f t="shared" si="62"/>
        <v>3599.2000000000053</v>
      </c>
      <c r="I27" s="103">
        <f t="shared" si="62"/>
        <v>885.69999999999879</v>
      </c>
      <c r="J27" s="103">
        <f t="shared" si="62"/>
        <v>328.39999999999907</v>
      </c>
      <c r="K27" s="103">
        <f t="shared" si="62"/>
        <v>-678.39999999999918</v>
      </c>
      <c r="L27" s="50">
        <f t="shared" si="62"/>
        <v>392.60000000000042</v>
      </c>
      <c r="M27" s="51">
        <f t="shared" si="62"/>
        <v>928.30000000000439</v>
      </c>
      <c r="N27" s="50">
        <f t="shared" si="62"/>
        <v>622.20000000000016</v>
      </c>
      <c r="O27" s="103">
        <f t="shared" si="62"/>
        <v>659.4</v>
      </c>
      <c r="P27" s="103">
        <f t="shared" si="62"/>
        <v>1153.399999999999</v>
      </c>
      <c r="Q27" s="103">
        <f t="shared" si="62"/>
        <v>1764.3999999999999</v>
      </c>
      <c r="R27" s="171">
        <f t="shared" si="62"/>
        <v>4199.3999999999978</v>
      </c>
      <c r="S27" s="50">
        <f t="shared" si="62"/>
        <v>815.90000000000009</v>
      </c>
      <c r="T27" s="50">
        <f t="shared" si="62"/>
        <v>674.70000000000016</v>
      </c>
      <c r="U27" s="50">
        <f t="shared" si="62"/>
        <v>912.89999999999964</v>
      </c>
      <c r="V27" s="103">
        <f t="shared" si="62"/>
        <v>877.99999999999864</v>
      </c>
      <c r="W27" s="171">
        <f t="shared" si="62"/>
        <v>3281.499999999995</v>
      </c>
      <c r="X27" s="50">
        <f t="shared" si="62"/>
        <v>831.04973640470439</v>
      </c>
      <c r="Y27" s="50">
        <f t="shared" si="62"/>
        <v>829.81746880559251</v>
      </c>
      <c r="Z27" s="50">
        <f t="shared" si="62"/>
        <v>1066.2579528548733</v>
      </c>
      <c r="AA27" s="50">
        <f>+AA25-AA26</f>
        <v>1169.8152403350643</v>
      </c>
      <c r="AB27" s="51">
        <f>+AB25-AB26</f>
        <v>3896.9403984002238</v>
      </c>
      <c r="AC27" s="50">
        <f t="shared" si="62"/>
        <v>1154.7831758351308</v>
      </c>
      <c r="AD27" s="50">
        <f t="shared" si="62"/>
        <v>970.83497190429296</v>
      </c>
      <c r="AE27" s="50">
        <f t="shared" si="62"/>
        <v>1199.1337620203278</v>
      </c>
      <c r="AF27" s="50">
        <f t="shared" si="62"/>
        <v>1209.3922141209175</v>
      </c>
      <c r="AG27" s="51">
        <f t="shared" si="62"/>
        <v>4534.1441238806756</v>
      </c>
      <c r="AH27" s="50">
        <f t="shared" si="62"/>
        <v>1351.1449103323928</v>
      </c>
      <c r="AI27" s="50">
        <f t="shared" si="62"/>
        <v>1147.8861019612441</v>
      </c>
      <c r="AJ27" s="50">
        <f t="shared" si="62"/>
        <v>1459.6764511965448</v>
      </c>
      <c r="AK27" s="50">
        <f t="shared" si="62"/>
        <v>1383.2777305468455</v>
      </c>
      <c r="AL27" s="51">
        <f t="shared" si="62"/>
        <v>5341.9851940370236</v>
      </c>
      <c r="AM27" s="50">
        <f t="shared" si="62"/>
        <v>1447.3856377677475</v>
      </c>
      <c r="AN27" s="50">
        <f t="shared" si="62"/>
        <v>1215.9063268669208</v>
      </c>
      <c r="AO27" s="50">
        <f t="shared" si="62"/>
        <v>1540.6859431541493</v>
      </c>
      <c r="AP27" s="50">
        <f t="shared" si="62"/>
        <v>1490.6467854646694</v>
      </c>
      <c r="AQ27" s="51">
        <f t="shared" si="62"/>
        <v>5694.6246932534741</v>
      </c>
      <c r="AR27" s="50">
        <f t="shared" si="62"/>
        <v>1552.3778017926529</v>
      </c>
      <c r="AS27" s="50">
        <f t="shared" si="62"/>
        <v>1306.2794751841304</v>
      </c>
      <c r="AT27" s="50">
        <f t="shared" si="62"/>
        <v>1650.9224106672873</v>
      </c>
      <c r="AU27" s="50">
        <f t="shared" si="62"/>
        <v>1597.2581686974154</v>
      </c>
      <c r="AV27" s="51">
        <f t="shared" si="62"/>
        <v>6106.8378563414863</v>
      </c>
    </row>
    <row r="28" spans="1:48" s="8" customFormat="1" ht="16.2" x14ac:dyDescent="0.45">
      <c r="A28" s="20"/>
      <c r="B28" s="87" t="s">
        <v>72</v>
      </c>
      <c r="C28" s="84"/>
      <c r="D28" s="109">
        <f t="shared" ref="D28:AA28" si="63">-D171-D172</f>
        <v>41.449999999998646</v>
      </c>
      <c r="E28" s="109">
        <f t="shared" si="63"/>
        <v>-54.179999999999545</v>
      </c>
      <c r="F28" s="109">
        <f t="shared" si="63"/>
        <v>-544.16000000000076</v>
      </c>
      <c r="G28" s="109">
        <f t="shared" si="63"/>
        <v>-30</v>
      </c>
      <c r="H28" s="178">
        <f>SUM(D28:G28)</f>
        <v>-586.89000000000169</v>
      </c>
      <c r="I28" s="109">
        <f t="shared" si="63"/>
        <v>-11</v>
      </c>
      <c r="J28" s="109">
        <f t="shared" si="63"/>
        <v>-23</v>
      </c>
      <c r="K28" s="109">
        <f t="shared" si="63"/>
        <v>-35.055</v>
      </c>
      <c r="L28" s="91">
        <f>-L171-L172</f>
        <v>-50.810000000000372</v>
      </c>
      <c r="M28" s="92">
        <f>SUM(I28:L28)</f>
        <v>-119.86500000000038</v>
      </c>
      <c r="N28" s="109">
        <f t="shared" si="63"/>
        <v>-35.49</v>
      </c>
      <c r="O28" s="109">
        <f t="shared" si="63"/>
        <v>-11.847999999999999</v>
      </c>
      <c r="P28" s="109">
        <f t="shared" si="63"/>
        <v>-11.862</v>
      </c>
      <c r="Q28" s="109">
        <f t="shared" si="63"/>
        <v>-696.10940000000005</v>
      </c>
      <c r="R28" s="178">
        <f>SUM(N28:Q28)</f>
        <v>-755.3094000000001</v>
      </c>
      <c r="S28" s="91">
        <f t="shared" si="63"/>
        <v>-3.9480000000003299</v>
      </c>
      <c r="T28" s="91">
        <f t="shared" si="63"/>
        <v>-46.156000000000006</v>
      </c>
      <c r="U28" s="91">
        <f t="shared" si="63"/>
        <v>-23.02</v>
      </c>
      <c r="V28" s="109">
        <f t="shared" si="63"/>
        <v>-23.05</v>
      </c>
      <c r="W28" s="178">
        <f>SUM(S28:V28)</f>
        <v>-96.174000000000333</v>
      </c>
      <c r="X28" s="91">
        <f t="shared" si="63"/>
        <v>-17.99786202462888</v>
      </c>
      <c r="Y28" s="91">
        <f t="shared" si="63"/>
        <v>-3.0497426990776444</v>
      </c>
      <c r="Z28" s="91">
        <f t="shared" si="63"/>
        <v>-3.0497426990776444</v>
      </c>
      <c r="AA28" s="91">
        <f t="shared" si="63"/>
        <v>-3.0497426990776444</v>
      </c>
      <c r="AB28" s="92">
        <f>SUM(X28:AA28)</f>
        <v>-27.147090121861812</v>
      </c>
      <c r="AC28" s="91">
        <f t="shared" ref="AC28:AF28" si="64">-AC171-AC172</f>
        <v>-3.0497426990776444</v>
      </c>
      <c r="AD28" s="91">
        <f t="shared" si="64"/>
        <v>-12.556420233463037</v>
      </c>
      <c r="AE28" s="91">
        <f t="shared" si="64"/>
        <v>-12.556420233463037</v>
      </c>
      <c r="AF28" s="91">
        <f t="shared" si="64"/>
        <v>-12.556420233463037</v>
      </c>
      <c r="AG28" s="92">
        <f>SUM(AC28:AF28)</f>
        <v>-40.719003399466757</v>
      </c>
      <c r="AH28" s="91">
        <f t="shared" ref="AH28:AK28" si="65">-AH171-AH172</f>
        <v>-12.556420233463037</v>
      </c>
      <c r="AI28" s="91">
        <f t="shared" si="65"/>
        <v>-12.556420233463037</v>
      </c>
      <c r="AJ28" s="91">
        <f t="shared" si="65"/>
        <v>-12.556420233463037</v>
      </c>
      <c r="AK28" s="91">
        <f t="shared" si="65"/>
        <v>-12.556420233463037</v>
      </c>
      <c r="AL28" s="92">
        <f>SUM(AH28:AK28)</f>
        <v>-50.225680933852146</v>
      </c>
      <c r="AM28" s="91">
        <f t="shared" ref="AM28:AP28" si="66">-AM171-AM172</f>
        <v>-12.556420233463037</v>
      </c>
      <c r="AN28" s="91">
        <f t="shared" si="66"/>
        <v>-12.556420233463037</v>
      </c>
      <c r="AO28" s="91">
        <f t="shared" si="66"/>
        <v>-12.556420233463037</v>
      </c>
      <c r="AP28" s="91">
        <f t="shared" si="66"/>
        <v>-12.556420233463037</v>
      </c>
      <c r="AQ28" s="92">
        <f>SUM(AM28:AP28)</f>
        <v>-50.225680933852146</v>
      </c>
      <c r="AR28" s="91">
        <f t="shared" ref="AR28:AU28" si="67">-AR171-AR172</f>
        <v>-12.556420233463037</v>
      </c>
      <c r="AS28" s="91">
        <f t="shared" si="67"/>
        <v>-12.556420233463037</v>
      </c>
      <c r="AT28" s="91">
        <f t="shared" si="67"/>
        <v>-12.556420233463037</v>
      </c>
      <c r="AU28" s="91">
        <f t="shared" si="67"/>
        <v>-12.556420233463037</v>
      </c>
      <c r="AV28" s="92">
        <f>SUM(AR28:AU28)</f>
        <v>-50.225680933852146</v>
      </c>
    </row>
    <row r="29" spans="1:48" s="8" customFormat="1" x14ac:dyDescent="0.3">
      <c r="A29" s="20"/>
      <c r="B29" s="85" t="s">
        <v>73</v>
      </c>
      <c r="C29" s="86"/>
      <c r="D29" s="108">
        <f t="shared" ref="D29:AV29" si="68">+D19+D20+D21+D22-D24-D26+D28</f>
        <v>940.04999999999916</v>
      </c>
      <c r="E29" s="108">
        <f t="shared" si="68"/>
        <v>750.42000000000007</v>
      </c>
      <c r="F29" s="108">
        <f t="shared" si="68"/>
        <v>953.94</v>
      </c>
      <c r="G29" s="108">
        <f t="shared" si="68"/>
        <v>850.00000000000102</v>
      </c>
      <c r="H29" s="177">
        <f t="shared" si="68"/>
        <v>3494.4100000000039</v>
      </c>
      <c r="I29" s="108">
        <f t="shared" si="68"/>
        <v>946.2999999999987</v>
      </c>
      <c r="J29" s="108">
        <f t="shared" si="68"/>
        <v>372.19999999999902</v>
      </c>
      <c r="K29" s="108">
        <f t="shared" si="68"/>
        <v>-539.7749999999993</v>
      </c>
      <c r="L29" s="80">
        <f>+L19+L20+L21+L22-L24-L26+L28</f>
        <v>601.29</v>
      </c>
      <c r="M29" s="81">
        <f t="shared" si="68"/>
        <v>1380.0150000000035</v>
      </c>
      <c r="N29" s="108">
        <f t="shared" si="68"/>
        <v>721.61000000000024</v>
      </c>
      <c r="O29" s="108">
        <f t="shared" si="68"/>
        <v>735.75199999999995</v>
      </c>
      <c r="P29" s="108">
        <f t="shared" si="68"/>
        <v>1193.2379999999987</v>
      </c>
      <c r="Q29" s="108">
        <f t="shared" si="68"/>
        <v>1183.4905999999996</v>
      </c>
      <c r="R29" s="177">
        <f t="shared" si="68"/>
        <v>3834.0905999999977</v>
      </c>
      <c r="S29" s="80">
        <f t="shared" si="68"/>
        <v>847.15199999999982</v>
      </c>
      <c r="T29" s="80">
        <f t="shared" si="68"/>
        <v>676.04400000000032</v>
      </c>
      <c r="U29" s="80">
        <f t="shared" si="68"/>
        <v>967.37999999999965</v>
      </c>
      <c r="V29" s="108">
        <f t="shared" si="68"/>
        <v>932.04999999999859</v>
      </c>
      <c r="W29" s="177">
        <f t="shared" si="68"/>
        <v>3422.6259999999947</v>
      </c>
      <c r="X29" s="80">
        <f t="shared" si="68"/>
        <v>873.25296601126388</v>
      </c>
      <c r="Y29" s="80">
        <f t="shared" si="68"/>
        <v>836.96881773770315</v>
      </c>
      <c r="Z29" s="80">
        <f t="shared" si="68"/>
        <v>1073.4093017869841</v>
      </c>
      <c r="AA29" s="80">
        <f t="shared" si="68"/>
        <v>1176.9665892671751</v>
      </c>
      <c r="AB29" s="81">
        <f t="shared" si="68"/>
        <v>3960.5976748031153</v>
      </c>
      <c r="AC29" s="80">
        <f t="shared" si="68"/>
        <v>1161.9345247672413</v>
      </c>
      <c r="AD29" s="80">
        <f t="shared" si="68"/>
        <v>1000.2785516708299</v>
      </c>
      <c r="AE29" s="80">
        <f t="shared" si="68"/>
        <v>1228.5773417868647</v>
      </c>
      <c r="AF29" s="80">
        <f t="shared" si="68"/>
        <v>1238.8357938874544</v>
      </c>
      <c r="AG29" s="81">
        <f t="shared" si="68"/>
        <v>4629.6262121123973</v>
      </c>
      <c r="AH29" s="80">
        <f t="shared" si="68"/>
        <v>1380.5884900989297</v>
      </c>
      <c r="AI29" s="80">
        <f t="shared" si="68"/>
        <v>1177.329681727781</v>
      </c>
      <c r="AJ29" s="80">
        <f t="shared" si="68"/>
        <v>1489.1200309630817</v>
      </c>
      <c r="AK29" s="80">
        <f t="shared" si="68"/>
        <v>1412.7213103133824</v>
      </c>
      <c r="AL29" s="81">
        <f t="shared" si="68"/>
        <v>5459.7595131031712</v>
      </c>
      <c r="AM29" s="80">
        <f t="shared" si="68"/>
        <v>1476.8292175342845</v>
      </c>
      <c r="AN29" s="80">
        <f t="shared" si="68"/>
        <v>1245.3499066334577</v>
      </c>
      <c r="AO29" s="80">
        <f t="shared" si="68"/>
        <v>1570.1295229206864</v>
      </c>
      <c r="AP29" s="80">
        <f t="shared" si="68"/>
        <v>1520.0903652312063</v>
      </c>
      <c r="AQ29" s="81">
        <f t="shared" si="68"/>
        <v>5812.3990123196218</v>
      </c>
      <c r="AR29" s="80">
        <f t="shared" si="68"/>
        <v>1581.8213815591898</v>
      </c>
      <c r="AS29" s="80">
        <f t="shared" si="68"/>
        <v>1335.7230549506673</v>
      </c>
      <c r="AT29" s="80">
        <f t="shared" si="68"/>
        <v>1680.3659904338242</v>
      </c>
      <c r="AU29" s="80">
        <f t="shared" si="68"/>
        <v>1626.7017484639523</v>
      </c>
      <c r="AV29" s="81">
        <f t="shared" si="68"/>
        <v>6224.6121754076357</v>
      </c>
    </row>
    <row r="30" spans="1:48" x14ac:dyDescent="0.3">
      <c r="B30" s="580" t="s">
        <v>0</v>
      </c>
      <c r="C30" s="581"/>
      <c r="D30" s="101">
        <v>1242</v>
      </c>
      <c r="E30" s="101">
        <v>1239.2</v>
      </c>
      <c r="F30" s="101">
        <v>1211</v>
      </c>
      <c r="G30" s="101">
        <v>1210.7904210526317</v>
      </c>
      <c r="H30" s="169">
        <v>1221.2</v>
      </c>
      <c r="I30" s="101">
        <v>1180.4000000000001</v>
      </c>
      <c r="J30" s="101">
        <v>1171.8</v>
      </c>
      <c r="K30" s="101">
        <v>1168.5</v>
      </c>
      <c r="L30" s="101">
        <v>1167.3874645009873</v>
      </c>
      <c r="M30" s="17">
        <f>+(I27/M27*I30)+(J27/M27*J30)+(K27/M27*K30)+(L27/M27*L30)</f>
        <v>1180.550811766758</v>
      </c>
      <c r="N30" s="101">
        <v>1175</v>
      </c>
      <c r="O30" s="101">
        <v>1177.5</v>
      </c>
      <c r="P30" s="101">
        <v>1178.5</v>
      </c>
      <c r="Q30" s="101">
        <v>1179.5008492569002</v>
      </c>
      <c r="R30" s="169">
        <f>+(N27/R27*N30)+(O27/R27*O30)+(P27/R27*P30)+(Q27/R27*Q30)</f>
        <v>1178.2449155662418</v>
      </c>
      <c r="S30" s="16">
        <v>1169.5999999999999</v>
      </c>
      <c r="T30" s="16">
        <v>1149.2</v>
      </c>
      <c r="U30" s="16">
        <v>1147</v>
      </c>
      <c r="V30" s="101">
        <v>1147.8558123647915</v>
      </c>
      <c r="W30" s="169">
        <f>+(S27/W27*S30)+(T27/W27*T30)+(U27/W27*U30)+(V27/W27*V30)</f>
        <v>1153.3004977163769</v>
      </c>
      <c r="X30" s="16">
        <f>V30*(1+X151)-X155-X158-X161</f>
        <v>1150.1515239895211</v>
      </c>
      <c r="Y30" s="16">
        <f>X30*(1+Y151)-Y155-Y158-Y161</f>
        <v>1152.4518270375002</v>
      </c>
      <c r="Z30" s="16">
        <f>Y30*(1+Z151)-Z155-Z158-Z161</f>
        <v>1154.7567306915751</v>
      </c>
      <c r="AA30" s="16">
        <f>Z30*(1+AA151)-AA155-AA158-AA161</f>
        <v>1157.0662441529582</v>
      </c>
      <c r="AB30" s="17">
        <f>+(X27/AB27*X30)+(Y27/AB27*Y30)+(Z27/AB27*Z30)+(AA27/AB27*AA30)</f>
        <v>1153.9771187970114</v>
      </c>
      <c r="AC30" s="16">
        <f>AA30*(1+AC151)-AC155-AC158-AC161</f>
        <v>1159.3803766412641</v>
      </c>
      <c r="AD30" s="16">
        <f>AC30*(1+AD151)-AD155-AD158-AD161</f>
        <v>1161.6991373945466</v>
      </c>
      <c r="AE30" s="16">
        <f>AD30*(1+AE151)-AE155-AE158-AE161</f>
        <v>1163.1351553270288</v>
      </c>
      <c r="AF30" s="16">
        <f>AE30*(1+AF151)-AF155-AF158-AF161</f>
        <v>1164.574045295376</v>
      </c>
      <c r="AG30" s="17">
        <f>+(AC27/AG27*AC30)+(AD27/AG27*AD30)+(AE27/AG27*AE30)+(AF27/AG27*AF30)</f>
        <v>1162.2551856457083</v>
      </c>
      <c r="AH30" s="16">
        <f>AF30*(1+AH151)-AH155-AH158-AH161</f>
        <v>1166.0580692504363</v>
      </c>
      <c r="AI30" s="16">
        <f>AH30*(1+AI151)-AI155-AI158-AI161</f>
        <v>1167.5450612534069</v>
      </c>
      <c r="AJ30" s="16">
        <f>AI30*(1+AJ151)-AJ155-AJ158-AJ161</f>
        <v>1123.8886548263745</v>
      </c>
      <c r="AK30" s="16">
        <f>AJ30*(1+AK151)-AK155-AK158-AK161</f>
        <v>1080.1449355864879</v>
      </c>
      <c r="AL30" s="17">
        <f>+(AH27/AL27*AH30)+(AI27/AL27*AI30)+(AJ27/AL27*AJ30)+(AK27/AL27*AK30)</f>
        <v>1132.6082333168017</v>
      </c>
      <c r="AM30" s="16">
        <f>AK30*(1+AM151)-AM155-AM158-AM161</f>
        <v>1080.2780087146509</v>
      </c>
      <c r="AN30" s="16">
        <f>AM30*(1+AN151)-AN155-AN158-AN161</f>
        <v>1080.4113479890702</v>
      </c>
      <c r="AO30" s="16">
        <f>AN30*(1+AO151)-AO155-AO158-AO161</f>
        <v>1080.5449539420383</v>
      </c>
      <c r="AP30" s="16">
        <f>AO30*(1+AP151)-AP155-AP158-AP161</f>
        <v>1080.6788271069124</v>
      </c>
      <c r="AQ30" s="17">
        <f>+(AM27/AQ27*AM30)+(AN27/AQ27*AN30)+(AO27/AQ27*AO30)+(AP27/AQ27*AP30)</f>
        <v>1080.4836211189584</v>
      </c>
      <c r="AR30" s="16">
        <f>AP30*(1+AR151)-AR155-AR158-AR161</f>
        <v>1080.8527173660182</v>
      </c>
      <c r="AS30" s="16">
        <f>AR30*(1+AS151)-AS155-AS158-AS161</f>
        <v>1081.0269554056422</v>
      </c>
      <c r="AT30" s="16">
        <f>AS30*(1+AT151)-AT155-AT158-AT161</f>
        <v>1081.2015419213453</v>
      </c>
      <c r="AU30" s="16">
        <f>AT30*(1+AU151)-AU155-AU158-AU161</f>
        <v>1081.37647761008</v>
      </c>
      <c r="AV30" s="17">
        <f>+(AR27/AV27*AR30)+(AS27/AV27*AS30)+(AT27/AV27*AT30)+(AU27/AV27*AU30)</f>
        <v>1081.1212796264851</v>
      </c>
    </row>
    <row r="31" spans="1:48" ht="15.75" customHeight="1" x14ac:dyDescent="0.3">
      <c r="B31" s="580" t="s">
        <v>1</v>
      </c>
      <c r="C31" s="581"/>
      <c r="D31" s="101">
        <v>1253.4000000000001</v>
      </c>
      <c r="E31" s="101">
        <v>1250.7</v>
      </c>
      <c r="F31" s="101">
        <v>1223</v>
      </c>
      <c r="G31" s="101">
        <v>1222.8144210526316</v>
      </c>
      <c r="H31" s="169">
        <v>1233.2</v>
      </c>
      <c r="I31" s="101">
        <v>1191</v>
      </c>
      <c r="J31" s="101">
        <v>1180.7</v>
      </c>
      <c r="K31" s="101">
        <v>1168.5</v>
      </c>
      <c r="L31" s="101">
        <v>1179</v>
      </c>
      <c r="M31" s="17">
        <f>+(I27/M27*I31)+(J27/M27*J31)+(K27/M27*K31)+(L27/M27*L31)</f>
        <v>1198.7240978132002</v>
      </c>
      <c r="N31" s="101">
        <v>1183</v>
      </c>
      <c r="O31" s="101">
        <v>1184.8</v>
      </c>
      <c r="P31" s="101">
        <v>1186.2</v>
      </c>
      <c r="Q31" s="101">
        <v>1187.9000000000001</v>
      </c>
      <c r="R31" s="169">
        <f>+(N27/R27*N31)+(O27/R27*O31)+(P27/R27*P31)+(Q27/R27*Q31)</f>
        <v>1186.2203076629999</v>
      </c>
      <c r="S31" s="16">
        <v>1176.5999999999999</v>
      </c>
      <c r="T31" s="16">
        <v>1153.9000000000001</v>
      </c>
      <c r="U31" s="16">
        <v>1151</v>
      </c>
      <c r="V31" s="16">
        <v>1152.5</v>
      </c>
      <c r="W31" s="169">
        <f>+(S27/W27*S31)+(T27/W27*T31)+(U27/W27*U31)+(V27/W27*V31)</f>
        <v>1158.3626908426036</v>
      </c>
      <c r="X31" s="16">
        <f>V31*(1+X152)-X155-X158-X161</f>
        <v>1153.6524999999999</v>
      </c>
      <c r="Y31" s="16">
        <f>X31*(1+Y152)-Y155-Y158-Y161</f>
        <v>1154.8061524999998</v>
      </c>
      <c r="Z31" s="16">
        <f>Y31*(1+Z152)-Z155-Z158-Z161</f>
        <v>1155.9609586524996</v>
      </c>
      <c r="AA31" s="16">
        <f>Z31*(1+AA152)-AA155-AA158-AA161</f>
        <v>1157.1169196111521</v>
      </c>
      <c r="AB31" s="17">
        <f>+(X27/AB27*X31)+(Y27/AB27*Y31)+(Z27/AB27*Z31)+(AA27/AB27*AA31)</f>
        <v>1155.5697641843885</v>
      </c>
      <c r="AC31" s="16">
        <f>AA31*(1+AC152)-AC155-AC158-AC161</f>
        <v>1158.2740365307632</v>
      </c>
      <c r="AD31" s="16">
        <f>AC31*(1+AD152)-AD155-AD158-AD161</f>
        <v>1159.4323105672938</v>
      </c>
      <c r="AE31" s="16">
        <f>AD31*(1+AE152)-AE155-AE158-AE161</f>
        <v>1159.7043625355541</v>
      </c>
      <c r="AF31" s="16">
        <f>AE31*(1+AF152)-AF155-AF158-AF161</f>
        <v>1159.9766865557826</v>
      </c>
      <c r="AG31" s="17">
        <f>+(AC27/AG27*AC31)+(AD27/AG27*AD31)+(AE27/AG27*AE31)+(AF27/AG27*AF31)</f>
        <v>1159.3544646544692</v>
      </c>
      <c r="AH31" s="16">
        <f>AF31*(1+AH152)-AH155-AH158-AH161</f>
        <v>1160.2915391068079</v>
      </c>
      <c r="AI31" s="16">
        <f>AH31*(1+AI152)-AI155-AI158-AI161</f>
        <v>1160.6067065103844</v>
      </c>
      <c r="AJ31" s="16">
        <f>AI31*(1+AJ152)-AJ155-AJ158-AJ161</f>
        <v>1115.7758166673552</v>
      </c>
      <c r="AK31" s="16">
        <f>AJ31*(1+AK152)-AK155-AK158-AK161</f>
        <v>1070.9000959344833</v>
      </c>
      <c r="AL31" s="17">
        <f>+(AH27/AL27*AH31)+(AI27/AL27*AI31)+(AJ27/AL27*AJ31)+(AK27/AL27*AK31)</f>
        <v>1125.0480928459708</v>
      </c>
      <c r="AM31" s="16">
        <f>AK31*(1+AM152)-AM155-AM158-AM161</f>
        <v>1069.9437792874076</v>
      </c>
      <c r="AN31" s="16">
        <f>AM31*(1+AN152)-AN155-AN158-AN161</f>
        <v>1068.9865063236848</v>
      </c>
      <c r="AO31" s="16">
        <f>AN31*(1+AO152)-AO155-AO158-AO161</f>
        <v>1068.0282760869984</v>
      </c>
      <c r="AP31" s="16">
        <f>AO31*(1+AP152)-AP155-AP158-AP161</f>
        <v>1067.0690876200752</v>
      </c>
      <c r="AQ31" s="17">
        <f>+(AM27/AQ27*AM31)+(AN27/AQ27*AN31)+(AO27/AQ27*AO31)+(AP27/AQ27*AP31)</f>
        <v>1068.4686525751738</v>
      </c>
      <c r="AR31" s="16">
        <f>AP31*(1+AR152)-AR155-AR158-AR161</f>
        <v>1066.1486893125871</v>
      </c>
      <c r="AS31" s="16">
        <f>AR31*(1+AS152)-AS155-AS158-AS161</f>
        <v>1065.2273706067915</v>
      </c>
      <c r="AT31" s="16">
        <f>AS31*(1+AT152)-AT155-AT158-AT161</f>
        <v>1064.3051305822901</v>
      </c>
      <c r="AU31" s="16">
        <f>AT31*(1+AU152)-AU155-AU158-AU161</f>
        <v>1063.3819683177642</v>
      </c>
      <c r="AV31" s="17">
        <f>+(AR27/AV27*AR31)+(AS27/AV27*AS31)+(AT27/AV27*AT31)+(AU27/AV27*AU31)</f>
        <v>1064.7295850147382</v>
      </c>
    </row>
    <row r="32" spans="1:48" ht="15.75" customHeight="1" x14ac:dyDescent="0.3">
      <c r="B32" s="587" t="s">
        <v>6</v>
      </c>
      <c r="C32" s="588"/>
      <c r="D32" s="110">
        <f t="shared" ref="D32:AV32" si="69">D27/D30</f>
        <v>0.61239935587761718</v>
      </c>
      <c r="E32" s="110">
        <f t="shared" si="69"/>
        <v>0.53518398967075509</v>
      </c>
      <c r="F32" s="110">
        <f t="shared" si="69"/>
        <v>1.1336085879438487</v>
      </c>
      <c r="G32" s="110">
        <f t="shared" si="69"/>
        <v>0.66287276975832043</v>
      </c>
      <c r="H32" s="174">
        <f t="shared" si="69"/>
        <v>2.947264985260404</v>
      </c>
      <c r="I32" s="110">
        <f t="shared" si="69"/>
        <v>0.75033886818027684</v>
      </c>
      <c r="J32" s="110">
        <f t="shared" si="69"/>
        <v>0.28025260283324721</v>
      </c>
      <c r="K32" s="110">
        <f t="shared" si="69"/>
        <v>-0.58057338468121455</v>
      </c>
      <c r="L32" s="110">
        <f t="shared" si="69"/>
        <v>0.3363065065700544</v>
      </c>
      <c r="M32" s="25">
        <f t="shared" si="69"/>
        <v>0.78632786555858059</v>
      </c>
      <c r="N32" s="110">
        <f t="shared" si="69"/>
        <v>0.52953191489361717</v>
      </c>
      <c r="O32" s="110">
        <f t="shared" si="69"/>
        <v>0.55999999999999994</v>
      </c>
      <c r="P32" s="110">
        <f t="shared" si="69"/>
        <v>0.97870173949936268</v>
      </c>
      <c r="Q32" s="110">
        <f t="shared" si="69"/>
        <v>1.495887011112873</v>
      </c>
      <c r="R32" s="174">
        <f t="shared" si="69"/>
        <v>3.5641146798260079</v>
      </c>
      <c r="S32" s="24">
        <f t="shared" si="69"/>
        <v>0.69758891928864586</v>
      </c>
      <c r="T32" s="24">
        <f t="shared" si="69"/>
        <v>0.58710407239819018</v>
      </c>
      <c r="U32" s="24">
        <f t="shared" si="69"/>
        <v>0.79590235396686981</v>
      </c>
      <c r="V32" s="24">
        <f t="shared" si="69"/>
        <v>0.76490443359010318</v>
      </c>
      <c r="W32" s="174">
        <f t="shared" si="69"/>
        <v>2.8453122204469832</v>
      </c>
      <c r="X32" s="24">
        <f t="shared" si="69"/>
        <v>0.72255674063018149</v>
      </c>
      <c r="Y32" s="24">
        <f t="shared" si="69"/>
        <v>0.72004525424609411</v>
      </c>
      <c r="Z32" s="24">
        <f t="shared" si="69"/>
        <v>0.92336153972127055</v>
      </c>
      <c r="AA32" s="24">
        <f t="shared" si="69"/>
        <v>1.0110183805348494</v>
      </c>
      <c r="AB32" s="25">
        <f t="shared" si="69"/>
        <v>3.3769650497599764</v>
      </c>
      <c r="AC32" s="24">
        <f t="shared" si="69"/>
        <v>0.9960347778013533</v>
      </c>
      <c r="AD32" s="24">
        <f t="shared" si="69"/>
        <v>0.83570258482043558</v>
      </c>
      <c r="AE32" s="24">
        <f t="shared" si="69"/>
        <v>1.0309496334354864</v>
      </c>
      <c r="AF32" s="24">
        <f t="shared" si="69"/>
        <v>1.0384846021655705</v>
      </c>
      <c r="AG32" s="25">
        <f t="shared" si="69"/>
        <v>3.9011605883794478</v>
      </c>
      <c r="AH32" s="24">
        <f t="shared" si="69"/>
        <v>1.1587286653750732</v>
      </c>
      <c r="AI32" s="24">
        <f t="shared" si="69"/>
        <v>0.98316214085042841</v>
      </c>
      <c r="AJ32" s="24">
        <f t="shared" si="69"/>
        <v>1.2987731880094875</v>
      </c>
      <c r="AK32" s="24">
        <f t="shared" si="69"/>
        <v>1.2806408519573025</v>
      </c>
      <c r="AL32" s="25">
        <f t="shared" si="69"/>
        <v>4.7165339584308121</v>
      </c>
      <c r="AM32" s="24">
        <f t="shared" si="69"/>
        <v>1.339826994617703</v>
      </c>
      <c r="AN32" s="24">
        <f t="shared" si="69"/>
        <v>1.1254105476863441</v>
      </c>
      <c r="AO32" s="24">
        <f t="shared" si="69"/>
        <v>1.4258415973656877</v>
      </c>
      <c r="AP32" s="24">
        <f t="shared" si="69"/>
        <v>1.3793615161826416</v>
      </c>
      <c r="AQ32" s="25">
        <f t="shared" si="69"/>
        <v>5.2704405526814657</v>
      </c>
      <c r="AR32" s="24">
        <f t="shared" si="69"/>
        <v>1.4362528555932366</v>
      </c>
      <c r="AS32" s="24">
        <f t="shared" si="69"/>
        <v>1.2083690130501556</v>
      </c>
      <c r="AT32" s="24">
        <f t="shared" si="69"/>
        <v>1.526933089397488</v>
      </c>
      <c r="AU32" s="24">
        <f t="shared" si="69"/>
        <v>1.477060211469988</v>
      </c>
      <c r="AV32" s="25">
        <f t="shared" si="69"/>
        <v>5.6486149809680262</v>
      </c>
    </row>
    <row r="33" spans="2:48" x14ac:dyDescent="0.3">
      <c r="B33" s="587" t="s">
        <v>7</v>
      </c>
      <c r="C33" s="588"/>
      <c r="D33" s="110">
        <f t="shared" ref="D33:AV33" si="70">D27/D31</f>
        <v>0.60682942396681061</v>
      </c>
      <c r="E33" s="110">
        <f t="shared" si="70"/>
        <v>0.53026305269049312</v>
      </c>
      <c r="F33" s="110">
        <f t="shared" si="70"/>
        <v>1.1224856909239582</v>
      </c>
      <c r="G33" s="110">
        <f t="shared" si="70"/>
        <v>0.65635470614510849</v>
      </c>
      <c r="H33" s="174">
        <f t="shared" si="70"/>
        <v>2.9185857930587131</v>
      </c>
      <c r="I33" s="110">
        <f t="shared" si="70"/>
        <v>0.74366078925272783</v>
      </c>
      <c r="J33" s="110">
        <f t="shared" si="70"/>
        <v>0.27814008638942922</v>
      </c>
      <c r="K33" s="110">
        <f t="shared" si="70"/>
        <v>-0.58057338468121455</v>
      </c>
      <c r="L33" s="110">
        <f t="shared" si="70"/>
        <v>0.3329940627650555</v>
      </c>
      <c r="M33" s="174">
        <f t="shared" si="70"/>
        <v>0.7744067226924668</v>
      </c>
      <c r="N33" s="110">
        <f t="shared" si="70"/>
        <v>0.52595097210481845</v>
      </c>
      <c r="O33" s="110">
        <f t="shared" si="70"/>
        <v>0.55654962862930457</v>
      </c>
      <c r="P33" s="110">
        <f t="shared" si="70"/>
        <v>0.97234867644579237</v>
      </c>
      <c r="Q33" s="110">
        <f t="shared" si="70"/>
        <v>1.4853102112972469</v>
      </c>
      <c r="R33" s="174">
        <f t="shared" si="70"/>
        <v>3.5401518359379072</v>
      </c>
      <c r="S33" s="24">
        <f t="shared" si="70"/>
        <v>0.69343872174060861</v>
      </c>
      <c r="T33" s="24">
        <f t="shared" si="70"/>
        <v>0.58471271340670783</v>
      </c>
      <c r="U33" s="24">
        <f t="shared" si="70"/>
        <v>0.79313640312771472</v>
      </c>
      <c r="V33" s="24">
        <f t="shared" si="70"/>
        <v>0.76182212581344788</v>
      </c>
      <c r="W33" s="174">
        <f t="shared" si="70"/>
        <v>2.8328778420971088</v>
      </c>
      <c r="X33" s="24">
        <f>X27/X31</f>
        <v>0.72036400597641359</v>
      </c>
      <c r="Y33" s="24">
        <f t="shared" si="70"/>
        <v>0.71857728416942479</v>
      </c>
      <c r="Z33" s="24">
        <f t="shared" si="70"/>
        <v>0.92239962333832382</v>
      </c>
      <c r="AA33" s="24">
        <f>AA27/AA31</f>
        <v>1.01097410340191</v>
      </c>
      <c r="AB33" s="25">
        <f>AB27/AB31</f>
        <v>3.3723108021528403</v>
      </c>
      <c r="AC33" s="24">
        <f t="shared" si="70"/>
        <v>0.99698615302982352</v>
      </c>
      <c r="AD33" s="24">
        <f t="shared" si="70"/>
        <v>0.83733648187644272</v>
      </c>
      <c r="AE33" s="24">
        <f t="shared" si="70"/>
        <v>1.0339995267402169</v>
      </c>
      <c r="AF33" s="24">
        <f t="shared" si="70"/>
        <v>1.0426004489037277</v>
      </c>
      <c r="AG33" s="25">
        <f t="shared" si="70"/>
        <v>3.9109213464167056</v>
      </c>
      <c r="AH33" s="24">
        <f t="shared" si="70"/>
        <v>1.1644874281962823</v>
      </c>
      <c r="AI33" s="24">
        <f t="shared" si="70"/>
        <v>0.98903969408604619</v>
      </c>
      <c r="AJ33" s="24">
        <f t="shared" si="70"/>
        <v>1.3082166053359769</v>
      </c>
      <c r="AK33" s="24">
        <f t="shared" si="70"/>
        <v>1.2916963363793303</v>
      </c>
      <c r="AL33" s="25">
        <f t="shared" si="70"/>
        <v>4.7482283006442012</v>
      </c>
      <c r="AM33" s="24">
        <f t="shared" si="70"/>
        <v>1.3527679358365163</v>
      </c>
      <c r="AN33" s="24">
        <f t="shared" si="70"/>
        <v>1.137438423847372</v>
      </c>
      <c r="AO33" s="24">
        <f t="shared" si="70"/>
        <v>1.4425516417962791</v>
      </c>
      <c r="AP33" s="24">
        <f t="shared" si="70"/>
        <v>1.3969543329095173</v>
      </c>
      <c r="AQ33" s="25">
        <f t="shared" si="70"/>
        <v>5.3297068468303239</v>
      </c>
      <c r="AR33" s="24">
        <f t="shared" si="70"/>
        <v>1.4560612580160543</v>
      </c>
      <c r="AS33" s="24">
        <f t="shared" si="70"/>
        <v>1.2262916924862972</v>
      </c>
      <c r="AT33" s="24">
        <f t="shared" si="70"/>
        <v>1.5511739662140445</v>
      </c>
      <c r="AU33" s="24">
        <f t="shared" si="70"/>
        <v>1.5020549682859736</v>
      </c>
      <c r="AV33" s="25">
        <f t="shared" si="70"/>
        <v>5.7355763775991573</v>
      </c>
    </row>
    <row r="34" spans="2:48" x14ac:dyDescent="0.3">
      <c r="B34" s="93" t="s">
        <v>74</v>
      </c>
      <c r="C34" s="100"/>
      <c r="D34" s="111">
        <f t="shared" ref="D34:AV34" si="71">+D29/D31</f>
        <v>0.74999999999999922</v>
      </c>
      <c r="E34" s="111">
        <f t="shared" si="71"/>
        <v>0.60000000000000009</v>
      </c>
      <c r="F34" s="111">
        <f t="shared" si="71"/>
        <v>0.78</v>
      </c>
      <c r="G34" s="111">
        <f t="shared" si="71"/>
        <v>0.69511774261567683</v>
      </c>
      <c r="H34" s="172">
        <f t="shared" si="71"/>
        <v>2.8336117418099285</v>
      </c>
      <c r="I34" s="111">
        <f t="shared" si="71"/>
        <v>0.79454240134340781</v>
      </c>
      <c r="J34" s="111">
        <f t="shared" si="71"/>
        <v>0.31523672397730074</v>
      </c>
      <c r="K34" s="111">
        <f t="shared" si="71"/>
        <v>-0.46193838254171954</v>
      </c>
      <c r="L34" s="111">
        <f t="shared" si="71"/>
        <v>0.51</v>
      </c>
      <c r="M34" s="172">
        <f t="shared" si="71"/>
        <v>1.1512365543643674</v>
      </c>
      <c r="N34" s="111">
        <f t="shared" si="71"/>
        <v>0.60998309382924787</v>
      </c>
      <c r="O34" s="111">
        <f t="shared" si="71"/>
        <v>0.62099257258609042</v>
      </c>
      <c r="P34" s="111">
        <f t="shared" si="71"/>
        <v>1.0059332321699532</v>
      </c>
      <c r="Q34" s="111">
        <f t="shared" si="71"/>
        <v>0.99628807138648001</v>
      </c>
      <c r="R34" s="172">
        <f>+R29/R31+0.01</f>
        <v>3.2421909979383412</v>
      </c>
      <c r="S34" s="111">
        <f t="shared" si="71"/>
        <v>0.71999999999999986</v>
      </c>
      <c r="T34" s="111">
        <f t="shared" si="71"/>
        <v>0.58587745905191113</v>
      </c>
      <c r="U34" s="111">
        <f t="shared" si="71"/>
        <v>0.84046915725456095</v>
      </c>
      <c r="V34" s="111">
        <f t="shared" si="71"/>
        <v>0.80872017353579051</v>
      </c>
      <c r="W34" s="172">
        <f t="shared" si="71"/>
        <v>2.95471014998795</v>
      </c>
      <c r="X34" s="82">
        <f t="shared" si="71"/>
        <v>0.75694627802675762</v>
      </c>
      <c r="Y34" s="82">
        <f t="shared" si="71"/>
        <v>0.72476996760519363</v>
      </c>
      <c r="Z34" s="82">
        <f t="shared" si="71"/>
        <v>0.92858612027715393</v>
      </c>
      <c r="AA34" s="82">
        <f t="shared" si="71"/>
        <v>1.0171544200241178</v>
      </c>
      <c r="AB34" s="83">
        <f t="shared" si="71"/>
        <v>3.4273981524590518</v>
      </c>
      <c r="AC34" s="82">
        <f t="shared" si="71"/>
        <v>1.0031602955095513</v>
      </c>
      <c r="AD34" s="82">
        <f t="shared" si="71"/>
        <v>0.86273130613498927</v>
      </c>
      <c r="AE34" s="82">
        <f t="shared" si="71"/>
        <v>1.0593883936943449</v>
      </c>
      <c r="AF34" s="82">
        <f t="shared" si="71"/>
        <v>1.0679833553946858</v>
      </c>
      <c r="AG34" s="83">
        <f t="shared" si="71"/>
        <v>3.9932793233277435</v>
      </c>
      <c r="AH34" s="82">
        <f t="shared" si="71"/>
        <v>1.1898634468727629</v>
      </c>
      <c r="AI34" s="82">
        <f t="shared" si="71"/>
        <v>1.0144088218029326</v>
      </c>
      <c r="AJ34" s="82">
        <f t="shared" si="71"/>
        <v>1.3346050422663276</v>
      </c>
      <c r="AK34" s="82">
        <f t="shared" si="71"/>
        <v>1.3191905721892956</v>
      </c>
      <c r="AL34" s="415">
        <f t="shared" si="71"/>
        <v>4.852912109109865</v>
      </c>
      <c r="AM34" s="82">
        <f t="shared" si="71"/>
        <v>1.3802867460175023</v>
      </c>
      <c r="AN34" s="82">
        <f t="shared" si="71"/>
        <v>1.1649818770082498</v>
      </c>
      <c r="AO34" s="82">
        <f t="shared" si="71"/>
        <v>1.4701198068212835</v>
      </c>
      <c r="AP34" s="82">
        <f t="shared" si="71"/>
        <v>1.4245472789597173</v>
      </c>
      <c r="AQ34" s="83">
        <f t="shared" si="71"/>
        <v>5.4399340573173074</v>
      </c>
      <c r="AR34" s="82">
        <f t="shared" si="71"/>
        <v>1.4836780248532588</v>
      </c>
      <c r="AS34" s="82">
        <f t="shared" si="71"/>
        <v>1.2539323451572522</v>
      </c>
      <c r="AT34" s="82">
        <f t="shared" si="71"/>
        <v>1.578838570020312</v>
      </c>
      <c r="AU34" s="82">
        <f t="shared" si="71"/>
        <v>1.529743588785262</v>
      </c>
      <c r="AV34" s="83">
        <f t="shared" si="71"/>
        <v>5.8461906788487275</v>
      </c>
    </row>
    <row r="35" spans="2:48" x14ac:dyDescent="0.3">
      <c r="B35" s="38" t="s">
        <v>41</v>
      </c>
      <c r="C35" s="207"/>
      <c r="D35" s="239">
        <v>0.36</v>
      </c>
      <c r="E35" s="239">
        <v>0.36</v>
      </c>
      <c r="F35" s="239">
        <v>0.36</v>
      </c>
      <c r="G35" s="239">
        <v>0.41</v>
      </c>
      <c r="H35" s="174">
        <f>+SUM(D35:G35)</f>
        <v>1.49</v>
      </c>
      <c r="I35" s="239">
        <v>0.41</v>
      </c>
      <c r="J35" s="239">
        <v>0.41</v>
      </c>
      <c r="K35" s="239">
        <v>0.41</v>
      </c>
      <c r="L35" s="239">
        <f>K35*1.1</f>
        <v>0.45100000000000001</v>
      </c>
      <c r="M35" s="25">
        <f>+SUM(I35:L35)</f>
        <v>1.681</v>
      </c>
      <c r="N35" s="239">
        <f>+L35</f>
        <v>0.45100000000000001</v>
      </c>
      <c r="O35" s="239">
        <v>0.45</v>
      </c>
      <c r="P35" s="239">
        <v>0.45</v>
      </c>
      <c r="Q35" s="239">
        <v>0.49</v>
      </c>
      <c r="R35" s="25">
        <f>+SUM(N35:Q35)</f>
        <v>1.841</v>
      </c>
      <c r="S35" s="239">
        <v>0.49</v>
      </c>
      <c r="T35" s="239">
        <v>0.49</v>
      </c>
      <c r="U35" s="239">
        <v>0.49</v>
      </c>
      <c r="V35" s="239">
        <v>0.53</v>
      </c>
      <c r="W35" s="25">
        <f>+SUM(S35:V35)</f>
        <v>2</v>
      </c>
      <c r="X35" s="240">
        <f>+V35</f>
        <v>0.53</v>
      </c>
      <c r="Y35" s="240">
        <f>+X35</f>
        <v>0.53</v>
      </c>
      <c r="Z35" s="240">
        <f>+Y35</f>
        <v>0.53</v>
      </c>
      <c r="AA35" s="240">
        <f>1.05*Z35</f>
        <v>0.55650000000000011</v>
      </c>
      <c r="AB35" s="25">
        <f>+SUM(X35:AA35)</f>
        <v>2.1465000000000001</v>
      </c>
      <c r="AC35" s="240">
        <f>+AA35</f>
        <v>0.55650000000000011</v>
      </c>
      <c r="AD35" s="240">
        <f>+AC35</f>
        <v>0.55650000000000011</v>
      </c>
      <c r="AE35" s="240">
        <f>+AD35</f>
        <v>0.55650000000000011</v>
      </c>
      <c r="AF35" s="240">
        <f>1.05*AE35</f>
        <v>0.58432500000000009</v>
      </c>
      <c r="AG35" s="25">
        <f>+SUM(AC35:AF35)</f>
        <v>2.2538250000000004</v>
      </c>
      <c r="AH35" s="240">
        <f>+AF35</f>
        <v>0.58432500000000009</v>
      </c>
      <c r="AI35" s="240">
        <f>+AH35</f>
        <v>0.58432500000000009</v>
      </c>
      <c r="AJ35" s="240">
        <f>+AI35</f>
        <v>0.58432500000000009</v>
      </c>
      <c r="AK35" s="240">
        <f>1.05*AJ35</f>
        <v>0.61354125000000015</v>
      </c>
      <c r="AL35" s="25">
        <f>+SUM(AH35:AK35)</f>
        <v>2.3665162500000001</v>
      </c>
      <c r="AM35" s="240">
        <f>+AK35</f>
        <v>0.61354125000000015</v>
      </c>
      <c r="AN35" s="240">
        <f>+AM35</f>
        <v>0.61354125000000015</v>
      </c>
      <c r="AO35" s="240">
        <f>+AN35</f>
        <v>0.61354125000000015</v>
      </c>
      <c r="AP35" s="240">
        <f>1.02*AO35</f>
        <v>0.62581207500000013</v>
      </c>
      <c r="AQ35" s="25">
        <f>+SUM(AM35:AP35)</f>
        <v>2.4664358250000005</v>
      </c>
      <c r="AR35" s="240">
        <f>+AP35</f>
        <v>0.62581207500000013</v>
      </c>
      <c r="AS35" s="240">
        <f>+AR35</f>
        <v>0.62581207500000013</v>
      </c>
      <c r="AT35" s="240">
        <f>+AS35</f>
        <v>0.62581207500000013</v>
      </c>
      <c r="AU35" s="240">
        <f>1.02*AT35</f>
        <v>0.6383283165000001</v>
      </c>
      <c r="AV35" s="25">
        <f>+SUM(AR35:AU35)</f>
        <v>2.5157645415000003</v>
      </c>
    </row>
    <row r="36" spans="2:48" s="241" customFormat="1" x14ac:dyDescent="0.3">
      <c r="B36" s="242" t="s">
        <v>170</v>
      </c>
      <c r="C36" s="243"/>
      <c r="D36" s="211"/>
      <c r="E36" s="211"/>
      <c r="F36" s="211"/>
      <c r="G36" s="211"/>
      <c r="H36" s="244">
        <f>H35/H33</f>
        <v>0.51052122693931912</v>
      </c>
      <c r="I36" s="211"/>
      <c r="J36" s="211"/>
      <c r="K36" s="211"/>
      <c r="L36" s="211"/>
      <c r="M36" s="244">
        <f>M35/M33</f>
        <v>2.1706939657696651</v>
      </c>
      <c r="N36" s="211"/>
      <c r="O36" s="211"/>
      <c r="P36" s="211"/>
      <c r="Q36" s="211"/>
      <c r="R36" s="244">
        <f>R35/R33</f>
        <v>0.52003419212449009</v>
      </c>
      <c r="S36" s="211"/>
      <c r="T36" s="211"/>
      <c r="U36" s="211"/>
      <c r="V36" s="211"/>
      <c r="W36" s="244">
        <f>W35/W33</f>
        <v>0.70599584997263765</v>
      </c>
      <c r="X36" s="211"/>
      <c r="Y36" s="211"/>
      <c r="Z36" s="211"/>
      <c r="AA36" s="211"/>
      <c r="AB36" s="244">
        <f>AB35/AB33</f>
        <v>0.63650716850585121</v>
      </c>
      <c r="AC36" s="211"/>
      <c r="AD36" s="211"/>
      <c r="AE36" s="211"/>
      <c r="AF36" s="211"/>
      <c r="AG36" s="244">
        <f>AG35/AG33</f>
        <v>0.57629003510004551</v>
      </c>
      <c r="AH36" s="211"/>
      <c r="AI36" s="211"/>
      <c r="AJ36" s="211"/>
      <c r="AK36" s="211"/>
      <c r="AL36" s="431">
        <f>AL35/AL33</f>
        <v>0.49839984519677166</v>
      </c>
      <c r="AM36" s="211"/>
      <c r="AN36" s="211"/>
      <c r="AO36" s="211"/>
      <c r="AP36" s="211"/>
      <c r="AQ36" s="244">
        <f>AQ35/AQ33</f>
        <v>0.4627713860973115</v>
      </c>
      <c r="AR36" s="211"/>
      <c r="AS36" s="211"/>
      <c r="AT36" s="211"/>
      <c r="AU36" s="211"/>
      <c r="AV36" s="244">
        <f>AV35/AV33</f>
        <v>0.43862453847281324</v>
      </c>
    </row>
    <row r="37" spans="2:48" s="63" customFormat="1" x14ac:dyDescent="0.3">
      <c r="B37" s="198"/>
      <c r="C37" s="371"/>
      <c r="D37" s="372"/>
      <c r="E37" s="196"/>
      <c r="F37" s="196"/>
      <c r="G37" s="196">
        <f>G35/F35-1</f>
        <v>0.13888888888888884</v>
      </c>
      <c r="H37" s="196"/>
      <c r="I37" s="196"/>
      <c r="J37" s="196"/>
      <c r="K37" s="196"/>
      <c r="L37" s="196">
        <f>L35/K35-1</f>
        <v>0.10000000000000009</v>
      </c>
      <c r="M37" s="196"/>
      <c r="N37" s="196"/>
      <c r="O37" s="196"/>
      <c r="P37" s="196"/>
      <c r="Q37" s="196">
        <f>Q35/P35-1</f>
        <v>8.8888888888888795E-2</v>
      </c>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583" t="s">
        <v>13</v>
      </c>
      <c r="C38" s="584"/>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85"/>
      <c r="C39" s="586"/>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99" t="s">
        <v>174</v>
      </c>
      <c r="C40" s="600"/>
      <c r="D40" s="14"/>
      <c r="E40" s="14"/>
      <c r="F40" s="14"/>
      <c r="G40" s="14"/>
      <c r="H40" s="40"/>
      <c r="I40" s="14"/>
      <c r="J40" s="14"/>
      <c r="K40" s="14"/>
      <c r="L40" s="14"/>
      <c r="M40" s="40"/>
      <c r="N40" s="14"/>
      <c r="O40" s="14"/>
      <c r="P40" s="14"/>
      <c r="Q40" s="14"/>
      <c r="R40" s="40"/>
      <c r="S40" s="14"/>
      <c r="T40" s="14"/>
      <c r="U40" s="14"/>
      <c r="V40" s="14"/>
      <c r="W40" s="40"/>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601" t="s">
        <v>175</v>
      </c>
      <c r="C41" s="602"/>
      <c r="D41" s="21">
        <v>9777</v>
      </c>
      <c r="E41" s="21">
        <v>9776</v>
      </c>
      <c r="F41" s="116">
        <v>9857</v>
      </c>
      <c r="G41" s="21">
        <v>9974</v>
      </c>
      <c r="H41" s="57"/>
      <c r="I41" s="21">
        <v>10020</v>
      </c>
      <c r="J41" s="21">
        <v>10051</v>
      </c>
      <c r="K41" s="21">
        <v>10017</v>
      </c>
      <c r="L41" s="21">
        <v>10109</v>
      </c>
      <c r="M41" s="57"/>
      <c r="N41" s="21">
        <v>10029</v>
      </c>
      <c r="O41" s="21">
        <f>+N41+O42</f>
        <v>9820</v>
      </c>
      <c r="P41" s="21">
        <f>+O41+P42</f>
        <v>9860</v>
      </c>
      <c r="Q41" s="21">
        <f>+P41+Q42</f>
        <v>9861</v>
      </c>
      <c r="R41" s="191"/>
      <c r="S41" s="21">
        <f>+Q41+S42</f>
        <v>9900</v>
      </c>
      <c r="T41" s="21">
        <f>+S41+T42</f>
        <v>9954</v>
      </c>
      <c r="U41" s="21">
        <f>+T41+U42</f>
        <v>10050</v>
      </c>
      <c r="V41" s="21">
        <f>+U41+V42</f>
        <v>10216</v>
      </c>
      <c r="W41" s="191">
        <f>V41</f>
        <v>10216</v>
      </c>
      <c r="X41" s="21">
        <f>+V41+X42</f>
        <v>10276.5</v>
      </c>
      <c r="Y41" s="21">
        <f>+X41+Y42</f>
        <v>10337</v>
      </c>
      <c r="Z41" s="21">
        <f>+Y41+Z42</f>
        <v>10397.5</v>
      </c>
      <c r="AA41" s="21">
        <f>+Z41+AA42</f>
        <v>10458</v>
      </c>
      <c r="AB41" s="191">
        <f>AA41</f>
        <v>10458</v>
      </c>
      <c r="AC41" s="21">
        <f>+AA41+AC42</f>
        <v>10530</v>
      </c>
      <c r="AD41" s="21">
        <f>+AC41+AD42</f>
        <v>10602</v>
      </c>
      <c r="AE41" s="21">
        <f>+AD41+AE42</f>
        <v>10675</v>
      </c>
      <c r="AF41" s="21">
        <f>+AE41+AF42</f>
        <v>10748</v>
      </c>
      <c r="AG41" s="191">
        <f>AF41</f>
        <v>10748</v>
      </c>
      <c r="AH41" s="21">
        <f>+AF41+AH42</f>
        <v>10834</v>
      </c>
      <c r="AI41" s="21">
        <f>+AH41+AI42</f>
        <v>10920</v>
      </c>
      <c r="AJ41" s="21">
        <f>+AI41+AJ42</f>
        <v>11006</v>
      </c>
      <c r="AK41" s="21">
        <f>+AJ41+AK42</f>
        <v>11092</v>
      </c>
      <c r="AL41" s="191">
        <f>AK41</f>
        <v>11092</v>
      </c>
      <c r="AM41" s="21">
        <f>+AK41+AM42</f>
        <v>11188</v>
      </c>
      <c r="AN41" s="21">
        <f>+AM41+AN42</f>
        <v>11284</v>
      </c>
      <c r="AO41" s="21">
        <f>+AN41+AO42</f>
        <v>11380</v>
      </c>
      <c r="AP41" s="21">
        <f>+AO41+AP42</f>
        <v>11476</v>
      </c>
      <c r="AQ41" s="191">
        <f>AP41</f>
        <v>11476</v>
      </c>
      <c r="AR41" s="21">
        <f>+AP41+AR42</f>
        <v>11572</v>
      </c>
      <c r="AS41" s="21">
        <f>+AR41+AS42</f>
        <v>11668</v>
      </c>
      <c r="AT41" s="21">
        <f>+AS41+AT42</f>
        <v>11764</v>
      </c>
      <c r="AU41" s="21">
        <f>+AT41+AU42</f>
        <v>11860</v>
      </c>
      <c r="AV41" s="191">
        <f>AU41</f>
        <v>11860</v>
      </c>
    </row>
    <row r="42" spans="2:48" outlineLevel="1" x14ac:dyDescent="0.3">
      <c r="B42" s="180" t="s">
        <v>46</v>
      </c>
      <c r="C42" s="201"/>
      <c r="D42" s="101">
        <f>+D41-9690</f>
        <v>87</v>
      </c>
      <c r="E42" s="101">
        <f>E41-D41</f>
        <v>-1</v>
      </c>
      <c r="F42" s="101">
        <f>F41-E41</f>
        <v>81</v>
      </c>
      <c r="G42" s="101">
        <f>G41-F41</f>
        <v>117</v>
      </c>
      <c r="H42" s="122">
        <f>+SUM(D42:G42)</f>
        <v>284</v>
      </c>
      <c r="I42" s="101">
        <f>I41-G41</f>
        <v>46</v>
      </c>
      <c r="J42" s="101">
        <f>J41-I41</f>
        <v>31</v>
      </c>
      <c r="K42" s="101">
        <f>K41-J41</f>
        <v>-34</v>
      </c>
      <c r="L42" s="101">
        <f>L41-K41</f>
        <v>92</v>
      </c>
      <c r="M42" s="122"/>
      <c r="N42" s="101">
        <v>-80</v>
      </c>
      <c r="O42" s="101">
        <v>-209</v>
      </c>
      <c r="P42" s="101">
        <v>40</v>
      </c>
      <c r="Q42" s="101">
        <v>1</v>
      </c>
      <c r="R42" s="26"/>
      <c r="S42" s="101">
        <v>39</v>
      </c>
      <c r="T42" s="101">
        <v>54</v>
      </c>
      <c r="U42" s="101">
        <v>96</v>
      </c>
      <c r="V42" s="101">
        <v>166</v>
      </c>
      <c r="W42" s="122">
        <f>+SUM(S42:V42)</f>
        <v>355</v>
      </c>
      <c r="X42" s="33">
        <v>60.5</v>
      </c>
      <c r="Y42" s="33">
        <v>60.5</v>
      </c>
      <c r="Z42" s="33">
        <v>60.5</v>
      </c>
      <c r="AA42" s="33">
        <v>60.5</v>
      </c>
      <c r="AB42" s="26">
        <f>+SUM(X42:AA42)</f>
        <v>242</v>
      </c>
      <c r="AC42" s="33">
        <v>72</v>
      </c>
      <c r="AD42" s="33">
        <v>72</v>
      </c>
      <c r="AE42" s="33">
        <v>73</v>
      </c>
      <c r="AF42" s="33">
        <v>73</v>
      </c>
      <c r="AG42" s="26">
        <f>+SUM(AC42:AF42)</f>
        <v>290</v>
      </c>
      <c r="AH42" s="33">
        <v>86</v>
      </c>
      <c r="AI42" s="33">
        <v>86</v>
      </c>
      <c r="AJ42" s="33">
        <v>86</v>
      </c>
      <c r="AK42" s="33">
        <v>86</v>
      </c>
      <c r="AL42" s="26">
        <f>+SUM(AH42:AK42)</f>
        <v>344</v>
      </c>
      <c r="AM42" s="33">
        <v>96</v>
      </c>
      <c r="AN42" s="33">
        <v>96</v>
      </c>
      <c r="AO42" s="33">
        <v>96</v>
      </c>
      <c r="AP42" s="33">
        <v>96</v>
      </c>
      <c r="AQ42" s="26">
        <f>+SUM(AM42:AP42)</f>
        <v>384</v>
      </c>
      <c r="AR42" s="33">
        <v>96</v>
      </c>
      <c r="AS42" s="33">
        <v>96</v>
      </c>
      <c r="AT42" s="33">
        <v>96</v>
      </c>
      <c r="AU42" s="33">
        <v>96</v>
      </c>
      <c r="AV42" s="26">
        <f>+SUM(AR42:AU42)</f>
        <v>384</v>
      </c>
    </row>
    <row r="43" spans="2:48" outlineLevel="1" x14ac:dyDescent="0.3">
      <c r="B43" s="180" t="s">
        <v>201</v>
      </c>
      <c r="C43" s="201"/>
      <c r="D43" s="101">
        <f>D41</f>
        <v>9777</v>
      </c>
      <c r="E43" s="101">
        <f>AVERAGE(D41,E41)</f>
        <v>9776.5</v>
      </c>
      <c r="F43" s="101">
        <f t="shared" ref="F43:G43" si="72">AVERAGE(E41,F41)</f>
        <v>9816.5</v>
      </c>
      <c r="G43" s="101">
        <f t="shared" si="72"/>
        <v>9915.5</v>
      </c>
      <c r="H43" s="122"/>
      <c r="I43" s="101">
        <f>AVERAGE(G41,I41)</f>
        <v>9997</v>
      </c>
      <c r="J43" s="101">
        <f>AVERAGE(I41,J41)</f>
        <v>10035.5</v>
      </c>
      <c r="K43" s="101">
        <f t="shared" ref="K43:L43" si="73">AVERAGE(J41,K41)</f>
        <v>10034</v>
      </c>
      <c r="L43" s="101">
        <f t="shared" si="73"/>
        <v>10063</v>
      </c>
      <c r="M43" s="122"/>
      <c r="N43" s="101">
        <f>AVERAGE(L41,N41)</f>
        <v>10069</v>
      </c>
      <c r="O43" s="101">
        <f>AVERAGE(N41,O41)</f>
        <v>9924.5</v>
      </c>
      <c r="P43" s="101">
        <f t="shared" ref="P43:Q43" si="74">AVERAGE(O41,P41)</f>
        <v>9840</v>
      </c>
      <c r="Q43" s="101">
        <f t="shared" si="74"/>
        <v>9860.5</v>
      </c>
      <c r="R43" s="122"/>
      <c r="S43" s="101">
        <f>AVERAGE(Q41,S41)</f>
        <v>9880.5</v>
      </c>
      <c r="T43" s="101">
        <f>AVERAGE(S41,T41)</f>
        <v>9927</v>
      </c>
      <c r="U43" s="101">
        <f t="shared" ref="U43" si="75">AVERAGE(T41,U41)</f>
        <v>10002</v>
      </c>
      <c r="V43" s="101">
        <f>AVERAGE(U41,V41)</f>
        <v>10133</v>
      </c>
      <c r="W43" s="122"/>
      <c r="X43" s="101">
        <f>AVERAGE(V41,X41)</f>
        <v>10246.25</v>
      </c>
      <c r="Y43" s="101">
        <f>AVERAGE(X41,Y41)</f>
        <v>10306.75</v>
      </c>
      <c r="Z43" s="101">
        <f t="shared" ref="Z43:AA43" si="76">AVERAGE(Y41,Z41)</f>
        <v>10367.25</v>
      </c>
      <c r="AA43" s="101">
        <f t="shared" si="76"/>
        <v>10427.75</v>
      </c>
      <c r="AB43" s="122"/>
      <c r="AC43" s="101">
        <f>AVERAGE(AA41,AC41)</f>
        <v>10494</v>
      </c>
      <c r="AD43" s="101">
        <f>AVERAGE(AC41,AD41)</f>
        <v>10566</v>
      </c>
      <c r="AE43" s="101">
        <f t="shared" ref="AE43:AF43" si="77">AVERAGE(AD41,AE41)</f>
        <v>10638.5</v>
      </c>
      <c r="AF43" s="101">
        <f t="shared" si="77"/>
        <v>10711.5</v>
      </c>
      <c r="AG43" s="122"/>
      <c r="AH43" s="101">
        <f>AVERAGE(AF41,AH41)</f>
        <v>10791</v>
      </c>
      <c r="AI43" s="101">
        <f>AVERAGE(AH41,AI41)</f>
        <v>10877</v>
      </c>
      <c r="AJ43" s="101">
        <f t="shared" ref="AJ43:AK43" si="78">AVERAGE(AI41,AJ41)</f>
        <v>10963</v>
      </c>
      <c r="AK43" s="101">
        <f t="shared" si="78"/>
        <v>11049</v>
      </c>
      <c r="AL43" s="122"/>
      <c r="AM43" s="101">
        <f>AVERAGE(AK41,AM41)</f>
        <v>11140</v>
      </c>
      <c r="AN43" s="101">
        <f>AVERAGE(AM41,AN41)</f>
        <v>11236</v>
      </c>
      <c r="AO43" s="101">
        <f t="shared" ref="AO43:AP43" si="79">AVERAGE(AN41,AO41)</f>
        <v>11332</v>
      </c>
      <c r="AP43" s="101">
        <f t="shared" si="79"/>
        <v>11428</v>
      </c>
      <c r="AQ43" s="122"/>
      <c r="AR43" s="101">
        <f>AVERAGE(AP41,AR41)</f>
        <v>11524</v>
      </c>
      <c r="AS43" s="101">
        <f>AVERAGE(AR41,AS41)</f>
        <v>11620</v>
      </c>
      <c r="AT43" s="101">
        <f t="shared" ref="AT43:AU43" si="80">AVERAGE(AS41,AT41)</f>
        <v>11716</v>
      </c>
      <c r="AU43" s="101">
        <f t="shared" si="80"/>
        <v>11812</v>
      </c>
      <c r="AV43" s="122"/>
    </row>
    <row r="44" spans="2:48" s="8" customFormat="1" outlineLevel="1" x14ac:dyDescent="0.3">
      <c r="B44" s="180" t="s">
        <v>205</v>
      </c>
      <c r="C44" s="206"/>
      <c r="D44" s="472"/>
      <c r="E44" s="43">
        <f>+E45/E43</f>
        <v>0.39376054825346496</v>
      </c>
      <c r="F44" s="43">
        <f>+F45/F43</f>
        <v>0.42603779351092547</v>
      </c>
      <c r="G44" s="43">
        <f>+G45/G43</f>
        <v>0.4199687358176592</v>
      </c>
      <c r="H44" s="471"/>
      <c r="I44" s="43">
        <f>+I45/I43</f>
        <v>0.44723417025107531</v>
      </c>
      <c r="J44" s="43">
        <f>+J45/J43</f>
        <v>0.38499327387773402</v>
      </c>
      <c r="K44" s="43">
        <f>+K45/K43</f>
        <v>0.25601953358580826</v>
      </c>
      <c r="L44" s="43">
        <f>+L45/L43</f>
        <v>0.3851038457716387</v>
      </c>
      <c r="M44" s="471"/>
      <c r="N44" s="43">
        <f>+N45/N43</f>
        <v>0.42554374813784884</v>
      </c>
      <c r="O44" s="43">
        <f>+O45/O43</f>
        <v>0.43008715804322634</v>
      </c>
      <c r="P44" s="43">
        <f>+P45/P43</f>
        <v>0.50099593495934958</v>
      </c>
      <c r="Q44" s="43">
        <f>+Q45/Q43</f>
        <v>0.53286344505856698</v>
      </c>
      <c r="R44" s="97"/>
      <c r="S44" s="43">
        <f>+S45/S43</f>
        <v>0.52771620869389202</v>
      </c>
      <c r="T44" s="43">
        <f>+T45/T43</f>
        <v>0.49725999798529263</v>
      </c>
      <c r="U44" s="43">
        <f>+U45/U43</f>
        <v>0.55120975804839034</v>
      </c>
      <c r="V44" s="43">
        <f>+V45/V43</f>
        <v>0.54776472910293106</v>
      </c>
      <c r="W44" s="132"/>
      <c r="X44" s="219">
        <f>S44*1.07</f>
        <v>0.5646563433024645</v>
      </c>
      <c r="Y44" s="219">
        <f>T44*1.07</f>
        <v>0.53206819784426318</v>
      </c>
      <c r="Z44" s="219">
        <f>U44*1.05</f>
        <v>0.57877024595080984</v>
      </c>
      <c r="AA44" s="219">
        <f>V44*1.05</f>
        <v>0.5751529655580776</v>
      </c>
      <c r="AB44" s="97"/>
      <c r="AC44" s="219">
        <f>X44*1.05</f>
        <v>0.59288916046758777</v>
      </c>
      <c r="AD44" s="219">
        <f>Y44*1.05</f>
        <v>0.55867160773647639</v>
      </c>
      <c r="AE44" s="219">
        <f>Z44*1.05</f>
        <v>0.60770875824835036</v>
      </c>
      <c r="AF44" s="219">
        <f>AA44*1.05</f>
        <v>0.60391061383598155</v>
      </c>
      <c r="AG44" s="97"/>
      <c r="AH44" s="219">
        <f>AC44*1.07</f>
        <v>0.63439140170031894</v>
      </c>
      <c r="AI44" s="219">
        <f>AD44*1.07</f>
        <v>0.59777862027802975</v>
      </c>
      <c r="AJ44" s="219">
        <f>AE44*1.07</f>
        <v>0.65024837132573488</v>
      </c>
      <c r="AK44" s="219">
        <f>AF44*1.07</f>
        <v>0.64618435680450026</v>
      </c>
      <c r="AL44" s="97"/>
      <c r="AM44" s="477">
        <f>AH44*1.05</f>
        <v>0.66611097178533496</v>
      </c>
      <c r="AN44" s="477">
        <f>AI44*1.05</f>
        <v>0.6276675512919313</v>
      </c>
      <c r="AO44" s="477">
        <f>AJ44*1.05</f>
        <v>0.6827607898920216</v>
      </c>
      <c r="AP44" s="477">
        <f>AK44*1.05</f>
        <v>0.67849357464472526</v>
      </c>
      <c r="AQ44" s="97"/>
      <c r="AR44" s="477">
        <f>AM44*1.03</f>
        <v>0.68609430093889501</v>
      </c>
      <c r="AS44" s="477">
        <f>AN44*1.03</f>
        <v>0.64649757783068929</v>
      </c>
      <c r="AT44" s="477">
        <f>AO44*1.03</f>
        <v>0.70324361358878229</v>
      </c>
      <c r="AU44" s="477">
        <f>AP44*1.03</f>
        <v>0.69884838188406706</v>
      </c>
      <c r="AV44" s="97"/>
    </row>
    <row r="45" spans="2:48" s="8" customFormat="1" outlineLevel="1" x14ac:dyDescent="0.3">
      <c r="B45" s="587" t="s">
        <v>176</v>
      </c>
      <c r="C45" s="588"/>
      <c r="D45" s="50">
        <v>4092.2</v>
      </c>
      <c r="E45" s="50">
        <v>3849.6</v>
      </c>
      <c r="F45" s="50">
        <v>4182.2</v>
      </c>
      <c r="G45" s="50">
        <v>4164.2</v>
      </c>
      <c r="H45" s="97">
        <f>SUM(D45:G45)</f>
        <v>16288.2</v>
      </c>
      <c r="I45" s="50">
        <v>4471</v>
      </c>
      <c r="J45" s="50">
        <v>3863.6</v>
      </c>
      <c r="K45" s="103">
        <v>2568.9</v>
      </c>
      <c r="L45" s="50">
        <v>3875.3</v>
      </c>
      <c r="M45" s="132">
        <f>SUM(I45:L45)</f>
        <v>14778.8</v>
      </c>
      <c r="N45" s="50">
        <v>4284.8</v>
      </c>
      <c r="O45" s="50">
        <v>4268.3999999999996</v>
      </c>
      <c r="P45" s="50">
        <v>4929.8</v>
      </c>
      <c r="Q45" s="103">
        <v>5254.3</v>
      </c>
      <c r="R45" s="132">
        <f>SUM(N45:Q45)</f>
        <v>18737.3</v>
      </c>
      <c r="S45" s="50">
        <v>5214.1000000000004</v>
      </c>
      <c r="T45" s="50">
        <v>4936.3</v>
      </c>
      <c r="U45" s="50">
        <v>5513.2</v>
      </c>
      <c r="V45" s="50">
        <v>5550.5</v>
      </c>
      <c r="W45" s="132">
        <f>SUM(S45:V45)</f>
        <v>21214.100000000002</v>
      </c>
      <c r="X45" s="50">
        <f>X44*X43</f>
        <v>5785.610057562877</v>
      </c>
      <c r="Y45" s="50">
        <f>Y44*Y43</f>
        <v>5483.8938981313595</v>
      </c>
      <c r="Z45" s="50">
        <f>Z44*Z43</f>
        <v>6000.2558323335334</v>
      </c>
      <c r="AA45" s="50">
        <f>AA44*AA43</f>
        <v>5997.5513365982433</v>
      </c>
      <c r="AB45" s="97">
        <f>SUM(X45:AA45)</f>
        <v>23267.311124626012</v>
      </c>
      <c r="AC45" s="50">
        <f>AC44*AC43</f>
        <v>6221.7788499468661</v>
      </c>
      <c r="AD45" s="50">
        <f>AD44*AD43</f>
        <v>5902.9242073436099</v>
      </c>
      <c r="AE45" s="50">
        <f>AE44*AE43</f>
        <v>6465.1096246250754</v>
      </c>
      <c r="AF45" s="50">
        <f>AF44*AF43</f>
        <v>6468.7885401041167</v>
      </c>
      <c r="AG45" s="97">
        <f>SUM(AC45:AF45)</f>
        <v>25058.601222019668</v>
      </c>
      <c r="AH45" s="50">
        <f>AH44*AH43</f>
        <v>6845.7176157481417</v>
      </c>
      <c r="AI45" s="50">
        <f>AI44*AI43</f>
        <v>6502.0380527641291</v>
      </c>
      <c r="AJ45" s="50">
        <f>AJ44*AJ43</f>
        <v>7128.6728948440314</v>
      </c>
      <c r="AK45" s="50">
        <f>AK44*AK43</f>
        <v>7139.6909583329234</v>
      </c>
      <c r="AL45" s="97">
        <f>SUM(AH45:AK45)</f>
        <v>27616.119521689223</v>
      </c>
      <c r="AM45" s="50">
        <f>AM44*AM43</f>
        <v>7420.4762256886315</v>
      </c>
      <c r="AN45" s="50">
        <f>AN44*AN43</f>
        <v>7052.4726063161397</v>
      </c>
      <c r="AO45" s="50">
        <f>AO44*AO43</f>
        <v>7737.0452710563886</v>
      </c>
      <c r="AP45" s="50">
        <f>AP44*AP43</f>
        <v>7753.8245710399206</v>
      </c>
      <c r="AQ45" s="97">
        <f>SUM(AM45:AP45)</f>
        <v>29963.81867410108</v>
      </c>
      <c r="AR45" s="50">
        <f>AR44*AR43</f>
        <v>7906.5507240198258</v>
      </c>
      <c r="AS45" s="50">
        <f>AS44*AS43</f>
        <v>7512.3018543926091</v>
      </c>
      <c r="AT45" s="50">
        <f>AT44*AT43</f>
        <v>8239.2021768061732</v>
      </c>
      <c r="AU45" s="50">
        <f>AU44*AU43</f>
        <v>8254.7970868146003</v>
      </c>
      <c r="AV45" s="97">
        <f>SUM(AR45:AU45)</f>
        <v>31912.851842033211</v>
      </c>
    </row>
    <row r="46" spans="2:48" s="8" customFormat="1" outlineLevel="1" x14ac:dyDescent="0.3">
      <c r="B46" s="38" t="s">
        <v>200</v>
      </c>
      <c r="C46" s="206"/>
      <c r="D46" s="43"/>
      <c r="E46" s="43"/>
      <c r="F46" s="43"/>
      <c r="G46" s="43"/>
      <c r="H46" s="97"/>
      <c r="I46" s="27">
        <f>I45/D45-1</f>
        <v>9.2566345730902722E-2</v>
      </c>
      <c r="J46" s="27">
        <f>J45/E45-1</f>
        <v>3.6367414796343311E-3</v>
      </c>
      <c r="K46" s="27">
        <f>K45/F45-1</f>
        <v>-0.38575390942566112</v>
      </c>
      <c r="L46" s="27">
        <f>L45/G45-1</f>
        <v>-6.9377071226165765E-2</v>
      </c>
      <c r="M46" s="97"/>
      <c r="N46" s="27">
        <f>N45/I45-1</f>
        <v>-4.1646164169089617E-2</v>
      </c>
      <c r="O46" s="27">
        <f>O45/J45-1</f>
        <v>0.10477275080236037</v>
      </c>
      <c r="P46" s="27">
        <f>P45/K45-1</f>
        <v>0.91903149207832135</v>
      </c>
      <c r="Q46" s="27">
        <f>Q45/L45-1</f>
        <v>0.35584341857404578</v>
      </c>
      <c r="R46" s="97"/>
      <c r="S46" s="27">
        <f>S45/N45-1</f>
        <v>0.21688293502613898</v>
      </c>
      <c r="T46" s="27">
        <f>T45/O45-1</f>
        <v>0.15647549433042851</v>
      </c>
      <c r="U46" s="27">
        <f>U45/P45-1</f>
        <v>0.11834151486875721</v>
      </c>
      <c r="V46" s="27">
        <f>V45/Q45-1</f>
        <v>5.6372875549549839E-2</v>
      </c>
      <c r="W46" s="98">
        <f>W45/R45-1</f>
        <v>0.13218553366813812</v>
      </c>
      <c r="X46" s="27">
        <f t="shared" ref="X46:AV46" si="81">X45/S45-1</f>
        <v>0.10960857244066591</v>
      </c>
      <c r="Y46" s="27">
        <f t="shared" si="81"/>
        <v>0.1109320539941574</v>
      </c>
      <c r="Z46" s="27">
        <f t="shared" si="81"/>
        <v>8.83435812837432E-2</v>
      </c>
      <c r="AA46" s="27">
        <f t="shared" si="81"/>
        <v>8.0542534293891244E-2</v>
      </c>
      <c r="AB46" s="98">
        <f t="shared" si="81"/>
        <v>9.6785210054916693E-2</v>
      </c>
      <c r="AC46" s="27">
        <f t="shared" si="81"/>
        <v>7.5388556789069305E-2</v>
      </c>
      <c r="AD46" s="27">
        <f t="shared" si="81"/>
        <v>7.641108981977851E-2</v>
      </c>
      <c r="AE46" s="27">
        <f t="shared" si="81"/>
        <v>7.747232872748322E-2</v>
      </c>
      <c r="AF46" s="27">
        <f t="shared" si="81"/>
        <v>7.8571599817794047E-2</v>
      </c>
      <c r="AG46" s="98">
        <f t="shared" si="81"/>
        <v>7.6987413276893957E-2</v>
      </c>
      <c r="AH46" s="27">
        <f t="shared" si="81"/>
        <v>0.10028301886792468</v>
      </c>
      <c r="AI46" s="27">
        <f t="shared" si="81"/>
        <v>0.10149441605148568</v>
      </c>
      <c r="AJ46" s="27">
        <f t="shared" si="81"/>
        <v>0.10263758988579208</v>
      </c>
      <c r="AK46" s="27">
        <f t="shared" si="81"/>
        <v>0.10371376557905054</v>
      </c>
      <c r="AL46" s="98">
        <f t="shared" si="81"/>
        <v>0.10206149485399818</v>
      </c>
      <c r="AM46" s="27">
        <f t="shared" si="81"/>
        <v>8.3958854601056565E-2</v>
      </c>
      <c r="AN46" s="27">
        <f t="shared" si="81"/>
        <v>8.4655695504275208E-2</v>
      </c>
      <c r="AO46" s="27">
        <f t="shared" si="81"/>
        <v>8.534160357566356E-2</v>
      </c>
      <c r="AP46" s="27">
        <f t="shared" si="81"/>
        <v>8.6016834102633721E-2</v>
      </c>
      <c r="AQ46" s="98">
        <f t="shared" si="81"/>
        <v>8.5011913080982104E-2</v>
      </c>
      <c r="AR46" s="27">
        <f t="shared" si="81"/>
        <v>6.550448833034106E-2</v>
      </c>
      <c r="AS46" s="27">
        <f t="shared" si="81"/>
        <v>6.5201139195443236E-2</v>
      </c>
      <c r="AT46" s="27">
        <f t="shared" si="81"/>
        <v>6.4902929756442074E-2</v>
      </c>
      <c r="AU46" s="27">
        <f t="shared" si="81"/>
        <v>6.4609730486524297E-2</v>
      </c>
      <c r="AV46" s="98">
        <f t="shared" si="81"/>
        <v>6.5046220881611383E-2</v>
      </c>
    </row>
    <row r="47" spans="2:48" outlineLevel="1" x14ac:dyDescent="0.3">
      <c r="B47" s="220" t="s">
        <v>44</v>
      </c>
      <c r="C47" s="221"/>
      <c r="D47" s="222">
        <v>0.04</v>
      </c>
      <c r="E47" s="222">
        <v>0</v>
      </c>
      <c r="F47" s="222">
        <v>0.03</v>
      </c>
      <c r="G47" s="222">
        <v>0.03</v>
      </c>
      <c r="H47" s="223"/>
      <c r="I47" s="222">
        <v>0.02</v>
      </c>
      <c r="J47" s="222">
        <v>-7.0000000000000007E-2</v>
      </c>
      <c r="K47" s="222">
        <v>-0.53</v>
      </c>
      <c r="L47" s="224">
        <v>-0.25</v>
      </c>
      <c r="M47" s="223"/>
      <c r="N47" s="222">
        <v>-0.21</v>
      </c>
      <c r="O47" s="222">
        <v>-0.1</v>
      </c>
      <c r="P47" s="222">
        <v>0.82</v>
      </c>
      <c r="Q47" s="222">
        <v>0.18</v>
      </c>
      <c r="R47" s="225"/>
      <c r="S47" s="224">
        <v>0.12</v>
      </c>
      <c r="T47" s="224">
        <v>0.05</v>
      </c>
      <c r="U47" s="224">
        <v>0.01</v>
      </c>
      <c r="V47" s="224">
        <v>0.01</v>
      </c>
      <c r="W47" s="223"/>
      <c r="X47" s="224"/>
      <c r="Y47" s="224"/>
      <c r="Z47" s="224"/>
      <c r="AA47" s="224"/>
      <c r="AB47" s="376">
        <f>AB59/W59-1</f>
        <v>9.7768167244326243E-2</v>
      </c>
      <c r="AC47" s="224"/>
      <c r="AD47" s="224"/>
      <c r="AE47" s="224"/>
      <c r="AF47" s="224"/>
      <c r="AG47" s="225"/>
      <c r="AH47" s="224"/>
      <c r="AI47" s="224"/>
      <c r="AJ47" s="224"/>
      <c r="AK47" s="224"/>
      <c r="AL47" s="225"/>
      <c r="AM47" s="224"/>
      <c r="AN47" s="224"/>
      <c r="AO47" s="224"/>
      <c r="AP47" s="224"/>
      <c r="AQ47" s="225"/>
      <c r="AR47" s="224"/>
      <c r="AS47" s="224"/>
      <c r="AT47" s="224"/>
      <c r="AU47" s="224"/>
      <c r="AV47" s="225"/>
    </row>
    <row r="48" spans="2:48" outlineLevel="1" x14ac:dyDescent="0.3">
      <c r="B48" s="38" t="s">
        <v>43</v>
      </c>
      <c r="C48" s="207"/>
      <c r="D48" s="226">
        <v>0</v>
      </c>
      <c r="E48" s="226">
        <v>0.04</v>
      </c>
      <c r="F48" s="226">
        <v>0.04</v>
      </c>
      <c r="G48" s="226">
        <v>0.03</v>
      </c>
      <c r="H48" s="217"/>
      <c r="I48" s="226">
        <v>0.03</v>
      </c>
      <c r="J48" s="226">
        <v>0.05</v>
      </c>
      <c r="K48" s="226">
        <v>0.27</v>
      </c>
      <c r="L48" s="227">
        <v>0.21</v>
      </c>
      <c r="M48" s="217"/>
      <c r="N48" s="226">
        <v>0.2</v>
      </c>
      <c r="O48" s="226">
        <v>0.22</v>
      </c>
      <c r="P48" s="226">
        <v>0.01</v>
      </c>
      <c r="Q48" s="226">
        <v>0.03</v>
      </c>
      <c r="R48" s="218"/>
      <c r="S48" s="227">
        <v>0.06</v>
      </c>
      <c r="T48" s="227">
        <v>7.0000000000000007E-2</v>
      </c>
      <c r="U48" s="228">
        <v>0.08</v>
      </c>
      <c r="V48" s="228">
        <v>0.1</v>
      </c>
      <c r="W48" s="148"/>
      <c r="X48" s="228"/>
      <c r="Y48" s="228"/>
      <c r="Z48" s="228"/>
      <c r="AA48" s="228"/>
      <c r="AB48" s="362"/>
      <c r="AC48" s="228"/>
      <c r="AD48" s="228"/>
      <c r="AE48" s="228"/>
      <c r="AF48" s="228"/>
      <c r="AG48" s="60"/>
      <c r="AH48" s="228"/>
      <c r="AI48" s="228"/>
      <c r="AJ48" s="228"/>
      <c r="AK48" s="228"/>
      <c r="AL48" s="60"/>
      <c r="AM48" s="228"/>
      <c r="AN48" s="228"/>
      <c r="AO48" s="228"/>
      <c r="AP48" s="228"/>
      <c r="AQ48" s="60"/>
      <c r="AR48" s="228"/>
      <c r="AS48" s="228"/>
      <c r="AT48" s="228"/>
      <c r="AU48" s="228"/>
      <c r="AV48" s="60"/>
    </row>
    <row r="49" spans="2:48" s="8" customFormat="1" outlineLevel="1" x14ac:dyDescent="0.3">
      <c r="B49" s="229" t="s">
        <v>45</v>
      </c>
      <c r="C49" s="230"/>
      <c r="D49" s="231">
        <v>0.04</v>
      </c>
      <c r="E49" s="231">
        <v>4.2999999999999997E-2</v>
      </c>
      <c r="F49" s="231">
        <v>7.0000000000000007E-2</v>
      </c>
      <c r="G49" s="231">
        <v>0.06</v>
      </c>
      <c r="H49" s="232"/>
      <c r="I49" s="231">
        <v>0.06</v>
      </c>
      <c r="J49" s="231">
        <v>-0.03</v>
      </c>
      <c r="K49" s="231">
        <v>-0.41</v>
      </c>
      <c r="L49" s="233">
        <v>-0.09</v>
      </c>
      <c r="M49" s="234"/>
      <c r="N49" s="233">
        <v>-0.06</v>
      </c>
      <c r="O49" s="233">
        <v>0.09</v>
      </c>
      <c r="P49" s="231">
        <v>0.84</v>
      </c>
      <c r="Q49" s="231">
        <v>0.22</v>
      </c>
      <c r="R49" s="235"/>
      <c r="S49" s="233">
        <v>0.18</v>
      </c>
      <c r="T49" s="233">
        <v>0.12</v>
      </c>
      <c r="U49" s="231">
        <v>0.09</v>
      </c>
      <c r="V49" s="231">
        <v>0.11</v>
      </c>
      <c r="W49" s="232"/>
      <c r="X49" s="233"/>
      <c r="Y49" s="233"/>
      <c r="Z49" s="233"/>
      <c r="AA49" s="233"/>
      <c r="AB49" s="361"/>
      <c r="AC49" s="233"/>
      <c r="AD49" s="233"/>
      <c r="AE49" s="233"/>
      <c r="AF49" s="233"/>
      <c r="AG49" s="232"/>
      <c r="AH49" s="233"/>
      <c r="AI49" s="233"/>
      <c r="AJ49" s="233"/>
      <c r="AK49" s="233"/>
      <c r="AL49" s="232"/>
      <c r="AM49" s="233"/>
      <c r="AN49" s="233"/>
      <c r="AO49" s="233"/>
      <c r="AP49" s="233"/>
      <c r="AQ49" s="232"/>
      <c r="AR49" s="233"/>
      <c r="AS49" s="233"/>
      <c r="AT49" s="233"/>
      <c r="AU49" s="233"/>
      <c r="AV49" s="232"/>
    </row>
    <row r="50" spans="2:48" s="8" customFormat="1" outlineLevel="1" x14ac:dyDescent="0.3">
      <c r="B50" s="597" t="s">
        <v>177</v>
      </c>
      <c r="C50" s="598"/>
      <c r="D50" s="67">
        <v>7876</v>
      </c>
      <c r="E50" s="67">
        <v>7943</v>
      </c>
      <c r="F50" s="117">
        <v>7996</v>
      </c>
      <c r="G50" s="67">
        <v>8093</v>
      </c>
      <c r="H50" s="68"/>
      <c r="I50" s="67">
        <v>8183</v>
      </c>
      <c r="J50" s="67">
        <v>8220</v>
      </c>
      <c r="K50" s="67">
        <v>8218</v>
      </c>
      <c r="L50" s="67">
        <v>6831</v>
      </c>
      <c r="M50" s="68"/>
      <c r="N50" s="67">
        <v>8279</v>
      </c>
      <c r="O50" s="67">
        <f>+N50+O51</f>
        <v>8300</v>
      </c>
      <c r="P50" s="67">
        <f t="shared" ref="P50" si="82">+O50+P51</f>
        <v>8315</v>
      </c>
      <c r="Q50" s="67">
        <v>6965</v>
      </c>
      <c r="R50" s="192"/>
      <c r="S50" s="67">
        <f>+Q50+S51</f>
        <v>6988</v>
      </c>
      <c r="T50" s="67">
        <f>+S50+T51</f>
        <v>6972</v>
      </c>
      <c r="U50" s="67">
        <f t="shared" ref="U50:V50" si="83">+T50+U51</f>
        <v>7000</v>
      </c>
      <c r="V50" s="67">
        <f t="shared" si="83"/>
        <v>7079</v>
      </c>
      <c r="W50" s="253">
        <f>V50</f>
        <v>7079</v>
      </c>
      <c r="X50" s="67">
        <f>+V50+X51</f>
        <v>7147</v>
      </c>
      <c r="Y50" s="67">
        <f>+X50+Y51</f>
        <v>7215</v>
      </c>
      <c r="Z50" s="67">
        <f t="shared" ref="Z50:AA50" si="84">+Y50+Z51</f>
        <v>7283</v>
      </c>
      <c r="AA50" s="67">
        <f t="shared" si="84"/>
        <v>7352</v>
      </c>
      <c r="AB50" s="192">
        <f>AA50</f>
        <v>7352</v>
      </c>
      <c r="AC50" s="67">
        <f>+AA50+AC51</f>
        <v>7434</v>
      </c>
      <c r="AD50" s="67">
        <f>+AC50+AD51</f>
        <v>7516</v>
      </c>
      <c r="AE50" s="67">
        <f t="shared" ref="AE50:AF50" si="85">+AD50+AE51</f>
        <v>7598</v>
      </c>
      <c r="AF50" s="67">
        <f t="shared" si="85"/>
        <v>7681</v>
      </c>
      <c r="AG50" s="192">
        <f>AF50</f>
        <v>7681</v>
      </c>
      <c r="AH50" s="67">
        <f>+AF50+AH51</f>
        <v>7778</v>
      </c>
      <c r="AI50" s="67">
        <f>+AH50+AI51</f>
        <v>7875</v>
      </c>
      <c r="AJ50" s="67">
        <f t="shared" ref="AJ50:AK50" si="86">+AI50+AJ51</f>
        <v>7972</v>
      </c>
      <c r="AK50" s="67">
        <f t="shared" si="86"/>
        <v>8069</v>
      </c>
      <c r="AL50" s="192">
        <f>AK50</f>
        <v>8069</v>
      </c>
      <c r="AM50" s="67">
        <f>+AK50+AM51</f>
        <v>8097</v>
      </c>
      <c r="AN50" s="67">
        <f>+AM50+AN51</f>
        <v>8125</v>
      </c>
      <c r="AO50" s="67">
        <f t="shared" ref="AO50:AP50" si="87">+AN50+AO51</f>
        <v>8153</v>
      </c>
      <c r="AP50" s="67">
        <f t="shared" si="87"/>
        <v>8181</v>
      </c>
      <c r="AQ50" s="192">
        <f>AP50</f>
        <v>8181</v>
      </c>
      <c r="AR50" s="67">
        <f>+AP50+AR51</f>
        <v>8209</v>
      </c>
      <c r="AS50" s="67">
        <f>+AR50+AS51</f>
        <v>8237</v>
      </c>
      <c r="AT50" s="67">
        <f t="shared" ref="AT50:AU50" si="88">+AS50+AT51</f>
        <v>8265</v>
      </c>
      <c r="AU50" s="67">
        <f t="shared" si="88"/>
        <v>8293</v>
      </c>
      <c r="AV50" s="192">
        <f>AU50</f>
        <v>8293</v>
      </c>
    </row>
    <row r="51" spans="2:48" outlineLevel="1" x14ac:dyDescent="0.3">
      <c r="B51" s="180" t="s">
        <v>47</v>
      </c>
      <c r="C51" s="201"/>
      <c r="D51" s="101">
        <f>+D50-7770</f>
        <v>106</v>
      </c>
      <c r="E51" s="101">
        <f>E50-D50</f>
        <v>67</v>
      </c>
      <c r="F51" s="101">
        <f t="shared" ref="F51:G51" si="89">F50-E50</f>
        <v>53</v>
      </c>
      <c r="G51" s="101">
        <f t="shared" si="89"/>
        <v>97</v>
      </c>
      <c r="H51" s="122">
        <f>+SUM(D51:G51)</f>
        <v>323</v>
      </c>
      <c r="I51" s="101">
        <f>I50-G50</f>
        <v>90</v>
      </c>
      <c r="J51" s="101">
        <f t="shared" ref="J51:K51" si="90">J50-I50</f>
        <v>37</v>
      </c>
      <c r="K51" s="101">
        <f t="shared" si="90"/>
        <v>-2</v>
      </c>
      <c r="L51" s="101">
        <v>32</v>
      </c>
      <c r="M51" s="122"/>
      <c r="N51" s="101">
        <v>34</v>
      </c>
      <c r="O51" s="101">
        <v>21</v>
      </c>
      <c r="P51" s="101">
        <v>15</v>
      </c>
      <c r="Q51" s="101">
        <v>73</v>
      </c>
      <c r="R51" s="26"/>
      <c r="S51" s="101">
        <v>23</v>
      </c>
      <c r="T51" s="101">
        <v>-16</v>
      </c>
      <c r="U51" s="101">
        <v>28</v>
      </c>
      <c r="V51" s="101">
        <v>79</v>
      </c>
      <c r="W51" s="122">
        <f>+SUM(S51:V51)</f>
        <v>114</v>
      </c>
      <c r="X51" s="33">
        <v>68</v>
      </c>
      <c r="Y51" s="33">
        <v>68</v>
      </c>
      <c r="Z51" s="33">
        <v>68</v>
      </c>
      <c r="AA51" s="33">
        <v>69</v>
      </c>
      <c r="AB51" s="26">
        <f>+SUM(X51:AA51)</f>
        <v>273</v>
      </c>
      <c r="AC51" s="33">
        <v>82</v>
      </c>
      <c r="AD51" s="33">
        <v>82</v>
      </c>
      <c r="AE51" s="33">
        <v>82</v>
      </c>
      <c r="AF51" s="33">
        <v>83</v>
      </c>
      <c r="AG51" s="26">
        <f>+SUM(AC51:AF51)</f>
        <v>329</v>
      </c>
      <c r="AH51" s="33">
        <v>97</v>
      </c>
      <c r="AI51" s="33">
        <v>97</v>
      </c>
      <c r="AJ51" s="33">
        <v>97</v>
      </c>
      <c r="AK51" s="33">
        <v>97</v>
      </c>
      <c r="AL51" s="26">
        <f>+SUM(AH51:AK51)</f>
        <v>388</v>
      </c>
      <c r="AM51" s="33">
        <v>28</v>
      </c>
      <c r="AN51" s="33">
        <v>28</v>
      </c>
      <c r="AO51" s="33">
        <v>28</v>
      </c>
      <c r="AP51" s="33">
        <v>28</v>
      </c>
      <c r="AQ51" s="26">
        <f>+SUM(AM51:AP51)</f>
        <v>112</v>
      </c>
      <c r="AR51" s="33">
        <v>28</v>
      </c>
      <c r="AS51" s="33">
        <v>28</v>
      </c>
      <c r="AT51" s="33">
        <v>28</v>
      </c>
      <c r="AU51" s="33">
        <v>28</v>
      </c>
      <c r="AV51" s="26">
        <f>+SUM(AR51:AU51)</f>
        <v>112</v>
      </c>
    </row>
    <row r="52" spans="2:48" outlineLevel="1" x14ac:dyDescent="0.3">
      <c r="B52" s="180" t="s">
        <v>49</v>
      </c>
      <c r="C52" s="201"/>
      <c r="D52" s="16">
        <f>AVERAGE(D50,7770)</f>
        <v>7823</v>
      </c>
      <c r="E52" s="16">
        <f>AVERAGE(E50,D50)</f>
        <v>7909.5</v>
      </c>
      <c r="F52" s="16">
        <f t="shared" ref="F52:G52" si="91">AVERAGE(F50,E50)</f>
        <v>7969.5</v>
      </c>
      <c r="G52" s="16">
        <f t="shared" si="91"/>
        <v>8044.5</v>
      </c>
      <c r="H52" s="26"/>
      <c r="I52" s="16">
        <f>AVERAGE(I50,G50)</f>
        <v>8138</v>
      </c>
      <c r="J52" s="16">
        <f>AVERAGE(J50,I50)</f>
        <v>8201.5</v>
      </c>
      <c r="K52" s="16">
        <f t="shared" ref="K52:L52" si="92">AVERAGE(K50,J50)</f>
        <v>8219</v>
      </c>
      <c r="L52" s="16">
        <f t="shared" si="92"/>
        <v>7524.5</v>
      </c>
      <c r="M52" s="6"/>
      <c r="N52" s="16">
        <f>AVERAGE(N50,L50)</f>
        <v>7555</v>
      </c>
      <c r="O52" s="16">
        <f>AVERAGE(O50,N50)</f>
        <v>8289.5</v>
      </c>
      <c r="P52" s="16">
        <f t="shared" ref="P52:Q52" si="93">AVERAGE(P50,O50)</f>
        <v>8307.5</v>
      </c>
      <c r="Q52" s="16">
        <f t="shared" si="93"/>
        <v>7640</v>
      </c>
      <c r="R52" s="6"/>
      <c r="S52" s="16">
        <f>AVERAGE(S50,Q50)</f>
        <v>6976.5</v>
      </c>
      <c r="T52" s="16">
        <f>AVERAGE(T50,S50)</f>
        <v>6980</v>
      </c>
      <c r="U52" s="16">
        <f t="shared" ref="U52:V52" si="94">AVERAGE(U50,T50)</f>
        <v>6986</v>
      </c>
      <c r="V52" s="16">
        <f t="shared" si="94"/>
        <v>7039.5</v>
      </c>
      <c r="W52" s="130"/>
      <c r="X52" s="16">
        <f>AVERAGE(X50,V50)</f>
        <v>7113</v>
      </c>
      <c r="Y52" s="16">
        <f>AVERAGE(Y50,X50)</f>
        <v>7181</v>
      </c>
      <c r="Z52" s="16">
        <f t="shared" ref="Z52:AA52" si="95">AVERAGE(Z50,Y50)</f>
        <v>7249</v>
      </c>
      <c r="AA52" s="16">
        <f t="shared" si="95"/>
        <v>7317.5</v>
      </c>
      <c r="AB52" s="6"/>
      <c r="AC52" s="16">
        <f>AVERAGE(AC50,AA50)</f>
        <v>7393</v>
      </c>
      <c r="AD52" s="16">
        <f>AVERAGE(AD50,AC50)</f>
        <v>7475</v>
      </c>
      <c r="AE52" s="16">
        <f t="shared" ref="AE52:AF52" si="96">AVERAGE(AE50,AD50)</f>
        <v>7557</v>
      </c>
      <c r="AF52" s="16">
        <f t="shared" si="96"/>
        <v>7639.5</v>
      </c>
      <c r="AG52" s="6"/>
      <c r="AH52" s="16">
        <f>AVERAGE(AH50,AF50)</f>
        <v>7729.5</v>
      </c>
      <c r="AI52" s="16">
        <f>AVERAGE(AI50,AH50)</f>
        <v>7826.5</v>
      </c>
      <c r="AJ52" s="16">
        <f t="shared" ref="AJ52:AK52" si="97">AVERAGE(AJ50,AI50)</f>
        <v>7923.5</v>
      </c>
      <c r="AK52" s="16">
        <f t="shared" si="97"/>
        <v>8020.5</v>
      </c>
      <c r="AL52" s="6"/>
      <c r="AM52" s="16">
        <f>AVERAGE(AM50,AK50)</f>
        <v>8083</v>
      </c>
      <c r="AN52" s="16">
        <f>AVERAGE(AN50,AM50)</f>
        <v>8111</v>
      </c>
      <c r="AO52" s="16">
        <f t="shared" ref="AO52:AP52" si="98">AVERAGE(AO50,AN50)</f>
        <v>8139</v>
      </c>
      <c r="AP52" s="16">
        <f t="shared" si="98"/>
        <v>8167</v>
      </c>
      <c r="AQ52" s="6"/>
      <c r="AR52" s="16">
        <f>AVERAGE(AR50,AP50)</f>
        <v>8195</v>
      </c>
      <c r="AS52" s="16">
        <f>AVERAGE(AS50,AR50)</f>
        <v>8223</v>
      </c>
      <c r="AT52" s="16">
        <f t="shared" ref="AT52:AU52" si="99">AVERAGE(AT50,AS50)</f>
        <v>8251</v>
      </c>
      <c r="AU52" s="16">
        <f t="shared" si="99"/>
        <v>8279</v>
      </c>
      <c r="AV52" s="6"/>
    </row>
    <row r="53" spans="2:48" outlineLevel="1" x14ac:dyDescent="0.3">
      <c r="B53" s="180" t="s">
        <v>202</v>
      </c>
      <c r="C53" s="201"/>
      <c r="D53" s="43">
        <f>+D54/D52</f>
        <v>6.5780391154288645E-2</v>
      </c>
      <c r="E53" s="43">
        <f>+E54/E52</f>
        <v>5.8549845122953414E-2</v>
      </c>
      <c r="F53" s="43">
        <f>+F54/F52</f>
        <v>6.2274923144488362E-2</v>
      </c>
      <c r="G53" s="114">
        <f t="shared" ref="G53:S53" si="100">+G54/G52</f>
        <v>6.016533034992852E-2</v>
      </c>
      <c r="H53" s="127"/>
      <c r="I53" s="114">
        <f t="shared" si="100"/>
        <v>6.6023593020398133E-2</v>
      </c>
      <c r="J53" s="114">
        <f t="shared" si="100"/>
        <v>5.6599402548314331E-2</v>
      </c>
      <c r="K53" s="114">
        <f t="shared" si="100"/>
        <v>2.8653120817617714E-2</v>
      </c>
      <c r="L53" s="114">
        <f t="shared" si="100"/>
        <v>4.4773739118878331E-2</v>
      </c>
      <c r="M53" s="6"/>
      <c r="N53" s="114">
        <f t="shared" si="100"/>
        <v>5.5089344804765052E-2</v>
      </c>
      <c r="O53" s="114">
        <f t="shared" si="100"/>
        <v>4.7554134748778572E-2</v>
      </c>
      <c r="P53" s="114">
        <f t="shared" si="100"/>
        <v>5.6394823954258204E-2</v>
      </c>
      <c r="Q53" s="114">
        <f t="shared" si="100"/>
        <v>6.6295811518324602E-2</v>
      </c>
      <c r="R53" s="6"/>
      <c r="S53" s="114">
        <f t="shared" si="100"/>
        <v>7.3948254855586606E-2</v>
      </c>
      <c r="T53" s="114">
        <f>+T54/T52</f>
        <v>7.2636103151862461E-2</v>
      </c>
      <c r="U53" s="114">
        <f>+U54/U52</f>
        <v>7.7898654451760668E-2</v>
      </c>
      <c r="V53" s="114">
        <f>+V54/V52</f>
        <v>8.2875204204844094E-2</v>
      </c>
      <c r="W53" s="130"/>
      <c r="X53" s="62">
        <f>S53*1.1</f>
        <v>8.1343080341145277E-2</v>
      </c>
      <c r="Y53" s="62">
        <f>T53*1.1</f>
        <v>7.9899713467048716E-2</v>
      </c>
      <c r="Z53" s="62">
        <f>U53*1.05</f>
        <v>8.1793587174348703E-2</v>
      </c>
      <c r="AA53" s="62">
        <f>V53*1.05</f>
        <v>8.7018964415086303E-2</v>
      </c>
      <c r="AB53" s="378"/>
      <c r="AC53" s="62">
        <f>X53*1.05</f>
        <v>8.5410234358202539E-2</v>
      </c>
      <c r="AD53" s="62">
        <f>Y53*1.05</f>
        <v>8.3894699140401152E-2</v>
      </c>
      <c r="AE53" s="62">
        <f>Z53*1.05</f>
        <v>8.5883266533066147E-2</v>
      </c>
      <c r="AF53" s="62">
        <f>AA53*1.05</f>
        <v>9.1369912635840628E-2</v>
      </c>
      <c r="AG53" s="378"/>
      <c r="AH53" s="62">
        <f>AC53*1.07</f>
        <v>9.1388950763276716E-2</v>
      </c>
      <c r="AI53" s="62">
        <f>AD53*1.07</f>
        <v>8.9767328080229233E-2</v>
      </c>
      <c r="AJ53" s="62">
        <f>AE53*1.07</f>
        <v>9.1895095190380777E-2</v>
      </c>
      <c r="AK53" s="62">
        <f>AF53*1.07</f>
        <v>9.7765806520349482E-2</v>
      </c>
      <c r="AL53" s="379"/>
      <c r="AM53" s="477">
        <f>AH53*1.05</f>
        <v>9.5958398301440553E-2</v>
      </c>
      <c r="AN53" s="477">
        <f>AI53*1.05</f>
        <v>9.4255694484240704E-2</v>
      </c>
      <c r="AO53" s="477">
        <f>AJ53*1.05</f>
        <v>9.6489849949899814E-2</v>
      </c>
      <c r="AP53" s="477">
        <f>AK53*1.05</f>
        <v>0.10265409684636696</v>
      </c>
      <c r="AQ53" s="97"/>
      <c r="AR53" s="477">
        <f>AM53*1.03</f>
        <v>9.8837150250483771E-2</v>
      </c>
      <c r="AS53" s="477">
        <f>AN53*1.03</f>
        <v>9.7083365318767934E-2</v>
      </c>
      <c r="AT53" s="477">
        <f>AO53*1.03</f>
        <v>9.938454544839681E-2</v>
      </c>
      <c r="AU53" s="477">
        <f>AP53*1.03</f>
        <v>0.10573371975175798</v>
      </c>
      <c r="AV53" s="6"/>
    </row>
    <row r="54" spans="2:48" s="8" customFormat="1" outlineLevel="1" x14ac:dyDescent="0.3">
      <c r="B54" s="603" t="s">
        <v>178</v>
      </c>
      <c r="C54" s="604"/>
      <c r="D54" s="115">
        <v>514.6</v>
      </c>
      <c r="E54" s="115">
        <v>463.1</v>
      </c>
      <c r="F54" s="115">
        <v>496.3</v>
      </c>
      <c r="G54" s="115">
        <v>484</v>
      </c>
      <c r="H54" s="153"/>
      <c r="I54" s="115">
        <v>537.29999999999995</v>
      </c>
      <c r="J54" s="115">
        <v>464.2</v>
      </c>
      <c r="K54" s="115">
        <v>235.5</v>
      </c>
      <c r="L54" s="72">
        <v>336.9</v>
      </c>
      <c r="M54" s="73"/>
      <c r="N54" s="72">
        <v>416.2</v>
      </c>
      <c r="O54" s="72">
        <v>394.2</v>
      </c>
      <c r="P54" s="72">
        <v>468.5</v>
      </c>
      <c r="Q54" s="115">
        <v>506.5</v>
      </c>
      <c r="R54" s="73"/>
      <c r="S54" s="72">
        <v>515.9</v>
      </c>
      <c r="T54" s="72">
        <v>507</v>
      </c>
      <c r="U54" s="72">
        <v>544.20000000000005</v>
      </c>
      <c r="V54" s="72">
        <v>583.4</v>
      </c>
      <c r="W54" s="213">
        <f>SUM(S54:V54)</f>
        <v>2150.5</v>
      </c>
      <c r="X54" s="72">
        <f>+X52*X53</f>
        <v>578.59333046656639</v>
      </c>
      <c r="Y54" s="72">
        <f>+Y52*Y53</f>
        <v>573.75984240687683</v>
      </c>
      <c r="Z54" s="72">
        <f t="shared" ref="Z54:AA54" si="101">+Z52*Z53</f>
        <v>592.92171342685378</v>
      </c>
      <c r="AA54" s="72">
        <f t="shared" si="101"/>
        <v>636.76127210739401</v>
      </c>
      <c r="AB54" s="73">
        <f>SUM(X54:AA54)</f>
        <v>2382.0361584076909</v>
      </c>
      <c r="AC54" s="72">
        <f>+AC52*AC53</f>
        <v>631.43786261019136</v>
      </c>
      <c r="AD54" s="72">
        <f>+AD52*AD53</f>
        <v>627.11287607449856</v>
      </c>
      <c r="AE54" s="72">
        <f t="shared" ref="AE54:AF54" si="102">+AE52*AE53</f>
        <v>649.01984519038092</v>
      </c>
      <c r="AF54" s="72">
        <f t="shared" si="102"/>
        <v>698.02044758150453</v>
      </c>
      <c r="AG54" s="73">
        <f>SUM(AC54:AF54)</f>
        <v>2605.5910314565754</v>
      </c>
      <c r="AH54" s="72">
        <f>+AH52*AH53</f>
        <v>706.39089492474739</v>
      </c>
      <c r="AI54" s="72">
        <f>+AI52*AI53</f>
        <v>702.5639932199141</v>
      </c>
      <c r="AJ54" s="72">
        <f t="shared" ref="AJ54:AK54" si="103">+AJ52*AJ53</f>
        <v>728.1307867409821</v>
      </c>
      <c r="AK54" s="72">
        <f t="shared" si="103"/>
        <v>784.13065119646308</v>
      </c>
      <c r="AL54" s="73">
        <f>SUM(AH54:AK54)</f>
        <v>2921.2163260821067</v>
      </c>
      <c r="AM54" s="72">
        <f>+AM52*AM53</f>
        <v>775.63173347054396</v>
      </c>
      <c r="AN54" s="72">
        <f>+AN52*AN53</f>
        <v>764.50793796167636</v>
      </c>
      <c r="AO54" s="72">
        <f t="shared" ref="AO54:AP54" si="104">+AO52*AO53</f>
        <v>785.33088874223461</v>
      </c>
      <c r="AP54" s="72">
        <f t="shared" si="104"/>
        <v>838.37600894427896</v>
      </c>
      <c r="AQ54" s="73">
        <f>SUM(AM54:AP54)</f>
        <v>3163.8465691187339</v>
      </c>
      <c r="AR54" s="72">
        <f>+AR52*AR53</f>
        <v>809.97044630271455</v>
      </c>
      <c r="AS54" s="72">
        <f>+AS52*AS53</f>
        <v>798.31651301622867</v>
      </c>
      <c r="AT54" s="72">
        <f t="shared" ref="AT54:AU54" si="105">+AT52*AT53</f>
        <v>820.02188449472203</v>
      </c>
      <c r="AU54" s="72">
        <f t="shared" si="105"/>
        <v>875.36946582480437</v>
      </c>
      <c r="AV54" s="73">
        <f>SUM(AR54:AU54)</f>
        <v>3303.6783096384697</v>
      </c>
    </row>
    <row r="55" spans="2:48" s="8" customFormat="1" outlineLevel="1" x14ac:dyDescent="0.3">
      <c r="B55" s="587" t="s">
        <v>179</v>
      </c>
      <c r="C55" s="588"/>
      <c r="D55" s="103">
        <v>5.7</v>
      </c>
      <c r="E55" s="103">
        <v>1.4</v>
      </c>
      <c r="F55" s="103">
        <v>2.6</v>
      </c>
      <c r="G55" s="103">
        <v>3.2</v>
      </c>
      <c r="H55" s="154"/>
      <c r="I55" s="103">
        <v>2.6</v>
      </c>
      <c r="J55" s="103">
        <v>2.2000000000000002</v>
      </c>
      <c r="K55" s="103">
        <v>1.1000000000000001</v>
      </c>
      <c r="L55" s="50">
        <v>1.7</v>
      </c>
      <c r="M55" s="97"/>
      <c r="N55" s="50">
        <v>2.2000000000000002</v>
      </c>
      <c r="O55" s="50">
        <v>2</v>
      </c>
      <c r="P55" s="50">
        <v>2</v>
      </c>
      <c r="Q55" s="103">
        <v>2.2000000000000002</v>
      </c>
      <c r="R55" s="191"/>
      <c r="S55" s="50">
        <v>2.2999999999999998</v>
      </c>
      <c r="T55" s="50">
        <v>2.4</v>
      </c>
      <c r="U55" s="50">
        <v>1</v>
      </c>
      <c r="V55" s="50">
        <v>0.5</v>
      </c>
      <c r="W55" s="166">
        <f>SUM(S55:V55)</f>
        <v>6.1999999999999993</v>
      </c>
      <c r="X55" s="50">
        <f>+S55*(1+X56)</f>
        <v>1.9549999999999998</v>
      </c>
      <c r="Y55" s="50">
        <f>+T55*(1+Y56)</f>
        <v>1.968</v>
      </c>
      <c r="Z55" s="50">
        <f>+U55*(1+Z56)</f>
        <v>1.95</v>
      </c>
      <c r="AA55" s="50">
        <f t="shared" ref="AA55" si="106">+V55*(1+AA56)</f>
        <v>0.5</v>
      </c>
      <c r="AB55" s="191">
        <f>SUM(X55:AA55)</f>
        <v>6.3730000000000002</v>
      </c>
      <c r="AC55" s="50">
        <f>+X55*(1+AC56)</f>
        <v>1.9549999999999998</v>
      </c>
      <c r="AD55" s="50">
        <f>+Y55*(1+AD56)</f>
        <v>1.968</v>
      </c>
      <c r="AE55" s="50">
        <f>+Z55*(1+AE56)</f>
        <v>1.95</v>
      </c>
      <c r="AF55" s="50">
        <f t="shared" ref="AF55" si="107">+AA55*(1+AF56)</f>
        <v>0.5</v>
      </c>
      <c r="AG55" s="191">
        <f>SUM(AC55:AF55)</f>
        <v>6.3730000000000002</v>
      </c>
      <c r="AH55" s="50">
        <f>+AC55*(1+AH56)</f>
        <v>1.9549999999999998</v>
      </c>
      <c r="AI55" s="50">
        <f>+AD55*(1+AI56)</f>
        <v>1.968</v>
      </c>
      <c r="AJ55" s="50">
        <f>+AE55*(1+AJ56)</f>
        <v>1.95</v>
      </c>
      <c r="AK55" s="50">
        <f t="shared" ref="AK55" si="108">+AF55*(1+AK56)</f>
        <v>0.5</v>
      </c>
      <c r="AL55" s="191">
        <f>SUM(AH55:AK55)</f>
        <v>6.3730000000000002</v>
      </c>
      <c r="AM55" s="50">
        <f>+AH55*(1+AM56)</f>
        <v>1.9549999999999998</v>
      </c>
      <c r="AN55" s="50">
        <f>+AI55*(1+AN56)</f>
        <v>1.968</v>
      </c>
      <c r="AO55" s="50">
        <f>+AJ55*(1+AO56)</f>
        <v>1.95</v>
      </c>
      <c r="AP55" s="50">
        <f t="shared" ref="AP55" si="109">+AK55*(1+AP56)</f>
        <v>0.5</v>
      </c>
      <c r="AQ55" s="191">
        <f>SUM(AM55:AP55)</f>
        <v>6.3730000000000002</v>
      </c>
      <c r="AR55" s="50">
        <f>+AM55*(1+AR56)</f>
        <v>1.9549999999999998</v>
      </c>
      <c r="AS55" s="50">
        <f>+AN55*(1+AS56)</f>
        <v>1.968</v>
      </c>
      <c r="AT55" s="50">
        <f>+AO55*(1+AT56)</f>
        <v>1.95</v>
      </c>
      <c r="AU55" s="50">
        <f t="shared" ref="AU55" si="110">+AP55*(1+AU56)</f>
        <v>0.5</v>
      </c>
      <c r="AV55" s="191">
        <f>SUM(AR55:AU55)</f>
        <v>6.3730000000000002</v>
      </c>
    </row>
    <row r="56" spans="2:48" outlineLevel="1" x14ac:dyDescent="0.3">
      <c r="B56" s="69" t="s">
        <v>50</v>
      </c>
      <c r="C56" s="70"/>
      <c r="D56" s="120"/>
      <c r="E56" s="120"/>
      <c r="F56" s="120"/>
      <c r="G56" s="120"/>
      <c r="H56" s="155"/>
      <c r="I56" s="120">
        <f>I55/D55-1</f>
        <v>-0.54385964912280704</v>
      </c>
      <c r="J56" s="120">
        <f t="shared" ref="J56" si="111">J55/E55-1</f>
        <v>0.57142857142857162</v>
      </c>
      <c r="K56" s="120">
        <f>K55/F55-1</f>
        <v>-0.57692307692307687</v>
      </c>
      <c r="L56" s="120">
        <f>L55/G55-1</f>
        <v>-0.46875</v>
      </c>
      <c r="M56" s="58"/>
      <c r="N56" s="120">
        <f>N55/I55-1</f>
        <v>-0.15384615384615385</v>
      </c>
      <c r="O56" s="120">
        <f t="shared" ref="O56" si="112">O55/J55-1</f>
        <v>-9.0909090909090939E-2</v>
      </c>
      <c r="P56" s="120">
        <f>P55/K55-1</f>
        <v>0.81818181818181812</v>
      </c>
      <c r="Q56" s="120">
        <f>Q55/L55-1</f>
        <v>0.29411764705882359</v>
      </c>
      <c r="R56" s="58"/>
      <c r="S56" s="120">
        <f>S55/N55-1</f>
        <v>4.5454545454545192E-2</v>
      </c>
      <c r="T56" s="120">
        <f t="shared" ref="T56:U56" si="113">T55/O55-1</f>
        <v>0.19999999999999996</v>
      </c>
      <c r="U56" s="120">
        <f t="shared" si="113"/>
        <v>-0.5</v>
      </c>
      <c r="V56" s="120">
        <f>V55/Q55-1</f>
        <v>-0.77272727272727271</v>
      </c>
      <c r="W56" s="155"/>
      <c r="X56" s="71">
        <v>-0.15</v>
      </c>
      <c r="Y56" s="71">
        <v>-0.18</v>
      </c>
      <c r="Z56" s="71">
        <v>0.95</v>
      </c>
      <c r="AA56" s="71">
        <v>0</v>
      </c>
      <c r="AB56" s="374"/>
      <c r="AC56" s="71">
        <v>0</v>
      </c>
      <c r="AD56" s="71">
        <v>0</v>
      </c>
      <c r="AE56" s="71">
        <v>0</v>
      </c>
      <c r="AF56" s="71">
        <v>0</v>
      </c>
      <c r="AG56" s="58"/>
      <c r="AH56" s="71">
        <v>0</v>
      </c>
      <c r="AI56" s="71">
        <v>0</v>
      </c>
      <c r="AJ56" s="71">
        <v>0</v>
      </c>
      <c r="AK56" s="71">
        <v>0</v>
      </c>
      <c r="AL56" s="58"/>
      <c r="AM56" s="71">
        <v>0</v>
      </c>
      <c r="AN56" s="71">
        <v>0</v>
      </c>
      <c r="AO56" s="71">
        <v>0</v>
      </c>
      <c r="AP56" s="71">
        <v>0</v>
      </c>
      <c r="AQ56" s="58"/>
      <c r="AR56" s="71">
        <v>0</v>
      </c>
      <c r="AS56" s="71">
        <v>0</v>
      </c>
      <c r="AT56" s="71">
        <v>0</v>
      </c>
      <c r="AU56" s="71">
        <v>0</v>
      </c>
      <c r="AV56" s="58"/>
    </row>
    <row r="57" spans="2:48" outlineLevel="1" x14ac:dyDescent="0.3">
      <c r="B57" s="180" t="s">
        <v>180</v>
      </c>
      <c r="C57" s="207"/>
      <c r="D57" s="101">
        <f t="shared" ref="D57:G58" si="114">+D50+D41</f>
        <v>17653</v>
      </c>
      <c r="E57" s="101">
        <f t="shared" si="114"/>
        <v>17719</v>
      </c>
      <c r="F57" s="101">
        <f t="shared" si="114"/>
        <v>17853</v>
      </c>
      <c r="G57" s="101">
        <f t="shared" si="114"/>
        <v>18067</v>
      </c>
      <c r="H57" s="122"/>
      <c r="I57" s="101">
        <f t="shared" ref="I57:L58" si="115">+I50+I41</f>
        <v>18203</v>
      </c>
      <c r="J57" s="101">
        <f t="shared" si="115"/>
        <v>18271</v>
      </c>
      <c r="K57" s="101">
        <f t="shared" si="115"/>
        <v>18235</v>
      </c>
      <c r="L57" s="16">
        <f t="shared" si="115"/>
        <v>16940</v>
      </c>
      <c r="M57" s="6"/>
      <c r="N57" s="16">
        <f t="shared" ref="N57:Q58" si="116">+N50+N41</f>
        <v>18308</v>
      </c>
      <c r="O57" s="16">
        <f t="shared" si="116"/>
        <v>18120</v>
      </c>
      <c r="P57" s="16">
        <f t="shared" si="116"/>
        <v>18175</v>
      </c>
      <c r="Q57" s="101">
        <f t="shared" si="116"/>
        <v>16826</v>
      </c>
      <c r="R57" s="6"/>
      <c r="S57" s="16">
        <f t="shared" ref="S57:V58" si="117">+S50+S41</f>
        <v>16888</v>
      </c>
      <c r="T57" s="16">
        <f t="shared" si="117"/>
        <v>16926</v>
      </c>
      <c r="U57" s="16">
        <f t="shared" si="117"/>
        <v>17050</v>
      </c>
      <c r="V57" s="16">
        <f t="shared" si="117"/>
        <v>17295</v>
      </c>
      <c r="W57" s="254">
        <f>W58/Q57</f>
        <v>2.7873529062165697E-2</v>
      </c>
      <c r="X57" s="16">
        <f t="shared" ref="X57:AA58" si="118">+X50+X41</f>
        <v>17423.5</v>
      </c>
      <c r="Y57" s="16">
        <f t="shared" si="118"/>
        <v>17552</v>
      </c>
      <c r="Z57" s="16">
        <f t="shared" si="118"/>
        <v>17680.5</v>
      </c>
      <c r="AA57" s="16">
        <f t="shared" si="118"/>
        <v>17810</v>
      </c>
      <c r="AB57" s="254">
        <f>AB58/V57</f>
        <v>2.9777392309916162E-2</v>
      </c>
      <c r="AC57" s="16">
        <f t="shared" ref="AC57:AF58" si="119">+AC50+AC41</f>
        <v>17964</v>
      </c>
      <c r="AD57" s="16">
        <f t="shared" si="119"/>
        <v>18118</v>
      </c>
      <c r="AE57" s="16">
        <f t="shared" si="119"/>
        <v>18273</v>
      </c>
      <c r="AF57" s="16">
        <f t="shared" si="119"/>
        <v>18429</v>
      </c>
      <c r="AG57" s="254">
        <f>AG58/AA57</f>
        <v>3.47557551937114E-2</v>
      </c>
      <c r="AH57" s="16">
        <f t="shared" ref="AH57:AK58" si="120">+AH50+AH41</f>
        <v>18612</v>
      </c>
      <c r="AI57" s="16">
        <f t="shared" si="120"/>
        <v>18795</v>
      </c>
      <c r="AJ57" s="16">
        <f t="shared" si="120"/>
        <v>18978</v>
      </c>
      <c r="AK57" s="16">
        <f t="shared" si="120"/>
        <v>19161</v>
      </c>
      <c r="AL57" s="254">
        <f>AL58/AF57</f>
        <v>3.9720006511476474E-2</v>
      </c>
      <c r="AM57" s="16">
        <f t="shared" ref="AM57:AP58" si="121">+AM50+AM41</f>
        <v>19285</v>
      </c>
      <c r="AN57" s="16">
        <f t="shared" si="121"/>
        <v>19409</v>
      </c>
      <c r="AO57" s="16">
        <f t="shared" si="121"/>
        <v>19533</v>
      </c>
      <c r="AP57" s="16">
        <f t="shared" si="121"/>
        <v>19657</v>
      </c>
      <c r="AQ57" s="254">
        <f>AQ58/AK57</f>
        <v>2.5885914096341528E-2</v>
      </c>
      <c r="AR57" s="16">
        <f t="shared" ref="AR57:AU58" si="122">+AR50+AR41</f>
        <v>19781</v>
      </c>
      <c r="AS57" s="16">
        <f t="shared" si="122"/>
        <v>19905</v>
      </c>
      <c r="AT57" s="16">
        <f t="shared" si="122"/>
        <v>20029</v>
      </c>
      <c r="AU57" s="16">
        <f t="shared" si="122"/>
        <v>20153</v>
      </c>
      <c r="AV57" s="254">
        <f>AV58/AP57</f>
        <v>2.5232741517016839E-2</v>
      </c>
    </row>
    <row r="58" spans="2:48" outlineLevel="1" x14ac:dyDescent="0.3">
      <c r="B58" s="180" t="s">
        <v>181</v>
      </c>
      <c r="C58" s="207"/>
      <c r="D58" s="101">
        <f t="shared" si="114"/>
        <v>193</v>
      </c>
      <c r="E58" s="101">
        <f t="shared" si="114"/>
        <v>66</v>
      </c>
      <c r="F58" s="101">
        <f t="shared" si="114"/>
        <v>134</v>
      </c>
      <c r="G58" s="101">
        <f t="shared" si="114"/>
        <v>214</v>
      </c>
      <c r="H58" s="122">
        <f>+H51+H42</f>
        <v>607</v>
      </c>
      <c r="I58" s="101">
        <f t="shared" si="115"/>
        <v>136</v>
      </c>
      <c r="J58" s="101">
        <f t="shared" si="115"/>
        <v>68</v>
      </c>
      <c r="K58" s="101">
        <f t="shared" si="115"/>
        <v>-36</v>
      </c>
      <c r="L58" s="16">
        <f t="shared" si="115"/>
        <v>124</v>
      </c>
      <c r="M58" s="122"/>
      <c r="N58" s="16">
        <f t="shared" si="116"/>
        <v>-46</v>
      </c>
      <c r="O58" s="16">
        <f t="shared" si="116"/>
        <v>-188</v>
      </c>
      <c r="P58" s="16">
        <f t="shared" si="116"/>
        <v>55</v>
      </c>
      <c r="Q58" s="101">
        <f t="shared" si="116"/>
        <v>74</v>
      </c>
      <c r="R58" s="122"/>
      <c r="S58" s="16">
        <f t="shared" si="117"/>
        <v>62</v>
      </c>
      <c r="T58" s="16">
        <f t="shared" si="117"/>
        <v>38</v>
      </c>
      <c r="U58" s="16">
        <f t="shared" si="117"/>
        <v>124</v>
      </c>
      <c r="V58" s="16">
        <f t="shared" si="117"/>
        <v>245</v>
      </c>
      <c r="W58" s="122">
        <f>+W51+W42</f>
        <v>469</v>
      </c>
      <c r="X58" s="16">
        <f t="shared" si="118"/>
        <v>128.5</v>
      </c>
      <c r="Y58" s="16">
        <f t="shared" si="118"/>
        <v>128.5</v>
      </c>
      <c r="Z58" s="16">
        <f t="shared" si="118"/>
        <v>128.5</v>
      </c>
      <c r="AA58" s="16">
        <f t="shared" si="118"/>
        <v>129.5</v>
      </c>
      <c r="AB58" s="122">
        <f>+AB51+AB42</f>
        <v>515</v>
      </c>
      <c r="AC58" s="16">
        <f t="shared" si="119"/>
        <v>154</v>
      </c>
      <c r="AD58" s="16">
        <f t="shared" si="119"/>
        <v>154</v>
      </c>
      <c r="AE58" s="16">
        <f t="shared" si="119"/>
        <v>155</v>
      </c>
      <c r="AF58" s="16">
        <f t="shared" si="119"/>
        <v>156</v>
      </c>
      <c r="AG58" s="122">
        <f>+AG51+AG42</f>
        <v>619</v>
      </c>
      <c r="AH58" s="16">
        <f t="shared" si="120"/>
        <v>183</v>
      </c>
      <c r="AI58" s="16">
        <f t="shared" si="120"/>
        <v>183</v>
      </c>
      <c r="AJ58" s="16">
        <f t="shared" si="120"/>
        <v>183</v>
      </c>
      <c r="AK58" s="16">
        <f t="shared" si="120"/>
        <v>183</v>
      </c>
      <c r="AL58" s="122">
        <f>+AL51+AL42</f>
        <v>732</v>
      </c>
      <c r="AM58" s="16">
        <f t="shared" si="121"/>
        <v>124</v>
      </c>
      <c r="AN58" s="16">
        <f t="shared" si="121"/>
        <v>124</v>
      </c>
      <c r="AO58" s="16">
        <f t="shared" si="121"/>
        <v>124</v>
      </c>
      <c r="AP58" s="16">
        <f t="shared" si="121"/>
        <v>124</v>
      </c>
      <c r="AQ58" s="122">
        <f>+AQ51+AQ42</f>
        <v>496</v>
      </c>
      <c r="AR58" s="16">
        <f t="shared" si="122"/>
        <v>124</v>
      </c>
      <c r="AS58" s="16">
        <f t="shared" si="122"/>
        <v>124</v>
      </c>
      <c r="AT58" s="16">
        <f t="shared" si="122"/>
        <v>124</v>
      </c>
      <c r="AU58" s="16">
        <f t="shared" si="122"/>
        <v>124</v>
      </c>
      <c r="AV58" s="122">
        <f>+AV51+AV42</f>
        <v>496</v>
      </c>
    </row>
    <row r="59" spans="2:48" outlineLevel="1" x14ac:dyDescent="0.3">
      <c r="B59" s="605" t="s">
        <v>182</v>
      </c>
      <c r="C59" s="606"/>
      <c r="D59" s="115">
        <f>+D55+D54+D45</f>
        <v>4612.5</v>
      </c>
      <c r="E59" s="115">
        <f>+E55+E54+E45</f>
        <v>4314.1000000000004</v>
      </c>
      <c r="F59" s="115">
        <f>+F55+F54+F45</f>
        <v>4681.0999999999995</v>
      </c>
      <c r="G59" s="115">
        <f>+G55+G54+G45</f>
        <v>4651.3999999999996</v>
      </c>
      <c r="H59" s="132">
        <f>SUM(D59:G59)</f>
        <v>18259.099999999999</v>
      </c>
      <c r="I59" s="115">
        <f>+I55+I54+I45</f>
        <v>5010.8999999999996</v>
      </c>
      <c r="J59" s="115">
        <f>+J55+J54+J45</f>
        <v>4330</v>
      </c>
      <c r="K59" s="115">
        <f>+K55+K54+K45</f>
        <v>2805.5</v>
      </c>
      <c r="L59" s="72">
        <f>+L55+L54+L45</f>
        <v>4213.9000000000005</v>
      </c>
      <c r="M59" s="97"/>
      <c r="N59" s="72">
        <f>+N55+N54+N45</f>
        <v>4703.2</v>
      </c>
      <c r="O59" s="72">
        <f>+O55+O54+O45</f>
        <v>4664.5999999999995</v>
      </c>
      <c r="P59" s="72">
        <f>+P55+P54+P45</f>
        <v>5400.3</v>
      </c>
      <c r="Q59" s="115">
        <f>+Q55+Q54+Q45</f>
        <v>5763</v>
      </c>
      <c r="R59" s="97"/>
      <c r="S59" s="72">
        <f>+S55+S54+S45</f>
        <v>5732.3</v>
      </c>
      <c r="T59" s="72">
        <f>+T55+T54+T45</f>
        <v>5445.7</v>
      </c>
      <c r="U59" s="72">
        <f>+U55+U54+U45</f>
        <v>6058.4</v>
      </c>
      <c r="V59" s="72">
        <f>+V55+V54+V45</f>
        <v>6134.4</v>
      </c>
      <c r="W59" s="97">
        <f>SUM(S59:V59)</f>
        <v>23370.800000000003</v>
      </c>
      <c r="X59" s="72">
        <f>+X55+X54+X45</f>
        <v>6366.1583880294438</v>
      </c>
      <c r="Y59" s="72">
        <f>+Y55+Y54+Y45</f>
        <v>6059.6217405382358</v>
      </c>
      <c r="Z59" s="72">
        <f>+Z55+Z54+Z45</f>
        <v>6595.127545760387</v>
      </c>
      <c r="AA59" s="72">
        <f>+AA55+AA54+AA45</f>
        <v>6634.8126087056371</v>
      </c>
      <c r="AB59" s="97">
        <f>SUM(X59:AA59)</f>
        <v>25655.720283033705</v>
      </c>
      <c r="AC59" s="72">
        <f>+AC55+AC54+AC45</f>
        <v>6855.1717125570576</v>
      </c>
      <c r="AD59" s="72">
        <f>+AD55+AD54+AD45</f>
        <v>6532.0050834181084</v>
      </c>
      <c r="AE59" s="72">
        <f>+AE55+AE54+AE45</f>
        <v>7116.0794698154568</v>
      </c>
      <c r="AF59" s="72">
        <f>+AF55+AF54+AF45</f>
        <v>7167.3089876856211</v>
      </c>
      <c r="AG59" s="97">
        <f>SUM(AC59:AF59)</f>
        <v>27670.565253476245</v>
      </c>
      <c r="AH59" s="72">
        <f>+AH55+AH54+AH45</f>
        <v>7554.0635106728896</v>
      </c>
      <c r="AI59" s="72">
        <f>+AI55+AI54+AI45</f>
        <v>7206.5700459840427</v>
      </c>
      <c r="AJ59" s="72">
        <f>+AJ55+AJ54+AJ45</f>
        <v>7858.7536815850135</v>
      </c>
      <c r="AK59" s="72">
        <f>+AK55+AK54+AK45</f>
        <v>7924.3216095293865</v>
      </c>
      <c r="AL59" s="97">
        <f>SUM(AH59:AK59)</f>
        <v>30543.708847771333</v>
      </c>
      <c r="AM59" s="72">
        <f>+AM55+AM54+AM45</f>
        <v>8198.0629591591751</v>
      </c>
      <c r="AN59" s="72">
        <f>+AN55+AN54+AN45</f>
        <v>7818.9485442778159</v>
      </c>
      <c r="AO59" s="72">
        <f>+AO55+AO54+AO45</f>
        <v>8524.3261597986238</v>
      </c>
      <c r="AP59" s="72">
        <f>+AP55+AP54+AP45</f>
        <v>8592.7005799841991</v>
      </c>
      <c r="AQ59" s="97">
        <f>SUM(AM59:AP59)</f>
        <v>33134.038243219817</v>
      </c>
      <c r="AR59" s="72">
        <f>+AR55+AR54+AR45</f>
        <v>8718.4761703225413</v>
      </c>
      <c r="AS59" s="72">
        <f>+AS55+AS54+AS45</f>
        <v>8312.5863674088378</v>
      </c>
      <c r="AT59" s="72">
        <f>+AT55+AT54+AT45</f>
        <v>9061.1740613008951</v>
      </c>
      <c r="AU59" s="72">
        <f>+AU55+AU54+AU45</f>
        <v>9130.6665526394045</v>
      </c>
      <c r="AV59" s="97">
        <f>SUM(AR59:AU59)</f>
        <v>35222.903151671679</v>
      </c>
    </row>
    <row r="60" spans="2:48" outlineLevel="1" x14ac:dyDescent="0.3">
      <c r="B60" s="607" t="s">
        <v>100</v>
      </c>
      <c r="C60" s="608"/>
      <c r="D60" s="105">
        <v>1351.3</v>
      </c>
      <c r="E60" s="105">
        <v>1220.5</v>
      </c>
      <c r="F60" s="105">
        <v>1324</v>
      </c>
      <c r="G60" s="105">
        <v>1278.9000000000001</v>
      </c>
      <c r="H60" s="129"/>
      <c r="I60" s="105">
        <v>1388.4</v>
      </c>
      <c r="J60" s="105">
        <v>1248.2</v>
      </c>
      <c r="K60" s="105">
        <v>805.6</v>
      </c>
      <c r="L60" s="48">
        <v>1158.3</v>
      </c>
      <c r="M60" s="76"/>
      <c r="N60" s="48">
        <v>1276.2</v>
      </c>
      <c r="O60" s="48">
        <v>1227.5999999999999</v>
      </c>
      <c r="P60" s="48">
        <v>1416.2</v>
      </c>
      <c r="Q60" s="105">
        <v>1580.3</v>
      </c>
      <c r="R60" s="76"/>
      <c r="S60" s="48">
        <v>1629.4</v>
      </c>
      <c r="T60" s="48">
        <v>1564</v>
      </c>
      <c r="U60" s="48">
        <v>1713.2</v>
      </c>
      <c r="V60" s="48">
        <v>1770.6</v>
      </c>
      <c r="W60" s="76">
        <f>SUM(S60:V60)</f>
        <v>6677.2000000000007</v>
      </c>
      <c r="X60" s="48">
        <f t="shared" ref="X60:AA60" si="123">X61*X59</f>
        <v>1841.4043448691943</v>
      </c>
      <c r="Y60" s="48">
        <f t="shared" si="123"/>
        <v>1740.3177556974863</v>
      </c>
      <c r="Z60" s="48">
        <f t="shared" si="123"/>
        <v>1864.9763157593911</v>
      </c>
      <c r="AA60" s="48">
        <f t="shared" si="123"/>
        <v>1832.1012281785752</v>
      </c>
      <c r="AB60" s="76">
        <f>SUM(X60:AA60)</f>
        <v>7278.7996445046465</v>
      </c>
      <c r="AC60" s="48">
        <f t="shared" ref="AC60:AF60" si="124">AC61*AC59</f>
        <v>1914.2991965530443</v>
      </c>
      <c r="AD60" s="48">
        <f t="shared" si="124"/>
        <v>1869.4538094979803</v>
      </c>
      <c r="AE60" s="48">
        <f t="shared" si="124"/>
        <v>2005.1755070361667</v>
      </c>
      <c r="AF60" s="48">
        <f t="shared" si="124"/>
        <v>2050.8149848332378</v>
      </c>
      <c r="AG60" s="76">
        <f>SUM(AC60:AF60)</f>
        <v>7839.743497920429</v>
      </c>
      <c r="AH60" s="48">
        <f t="shared" ref="AH60:AK60" si="125">AH61*AH59</f>
        <v>2101.9099026075091</v>
      </c>
      <c r="AI60" s="48">
        <f t="shared" si="125"/>
        <v>2055.3071074279178</v>
      </c>
      <c r="AJ60" s="48">
        <f t="shared" si="125"/>
        <v>2206.5881851119793</v>
      </c>
      <c r="AK60" s="48">
        <f t="shared" si="125"/>
        <v>2259.4981558339023</v>
      </c>
      <c r="AL60" s="76">
        <f>SUM(AH60:AK60)</f>
        <v>8623.3033509813085</v>
      </c>
      <c r="AM60" s="48">
        <f t="shared" ref="AM60:AP60" si="126">AM61*AM59</f>
        <v>2281.1020441793403</v>
      </c>
      <c r="AN60" s="48">
        <f t="shared" si="126"/>
        <v>2229.956888384479</v>
      </c>
      <c r="AO60" s="48">
        <f t="shared" si="126"/>
        <v>2393.4682460309577</v>
      </c>
      <c r="AP60" s="48">
        <f t="shared" si="126"/>
        <v>2450.0761163907682</v>
      </c>
      <c r="AQ60" s="76">
        <f>SUM(AM60:AP60)</f>
        <v>9354.6032949855453</v>
      </c>
      <c r="AR60" s="48">
        <f t="shared" ref="AR60:AU60" si="127">AR61*AR59</f>
        <v>2425.9064505027145</v>
      </c>
      <c r="AS60" s="48">
        <f t="shared" si="127"/>
        <v>2370.7419386792194</v>
      </c>
      <c r="AT60" s="48">
        <f t="shared" si="127"/>
        <v>2544.2049002962372</v>
      </c>
      <c r="AU60" s="48">
        <f t="shared" si="127"/>
        <v>2603.4688209036808</v>
      </c>
      <c r="AV60" s="76">
        <f>SUM(AR60:AU60)</f>
        <v>9944.3221103818523</v>
      </c>
    </row>
    <row r="61" spans="2:48" s="184" customFormat="1" outlineLevel="1" x14ac:dyDescent="0.3">
      <c r="B61" s="181" t="s">
        <v>151</v>
      </c>
      <c r="C61" s="185"/>
      <c r="D61" s="167">
        <f>D60/D59</f>
        <v>0.29296476964769647</v>
      </c>
      <c r="E61" s="167">
        <f t="shared" ref="E61:W61" si="128">E60/E59</f>
        <v>0.28290952921814511</v>
      </c>
      <c r="F61" s="167">
        <f t="shared" si="128"/>
        <v>0.28283950353549381</v>
      </c>
      <c r="G61" s="167">
        <f t="shared" si="128"/>
        <v>0.27494947757664362</v>
      </c>
      <c r="H61" s="186"/>
      <c r="I61" s="167">
        <f t="shared" si="128"/>
        <v>0.27707597437586068</v>
      </c>
      <c r="J61" s="167">
        <f t="shared" si="128"/>
        <v>0.28826789838337186</v>
      </c>
      <c r="K61" s="167">
        <f t="shared" si="128"/>
        <v>0.28715024059882377</v>
      </c>
      <c r="L61" s="187">
        <f t="shared" si="128"/>
        <v>0.27487600560051256</v>
      </c>
      <c r="M61" s="188"/>
      <c r="N61" s="187">
        <f t="shared" si="128"/>
        <v>0.27134716788569485</v>
      </c>
      <c r="O61" s="167">
        <f t="shared" si="128"/>
        <v>0.26317369120610556</v>
      </c>
      <c r="P61" s="167">
        <f t="shared" si="128"/>
        <v>0.26224469010980872</v>
      </c>
      <c r="Q61" s="167">
        <f t="shared" si="128"/>
        <v>0.27421481867083114</v>
      </c>
      <c r="R61" s="188"/>
      <c r="S61" s="187">
        <f t="shared" si="128"/>
        <v>0.28424890532595992</v>
      </c>
      <c r="T61" s="167">
        <f t="shared" si="128"/>
        <v>0.28719907449914611</v>
      </c>
      <c r="U61" s="167">
        <f t="shared" si="128"/>
        <v>0.28278093225934242</v>
      </c>
      <c r="V61" s="167">
        <f t="shared" si="128"/>
        <v>0.28863458528951486</v>
      </c>
      <c r="W61" s="188">
        <f t="shared" si="128"/>
        <v>0.28570695055368239</v>
      </c>
      <c r="X61" s="189">
        <f>S61+0.5%</f>
        <v>0.28924890532595993</v>
      </c>
      <c r="Y61" s="189">
        <f>T61+0.25%-0.25%</f>
        <v>0.28719907449914611</v>
      </c>
      <c r="Z61" s="189">
        <f>U61+0.25%-0.25%</f>
        <v>0.28278093225934242</v>
      </c>
      <c r="AA61" s="189">
        <f>V61-1%-0.25%</f>
        <v>0.27613458528951484</v>
      </c>
      <c r="AB61" s="188">
        <f t="shared" ref="AB61" si="129">AB60/AB59</f>
        <v>0.28371059413670657</v>
      </c>
      <c r="AC61" s="189">
        <f>X61-1%</f>
        <v>0.27924890532595992</v>
      </c>
      <c r="AD61" s="189">
        <f>Y61-0.1%</f>
        <v>0.28619907449914611</v>
      </c>
      <c r="AE61" s="189">
        <f>Z61-0.1%</f>
        <v>0.28178093225934242</v>
      </c>
      <c r="AF61" s="189">
        <f>AA61+1%</f>
        <v>0.28613458528951485</v>
      </c>
      <c r="AG61" s="188">
        <f t="shared" ref="AG61" si="130">AG60/AG59</f>
        <v>0.28332429880287768</v>
      </c>
      <c r="AH61" s="189">
        <f t="shared" ref="AH61:AK61" si="131">AC61-0.1%</f>
        <v>0.27824890532595992</v>
      </c>
      <c r="AI61" s="189">
        <f t="shared" si="131"/>
        <v>0.28519907449914611</v>
      </c>
      <c r="AJ61" s="189">
        <f t="shared" si="131"/>
        <v>0.28078093225934242</v>
      </c>
      <c r="AK61" s="189">
        <f t="shared" si="131"/>
        <v>0.28513458528951485</v>
      </c>
      <c r="AL61" s="188">
        <f t="shared" ref="AL61" si="132">AL60/AL59</f>
        <v>0.28232666157078434</v>
      </c>
      <c r="AM61" s="189">
        <f>AH61</f>
        <v>0.27824890532595992</v>
      </c>
      <c r="AN61" s="189">
        <f t="shared" ref="AN61:AP61" si="133">AI61</f>
        <v>0.28519907449914611</v>
      </c>
      <c r="AO61" s="189">
        <f t="shared" si="133"/>
        <v>0.28078093225934242</v>
      </c>
      <c r="AP61" s="189">
        <f t="shared" si="133"/>
        <v>0.28513458528951485</v>
      </c>
      <c r="AQ61" s="188">
        <f t="shared" ref="AQ61" si="134">AQ60/AQ59</f>
        <v>0.28232608492566608</v>
      </c>
      <c r="AR61" s="189">
        <f>AM61</f>
        <v>0.27824890532595992</v>
      </c>
      <c r="AS61" s="189">
        <f t="shared" ref="AS61:AU61" si="135">AN61</f>
        <v>0.28519907449914611</v>
      </c>
      <c r="AT61" s="189">
        <f t="shared" si="135"/>
        <v>0.28078093225934242</v>
      </c>
      <c r="AU61" s="189">
        <f t="shared" si="135"/>
        <v>0.28513458528951485</v>
      </c>
      <c r="AV61" s="188">
        <f t="shared" ref="AV61" si="136">AV60/AV59</f>
        <v>0.28232545362774547</v>
      </c>
    </row>
    <row r="62" spans="2:48" outlineLevel="1" x14ac:dyDescent="0.3">
      <c r="B62" s="180" t="s">
        <v>32</v>
      </c>
      <c r="C62" s="18"/>
      <c r="D62" s="48">
        <v>1983.1</v>
      </c>
      <c r="E62" s="48">
        <v>1935.7</v>
      </c>
      <c r="F62" s="48">
        <v>2034</v>
      </c>
      <c r="G62" s="48">
        <v>2112.1</v>
      </c>
      <c r="H62" s="49"/>
      <c r="I62" s="48">
        <v>2214.4</v>
      </c>
      <c r="J62" s="48">
        <v>2158.6</v>
      </c>
      <c r="K62" s="48">
        <v>2054.4</v>
      </c>
      <c r="L62" s="48">
        <v>2060.6999999999998</v>
      </c>
      <c r="M62" s="165"/>
      <c r="N62" s="48">
        <v>2238.8000000000002</v>
      </c>
      <c r="O62" s="48">
        <v>2203.1</v>
      </c>
      <c r="P62" s="48">
        <v>2346.8000000000002</v>
      </c>
      <c r="Q62" s="105">
        <v>2570.8000000000002</v>
      </c>
      <c r="R62" s="49"/>
      <c r="S62" s="48">
        <v>2702.4</v>
      </c>
      <c r="T62" s="48">
        <v>2625.4</v>
      </c>
      <c r="U62" s="48">
        <v>2670</v>
      </c>
      <c r="V62" s="48">
        <v>2862.2</v>
      </c>
      <c r="W62" s="49">
        <f>SUM(S62:V62)</f>
        <v>10860</v>
      </c>
      <c r="X62" s="48">
        <f>X63*X45</f>
        <v>3027.5342564514699</v>
      </c>
      <c r="Y62" s="48">
        <f>Y63*Y45</f>
        <v>2930.3507493015891</v>
      </c>
      <c r="Z62" s="48">
        <f>Z63*Z45</f>
        <v>2965.8799203509302</v>
      </c>
      <c r="AA62" s="48">
        <f>AA63*AA45</f>
        <v>3092.7288416559754</v>
      </c>
      <c r="AB62" s="49">
        <f>SUM(X62:AA62)</f>
        <v>12016.493767759965</v>
      </c>
      <c r="AC62" s="48">
        <f>AC63*AC45</f>
        <v>3193.5579061753456</v>
      </c>
      <c r="AD62" s="48">
        <f>AD63*AD45</f>
        <v>3148.3591194025844</v>
      </c>
      <c r="AE62" s="48">
        <f>AE63*AE45</f>
        <v>3189.188434881974</v>
      </c>
      <c r="AF62" s="48">
        <f>AF63*AF45</f>
        <v>3400.4173799485598</v>
      </c>
      <c r="AG62" s="49">
        <f>SUM(AC62:AF62)</f>
        <v>12931.522840408465</v>
      </c>
      <c r="AH62" s="48">
        <f>AH63*AH45</f>
        <v>3506.9718163203893</v>
      </c>
      <c r="AI62" s="48">
        <f>AI63*AI45</f>
        <v>3461.3979516939557</v>
      </c>
      <c r="AJ62" s="48">
        <f>AJ63*AJ45</f>
        <v>3509.3903766350572</v>
      </c>
      <c r="AK62" s="48">
        <f>AK63*AK45</f>
        <v>3745.9477800051409</v>
      </c>
      <c r="AL62" s="49">
        <f>SUM(AH62:AK62)</f>
        <v>14223.707924654544</v>
      </c>
      <c r="AM62" s="48">
        <f>AM63*AM45</f>
        <v>3801.4131531368362</v>
      </c>
      <c r="AN62" s="48">
        <f>AN63*AN45</f>
        <v>3754.4250027116809</v>
      </c>
      <c r="AO62" s="48">
        <f>AO63*AO45</f>
        <v>3808.8873789500949</v>
      </c>
      <c r="AP62" s="48">
        <f>AP63*AP45</f>
        <v>4068.1623487549723</v>
      </c>
      <c r="AQ62" s="49">
        <f>SUM(AM62:AP62)</f>
        <v>15432.887883553583</v>
      </c>
      <c r="AR62" s="48">
        <f>AR63*AR45</f>
        <v>4050.422776665293</v>
      </c>
      <c r="AS62" s="48">
        <f>AS63*AS45</f>
        <v>3999.217789912338</v>
      </c>
      <c r="AT62" s="48">
        <f>AT63*AT45</f>
        <v>4056.0953289562913</v>
      </c>
      <c r="AU62" s="48">
        <f>AU63*AU45</f>
        <v>4331.0052216834565</v>
      </c>
      <c r="AV62" s="49">
        <f>SUM(AR62:AU62)</f>
        <v>16436.741117217378</v>
      </c>
    </row>
    <row r="63" spans="2:48" s="184" customFormat="1" outlineLevel="1" x14ac:dyDescent="0.3">
      <c r="B63" s="181" t="s">
        <v>150</v>
      </c>
      <c r="C63" s="190"/>
      <c r="D63" s="187">
        <f>D62/D45</f>
        <v>0.48460485802257952</v>
      </c>
      <c r="E63" s="187">
        <f>E62/E45</f>
        <v>0.50283146300914383</v>
      </c>
      <c r="F63" s="187">
        <f>F62/F45</f>
        <v>0.48634689876141746</v>
      </c>
      <c r="G63" s="187">
        <f>G62/G45</f>
        <v>0.5072042649248355</v>
      </c>
      <c r="H63" s="188"/>
      <c r="I63" s="187">
        <f>I62/I45</f>
        <v>0.49528069783046302</v>
      </c>
      <c r="J63" s="187">
        <f>J62/J45</f>
        <v>0.55870172895744896</v>
      </c>
      <c r="K63" s="187">
        <f>K62/K45</f>
        <v>0.79971972439565575</v>
      </c>
      <c r="L63" s="187">
        <f>L62/L45</f>
        <v>0.53175238046086748</v>
      </c>
      <c r="M63" s="188"/>
      <c r="N63" s="187">
        <f>N62/N45</f>
        <v>0.52249813293502612</v>
      </c>
      <c r="O63" s="187">
        <f>O62/O45</f>
        <v>0.51614187986130633</v>
      </c>
      <c r="P63" s="187">
        <f>P62/P45</f>
        <v>0.47604365288652684</v>
      </c>
      <c r="Q63" s="167">
        <f>Q62/Q45</f>
        <v>0.48927545058333177</v>
      </c>
      <c r="R63" s="188"/>
      <c r="S63" s="187">
        <f>S62/S45</f>
        <v>0.51828695268598601</v>
      </c>
      <c r="T63" s="187">
        <f>T62/T45</f>
        <v>0.53185584344549564</v>
      </c>
      <c r="U63" s="187">
        <f>U62/U45</f>
        <v>0.48429224406878041</v>
      </c>
      <c r="V63" s="187">
        <f>V62/V45</f>
        <v>0.51566525538239794</v>
      </c>
      <c r="W63" s="188">
        <f>W62/W45</f>
        <v>0.51192367340589506</v>
      </c>
      <c r="X63" s="189">
        <f>S63+0.5%</f>
        <v>0.52328695268598602</v>
      </c>
      <c r="Y63" s="189">
        <f>T63+0.25%</f>
        <v>0.53435584344549558</v>
      </c>
      <c r="Z63" s="189">
        <f>U63+1%</f>
        <v>0.49429224406878042</v>
      </c>
      <c r="AA63" s="189">
        <f>V63</f>
        <v>0.51566525538239794</v>
      </c>
      <c r="AB63" s="188">
        <f>AB62/AB45</f>
        <v>0.51645390837799754</v>
      </c>
      <c r="AC63" s="189">
        <f>X63-1%</f>
        <v>0.51328695268598601</v>
      </c>
      <c r="AD63" s="189">
        <f>Y63-0.1%</f>
        <v>0.53335584344549558</v>
      </c>
      <c r="AE63" s="189">
        <f>Z63-0.1%</f>
        <v>0.49329224406878042</v>
      </c>
      <c r="AF63" s="189">
        <f>AA63+1%</f>
        <v>0.52566525538239794</v>
      </c>
      <c r="AG63" s="188">
        <f>AG62/AG45</f>
        <v>0.51605126422799641</v>
      </c>
      <c r="AH63" s="189">
        <f t="shared" ref="AH63:AK63" si="137">AC63-0.1%</f>
        <v>0.51228695268598601</v>
      </c>
      <c r="AI63" s="189">
        <f t="shared" si="137"/>
        <v>0.53235584344549558</v>
      </c>
      <c r="AJ63" s="189">
        <f t="shared" si="137"/>
        <v>0.49229224406878042</v>
      </c>
      <c r="AK63" s="189">
        <f t="shared" si="137"/>
        <v>0.52466525538239794</v>
      </c>
      <c r="AL63" s="188">
        <f>AL62/AL45</f>
        <v>0.51505092572776157</v>
      </c>
      <c r="AM63" s="189">
        <f>AH63</f>
        <v>0.51228695268598601</v>
      </c>
      <c r="AN63" s="189">
        <f t="shared" ref="AN63:AP63" si="138">AI63</f>
        <v>0.53235584344549558</v>
      </c>
      <c r="AO63" s="189">
        <f t="shared" si="138"/>
        <v>0.49229224406878042</v>
      </c>
      <c r="AP63" s="189">
        <f t="shared" si="138"/>
        <v>0.52466525538239794</v>
      </c>
      <c r="AQ63" s="188">
        <f>AQ62/AQ45</f>
        <v>0.51505077011071498</v>
      </c>
      <c r="AR63" s="189">
        <f>AM63</f>
        <v>0.51228695268598601</v>
      </c>
      <c r="AS63" s="189">
        <f t="shared" ref="AS63:AU63" si="139">AN63</f>
        <v>0.53235584344549558</v>
      </c>
      <c r="AT63" s="189">
        <f t="shared" si="139"/>
        <v>0.49229224406878042</v>
      </c>
      <c r="AU63" s="189">
        <f t="shared" si="139"/>
        <v>0.52466525538239794</v>
      </c>
      <c r="AV63" s="188">
        <f>AV62/AV45</f>
        <v>0.51505083903432713</v>
      </c>
    </row>
    <row r="64" spans="2:48" outlineLevel="1" x14ac:dyDescent="0.3">
      <c r="B64" s="180" t="s">
        <v>33</v>
      </c>
      <c r="C64" s="18"/>
      <c r="D64" s="48">
        <v>44.5</v>
      </c>
      <c r="E64" s="48">
        <v>39.4</v>
      </c>
      <c r="F64" s="48">
        <v>41.7</v>
      </c>
      <c r="G64" s="48">
        <v>34.200000000000003</v>
      </c>
      <c r="H64" s="49"/>
      <c r="I64" s="48">
        <v>42.5</v>
      </c>
      <c r="J64" s="48">
        <v>41.8</v>
      </c>
      <c r="K64" s="48">
        <v>40.700000000000003</v>
      </c>
      <c r="L64" s="48">
        <v>38</v>
      </c>
      <c r="M64" s="49"/>
      <c r="N64" s="48">
        <v>42.8</v>
      </c>
      <c r="O64" s="48">
        <v>41.9</v>
      </c>
      <c r="P64" s="48">
        <v>39.700000000000003</v>
      </c>
      <c r="Q64" s="105">
        <v>47.3</v>
      </c>
      <c r="R64" s="49"/>
      <c r="S64" s="48">
        <v>48.2</v>
      </c>
      <c r="T64" s="48">
        <v>47.1</v>
      </c>
      <c r="U64" s="48">
        <v>55.4</v>
      </c>
      <c r="V64" s="48">
        <v>51.4</v>
      </c>
      <c r="W64" s="49">
        <f>SUM(S64:V64)</f>
        <v>202.10000000000002</v>
      </c>
      <c r="X64" s="48">
        <f>X59*X65</f>
        <v>53.529793329556938</v>
      </c>
      <c r="Y64" s="48">
        <f>Y59*Y65</f>
        <v>52.409824995749105</v>
      </c>
      <c r="Z64" s="48">
        <f t="shared" ref="Z64:AA64" si="140">Z59*Z65</f>
        <v>60.308013012532257</v>
      </c>
      <c r="AA64" s="48">
        <f t="shared" si="140"/>
        <v>55.592946023648565</v>
      </c>
      <c r="AB64" s="49">
        <f>SUM(X64:AA64)</f>
        <v>221.84057736148685</v>
      </c>
      <c r="AC64" s="48">
        <f>AC59*AC65</f>
        <v>57.641658068358289</v>
      </c>
      <c r="AD64" s="48">
        <f>AD59*AD65</f>
        <v>56.49548073323777</v>
      </c>
      <c r="AE64" s="48">
        <f t="shared" ref="AE64:AF64" si="141">AE59*AE65</f>
        <v>65.071768557337961</v>
      </c>
      <c r="AF64" s="48">
        <f t="shared" si="141"/>
        <v>60.054721238758631</v>
      </c>
      <c r="AG64" s="49">
        <f>SUM(AC64:AF64)</f>
        <v>239.26362859769267</v>
      </c>
      <c r="AH64" s="48">
        <f>AH59*AH65</f>
        <v>63.518284321203232</v>
      </c>
      <c r="AI64" s="48">
        <f>AI59*AI65</f>
        <v>62.329810523137233</v>
      </c>
      <c r="AJ64" s="48">
        <f t="shared" ref="AJ64:AK64" si="142">AJ59*AJ65</f>
        <v>71.863025544666868</v>
      </c>
      <c r="AK64" s="48">
        <f t="shared" si="142"/>
        <v>66.397713016727067</v>
      </c>
      <c r="AL64" s="49">
        <f>SUM(AH64:AK64)</f>
        <v>264.1088334057344</v>
      </c>
      <c r="AM64" s="48">
        <f>AM59*AM65</f>
        <v>68.933348678797742</v>
      </c>
      <c r="AN64" s="48">
        <f>AN59*AN65</f>
        <v>67.626287976841382</v>
      </c>
      <c r="AO64" s="48">
        <f t="shared" ref="AO64:AP64" si="143">AO59*AO65</f>
        <v>77.949238949696905</v>
      </c>
      <c r="AP64" s="48">
        <f t="shared" si="143"/>
        <v>71.998045417838398</v>
      </c>
      <c r="AQ64" s="49">
        <f>SUM(AM64:AP64)</f>
        <v>286.50692102317441</v>
      </c>
      <c r="AR64" s="48">
        <f>AR59*AR65</f>
        <v>73.309239120343761</v>
      </c>
      <c r="AS64" s="48">
        <f>AS59*AS65</f>
        <v>71.8957742631721</v>
      </c>
      <c r="AT64" s="48">
        <f t="shared" ref="AT64:AU64" si="144">AT59*AT65</f>
        <v>82.858352534674097</v>
      </c>
      <c r="AU64" s="48">
        <f t="shared" si="144"/>
        <v>76.505650235665328</v>
      </c>
      <c r="AV64" s="49">
        <f>SUM(AR64:AU64)</f>
        <v>304.56901615385527</v>
      </c>
    </row>
    <row r="65" spans="2:48" s="184" customFormat="1" outlineLevel="1" x14ac:dyDescent="0.3">
      <c r="B65" s="181" t="s">
        <v>152</v>
      </c>
      <c r="C65" s="190"/>
      <c r="D65" s="187">
        <f>D64/D59</f>
        <v>9.6476964769647705E-3</v>
      </c>
      <c r="E65" s="187">
        <f t="shared" ref="E65:W65" si="145">E64/E59</f>
        <v>9.1328434667717479E-3</v>
      </c>
      <c r="F65" s="187">
        <f t="shared" si="145"/>
        <v>8.908162611352034E-3</v>
      </c>
      <c r="G65" s="187">
        <f t="shared" si="145"/>
        <v>7.352625016124179E-3</v>
      </c>
      <c r="H65" s="188"/>
      <c r="I65" s="187">
        <f t="shared" si="145"/>
        <v>8.4815103075295863E-3</v>
      </c>
      <c r="J65" s="187">
        <f t="shared" si="145"/>
        <v>9.6535796766743648E-3</v>
      </c>
      <c r="K65" s="187">
        <f t="shared" si="145"/>
        <v>1.4507217964712174E-2</v>
      </c>
      <c r="L65" s="187">
        <f t="shared" si="145"/>
        <v>9.017774508175324E-3</v>
      </c>
      <c r="M65" s="188"/>
      <c r="N65" s="187">
        <f t="shared" si="145"/>
        <v>9.1001871066507915E-3</v>
      </c>
      <c r="O65" s="187">
        <f t="shared" si="145"/>
        <v>8.982549414740814E-3</v>
      </c>
      <c r="P65" s="187">
        <f t="shared" si="145"/>
        <v>7.3514434383275002E-3</v>
      </c>
      <c r="Q65" s="167">
        <f t="shared" si="145"/>
        <v>8.2075307999305916E-3</v>
      </c>
      <c r="R65" s="188"/>
      <c r="S65" s="187">
        <f t="shared" si="145"/>
        <v>8.4084922282504412E-3</v>
      </c>
      <c r="T65" s="187">
        <f t="shared" si="145"/>
        <v>8.6490258368988378E-3</v>
      </c>
      <c r="U65" s="187">
        <f t="shared" si="145"/>
        <v>9.1443285355869534E-3</v>
      </c>
      <c r="V65" s="187">
        <f t="shared" si="145"/>
        <v>8.3789775691184148E-3</v>
      </c>
      <c r="W65" s="188">
        <f t="shared" si="145"/>
        <v>8.6475430879559105E-3</v>
      </c>
      <c r="X65" s="189">
        <f>S65</f>
        <v>8.4084922282504412E-3</v>
      </c>
      <c r="Y65" s="189">
        <f t="shared" ref="Y65:AA65" si="146">T65</f>
        <v>8.6490258368988378E-3</v>
      </c>
      <c r="Z65" s="189">
        <f t="shared" si="146"/>
        <v>9.1443285355869534E-3</v>
      </c>
      <c r="AA65" s="189">
        <f t="shared" si="146"/>
        <v>8.3789775691184148E-3</v>
      </c>
      <c r="AB65" s="188">
        <f t="shared" ref="AB65" si="147">AB64/AB59</f>
        <v>8.646827097978281E-3</v>
      </c>
      <c r="AC65" s="189">
        <f>X65</f>
        <v>8.4084922282504412E-3</v>
      </c>
      <c r="AD65" s="189">
        <f t="shared" ref="AD65:AF65" si="148">Y65</f>
        <v>8.6490258368988378E-3</v>
      </c>
      <c r="AE65" s="189">
        <f t="shared" si="148"/>
        <v>9.1443285355869534E-3</v>
      </c>
      <c r="AF65" s="189">
        <f t="shared" si="148"/>
        <v>8.3789775691184148E-3</v>
      </c>
      <c r="AG65" s="188">
        <f t="shared" ref="AG65" si="149">AG64/AG59</f>
        <v>8.6468645076787521E-3</v>
      </c>
      <c r="AH65" s="189">
        <f>AC65</f>
        <v>8.4084922282504412E-3</v>
      </c>
      <c r="AI65" s="189">
        <f t="shared" ref="AI65:AK65" si="150">AD65</f>
        <v>8.6490258368988378E-3</v>
      </c>
      <c r="AJ65" s="189">
        <f t="shared" si="150"/>
        <v>9.1443285355869534E-3</v>
      </c>
      <c r="AK65" s="189">
        <f t="shared" si="150"/>
        <v>8.3789775691184148E-3</v>
      </c>
      <c r="AL65" s="188">
        <f t="shared" ref="AL65" si="151">AL64/AL59</f>
        <v>8.6469143194771343E-3</v>
      </c>
      <c r="AM65" s="189">
        <f>AH65</f>
        <v>8.4084922282504412E-3</v>
      </c>
      <c r="AN65" s="189">
        <f t="shared" ref="AN65:AP65" si="152">AI65</f>
        <v>8.6490258368988378E-3</v>
      </c>
      <c r="AO65" s="189">
        <f t="shared" si="152"/>
        <v>9.1443285355869534E-3</v>
      </c>
      <c r="AP65" s="189">
        <f t="shared" si="152"/>
        <v>8.3789775691184148E-3</v>
      </c>
      <c r="AQ65" s="188">
        <f t="shared" ref="AQ65" si="153">AQ64/AQ59</f>
        <v>8.6469062092605631E-3</v>
      </c>
      <c r="AR65" s="189">
        <f>AM65</f>
        <v>8.4084922282504412E-3</v>
      </c>
      <c r="AS65" s="189">
        <f t="shared" ref="AS65:AU65" si="154">AN65</f>
        <v>8.6490258368988378E-3</v>
      </c>
      <c r="AT65" s="189">
        <f t="shared" si="154"/>
        <v>9.1443285355869534E-3</v>
      </c>
      <c r="AU65" s="189">
        <f t="shared" si="154"/>
        <v>8.3789775691184148E-3</v>
      </c>
      <c r="AV65" s="188">
        <f t="shared" ref="AV65" si="155">AV64/AV59</f>
        <v>8.6469026940330564E-3</v>
      </c>
    </row>
    <row r="66" spans="2:48" outlineLevel="1" x14ac:dyDescent="0.3">
      <c r="B66" s="180" t="s">
        <v>34</v>
      </c>
      <c r="C66" s="18"/>
      <c r="D66" s="358">
        <v>166.9</v>
      </c>
      <c r="E66" s="358">
        <v>173</v>
      </c>
      <c r="F66" s="358">
        <v>175.6</v>
      </c>
      <c r="G66" s="358">
        <v>180.6</v>
      </c>
      <c r="H66" s="130"/>
      <c r="I66" s="358">
        <v>189.2</v>
      </c>
      <c r="J66" s="358">
        <v>191.5</v>
      </c>
      <c r="K66" s="358">
        <v>191.3</v>
      </c>
      <c r="L66" s="358">
        <v>190.1</v>
      </c>
      <c r="M66" s="359"/>
      <c r="N66" s="358">
        <v>188.9</v>
      </c>
      <c r="O66" s="358">
        <v>186</v>
      </c>
      <c r="P66" s="358">
        <v>188.9</v>
      </c>
      <c r="Q66" s="358">
        <v>189.9</v>
      </c>
      <c r="R66" s="170"/>
      <c r="S66" s="358">
        <v>200</v>
      </c>
      <c r="T66" s="358">
        <v>202</v>
      </c>
      <c r="U66" s="358">
        <v>201.2</v>
      </c>
      <c r="V66" s="358">
        <v>205.2</v>
      </c>
      <c r="W66" s="170">
        <f t="shared" ref="W66:W67" si="156">SUM(S66:V66)</f>
        <v>808.40000000000009</v>
      </c>
      <c r="X66" s="358">
        <f>(V66/(V66+V99+V114+V127))*'CFS (F4Q2022)'!X7*0.95</f>
        <v>212.7175239465667</v>
      </c>
      <c r="Y66" s="358">
        <f>(X66/(X66+X99+X114+X127))*'CFS (F4Q2022)'!Y7*0.95</f>
        <v>218.73288085390695</v>
      </c>
      <c r="Z66" s="358">
        <f>(Y66/(Y66+Y99+Y114+Y127))*'CFS (F4Q2022)'!Z7*0.95</f>
        <v>223.13665036080616</v>
      </c>
      <c r="AA66" s="358">
        <f>(Z66/(Z66+Z99+Z114+Z127))*'CFS (F4Q2022)'!AA7*0.95</f>
        <v>228.60594584374309</v>
      </c>
      <c r="AB66" s="170">
        <f t="shared" ref="AB66:AB67" si="157">SUM(X66:AA66)</f>
        <v>883.19300100502278</v>
      </c>
      <c r="AC66" s="358">
        <f>(AA66/(AA66+AA99+AA114+AA127))*'CFS (F4Q2022)'!AC7*0.95</f>
        <v>239.07337515644468</v>
      </c>
      <c r="AD66" s="358">
        <f>(AC66/(AC66+AC99+AC114+AC127))*'CFS (F4Q2022)'!AD7*0.95</f>
        <v>246.21992982226269</v>
      </c>
      <c r="AE66" s="358">
        <f>(AD66/(AD66+AD99+AD114+AD127))*'CFS (F4Q2022)'!AE7*0.95</f>
        <v>251.87089078989706</v>
      </c>
      <c r="AF66" s="358">
        <f>(AE66/(AE66+AE99+AE114+AE127))*'CFS (F4Q2022)'!AF7*0.95</f>
        <v>259.48882452005785</v>
      </c>
      <c r="AG66" s="170">
        <f t="shared" ref="AG66:AG67" si="158">SUM(AC66:AF66)</f>
        <v>996.65302028866233</v>
      </c>
      <c r="AH66" s="358">
        <f>(AF66/(AF66+AF99+AF114+AF127))*'CFS (F4Q2022)'!AH7*0.95</f>
        <v>267.99811159663273</v>
      </c>
      <c r="AI66" s="358">
        <f>(AH66/(AH66+AH99+AH114+AH127))*'CFS (F4Q2022)'!AI7*0.95</f>
        <v>273.80446630899928</v>
      </c>
      <c r="AJ66" s="358">
        <f>(AI66/(AI66+AI99+AI114+AI127))*'CFS (F4Q2022)'!AJ7*0.95</f>
        <v>278.17407193942466</v>
      </c>
      <c r="AK66" s="358">
        <f>(AJ66/(AJ66+AJ99+AJ114+AJ127))*'CFS (F4Q2022)'!AK7*0.95</f>
        <v>284.3710573463926</v>
      </c>
      <c r="AL66" s="170">
        <f t="shared" ref="AL66:AL67" si="159">SUM(AH66:AK66)</f>
        <v>1104.3477071914494</v>
      </c>
      <c r="AM66" s="358">
        <f>(AK66/(AK66+AK99+AK114+AK127))*'CFS (F4Q2022)'!AM7*0.95</f>
        <v>291.060285913565</v>
      </c>
      <c r="AN66" s="358">
        <f>(AM66/(AM66+AM99+AM114+AM127))*'CFS (F4Q2022)'!AN7*0.95</f>
        <v>297.8157248969892</v>
      </c>
      <c r="AO66" s="358">
        <f>(AN66/(AN66+AN99+AN114+AN127))*'CFS (F4Q2022)'!AO7*0.95</f>
        <v>302.77606335179252</v>
      </c>
      <c r="AP66" s="358">
        <f>(AO66/(AO66+AO99+AO114+AO127))*'CFS (F4Q2022)'!AP7*0.95</f>
        <v>309.54357503729329</v>
      </c>
      <c r="AQ66" s="170">
        <f t="shared" ref="AQ66:AQ67" si="160">SUM(AM66:AP66)</f>
        <v>1201.19564919964</v>
      </c>
      <c r="AR66" s="358">
        <f>(AP66/(AP66+AP99+AP114+AP127))*'CFS (F4Q2022)'!AR7*0.95</f>
        <v>316.71796569150666</v>
      </c>
      <c r="AS66" s="358">
        <f>(AR66/(AR66+AR99+AR114+AR127))*'CFS (F4Q2022)'!AS7*0.95</f>
        <v>323.55127598715245</v>
      </c>
      <c r="AT66" s="358">
        <f>(AS66/(AS66+AS99+AS114+AS127))*'CFS (F4Q2022)'!AT7*0.95</f>
        <v>328.44688593417447</v>
      </c>
      <c r="AU66" s="358">
        <f>(AT66/(AT66+AT99+AT114+AT127))*'CFS (F4Q2022)'!AU7*0.95</f>
        <v>335.26508343305233</v>
      </c>
      <c r="AV66" s="170">
        <f t="shared" ref="AV66:AV67" si="161">SUM(AR66:AU66)</f>
        <v>1303.9812110458859</v>
      </c>
    </row>
    <row r="67" spans="2:48" outlineLevel="1" x14ac:dyDescent="0.3">
      <c r="B67" s="180" t="s">
        <v>35</v>
      </c>
      <c r="C67" s="18"/>
      <c r="D67" s="48">
        <v>75.099999999999994</v>
      </c>
      <c r="E67" s="48">
        <v>70.900000000000006</v>
      </c>
      <c r="F67" s="48">
        <v>72</v>
      </c>
      <c r="G67" s="48">
        <v>106</v>
      </c>
      <c r="H67" s="49"/>
      <c r="I67" s="48">
        <v>72.400000000000006</v>
      </c>
      <c r="J67" s="48">
        <v>68.2</v>
      </c>
      <c r="K67" s="48">
        <v>62.2</v>
      </c>
      <c r="L67" s="48">
        <v>65.2</v>
      </c>
      <c r="M67" s="165"/>
      <c r="N67" s="48">
        <v>70.8</v>
      </c>
      <c r="O67" s="48">
        <v>77.7</v>
      </c>
      <c r="P67" s="48">
        <v>73.2</v>
      </c>
      <c r="Q67" s="105">
        <v>78.400000000000006</v>
      </c>
      <c r="R67" s="49"/>
      <c r="S67" s="48">
        <v>76.7</v>
      </c>
      <c r="T67" s="48">
        <v>71.3</v>
      </c>
      <c r="U67" s="48">
        <v>76.5</v>
      </c>
      <c r="V67" s="48">
        <v>78.8</v>
      </c>
      <c r="W67" s="49">
        <f t="shared" si="156"/>
        <v>303.3</v>
      </c>
      <c r="X67" s="48">
        <f>X68*X59</f>
        <v>117.0120190848986</v>
      </c>
      <c r="Y67" s="48">
        <f>Y68*Y59</f>
        <v>94.487069684613346</v>
      </c>
      <c r="Z67" s="48">
        <f t="shared" ref="Z67:AA67" si="162">Z68*Z59</f>
        <v>99.765129251742451</v>
      </c>
      <c r="AA67" s="48">
        <f t="shared" si="162"/>
        <v>18.879970151533257</v>
      </c>
      <c r="AB67" s="49">
        <f t="shared" si="157"/>
        <v>330.14418817278766</v>
      </c>
      <c r="AC67" s="48">
        <f>AC68*AC59</f>
        <v>105.43472462517802</v>
      </c>
      <c r="AD67" s="48">
        <f>AD68*AD59</f>
        <v>114.91690559894525</v>
      </c>
      <c r="AE67" s="48">
        <f t="shared" ref="AE67:AF67" si="163">AE68*AE59</f>
        <v>100.52953968552382</v>
      </c>
      <c r="AF67" s="48">
        <f t="shared" si="163"/>
        <v>13.227928637679566</v>
      </c>
      <c r="AG67" s="49">
        <f t="shared" si="158"/>
        <v>334.1090985473266</v>
      </c>
      <c r="AH67" s="48">
        <f>AH68*AH59</f>
        <v>108.62983959856267</v>
      </c>
      <c r="AI67" s="48">
        <f>AI68*AI59</f>
        <v>119.57788879788014</v>
      </c>
      <c r="AJ67" s="48">
        <f t="shared" ref="AJ67:AK67" si="164">AJ68*AJ59</f>
        <v>103.16261608568449</v>
      </c>
      <c r="AK67" s="48">
        <f t="shared" si="164"/>
        <v>6.7007435206297012</v>
      </c>
      <c r="AL67" s="49">
        <f t="shared" si="159"/>
        <v>338.07108800275699</v>
      </c>
      <c r="AM67" s="48">
        <f>AM68*AM59</f>
        <v>117.89075681110494</v>
      </c>
      <c r="AN67" s="48">
        <f>AN68*AN59</f>
        <v>129.7390233603607</v>
      </c>
      <c r="AO67" s="48">
        <f t="shared" ref="AO67:AP67" si="165">AO68*AO59</f>
        <v>111.89965007722448</v>
      </c>
      <c r="AP67" s="48">
        <f t="shared" si="165"/>
        <v>7.2659194784321279</v>
      </c>
      <c r="AQ67" s="49">
        <f t="shared" si="160"/>
        <v>366.79534972712224</v>
      </c>
      <c r="AR67" s="48">
        <f>AR68*AR59</f>
        <v>125.37446456306871</v>
      </c>
      <c r="AS67" s="48">
        <f>AS68*AS59</f>
        <v>137.92990589451205</v>
      </c>
      <c r="AT67" s="48">
        <f t="shared" ref="AT67:AU67" si="166">AT68*AT59</f>
        <v>118.94690415885567</v>
      </c>
      <c r="AU67" s="48">
        <f t="shared" si="166"/>
        <v>7.7208192393471444</v>
      </c>
      <c r="AV67" s="49">
        <f t="shared" si="161"/>
        <v>389.97209385578356</v>
      </c>
    </row>
    <row r="68" spans="2:48" s="184" customFormat="1" outlineLevel="1" x14ac:dyDescent="0.3">
      <c r="B68" s="181" t="s">
        <v>153</v>
      </c>
      <c r="C68" s="190"/>
      <c r="D68" s="187">
        <f>D67/D59</f>
        <v>1.6281842818428184E-2</v>
      </c>
      <c r="E68" s="187">
        <f t="shared" ref="E68:Q68" si="167">E67/E59</f>
        <v>1.6434482279038501E-2</v>
      </c>
      <c r="F68" s="187">
        <f t="shared" si="167"/>
        <v>1.5381000192262503E-2</v>
      </c>
      <c r="G68" s="187">
        <f t="shared" si="167"/>
        <v>2.2788837769273769E-2</v>
      </c>
      <c r="H68" s="188"/>
      <c r="I68" s="187">
        <f t="shared" si="167"/>
        <v>1.4448502265062167E-2</v>
      </c>
      <c r="J68" s="187">
        <f t="shared" si="167"/>
        <v>1.5750577367205542E-2</v>
      </c>
      <c r="K68" s="187">
        <f t="shared" si="167"/>
        <v>2.2170736054179293E-2</v>
      </c>
      <c r="L68" s="187">
        <f t="shared" si="167"/>
        <v>1.5472602577185029E-2</v>
      </c>
      <c r="M68" s="188"/>
      <c r="N68" s="187">
        <f t="shared" si="167"/>
        <v>1.5053580540908319E-2</v>
      </c>
      <c r="O68" s="187">
        <f t="shared" si="167"/>
        <v>1.6657376838314114E-2</v>
      </c>
      <c r="P68" s="187">
        <f t="shared" si="167"/>
        <v>1.3554802510971613E-2</v>
      </c>
      <c r="Q68" s="167">
        <f t="shared" si="167"/>
        <v>1.3604025681068889E-2</v>
      </c>
      <c r="R68" s="188"/>
      <c r="S68" s="187">
        <f t="shared" ref="S68:W68" si="168">S67/S59</f>
        <v>1.3380318545784415E-2</v>
      </c>
      <c r="T68" s="187">
        <f t="shared" si="168"/>
        <v>1.3092898984519897E-2</v>
      </c>
      <c r="U68" s="187">
        <f t="shared" si="168"/>
        <v>1.2627096263039747E-2</v>
      </c>
      <c r="V68" s="187">
        <f t="shared" si="168"/>
        <v>1.2845592070944184E-2</v>
      </c>
      <c r="W68" s="188">
        <f t="shared" si="168"/>
        <v>1.2977732897461789E-2</v>
      </c>
      <c r="X68" s="189">
        <f>S68+0.5%</f>
        <v>1.8380318545784414E-2</v>
      </c>
      <c r="Y68" s="189">
        <f>T68+0.25%</f>
        <v>1.5592898984519897E-2</v>
      </c>
      <c r="Z68" s="189">
        <f>U68+0.25%</f>
        <v>1.5127096263039748E-2</v>
      </c>
      <c r="AA68" s="189">
        <f>V68-1%</f>
        <v>2.8455920709441838E-3</v>
      </c>
      <c r="AB68" s="188">
        <f t="shared" ref="AB68" si="169">AB67/AB59</f>
        <v>1.2868248660752439E-2</v>
      </c>
      <c r="AC68" s="189">
        <f>X68-0.3%</f>
        <v>1.5380318545784415E-2</v>
      </c>
      <c r="AD68" s="189">
        <f>Y68+0.2%</f>
        <v>1.7592898984519899E-2</v>
      </c>
      <c r="AE68" s="189">
        <f>Z68-0.1%</f>
        <v>1.4127096263039748E-2</v>
      </c>
      <c r="AF68" s="189">
        <f>AA68-0.1%</f>
        <v>1.8455920709441838E-3</v>
      </c>
      <c r="AG68" s="188">
        <f t="shared" ref="AG68" si="170">AG67/AG59</f>
        <v>1.2074531021926E-2</v>
      </c>
      <c r="AH68" s="189">
        <f t="shared" ref="AH68:AK68" si="171">AC68-0.1%</f>
        <v>1.4380318545784414E-2</v>
      </c>
      <c r="AI68" s="189">
        <f t="shared" si="171"/>
        <v>1.6592898984519898E-2</v>
      </c>
      <c r="AJ68" s="189">
        <f t="shared" si="171"/>
        <v>1.3127096263039748E-2</v>
      </c>
      <c r="AK68" s="189">
        <f t="shared" si="171"/>
        <v>8.4559207094418373E-4</v>
      </c>
      <c r="AL68" s="188">
        <f t="shared" ref="AL68" si="172">AL67/AL59</f>
        <v>1.1068436046443812E-2</v>
      </c>
      <c r="AM68" s="189">
        <f>AH68</f>
        <v>1.4380318545784414E-2</v>
      </c>
      <c r="AN68" s="189">
        <f t="shared" ref="AN68:AP68" si="173">AI68</f>
        <v>1.6592898984519898E-2</v>
      </c>
      <c r="AO68" s="189">
        <f t="shared" si="173"/>
        <v>1.3127096263039748E-2</v>
      </c>
      <c r="AP68" s="189">
        <f t="shared" si="173"/>
        <v>8.4559207094418373E-4</v>
      </c>
      <c r="AQ68" s="188">
        <f t="shared" ref="AQ68" si="174">AQ67/AQ59</f>
        <v>1.1070046670275066E-2</v>
      </c>
      <c r="AR68" s="189">
        <f>AM68</f>
        <v>1.4380318545784414E-2</v>
      </c>
      <c r="AS68" s="189">
        <f t="shared" ref="AS68:AU68" si="175">AN68</f>
        <v>1.6592898984519898E-2</v>
      </c>
      <c r="AT68" s="189">
        <f t="shared" si="175"/>
        <v>1.3127096263039748E-2</v>
      </c>
      <c r="AU68" s="189">
        <f t="shared" si="175"/>
        <v>8.4559207094418373E-4</v>
      </c>
      <c r="AV68" s="188">
        <f t="shared" ref="AV68" si="176">AV67/AV59</f>
        <v>1.1071548877630647E-2</v>
      </c>
    </row>
    <row r="69" spans="2:48" ht="16.2" outlineLevel="1" x14ac:dyDescent="0.45">
      <c r="B69" s="180" t="s">
        <v>42</v>
      </c>
      <c r="C69" s="18"/>
      <c r="D69" s="119">
        <v>22.9</v>
      </c>
      <c r="E69" s="119">
        <v>18.2</v>
      </c>
      <c r="F69" s="119">
        <v>15.1</v>
      </c>
      <c r="G69" s="119">
        <v>0.7</v>
      </c>
      <c r="H69" s="131"/>
      <c r="I69" s="119">
        <v>5.2</v>
      </c>
      <c r="J69" s="119">
        <v>0.5</v>
      </c>
      <c r="K69" s="119">
        <v>56.2</v>
      </c>
      <c r="L69" s="119">
        <v>195.6</v>
      </c>
      <c r="M69" s="357"/>
      <c r="N69" s="119">
        <v>72.2</v>
      </c>
      <c r="O69" s="119">
        <v>23</v>
      </c>
      <c r="P69" s="119">
        <v>19.8</v>
      </c>
      <c r="Q69" s="119">
        <v>40.5</v>
      </c>
      <c r="R69" s="173"/>
      <c r="S69" s="119">
        <v>-7.5</v>
      </c>
      <c r="T69" s="119">
        <v>4.4000000000000004</v>
      </c>
      <c r="U69" s="119">
        <v>12</v>
      </c>
      <c r="V69" s="119">
        <v>24.4</v>
      </c>
      <c r="W69" s="173">
        <f>SUM(S69:V69)</f>
        <v>33.299999999999997</v>
      </c>
      <c r="X69" s="119">
        <f>IFERROR((X163*(V69/V163)),0)</f>
        <v>34.757834757834758</v>
      </c>
      <c r="Y69" s="119">
        <f t="shared" ref="Y69:AA69" si="177">IFERROR((Y163*(X69/X163)),0)</f>
        <v>0</v>
      </c>
      <c r="Z69" s="119">
        <f t="shared" si="177"/>
        <v>0</v>
      </c>
      <c r="AA69" s="119">
        <f t="shared" si="177"/>
        <v>0</v>
      </c>
      <c r="AB69" s="173">
        <f>SUM(X69:AA69)</f>
        <v>34.757834757834758</v>
      </c>
      <c r="AC69" s="119">
        <f>IFERROR((AC163*(AA69/AA163)),0)</f>
        <v>0</v>
      </c>
      <c r="AD69" s="119">
        <f t="shared" ref="AD69:AF69" si="178">IFERROR((AD163*(AC69/AC163)),0)</f>
        <v>0</v>
      </c>
      <c r="AE69" s="119">
        <f t="shared" si="178"/>
        <v>0</v>
      </c>
      <c r="AF69" s="119">
        <f t="shared" si="178"/>
        <v>0</v>
      </c>
      <c r="AG69" s="173">
        <f>SUM(AC69:AF69)</f>
        <v>0</v>
      </c>
      <c r="AH69" s="119">
        <f>IFERROR((AH163*(AF69/AF163)),0)</f>
        <v>0</v>
      </c>
      <c r="AI69" s="119">
        <f t="shared" ref="AI69:AK69" si="179">IFERROR((AI163*(AH69/AH163)),0)</f>
        <v>0</v>
      </c>
      <c r="AJ69" s="119">
        <f t="shared" si="179"/>
        <v>0</v>
      </c>
      <c r="AK69" s="119">
        <f t="shared" si="179"/>
        <v>0</v>
      </c>
      <c r="AL69" s="173">
        <f>SUM(AH69:AK69)</f>
        <v>0</v>
      </c>
      <c r="AM69" s="119">
        <f>IFERROR((AM163*(AK69/AK163)),0)</f>
        <v>0</v>
      </c>
      <c r="AN69" s="119">
        <f t="shared" ref="AN69:AP69" si="180">IFERROR((AN163*(AM69/AM163)),0)</f>
        <v>0</v>
      </c>
      <c r="AO69" s="119">
        <f t="shared" si="180"/>
        <v>0</v>
      </c>
      <c r="AP69" s="119">
        <f t="shared" si="180"/>
        <v>0</v>
      </c>
      <c r="AQ69" s="173">
        <f>SUM(AM69:AP69)</f>
        <v>0</v>
      </c>
      <c r="AR69" s="119">
        <f>IFERROR((AR163*(AP69/AP163)),0)</f>
        <v>0</v>
      </c>
      <c r="AS69" s="119">
        <f t="shared" ref="AS69:AU69" si="181">IFERROR((AS163*(AR69/AR163)),0)</f>
        <v>0</v>
      </c>
      <c r="AT69" s="119">
        <f t="shared" si="181"/>
        <v>0</v>
      </c>
      <c r="AU69" s="119">
        <f t="shared" si="181"/>
        <v>0</v>
      </c>
      <c r="AV69" s="173">
        <f>SUM(AR69:AU69)</f>
        <v>0</v>
      </c>
    </row>
    <row r="70" spans="2:48" outlineLevel="1" x14ac:dyDescent="0.3">
      <c r="B70" s="46" t="s">
        <v>183</v>
      </c>
      <c r="C70" s="19"/>
      <c r="D70" s="103">
        <f>+D60+D62+D64+D66+D67+D69</f>
        <v>3643.7999999999997</v>
      </c>
      <c r="E70" s="103">
        <f t="shared" ref="E70:G70" si="182">+E60+E62+E64+E66+E67+E69</f>
        <v>3457.7</v>
      </c>
      <c r="F70" s="103">
        <f t="shared" si="182"/>
        <v>3662.3999999999996</v>
      </c>
      <c r="G70" s="103">
        <f t="shared" si="182"/>
        <v>3712.4999999999995</v>
      </c>
      <c r="H70" s="166">
        <f>+H60+H62+H64+H66+H67+H69</f>
        <v>0</v>
      </c>
      <c r="I70" s="103">
        <f t="shared" ref="I70:L70" si="183">+I60+I62+I64+I66+I67+I69</f>
        <v>3912.1</v>
      </c>
      <c r="J70" s="103">
        <f t="shared" si="183"/>
        <v>3708.8</v>
      </c>
      <c r="K70" s="103">
        <f t="shared" si="183"/>
        <v>3210.3999999999996</v>
      </c>
      <c r="L70" s="50">
        <f t="shared" si="183"/>
        <v>3707.8999999999996</v>
      </c>
      <c r="M70" s="191"/>
      <c r="N70" s="50">
        <f t="shared" ref="N70:Q70" si="184">+N60+N62+N64+N66+N67+N69</f>
        <v>3889.7000000000003</v>
      </c>
      <c r="O70" s="50">
        <f t="shared" si="184"/>
        <v>3759.2999999999997</v>
      </c>
      <c r="P70" s="50">
        <f t="shared" si="184"/>
        <v>4084.6</v>
      </c>
      <c r="Q70" s="103">
        <f t="shared" si="184"/>
        <v>4507.2</v>
      </c>
      <c r="R70" s="191"/>
      <c r="S70" s="50">
        <f>+S60+S62+S64+S66+S67+S69</f>
        <v>4649.2</v>
      </c>
      <c r="T70" s="50">
        <f t="shared" ref="T70:AK70" si="185">+T60+T62+T64+T66+T67+T69</f>
        <v>4514.2</v>
      </c>
      <c r="U70" s="50">
        <f t="shared" si="185"/>
        <v>4728.2999999999993</v>
      </c>
      <c r="V70" s="50">
        <f>+V60+V62+V64+V66+V67+V69</f>
        <v>4992.5999999999985</v>
      </c>
      <c r="W70" s="191">
        <f>+W60+W62+W64+W66+W67+W69</f>
        <v>18884.3</v>
      </c>
      <c r="X70" s="50">
        <f t="shared" si="185"/>
        <v>5286.9557724395208</v>
      </c>
      <c r="Y70" s="50">
        <f t="shared" si="185"/>
        <v>5036.298280533345</v>
      </c>
      <c r="Z70" s="50">
        <f t="shared" si="185"/>
        <v>5214.0660287354021</v>
      </c>
      <c r="AA70" s="50">
        <f t="shared" si="185"/>
        <v>5227.9089318534752</v>
      </c>
      <c r="AB70" s="191">
        <f>+AB60+AB62+AB64+AB66+AB67+AB69</f>
        <v>20765.229013561744</v>
      </c>
      <c r="AC70" s="50">
        <f t="shared" si="185"/>
        <v>5510.0068605783708</v>
      </c>
      <c r="AD70" s="50">
        <f t="shared" si="185"/>
        <v>5435.4452450550107</v>
      </c>
      <c r="AE70" s="50">
        <f t="shared" si="185"/>
        <v>5611.8361409508998</v>
      </c>
      <c r="AF70" s="50">
        <f t="shared" si="185"/>
        <v>5784.0038391782937</v>
      </c>
      <c r="AG70" s="191">
        <f>+AG60+AG62+AG64+AG66+AG67+AG69</f>
        <v>22341.292085762572</v>
      </c>
      <c r="AH70" s="50">
        <f t="shared" si="185"/>
        <v>6049.0279544442965</v>
      </c>
      <c r="AI70" s="50">
        <f t="shared" si="185"/>
        <v>5972.4172247518909</v>
      </c>
      <c r="AJ70" s="50">
        <f t="shared" si="185"/>
        <v>6169.1782753168136</v>
      </c>
      <c r="AK70" s="50">
        <f t="shared" si="185"/>
        <v>6362.9154497227919</v>
      </c>
      <c r="AL70" s="191">
        <f>+AL60+AL62+AL64+AL66+AL67+AL69</f>
        <v>24553.538904235793</v>
      </c>
      <c r="AM70" s="50">
        <f t="shared" ref="AM70:AP70" si="186">+AM60+AM62+AM64+AM66+AM67+AM69</f>
        <v>6560.3995887196443</v>
      </c>
      <c r="AN70" s="50">
        <f t="shared" si="186"/>
        <v>6479.5629273303512</v>
      </c>
      <c r="AO70" s="50">
        <f t="shared" si="186"/>
        <v>6694.9805773597673</v>
      </c>
      <c r="AP70" s="50">
        <f t="shared" si="186"/>
        <v>6907.0460050793045</v>
      </c>
      <c r="AQ70" s="191">
        <f>+AQ60+AQ62+AQ64+AQ66+AQ67+AQ69</f>
        <v>26641.989098489066</v>
      </c>
      <c r="AR70" s="50">
        <f t="shared" ref="AR70:AU70" si="187">+AR60+AR62+AR64+AR66+AR67+AR69</f>
        <v>6991.7308965429265</v>
      </c>
      <c r="AS70" s="50">
        <f t="shared" si="187"/>
        <v>6903.3366847363932</v>
      </c>
      <c r="AT70" s="50">
        <f t="shared" si="187"/>
        <v>7130.5523718802324</v>
      </c>
      <c r="AU70" s="50">
        <f t="shared" si="187"/>
        <v>7353.9655954952023</v>
      </c>
      <c r="AV70" s="191">
        <f>+AV60+AV62+AV64+AV66+AV67+AV69</f>
        <v>28379.585548654755</v>
      </c>
    </row>
    <row r="71" spans="2:48" outlineLevel="1" x14ac:dyDescent="0.3">
      <c r="B71" s="46" t="s">
        <v>184</v>
      </c>
      <c r="C71" s="44"/>
      <c r="D71" s="156">
        <f t="shared" ref="D71:G71" si="188">+D59-D70</f>
        <v>968.70000000000027</v>
      </c>
      <c r="E71" s="156">
        <f t="shared" si="188"/>
        <v>856.40000000000055</v>
      </c>
      <c r="F71" s="156">
        <f t="shared" si="188"/>
        <v>1018.6999999999998</v>
      </c>
      <c r="G71" s="156">
        <f t="shared" si="188"/>
        <v>938.90000000000009</v>
      </c>
      <c r="H71" s="132">
        <f>SUM(D71:G71)</f>
        <v>3782.7000000000007</v>
      </c>
      <c r="I71" s="156">
        <f t="shared" ref="I71:L71" si="189">+I59-I70</f>
        <v>1098.7999999999997</v>
      </c>
      <c r="J71" s="156">
        <f t="shared" si="189"/>
        <v>621.19999999999982</v>
      </c>
      <c r="K71" s="156">
        <f t="shared" si="189"/>
        <v>-404.89999999999964</v>
      </c>
      <c r="L71" s="74">
        <f t="shared" si="189"/>
        <v>506.00000000000091</v>
      </c>
      <c r="M71" s="97"/>
      <c r="N71" s="74">
        <f>+N59-N70</f>
        <v>813.49999999999955</v>
      </c>
      <c r="O71" s="74">
        <f t="shared" ref="O71:Q71" si="190">+O59-O70</f>
        <v>905.29999999999973</v>
      </c>
      <c r="P71" s="74">
        <f t="shared" si="190"/>
        <v>1315.7000000000003</v>
      </c>
      <c r="Q71" s="74">
        <f t="shared" si="190"/>
        <v>1255.8000000000002</v>
      </c>
      <c r="R71" s="97"/>
      <c r="S71" s="74">
        <f t="shared" ref="S71:U71" si="191">+S59-S70</f>
        <v>1083.1000000000004</v>
      </c>
      <c r="T71" s="74">
        <f t="shared" si="191"/>
        <v>931.5</v>
      </c>
      <c r="U71" s="74">
        <f t="shared" si="191"/>
        <v>1330.1000000000004</v>
      </c>
      <c r="V71" s="156">
        <f>+V59-V70</f>
        <v>1141.8000000000011</v>
      </c>
      <c r="W71" s="97">
        <f>SUM(S71:V71)</f>
        <v>4486.5000000000018</v>
      </c>
      <c r="X71" s="74">
        <f t="shared" ref="X71:AA71" si="192">+X59-X70</f>
        <v>1079.202615589923</v>
      </c>
      <c r="Y71" s="74">
        <f t="shared" si="192"/>
        <v>1023.3234600048909</v>
      </c>
      <c r="Z71" s="74">
        <f t="shared" si="192"/>
        <v>1381.0615170249848</v>
      </c>
      <c r="AA71" s="74">
        <f t="shared" si="192"/>
        <v>1406.9036768521619</v>
      </c>
      <c r="AB71" s="97">
        <f>SUM(X71:AA71)</f>
        <v>4890.4912694719605</v>
      </c>
      <c r="AC71" s="74">
        <f t="shared" ref="AC71:AF71" si="193">+AC59-AC70</f>
        <v>1345.1648519786868</v>
      </c>
      <c r="AD71" s="74">
        <f t="shared" si="193"/>
        <v>1096.5598383630977</v>
      </c>
      <c r="AE71" s="74">
        <f t="shared" si="193"/>
        <v>1504.243328864557</v>
      </c>
      <c r="AF71" s="74">
        <f t="shared" si="193"/>
        <v>1383.3051485073274</v>
      </c>
      <c r="AG71" s="97">
        <f>SUM(AC71:AF71)</f>
        <v>5329.273167713669</v>
      </c>
      <c r="AH71" s="74">
        <f t="shared" ref="AH71:AK71" si="194">+AH59-AH70</f>
        <v>1505.0355562285931</v>
      </c>
      <c r="AI71" s="74">
        <f t="shared" si="194"/>
        <v>1234.1528212321518</v>
      </c>
      <c r="AJ71" s="74">
        <f t="shared" si="194"/>
        <v>1689.5754062681999</v>
      </c>
      <c r="AK71" s="74">
        <f t="shared" si="194"/>
        <v>1561.4061598065946</v>
      </c>
      <c r="AL71" s="97">
        <f>SUM(AH71:AK71)</f>
        <v>5990.1699435355395</v>
      </c>
      <c r="AM71" s="74">
        <f t="shared" ref="AM71:AP71" si="195">+AM59-AM70</f>
        <v>1637.6633704395308</v>
      </c>
      <c r="AN71" s="74">
        <f t="shared" si="195"/>
        <v>1339.3856169474648</v>
      </c>
      <c r="AO71" s="74">
        <f t="shared" si="195"/>
        <v>1829.3455824388566</v>
      </c>
      <c r="AP71" s="74">
        <f t="shared" si="195"/>
        <v>1685.6545749048946</v>
      </c>
      <c r="AQ71" s="97">
        <f>SUM(AM71:AP71)</f>
        <v>6492.0491447307468</v>
      </c>
      <c r="AR71" s="74">
        <f t="shared" ref="AR71:AU71" si="196">+AR59-AR70</f>
        <v>1726.7452737796148</v>
      </c>
      <c r="AS71" s="74">
        <f t="shared" si="196"/>
        <v>1409.2496826724446</v>
      </c>
      <c r="AT71" s="74">
        <f t="shared" si="196"/>
        <v>1930.6216894206627</v>
      </c>
      <c r="AU71" s="74">
        <f t="shared" si="196"/>
        <v>1776.7009571442022</v>
      </c>
      <c r="AV71" s="97">
        <f>SUM(AR71:AU71)</f>
        <v>6843.3176030169243</v>
      </c>
    </row>
    <row r="72" spans="2:48" outlineLevel="1" x14ac:dyDescent="0.3">
      <c r="B72" s="46" t="s">
        <v>185</v>
      </c>
      <c r="C72" s="44"/>
      <c r="D72" s="157">
        <f t="shared" ref="D72:G72" si="197">+D71/D59</f>
        <v>0.21001626016260169</v>
      </c>
      <c r="E72" s="157">
        <f t="shared" si="197"/>
        <v>0.19851185647064287</v>
      </c>
      <c r="F72" s="157">
        <f t="shared" si="197"/>
        <v>0.21761979022024736</v>
      </c>
      <c r="G72" s="157">
        <f t="shared" si="197"/>
        <v>0.20185320548652022</v>
      </c>
      <c r="H72" s="133">
        <f>H71/H59</f>
        <v>0.20716793270205</v>
      </c>
      <c r="I72" s="157">
        <f t="shared" ref="I72:L72" si="198">+I71/I59</f>
        <v>0.21928196531561192</v>
      </c>
      <c r="J72" s="157">
        <f t="shared" si="198"/>
        <v>0.14346420323325632</v>
      </c>
      <c r="K72" s="157">
        <f t="shared" si="198"/>
        <v>-0.14432364997326666</v>
      </c>
      <c r="L72" s="75">
        <f t="shared" si="198"/>
        <v>0.12007878687201899</v>
      </c>
      <c r="M72" s="98"/>
      <c r="N72" s="75">
        <f>+N71/N59</f>
        <v>0.17296734138458913</v>
      </c>
      <c r="O72" s="75">
        <f t="shared" ref="O72:Q72" si="199">+O71/O59</f>
        <v>0.19407880632851687</v>
      </c>
      <c r="P72" s="75">
        <f t="shared" si="199"/>
        <v>0.24363461289187641</v>
      </c>
      <c r="Q72" s="75">
        <f t="shared" si="199"/>
        <v>0.21790733992712133</v>
      </c>
      <c r="R72" s="98"/>
      <c r="S72" s="75">
        <f t="shared" ref="S72:V72" si="200">+S71/S59</f>
        <v>0.188946845070914</v>
      </c>
      <c r="T72" s="75">
        <f t="shared" si="200"/>
        <v>0.17105238995905026</v>
      </c>
      <c r="U72" s="75">
        <f t="shared" si="200"/>
        <v>0.21954641489502186</v>
      </c>
      <c r="V72" s="75">
        <f t="shared" si="200"/>
        <v>0.18613067292644778</v>
      </c>
      <c r="W72" s="98">
        <f>W71/W59</f>
        <v>0.19197032194019895</v>
      </c>
      <c r="X72" s="75">
        <f t="shared" ref="X72:AA72" si="201">+X71/X59</f>
        <v>0.16952179788979069</v>
      </c>
      <c r="Y72" s="75">
        <f t="shared" si="201"/>
        <v>0.16887579849398254</v>
      </c>
      <c r="Z72" s="75">
        <f t="shared" si="201"/>
        <v>0.20940633936833969</v>
      </c>
      <c r="AA72" s="75">
        <f t="shared" si="201"/>
        <v>0.21204874347259522</v>
      </c>
      <c r="AB72" s="98">
        <f>AB71/AB59</f>
        <v>0.19061991694328201</v>
      </c>
      <c r="AC72" s="75">
        <f t="shared" ref="AC72:AF72" si="202">+AC71/AC59</f>
        <v>0.19622628117610272</v>
      </c>
      <c r="AD72" s="75">
        <f t="shared" si="202"/>
        <v>0.16787492115503422</v>
      </c>
      <c r="AE72" s="75">
        <f t="shared" si="202"/>
        <v>0.21138652754584358</v>
      </c>
      <c r="AF72" s="75">
        <f t="shared" si="202"/>
        <v>0.19300202501162256</v>
      </c>
      <c r="AG72" s="98">
        <f>AG71/AG59</f>
        <v>0.19259719195812791</v>
      </c>
      <c r="AH72" s="75">
        <f t="shared" ref="AH72:AK72" si="203">+AH71/AH59</f>
        <v>0.1992352267229654</v>
      </c>
      <c r="AI72" s="75">
        <f t="shared" si="203"/>
        <v>0.17125384383378053</v>
      </c>
      <c r="AJ72" s="75">
        <f t="shared" si="203"/>
        <v>0.21499279335186308</v>
      </c>
      <c r="AK72" s="75">
        <f t="shared" si="203"/>
        <v>0.19703972614247847</v>
      </c>
      <c r="AL72" s="98">
        <f>AL71/AL59</f>
        <v>0.19611796240562387</v>
      </c>
      <c r="AM72" s="75">
        <f t="shared" ref="AM72:AP72" si="204">+AM71/AM59</f>
        <v>0.19976223390793474</v>
      </c>
      <c r="AN72" s="75">
        <f t="shared" si="204"/>
        <v>0.17129996563638658</v>
      </c>
      <c r="AO72" s="75">
        <f t="shared" si="204"/>
        <v>0.21460295490172474</v>
      </c>
      <c r="AP72" s="75">
        <f t="shared" si="204"/>
        <v>0.19617285150508459</v>
      </c>
      <c r="AQ72" s="98">
        <f>AQ71/AQ59</f>
        <v>0.19593292846093724</v>
      </c>
      <c r="AR72" s="75">
        <f t="shared" ref="AR72:AU72" si="205">+AR71/AR59</f>
        <v>0.19805585747397111</v>
      </c>
      <c r="AS72" s="75">
        <f t="shared" si="205"/>
        <v>0.16953203496299185</v>
      </c>
      <c r="AT72" s="75">
        <f t="shared" si="205"/>
        <v>0.21306529113772341</v>
      </c>
      <c r="AU72" s="75">
        <f t="shared" si="205"/>
        <v>0.19458611777150167</v>
      </c>
      <c r="AV72" s="98">
        <f>AV71/AV59</f>
        <v>0.19428601820665486</v>
      </c>
    </row>
    <row r="73" spans="2:48" ht="17.399999999999999" x14ac:dyDescent="0.45">
      <c r="B73" s="599" t="s">
        <v>114</v>
      </c>
      <c r="C73" s="600"/>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601" t="s">
        <v>115</v>
      </c>
      <c r="C74" s="602"/>
      <c r="D74" s="21">
        <v>5839</v>
      </c>
      <c r="E74" s="21">
        <v>5879</v>
      </c>
      <c r="F74" s="116">
        <v>5646</v>
      </c>
      <c r="G74" s="21">
        <v>5860</v>
      </c>
      <c r="H74" s="191">
        <f>G74</f>
        <v>5860</v>
      </c>
      <c r="I74" s="21">
        <v>6059</v>
      </c>
      <c r="J74" s="21">
        <v>6137</v>
      </c>
      <c r="K74" s="21">
        <v>6254</v>
      </c>
      <c r="L74" s="21">
        <v>6528</v>
      </c>
      <c r="M74" s="191">
        <f>L74</f>
        <v>6528</v>
      </c>
      <c r="N74" s="21">
        <v>6713</v>
      </c>
      <c r="O74" s="21">
        <f>+N74+O75</f>
        <v>6836</v>
      </c>
      <c r="P74" s="21">
        <f t="shared" ref="P74:Q74" si="206">+O74+P75</f>
        <v>7013</v>
      </c>
      <c r="Q74" s="21">
        <f t="shared" si="206"/>
        <v>7272</v>
      </c>
      <c r="R74" s="191">
        <f>Q74</f>
        <v>7272</v>
      </c>
      <c r="S74" s="21">
        <f>+Q74+S75</f>
        <v>7485</v>
      </c>
      <c r="T74" s="21">
        <f>+S74+T75</f>
        <v>7587</v>
      </c>
      <c r="U74" s="21">
        <f t="shared" ref="U74:V74" si="207">+T74+U75</f>
        <v>7717</v>
      </c>
      <c r="V74" s="21">
        <f t="shared" si="207"/>
        <v>8037</v>
      </c>
      <c r="W74" s="191">
        <f>V74</f>
        <v>8037</v>
      </c>
      <c r="X74" s="21">
        <f>+V74+X75</f>
        <v>8292</v>
      </c>
      <c r="Y74" s="21">
        <f>+X74+Y75</f>
        <v>8547</v>
      </c>
      <c r="Z74" s="21">
        <f t="shared" ref="Z74:AA74" si="208">+Y74+Z75</f>
        <v>8802</v>
      </c>
      <c r="AA74" s="21">
        <f t="shared" si="208"/>
        <v>9059</v>
      </c>
      <c r="AB74" s="191">
        <f>AA74</f>
        <v>9059</v>
      </c>
      <c r="AC74" s="21">
        <f>+AA74+AC75</f>
        <v>9323</v>
      </c>
      <c r="AD74" s="21">
        <f>+AC74+AD75</f>
        <v>9587</v>
      </c>
      <c r="AE74" s="21">
        <f t="shared" ref="AE74:AF74" si="209">+AD74+AE75</f>
        <v>9851</v>
      </c>
      <c r="AF74" s="21">
        <f t="shared" si="209"/>
        <v>10119</v>
      </c>
      <c r="AG74" s="191">
        <f>AF74</f>
        <v>10119</v>
      </c>
      <c r="AH74" s="21">
        <f>+AF74+AH75</f>
        <v>10393</v>
      </c>
      <c r="AI74" s="21">
        <f>+AH74+AI75</f>
        <v>10667</v>
      </c>
      <c r="AJ74" s="21">
        <f t="shared" ref="AJ74:AK74" si="210">+AI74+AJ75</f>
        <v>10941</v>
      </c>
      <c r="AK74" s="21">
        <f t="shared" si="210"/>
        <v>11217</v>
      </c>
      <c r="AL74" s="191">
        <f>AK74</f>
        <v>11217</v>
      </c>
      <c r="AM74" s="21">
        <f>+AK74+AM75</f>
        <v>11347</v>
      </c>
      <c r="AN74" s="21">
        <f>+AM74+AN75</f>
        <v>11477</v>
      </c>
      <c r="AO74" s="21">
        <f t="shared" ref="AO74:AP74" si="211">+AN74+AO75</f>
        <v>11607</v>
      </c>
      <c r="AP74" s="21">
        <f t="shared" si="211"/>
        <v>11737</v>
      </c>
      <c r="AQ74" s="191">
        <f>AP74</f>
        <v>11737</v>
      </c>
      <c r="AR74" s="21">
        <f>+AP74+AR75</f>
        <v>11867</v>
      </c>
      <c r="AS74" s="21">
        <f>+AR74+AS75</f>
        <v>11997</v>
      </c>
      <c r="AT74" s="21">
        <f t="shared" ref="AT74:AU74" si="212">+AS74+AT75</f>
        <v>12127</v>
      </c>
      <c r="AU74" s="21">
        <f t="shared" si="212"/>
        <v>12257</v>
      </c>
      <c r="AV74" s="191">
        <f>AU74</f>
        <v>12257</v>
      </c>
    </row>
    <row r="75" spans="2:48" outlineLevel="1" x14ac:dyDescent="0.3">
      <c r="B75" s="180" t="s">
        <v>46</v>
      </c>
      <c r="C75" s="201"/>
      <c r="D75" s="101">
        <f>+D74-5651</f>
        <v>188</v>
      </c>
      <c r="E75" s="101">
        <f>+E74-D74</f>
        <v>40</v>
      </c>
      <c r="F75" s="101">
        <f t="shared" ref="F75:G75" si="213">+F74-E74</f>
        <v>-233</v>
      </c>
      <c r="G75" s="101">
        <f t="shared" si="213"/>
        <v>214</v>
      </c>
      <c r="H75" s="26">
        <f>+SUM(D75:G75)</f>
        <v>209</v>
      </c>
      <c r="I75" s="101">
        <f>+I74-G74</f>
        <v>199</v>
      </c>
      <c r="J75" s="101">
        <f t="shared" ref="J75:L75" si="214">+J74-I74</f>
        <v>78</v>
      </c>
      <c r="K75" s="101">
        <f t="shared" si="214"/>
        <v>117</v>
      </c>
      <c r="L75" s="101">
        <f t="shared" si="214"/>
        <v>274</v>
      </c>
      <c r="M75" s="26">
        <f>+SUM(I75:L75)</f>
        <v>668</v>
      </c>
      <c r="N75" s="101">
        <v>185</v>
      </c>
      <c r="O75" s="101">
        <v>123</v>
      </c>
      <c r="P75" s="101">
        <v>177</v>
      </c>
      <c r="Q75" s="101">
        <v>259</v>
      </c>
      <c r="R75" s="26">
        <f>+SUM(N75:Q75)</f>
        <v>744</v>
      </c>
      <c r="S75" s="101">
        <v>213</v>
      </c>
      <c r="T75" s="101">
        <v>102</v>
      </c>
      <c r="U75" s="101">
        <v>130</v>
      </c>
      <c r="V75" s="101">
        <v>320</v>
      </c>
      <c r="W75" s="122">
        <f>+SUM(S75:V75)</f>
        <v>765</v>
      </c>
      <c r="X75" s="33">
        <v>255</v>
      </c>
      <c r="Y75" s="33">
        <v>255</v>
      </c>
      <c r="Z75" s="33">
        <v>255</v>
      </c>
      <c r="AA75" s="33">
        <v>257</v>
      </c>
      <c r="AB75" s="26">
        <f>+SUM(X75:AA75)</f>
        <v>1022</v>
      </c>
      <c r="AC75" s="33">
        <v>264</v>
      </c>
      <c r="AD75" s="33">
        <v>264</v>
      </c>
      <c r="AE75" s="33">
        <v>264</v>
      </c>
      <c r="AF75" s="33">
        <v>268</v>
      </c>
      <c r="AG75" s="26">
        <f>+SUM(AC75:AF75)</f>
        <v>1060</v>
      </c>
      <c r="AH75" s="95">
        <v>274</v>
      </c>
      <c r="AI75" s="33">
        <v>274</v>
      </c>
      <c r="AJ75" s="33">
        <v>274</v>
      </c>
      <c r="AK75" s="33">
        <v>276</v>
      </c>
      <c r="AL75" s="26">
        <f>+SUM(AH75:AK75)</f>
        <v>1098</v>
      </c>
      <c r="AM75" s="33">
        <v>130</v>
      </c>
      <c r="AN75" s="33">
        <v>130</v>
      </c>
      <c r="AO75" s="33">
        <v>130</v>
      </c>
      <c r="AP75" s="33">
        <v>130</v>
      </c>
      <c r="AQ75" s="26">
        <f>+SUM(AM75:AP75)</f>
        <v>520</v>
      </c>
      <c r="AR75" s="33">
        <v>130</v>
      </c>
      <c r="AS75" s="33">
        <v>130</v>
      </c>
      <c r="AT75" s="33">
        <v>130</v>
      </c>
      <c r="AU75" s="33">
        <v>130</v>
      </c>
      <c r="AV75" s="26">
        <f>+SUM(AR75:AU75)</f>
        <v>520</v>
      </c>
    </row>
    <row r="76" spans="2:48" outlineLevel="1" x14ac:dyDescent="0.3">
      <c r="B76" s="180" t="s">
        <v>201</v>
      </c>
      <c r="C76" s="201"/>
      <c r="D76" s="101"/>
      <c r="E76" s="101">
        <f>AVERAGE(D74,E74)</f>
        <v>5859</v>
      </c>
      <c r="F76" s="101">
        <f t="shared" ref="F76:G76" si="215">AVERAGE(E74,F74)</f>
        <v>5762.5</v>
      </c>
      <c r="G76" s="101">
        <f t="shared" si="215"/>
        <v>5753</v>
      </c>
      <c r="H76" s="26"/>
      <c r="I76" s="101">
        <f>AVERAGE(G74,I74)</f>
        <v>5959.5</v>
      </c>
      <c r="J76" s="101">
        <f t="shared" ref="J76:L76" si="216">AVERAGE(I74,J74)</f>
        <v>6098</v>
      </c>
      <c r="K76" s="101">
        <f t="shared" si="216"/>
        <v>6195.5</v>
      </c>
      <c r="L76" s="101">
        <f t="shared" si="216"/>
        <v>6391</v>
      </c>
      <c r="M76" s="26"/>
      <c r="N76" s="101">
        <f>AVERAGE(L74,N74)</f>
        <v>6620.5</v>
      </c>
      <c r="O76" s="101">
        <f t="shared" ref="O76:Q76" si="217">AVERAGE(N74,O74)</f>
        <v>6774.5</v>
      </c>
      <c r="P76" s="101">
        <f t="shared" si="217"/>
        <v>6924.5</v>
      </c>
      <c r="Q76" s="101">
        <f t="shared" si="217"/>
        <v>7142.5</v>
      </c>
      <c r="R76" s="26"/>
      <c r="S76" s="101">
        <f>AVERAGE(Q74,S74)</f>
        <v>7378.5</v>
      </c>
      <c r="T76" s="101">
        <f>AVERAGE(S74,T74)</f>
        <v>7536</v>
      </c>
      <c r="U76" s="101">
        <f t="shared" ref="U76:V76" si="218">AVERAGE(T74,U74)</f>
        <v>7652</v>
      </c>
      <c r="V76" s="101">
        <f t="shared" si="218"/>
        <v>7877</v>
      </c>
      <c r="W76" s="122"/>
      <c r="X76" s="101">
        <f>AVERAGE(V74,X74)</f>
        <v>8164.5</v>
      </c>
      <c r="Y76" s="101">
        <f t="shared" ref="Y76:AA76" si="219">AVERAGE(X74,Y74)</f>
        <v>8419.5</v>
      </c>
      <c r="Z76" s="101">
        <f t="shared" si="219"/>
        <v>8674.5</v>
      </c>
      <c r="AA76" s="101">
        <f t="shared" si="219"/>
        <v>8930.5</v>
      </c>
      <c r="AB76" s="26"/>
      <c r="AC76" s="101">
        <f>AVERAGE(AA74,AC74)</f>
        <v>9191</v>
      </c>
      <c r="AD76" s="101">
        <f t="shared" ref="AD76:AF76" si="220">AVERAGE(AC74,AD74)</f>
        <v>9455</v>
      </c>
      <c r="AE76" s="101">
        <f t="shared" si="220"/>
        <v>9719</v>
      </c>
      <c r="AF76" s="101">
        <f t="shared" si="220"/>
        <v>9985</v>
      </c>
      <c r="AG76" s="26"/>
      <c r="AH76" s="101">
        <f>AVERAGE(AF74,AH74)</f>
        <v>10256</v>
      </c>
      <c r="AI76" s="101">
        <f t="shared" ref="AI76:AK76" si="221">AVERAGE(AH74,AI74)</f>
        <v>10530</v>
      </c>
      <c r="AJ76" s="101">
        <f t="shared" si="221"/>
        <v>10804</v>
      </c>
      <c r="AK76" s="101">
        <f t="shared" si="221"/>
        <v>11079</v>
      </c>
      <c r="AL76" s="26"/>
      <c r="AM76" s="101">
        <f>AVERAGE(AK74,AM74)</f>
        <v>11282</v>
      </c>
      <c r="AN76" s="101">
        <f t="shared" ref="AN76:AP76" si="222">AVERAGE(AM74,AN74)</f>
        <v>11412</v>
      </c>
      <c r="AO76" s="101">
        <f t="shared" si="222"/>
        <v>11542</v>
      </c>
      <c r="AP76" s="101">
        <f t="shared" si="222"/>
        <v>11672</v>
      </c>
      <c r="AQ76" s="26"/>
      <c r="AR76" s="101">
        <f>AVERAGE(AP74,AR74)</f>
        <v>11802</v>
      </c>
      <c r="AS76" s="101">
        <f t="shared" ref="AS76:AU76" si="223">AVERAGE(AR74,AS74)</f>
        <v>11932</v>
      </c>
      <c r="AT76" s="101">
        <f t="shared" si="223"/>
        <v>12062</v>
      </c>
      <c r="AU76" s="101">
        <f t="shared" si="223"/>
        <v>12192</v>
      </c>
      <c r="AV76" s="26"/>
    </row>
    <row r="77" spans="2:48" s="20" customFormat="1" outlineLevel="1" x14ac:dyDescent="0.3">
      <c r="B77" s="180" t="s">
        <v>206</v>
      </c>
      <c r="C77" s="206"/>
      <c r="D77" s="43"/>
      <c r="E77" s="43">
        <f>+E78/E76</f>
        <v>0.22348523638846221</v>
      </c>
      <c r="F77" s="114">
        <f>+F78/F76</f>
        <v>0.2347592190889371</v>
      </c>
      <c r="G77" s="43">
        <f>+G78/G76</f>
        <v>0.22873283504258649</v>
      </c>
      <c r="H77" s="97"/>
      <c r="I77" s="43">
        <f>+I78/I76</f>
        <v>0.21976675895628828</v>
      </c>
      <c r="J77" s="43">
        <f>+J78/J76</f>
        <v>0.14798294522794359</v>
      </c>
      <c r="K77" s="43">
        <f>+K78/K76</f>
        <v>0.14131224275683965</v>
      </c>
      <c r="L77" s="43">
        <f>+L78/L76</f>
        <v>0.20314504772336098</v>
      </c>
      <c r="M77" s="97"/>
      <c r="N77" s="43">
        <f>+N78/N76</f>
        <v>0.21776300883619062</v>
      </c>
      <c r="O77" s="43">
        <f>+O78/O76</f>
        <v>0.20439884862351465</v>
      </c>
      <c r="P77" s="43">
        <f>+P78/P76</f>
        <v>0.20698967434471802</v>
      </c>
      <c r="Q77" s="43">
        <f>+Q78/Q76</f>
        <v>0.22541127056352817</v>
      </c>
      <c r="R77" s="97"/>
      <c r="S77" s="43">
        <f>+S78/S76</f>
        <v>0.20441824219014704</v>
      </c>
      <c r="T77" s="43">
        <f>+T78/T76</f>
        <v>0.17786624203821658</v>
      </c>
      <c r="U77" s="43">
        <f>+U78/U76</f>
        <v>0.15189492943021432</v>
      </c>
      <c r="V77" s="43">
        <f>+V78/V76</f>
        <v>0.17149930176463121</v>
      </c>
      <c r="W77" s="132"/>
      <c r="X77" s="62">
        <f>S77*0.85</f>
        <v>0.17375550586162497</v>
      </c>
      <c r="Y77" s="62">
        <f>T77*0.95</f>
        <v>0.16897292993630575</v>
      </c>
      <c r="Z77" s="62">
        <f>U77*1.2</f>
        <v>0.18227391531625717</v>
      </c>
      <c r="AA77" s="62">
        <f>V77*1.2</f>
        <v>0.20579916211755744</v>
      </c>
      <c r="AB77" s="97"/>
      <c r="AC77" s="62">
        <f>X77*1.2</f>
        <v>0.20850660703394996</v>
      </c>
      <c r="AD77" s="62">
        <f>Y77*1.05</f>
        <v>0.17742157643312104</v>
      </c>
      <c r="AE77" s="62">
        <f>Z77*1.05</f>
        <v>0.19138761108207003</v>
      </c>
      <c r="AF77" s="62">
        <f>AA77*1.05</f>
        <v>0.21608912022343532</v>
      </c>
      <c r="AG77" s="97"/>
      <c r="AH77" s="62">
        <f>AC77*1.05</f>
        <v>0.21893193738564748</v>
      </c>
      <c r="AI77" s="62">
        <f t="shared" ref="AI77:AK77" si="224">AD77*1.05</f>
        <v>0.18629265525477709</v>
      </c>
      <c r="AJ77" s="62">
        <f t="shared" si="224"/>
        <v>0.20095699163617353</v>
      </c>
      <c r="AK77" s="62">
        <f t="shared" si="224"/>
        <v>0.2268935762346071</v>
      </c>
      <c r="AL77" s="97"/>
      <c r="AM77" s="477">
        <f>AH77*1.05</f>
        <v>0.22987853425492985</v>
      </c>
      <c r="AN77" s="477">
        <f>AI77*1.05</f>
        <v>0.19560728801751595</v>
      </c>
      <c r="AO77" s="477">
        <f>AJ77*1.05</f>
        <v>0.21100484121798221</v>
      </c>
      <c r="AP77" s="477">
        <f>AK77*1.05</f>
        <v>0.23823825504633747</v>
      </c>
      <c r="AQ77" s="97"/>
      <c r="AR77" s="477">
        <f>AM77*1.03</f>
        <v>0.23677489028257775</v>
      </c>
      <c r="AS77" s="477">
        <f>AN77*1.03</f>
        <v>0.20147550665804143</v>
      </c>
      <c r="AT77" s="477">
        <f>AO77*1.03</f>
        <v>0.21733498645452168</v>
      </c>
      <c r="AU77" s="477">
        <f>AP77*1.03</f>
        <v>0.2453854026977276</v>
      </c>
      <c r="AV77" s="97"/>
    </row>
    <row r="78" spans="2:48" s="8" customFormat="1" outlineLevel="1" x14ac:dyDescent="0.3">
      <c r="B78" s="587" t="s">
        <v>116</v>
      </c>
      <c r="C78" s="588"/>
      <c r="D78" s="50">
        <v>1278.0999999999999</v>
      </c>
      <c r="E78" s="50">
        <v>1309.4000000000001</v>
      </c>
      <c r="F78" s="103">
        <v>1352.8</v>
      </c>
      <c r="G78" s="50">
        <v>1315.9</v>
      </c>
      <c r="H78" s="97">
        <f>SUM(D78:G78)</f>
        <v>5256.2000000000007</v>
      </c>
      <c r="I78" s="50">
        <v>1309.7</v>
      </c>
      <c r="J78" s="50">
        <v>902.4</v>
      </c>
      <c r="K78" s="103">
        <v>875.5</v>
      </c>
      <c r="L78" s="50">
        <v>1298.3</v>
      </c>
      <c r="M78" s="97">
        <f>SUM(I78:L78)</f>
        <v>4385.8999999999996</v>
      </c>
      <c r="N78" s="50">
        <v>1441.7</v>
      </c>
      <c r="O78" s="50">
        <v>1384.7</v>
      </c>
      <c r="P78" s="50">
        <v>1433.3</v>
      </c>
      <c r="Q78" s="103">
        <v>1610</v>
      </c>
      <c r="R78" s="97">
        <f>SUM(N78:Q78)</f>
        <v>5869.7</v>
      </c>
      <c r="S78" s="50">
        <v>1508.3</v>
      </c>
      <c r="T78" s="50">
        <v>1340.4</v>
      </c>
      <c r="U78" s="50">
        <v>1162.3</v>
      </c>
      <c r="V78" s="50">
        <v>1350.9</v>
      </c>
      <c r="W78" s="132">
        <f>SUM(S78:V78)</f>
        <v>5361.9</v>
      </c>
      <c r="X78" s="50">
        <f>X77*X76</f>
        <v>1418.6268276072371</v>
      </c>
      <c r="Y78" s="50">
        <f>Y77*Y76</f>
        <v>1422.6675835987262</v>
      </c>
      <c r="Z78" s="50">
        <f>Z77*Z76</f>
        <v>1581.1350784108729</v>
      </c>
      <c r="AA78" s="50">
        <f>AA77*AA76</f>
        <v>1837.8894172908467</v>
      </c>
      <c r="AB78" s="97">
        <f>SUM(X78:AA78)</f>
        <v>6260.3189069076825</v>
      </c>
      <c r="AC78" s="50">
        <f>AC77*AC76</f>
        <v>1916.3842252490342</v>
      </c>
      <c r="AD78" s="50">
        <f>AD77*AD76</f>
        <v>1677.5210051751594</v>
      </c>
      <c r="AE78" s="50">
        <f>AE77*AE76</f>
        <v>1860.0961921066387</v>
      </c>
      <c r="AF78" s="50">
        <f>AF77*AF76</f>
        <v>2157.6498654310017</v>
      </c>
      <c r="AG78" s="97">
        <f>SUM(AC78:AF78)</f>
        <v>7611.651287961834</v>
      </c>
      <c r="AH78" s="50">
        <f>AH77*AH76</f>
        <v>2245.3659498272004</v>
      </c>
      <c r="AI78" s="50">
        <f>AI77*AI76</f>
        <v>1961.6616598328028</v>
      </c>
      <c r="AJ78" s="50">
        <f>AJ77*AJ76</f>
        <v>2171.1393376372189</v>
      </c>
      <c r="AK78" s="50">
        <f>AK77*AK76</f>
        <v>2513.7539311032119</v>
      </c>
      <c r="AL78" s="97">
        <f>SUM(AH78:AK78)</f>
        <v>8891.9208784004331</v>
      </c>
      <c r="AM78" s="50">
        <f>AM77*AM76</f>
        <v>2593.4896234641187</v>
      </c>
      <c r="AN78" s="50">
        <f>AN77*AN76</f>
        <v>2232.270370855892</v>
      </c>
      <c r="AO78" s="50">
        <f>AO77*AO76</f>
        <v>2435.4178773379508</v>
      </c>
      <c r="AP78" s="50">
        <f>AP77*AP76</f>
        <v>2780.7169129008512</v>
      </c>
      <c r="AQ78" s="97">
        <f>SUM(AM78:AP78)</f>
        <v>10041.894784558814</v>
      </c>
      <c r="AR78" s="50">
        <f>AR77*AR76</f>
        <v>2794.4172551149827</v>
      </c>
      <c r="AS78" s="50">
        <f>AS77*AS76</f>
        <v>2404.0057454437501</v>
      </c>
      <c r="AT78" s="50">
        <f>AT77*AT76</f>
        <v>2621.4946066144403</v>
      </c>
      <c r="AU78" s="50">
        <f>AU77*AU76</f>
        <v>2991.7388296906947</v>
      </c>
      <c r="AV78" s="97">
        <f>SUM(AR78:AU78)</f>
        <v>10811.656436863868</v>
      </c>
    </row>
    <row r="79" spans="2:48" s="8" customFormat="1" outlineLevel="1" x14ac:dyDescent="0.3">
      <c r="B79" s="38" t="s">
        <v>200</v>
      </c>
      <c r="C79" s="206"/>
      <c r="D79" s="43"/>
      <c r="E79" s="43"/>
      <c r="F79" s="43"/>
      <c r="G79" s="43"/>
      <c r="H79" s="97"/>
      <c r="I79" s="27">
        <f>I78/D78-1</f>
        <v>2.4724199984351936E-2</v>
      </c>
      <c r="J79" s="27">
        <f>J78/E78-1</f>
        <v>-0.31082938750572786</v>
      </c>
      <c r="K79" s="27">
        <f>K78/F78-1</f>
        <v>-0.35282377291543465</v>
      </c>
      <c r="L79" s="27">
        <f>L78/G78-1</f>
        <v>-1.3374876510373279E-2</v>
      </c>
      <c r="M79" s="97"/>
      <c r="N79" s="27">
        <f>N78/I78-1</f>
        <v>0.10078643964266631</v>
      </c>
      <c r="O79" s="27">
        <f>O78/J78-1</f>
        <v>0.53446365248226968</v>
      </c>
      <c r="P79" s="27">
        <f>P78/K78-1</f>
        <v>0.63712164477441457</v>
      </c>
      <c r="Q79" s="27">
        <f>Q78/L78-1</f>
        <v>0.24008318570438281</v>
      </c>
      <c r="R79" s="97"/>
      <c r="S79" s="27">
        <f t="shared" ref="S79:AP79" si="225">S78/N78-1</f>
        <v>4.6195463688700755E-2</v>
      </c>
      <c r="T79" s="27">
        <f t="shared" si="225"/>
        <v>-3.1992489347873132E-2</v>
      </c>
      <c r="U79" s="27">
        <f t="shared" si="225"/>
        <v>-0.18907416451545389</v>
      </c>
      <c r="V79" s="27">
        <f t="shared" si="225"/>
        <v>-0.16093167701863353</v>
      </c>
      <c r="W79" s="375">
        <f t="shared" si="225"/>
        <v>-8.6512087500212997E-2</v>
      </c>
      <c r="X79" s="27">
        <f t="shared" si="225"/>
        <v>-5.9453140882293143E-2</v>
      </c>
      <c r="Y79" s="27">
        <f t="shared" si="225"/>
        <v>6.1375398089172029E-2</v>
      </c>
      <c r="Z79" s="27">
        <f t="shared" si="225"/>
        <v>0.36035023523261889</v>
      </c>
      <c r="AA79" s="27">
        <f t="shared" si="225"/>
        <v>0.36049257331471352</v>
      </c>
      <c r="AB79" s="375">
        <f t="shared" si="225"/>
        <v>0.16755607283009444</v>
      </c>
      <c r="AC79" s="27">
        <f t="shared" si="225"/>
        <v>0.35087268050707321</v>
      </c>
      <c r="AD79" s="27">
        <f t="shared" si="225"/>
        <v>0.1791377160163905</v>
      </c>
      <c r="AE79" s="27">
        <f t="shared" si="225"/>
        <v>0.17643091820854218</v>
      </c>
      <c r="AF79" s="27">
        <f t="shared" si="225"/>
        <v>0.17398241979732387</v>
      </c>
      <c r="AG79" s="375">
        <f t="shared" si="225"/>
        <v>0.21585679597936802</v>
      </c>
      <c r="AH79" s="27">
        <f t="shared" si="225"/>
        <v>0.17166793602437158</v>
      </c>
      <c r="AI79" s="27">
        <f t="shared" si="225"/>
        <v>0.16938127974616601</v>
      </c>
      <c r="AJ79" s="27">
        <f t="shared" si="225"/>
        <v>0.16721884967589262</v>
      </c>
      <c r="AK79" s="27">
        <f t="shared" si="225"/>
        <v>0.16504256384576865</v>
      </c>
      <c r="AL79" s="375">
        <f t="shared" si="225"/>
        <v>0.16819866570390607</v>
      </c>
      <c r="AM79" s="27">
        <f t="shared" si="225"/>
        <v>0.15504095163806553</v>
      </c>
      <c r="AN79" s="27">
        <f t="shared" si="225"/>
        <v>0.13794871794871799</v>
      </c>
      <c r="AO79" s="27">
        <f t="shared" si="225"/>
        <v>0.1217234357645316</v>
      </c>
      <c r="AP79" s="27">
        <f t="shared" si="225"/>
        <v>0.10620092066070974</v>
      </c>
      <c r="AQ79" s="97"/>
      <c r="AR79" s="27">
        <f>AR78/AM78-1</f>
        <v>7.7473852153873368E-2</v>
      </c>
      <c r="AS79" s="27">
        <f>AS78/AN78-1</f>
        <v>7.6933052926743795E-2</v>
      </c>
      <c r="AT79" s="27">
        <f>AT78/AO78-1</f>
        <v>7.6404435972968088E-2</v>
      </c>
      <c r="AU79" s="27">
        <f>AU78/AP78-1</f>
        <v>7.5887594242631806E-2</v>
      </c>
      <c r="AV79" s="97"/>
    </row>
    <row r="80" spans="2:48" outlineLevel="1" x14ac:dyDescent="0.3">
      <c r="B80" s="236" t="s">
        <v>44</v>
      </c>
      <c r="C80" s="221"/>
      <c r="D80" s="222">
        <v>0.01</v>
      </c>
      <c r="E80" s="222">
        <v>0</v>
      </c>
      <c r="F80" s="222">
        <v>0.01</v>
      </c>
      <c r="G80" s="222">
        <v>0.01</v>
      </c>
      <c r="H80" s="223"/>
      <c r="I80" s="222">
        <v>-0.01</v>
      </c>
      <c r="J80" s="222">
        <v>-0.32</v>
      </c>
      <c r="K80" s="222">
        <v>-0.44</v>
      </c>
      <c r="L80" s="224">
        <v>-0.15</v>
      </c>
      <c r="M80" s="223"/>
      <c r="N80" s="222">
        <v>-0.03</v>
      </c>
      <c r="O80" s="222">
        <v>0.26</v>
      </c>
      <c r="P80" s="222">
        <v>0.55000000000000004</v>
      </c>
      <c r="Q80" s="222">
        <v>0.06</v>
      </c>
      <c r="R80" s="225"/>
      <c r="S80" s="224">
        <v>0.02</v>
      </c>
      <c r="T80" s="224">
        <v>-0.03</v>
      </c>
      <c r="U80" s="224">
        <v>-0.18</v>
      </c>
      <c r="V80" s="224">
        <v>-0.05</v>
      </c>
      <c r="W80" s="223"/>
      <c r="X80" s="224"/>
      <c r="Y80" s="224"/>
      <c r="Z80" s="224"/>
      <c r="AA80" s="224"/>
      <c r="AB80" s="225"/>
      <c r="AC80" s="224"/>
      <c r="AD80" s="224"/>
      <c r="AE80" s="224"/>
      <c r="AF80" s="224"/>
      <c r="AG80" s="225"/>
      <c r="AH80" s="224"/>
      <c r="AI80" s="224"/>
      <c r="AJ80" s="224"/>
      <c r="AK80" s="224"/>
      <c r="AL80" s="225"/>
      <c r="AM80" s="224"/>
      <c r="AN80" s="224"/>
      <c r="AO80" s="224"/>
      <c r="AP80" s="224"/>
      <c r="AQ80" s="225"/>
      <c r="AR80" s="224"/>
      <c r="AS80" s="224"/>
      <c r="AT80" s="224"/>
      <c r="AU80" s="224"/>
      <c r="AV80" s="225"/>
    </row>
    <row r="81" spans="1:48" outlineLevel="1" x14ac:dyDescent="0.3">
      <c r="B81" s="180" t="s">
        <v>43</v>
      </c>
      <c r="C81" s="207"/>
      <c r="D81" s="151">
        <v>0.01</v>
      </c>
      <c r="E81" s="151">
        <v>0.02</v>
      </c>
      <c r="F81" s="151">
        <v>0.03</v>
      </c>
      <c r="G81" s="151">
        <v>0.03</v>
      </c>
      <c r="H81" s="60"/>
      <c r="I81" s="151">
        <v>0.02</v>
      </c>
      <c r="J81" s="151">
        <v>0.01</v>
      </c>
      <c r="K81" s="151">
        <v>0.13</v>
      </c>
      <c r="L81" s="59">
        <v>7.0000000000000007E-2</v>
      </c>
      <c r="M81" s="60"/>
      <c r="N81" s="151">
        <v>-0.1</v>
      </c>
      <c r="O81" s="59">
        <v>7.0000000000000007E-2</v>
      </c>
      <c r="P81" s="59">
        <v>-0.09</v>
      </c>
      <c r="Q81" s="151">
        <v>-0.02</v>
      </c>
      <c r="R81" s="60"/>
      <c r="S81" s="59">
        <v>-0.05</v>
      </c>
      <c r="T81" s="59">
        <v>-0.05</v>
      </c>
      <c r="U81" s="59">
        <v>-0.15</v>
      </c>
      <c r="V81" s="59">
        <v>-0.01</v>
      </c>
      <c r="W81" s="148"/>
      <c r="X81" s="59"/>
      <c r="Y81" s="59"/>
      <c r="Z81" s="59"/>
      <c r="AA81" s="59"/>
      <c r="AB81" s="60"/>
      <c r="AC81" s="59"/>
      <c r="AD81" s="59"/>
      <c r="AE81" s="59"/>
      <c r="AF81" s="59"/>
      <c r="AG81" s="60"/>
      <c r="AH81" s="59"/>
      <c r="AI81" s="59"/>
      <c r="AJ81" s="59"/>
      <c r="AK81" s="59"/>
      <c r="AL81" s="60"/>
      <c r="AM81" s="59"/>
      <c r="AN81" s="59"/>
      <c r="AO81" s="59"/>
      <c r="AP81" s="59"/>
      <c r="AQ81" s="60"/>
      <c r="AR81" s="59"/>
      <c r="AS81" s="59"/>
      <c r="AT81" s="59"/>
      <c r="AU81" s="59"/>
      <c r="AV81" s="60"/>
    </row>
    <row r="82" spans="1:48" s="8" customFormat="1" outlineLevel="1" x14ac:dyDescent="0.3">
      <c r="B82" s="208" t="s">
        <v>45</v>
      </c>
      <c r="C82" s="206"/>
      <c r="D82" s="152">
        <v>0.02</v>
      </c>
      <c r="E82" s="152">
        <v>0.02</v>
      </c>
      <c r="F82" s="152">
        <v>0.05</v>
      </c>
      <c r="G82" s="152">
        <v>0.03</v>
      </c>
      <c r="H82" s="61"/>
      <c r="I82" s="152">
        <v>0.01</v>
      </c>
      <c r="J82" s="152">
        <v>-0.31</v>
      </c>
      <c r="K82" s="152">
        <v>-0.37</v>
      </c>
      <c r="L82" s="157">
        <v>-0.1</v>
      </c>
      <c r="M82" s="61"/>
      <c r="N82" s="152">
        <v>0.08</v>
      </c>
      <c r="O82" s="152">
        <v>0.35</v>
      </c>
      <c r="P82" s="152">
        <v>0.41</v>
      </c>
      <c r="Q82" s="152">
        <v>0.03</v>
      </c>
      <c r="R82" s="377">
        <f>R92/M92-1</f>
        <v>0.32353965857623956</v>
      </c>
      <c r="S82" s="152">
        <v>-0.03</v>
      </c>
      <c r="T82" s="152">
        <v>-0.08</v>
      </c>
      <c r="U82" s="152">
        <v>-0.04</v>
      </c>
      <c r="V82" s="152">
        <v>-0.05</v>
      </c>
      <c r="W82" s="377">
        <f>W92/R92-1</f>
        <v>1.4886958556345364E-2</v>
      </c>
      <c r="X82" s="157"/>
      <c r="Y82" s="157"/>
      <c r="Z82" s="157"/>
      <c r="AA82" s="157"/>
      <c r="AB82" s="377">
        <f>AB92/W92-1</f>
        <v>0.19199942767140343</v>
      </c>
      <c r="AC82" s="157"/>
      <c r="AD82" s="157"/>
      <c r="AE82" s="157"/>
      <c r="AF82" s="157"/>
      <c r="AG82" s="377">
        <f>AG92/AB92-1</f>
        <v>0.19816064359639762</v>
      </c>
      <c r="AH82" s="157"/>
      <c r="AI82" s="157"/>
      <c r="AJ82" s="157"/>
      <c r="AK82" s="157"/>
      <c r="AL82" s="377">
        <f>AL92/AG92-1</f>
        <v>0.16213762394965126</v>
      </c>
      <c r="AM82" s="157"/>
      <c r="AN82" s="157"/>
      <c r="AO82" s="157"/>
      <c r="AP82" s="157">
        <v>0.04</v>
      </c>
      <c r="AQ82" s="134"/>
      <c r="AR82" s="157"/>
      <c r="AS82" s="157"/>
      <c r="AT82" s="157"/>
      <c r="AU82" s="157">
        <v>0.04</v>
      </c>
      <c r="AV82" s="61"/>
    </row>
    <row r="83" spans="1:48" s="8" customFormat="1" outlineLevel="1" x14ac:dyDescent="0.3">
      <c r="B83" s="597" t="s">
        <v>117</v>
      </c>
      <c r="C83" s="598"/>
      <c r="D83" s="117">
        <v>6373</v>
      </c>
      <c r="E83" s="117">
        <v>6586</v>
      </c>
      <c r="F83" s="117">
        <v>7127</v>
      </c>
      <c r="G83" s="117">
        <v>7329</v>
      </c>
      <c r="H83" s="192">
        <f>G83</f>
        <v>7329</v>
      </c>
      <c r="I83" s="117">
        <v>7533</v>
      </c>
      <c r="J83" s="117">
        <v>7642</v>
      </c>
      <c r="K83" s="117">
        <v>7691</v>
      </c>
      <c r="L83" s="117">
        <v>9735</v>
      </c>
      <c r="M83" s="192">
        <f>L83</f>
        <v>9735</v>
      </c>
      <c r="N83" s="117">
        <v>7917</v>
      </c>
      <c r="O83" s="67">
        <f>+N83+O84</f>
        <v>7987</v>
      </c>
      <c r="P83" s="67">
        <f t="shared" ref="P83" si="226">+O83+P84</f>
        <v>8107</v>
      </c>
      <c r="Q83" s="67">
        <v>9735</v>
      </c>
      <c r="R83" s="192">
        <f>Q83</f>
        <v>9735</v>
      </c>
      <c r="S83" s="67">
        <f>+Q83+S84</f>
        <v>9944</v>
      </c>
      <c r="T83" s="67">
        <f>+S83+T84</f>
        <v>10117</v>
      </c>
      <c r="U83" s="67">
        <f t="shared" ref="U83:V83" si="227">+T83+U84</f>
        <v>10181</v>
      </c>
      <c r="V83" s="67">
        <f t="shared" si="227"/>
        <v>10379</v>
      </c>
      <c r="W83" s="253">
        <f>V83</f>
        <v>10379</v>
      </c>
      <c r="X83" s="67">
        <f>+V83+X84</f>
        <v>10615</v>
      </c>
      <c r="Y83" s="67">
        <f>+X83+Y84</f>
        <v>10851</v>
      </c>
      <c r="Z83" s="67">
        <f t="shared" ref="Z83:AA83" si="228">+Y83+Z84</f>
        <v>11087</v>
      </c>
      <c r="AA83" s="67">
        <f t="shared" si="228"/>
        <v>11325</v>
      </c>
      <c r="AB83" s="192">
        <f>AA83</f>
        <v>11325</v>
      </c>
      <c r="AC83" s="67">
        <f>+AA83+AC84</f>
        <v>11569</v>
      </c>
      <c r="AD83" s="67">
        <f>+AC83+AD84</f>
        <v>11813</v>
      </c>
      <c r="AE83" s="67">
        <f t="shared" ref="AE83:AF83" si="229">+AD83+AE84</f>
        <v>12057</v>
      </c>
      <c r="AF83" s="67">
        <f t="shared" si="229"/>
        <v>12303</v>
      </c>
      <c r="AG83" s="192">
        <f>AF83</f>
        <v>12303</v>
      </c>
      <c r="AH83" s="67">
        <f>+AF83+AH84</f>
        <v>12556</v>
      </c>
      <c r="AI83" s="67">
        <f>+AH83+AI84</f>
        <v>12809</v>
      </c>
      <c r="AJ83" s="67">
        <f t="shared" ref="AJ83:AK83" si="230">+AI83+AJ84</f>
        <v>13062</v>
      </c>
      <c r="AK83" s="67">
        <f t="shared" si="230"/>
        <v>13316</v>
      </c>
      <c r="AL83" s="192">
        <f>AK83</f>
        <v>13316</v>
      </c>
      <c r="AM83" s="67">
        <f>+AK83+AM84</f>
        <v>13380</v>
      </c>
      <c r="AN83" s="67">
        <f>+AM83+AN84</f>
        <v>13444</v>
      </c>
      <c r="AO83" s="67">
        <f t="shared" ref="AO83:AP83" si="231">+AN83+AO84</f>
        <v>13508</v>
      </c>
      <c r="AP83" s="67">
        <f t="shared" si="231"/>
        <v>13572</v>
      </c>
      <c r="AQ83" s="192">
        <f>AP83</f>
        <v>13572</v>
      </c>
      <c r="AR83" s="67">
        <f>+AP83+AR84</f>
        <v>13636</v>
      </c>
      <c r="AS83" s="67">
        <f>+AR83+AS84</f>
        <v>13700</v>
      </c>
      <c r="AT83" s="67">
        <f t="shared" ref="AT83:AU83" si="232">+AS83+AT84</f>
        <v>13764</v>
      </c>
      <c r="AU83" s="67">
        <f t="shared" si="232"/>
        <v>13828</v>
      </c>
      <c r="AV83" s="192">
        <f>AU83</f>
        <v>13828</v>
      </c>
    </row>
    <row r="84" spans="1:48" outlineLevel="1" x14ac:dyDescent="0.3">
      <c r="B84" s="180" t="s">
        <v>47</v>
      </c>
      <c r="C84" s="201"/>
      <c r="D84" s="101">
        <f>+D83-6201</f>
        <v>172</v>
      </c>
      <c r="E84" s="101">
        <f>+E83-D83</f>
        <v>213</v>
      </c>
      <c r="F84" s="101">
        <f t="shared" ref="F84:G84" si="233">+F83-E83</f>
        <v>541</v>
      </c>
      <c r="G84" s="101">
        <f t="shared" si="233"/>
        <v>202</v>
      </c>
      <c r="H84" s="122">
        <f>+SUM(D84:G84)</f>
        <v>1128</v>
      </c>
      <c r="I84" s="101">
        <f>+I83-G83</f>
        <v>204</v>
      </c>
      <c r="J84" s="101">
        <f t="shared" ref="J84:K84" si="234">+J83-I83</f>
        <v>109</v>
      </c>
      <c r="K84" s="101">
        <f t="shared" si="234"/>
        <v>49</v>
      </c>
      <c r="L84" s="101">
        <v>82</v>
      </c>
      <c r="M84" s="122">
        <f>+SUM(I84:L84)</f>
        <v>444</v>
      </c>
      <c r="N84" s="101">
        <v>139</v>
      </c>
      <c r="O84" s="101">
        <v>70</v>
      </c>
      <c r="P84" s="101">
        <v>120</v>
      </c>
      <c r="Q84" s="101">
        <v>205</v>
      </c>
      <c r="R84" s="122">
        <f>+SUM(N84:Q84)</f>
        <v>534</v>
      </c>
      <c r="S84" s="101">
        <v>209</v>
      </c>
      <c r="T84" s="101">
        <v>173</v>
      </c>
      <c r="U84" s="101">
        <v>64</v>
      </c>
      <c r="V84" s="101">
        <v>198</v>
      </c>
      <c r="W84" s="122">
        <f>+SUM(S84:V84)</f>
        <v>644</v>
      </c>
      <c r="X84" s="33">
        <v>236</v>
      </c>
      <c r="Y84" s="33">
        <v>236</v>
      </c>
      <c r="Z84" s="33">
        <v>236</v>
      </c>
      <c r="AA84" s="33">
        <v>238</v>
      </c>
      <c r="AB84" s="122">
        <f>+SUM(X84:AA84)</f>
        <v>946</v>
      </c>
      <c r="AC84" s="33">
        <v>244</v>
      </c>
      <c r="AD84" s="33">
        <v>244</v>
      </c>
      <c r="AE84" s="33">
        <v>244</v>
      </c>
      <c r="AF84" s="33">
        <v>246</v>
      </c>
      <c r="AG84" s="122">
        <f>+SUM(AC84:AF84)</f>
        <v>978</v>
      </c>
      <c r="AH84" s="33">
        <v>253</v>
      </c>
      <c r="AI84" s="33">
        <v>253</v>
      </c>
      <c r="AJ84" s="33">
        <v>253</v>
      </c>
      <c r="AK84" s="33">
        <v>254</v>
      </c>
      <c r="AL84" s="122">
        <f>+SUM(AH84:AK84)</f>
        <v>1013</v>
      </c>
      <c r="AM84" s="33">
        <v>64</v>
      </c>
      <c r="AN84" s="33">
        <v>64</v>
      </c>
      <c r="AO84" s="33">
        <v>64</v>
      </c>
      <c r="AP84" s="33">
        <v>64</v>
      </c>
      <c r="AQ84" s="122">
        <f>+SUM(AM84:AP84)</f>
        <v>256</v>
      </c>
      <c r="AR84" s="33">
        <v>64</v>
      </c>
      <c r="AS84" s="33">
        <v>64</v>
      </c>
      <c r="AT84" s="33">
        <v>64</v>
      </c>
      <c r="AU84" s="33">
        <v>64</v>
      </c>
      <c r="AV84" s="122">
        <f>+SUM(AR84:AU84)</f>
        <v>256</v>
      </c>
    </row>
    <row r="85" spans="1:48" outlineLevel="1" x14ac:dyDescent="0.3">
      <c r="B85" s="180" t="s">
        <v>49</v>
      </c>
      <c r="C85" s="201"/>
      <c r="D85" s="16">
        <f>AVERAGE(D83,6201)</f>
        <v>6287</v>
      </c>
      <c r="E85" s="16">
        <f>AVERAGE(E83,D83)</f>
        <v>6479.5</v>
      </c>
      <c r="F85" s="16">
        <f t="shared" ref="F85:G85" si="235">AVERAGE(F83,E83)</f>
        <v>6856.5</v>
      </c>
      <c r="G85" s="16">
        <f t="shared" si="235"/>
        <v>7228</v>
      </c>
      <c r="H85" s="26"/>
      <c r="I85" s="16">
        <f>AVERAGE(I83,G83)</f>
        <v>7431</v>
      </c>
      <c r="J85" s="16">
        <f>AVERAGE(J83,I83)</f>
        <v>7587.5</v>
      </c>
      <c r="K85" s="16">
        <f t="shared" ref="K85:L85" si="236">AVERAGE(K83,J83)</f>
        <v>7666.5</v>
      </c>
      <c r="L85" s="16">
        <f t="shared" si="236"/>
        <v>8713</v>
      </c>
      <c r="M85" s="6"/>
      <c r="N85" s="16">
        <f>AVERAGE(N83,L83)</f>
        <v>8826</v>
      </c>
      <c r="O85" s="16">
        <f>AVERAGE(O83,N83)</f>
        <v>7952</v>
      </c>
      <c r="P85" s="16">
        <f t="shared" ref="P85:Q85" si="237">AVERAGE(P83,O83)</f>
        <v>8047</v>
      </c>
      <c r="Q85" s="16">
        <f t="shared" si="237"/>
        <v>8921</v>
      </c>
      <c r="R85" s="6"/>
      <c r="S85" s="16">
        <f>AVERAGE(S83,Q83)</f>
        <v>9839.5</v>
      </c>
      <c r="T85" s="16">
        <f>AVERAGE(T83,S83)</f>
        <v>10030.5</v>
      </c>
      <c r="U85" s="16">
        <f t="shared" ref="U85:V85" si="238">AVERAGE(U83,T83)</f>
        <v>10149</v>
      </c>
      <c r="V85" s="16">
        <f t="shared" si="238"/>
        <v>10280</v>
      </c>
      <c r="W85" s="130"/>
      <c r="X85" s="16">
        <f>AVERAGE(X83,V83)</f>
        <v>10497</v>
      </c>
      <c r="Y85" s="16">
        <f>AVERAGE(Y83,X83)</f>
        <v>10733</v>
      </c>
      <c r="Z85" s="16">
        <f t="shared" ref="Z85:AA85" si="239">AVERAGE(Z83,Y83)</f>
        <v>10969</v>
      </c>
      <c r="AA85" s="16">
        <f t="shared" si="239"/>
        <v>11206</v>
      </c>
      <c r="AB85" s="6"/>
      <c r="AC85" s="16">
        <f>AVERAGE(AC83,AA83)</f>
        <v>11447</v>
      </c>
      <c r="AD85" s="16">
        <f>AVERAGE(AD83,AC83)</f>
        <v>11691</v>
      </c>
      <c r="AE85" s="16">
        <f t="shared" ref="AE85:AF85" si="240">AVERAGE(AE83,AD83)</f>
        <v>11935</v>
      </c>
      <c r="AF85" s="16">
        <f t="shared" si="240"/>
        <v>12180</v>
      </c>
      <c r="AG85" s="6"/>
      <c r="AH85" s="16">
        <f>AVERAGE(AH83,AF83)</f>
        <v>12429.5</v>
      </c>
      <c r="AI85" s="16">
        <f>AVERAGE(AI83,AH83)</f>
        <v>12682.5</v>
      </c>
      <c r="AJ85" s="16">
        <f t="shared" ref="AJ85:AK85" si="241">AVERAGE(AJ83,AI83)</f>
        <v>12935.5</v>
      </c>
      <c r="AK85" s="16">
        <f t="shared" si="241"/>
        <v>13189</v>
      </c>
      <c r="AL85" s="6"/>
      <c r="AM85" s="16">
        <f>AVERAGE(AM83,AK83)</f>
        <v>13348</v>
      </c>
      <c r="AN85" s="16">
        <f>AVERAGE(AN83,AM83)</f>
        <v>13412</v>
      </c>
      <c r="AO85" s="16">
        <f t="shared" ref="AO85:AP85" si="242">AVERAGE(AO83,AN83)</f>
        <v>13476</v>
      </c>
      <c r="AP85" s="16">
        <f t="shared" si="242"/>
        <v>13540</v>
      </c>
      <c r="AQ85" s="6"/>
      <c r="AR85" s="16">
        <f>AVERAGE(AR83,AP83)</f>
        <v>13604</v>
      </c>
      <c r="AS85" s="16">
        <f>AVERAGE(AS83,AR83)</f>
        <v>13668</v>
      </c>
      <c r="AT85" s="16">
        <f t="shared" ref="AT85:AU85" si="243">AVERAGE(AT83,AS83)</f>
        <v>13732</v>
      </c>
      <c r="AU85" s="16">
        <f t="shared" si="243"/>
        <v>13796</v>
      </c>
      <c r="AV85" s="6"/>
    </row>
    <row r="86" spans="1:48" outlineLevel="1" x14ac:dyDescent="0.3">
      <c r="B86" s="180" t="s">
        <v>48</v>
      </c>
      <c r="C86" s="201"/>
      <c r="D86" s="43">
        <f>+D87/D85</f>
        <v>3.5390488309209482E-2</v>
      </c>
      <c r="E86" s="114">
        <f>+E87/E85</f>
        <v>3.3197005941816495E-2</v>
      </c>
      <c r="F86" s="114">
        <f>+F87/F85</f>
        <v>3.335521038430686E-2</v>
      </c>
      <c r="G86" s="114">
        <f>+G87/G85</f>
        <v>3.468456004427227E-2</v>
      </c>
      <c r="H86" s="26"/>
      <c r="I86" s="114">
        <f t="shared" ref="I86:S86" si="244">+I87/I85</f>
        <v>3.4275333064190554E-2</v>
      </c>
      <c r="J86" s="114">
        <f t="shared" si="244"/>
        <v>2.97331136738056E-2</v>
      </c>
      <c r="K86" s="114">
        <f t="shared" si="244"/>
        <v>8.4784451835909474E-3</v>
      </c>
      <c r="L86" s="114">
        <f t="shared" si="244"/>
        <v>2.3837943303110294E-2</v>
      </c>
      <c r="M86" s="6"/>
      <c r="N86" s="114">
        <f t="shared" si="244"/>
        <v>2.2388397915250397E-2</v>
      </c>
      <c r="O86" s="114">
        <f t="shared" si="244"/>
        <v>2.5251509054325959E-2</v>
      </c>
      <c r="P86" s="114">
        <f t="shared" si="244"/>
        <v>2.6307940847520812E-2</v>
      </c>
      <c r="Q86" s="114">
        <f t="shared" si="244"/>
        <v>3.228337630310503E-2</v>
      </c>
      <c r="R86" s="6"/>
      <c r="S86" s="114">
        <f t="shared" si="244"/>
        <v>3.4036282331419275E-2</v>
      </c>
      <c r="T86" s="114">
        <f>+T87/T85</f>
        <v>3.4145855141817456E-2</v>
      </c>
      <c r="U86" s="114">
        <f>+U87/U85</f>
        <v>4.065425165040891E-2</v>
      </c>
      <c r="V86" s="114">
        <f>+V87/V85</f>
        <v>4.0369649805447473E-2</v>
      </c>
      <c r="W86" s="130"/>
      <c r="X86" s="62">
        <f>S86*1.2</f>
        <v>4.0843538797703131E-2</v>
      </c>
      <c r="Y86" s="62">
        <f>T86*1.2</f>
        <v>4.0975026170180943E-2</v>
      </c>
      <c r="Z86" s="62">
        <f>U86*1.2</f>
        <v>4.8785101980490693E-2</v>
      </c>
      <c r="AA86" s="62">
        <f>V86*1.2</f>
        <v>4.8443579766536966E-2</v>
      </c>
      <c r="AB86" s="6"/>
      <c r="AC86" s="62">
        <f>X86*1.05</f>
        <v>4.2885715737588287E-2</v>
      </c>
      <c r="AD86" s="62">
        <f>Y86*1.05</f>
        <v>4.302377747868999E-2</v>
      </c>
      <c r="AE86" s="62">
        <f>Z86*1.05</f>
        <v>5.1224357079515233E-2</v>
      </c>
      <c r="AF86" s="62">
        <f>AA86*1.05</f>
        <v>5.0865758754863814E-2</v>
      </c>
      <c r="AG86" s="6"/>
      <c r="AH86" s="62">
        <f>AC86*1.05</f>
        <v>4.5030001524467705E-2</v>
      </c>
      <c r="AI86" s="62">
        <f t="shared" ref="AI86:AK86" si="245">AD86*1.05</f>
        <v>4.5174966352624489E-2</v>
      </c>
      <c r="AJ86" s="62">
        <f t="shared" si="245"/>
        <v>5.3785574933490995E-2</v>
      </c>
      <c r="AK86" s="62">
        <f t="shared" si="245"/>
        <v>5.3409046692607008E-2</v>
      </c>
      <c r="AL86" s="6"/>
      <c r="AM86" s="477">
        <f>AH86*1.05</f>
        <v>4.7281501600691091E-2</v>
      </c>
      <c r="AN86" s="477">
        <f>AI86*1.05</f>
        <v>4.7433714670255714E-2</v>
      </c>
      <c r="AO86" s="477">
        <f>AJ86*1.05</f>
        <v>5.6474853680165547E-2</v>
      </c>
      <c r="AP86" s="477">
        <f>AK86*1.05</f>
        <v>5.6079499027237363E-2</v>
      </c>
      <c r="AQ86" s="97"/>
      <c r="AR86" s="477">
        <f>AM86*1.03</f>
        <v>4.8699946648711821E-2</v>
      </c>
      <c r="AS86" s="477">
        <f>AN86*1.03</f>
        <v>4.8856726110363388E-2</v>
      </c>
      <c r="AT86" s="477">
        <f>AO86*1.03</f>
        <v>5.8169099290570514E-2</v>
      </c>
      <c r="AU86" s="477">
        <f>AP86*1.03</f>
        <v>5.7761883998054486E-2</v>
      </c>
      <c r="AV86" s="6"/>
    </row>
    <row r="87" spans="1:48" s="8" customFormat="1" outlineLevel="1" x14ac:dyDescent="0.3">
      <c r="B87" s="603" t="s">
        <v>118</v>
      </c>
      <c r="C87" s="604"/>
      <c r="D87" s="115">
        <v>222.5</v>
      </c>
      <c r="E87" s="115">
        <v>215.1</v>
      </c>
      <c r="F87" s="115">
        <v>228.7</v>
      </c>
      <c r="G87" s="115">
        <v>250.7</v>
      </c>
      <c r="H87" s="73">
        <f>SUM(D87:G87)</f>
        <v>917</v>
      </c>
      <c r="I87" s="115">
        <v>254.7</v>
      </c>
      <c r="J87" s="115">
        <v>225.6</v>
      </c>
      <c r="K87" s="115">
        <v>65</v>
      </c>
      <c r="L87" s="72">
        <v>207.7</v>
      </c>
      <c r="M87" s="73">
        <f>SUM(I87:L87)</f>
        <v>753</v>
      </c>
      <c r="N87" s="72">
        <v>197.6</v>
      </c>
      <c r="O87" s="72">
        <v>200.8</v>
      </c>
      <c r="P87" s="72">
        <v>211.7</v>
      </c>
      <c r="Q87" s="115">
        <v>288</v>
      </c>
      <c r="R87" s="73">
        <f>SUM(N87:Q87)</f>
        <v>898.09999999999991</v>
      </c>
      <c r="S87" s="72">
        <v>334.9</v>
      </c>
      <c r="T87" s="72">
        <v>342.5</v>
      </c>
      <c r="U87" s="72">
        <v>412.6</v>
      </c>
      <c r="V87" s="72">
        <v>415</v>
      </c>
      <c r="W87" s="213">
        <f>SUM(S87:V87)</f>
        <v>1505</v>
      </c>
      <c r="X87" s="72">
        <f>+X85*X86</f>
        <v>428.73462675948974</v>
      </c>
      <c r="Y87" s="72">
        <f>+Y85*Y86</f>
        <v>439.78495588455206</v>
      </c>
      <c r="Z87" s="72">
        <f t="shared" ref="Z87:AA87" si="246">+Z85*Z86</f>
        <v>535.12378362400239</v>
      </c>
      <c r="AA87" s="72">
        <f t="shared" si="246"/>
        <v>542.85875486381326</v>
      </c>
      <c r="AB87" s="73">
        <f>SUM(X87:AA87)</f>
        <v>1946.5021211318576</v>
      </c>
      <c r="AC87" s="72">
        <f>+AC85*AC86</f>
        <v>490.91278804817313</v>
      </c>
      <c r="AD87" s="72">
        <f>+AD85*AD86</f>
        <v>502.99098250336465</v>
      </c>
      <c r="AE87" s="72">
        <f t="shared" ref="AE87:AF87" si="247">+AE85*AE86</f>
        <v>611.36270174401432</v>
      </c>
      <c r="AF87" s="72">
        <f t="shared" si="247"/>
        <v>619.54494163424124</v>
      </c>
      <c r="AG87" s="73">
        <f>SUM(AC87:AF87)</f>
        <v>2224.8114139297932</v>
      </c>
      <c r="AH87" s="72">
        <f>+AH85*AH86</f>
        <v>559.70040394837133</v>
      </c>
      <c r="AI87" s="72">
        <f>+AI85*AI86</f>
        <v>572.93151076716003</v>
      </c>
      <c r="AJ87" s="72">
        <f t="shared" ref="AJ87:AK87" si="248">+AJ85*AJ86</f>
        <v>695.74330455217273</v>
      </c>
      <c r="AK87" s="72">
        <f t="shared" si="248"/>
        <v>704.41191682879378</v>
      </c>
      <c r="AL87" s="73">
        <f>SUM(AH87:AK87)</f>
        <v>2532.7871360964978</v>
      </c>
      <c r="AM87" s="72">
        <f>+AM85*AM86</f>
        <v>631.11348336602464</v>
      </c>
      <c r="AN87" s="72">
        <f>+AN85*AN86</f>
        <v>636.18098115746966</v>
      </c>
      <c r="AO87" s="72">
        <f t="shared" ref="AO87:AP87" si="249">+AO85*AO86</f>
        <v>761.05512819391095</v>
      </c>
      <c r="AP87" s="72">
        <f t="shared" si="249"/>
        <v>759.31641682879388</v>
      </c>
      <c r="AQ87" s="73">
        <f>SUM(AM87:AP87)</f>
        <v>2787.6660095461993</v>
      </c>
      <c r="AR87" s="72">
        <f>+AR85*AR86</f>
        <v>662.5140742090756</v>
      </c>
      <c r="AS87" s="72">
        <f>+AS85*AS86</f>
        <v>667.77373247644675</v>
      </c>
      <c r="AT87" s="72">
        <f t="shared" ref="AT87:AU87" si="250">+AT85*AT86</f>
        <v>798.77807145811425</v>
      </c>
      <c r="AU87" s="72">
        <f t="shared" si="250"/>
        <v>796.88295163715975</v>
      </c>
      <c r="AV87" s="73">
        <f>SUM(AR87:AU87)</f>
        <v>2925.9488297807966</v>
      </c>
    </row>
    <row r="88" spans="1:48" s="8" customFormat="1" outlineLevel="1" x14ac:dyDescent="0.3">
      <c r="B88" s="587" t="s">
        <v>119</v>
      </c>
      <c r="C88" s="588"/>
      <c r="D88" s="103">
        <v>3.4</v>
      </c>
      <c r="E88" s="103">
        <v>4.9000000000000004</v>
      </c>
      <c r="F88" s="103">
        <v>3.8</v>
      </c>
      <c r="G88" s="103">
        <v>5.5</v>
      </c>
      <c r="H88" s="97">
        <f>SUM(D88:G88)</f>
        <v>17.600000000000001</v>
      </c>
      <c r="I88" s="103">
        <v>6.7</v>
      </c>
      <c r="J88" s="103">
        <v>6.6</v>
      </c>
      <c r="K88" s="103">
        <v>9.1</v>
      </c>
      <c r="L88" s="50">
        <v>5.3</v>
      </c>
      <c r="M88" s="97">
        <f>SUM(I88:L88)</f>
        <v>27.7</v>
      </c>
      <c r="N88" s="50">
        <v>15</v>
      </c>
      <c r="O88" s="50">
        <v>25.4</v>
      </c>
      <c r="P88" s="50">
        <v>13.4</v>
      </c>
      <c r="Q88" s="103">
        <v>16.600000000000001</v>
      </c>
      <c r="R88" s="97">
        <f>SUM(N88:Q88)</f>
        <v>70.400000000000006</v>
      </c>
      <c r="S88" s="50">
        <v>32.700000000000003</v>
      </c>
      <c r="T88" s="50">
        <v>19.5</v>
      </c>
      <c r="U88" s="50">
        <v>9.8000000000000007</v>
      </c>
      <c r="V88" s="50">
        <v>11.1</v>
      </c>
      <c r="W88" s="132">
        <f>SUM(S88:V88)</f>
        <v>73.099999999999994</v>
      </c>
      <c r="X88" s="50">
        <f>+S88*(1+X89)</f>
        <v>26.160000000000004</v>
      </c>
      <c r="Y88" s="50">
        <f>+T88*(1+Y89)</f>
        <v>17.55</v>
      </c>
      <c r="Z88" s="50">
        <f>+U88*(1+Z89)</f>
        <v>10.290000000000001</v>
      </c>
      <c r="AA88" s="50">
        <f t="shared" ref="AA88" si="251">+V88*(1+AA89)</f>
        <v>11.654999999999999</v>
      </c>
      <c r="AB88" s="97">
        <f>SUM(X88:AA88)</f>
        <v>65.655000000000001</v>
      </c>
      <c r="AC88" s="50">
        <f>+X88*(1+AC89)</f>
        <v>28.776000000000007</v>
      </c>
      <c r="AD88" s="50">
        <f>+Y88*(1+AD89)</f>
        <v>20.182500000000001</v>
      </c>
      <c r="AE88" s="50">
        <f>+Z88*(1+AE89)</f>
        <v>12.348000000000001</v>
      </c>
      <c r="AF88" s="50">
        <f t="shared" ref="AF88" si="252">+AA88*(1+AF89)</f>
        <v>13.985999999999999</v>
      </c>
      <c r="AG88" s="97">
        <f>SUM(AC88:AF88)</f>
        <v>75.292500000000004</v>
      </c>
      <c r="AH88" s="50">
        <f>+AC88*(1+AH89)</f>
        <v>35.970000000000006</v>
      </c>
      <c r="AI88" s="50">
        <f>+AD88*(1+AI89)</f>
        <v>25.228125000000002</v>
      </c>
      <c r="AJ88" s="50">
        <f>+AE88*(1+AJ89)</f>
        <v>15.435</v>
      </c>
      <c r="AK88" s="50">
        <f t="shared" ref="AK88" si="253">+AF88*(1+AK89)</f>
        <v>17.482499999999998</v>
      </c>
      <c r="AL88" s="97">
        <f>SUM(AH88:AK88)</f>
        <v>94.115625000000009</v>
      </c>
      <c r="AM88" s="50">
        <f>+AH88*(1+AM89)</f>
        <v>39.567000000000007</v>
      </c>
      <c r="AN88" s="50">
        <f>+AI88*(1+AN89)</f>
        <v>27.750937500000006</v>
      </c>
      <c r="AO88" s="50">
        <f>+AJ88*(1+AO89)</f>
        <v>16.9785</v>
      </c>
      <c r="AP88" s="50">
        <f t="shared" ref="AP88" si="254">+AK88*(1+AP89)</f>
        <v>19.23075</v>
      </c>
      <c r="AQ88" s="97">
        <f>SUM(AM88:AP88)</f>
        <v>103.52718750000001</v>
      </c>
      <c r="AR88" s="50">
        <f>+AM88*(1+AR89)</f>
        <v>41.545350000000006</v>
      </c>
      <c r="AS88" s="50">
        <f>+AN88*(1+AS89)</f>
        <v>29.138484375000008</v>
      </c>
      <c r="AT88" s="50">
        <f>+AO88*(1+AT89)</f>
        <v>17.827425000000002</v>
      </c>
      <c r="AU88" s="50">
        <f t="shared" ref="AU88" si="255">+AP88*(1+AU89)</f>
        <v>20.192287500000003</v>
      </c>
      <c r="AV88" s="97">
        <f>SUM(AR88:AU88)</f>
        <v>108.70354687500003</v>
      </c>
    </row>
    <row r="89" spans="1:48" outlineLevel="1" x14ac:dyDescent="0.3">
      <c r="B89" s="69" t="s">
        <v>50</v>
      </c>
      <c r="C89" s="70"/>
      <c r="D89" s="120"/>
      <c r="E89" s="120"/>
      <c r="F89" s="120"/>
      <c r="G89" s="120"/>
      <c r="H89" s="58"/>
      <c r="I89" s="120">
        <f>I88/D88-1</f>
        <v>0.97058823529411775</v>
      </c>
      <c r="J89" s="120">
        <f t="shared" ref="J89:L89" si="256">J88/E88-1</f>
        <v>0.3469387755102038</v>
      </c>
      <c r="K89" s="120">
        <f t="shared" si="256"/>
        <v>1.3947368421052633</v>
      </c>
      <c r="L89" s="120">
        <f t="shared" si="256"/>
        <v>-3.6363636363636376E-2</v>
      </c>
      <c r="M89" s="58"/>
      <c r="N89" s="120">
        <f>N88/I88-1</f>
        <v>1.2388059701492535</v>
      </c>
      <c r="O89" s="120">
        <f t="shared" ref="O89:Q89" si="257">O88/J88-1</f>
        <v>2.8484848484848486</v>
      </c>
      <c r="P89" s="120">
        <f t="shared" si="257"/>
        <v>0.47252747252747263</v>
      </c>
      <c r="Q89" s="120">
        <f t="shared" si="257"/>
        <v>2.1320754716981134</v>
      </c>
      <c r="R89" s="58"/>
      <c r="S89" s="120">
        <f>S88/N88-1</f>
        <v>1.1800000000000002</v>
      </c>
      <c r="T89" s="120">
        <f t="shared" ref="T89:U89" si="258">T88/O88-1</f>
        <v>-0.23228346456692905</v>
      </c>
      <c r="U89" s="120">
        <f t="shared" si="258"/>
        <v>-0.26865671641791045</v>
      </c>
      <c r="V89" s="120">
        <f>V88/Q88-1</f>
        <v>-0.3313253012048194</v>
      </c>
      <c r="W89" s="155"/>
      <c r="X89" s="71">
        <v>-0.2</v>
      </c>
      <c r="Y89" s="71">
        <v>-0.1</v>
      </c>
      <c r="Z89" s="71">
        <v>0.05</v>
      </c>
      <c r="AA89" s="71">
        <v>0.05</v>
      </c>
      <c r="AB89" s="58"/>
      <c r="AC89" s="71">
        <v>0.1</v>
      </c>
      <c r="AD89" s="71">
        <v>0.15</v>
      </c>
      <c r="AE89" s="71">
        <v>0.2</v>
      </c>
      <c r="AF89" s="71">
        <v>0.2</v>
      </c>
      <c r="AG89" s="58"/>
      <c r="AH89" s="71">
        <v>0.25</v>
      </c>
      <c r="AI89" s="71">
        <v>0.25</v>
      </c>
      <c r="AJ89" s="71">
        <v>0.25</v>
      </c>
      <c r="AK89" s="71">
        <v>0.25</v>
      </c>
      <c r="AL89" s="58"/>
      <c r="AM89" s="71">
        <v>0.1</v>
      </c>
      <c r="AN89" s="71">
        <v>0.1</v>
      </c>
      <c r="AO89" s="71">
        <v>0.1</v>
      </c>
      <c r="AP89" s="71">
        <v>0.1</v>
      </c>
      <c r="AQ89" s="58"/>
      <c r="AR89" s="71">
        <v>0.05</v>
      </c>
      <c r="AS89" s="71">
        <v>0.05</v>
      </c>
      <c r="AT89" s="71">
        <v>0.05</v>
      </c>
      <c r="AU89" s="71">
        <v>0.05</v>
      </c>
      <c r="AV89" s="58"/>
    </row>
    <row r="90" spans="1:48" outlineLevel="1" x14ac:dyDescent="0.3">
      <c r="B90" s="180" t="s">
        <v>120</v>
      </c>
      <c r="C90" s="207"/>
      <c r="D90" s="101">
        <f t="shared" ref="D90:G91" si="259">+D83+D74</f>
        <v>12212</v>
      </c>
      <c r="E90" s="101">
        <f t="shared" si="259"/>
        <v>12465</v>
      </c>
      <c r="F90" s="101">
        <f t="shared" si="259"/>
        <v>12773</v>
      </c>
      <c r="G90" s="101">
        <f t="shared" si="259"/>
        <v>13189</v>
      </c>
      <c r="H90" s="6"/>
      <c r="I90" s="101">
        <f t="shared" ref="I90:L91" si="260">+I83+I74</f>
        <v>13592</v>
      </c>
      <c r="J90" s="101">
        <f t="shared" si="260"/>
        <v>13779</v>
      </c>
      <c r="K90" s="101">
        <f t="shared" si="260"/>
        <v>13945</v>
      </c>
      <c r="L90" s="16">
        <f t="shared" si="260"/>
        <v>16263</v>
      </c>
      <c r="M90" s="6"/>
      <c r="N90" s="16">
        <f t="shared" ref="N90:Q91" si="261">+N83+N74</f>
        <v>14630</v>
      </c>
      <c r="O90" s="16">
        <f t="shared" si="261"/>
        <v>14823</v>
      </c>
      <c r="P90" s="16">
        <f t="shared" si="261"/>
        <v>15120</v>
      </c>
      <c r="Q90" s="16">
        <f t="shared" si="261"/>
        <v>17007</v>
      </c>
      <c r="R90" s="6"/>
      <c r="S90" s="16">
        <f t="shared" ref="S90:V91" si="262">+S83+S74</f>
        <v>17429</v>
      </c>
      <c r="T90" s="16">
        <f t="shared" si="262"/>
        <v>17704</v>
      </c>
      <c r="U90" s="16">
        <f t="shared" si="262"/>
        <v>17898</v>
      </c>
      <c r="V90" s="16">
        <f t="shared" si="262"/>
        <v>18416</v>
      </c>
      <c r="W90" s="254">
        <f>W91/Q90</f>
        <v>8.2848238960428061E-2</v>
      </c>
      <c r="X90" s="16">
        <f t="shared" ref="X90:AA91" si="263">+X83+X74</f>
        <v>18907</v>
      </c>
      <c r="Y90" s="16">
        <f t="shared" si="263"/>
        <v>19398</v>
      </c>
      <c r="Z90" s="16">
        <f t="shared" si="263"/>
        <v>19889</v>
      </c>
      <c r="AA90" s="16">
        <f t="shared" si="263"/>
        <v>20384</v>
      </c>
      <c r="AB90" s="254">
        <f>AB91/V90</f>
        <v>0.10686359687228497</v>
      </c>
      <c r="AC90" s="16">
        <f t="shared" ref="AC90:AF91" si="264">+AC83+AC74</f>
        <v>20892</v>
      </c>
      <c r="AD90" s="16">
        <f t="shared" si="264"/>
        <v>21400</v>
      </c>
      <c r="AE90" s="16">
        <f t="shared" si="264"/>
        <v>21908</v>
      </c>
      <c r="AF90" s="16">
        <f t="shared" si="264"/>
        <v>22422</v>
      </c>
      <c r="AG90" s="254">
        <f>AG91/AA90</f>
        <v>9.9980376766091048E-2</v>
      </c>
      <c r="AH90" s="16">
        <f t="shared" ref="AH90:AK91" si="265">+AH83+AH74</f>
        <v>22949</v>
      </c>
      <c r="AI90" s="16">
        <f t="shared" si="265"/>
        <v>23476</v>
      </c>
      <c r="AJ90" s="16">
        <f t="shared" si="265"/>
        <v>24003</v>
      </c>
      <c r="AK90" s="16">
        <f t="shared" si="265"/>
        <v>24533</v>
      </c>
      <c r="AL90" s="254">
        <f>AL91/AF90</f>
        <v>9.4148604049594145E-2</v>
      </c>
      <c r="AM90" s="16">
        <f t="shared" ref="AM90:AP91" si="266">+AM83+AM74</f>
        <v>24727</v>
      </c>
      <c r="AN90" s="16">
        <f t="shared" si="266"/>
        <v>24921</v>
      </c>
      <c r="AO90" s="16">
        <f t="shared" si="266"/>
        <v>25115</v>
      </c>
      <c r="AP90" s="16">
        <f t="shared" si="266"/>
        <v>25309</v>
      </c>
      <c r="AQ90" s="254">
        <f>AQ91/AK90</f>
        <v>3.1630864549790076E-2</v>
      </c>
      <c r="AR90" s="16">
        <f t="shared" ref="AR90:AU91" si="267">+AR83+AR74</f>
        <v>25503</v>
      </c>
      <c r="AS90" s="16">
        <f t="shared" si="267"/>
        <v>25697</v>
      </c>
      <c r="AT90" s="16">
        <f t="shared" si="267"/>
        <v>25891</v>
      </c>
      <c r="AU90" s="16">
        <f t="shared" si="267"/>
        <v>26085</v>
      </c>
      <c r="AV90" s="254">
        <f>AV91/AP90</f>
        <v>3.066102967323877E-2</v>
      </c>
    </row>
    <row r="91" spans="1:48" outlineLevel="1" x14ac:dyDescent="0.3">
      <c r="B91" s="180" t="s">
        <v>121</v>
      </c>
      <c r="C91" s="207"/>
      <c r="D91" s="101">
        <f t="shared" si="259"/>
        <v>360</v>
      </c>
      <c r="E91" s="101">
        <f t="shared" si="259"/>
        <v>253</v>
      </c>
      <c r="F91" s="101">
        <f t="shared" si="259"/>
        <v>308</v>
      </c>
      <c r="G91" s="101">
        <f t="shared" si="259"/>
        <v>416</v>
      </c>
      <c r="H91" s="122">
        <f>+H84+H75</f>
        <v>1337</v>
      </c>
      <c r="I91" s="101">
        <f t="shared" si="260"/>
        <v>403</v>
      </c>
      <c r="J91" s="101">
        <f t="shared" si="260"/>
        <v>187</v>
      </c>
      <c r="K91" s="101">
        <f t="shared" si="260"/>
        <v>166</v>
      </c>
      <c r="L91" s="101">
        <f t="shared" si="260"/>
        <v>356</v>
      </c>
      <c r="M91" s="122">
        <f>+M84+M75</f>
        <v>1112</v>
      </c>
      <c r="N91" s="101">
        <f t="shared" si="261"/>
        <v>324</v>
      </c>
      <c r="O91" s="101">
        <f t="shared" si="261"/>
        <v>193</v>
      </c>
      <c r="P91" s="101">
        <f t="shared" si="261"/>
        <v>297</v>
      </c>
      <c r="Q91" s="101">
        <f t="shared" si="261"/>
        <v>464</v>
      </c>
      <c r="R91" s="122">
        <f>+R84+R75</f>
        <v>1278</v>
      </c>
      <c r="S91" s="16">
        <f t="shared" si="262"/>
        <v>422</v>
      </c>
      <c r="T91" s="16">
        <f t="shared" si="262"/>
        <v>275</v>
      </c>
      <c r="U91" s="16">
        <f t="shared" si="262"/>
        <v>194</v>
      </c>
      <c r="V91" s="16">
        <f t="shared" si="262"/>
        <v>518</v>
      </c>
      <c r="W91" s="122">
        <f>+W84+W75</f>
        <v>1409</v>
      </c>
      <c r="X91" s="16">
        <f t="shared" si="263"/>
        <v>491</v>
      </c>
      <c r="Y91" s="16">
        <f t="shared" si="263"/>
        <v>491</v>
      </c>
      <c r="Z91" s="16">
        <f t="shared" si="263"/>
        <v>491</v>
      </c>
      <c r="AA91" s="16">
        <f t="shared" si="263"/>
        <v>495</v>
      </c>
      <c r="AB91" s="26">
        <f>+AB84+AB75</f>
        <v>1968</v>
      </c>
      <c r="AC91" s="16">
        <f t="shared" si="264"/>
        <v>508</v>
      </c>
      <c r="AD91" s="16">
        <f t="shared" si="264"/>
        <v>508</v>
      </c>
      <c r="AE91" s="16">
        <f t="shared" si="264"/>
        <v>508</v>
      </c>
      <c r="AF91" s="16">
        <f t="shared" si="264"/>
        <v>514</v>
      </c>
      <c r="AG91" s="26">
        <f>+AG84+AG75</f>
        <v>2038</v>
      </c>
      <c r="AH91" s="16">
        <f t="shared" si="265"/>
        <v>527</v>
      </c>
      <c r="AI91" s="16">
        <f t="shared" si="265"/>
        <v>527</v>
      </c>
      <c r="AJ91" s="16">
        <f t="shared" si="265"/>
        <v>527</v>
      </c>
      <c r="AK91" s="16">
        <f t="shared" si="265"/>
        <v>530</v>
      </c>
      <c r="AL91" s="26">
        <f>+AL84+AL75</f>
        <v>2111</v>
      </c>
      <c r="AM91" s="16">
        <f t="shared" si="266"/>
        <v>194</v>
      </c>
      <c r="AN91" s="16">
        <f t="shared" si="266"/>
        <v>194</v>
      </c>
      <c r="AO91" s="16">
        <f t="shared" si="266"/>
        <v>194</v>
      </c>
      <c r="AP91" s="16">
        <f t="shared" si="266"/>
        <v>194</v>
      </c>
      <c r="AQ91" s="26">
        <f>+AQ84+AQ75</f>
        <v>776</v>
      </c>
      <c r="AR91" s="16">
        <f t="shared" si="267"/>
        <v>194</v>
      </c>
      <c r="AS91" s="16">
        <f t="shared" si="267"/>
        <v>194</v>
      </c>
      <c r="AT91" s="16">
        <f t="shared" si="267"/>
        <v>194</v>
      </c>
      <c r="AU91" s="16">
        <f t="shared" si="267"/>
        <v>194</v>
      </c>
      <c r="AV91" s="26">
        <f>+AV84+AV75</f>
        <v>776</v>
      </c>
    </row>
    <row r="92" spans="1:48" outlineLevel="1" x14ac:dyDescent="0.3">
      <c r="B92" s="605" t="s">
        <v>122</v>
      </c>
      <c r="C92" s="606"/>
      <c r="D92" s="115">
        <f>+D88+D87+D78</f>
        <v>1504</v>
      </c>
      <c r="E92" s="115">
        <f>+E88+E87+E78</f>
        <v>1529.4</v>
      </c>
      <c r="F92" s="115">
        <f>+F88+F87+F78</f>
        <v>1585.3</v>
      </c>
      <c r="G92" s="115">
        <f>+G88+G87+G78</f>
        <v>1572.1000000000001</v>
      </c>
      <c r="H92" s="213">
        <f>SUM(D92:G92)</f>
        <v>6190.8</v>
      </c>
      <c r="I92" s="115">
        <f>+I88+I87+I78</f>
        <v>1571.1</v>
      </c>
      <c r="J92" s="115">
        <f>+J88+J87+J78</f>
        <v>1134.5999999999999</v>
      </c>
      <c r="K92" s="115">
        <f>+K88+K87+K78</f>
        <v>949.6</v>
      </c>
      <c r="L92" s="115">
        <f>+L88+L87+L78</f>
        <v>1511.3</v>
      </c>
      <c r="M92" s="213">
        <f>SUM(I92:L92)</f>
        <v>5166.5999999999995</v>
      </c>
      <c r="N92" s="115">
        <f>+N88+N87+N78</f>
        <v>1654.3</v>
      </c>
      <c r="O92" s="115">
        <f>+O88+O87+O78</f>
        <v>1610.9</v>
      </c>
      <c r="P92" s="115">
        <f>+P88+P87+P78</f>
        <v>1658.3999999999999</v>
      </c>
      <c r="Q92" s="115">
        <f>+Q88+Q87+Q78</f>
        <v>1914.6</v>
      </c>
      <c r="R92" s="73">
        <f>SUM(N92:Q92)</f>
        <v>6838.1999999999989</v>
      </c>
      <c r="S92" s="72">
        <f>+S88+S87+S78</f>
        <v>1875.8999999999999</v>
      </c>
      <c r="T92" s="72">
        <f>+T88+T87+T78</f>
        <v>1702.4</v>
      </c>
      <c r="U92" s="72">
        <f>+U88+U87+U78</f>
        <v>1584.7</v>
      </c>
      <c r="V92" s="72">
        <f>+V88+V87+V78</f>
        <v>1777</v>
      </c>
      <c r="W92" s="213">
        <f>SUM(S92:V92)</f>
        <v>6940</v>
      </c>
      <c r="X92" s="72">
        <f>+X88+X87+X78</f>
        <v>1873.5214543667269</v>
      </c>
      <c r="Y92" s="72">
        <f>+Y88+Y87+Y78</f>
        <v>1880.0025394832783</v>
      </c>
      <c r="Z92" s="72">
        <f>+Z88+Z87+Z78</f>
        <v>2126.5488620348751</v>
      </c>
      <c r="AA92" s="72">
        <f>+AA88+AA87+AA78</f>
        <v>2392.4031721546598</v>
      </c>
      <c r="AB92" s="73">
        <f>SUM(X92:AA92)</f>
        <v>8272.4760280395403</v>
      </c>
      <c r="AC92" s="72">
        <f>+AC88+AC87+AC78</f>
        <v>2436.0730132972076</v>
      </c>
      <c r="AD92" s="72">
        <f>+AD88+AD87+AD78</f>
        <v>2200.6944876785242</v>
      </c>
      <c r="AE92" s="72">
        <f>+AE88+AE87+AE78</f>
        <v>2483.8068938506531</v>
      </c>
      <c r="AF92" s="72">
        <f>+AF88+AF87+AF78</f>
        <v>2791.1808070652428</v>
      </c>
      <c r="AG92" s="73">
        <f>SUM(AC92:AF92)</f>
        <v>9911.7552018916267</v>
      </c>
      <c r="AH92" s="72">
        <f>+AH88+AH87+AH78</f>
        <v>2841.036353775572</v>
      </c>
      <c r="AI92" s="72">
        <f>+AI88+AI87+AI78</f>
        <v>2559.8212955999629</v>
      </c>
      <c r="AJ92" s="72">
        <f>+AJ88+AJ87+AJ78</f>
        <v>2882.3176421893913</v>
      </c>
      <c r="AK92" s="72">
        <f>+AK88+AK87+AK78</f>
        <v>3235.6483479320059</v>
      </c>
      <c r="AL92" s="73">
        <f>SUM(AH92:AK92)</f>
        <v>11518.823639496932</v>
      </c>
      <c r="AM92" s="72">
        <f>+AM88+AM87+AM78</f>
        <v>3264.1701068301436</v>
      </c>
      <c r="AN92" s="72">
        <f>+AN88+AN87+AN78</f>
        <v>2896.2022895133614</v>
      </c>
      <c r="AO92" s="72">
        <f>+AO88+AO87+AO78</f>
        <v>3213.4515055318616</v>
      </c>
      <c r="AP92" s="72">
        <f>+AP88+AP87+AP78</f>
        <v>3559.2640797296453</v>
      </c>
      <c r="AQ92" s="73">
        <f>SUM(AM92:AP92)</f>
        <v>12933.087981605011</v>
      </c>
      <c r="AR92" s="72">
        <f>+AR88+AR87+AR78</f>
        <v>3498.4766793240583</v>
      </c>
      <c r="AS92" s="72">
        <f>+AS88+AS87+AS78</f>
        <v>3100.917962295197</v>
      </c>
      <c r="AT92" s="72">
        <f>+AT88+AT87+AT78</f>
        <v>3438.1001030725547</v>
      </c>
      <c r="AU92" s="72">
        <f>+AU88+AU87+AU78</f>
        <v>3808.8140688278545</v>
      </c>
      <c r="AV92" s="73">
        <f>SUM(AR92:AU92)</f>
        <v>13846.308813519665</v>
      </c>
    </row>
    <row r="93" spans="1:48" outlineLevel="1" x14ac:dyDescent="0.3">
      <c r="B93" s="607" t="s">
        <v>100</v>
      </c>
      <c r="C93" s="608"/>
      <c r="D93" s="105">
        <v>462.7</v>
      </c>
      <c r="E93" s="105">
        <v>470.2</v>
      </c>
      <c r="F93" s="105">
        <v>476.1</v>
      </c>
      <c r="G93" s="105">
        <v>486.1</v>
      </c>
      <c r="H93" s="129">
        <f>SUM(D93:G93)</f>
        <v>1895.1</v>
      </c>
      <c r="I93" s="105">
        <v>488.5</v>
      </c>
      <c r="J93" s="105">
        <v>387.7</v>
      </c>
      <c r="K93" s="105">
        <v>337.7</v>
      </c>
      <c r="L93" s="105">
        <v>479.2</v>
      </c>
      <c r="M93" s="129">
        <f>SUM(I93:L93)</f>
        <v>1693.1000000000001</v>
      </c>
      <c r="N93" s="105">
        <v>520.4</v>
      </c>
      <c r="O93" s="105">
        <v>513.5</v>
      </c>
      <c r="P93" s="105">
        <v>501.7</v>
      </c>
      <c r="Q93" s="105">
        <v>605.1</v>
      </c>
      <c r="R93" s="76">
        <f>SUM(N93:Q93)</f>
        <v>2140.7000000000003</v>
      </c>
      <c r="S93" s="48">
        <v>615.79999999999995</v>
      </c>
      <c r="T93" s="48">
        <v>580.5</v>
      </c>
      <c r="U93" s="48">
        <v>550.29999999999995</v>
      </c>
      <c r="V93" s="48">
        <v>611</v>
      </c>
      <c r="W93" s="76">
        <f>SUM(S93:V93)</f>
        <v>2357.6</v>
      </c>
      <c r="X93" s="48">
        <f>X94*X92</f>
        <v>652.48962605893769</v>
      </c>
      <c r="Y93" s="48">
        <f>Y94*Y92</f>
        <v>622.26052099264541</v>
      </c>
      <c r="Z93" s="48">
        <f t="shared" ref="Z93:AA93" si="268">Z94*Z92</f>
        <v>727.82869241462629</v>
      </c>
      <c r="AA93" s="48">
        <f t="shared" si="268"/>
        <v>810.63693641075008</v>
      </c>
      <c r="AB93" s="76">
        <f>SUM(X93:AA93)</f>
        <v>2813.2157758769595</v>
      </c>
      <c r="AC93" s="48">
        <f>AC94*AC92</f>
        <v>799.68748951885516</v>
      </c>
      <c r="AD93" s="48">
        <f>AD94*AD92</f>
        <v>684.39219996632141</v>
      </c>
      <c r="AE93" s="48">
        <f t="shared" ref="AE93:AF93" si="269">AE94*AE92</f>
        <v>850.10316764219624</v>
      </c>
      <c r="AF93" s="48">
        <f t="shared" si="269"/>
        <v>945.75792439284669</v>
      </c>
      <c r="AG93" s="76">
        <f>SUM(AC93:AF93)</f>
        <v>3279.9407815202194</v>
      </c>
      <c r="AH93" s="48">
        <f>AH94*AH92</f>
        <v>926.94236711066787</v>
      </c>
      <c r="AI93" s="48">
        <f>AI94*AI92</f>
        <v>790.95711309894159</v>
      </c>
      <c r="AJ93" s="48">
        <f t="shared" ref="AJ93:AK93" si="270">AJ94*AJ92</f>
        <v>957.67354513987425</v>
      </c>
      <c r="AK93" s="48">
        <f t="shared" si="270"/>
        <v>1089.88908879377</v>
      </c>
      <c r="AL93" s="76">
        <f>SUM(AH93:AK93)</f>
        <v>3765.462114143254</v>
      </c>
      <c r="AM93" s="48">
        <f>AM94*AM92</f>
        <v>1064.9978348415145</v>
      </c>
      <c r="AN93" s="48">
        <f>AN94*AN92</f>
        <v>894.895204521349</v>
      </c>
      <c r="AO93" s="48">
        <f t="shared" ref="AO93:AP93" si="271">AO94*AO92</f>
        <v>1067.6954720022325</v>
      </c>
      <c r="AP93" s="48">
        <f t="shared" si="271"/>
        <v>1198.8951417147191</v>
      </c>
      <c r="AQ93" s="76">
        <f>SUM(AM93:AP93)</f>
        <v>4226.4836530798148</v>
      </c>
      <c r="AR93" s="48">
        <f>AR94*AR92</f>
        <v>1141.4448287873911</v>
      </c>
      <c r="AS93" s="48">
        <f>AS94*AS92</f>
        <v>958.15013478853302</v>
      </c>
      <c r="AT93" s="48">
        <f t="shared" ref="AT93:AU93" si="272">AT94*AT92</f>
        <v>1142.3368007955703</v>
      </c>
      <c r="AU93" s="48">
        <f t="shared" si="272"/>
        <v>1282.9530432479849</v>
      </c>
      <c r="AV93" s="76">
        <f>SUM(AR93:AU93)</f>
        <v>4524.8848076194799</v>
      </c>
    </row>
    <row r="94" spans="1:48" s="183" customFormat="1" outlineLevel="1" x14ac:dyDescent="0.3">
      <c r="A94" s="238"/>
      <c r="B94" s="181" t="s">
        <v>151</v>
      </c>
      <c r="C94" s="182"/>
      <c r="D94" s="167">
        <f>D93/D92</f>
        <v>0.30764627659574467</v>
      </c>
      <c r="E94" s="167">
        <f t="shared" ref="E94:V94" si="273">E93/E92</f>
        <v>0.30744082646789589</v>
      </c>
      <c r="F94" s="167">
        <f t="shared" si="273"/>
        <v>0.30032170567085098</v>
      </c>
      <c r="G94" s="167">
        <f t="shared" si="273"/>
        <v>0.30920424909356908</v>
      </c>
      <c r="H94" s="186">
        <f>H93/H92</f>
        <v>0.30611552626477995</v>
      </c>
      <c r="I94" s="167">
        <f t="shared" si="273"/>
        <v>0.31092864871745912</v>
      </c>
      <c r="J94" s="167">
        <f t="shared" si="273"/>
        <v>0.34170632822139962</v>
      </c>
      <c r="K94" s="167">
        <f t="shared" si="273"/>
        <v>0.35562342038753159</v>
      </c>
      <c r="L94" s="167">
        <f t="shared" si="273"/>
        <v>0.31707801230728511</v>
      </c>
      <c r="M94" s="186">
        <f>M93/M92</f>
        <v>0.32770100259358192</v>
      </c>
      <c r="N94" s="167">
        <f t="shared" si="273"/>
        <v>0.31457414011968809</v>
      </c>
      <c r="O94" s="167">
        <f t="shared" si="273"/>
        <v>0.31876590725681292</v>
      </c>
      <c r="P94" s="167">
        <f t="shared" si="273"/>
        <v>0.30252050168837435</v>
      </c>
      <c r="Q94" s="167">
        <f t="shared" si="273"/>
        <v>0.31604512691946102</v>
      </c>
      <c r="R94" s="188">
        <f>R93/R92</f>
        <v>0.31305021789359783</v>
      </c>
      <c r="S94" s="167">
        <f t="shared" si="273"/>
        <v>0.32826909749986671</v>
      </c>
      <c r="T94" s="167">
        <f t="shared" si="273"/>
        <v>0.34098919172932329</v>
      </c>
      <c r="U94" s="167">
        <f t="shared" si="273"/>
        <v>0.34725815611787714</v>
      </c>
      <c r="V94" s="167">
        <f t="shared" si="273"/>
        <v>0.34383792909397859</v>
      </c>
      <c r="W94" s="188">
        <f>W93/W92</f>
        <v>0.33971181556195962</v>
      </c>
      <c r="X94" s="189">
        <f>S94+2%</f>
        <v>0.34826909749986673</v>
      </c>
      <c r="Y94" s="189">
        <f>T94-1%</f>
        <v>0.33098919172932328</v>
      </c>
      <c r="Z94" s="189">
        <f>U94-0.5%</f>
        <v>0.34225815611787713</v>
      </c>
      <c r="AA94" s="189">
        <f>V94-0.5%</f>
        <v>0.33883792909397858</v>
      </c>
      <c r="AB94" s="188">
        <f>AB93/AB92</f>
        <v>0.34006937781887436</v>
      </c>
      <c r="AC94" s="189">
        <f>X94-2%</f>
        <v>0.32826909749986671</v>
      </c>
      <c r="AD94" s="189">
        <f>Y94-2%</f>
        <v>0.31098919172932327</v>
      </c>
      <c r="AE94" s="189">
        <f t="shared" ref="AE94:AF94" si="274">Z94</f>
        <v>0.34225815611787713</v>
      </c>
      <c r="AF94" s="189">
        <f t="shared" si="274"/>
        <v>0.33883792909397858</v>
      </c>
      <c r="AG94" s="188">
        <f>AG93/AG92</f>
        <v>0.33091422404119236</v>
      </c>
      <c r="AH94" s="189">
        <f>AC94-0.2%</f>
        <v>0.32626909749986671</v>
      </c>
      <c r="AI94" s="189">
        <f>AD94-0.2%</f>
        <v>0.30898919172932326</v>
      </c>
      <c r="AJ94" s="189">
        <f>AE94-1%</f>
        <v>0.33225815611787712</v>
      </c>
      <c r="AK94" s="189">
        <f>AF94-0.2%</f>
        <v>0.33683792909397858</v>
      </c>
      <c r="AL94" s="188">
        <f>AL93/AL92</f>
        <v>0.32689641164674565</v>
      </c>
      <c r="AM94" s="189">
        <f>AH94</f>
        <v>0.32626909749986671</v>
      </c>
      <c r="AN94" s="189">
        <f t="shared" ref="AN94:AP94" si="275">AI94</f>
        <v>0.30898919172932326</v>
      </c>
      <c r="AO94" s="189">
        <f t="shared" si="275"/>
        <v>0.33225815611787712</v>
      </c>
      <c r="AP94" s="189">
        <f t="shared" si="275"/>
        <v>0.33683792909397858</v>
      </c>
      <c r="AQ94" s="188">
        <f>AQ93/AQ92</f>
        <v>0.32679617266125666</v>
      </c>
      <c r="AR94" s="189">
        <f>AM94</f>
        <v>0.32626909749986671</v>
      </c>
      <c r="AS94" s="189">
        <f t="shared" ref="AS94:AU94" si="276">AN94</f>
        <v>0.30898919172932326</v>
      </c>
      <c r="AT94" s="189">
        <f t="shared" si="276"/>
        <v>0.33225815611787712</v>
      </c>
      <c r="AU94" s="189">
        <f t="shared" si="276"/>
        <v>0.33683792909397858</v>
      </c>
      <c r="AV94" s="188">
        <f>AV93/AV92</f>
        <v>0.32679357860351493</v>
      </c>
    </row>
    <row r="95" spans="1:48" outlineLevel="1" x14ac:dyDescent="0.3">
      <c r="B95" s="180" t="s">
        <v>32</v>
      </c>
      <c r="C95" s="18"/>
      <c r="D95" s="105">
        <v>603.70000000000005</v>
      </c>
      <c r="E95" s="105">
        <v>618.4</v>
      </c>
      <c r="F95" s="105">
        <v>609.20000000000005</v>
      </c>
      <c r="G95" s="105">
        <v>597.29999999999995</v>
      </c>
      <c r="H95" s="170">
        <f>SUM(D95:G95)</f>
        <v>2428.6</v>
      </c>
      <c r="I95" s="105">
        <v>607.1</v>
      </c>
      <c r="J95" s="105">
        <v>562.79999999999995</v>
      </c>
      <c r="K95" s="105">
        <v>483.4</v>
      </c>
      <c r="L95" s="105">
        <v>622.70000000000005</v>
      </c>
      <c r="M95" s="170">
        <f>SUM(I95:L95)</f>
        <v>2276</v>
      </c>
      <c r="N95" s="105">
        <v>628.5</v>
      </c>
      <c r="O95" s="105">
        <v>620.20000000000005</v>
      </c>
      <c r="P95" s="105">
        <v>620.1</v>
      </c>
      <c r="Q95" s="105">
        <v>702.6</v>
      </c>
      <c r="R95" s="49">
        <f>SUM(N95:Q95)</f>
        <v>2571.4</v>
      </c>
      <c r="S95" s="48">
        <v>697.6</v>
      </c>
      <c r="T95" s="48">
        <v>689.3</v>
      </c>
      <c r="U95" s="48">
        <v>632.5</v>
      </c>
      <c r="V95" s="48">
        <v>682.5</v>
      </c>
      <c r="W95" s="49">
        <f>SUM(S95:V95)</f>
        <v>2701.9</v>
      </c>
      <c r="X95" s="48">
        <f>X96*X78</f>
        <v>684.4980254726571</v>
      </c>
      <c r="Y95" s="48">
        <f>Y96*Y78</f>
        <v>717.37938606687896</v>
      </c>
      <c r="Z95" s="48">
        <f>Z96*Z78</f>
        <v>852.51584839257714</v>
      </c>
      <c r="AA95" s="48">
        <f>AA96*AA78</f>
        <v>919.34673420083789</v>
      </c>
      <c r="AB95" s="49">
        <f>SUM(X95:AA95)</f>
        <v>3173.7399941329513</v>
      </c>
      <c r="AC95" s="48">
        <f>AC96*AC78</f>
        <v>924.66968247204727</v>
      </c>
      <c r="AD95" s="48">
        <f>AD96*AD78</f>
        <v>812.33867070063695</v>
      </c>
      <c r="AE95" s="48">
        <f>AE96*AE78</f>
        <v>1002.9260023118139</v>
      </c>
      <c r="AF95" s="48">
        <f>AF96*AF78</f>
        <v>1079.2969036498666</v>
      </c>
      <c r="AG95" s="49">
        <f>SUM(AC95:AF95)</f>
        <v>3819.2312591343648</v>
      </c>
      <c r="AH95" s="48">
        <f>AH96*AH78</f>
        <v>1078.9150864666803</v>
      </c>
      <c r="AI95" s="48">
        <f>AI96*AI78</f>
        <v>946.01031101154456</v>
      </c>
      <c r="AJ95" s="48">
        <f>AJ96*AJ78</f>
        <v>1127.2113479756927</v>
      </c>
      <c r="AK95" s="48">
        <f>AK96*AK78</f>
        <v>1252.3993239168337</v>
      </c>
      <c r="AL95" s="49">
        <f>SUM(AH95:AK95)</f>
        <v>4404.5360693707516</v>
      </c>
      <c r="AM95" s="48">
        <f>AM96*AM78</f>
        <v>1246.1911082091403</v>
      </c>
      <c r="AN95" s="48">
        <f>AN96*AN78</f>
        <v>1076.511220581855</v>
      </c>
      <c r="AO95" s="48">
        <f>AO96*AO78</f>
        <v>1264.419386084063</v>
      </c>
      <c r="AP95" s="48">
        <f>AP96*AP78</f>
        <v>1385.4052851516519</v>
      </c>
      <c r="AQ95" s="49">
        <f>SUM(AM95:AP95)</f>
        <v>4972.5270000267101</v>
      </c>
      <c r="AR95" s="48">
        <f>AR96*AR78</f>
        <v>1342.7383338820068</v>
      </c>
      <c r="AS95" s="48">
        <f>AS96*AS78</f>
        <v>1159.3305152911125</v>
      </c>
      <c r="AT95" s="48">
        <f>AT96*AT78</f>
        <v>1361.0266361111026</v>
      </c>
      <c r="AU95" s="48">
        <f>AU96*AU78</f>
        <v>1490.540359292838</v>
      </c>
      <c r="AV95" s="49">
        <f>SUM(AR95:AU95)</f>
        <v>5353.6358445770602</v>
      </c>
    </row>
    <row r="96" spans="1:48" s="184" customFormat="1" outlineLevel="1" x14ac:dyDescent="0.3">
      <c r="B96" s="181" t="s">
        <v>150</v>
      </c>
      <c r="C96" s="190"/>
      <c r="D96" s="167">
        <f t="shared" ref="D96:V96" si="277">D95/D78</f>
        <v>0.47234175729598632</v>
      </c>
      <c r="E96" s="167">
        <f t="shared" si="277"/>
        <v>0.4722773789521918</v>
      </c>
      <c r="F96" s="167">
        <f t="shared" si="277"/>
        <v>0.45032525133057366</v>
      </c>
      <c r="G96" s="167">
        <f t="shared" si="277"/>
        <v>0.45390987157078799</v>
      </c>
      <c r="H96" s="186">
        <f t="shared" si="277"/>
        <v>0.46204482325634483</v>
      </c>
      <c r="I96" s="167">
        <f t="shared" si="277"/>
        <v>0.46354126899289916</v>
      </c>
      <c r="J96" s="167">
        <f t="shared" si="277"/>
        <v>0.62367021276595747</v>
      </c>
      <c r="K96" s="167">
        <f t="shared" si="277"/>
        <v>0.5521416333523701</v>
      </c>
      <c r="L96" s="167">
        <f t="shared" si="277"/>
        <v>0.47962720480628518</v>
      </c>
      <c r="M96" s="186">
        <f t="shared" si="277"/>
        <v>0.51893568024806769</v>
      </c>
      <c r="N96" s="167">
        <f t="shared" si="277"/>
        <v>0.43594367760282998</v>
      </c>
      <c r="O96" s="167">
        <f t="shared" si="277"/>
        <v>0.44789485087022463</v>
      </c>
      <c r="P96" s="167">
        <f t="shared" si="277"/>
        <v>0.4326379683248448</v>
      </c>
      <c r="Q96" s="167">
        <f t="shared" si="277"/>
        <v>0.43639751552795031</v>
      </c>
      <c r="R96" s="188">
        <f t="shared" si="277"/>
        <v>0.43808031074841985</v>
      </c>
      <c r="S96" s="167">
        <f t="shared" si="277"/>
        <v>0.46250745872836974</v>
      </c>
      <c r="T96" s="167">
        <f t="shared" si="277"/>
        <v>0.51424947776783048</v>
      </c>
      <c r="U96" s="167">
        <f t="shared" si="277"/>
        <v>0.54417964380968775</v>
      </c>
      <c r="V96" s="167">
        <f t="shared" si="277"/>
        <v>0.50521874306018211</v>
      </c>
      <c r="W96" s="188">
        <f>W95/W78</f>
        <v>0.50390719707566356</v>
      </c>
      <c r="X96" s="189">
        <f>S96+2%</f>
        <v>0.48250745872836975</v>
      </c>
      <c r="Y96" s="189">
        <f>T96-1%</f>
        <v>0.50424947776783047</v>
      </c>
      <c r="Z96" s="189">
        <f>U96-0.5%</f>
        <v>0.53917964380968775</v>
      </c>
      <c r="AA96" s="189">
        <f>V96-0.5%</f>
        <v>0.5002187430601821</v>
      </c>
      <c r="AB96" s="188">
        <f>AB95/AB78</f>
        <v>0.50696139307392518</v>
      </c>
      <c r="AC96" s="189">
        <f>X96</f>
        <v>0.48250745872836975</v>
      </c>
      <c r="AD96" s="189">
        <f>Y96-2%</f>
        <v>0.48424947776783045</v>
      </c>
      <c r="AE96" s="189">
        <f t="shared" ref="AE96:AF96" si="278">Z96</f>
        <v>0.53917964380968775</v>
      </c>
      <c r="AF96" s="189">
        <f t="shared" si="278"/>
        <v>0.5002187430601821</v>
      </c>
      <c r="AG96" s="188">
        <f>AG95/AG78</f>
        <v>0.50176119670309249</v>
      </c>
      <c r="AH96" s="189">
        <f>AC96-0.2%</f>
        <v>0.48050745872836975</v>
      </c>
      <c r="AI96" s="189">
        <f>AD96-0.2%</f>
        <v>0.48224947776783045</v>
      </c>
      <c r="AJ96" s="189">
        <f>AE96-2%</f>
        <v>0.51917964380968773</v>
      </c>
      <c r="AK96" s="189">
        <f>AF96-0.2%</f>
        <v>0.4982187430601821</v>
      </c>
      <c r="AL96" s="188">
        <f>AL95/AL78</f>
        <v>0.4953413474550713</v>
      </c>
      <c r="AM96" s="189">
        <f>AH96</f>
        <v>0.48050745872836975</v>
      </c>
      <c r="AN96" s="189">
        <f t="shared" ref="AN96:AP96" si="279">AI96</f>
        <v>0.48224947776783045</v>
      </c>
      <c r="AO96" s="189">
        <f t="shared" si="279"/>
        <v>0.51917964380968773</v>
      </c>
      <c r="AP96" s="189">
        <f t="shared" si="279"/>
        <v>0.4982187430601821</v>
      </c>
      <c r="AQ96" s="188">
        <f>AQ95/AQ78</f>
        <v>0.49517816176214557</v>
      </c>
      <c r="AR96" s="189">
        <f>AM96</f>
        <v>0.48050745872836975</v>
      </c>
      <c r="AS96" s="189">
        <f t="shared" ref="AS96:AU96" si="280">AN96</f>
        <v>0.48224947776783045</v>
      </c>
      <c r="AT96" s="189">
        <f t="shared" si="280"/>
        <v>0.51917964380968773</v>
      </c>
      <c r="AU96" s="189">
        <f t="shared" si="280"/>
        <v>0.4982187430601821</v>
      </c>
      <c r="AV96" s="188">
        <f>AV95/AV78</f>
        <v>0.49517258302095907</v>
      </c>
    </row>
    <row r="97" spans="1:48" outlineLevel="1" x14ac:dyDescent="0.3">
      <c r="B97" s="180" t="s">
        <v>33</v>
      </c>
      <c r="C97" s="18"/>
      <c r="D97" s="105">
        <v>31.3</v>
      </c>
      <c r="E97" s="105">
        <v>26.3</v>
      </c>
      <c r="F97" s="105">
        <v>26.7</v>
      </c>
      <c r="G97" s="105">
        <v>31.9</v>
      </c>
      <c r="H97" s="170">
        <f>SUM(D97:G97)</f>
        <v>116.19999999999999</v>
      </c>
      <c r="I97" s="105">
        <v>35.9</v>
      </c>
      <c r="J97" s="105">
        <v>31.8</v>
      </c>
      <c r="K97" s="105">
        <v>37.5</v>
      </c>
      <c r="L97" s="105">
        <v>39.9</v>
      </c>
      <c r="M97" s="170">
        <f>SUM(I97:L97)</f>
        <v>145.1</v>
      </c>
      <c r="N97" s="105">
        <v>34.299999999999997</v>
      </c>
      <c r="O97" s="105">
        <v>29.3</v>
      </c>
      <c r="P97" s="105">
        <v>38.299999999999997</v>
      </c>
      <c r="Q97" s="105">
        <v>39.799999999999997</v>
      </c>
      <c r="R97" s="49">
        <f>SUM(N97:Q97)</f>
        <v>141.69999999999999</v>
      </c>
      <c r="S97" s="48">
        <v>39.200000000000003</v>
      </c>
      <c r="T97" s="48">
        <v>39.5</v>
      </c>
      <c r="U97" s="48">
        <v>60.2</v>
      </c>
      <c r="V97" s="48">
        <v>52.4</v>
      </c>
      <c r="W97" s="49">
        <f>SUM(S97:V97)</f>
        <v>191.3</v>
      </c>
      <c r="X97" s="48">
        <f>X98*X92</f>
        <v>39.150296397023133</v>
      </c>
      <c r="Y97" s="48">
        <f>Y98*Y92</f>
        <v>43.62082959914796</v>
      </c>
      <c r="Z97" s="48">
        <f t="shared" ref="Z97:AA97" si="281">Z98*Z92</f>
        <v>70.151152638459109</v>
      </c>
      <c r="AA97" s="48">
        <f t="shared" si="281"/>
        <v>70.546947788916242</v>
      </c>
      <c r="AB97" s="49">
        <f>SUM(X97:AA97)</f>
        <v>223.46922642354644</v>
      </c>
      <c r="AC97" s="48">
        <f>AC98*AC92</f>
        <v>50.905731713444503</v>
      </c>
      <c r="AD97" s="48">
        <f>AD98*AD92</f>
        <v>51.061696583236433</v>
      </c>
      <c r="AE97" s="48">
        <f t="shared" ref="AE97:AF97" si="282">AE98*AE92</f>
        <v>69.517439996818339</v>
      </c>
      <c r="AF97" s="48">
        <f t="shared" si="282"/>
        <v>82.306063190894037</v>
      </c>
      <c r="AG97" s="49">
        <f>SUM(AC97:AF97)</f>
        <v>253.79093148439333</v>
      </c>
      <c r="AH97" s="48">
        <f>AH98*AH92</f>
        <v>53.686030639110427</v>
      </c>
      <c r="AI97" s="48">
        <f>AI98*AI92</f>
        <v>54.274707253841498</v>
      </c>
      <c r="AJ97" s="48">
        <f t="shared" ref="AJ97:AK97" si="283">AJ98*AJ92</f>
        <v>63.377157681934058</v>
      </c>
      <c r="AK97" s="48">
        <f t="shared" si="283"/>
        <v>88.941181318563167</v>
      </c>
      <c r="AL97" s="49">
        <f>SUM(AH97:AK97)</f>
        <v>260.27907689344914</v>
      </c>
      <c r="AM97" s="48">
        <f>AM98*AM92</f>
        <v>61.681835268903626</v>
      </c>
      <c r="AN97" s="48">
        <f>AN98*AN92</f>
        <v>61.406837923192356</v>
      </c>
      <c r="AO97" s="48">
        <f t="shared" ref="AO97:AP97" si="284">AO98*AO92</f>
        <v>70.658216078725701</v>
      </c>
      <c r="AP97" s="48">
        <f t="shared" si="284"/>
        <v>97.836698502236487</v>
      </c>
      <c r="AQ97" s="49">
        <f>SUM(AM97:AP97)</f>
        <v>291.58358777305818</v>
      </c>
      <c r="AR97" s="48">
        <f>AR98*AR92</f>
        <v>66.109441347627865</v>
      </c>
      <c r="AS97" s="48">
        <f>AS98*AS92</f>
        <v>65.747329671427153</v>
      </c>
      <c r="AT97" s="48">
        <f t="shared" ref="AT97:AU97" si="285">AT98*AT92</f>
        <v>75.59784847071532</v>
      </c>
      <c r="AU97" s="48">
        <f t="shared" si="285"/>
        <v>104.69630388630577</v>
      </c>
      <c r="AV97" s="49">
        <f>SUM(AR97:AU97)</f>
        <v>312.15092337607609</v>
      </c>
    </row>
    <row r="98" spans="1:48" s="184" customFormat="1" outlineLevel="1" x14ac:dyDescent="0.3">
      <c r="B98" s="181" t="s">
        <v>152</v>
      </c>
      <c r="C98" s="190"/>
      <c r="D98" s="167">
        <f>D97/D92</f>
        <v>2.0811170212765958E-2</v>
      </c>
      <c r="E98" s="167">
        <f t="shared" ref="E98:W98" si="286">E97/E92</f>
        <v>1.7196286125277887E-2</v>
      </c>
      <c r="F98" s="167">
        <f t="shared" si="286"/>
        <v>1.6842238062196431E-2</v>
      </c>
      <c r="G98" s="167">
        <f t="shared" si="286"/>
        <v>2.0291330068061827E-2</v>
      </c>
      <c r="H98" s="186">
        <f t="shared" si="286"/>
        <v>1.8769787426503842E-2</v>
      </c>
      <c r="I98" s="167">
        <f t="shared" si="286"/>
        <v>2.2850232321303544E-2</v>
      </c>
      <c r="J98" s="167">
        <f t="shared" si="286"/>
        <v>2.8027498677948178E-2</v>
      </c>
      <c r="K98" s="167">
        <f t="shared" si="286"/>
        <v>3.9490311710193765E-2</v>
      </c>
      <c r="L98" s="167">
        <f t="shared" si="286"/>
        <v>2.6401111625752663E-2</v>
      </c>
      <c r="M98" s="186">
        <f t="shared" si="286"/>
        <v>2.8084233344946388E-2</v>
      </c>
      <c r="N98" s="167">
        <f t="shared" si="286"/>
        <v>2.0733845130871061E-2</v>
      </c>
      <c r="O98" s="167">
        <f t="shared" si="286"/>
        <v>1.8188590229064498E-2</v>
      </c>
      <c r="P98" s="167">
        <f t="shared" si="286"/>
        <v>2.3094548962855763E-2</v>
      </c>
      <c r="Q98" s="167">
        <f t="shared" si="286"/>
        <v>2.0787631881332914E-2</v>
      </c>
      <c r="R98" s="188">
        <f t="shared" si="286"/>
        <v>2.0721827381474659E-2</v>
      </c>
      <c r="S98" s="167">
        <f t="shared" si="286"/>
        <v>2.0896636281251667E-2</v>
      </c>
      <c r="T98" s="167">
        <f t="shared" si="286"/>
        <v>2.3202537593984961E-2</v>
      </c>
      <c r="U98" s="167">
        <f t="shared" si="286"/>
        <v>3.7988262762668014E-2</v>
      </c>
      <c r="V98" s="167">
        <f t="shared" si="286"/>
        <v>2.948790095666854E-2</v>
      </c>
      <c r="W98" s="188">
        <f t="shared" si="286"/>
        <v>2.7564841498559079E-2</v>
      </c>
      <c r="X98" s="189">
        <f>S98</f>
        <v>2.0896636281251667E-2</v>
      </c>
      <c r="Y98" s="189">
        <f t="shared" ref="Y98" si="287">T98</f>
        <v>2.3202537593984961E-2</v>
      </c>
      <c r="Z98" s="189">
        <f>U98-0.5%</f>
        <v>3.2988262762668016E-2</v>
      </c>
      <c r="AA98" s="189">
        <f t="shared" ref="AA98" si="288">V98</f>
        <v>2.948790095666854E-2</v>
      </c>
      <c r="AB98" s="188">
        <f t="shared" ref="AB98" si="289">AB97/AB92</f>
        <v>2.7013584042564518E-2</v>
      </c>
      <c r="AC98" s="189">
        <f>X98</f>
        <v>2.0896636281251667E-2</v>
      </c>
      <c r="AD98" s="189">
        <f t="shared" ref="AD98" si="290">Y98</f>
        <v>2.3202537593984961E-2</v>
      </c>
      <c r="AE98" s="189">
        <f>Z98-0.5%</f>
        <v>2.7988262762668015E-2</v>
      </c>
      <c r="AF98" s="189">
        <f t="shared" ref="AF98" si="291">AA98</f>
        <v>2.948790095666854E-2</v>
      </c>
      <c r="AG98" s="188">
        <f t="shared" ref="AG98" si="292">AG97/AG92</f>
        <v>2.5605044345320207E-2</v>
      </c>
      <c r="AH98" s="189">
        <f>AC98-0.2%</f>
        <v>1.8896636281251669E-2</v>
      </c>
      <c r="AI98" s="189">
        <f>AD98-0.2%</f>
        <v>2.1202537593984959E-2</v>
      </c>
      <c r="AJ98" s="189">
        <f>AE98-0.6%</f>
        <v>2.1988262762668014E-2</v>
      </c>
      <c r="AK98" s="189">
        <f>AF98-0.2%</f>
        <v>2.7487900956668539E-2</v>
      </c>
      <c r="AL98" s="188">
        <f t="shared" ref="AL98" si="293">AL97/AL92</f>
        <v>2.2595977249011554E-2</v>
      </c>
      <c r="AM98" s="189">
        <f>AH98</f>
        <v>1.8896636281251669E-2</v>
      </c>
      <c r="AN98" s="189">
        <f t="shared" ref="AN98:AP98" si="294">AI98</f>
        <v>2.1202537593984959E-2</v>
      </c>
      <c r="AO98" s="189">
        <f t="shared" si="294"/>
        <v>2.1988262762668014E-2</v>
      </c>
      <c r="AP98" s="189">
        <f t="shared" si="294"/>
        <v>2.7487900956668539E-2</v>
      </c>
      <c r="AQ98" s="188">
        <f t="shared" ref="AQ98" si="295">AQ97/AQ92</f>
        <v>2.2545550466198275E-2</v>
      </c>
      <c r="AR98" s="189">
        <f>AM98</f>
        <v>1.8896636281251669E-2</v>
      </c>
      <c r="AS98" s="189">
        <f t="shared" ref="AS98:AU98" si="296">AN98</f>
        <v>2.1202537593984959E-2</v>
      </c>
      <c r="AT98" s="189">
        <f t="shared" si="296"/>
        <v>2.1988262762668014E-2</v>
      </c>
      <c r="AU98" s="189">
        <f t="shared" si="296"/>
        <v>2.7487900956668539E-2</v>
      </c>
      <c r="AV98" s="188">
        <f t="shared" ref="AV98" si="297">AV97/AV92</f>
        <v>2.2543981040729716E-2</v>
      </c>
    </row>
    <row r="99" spans="1:48" outlineLevel="1" x14ac:dyDescent="0.3">
      <c r="B99" s="180" t="s">
        <v>34</v>
      </c>
      <c r="C99" s="18"/>
      <c r="D99" s="358">
        <v>127</v>
      </c>
      <c r="E99" s="358">
        <v>130.4</v>
      </c>
      <c r="F99" s="358">
        <v>127.7</v>
      </c>
      <c r="G99" s="358">
        <v>126.5</v>
      </c>
      <c r="H99" s="126">
        <f>SUM(D99:G99)</f>
        <v>511.59999999999997</v>
      </c>
      <c r="I99" s="358">
        <v>126.6</v>
      </c>
      <c r="J99" s="358">
        <v>130</v>
      </c>
      <c r="K99" s="358">
        <v>128.5</v>
      </c>
      <c r="L99" s="358">
        <v>133.1</v>
      </c>
      <c r="M99" s="126">
        <f>SUM(I99:L99)</f>
        <v>518.20000000000005</v>
      </c>
      <c r="N99" s="358">
        <v>140</v>
      </c>
      <c r="O99" s="358">
        <v>143.4</v>
      </c>
      <c r="P99" s="358">
        <v>129.69999999999999</v>
      </c>
      <c r="Q99" s="358">
        <v>131.6</v>
      </c>
      <c r="R99" s="126">
        <f>SUM(N99:Q99)</f>
        <v>544.69999999999993</v>
      </c>
      <c r="S99" s="358">
        <v>133.1</v>
      </c>
      <c r="T99" s="358">
        <v>133.4</v>
      </c>
      <c r="U99" s="358">
        <v>125</v>
      </c>
      <c r="V99" s="358">
        <v>121.5</v>
      </c>
      <c r="W99" s="126">
        <f>SUM(S99:V99)</f>
        <v>513</v>
      </c>
      <c r="X99" s="358">
        <f>(V99/(V66+V99+V114+V127))*'CFS (F4Q2022)'!X7*0.95</f>
        <v>125.95116549467765</v>
      </c>
      <c r="Y99" s="358">
        <f>(X99/(X66+X99+X114+X127))*'CFS (F4Q2022)'!Y7*0.95</f>
        <v>129.51288997928702</v>
      </c>
      <c r="Z99" s="358">
        <f>(Y99/(Y66+Y99+Y114+Y127))*'CFS (F4Q2022)'!Z7*0.95</f>
        <v>132.12038508205629</v>
      </c>
      <c r="AA99" s="358">
        <f>(Z99/(Z66+Z99+Z114+Z127))*'CFS (F4Q2022)'!AA7*0.95</f>
        <v>135.35878372326894</v>
      </c>
      <c r="AB99" s="126">
        <f>SUM(X99:AA99)</f>
        <v>522.94322427928989</v>
      </c>
      <c r="AC99" s="358">
        <f>(AA99/(AA66+AA99+AA114+AA127))*'CFS (F4Q2022)'!AC7*0.95</f>
        <v>141.55660371105279</v>
      </c>
      <c r="AD99" s="358">
        <f>(AC99/(AC66+AC99+AC114+AC127))*'CFS (F4Q2022)'!AD7*0.95</f>
        <v>145.78811634212923</v>
      </c>
      <c r="AE99" s="358">
        <f>(AD99/(AD66+AD99+AD114+AD127))*'CFS (F4Q2022)'!AE7*0.95</f>
        <v>149.13408007296539</v>
      </c>
      <c r="AF99" s="358">
        <f>(AE99/(AE66+AE99+AE114+AE127))*'CFS (F4Q2022)'!AF7*0.95</f>
        <v>153.64469872898161</v>
      </c>
      <c r="AG99" s="126">
        <f>SUM(AC99:AF99)</f>
        <v>590.12349885512901</v>
      </c>
      <c r="AH99" s="358">
        <f>(AF99/(AF66+AF99+AF114+AF127))*'CFS (F4Q2022)'!AH7*0.95</f>
        <v>158.68309239274308</v>
      </c>
      <c r="AI99" s="358">
        <f>(AH99/(AH66+AH99+AH114+AH127))*'CFS (F4Q2022)'!AI7*0.95</f>
        <v>162.12106557769698</v>
      </c>
      <c r="AJ99" s="358">
        <f>(AI99/(AI66+AI99+AI114+AI127))*'CFS (F4Q2022)'!AJ7*0.95</f>
        <v>164.70833206939622</v>
      </c>
      <c r="AK99" s="358">
        <f>(AJ99/(AJ66+AJ99+AJ114+AJ127))*'CFS (F4Q2022)'!AK7*0.95</f>
        <v>168.37759974457461</v>
      </c>
      <c r="AL99" s="126">
        <f>SUM(AH99:AK99)</f>
        <v>653.89008978441086</v>
      </c>
      <c r="AM99" s="358">
        <f>(AK99/(AK66+AK99+AK114+AK127))*'CFS (F4Q2022)'!AM7*0.95</f>
        <v>172.3383271856635</v>
      </c>
      <c r="AN99" s="358">
        <f>(AM99/(AM66+AM99+AM114+AM127))*'CFS (F4Q2022)'!AN7*0.95</f>
        <v>176.33825816269101</v>
      </c>
      <c r="AO99" s="358">
        <f>(AN99/(AN66+AN99+AN114+AN127))*'CFS (F4Q2022)'!AO7*0.95</f>
        <v>179.27530066882457</v>
      </c>
      <c r="AP99" s="358">
        <f>(AO99/(AO66+AO99+AO114+AO127))*'CFS (F4Q2022)'!AP7*0.95</f>
        <v>183.28237995629217</v>
      </c>
      <c r="AQ99" s="126">
        <f>SUM(AM99:AP99)</f>
        <v>711.23426597347122</v>
      </c>
      <c r="AR99" s="358">
        <f>(AP99/(AP66+AP99+AP114+AP127))*'CFS (F4Q2022)'!AR7*0.95</f>
        <v>187.53037442260273</v>
      </c>
      <c r="AS99" s="358">
        <f>(AR99/(AR66+AR99+AR114+AR127))*'CFS (F4Q2022)'!AS7*0.95</f>
        <v>191.57641341344566</v>
      </c>
      <c r="AT99" s="358">
        <f>(AS99/(AS66+AS99+AS114+AS127))*'CFS (F4Q2022)'!AT7*0.95</f>
        <v>194.47512982944554</v>
      </c>
      <c r="AU99" s="358">
        <f>(AT99/(AT66+AT99+AT114+AT127))*'CFS (F4Q2022)'!AU7*0.95</f>
        <v>198.51222045378105</v>
      </c>
      <c r="AV99" s="126">
        <f>SUM(AR99:AU99)</f>
        <v>772.09413811927504</v>
      </c>
    </row>
    <row r="100" spans="1:48" outlineLevel="1" x14ac:dyDescent="0.3">
      <c r="B100" s="180" t="s">
        <v>35</v>
      </c>
      <c r="C100" s="18"/>
      <c r="D100" s="105">
        <v>69.3</v>
      </c>
      <c r="E100" s="105">
        <v>80.2</v>
      </c>
      <c r="F100" s="105">
        <v>86</v>
      </c>
      <c r="G100" s="105">
        <v>82.4</v>
      </c>
      <c r="H100" s="170">
        <f>SUM(D100:G100)</f>
        <v>317.89999999999998</v>
      </c>
      <c r="I100" s="105">
        <v>67.2</v>
      </c>
      <c r="J100" s="105">
        <v>63.7</v>
      </c>
      <c r="K100" s="105">
        <v>66.099999999999994</v>
      </c>
      <c r="L100" s="105">
        <v>84.5</v>
      </c>
      <c r="M100" s="170">
        <f>SUM(I100:L100)</f>
        <v>281.5</v>
      </c>
      <c r="N100" s="105">
        <v>82.6</v>
      </c>
      <c r="O100" s="105">
        <v>79.8</v>
      </c>
      <c r="P100" s="105">
        <v>92.3</v>
      </c>
      <c r="Q100" s="105">
        <v>98.4</v>
      </c>
      <c r="R100" s="49">
        <f>SUM(N100:Q100)</f>
        <v>353.1</v>
      </c>
      <c r="S100" s="48">
        <v>91.3</v>
      </c>
      <c r="T100" s="48">
        <v>79.599999999999994</v>
      </c>
      <c r="U100" s="48">
        <v>81.8</v>
      </c>
      <c r="V100" s="48">
        <v>92.6</v>
      </c>
      <c r="W100" s="49">
        <f>SUM(S100:V100)</f>
        <v>345.29999999999995</v>
      </c>
      <c r="X100" s="48">
        <f>X101*X92</f>
        <v>91.184236251229891</v>
      </c>
      <c r="Y100" s="48">
        <f>Y101*Y92</f>
        <v>87.904254078282975</v>
      </c>
      <c r="Z100" s="48">
        <f t="shared" ref="Z100:AA100" si="298">Z101*Z92</f>
        <v>99.136736925676431</v>
      </c>
      <c r="AA100" s="48">
        <f t="shared" si="298"/>
        <v>112.70682698757869</v>
      </c>
      <c r="AB100" s="49">
        <f>SUM(X100:AA100)</f>
        <v>390.932054242768</v>
      </c>
      <c r="AC100" s="48">
        <f>AC101*AC92</f>
        <v>111.2553856906564</v>
      </c>
      <c r="AD100" s="48">
        <f>AD101*AD92</f>
        <v>102.89901387406633</v>
      </c>
      <c r="AE100" s="48">
        <f t="shared" ref="AE100:AF100" si="299">AE101*AE92</f>
        <v>115.79160724020809</v>
      </c>
      <c r="AF100" s="48">
        <f t="shared" si="299"/>
        <v>131.49336030583387</v>
      </c>
      <c r="AG100" s="49">
        <f>SUM(AC100:AF100)</f>
        <v>461.43936711076469</v>
      </c>
      <c r="AH100" s="48">
        <f>AH101*AH92</f>
        <v>124.06797730128031</v>
      </c>
      <c r="AI100" s="48">
        <f>AI101*AI92</f>
        <v>114.57124975475698</v>
      </c>
      <c r="AJ100" s="48">
        <f t="shared" ref="AJ100:AK100" si="300">AJ101*AJ92</f>
        <v>128.60498628008423</v>
      </c>
      <c r="AK100" s="48">
        <f t="shared" si="300"/>
        <v>145.96106202508582</v>
      </c>
      <c r="AL100" s="49">
        <f>SUM(AH100:AK100)</f>
        <v>513.20527536120733</v>
      </c>
      <c r="AM100" s="48">
        <f>AM101*AM92</f>
        <v>142.54621634233101</v>
      </c>
      <c r="AN100" s="48">
        <f>AN101*AN92</f>
        <v>129.62682841278692</v>
      </c>
      <c r="AO100" s="48">
        <f t="shared" ref="AO100:AP100" si="301">AO101*AO92</f>
        <v>143.37971663203879</v>
      </c>
      <c r="AP100" s="48">
        <f t="shared" si="301"/>
        <v>160.55946420664495</v>
      </c>
      <c r="AQ100" s="49">
        <f>SUM(AM100:AP100)</f>
        <v>576.11222559380167</v>
      </c>
      <c r="AR100" s="48">
        <f>AR101*AR92</f>
        <v>152.77837774325204</v>
      </c>
      <c r="AS100" s="48">
        <f>AS101*AS92</f>
        <v>138.78939398535888</v>
      </c>
      <c r="AT100" s="48">
        <f t="shared" ref="AT100:AU100" si="302">AT101*AT92</f>
        <v>153.40322319553317</v>
      </c>
      <c r="AU100" s="48">
        <f t="shared" si="302"/>
        <v>171.81673864451864</v>
      </c>
      <c r="AV100" s="49">
        <f>SUM(AR100:AU100)</f>
        <v>616.7877335686627</v>
      </c>
    </row>
    <row r="101" spans="1:48" s="184" customFormat="1" outlineLevel="1" x14ac:dyDescent="0.3">
      <c r="B101" s="181" t="s">
        <v>153</v>
      </c>
      <c r="C101" s="190"/>
      <c r="D101" s="167">
        <f>D100/D92</f>
        <v>4.6077127659574467E-2</v>
      </c>
      <c r="E101" s="167">
        <f t="shared" ref="E101:W101" si="303">E100/E92</f>
        <v>5.2438864914345497E-2</v>
      </c>
      <c r="F101" s="167">
        <f t="shared" si="303"/>
        <v>5.4248407241531571E-2</v>
      </c>
      <c r="G101" s="167">
        <f t="shared" si="303"/>
        <v>5.2413968577062528E-2</v>
      </c>
      <c r="H101" s="186">
        <f t="shared" si="303"/>
        <v>5.1350390902629703E-2</v>
      </c>
      <c r="I101" s="167">
        <f t="shared" si="303"/>
        <v>4.277257972121444E-2</v>
      </c>
      <c r="J101" s="167">
        <f t="shared" si="303"/>
        <v>5.6143134144191795E-2</v>
      </c>
      <c r="K101" s="167">
        <f t="shared" si="303"/>
        <v>6.9608256107834873E-2</v>
      </c>
      <c r="L101" s="167">
        <f t="shared" si="303"/>
        <v>5.5912128630979954E-2</v>
      </c>
      <c r="M101" s="186">
        <f t="shared" si="303"/>
        <v>5.4484573994503162E-2</v>
      </c>
      <c r="N101" s="167">
        <f t="shared" si="303"/>
        <v>4.9930484192709908E-2</v>
      </c>
      <c r="O101" s="167">
        <f t="shared" si="303"/>
        <v>4.9537525606803648E-2</v>
      </c>
      <c r="P101" s="167">
        <f t="shared" si="303"/>
        <v>5.5656054027978775E-2</v>
      </c>
      <c r="Q101" s="167">
        <f t="shared" si="303"/>
        <v>5.139454716389847E-2</v>
      </c>
      <c r="R101" s="188">
        <f t="shared" si="303"/>
        <v>5.1636395542686682E-2</v>
      </c>
      <c r="S101" s="167">
        <f t="shared" si="303"/>
        <v>4.8669971746894823E-2</v>
      </c>
      <c r="T101" s="167">
        <f t="shared" si="303"/>
        <v>4.6757518796992477E-2</v>
      </c>
      <c r="U101" s="167">
        <f t="shared" si="303"/>
        <v>5.1618602890136929E-2</v>
      </c>
      <c r="V101" s="167">
        <f t="shared" si="303"/>
        <v>5.211029825548677E-2</v>
      </c>
      <c r="W101" s="188">
        <f t="shared" si="303"/>
        <v>4.9755043227665698E-2</v>
      </c>
      <c r="X101" s="189">
        <f>S101</f>
        <v>4.8669971746894823E-2</v>
      </c>
      <c r="Y101" s="189">
        <f t="shared" ref="Y101" si="304">T101</f>
        <v>4.6757518796992477E-2</v>
      </c>
      <c r="Z101" s="189">
        <f>U101-0.5%</f>
        <v>4.6618602890136931E-2</v>
      </c>
      <c r="AA101" s="189">
        <f>V101-0.5%</f>
        <v>4.7110298255486772E-2</v>
      </c>
      <c r="AB101" s="188">
        <f t="shared" ref="AB101" si="305">AB100/AB92</f>
        <v>4.7256958245355397E-2</v>
      </c>
      <c r="AC101" s="189">
        <f>X101-0.3%</f>
        <v>4.566997174689482E-2</v>
      </c>
      <c r="AD101" s="189">
        <f t="shared" ref="AD101:AF101" si="306">Y101</f>
        <v>4.6757518796992477E-2</v>
      </c>
      <c r="AE101" s="189">
        <f t="shared" si="306"/>
        <v>4.6618602890136931E-2</v>
      </c>
      <c r="AF101" s="189">
        <f t="shared" si="306"/>
        <v>4.7110298255486772E-2</v>
      </c>
      <c r="AG101" s="188">
        <f t="shared" ref="AG101" si="307">AG100/AG92</f>
        <v>4.6554758235221594E-2</v>
      </c>
      <c r="AH101" s="189">
        <f>AC101-0.2%</f>
        <v>4.3669971746894819E-2</v>
      </c>
      <c r="AI101" s="189">
        <f>AD101-0.2%</f>
        <v>4.4757518796992475E-2</v>
      </c>
      <c r="AJ101" s="189">
        <f>AE101-0.2%</f>
        <v>4.461860289013693E-2</v>
      </c>
      <c r="AK101" s="189">
        <f>AF101-0.2%</f>
        <v>4.5110298255486771E-2</v>
      </c>
      <c r="AL101" s="188">
        <f t="shared" ref="AL101" si="308">AL100/AL92</f>
        <v>4.4553618617918248E-2</v>
      </c>
      <c r="AM101" s="189">
        <f>AH101</f>
        <v>4.3669971746894819E-2</v>
      </c>
      <c r="AN101" s="189">
        <f t="shared" ref="AN101:AP101" si="309">AI101</f>
        <v>4.4757518796992475E-2</v>
      </c>
      <c r="AO101" s="189">
        <f t="shared" si="309"/>
        <v>4.461860289013693E-2</v>
      </c>
      <c r="AP101" s="189">
        <f t="shared" si="309"/>
        <v>4.5110298255486771E-2</v>
      </c>
      <c r="AQ101" s="188">
        <f t="shared" ref="AQ101" si="310">AQ100/AQ92</f>
        <v>4.4545604763009235E-2</v>
      </c>
      <c r="AR101" s="189">
        <f>AM101</f>
        <v>4.3669971746894819E-2</v>
      </c>
      <c r="AS101" s="189">
        <f t="shared" ref="AS101:AU101" si="311">AN101</f>
        <v>4.4757518796992475E-2</v>
      </c>
      <c r="AT101" s="189">
        <f t="shared" si="311"/>
        <v>4.461860289013693E-2</v>
      </c>
      <c r="AU101" s="189">
        <f t="shared" si="311"/>
        <v>4.5110298255486771E-2</v>
      </c>
      <c r="AV101" s="188">
        <f t="shared" ref="AV101" si="312">AV100/AV92</f>
        <v>4.4545282203039223E-2</v>
      </c>
    </row>
    <row r="102" spans="1:48" ht="16.2" outlineLevel="1" x14ac:dyDescent="0.45">
      <c r="B102" s="180" t="s">
        <v>42</v>
      </c>
      <c r="C102" s="18"/>
      <c r="D102" s="119">
        <v>6.4</v>
      </c>
      <c r="E102" s="119">
        <v>24.2</v>
      </c>
      <c r="F102" s="119">
        <v>16.600000000000001</v>
      </c>
      <c r="G102" s="119">
        <v>12</v>
      </c>
      <c r="H102" s="131">
        <f>SUM(D102:G102)</f>
        <v>59.2</v>
      </c>
      <c r="I102" s="119">
        <v>0.8</v>
      </c>
      <c r="J102" s="119">
        <v>-1.2</v>
      </c>
      <c r="K102" s="119">
        <v>-0.2</v>
      </c>
      <c r="L102" s="119">
        <v>-0.6</v>
      </c>
      <c r="M102" s="131">
        <f>SUM(I102:L102)</f>
        <v>-1.1999999999999997</v>
      </c>
      <c r="N102" s="119">
        <v>0</v>
      </c>
      <c r="O102" s="119">
        <v>0</v>
      </c>
      <c r="P102" s="119">
        <v>0</v>
      </c>
      <c r="Q102" s="119">
        <v>0</v>
      </c>
      <c r="R102" s="131">
        <f>SUM(N102:Q102)</f>
        <v>0</v>
      </c>
      <c r="S102" s="119">
        <v>0</v>
      </c>
      <c r="T102" s="119">
        <v>0</v>
      </c>
      <c r="U102" s="119">
        <v>0</v>
      </c>
      <c r="V102" s="119">
        <f>IFERROR((V163*(U102/U163)),0)</f>
        <v>0</v>
      </c>
      <c r="W102" s="131">
        <f>SUM(S102:V102)</f>
        <v>0</v>
      </c>
      <c r="X102" s="119">
        <f>IFERROR((X163*(V102/V163)),0)</f>
        <v>0</v>
      </c>
      <c r="Y102" s="119">
        <f t="shared" ref="Y102:AA102" si="313">IFERROR((Y163*(X102/X163)),0)</f>
        <v>0</v>
      </c>
      <c r="Z102" s="119">
        <f t="shared" si="313"/>
        <v>0</v>
      </c>
      <c r="AA102" s="119">
        <f t="shared" si="313"/>
        <v>0</v>
      </c>
      <c r="AB102" s="131">
        <f>SUM(X102:AA102)</f>
        <v>0</v>
      </c>
      <c r="AC102" s="119">
        <f>IFERROR((AC163*(AA102/AA163)),0)</f>
        <v>0</v>
      </c>
      <c r="AD102" s="119">
        <f t="shared" ref="AD102:AF102" si="314">IFERROR((AD163*(AC102/AC163)),0)</f>
        <v>0</v>
      </c>
      <c r="AE102" s="119">
        <f t="shared" si="314"/>
        <v>0</v>
      </c>
      <c r="AF102" s="119">
        <f t="shared" si="314"/>
        <v>0</v>
      </c>
      <c r="AG102" s="131">
        <f>SUM(AC102:AF102)</f>
        <v>0</v>
      </c>
      <c r="AH102" s="119">
        <f>IFERROR((AH163*(AF102/AF163)),0)</f>
        <v>0</v>
      </c>
      <c r="AI102" s="119">
        <f t="shared" ref="AI102:AK102" si="315">IFERROR((AI163*(AH102/AH163)),0)</f>
        <v>0</v>
      </c>
      <c r="AJ102" s="119">
        <f t="shared" si="315"/>
        <v>0</v>
      </c>
      <c r="AK102" s="119">
        <f t="shared" si="315"/>
        <v>0</v>
      </c>
      <c r="AL102" s="131">
        <f>SUM(AH102:AK102)</f>
        <v>0</v>
      </c>
      <c r="AM102" s="119">
        <f>IFERROR((AM163*(AK102/AK163)),0)</f>
        <v>0</v>
      </c>
      <c r="AN102" s="119">
        <f t="shared" ref="AN102:AP102" si="316">IFERROR((AN163*(AM102/AM163)),0)</f>
        <v>0</v>
      </c>
      <c r="AO102" s="119">
        <f t="shared" si="316"/>
        <v>0</v>
      </c>
      <c r="AP102" s="119">
        <f t="shared" si="316"/>
        <v>0</v>
      </c>
      <c r="AQ102" s="131">
        <f>SUM(AM102:AP102)</f>
        <v>0</v>
      </c>
      <c r="AR102" s="119">
        <f>IFERROR((AR163*(AP102/AP163)),0)</f>
        <v>0</v>
      </c>
      <c r="AS102" s="119">
        <f t="shared" ref="AS102:AU102" si="317">IFERROR((AS163*(AR102/AR163)),0)</f>
        <v>0</v>
      </c>
      <c r="AT102" s="119">
        <f t="shared" si="317"/>
        <v>0</v>
      </c>
      <c r="AU102" s="119">
        <f t="shared" si="317"/>
        <v>0</v>
      </c>
      <c r="AV102" s="131">
        <f>SUM(AR102:AU102)</f>
        <v>0</v>
      </c>
    </row>
    <row r="103" spans="1:48" outlineLevel="1" x14ac:dyDescent="0.3">
      <c r="B103" s="46" t="s">
        <v>123</v>
      </c>
      <c r="C103" s="19"/>
      <c r="D103" s="103">
        <f>D93+D95+D97+D99+D100+D102</f>
        <v>1300.4000000000001</v>
      </c>
      <c r="E103" s="103">
        <f t="shared" ref="E103:G103" si="318">E93+E95+E97+E99+E100+E102</f>
        <v>1349.7</v>
      </c>
      <c r="F103" s="103">
        <f t="shared" si="318"/>
        <v>1342.3000000000002</v>
      </c>
      <c r="G103" s="103">
        <f t="shared" si="318"/>
        <v>1336.2000000000003</v>
      </c>
      <c r="H103" s="171">
        <f>H93+H95+H97+H99+H100+H102</f>
        <v>5328.5999999999995</v>
      </c>
      <c r="I103" s="103">
        <f>I93+I95+I97+I99+I100+I102</f>
        <v>1326.1</v>
      </c>
      <c r="J103" s="103">
        <f t="shared" ref="J103:L103" si="319">J93+J95+J97+J99+J100+J102</f>
        <v>1174.8</v>
      </c>
      <c r="K103" s="103">
        <f t="shared" si="319"/>
        <v>1052.9999999999998</v>
      </c>
      <c r="L103" s="103">
        <f t="shared" si="319"/>
        <v>1358.8000000000002</v>
      </c>
      <c r="M103" s="171">
        <f>M93+M95+M97+M99+M100+M102</f>
        <v>4912.7000000000007</v>
      </c>
      <c r="N103" s="103">
        <f>N93+N95+N97+N99+N100+N102</f>
        <v>1405.8</v>
      </c>
      <c r="O103" s="103">
        <f t="shared" ref="O103:P103" si="320">O93+O95+O97+O99+O100+O102</f>
        <v>1386.2</v>
      </c>
      <c r="P103" s="103">
        <f t="shared" si="320"/>
        <v>1382.1</v>
      </c>
      <c r="Q103" s="103">
        <f>Q93+Q95+Q97+Q99+Q100+Q102</f>
        <v>1577.5</v>
      </c>
      <c r="R103" s="171">
        <f>R93+R95+R97+R99+R100+R102</f>
        <v>5751.6</v>
      </c>
      <c r="S103" s="103">
        <f>S93+S95+S97+S99+S100+S102</f>
        <v>1577</v>
      </c>
      <c r="T103" s="103">
        <f t="shared" ref="T103:V103" si="321">T93+T95+T97+T99+T100+T102</f>
        <v>1522.3</v>
      </c>
      <c r="U103" s="103">
        <f t="shared" si="321"/>
        <v>1449.8</v>
      </c>
      <c r="V103" s="103">
        <f t="shared" si="321"/>
        <v>1560</v>
      </c>
      <c r="W103" s="171">
        <f>W93+W95+W97+W99+W100+W102</f>
        <v>6109.1</v>
      </c>
      <c r="X103" s="103">
        <f>X93+X95+X97+X99+X100+X102</f>
        <v>1593.2733496745254</v>
      </c>
      <c r="Y103" s="103">
        <f t="shared" ref="Y103:AA103" si="322">Y93+Y95+Y97+Y99+Y100+Y102</f>
        <v>1600.6778807162423</v>
      </c>
      <c r="Z103" s="103">
        <f t="shared" si="322"/>
        <v>1881.7528154533952</v>
      </c>
      <c r="AA103" s="103">
        <f t="shared" si="322"/>
        <v>2048.5962291113519</v>
      </c>
      <c r="AB103" s="171">
        <f>AB93+AB95+AB97+AB99+AB100+AB102</f>
        <v>7124.3002749555144</v>
      </c>
      <c r="AC103" s="103">
        <f>AC93+AC95+AC97+AC99+AC100+AC102</f>
        <v>2028.0748931060559</v>
      </c>
      <c r="AD103" s="103">
        <f t="shared" ref="AD103:AF103" si="323">AD93+AD95+AD97+AD99+AD100+AD102</f>
        <v>1796.4796974663905</v>
      </c>
      <c r="AE103" s="103">
        <f t="shared" si="323"/>
        <v>2187.4722972640025</v>
      </c>
      <c r="AF103" s="103">
        <f t="shared" si="323"/>
        <v>2392.4989502684225</v>
      </c>
      <c r="AG103" s="171">
        <f>AG93+AG95+AG97+AG99+AG100+AG102</f>
        <v>8404.5258381048716</v>
      </c>
      <c r="AH103" s="103">
        <f>AH93+AH95+AH97+AH99+AH100+AH102</f>
        <v>2342.2945539104821</v>
      </c>
      <c r="AI103" s="103">
        <f t="shared" ref="AI103:AK103" si="324">AI93+AI95+AI97+AI99+AI100+AI102</f>
        <v>2067.9344466967818</v>
      </c>
      <c r="AJ103" s="103">
        <f t="shared" si="324"/>
        <v>2441.5753691469818</v>
      </c>
      <c r="AK103" s="103">
        <f t="shared" si="324"/>
        <v>2745.5682557988275</v>
      </c>
      <c r="AL103" s="171">
        <f>AL93+AL95+AL97+AL99+AL100+AL102</f>
        <v>9597.3726255530728</v>
      </c>
      <c r="AM103" s="103">
        <f>AM93+AM95+AM97+AM99+AM100+AM102</f>
        <v>2687.7553218475532</v>
      </c>
      <c r="AN103" s="103">
        <f t="shared" ref="AN103:AP103" si="325">AN93+AN95+AN97+AN99+AN100+AN102</f>
        <v>2338.7783496018742</v>
      </c>
      <c r="AO103" s="103">
        <f t="shared" si="325"/>
        <v>2725.4280914658843</v>
      </c>
      <c r="AP103" s="103">
        <f t="shared" si="325"/>
        <v>3025.9789695315444</v>
      </c>
      <c r="AQ103" s="171">
        <f>AQ93+AQ95+AQ97+AQ99+AQ100+AQ102</f>
        <v>10777.940732446856</v>
      </c>
      <c r="AR103" s="103">
        <f>AR93+AR95+AR97+AR99+AR100+AR102</f>
        <v>2890.6013561828804</v>
      </c>
      <c r="AS103" s="103">
        <f t="shared" ref="AS103:AU103" si="326">AS93+AS95+AS97+AS99+AS100+AS102</f>
        <v>2513.5937871498772</v>
      </c>
      <c r="AT103" s="103">
        <f t="shared" si="326"/>
        <v>2926.8396384023667</v>
      </c>
      <c r="AU103" s="103">
        <f t="shared" si="326"/>
        <v>3248.5186655254283</v>
      </c>
      <c r="AV103" s="171">
        <f>AV93+AV95+AV97+AV99+AV100+AV102</f>
        <v>11579.553447260554</v>
      </c>
    </row>
    <row r="104" spans="1:48" ht="16.2" outlineLevel="1" x14ac:dyDescent="0.45">
      <c r="B104" s="180" t="s">
        <v>36</v>
      </c>
      <c r="C104" s="18"/>
      <c r="D104" s="119">
        <v>26.4</v>
      </c>
      <c r="E104" s="104">
        <v>22.1</v>
      </c>
      <c r="F104" s="104">
        <v>27.2</v>
      </c>
      <c r="G104" s="104">
        <v>26.8</v>
      </c>
      <c r="H104" s="214">
        <f>SUM(D104:G104)</f>
        <v>102.5</v>
      </c>
      <c r="I104" s="104">
        <v>30.9</v>
      </c>
      <c r="J104" s="104">
        <v>24.8</v>
      </c>
      <c r="K104" s="104">
        <v>17.399999999999999</v>
      </c>
      <c r="L104" s="104">
        <v>29.2</v>
      </c>
      <c r="M104" s="214">
        <f>SUM(I104:L104)</f>
        <v>102.3</v>
      </c>
      <c r="N104" s="104">
        <v>26.3</v>
      </c>
      <c r="O104" s="104">
        <v>26.8</v>
      </c>
      <c r="P104" s="104">
        <v>42</v>
      </c>
      <c r="Q104" s="104">
        <v>40.299999999999997</v>
      </c>
      <c r="R104" s="193">
        <f>SUM(N104:Q104)</f>
        <v>135.39999999999998</v>
      </c>
      <c r="S104" s="104">
        <v>0.7</v>
      </c>
      <c r="T104" s="104">
        <v>0.6</v>
      </c>
      <c r="U104" s="104">
        <v>0.4</v>
      </c>
      <c r="V104" s="104">
        <v>0.6</v>
      </c>
      <c r="W104" s="193">
        <f>SUM(S104:V104)</f>
        <v>2.2999999999999998</v>
      </c>
      <c r="X104" s="56">
        <v>0.4</v>
      </c>
      <c r="Y104" s="56">
        <v>0.5</v>
      </c>
      <c r="Z104" s="56">
        <v>0.6</v>
      </c>
      <c r="AA104" s="56">
        <v>0.7</v>
      </c>
      <c r="AB104" s="193">
        <f>SUM(X104:AA104)</f>
        <v>2.2000000000000002</v>
      </c>
      <c r="AC104" s="56">
        <v>1</v>
      </c>
      <c r="AD104" s="56">
        <v>1</v>
      </c>
      <c r="AE104" s="56">
        <v>1</v>
      </c>
      <c r="AF104" s="56">
        <v>1</v>
      </c>
      <c r="AG104" s="193">
        <f>SUM(AC104:AF104)</f>
        <v>4</v>
      </c>
      <c r="AH104" s="56">
        <v>1</v>
      </c>
      <c r="AI104" s="56">
        <v>1</v>
      </c>
      <c r="AJ104" s="56">
        <v>1</v>
      </c>
      <c r="AK104" s="56">
        <v>1</v>
      </c>
      <c r="AL104" s="193">
        <f>SUM(AH104:AK104)</f>
        <v>4</v>
      </c>
      <c r="AM104" s="56">
        <v>1</v>
      </c>
      <c r="AN104" s="56">
        <v>1</v>
      </c>
      <c r="AO104" s="56">
        <v>1</v>
      </c>
      <c r="AP104" s="56">
        <v>1</v>
      </c>
      <c r="AQ104" s="193">
        <f>SUM(AM104:AP104)</f>
        <v>4</v>
      </c>
      <c r="AR104" s="56">
        <v>1</v>
      </c>
      <c r="AS104" s="56">
        <v>1</v>
      </c>
      <c r="AT104" s="56">
        <v>1</v>
      </c>
      <c r="AU104" s="56">
        <v>1</v>
      </c>
      <c r="AV104" s="193">
        <f>SUM(AR104:AU104)</f>
        <v>4</v>
      </c>
    </row>
    <row r="105" spans="1:48" outlineLevel="1" x14ac:dyDescent="0.3">
      <c r="B105" s="46" t="s">
        <v>124</v>
      </c>
      <c r="C105" s="44"/>
      <c r="D105" s="156">
        <f>+D92-D103+D104</f>
        <v>229.99999999999991</v>
      </c>
      <c r="E105" s="156">
        <f t="shared" ref="E105:V105" si="327">+E92-E103+E104</f>
        <v>201.80000000000004</v>
      </c>
      <c r="F105" s="156">
        <f t="shared" si="327"/>
        <v>270.19999999999976</v>
      </c>
      <c r="G105" s="156">
        <f t="shared" si="327"/>
        <v>262.69999999999987</v>
      </c>
      <c r="H105" s="132">
        <f>SUM(D105:G105)</f>
        <v>964.69999999999959</v>
      </c>
      <c r="I105" s="156">
        <f t="shared" si="327"/>
        <v>275.89999999999998</v>
      </c>
      <c r="J105" s="156">
        <f t="shared" si="327"/>
        <v>-15.400000000000045</v>
      </c>
      <c r="K105" s="156">
        <f>+K92-K103+K104</f>
        <v>-85.999999999999744</v>
      </c>
      <c r="L105" s="156">
        <f t="shared" si="327"/>
        <v>181.69999999999976</v>
      </c>
      <c r="M105" s="132">
        <f>SUM(I105:L105)</f>
        <v>356.19999999999993</v>
      </c>
      <c r="N105" s="156">
        <f t="shared" si="327"/>
        <v>274.8</v>
      </c>
      <c r="O105" s="156">
        <f t="shared" si="327"/>
        <v>251.50000000000006</v>
      </c>
      <c r="P105" s="156">
        <f t="shared" si="327"/>
        <v>318.29999999999995</v>
      </c>
      <c r="Q105" s="156">
        <f t="shared" si="327"/>
        <v>377.39999999999992</v>
      </c>
      <c r="R105" s="97">
        <f>SUM(N105:Q105)</f>
        <v>1222</v>
      </c>
      <c r="S105" s="74">
        <f t="shared" si="327"/>
        <v>299.59999999999985</v>
      </c>
      <c r="T105" s="74">
        <f t="shared" si="327"/>
        <v>180.70000000000013</v>
      </c>
      <c r="U105" s="74">
        <f t="shared" si="327"/>
        <v>135.3000000000001</v>
      </c>
      <c r="V105" s="74">
        <f t="shared" si="327"/>
        <v>217.6</v>
      </c>
      <c r="W105" s="97">
        <f>SUM(S105:V105)</f>
        <v>833.2</v>
      </c>
      <c r="X105" s="74">
        <f t="shared" ref="X105:AA105" si="328">+X92-X103+X104</f>
        <v>280.6481046922014</v>
      </c>
      <c r="Y105" s="74">
        <f t="shared" si="328"/>
        <v>279.824658767036</v>
      </c>
      <c r="Z105" s="74">
        <f t="shared" si="328"/>
        <v>245.39604658147991</v>
      </c>
      <c r="AA105" s="74">
        <f t="shared" si="328"/>
        <v>344.5069430433079</v>
      </c>
      <c r="AB105" s="97">
        <f>SUM(X105:AA105)</f>
        <v>1150.3757530840253</v>
      </c>
      <c r="AC105" s="74">
        <f t="shared" ref="AC105:AF105" si="329">+AC92-AC103+AC104</f>
        <v>408.99812019115166</v>
      </c>
      <c r="AD105" s="74">
        <f t="shared" si="329"/>
        <v>405.21479021213372</v>
      </c>
      <c r="AE105" s="74">
        <f t="shared" si="329"/>
        <v>297.3345965866506</v>
      </c>
      <c r="AF105" s="74">
        <f t="shared" si="329"/>
        <v>399.68185679682028</v>
      </c>
      <c r="AG105" s="97">
        <f>SUM(AC105:AF105)</f>
        <v>1511.2293637867563</v>
      </c>
      <c r="AH105" s="74">
        <f t="shared" ref="AH105:AK105" si="330">+AH92-AH103+AH104</f>
        <v>499.74179986508989</v>
      </c>
      <c r="AI105" s="74">
        <f t="shared" si="330"/>
        <v>492.88684890318109</v>
      </c>
      <c r="AJ105" s="74">
        <f t="shared" si="330"/>
        <v>441.74227304240958</v>
      </c>
      <c r="AK105" s="74">
        <f t="shared" si="330"/>
        <v>491.08009213317837</v>
      </c>
      <c r="AL105" s="97">
        <f>SUM(AH105:AK105)</f>
        <v>1925.4510139438589</v>
      </c>
      <c r="AM105" s="74">
        <f t="shared" ref="AM105:AP105" si="331">+AM92-AM103+AM104</f>
        <v>577.41478498259039</v>
      </c>
      <c r="AN105" s="74">
        <f t="shared" si="331"/>
        <v>558.4239399114872</v>
      </c>
      <c r="AO105" s="74">
        <f t="shared" si="331"/>
        <v>489.02341406597725</v>
      </c>
      <c r="AP105" s="74">
        <f t="shared" si="331"/>
        <v>534.28511019810094</v>
      </c>
      <c r="AQ105" s="97">
        <f>SUM(AM105:AP105)</f>
        <v>2159.1472491581558</v>
      </c>
      <c r="AR105" s="74">
        <f t="shared" ref="AR105:AU105" si="332">+AR92-AR103+AR104</f>
        <v>608.87532314117789</v>
      </c>
      <c r="AS105" s="74">
        <f t="shared" si="332"/>
        <v>588.32417514531971</v>
      </c>
      <c r="AT105" s="74">
        <f t="shared" si="332"/>
        <v>512.26046467018796</v>
      </c>
      <c r="AU105" s="74">
        <f t="shared" si="332"/>
        <v>561.29540330242617</v>
      </c>
      <c r="AV105" s="97">
        <f>SUM(AR105:AU105)</f>
        <v>2270.7553662591117</v>
      </c>
    </row>
    <row r="106" spans="1:48" outlineLevel="1" x14ac:dyDescent="0.3">
      <c r="B106" s="46" t="s">
        <v>125</v>
      </c>
      <c r="C106" s="44"/>
      <c r="D106" s="157">
        <f t="shared" ref="D106:G106" si="333">+D105/D92</f>
        <v>0.15292553191489355</v>
      </c>
      <c r="E106" s="157">
        <f t="shared" si="333"/>
        <v>0.1319471688243756</v>
      </c>
      <c r="F106" s="157">
        <f t="shared" si="333"/>
        <v>0.17044092600769556</v>
      </c>
      <c r="G106" s="157">
        <f t="shared" si="333"/>
        <v>0.16710132943196987</v>
      </c>
      <c r="H106" s="133">
        <f>H105/H92</f>
        <v>0.15582800284292814</v>
      </c>
      <c r="I106" s="157">
        <f t="shared" ref="I106:L106" si="334">+I105/I92</f>
        <v>0.17560944561135511</v>
      </c>
      <c r="J106" s="157">
        <f t="shared" si="334"/>
        <v>-1.3573065397496956E-2</v>
      </c>
      <c r="K106" s="157">
        <f t="shared" si="334"/>
        <v>-9.0564448188710761E-2</v>
      </c>
      <c r="L106" s="157">
        <f t="shared" si="334"/>
        <v>0.12022761860649757</v>
      </c>
      <c r="M106" s="133">
        <f>M105/M92</f>
        <v>6.8942825068710564E-2</v>
      </c>
      <c r="N106" s="157">
        <f t="shared" ref="N106:Q106" si="335">+N105/N92</f>
        <v>0.16611255515928189</v>
      </c>
      <c r="O106" s="157">
        <f t="shared" si="335"/>
        <v>0.1561239058911168</v>
      </c>
      <c r="P106" s="157">
        <f t="shared" si="335"/>
        <v>0.19193198263386396</v>
      </c>
      <c r="Q106" s="157">
        <f t="shared" si="335"/>
        <v>0.19711689125665932</v>
      </c>
      <c r="R106" s="98">
        <f>R105/R92</f>
        <v>0.17870199760170807</v>
      </c>
      <c r="S106" s="75">
        <f t="shared" ref="S106:V106" si="336">+S105/S92</f>
        <v>0.15971000586385195</v>
      </c>
      <c r="T106" s="75">
        <f t="shared" si="336"/>
        <v>0.1061442669172933</v>
      </c>
      <c r="U106" s="75">
        <f t="shared" si="336"/>
        <v>8.5378936076228998E-2</v>
      </c>
      <c r="V106" s="75">
        <f t="shared" si="336"/>
        <v>0.12245357343837929</v>
      </c>
      <c r="W106" s="98">
        <f>W105/W92</f>
        <v>0.12005763688760808</v>
      </c>
      <c r="X106" s="75">
        <f t="shared" ref="X106:AA106" si="337">+X105/X92</f>
        <v>0.14979711283160294</v>
      </c>
      <c r="Y106" s="75">
        <f t="shared" si="337"/>
        <v>0.14884270254440521</v>
      </c>
      <c r="Z106" s="75">
        <f t="shared" si="337"/>
        <v>0.11539638282595711</v>
      </c>
      <c r="AA106" s="75">
        <f t="shared" si="337"/>
        <v>0.14400037044468392</v>
      </c>
      <c r="AB106" s="98">
        <f>AB105/AB92</f>
        <v>0.13906063301783275</v>
      </c>
      <c r="AC106" s="75">
        <f t="shared" ref="AC106:AF106" si="338">+AC105/AC92</f>
        <v>0.16789238990730232</v>
      </c>
      <c r="AD106" s="75">
        <f t="shared" si="338"/>
        <v>0.18413041541244921</v>
      </c>
      <c r="AE106" s="75">
        <f t="shared" si="338"/>
        <v>0.11970922430515196</v>
      </c>
      <c r="AF106" s="75">
        <f t="shared" si="338"/>
        <v>0.14319454181725386</v>
      </c>
      <c r="AG106" s="98">
        <f>AG105/AG92</f>
        <v>0.15246839061343473</v>
      </c>
      <c r="AH106" s="75">
        <f t="shared" ref="AH106:AK106" si="339">+AH105/AH92</f>
        <v>0.17590123378779088</v>
      </c>
      <c r="AI106" s="75">
        <f t="shared" si="339"/>
        <v>0.19254736639248865</v>
      </c>
      <c r="AJ106" s="75">
        <f t="shared" si="339"/>
        <v>0.15325940020506024</v>
      </c>
      <c r="AK106" s="75">
        <f t="shared" si="339"/>
        <v>0.15177177471928971</v>
      </c>
      <c r="AL106" s="98">
        <f>AL105/AL92</f>
        <v>0.16715691412634132</v>
      </c>
      <c r="AM106" s="75">
        <f t="shared" ref="AM106:AP106" si="340">+AM105/AM92</f>
        <v>0.17689482045509006</v>
      </c>
      <c r="AN106" s="75">
        <f t="shared" si="340"/>
        <v>0.19281247788990499</v>
      </c>
      <c r="AO106" s="75">
        <f t="shared" si="340"/>
        <v>0.15218011325957087</v>
      </c>
      <c r="AP106" s="75">
        <f t="shared" si="340"/>
        <v>0.15011111798107551</v>
      </c>
      <c r="AQ106" s="98">
        <f>AQ105/AQ92</f>
        <v>0.16694754201232945</v>
      </c>
      <c r="AR106" s="75">
        <f t="shared" ref="AR106:AU106" si="341">+AR105/AR92</f>
        <v>0.17404012630400578</v>
      </c>
      <c r="AS106" s="75">
        <f t="shared" si="341"/>
        <v>0.18972581096916916</v>
      </c>
      <c r="AT106" s="75">
        <f t="shared" si="341"/>
        <v>0.14899521518073078</v>
      </c>
      <c r="AU106" s="75">
        <f t="shared" si="341"/>
        <v>0.14736749895359486</v>
      </c>
      <c r="AV106" s="98">
        <f>AV105/AV92</f>
        <v>0.1639971632036637</v>
      </c>
    </row>
    <row r="107" spans="1:48" ht="17.399999999999999" x14ac:dyDescent="0.45">
      <c r="B107" s="583" t="s">
        <v>51</v>
      </c>
      <c r="C107" s="584"/>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87" t="s">
        <v>126</v>
      </c>
      <c r="C108" s="588"/>
      <c r="D108" s="50">
        <v>504.6</v>
      </c>
      <c r="E108" s="50">
        <v>446.6</v>
      </c>
      <c r="F108" s="103">
        <v>533.29999999999995</v>
      </c>
      <c r="G108" s="50">
        <v>508.1</v>
      </c>
      <c r="H108" s="31">
        <f>SUM(D108:G108)</f>
        <v>1992.6</v>
      </c>
      <c r="I108" s="50">
        <v>494.6</v>
      </c>
      <c r="J108" s="50">
        <v>519.1</v>
      </c>
      <c r="K108" s="50">
        <v>447.3</v>
      </c>
      <c r="L108" s="50">
        <v>464</v>
      </c>
      <c r="M108" s="31">
        <f>SUM(I108:L108)</f>
        <v>1925</v>
      </c>
      <c r="N108" s="50">
        <v>371.4</v>
      </c>
      <c r="O108" s="50">
        <v>369.9</v>
      </c>
      <c r="P108" s="50">
        <v>414</v>
      </c>
      <c r="Q108" s="103">
        <v>438.3</v>
      </c>
      <c r="R108" s="126">
        <f>SUM(N108:Q108)</f>
        <v>1593.6</v>
      </c>
      <c r="S108" s="50">
        <v>417.1</v>
      </c>
      <c r="T108" s="50">
        <v>463.1</v>
      </c>
      <c r="U108" s="50">
        <v>479.7</v>
      </c>
      <c r="V108" s="50">
        <v>483.7</v>
      </c>
      <c r="W108" s="31">
        <f>SUM(S108:V108)</f>
        <v>1843.6000000000001</v>
      </c>
      <c r="X108" s="50">
        <f>+S108*(1+X109)</f>
        <v>458.81000000000006</v>
      </c>
      <c r="Y108" s="50">
        <f>+T108*(1+Y109)</f>
        <v>481.62400000000002</v>
      </c>
      <c r="Z108" s="50">
        <f>+U108*(1+Z109)</f>
        <v>498.88800000000003</v>
      </c>
      <c r="AA108" s="50">
        <f t="shared" ref="AA108" si="342">+V108*(1+AA109)</f>
        <v>503.048</v>
      </c>
      <c r="AB108" s="31">
        <f>SUM(X108:AA108)</f>
        <v>1942.3700000000001</v>
      </c>
      <c r="AC108" s="50">
        <f>+X108*(1+AC109)</f>
        <v>477.1624000000001</v>
      </c>
      <c r="AD108" s="50">
        <f>+Y108*(1+AD109)</f>
        <v>500.88896000000005</v>
      </c>
      <c r="AE108" s="50">
        <f>+Z108*(1+AE109)</f>
        <v>518.84352000000001</v>
      </c>
      <c r="AF108" s="50">
        <f t="shared" ref="AF108" si="343">+AA108*(1+AF109)</f>
        <v>523.16992000000005</v>
      </c>
      <c r="AG108" s="31">
        <f>SUM(AC108:AF108)</f>
        <v>2020.0648000000003</v>
      </c>
      <c r="AH108" s="50">
        <f>+AC108*(1+AH109)</f>
        <v>496.24889600000012</v>
      </c>
      <c r="AI108" s="50">
        <f>+AD108*(1+AI109)</f>
        <v>520.92451840000012</v>
      </c>
      <c r="AJ108" s="50">
        <f>+AE108*(1+AJ109)</f>
        <v>539.59726080000007</v>
      </c>
      <c r="AK108" s="50">
        <f t="shared" ref="AK108" si="344">+AF108*(1+AK109)</f>
        <v>544.09671680000008</v>
      </c>
      <c r="AL108" s="31">
        <f>SUM(AH108:AK108)</f>
        <v>2100.8673920000006</v>
      </c>
      <c r="AM108" s="50">
        <f>+AH108*(1+AM109)</f>
        <v>516.09885184000018</v>
      </c>
      <c r="AN108" s="50">
        <f>+AI108*(1+AN109)</f>
        <v>541.76149913600011</v>
      </c>
      <c r="AO108" s="50">
        <f>+AJ108*(1+AO109)</f>
        <v>561.18115123200005</v>
      </c>
      <c r="AP108" s="50">
        <f t="shared" ref="AP108" si="345">+AK108*(1+AP109)</f>
        <v>565.86058547200014</v>
      </c>
      <c r="AQ108" s="31">
        <f>SUM(AM108:AP108)</f>
        <v>2184.9020876800005</v>
      </c>
      <c r="AR108" s="50">
        <f>+AM108*(1+AR109)</f>
        <v>536.74280591360025</v>
      </c>
      <c r="AS108" s="50">
        <f>+AN108*(1+AS109)</f>
        <v>563.43195910144016</v>
      </c>
      <c r="AT108" s="50">
        <f>+AO108*(1+AT109)</f>
        <v>583.62839728128006</v>
      </c>
      <c r="AU108" s="50">
        <f t="shared" ref="AU108" si="346">+AP108*(1+AU109)</f>
        <v>588.49500889088017</v>
      </c>
      <c r="AV108" s="31">
        <f>SUM(AR108:AU108)</f>
        <v>2272.2981711872008</v>
      </c>
    </row>
    <row r="109" spans="1:48" outlineLevel="1" x14ac:dyDescent="0.3">
      <c r="B109" s="69" t="s">
        <v>58</v>
      </c>
      <c r="C109" s="70"/>
      <c r="D109" s="120"/>
      <c r="E109" s="120"/>
      <c r="F109" s="120"/>
      <c r="G109" s="120"/>
      <c r="H109" s="58"/>
      <c r="I109" s="120">
        <f>I108/D108-1</f>
        <v>-1.9817677368212494E-2</v>
      </c>
      <c r="J109" s="120">
        <f t="shared" ref="J109" si="347">J108/E108-1</f>
        <v>0.16233766233766223</v>
      </c>
      <c r="K109" s="120">
        <f>K108/F108-1</f>
        <v>-0.1612600787549221</v>
      </c>
      <c r="L109" s="120">
        <f>L108/G108-1</f>
        <v>-8.6793938201141563E-2</v>
      </c>
      <c r="M109" s="168">
        <f>M108/H108-1</f>
        <v>-3.3925524440429511E-2</v>
      </c>
      <c r="N109" s="120">
        <f>N108/I108-1</f>
        <v>-0.24909017387788124</v>
      </c>
      <c r="O109" s="120">
        <f t="shared" ref="O109" si="348">O108/J108-1</f>
        <v>-0.28742053554228475</v>
      </c>
      <c r="P109" s="120">
        <f>P108/K108-1</f>
        <v>-7.4446680080482941E-2</v>
      </c>
      <c r="Q109" s="120">
        <f>Q108/L108-1</f>
        <v>-5.5387931034482696E-2</v>
      </c>
      <c r="R109" s="168">
        <f>R108/M108-1</f>
        <v>-0.17215584415584417</v>
      </c>
      <c r="S109" s="120">
        <f>S108/N108-1</f>
        <v>0.12304792676359733</v>
      </c>
      <c r="T109" s="120">
        <f t="shared" ref="T109:U109" si="349">T108/O108-1</f>
        <v>0.25195998918626672</v>
      </c>
      <c r="U109" s="120">
        <f t="shared" si="349"/>
        <v>0.15869565217391313</v>
      </c>
      <c r="V109" s="120">
        <f>V108/Q108-1</f>
        <v>0.10358202144649775</v>
      </c>
      <c r="W109" s="168">
        <f>W108/R108-1</f>
        <v>0.15687751004016071</v>
      </c>
      <c r="X109" s="197">
        <v>0.1</v>
      </c>
      <c r="Y109" s="197">
        <v>0.04</v>
      </c>
      <c r="Z109" s="197">
        <v>0.04</v>
      </c>
      <c r="AA109" s="197">
        <v>0.04</v>
      </c>
      <c r="AB109" s="168">
        <f>AB108/W108-1</f>
        <v>5.3574528097201091E-2</v>
      </c>
      <c r="AC109" s="197">
        <v>0.04</v>
      </c>
      <c r="AD109" s="197">
        <v>0.04</v>
      </c>
      <c r="AE109" s="197">
        <v>0.04</v>
      </c>
      <c r="AF109" s="197">
        <v>0.04</v>
      </c>
      <c r="AG109" s="168">
        <f>AG108/AB108-1</f>
        <v>4.0000000000000036E-2</v>
      </c>
      <c r="AH109" s="197">
        <v>0.04</v>
      </c>
      <c r="AI109" s="197">
        <v>0.04</v>
      </c>
      <c r="AJ109" s="197">
        <v>0.04</v>
      </c>
      <c r="AK109" s="197">
        <v>0.04</v>
      </c>
      <c r="AL109" s="168">
        <f>AL108/AG108-1</f>
        <v>4.0000000000000036E-2</v>
      </c>
      <c r="AM109" s="197">
        <v>0.04</v>
      </c>
      <c r="AN109" s="197">
        <v>0.04</v>
      </c>
      <c r="AO109" s="197">
        <v>0.04</v>
      </c>
      <c r="AP109" s="197">
        <v>0.04</v>
      </c>
      <c r="AQ109" s="168">
        <f>AQ108/AL108-1</f>
        <v>4.0000000000000036E-2</v>
      </c>
      <c r="AR109" s="197">
        <v>0.04</v>
      </c>
      <c r="AS109" s="197">
        <v>0.04</v>
      </c>
      <c r="AT109" s="197">
        <v>0.04</v>
      </c>
      <c r="AU109" s="197">
        <v>0.04</v>
      </c>
      <c r="AV109" s="168">
        <f>AV108/AQ108-1</f>
        <v>4.0000000000000036E-2</v>
      </c>
    </row>
    <row r="110" spans="1:48" outlineLevel="1" x14ac:dyDescent="0.3">
      <c r="B110" s="607" t="s">
        <v>100</v>
      </c>
      <c r="C110" s="608"/>
      <c r="D110" s="48">
        <v>348.4</v>
      </c>
      <c r="E110" s="48">
        <v>305.39999999999998</v>
      </c>
      <c r="F110" s="48">
        <v>377.1</v>
      </c>
      <c r="G110" s="48">
        <v>359.1</v>
      </c>
      <c r="H110" s="76">
        <f>SUM(D110:G110)</f>
        <v>1390</v>
      </c>
      <c r="I110" s="48">
        <v>338.8</v>
      </c>
      <c r="J110" s="48">
        <v>351.6</v>
      </c>
      <c r="K110" s="48">
        <v>319.89999999999998</v>
      </c>
      <c r="L110" s="48">
        <v>327.8</v>
      </c>
      <c r="M110" s="76">
        <f>SUM(I110:L110)</f>
        <v>1338.1000000000001</v>
      </c>
      <c r="N110" s="48">
        <v>233.5</v>
      </c>
      <c r="O110" s="48">
        <v>231.9</v>
      </c>
      <c r="P110" s="48">
        <v>268.3</v>
      </c>
      <c r="Q110" s="105">
        <v>277.5</v>
      </c>
      <c r="R110" s="76">
        <f>SUM(N110:Q110)</f>
        <v>1011.2</v>
      </c>
      <c r="S110" s="48">
        <v>258.8</v>
      </c>
      <c r="T110" s="48">
        <v>300.5</v>
      </c>
      <c r="U110" s="48">
        <v>325.8</v>
      </c>
      <c r="V110" s="48">
        <v>309</v>
      </c>
      <c r="W110" s="76">
        <f>SUM(S110:V110)</f>
        <v>1194.0999999999999</v>
      </c>
      <c r="X110" s="48">
        <f t="shared" ref="X110:AA110" si="350">X111*X108</f>
        <v>291.56215000000003</v>
      </c>
      <c r="Y110" s="48">
        <f t="shared" si="350"/>
        <v>312.52</v>
      </c>
      <c r="Z110" s="48">
        <f t="shared" si="350"/>
        <v>336.33756000000005</v>
      </c>
      <c r="AA110" s="48">
        <f t="shared" si="350"/>
        <v>306.26855999999998</v>
      </c>
      <c r="AB110" s="76">
        <f>SUM(X110:AA110)</f>
        <v>1246.6882700000001</v>
      </c>
      <c r="AC110" s="48">
        <f t="shared" ref="AC110:AF110" si="351">AC111*AC108</f>
        <v>303.22463600000009</v>
      </c>
      <c r="AD110" s="48">
        <f t="shared" si="351"/>
        <v>325.02080000000001</v>
      </c>
      <c r="AE110" s="48">
        <f t="shared" si="351"/>
        <v>339.41419200000001</v>
      </c>
      <c r="AF110" s="48">
        <f t="shared" si="351"/>
        <v>318.51930240000002</v>
      </c>
      <c r="AG110" s="76">
        <f>SUM(AC110:AF110)</f>
        <v>1286.1789304000001</v>
      </c>
      <c r="AH110" s="48">
        <f t="shared" ref="AH110:AK110" si="352">AH111*AH108</f>
        <v>315.3536214400001</v>
      </c>
      <c r="AI110" s="48">
        <f t="shared" si="352"/>
        <v>338.02163200000007</v>
      </c>
      <c r="AJ110" s="48">
        <f t="shared" si="352"/>
        <v>347.59478707200009</v>
      </c>
      <c r="AK110" s="48">
        <f t="shared" si="352"/>
        <v>331.26007449600007</v>
      </c>
      <c r="AL110" s="76">
        <f>SUM(AH110:AK110)</f>
        <v>1332.2301150080002</v>
      </c>
      <c r="AM110" s="48">
        <f t="shared" ref="AM110:AP110" si="353">AM111*AM108</f>
        <v>327.96776629760012</v>
      </c>
      <c r="AN110" s="48">
        <f t="shared" si="353"/>
        <v>351.54249728000008</v>
      </c>
      <c r="AO110" s="48">
        <f t="shared" si="353"/>
        <v>361.49857855488005</v>
      </c>
      <c r="AP110" s="48">
        <f t="shared" si="353"/>
        <v>344.5104774758401</v>
      </c>
      <c r="AQ110" s="76">
        <f>SUM(AM110:AP110)</f>
        <v>1385.5193196083205</v>
      </c>
      <c r="AR110" s="48">
        <f t="shared" ref="AR110:AU110" si="354">AR111*AR108</f>
        <v>341.08647694950417</v>
      </c>
      <c r="AS110" s="48">
        <f t="shared" si="354"/>
        <v>365.6041971712001</v>
      </c>
      <c r="AT110" s="48">
        <f t="shared" si="354"/>
        <v>375.95852169707524</v>
      </c>
      <c r="AU110" s="48">
        <f t="shared" si="354"/>
        <v>358.29089657487373</v>
      </c>
      <c r="AV110" s="76">
        <f>SUM(AR110:AU110)</f>
        <v>1440.9400923926532</v>
      </c>
    </row>
    <row r="111" spans="1:48" s="183" customFormat="1" outlineLevel="1" x14ac:dyDescent="0.3">
      <c r="A111" s="238"/>
      <c r="B111" s="181" t="s">
        <v>151</v>
      </c>
      <c r="C111" s="182"/>
      <c r="D111" s="167">
        <f>D110/D108</f>
        <v>0.69044787950852149</v>
      </c>
      <c r="E111" s="167">
        <f t="shared" ref="E111:W111" si="355">E110/E108</f>
        <v>0.68383340797133896</v>
      </c>
      <c r="F111" s="167">
        <f t="shared" si="355"/>
        <v>0.70710669416838567</v>
      </c>
      <c r="G111" s="167">
        <f t="shared" si="355"/>
        <v>0.70675063963786655</v>
      </c>
      <c r="H111" s="188">
        <f t="shared" si="355"/>
        <v>0.69758104988457292</v>
      </c>
      <c r="I111" s="167">
        <f t="shared" si="355"/>
        <v>0.68499797816417307</v>
      </c>
      <c r="J111" s="167">
        <f t="shared" si="355"/>
        <v>0.6773261413985745</v>
      </c>
      <c r="K111" s="167">
        <f t="shared" si="355"/>
        <v>0.71517996870109535</v>
      </c>
      <c r="L111" s="187">
        <f t="shared" si="355"/>
        <v>0.70646551724137929</v>
      </c>
      <c r="M111" s="188">
        <f t="shared" si="355"/>
        <v>0.69511688311688313</v>
      </c>
      <c r="N111" s="187">
        <f t="shared" si="355"/>
        <v>0.62870220786214326</v>
      </c>
      <c r="O111" s="167">
        <f t="shared" si="355"/>
        <v>0.62692619626926205</v>
      </c>
      <c r="P111" s="167">
        <f t="shared" si="355"/>
        <v>0.6480676328502416</v>
      </c>
      <c r="Q111" s="167">
        <f t="shared" si="355"/>
        <v>0.63312799452429835</v>
      </c>
      <c r="R111" s="188">
        <f t="shared" si="355"/>
        <v>0.63453815261044189</v>
      </c>
      <c r="S111" s="187">
        <f t="shared" si="355"/>
        <v>0.62047470630544233</v>
      </c>
      <c r="T111" s="167">
        <f t="shared" si="355"/>
        <v>0.64888792917296478</v>
      </c>
      <c r="U111" s="167">
        <f t="shared" si="355"/>
        <v>0.67917448405253289</v>
      </c>
      <c r="V111" s="167">
        <f t="shared" si="355"/>
        <v>0.63882571842050861</v>
      </c>
      <c r="W111" s="188">
        <f t="shared" si="355"/>
        <v>0.64770015187676278</v>
      </c>
      <c r="X111" s="189">
        <f>S111+1.5%</f>
        <v>0.63547470630544234</v>
      </c>
      <c r="Y111" s="189">
        <f t="shared" ref="Y111" si="356">T111</f>
        <v>0.64888792917296478</v>
      </c>
      <c r="Z111" s="189">
        <f>U111-0.5%</f>
        <v>0.67417448405253289</v>
      </c>
      <c r="AA111" s="189">
        <f>V111-3%</f>
        <v>0.60882571842050859</v>
      </c>
      <c r="AB111" s="188">
        <f t="shared" ref="AB111" si="357">AB110/AB108</f>
        <v>0.64183871764905764</v>
      </c>
      <c r="AC111" s="189">
        <f t="shared" ref="AC111:AD111" si="358">X111</f>
        <v>0.63547470630544234</v>
      </c>
      <c r="AD111" s="189">
        <f t="shared" si="358"/>
        <v>0.64888792917296478</v>
      </c>
      <c r="AE111" s="189">
        <f>Z111-2%</f>
        <v>0.65417448405253287</v>
      </c>
      <c r="AF111" s="189">
        <f t="shared" ref="AF111" si="359">AA111</f>
        <v>0.60882571842050859</v>
      </c>
      <c r="AG111" s="188">
        <f t="shared" ref="AG111" si="360">AG110/AG108</f>
        <v>0.63670181788227775</v>
      </c>
      <c r="AH111" s="189">
        <f t="shared" ref="AH111:AI111" si="361">AC111</f>
        <v>0.63547470630544234</v>
      </c>
      <c r="AI111" s="189">
        <f t="shared" si="361"/>
        <v>0.64888792917296478</v>
      </c>
      <c r="AJ111" s="189">
        <f>AE111-1%</f>
        <v>0.64417448405253286</v>
      </c>
      <c r="AK111" s="189">
        <f t="shared" ref="AK111" si="362">AF111</f>
        <v>0.60882571842050859</v>
      </c>
      <c r="AL111" s="188">
        <f t="shared" ref="AL111" si="363">AL110/AL108</f>
        <v>0.63413336799888786</v>
      </c>
      <c r="AM111" s="189">
        <f t="shared" ref="AM111:AP111" si="364">AH111</f>
        <v>0.63547470630544234</v>
      </c>
      <c r="AN111" s="189">
        <f t="shared" si="364"/>
        <v>0.64888792917296478</v>
      </c>
      <c r="AO111" s="189">
        <f t="shared" si="364"/>
        <v>0.64417448405253286</v>
      </c>
      <c r="AP111" s="189">
        <f t="shared" si="364"/>
        <v>0.60882571842050859</v>
      </c>
      <c r="AQ111" s="188">
        <f t="shared" ref="AQ111" si="365">AQ110/AQ108</f>
        <v>0.63413336799888809</v>
      </c>
      <c r="AR111" s="189">
        <f t="shared" ref="AR111:AU111" si="366">AM111</f>
        <v>0.63547470630544234</v>
      </c>
      <c r="AS111" s="189">
        <f t="shared" si="366"/>
        <v>0.64888792917296478</v>
      </c>
      <c r="AT111" s="189">
        <f t="shared" si="366"/>
        <v>0.64417448405253286</v>
      </c>
      <c r="AU111" s="189">
        <f t="shared" si="366"/>
        <v>0.60882571842050859</v>
      </c>
      <c r="AV111" s="188">
        <f t="shared" ref="AV111" si="367">AV110/AV108</f>
        <v>0.63413336799888798</v>
      </c>
    </row>
    <row r="112" spans="1:48" outlineLevel="1" x14ac:dyDescent="0.3">
      <c r="B112" s="180" t="s">
        <v>33</v>
      </c>
      <c r="C112" s="18"/>
      <c r="D112" s="48">
        <v>18.600000000000001</v>
      </c>
      <c r="E112" s="48">
        <v>17.100000000000001</v>
      </c>
      <c r="F112" s="48">
        <v>20.2</v>
      </c>
      <c r="G112" s="48">
        <v>20.3</v>
      </c>
      <c r="H112" s="49">
        <f>SUM(D112:G112)</f>
        <v>76.2</v>
      </c>
      <c r="I112" s="48">
        <v>20.6</v>
      </c>
      <c r="J112" s="48">
        <v>17.7</v>
      </c>
      <c r="K112" s="48">
        <v>51.4</v>
      </c>
      <c r="L112" s="48">
        <v>18.5</v>
      </c>
      <c r="M112" s="49">
        <f>SUM(I112:L112)</f>
        <v>108.19999999999999</v>
      </c>
      <c r="N112" s="48">
        <v>11.1</v>
      </c>
      <c r="O112" s="48">
        <v>13.1</v>
      </c>
      <c r="P112" s="48">
        <v>-9.9</v>
      </c>
      <c r="Q112" s="105">
        <v>17</v>
      </c>
      <c r="R112" s="49">
        <f>SUM(N112:Q112)</f>
        <v>31.299999999999997</v>
      </c>
      <c r="S112" s="48">
        <v>11.4</v>
      </c>
      <c r="T112" s="48">
        <v>10.7</v>
      </c>
      <c r="U112" s="48">
        <v>13.6</v>
      </c>
      <c r="V112" s="48">
        <v>16</v>
      </c>
      <c r="W112" s="49">
        <f>SUM(S112:V112)</f>
        <v>51.7</v>
      </c>
      <c r="X112" s="48">
        <f t="shared" ref="X112:AA112" si="368">X113*X108</f>
        <v>21.716200000000004</v>
      </c>
      <c r="Y112" s="48">
        <f t="shared" si="368"/>
        <v>11.128</v>
      </c>
      <c r="Z112" s="48">
        <f t="shared" si="368"/>
        <v>11.649560000000001</v>
      </c>
      <c r="AA112" s="48">
        <f t="shared" si="368"/>
        <v>1.5485600000000008</v>
      </c>
      <c r="AB112" s="49">
        <f>SUM(X112:AA112)</f>
        <v>46.042320000000004</v>
      </c>
      <c r="AC112" s="48">
        <f t="shared" ref="AC112:AF112" si="369">AC113*AC108</f>
        <v>13.041600000000003</v>
      </c>
      <c r="AD112" s="48">
        <f t="shared" si="369"/>
        <v>11.573120000000001</v>
      </c>
      <c r="AE112" s="48">
        <f t="shared" si="369"/>
        <v>12.115542399999999</v>
      </c>
      <c r="AF112" s="48">
        <f t="shared" si="369"/>
        <v>-8.8528959999999994</v>
      </c>
      <c r="AG112" s="49">
        <f>SUM(AC112:AF112)</f>
        <v>27.8773664</v>
      </c>
      <c r="AH112" s="48">
        <f t="shared" ref="AH112:AK112" si="370">AH113*AH108</f>
        <v>12.074517312000003</v>
      </c>
      <c r="AI112" s="48">
        <f t="shared" si="370"/>
        <v>12.036044800000003</v>
      </c>
      <c r="AJ112" s="48">
        <f t="shared" si="370"/>
        <v>12.600164096</v>
      </c>
      <c r="AK112" s="48">
        <f t="shared" si="370"/>
        <v>-11.383398707200001</v>
      </c>
      <c r="AL112" s="49">
        <f>SUM(AH112:AK112)</f>
        <v>25.327327500800003</v>
      </c>
      <c r="AM112" s="48">
        <f t="shared" ref="AM112:AP112" si="371">AM113*AM108</f>
        <v>12.557498004480005</v>
      </c>
      <c r="AN112" s="48">
        <f t="shared" si="371"/>
        <v>12.517486592000003</v>
      </c>
      <c r="AO112" s="48">
        <f t="shared" si="371"/>
        <v>13.104170659840001</v>
      </c>
      <c r="AP112" s="48">
        <f t="shared" si="371"/>
        <v>-11.838734655488002</v>
      </c>
      <c r="AQ112" s="49">
        <f>SUM(AM112:AP112)</f>
        <v>26.340420600832005</v>
      </c>
      <c r="AR112" s="48">
        <f t="shared" ref="AR112:AU112" si="372">AR113*AR108</f>
        <v>13.059797924659206</v>
      </c>
      <c r="AS112" s="48">
        <f t="shared" si="372"/>
        <v>13.018186055680003</v>
      </c>
      <c r="AT112" s="48">
        <f t="shared" si="372"/>
        <v>13.628337486233601</v>
      </c>
      <c r="AU112" s="48">
        <f t="shared" si="372"/>
        <v>-12.312284041707523</v>
      </c>
      <c r="AV112" s="49">
        <f>SUM(AR112:AU112)</f>
        <v>27.394037424865289</v>
      </c>
    </row>
    <row r="113" spans="2:48" s="184" customFormat="1" outlineLevel="1" x14ac:dyDescent="0.3">
      <c r="B113" s="181" t="s">
        <v>154</v>
      </c>
      <c r="C113" s="190"/>
      <c r="D113" s="187">
        <f>D112/D108</f>
        <v>3.6860879904875153E-2</v>
      </c>
      <c r="E113" s="187">
        <f t="shared" ref="E113:W113" si="373">E112/E108</f>
        <v>3.8289296909986566E-2</v>
      </c>
      <c r="F113" s="187">
        <f t="shared" si="373"/>
        <v>3.7877367335458469E-2</v>
      </c>
      <c r="G113" s="187">
        <f t="shared" si="373"/>
        <v>3.9952765203700058E-2</v>
      </c>
      <c r="H113" s="188">
        <f t="shared" si="373"/>
        <v>3.8241493526046375E-2</v>
      </c>
      <c r="I113" s="187">
        <f t="shared" si="373"/>
        <v>4.1649818034775576E-2</v>
      </c>
      <c r="J113" s="187">
        <f t="shared" si="373"/>
        <v>3.4097476401464072E-2</v>
      </c>
      <c r="K113" s="187">
        <f t="shared" si="373"/>
        <v>0.11491169237648111</v>
      </c>
      <c r="L113" s="187">
        <f t="shared" si="373"/>
        <v>3.9870689655172417E-2</v>
      </c>
      <c r="M113" s="188">
        <f t="shared" si="373"/>
        <v>5.62077922077922E-2</v>
      </c>
      <c r="N113" s="187">
        <f t="shared" si="373"/>
        <v>2.9886914378029081E-2</v>
      </c>
      <c r="O113" s="187">
        <f t="shared" si="373"/>
        <v>3.5414977020816439E-2</v>
      </c>
      <c r="P113" s="187">
        <f t="shared" si="373"/>
        <v>-2.391304347826087E-2</v>
      </c>
      <c r="Q113" s="167">
        <f t="shared" si="373"/>
        <v>3.8786219484371436E-2</v>
      </c>
      <c r="R113" s="188">
        <f t="shared" si="373"/>
        <v>1.964106425702811E-2</v>
      </c>
      <c r="S113" s="187">
        <f t="shared" si="373"/>
        <v>2.7331575161831694E-2</v>
      </c>
      <c r="T113" s="187">
        <f t="shared" si="373"/>
        <v>2.3105160872381774E-2</v>
      </c>
      <c r="U113" s="187">
        <f t="shared" si="373"/>
        <v>2.8351052741296644E-2</v>
      </c>
      <c r="V113" s="187">
        <f t="shared" si="373"/>
        <v>3.3078354351870995E-2</v>
      </c>
      <c r="W113" s="188">
        <f t="shared" si="373"/>
        <v>2.8042959427207637E-2</v>
      </c>
      <c r="X113" s="189">
        <f>S113+2%</f>
        <v>4.7331575161831695E-2</v>
      </c>
      <c r="Y113" s="189">
        <f t="shared" ref="Y113" si="374">T113</f>
        <v>2.3105160872381774E-2</v>
      </c>
      <c r="Z113" s="189">
        <f>U113-0.5%</f>
        <v>2.3351052741296643E-2</v>
      </c>
      <c r="AA113" s="189">
        <f>V113-3%</f>
        <v>3.078354351870996E-3</v>
      </c>
      <c r="AB113" s="188">
        <f t="shared" ref="AB113" si="375">AB112/AB108</f>
        <v>2.370419641983762E-2</v>
      </c>
      <c r="AC113" s="189">
        <f>X113-2%</f>
        <v>2.7331575161831694E-2</v>
      </c>
      <c r="AD113" s="189">
        <f t="shared" ref="AD113:AE113" si="376">Y113</f>
        <v>2.3105160872381774E-2</v>
      </c>
      <c r="AE113" s="189">
        <f t="shared" si="376"/>
        <v>2.3351052741296643E-2</v>
      </c>
      <c r="AF113" s="189">
        <f>AA113-2%</f>
        <v>-1.6921645648129004E-2</v>
      </c>
      <c r="AG113" s="188">
        <f t="shared" ref="AG113" si="377">AG112/AG108</f>
        <v>1.3800233735076219E-2</v>
      </c>
      <c r="AH113" s="189">
        <f>AC113-0.3%</f>
        <v>2.4331575161831695E-2</v>
      </c>
      <c r="AI113" s="189">
        <f t="shared" ref="AI113:AJ113" si="378">AD113</f>
        <v>2.3105160872381774E-2</v>
      </c>
      <c r="AJ113" s="189">
        <f t="shared" si="378"/>
        <v>2.3351052741296643E-2</v>
      </c>
      <c r="AK113" s="189">
        <f>AF113-0.4%</f>
        <v>-2.0921645648129004E-2</v>
      </c>
      <c r="AL113" s="188">
        <f t="shared" ref="AL113" si="379">AL112/AL108</f>
        <v>1.2055652630549276E-2</v>
      </c>
      <c r="AM113" s="189">
        <f t="shared" ref="AM113:AP113" si="380">AH113</f>
        <v>2.4331575161831695E-2</v>
      </c>
      <c r="AN113" s="189">
        <f t="shared" si="380"/>
        <v>2.3105160872381774E-2</v>
      </c>
      <c r="AO113" s="189">
        <f t="shared" si="380"/>
        <v>2.3351052741296643E-2</v>
      </c>
      <c r="AP113" s="189">
        <f t="shared" si="380"/>
        <v>-2.0921645648129004E-2</v>
      </c>
      <c r="AQ113" s="188">
        <f t="shared" ref="AQ113" si="381">AQ112/AQ108</f>
        <v>1.2055652630549276E-2</v>
      </c>
      <c r="AR113" s="189">
        <f t="shared" ref="AR113:AU113" si="382">AM113</f>
        <v>2.4331575161831695E-2</v>
      </c>
      <c r="AS113" s="189">
        <f t="shared" si="382"/>
        <v>2.3105160872381774E-2</v>
      </c>
      <c r="AT113" s="189">
        <f t="shared" si="382"/>
        <v>2.3351052741296643E-2</v>
      </c>
      <c r="AU113" s="189">
        <f t="shared" si="382"/>
        <v>-2.0921645648129004E-2</v>
      </c>
      <c r="AV113" s="188">
        <f t="shared" ref="AV113" si="383">AV112/AV108</f>
        <v>1.2055652630549278E-2</v>
      </c>
    </row>
    <row r="114" spans="2:48" outlineLevel="1" x14ac:dyDescent="0.3">
      <c r="B114" s="180" t="s">
        <v>34</v>
      </c>
      <c r="C114" s="18"/>
      <c r="D114" s="358">
        <v>0</v>
      </c>
      <c r="E114" s="358">
        <v>12.3</v>
      </c>
      <c r="F114" s="358">
        <v>0.2</v>
      </c>
      <c r="G114" s="358">
        <v>0.3</v>
      </c>
      <c r="H114" s="126">
        <f>SUM(D114:G114)</f>
        <v>12.8</v>
      </c>
      <c r="I114" s="358">
        <v>0.3</v>
      </c>
      <c r="J114" s="358">
        <v>0.3</v>
      </c>
      <c r="K114" s="358">
        <v>0.3</v>
      </c>
      <c r="L114" s="358">
        <v>0.3</v>
      </c>
      <c r="M114" s="126">
        <f>SUM(I114:L114)</f>
        <v>1.2</v>
      </c>
      <c r="N114" s="358">
        <v>0.2</v>
      </c>
      <c r="O114" s="358">
        <v>0.3</v>
      </c>
      <c r="P114" s="358">
        <v>0.2</v>
      </c>
      <c r="Q114" s="358">
        <v>0.3</v>
      </c>
      <c r="R114" s="126">
        <f>SUM(N114:Q114)</f>
        <v>1</v>
      </c>
      <c r="S114" s="358">
        <v>0</v>
      </c>
      <c r="T114" s="358">
        <v>0</v>
      </c>
      <c r="U114" s="358">
        <v>0</v>
      </c>
      <c r="V114" s="358">
        <v>0</v>
      </c>
      <c r="W114" s="126">
        <f>SUM(S114:V114)</f>
        <v>0</v>
      </c>
      <c r="X114" s="360">
        <v>0</v>
      </c>
      <c r="Y114" s="360">
        <v>0</v>
      </c>
      <c r="Z114" s="360">
        <v>0</v>
      </c>
      <c r="AA114" s="360">
        <v>0</v>
      </c>
      <c r="AB114" s="126">
        <f>SUM(X114:AA114)</f>
        <v>0</v>
      </c>
      <c r="AC114" s="360">
        <v>0</v>
      </c>
      <c r="AD114" s="360">
        <v>0</v>
      </c>
      <c r="AE114" s="360">
        <v>0</v>
      </c>
      <c r="AF114" s="360">
        <v>0</v>
      </c>
      <c r="AG114" s="126">
        <f>SUM(AC114:AF114)</f>
        <v>0</v>
      </c>
      <c r="AH114" s="360">
        <v>0</v>
      </c>
      <c r="AI114" s="360">
        <v>0</v>
      </c>
      <c r="AJ114" s="360">
        <v>0</v>
      </c>
      <c r="AK114" s="360">
        <v>0</v>
      </c>
      <c r="AL114" s="126">
        <f>SUM(AH114:AK114)</f>
        <v>0</v>
      </c>
      <c r="AM114" s="360">
        <v>0</v>
      </c>
      <c r="AN114" s="360">
        <v>0</v>
      </c>
      <c r="AO114" s="360">
        <v>0</v>
      </c>
      <c r="AP114" s="360">
        <v>0</v>
      </c>
      <c r="AQ114" s="126">
        <f>SUM(AM114:AP114)</f>
        <v>0</v>
      </c>
      <c r="AR114" s="360">
        <v>0</v>
      </c>
      <c r="AS114" s="360">
        <v>0</v>
      </c>
      <c r="AT114" s="360">
        <v>0</v>
      </c>
      <c r="AU114" s="360">
        <v>0</v>
      </c>
      <c r="AV114" s="126">
        <f>SUM(AR114:AU114)</f>
        <v>0</v>
      </c>
    </row>
    <row r="115" spans="2:48" outlineLevel="1" x14ac:dyDescent="0.3">
      <c r="B115" s="180" t="s">
        <v>35</v>
      </c>
      <c r="C115" s="18"/>
      <c r="D115" s="48">
        <v>3.2</v>
      </c>
      <c r="E115" s="48">
        <v>3.1</v>
      </c>
      <c r="F115" s="48">
        <v>2.7</v>
      </c>
      <c r="G115" s="48">
        <v>2.6</v>
      </c>
      <c r="H115" s="49">
        <f>SUM(D115:G115)</f>
        <v>11.6</v>
      </c>
      <c r="I115" s="48">
        <v>2.4</v>
      </c>
      <c r="J115" s="48">
        <v>3</v>
      </c>
      <c r="K115" s="48">
        <v>2.5</v>
      </c>
      <c r="L115" s="48">
        <v>2.5</v>
      </c>
      <c r="M115" s="49">
        <f>SUM(I115:L115)</f>
        <v>10.4</v>
      </c>
      <c r="N115" s="48">
        <v>2.2000000000000002</v>
      </c>
      <c r="O115" s="48">
        <v>2.2999999999999998</v>
      </c>
      <c r="P115" s="48">
        <v>2.9</v>
      </c>
      <c r="Q115" s="105">
        <v>3.4</v>
      </c>
      <c r="R115" s="49">
        <f>SUM(N115:Q115)</f>
        <v>10.8</v>
      </c>
      <c r="S115" s="48">
        <v>3.3</v>
      </c>
      <c r="T115" s="48">
        <v>2.5</v>
      </c>
      <c r="U115" s="48">
        <v>2.2999999999999998</v>
      </c>
      <c r="V115" s="48">
        <v>4.0999999999999996</v>
      </c>
      <c r="W115" s="49">
        <f>SUM(S115:V115)</f>
        <v>12.2</v>
      </c>
      <c r="X115" s="48">
        <f t="shared" ref="X115:AA115" si="384">X116*X108</f>
        <v>3.63</v>
      </c>
      <c r="Y115" s="48">
        <f t="shared" si="384"/>
        <v>2.6</v>
      </c>
      <c r="Z115" s="48">
        <f t="shared" si="384"/>
        <v>2.3920000000000003</v>
      </c>
      <c r="AA115" s="48">
        <f t="shared" si="384"/>
        <v>4.2639999999999993</v>
      </c>
      <c r="AB115" s="49">
        <f>SUM(X115:AA115)</f>
        <v>12.885999999999999</v>
      </c>
      <c r="AC115" s="48">
        <f t="shared" ref="AC115:AF115" si="385">AC116*AC108</f>
        <v>3.7751999999999999</v>
      </c>
      <c r="AD115" s="48">
        <f t="shared" si="385"/>
        <v>2.7040000000000002</v>
      </c>
      <c r="AE115" s="48">
        <f t="shared" si="385"/>
        <v>2.4876800000000001</v>
      </c>
      <c r="AF115" s="48">
        <f t="shared" si="385"/>
        <v>4.4345600000000003</v>
      </c>
      <c r="AG115" s="49">
        <f>SUM(AC115:AF115)</f>
        <v>13.401440000000001</v>
      </c>
      <c r="AH115" s="48">
        <f t="shared" ref="AH115:AK115" si="386">AH116*AH108</f>
        <v>3.9262080000000004</v>
      </c>
      <c r="AI115" s="48">
        <f t="shared" si="386"/>
        <v>2.8121600000000004</v>
      </c>
      <c r="AJ115" s="48">
        <f t="shared" si="386"/>
        <v>2.5871872000000002</v>
      </c>
      <c r="AK115" s="48">
        <f t="shared" si="386"/>
        <v>4.6119424000000002</v>
      </c>
      <c r="AL115" s="49">
        <f>SUM(AH115:AK115)</f>
        <v>13.937497600000002</v>
      </c>
      <c r="AM115" s="48">
        <f t="shared" ref="AM115:AP115" si="387">AM116*AM108</f>
        <v>4.0832563200000003</v>
      </c>
      <c r="AN115" s="48">
        <f t="shared" si="387"/>
        <v>2.9246464000000003</v>
      </c>
      <c r="AO115" s="48">
        <f t="shared" si="387"/>
        <v>2.6906746880000001</v>
      </c>
      <c r="AP115" s="48">
        <f t="shared" si="387"/>
        <v>4.7964200960000012</v>
      </c>
      <c r="AQ115" s="49">
        <f>SUM(AM115:AP115)</f>
        <v>14.494997504000001</v>
      </c>
      <c r="AR115" s="48">
        <f t="shared" ref="AR115:AU115" si="388">AR116*AR108</f>
        <v>4.246586572800001</v>
      </c>
      <c r="AS115" s="48">
        <f t="shared" si="388"/>
        <v>3.0416322560000006</v>
      </c>
      <c r="AT115" s="48">
        <f t="shared" si="388"/>
        <v>2.7983016755200003</v>
      </c>
      <c r="AU115" s="48">
        <f t="shared" si="388"/>
        <v>4.9882768998400016</v>
      </c>
      <c r="AV115" s="49">
        <f>SUM(AR115:AU115)</f>
        <v>15.074797404160005</v>
      </c>
    </row>
    <row r="116" spans="2:48" s="184" customFormat="1" outlineLevel="1" x14ac:dyDescent="0.3">
      <c r="B116" s="181" t="s">
        <v>153</v>
      </c>
      <c r="C116" s="190"/>
      <c r="D116" s="187">
        <f>D115/D108</f>
        <v>6.3416567578279829E-3</v>
      </c>
      <c r="E116" s="187">
        <f t="shared" ref="E116:W116" si="389">E115/E108</f>
        <v>6.9413345275414241E-3</v>
      </c>
      <c r="F116" s="187">
        <f t="shared" si="389"/>
        <v>5.0628164260266275E-3</v>
      </c>
      <c r="G116" s="187">
        <f t="shared" si="389"/>
        <v>5.1171029324936033E-3</v>
      </c>
      <c r="H116" s="188">
        <f t="shared" si="389"/>
        <v>5.8215396968784505E-3</v>
      </c>
      <c r="I116" s="187">
        <f t="shared" si="389"/>
        <v>4.8524059846340476E-3</v>
      </c>
      <c r="J116" s="187">
        <f t="shared" si="389"/>
        <v>5.7792332883837404E-3</v>
      </c>
      <c r="K116" s="187">
        <f t="shared" si="389"/>
        <v>5.5890900961323492E-3</v>
      </c>
      <c r="L116" s="187">
        <f t="shared" si="389"/>
        <v>5.387931034482759E-3</v>
      </c>
      <c r="M116" s="188">
        <f t="shared" si="389"/>
        <v>5.4025974025974028E-3</v>
      </c>
      <c r="N116" s="187">
        <f t="shared" si="389"/>
        <v>5.9235325794291874E-3</v>
      </c>
      <c r="O116" s="187">
        <f t="shared" si="389"/>
        <v>6.2178967288456337E-3</v>
      </c>
      <c r="P116" s="187">
        <f t="shared" si="389"/>
        <v>7.0048309178743955E-3</v>
      </c>
      <c r="Q116" s="167">
        <f t="shared" si="389"/>
        <v>7.7572438968742862E-3</v>
      </c>
      <c r="R116" s="188">
        <f t="shared" si="389"/>
        <v>6.7771084337349408E-3</v>
      </c>
      <c r="S116" s="187">
        <f t="shared" si="389"/>
        <v>7.9117717573723313E-3</v>
      </c>
      <c r="T116" s="187">
        <f t="shared" si="389"/>
        <v>5.3984020729863956E-3</v>
      </c>
      <c r="U116" s="187">
        <f t="shared" si="389"/>
        <v>4.7946633312486971E-3</v>
      </c>
      <c r="V116" s="187">
        <f t="shared" si="389"/>
        <v>8.4763283026669418E-3</v>
      </c>
      <c r="W116" s="188">
        <f t="shared" si="389"/>
        <v>6.6174875244087647E-3</v>
      </c>
      <c r="X116" s="189">
        <f t="shared" ref="X116:AA116" si="390">S116</f>
        <v>7.9117717573723313E-3</v>
      </c>
      <c r="Y116" s="189">
        <f t="shared" si="390"/>
        <v>5.3984020729863956E-3</v>
      </c>
      <c r="Z116" s="189">
        <f t="shared" si="390"/>
        <v>4.7946633312486971E-3</v>
      </c>
      <c r="AA116" s="189">
        <f t="shared" si="390"/>
        <v>8.4763283026669418E-3</v>
      </c>
      <c r="AB116" s="188">
        <f t="shared" ref="AB116" si="391">AB115/AB108</f>
        <v>6.6341634189160652E-3</v>
      </c>
      <c r="AC116" s="189">
        <f t="shared" ref="AC116:AF116" si="392">X116</f>
        <v>7.9117717573723313E-3</v>
      </c>
      <c r="AD116" s="189">
        <f t="shared" si="392"/>
        <v>5.3984020729863956E-3</v>
      </c>
      <c r="AE116" s="189">
        <f t="shared" si="392"/>
        <v>4.7946633312486971E-3</v>
      </c>
      <c r="AF116" s="189">
        <f t="shared" si="392"/>
        <v>8.4763283026669418E-3</v>
      </c>
      <c r="AG116" s="188">
        <f t="shared" ref="AG116" si="393">AG115/AG108</f>
        <v>6.6341634189160661E-3</v>
      </c>
      <c r="AH116" s="189">
        <f t="shared" ref="AH116:AK116" si="394">AC116</f>
        <v>7.9117717573723313E-3</v>
      </c>
      <c r="AI116" s="189">
        <f t="shared" si="394"/>
        <v>5.3984020729863956E-3</v>
      </c>
      <c r="AJ116" s="189">
        <f t="shared" si="394"/>
        <v>4.7946633312486971E-3</v>
      </c>
      <c r="AK116" s="189">
        <f t="shared" si="394"/>
        <v>8.4763283026669418E-3</v>
      </c>
      <c r="AL116" s="188">
        <f t="shared" ref="AL116" si="395">AL115/AL108</f>
        <v>6.6341634189160661E-3</v>
      </c>
      <c r="AM116" s="189">
        <f t="shared" ref="AM116:AP116" si="396">AH116</f>
        <v>7.9117717573723313E-3</v>
      </c>
      <c r="AN116" s="189">
        <f t="shared" si="396"/>
        <v>5.3984020729863956E-3</v>
      </c>
      <c r="AO116" s="189">
        <f t="shared" si="396"/>
        <v>4.7946633312486971E-3</v>
      </c>
      <c r="AP116" s="189">
        <f t="shared" si="396"/>
        <v>8.4763283026669418E-3</v>
      </c>
      <c r="AQ116" s="188">
        <f t="shared" ref="AQ116" si="397">AQ115/AQ108</f>
        <v>6.6341634189160652E-3</v>
      </c>
      <c r="AR116" s="189">
        <f t="shared" ref="AR116:AU116" si="398">AM116</f>
        <v>7.9117717573723313E-3</v>
      </c>
      <c r="AS116" s="189">
        <f t="shared" si="398"/>
        <v>5.3984020729863956E-3</v>
      </c>
      <c r="AT116" s="189">
        <f t="shared" si="398"/>
        <v>4.7946633312486971E-3</v>
      </c>
      <c r="AU116" s="189">
        <f t="shared" si="398"/>
        <v>8.4763283026669418E-3</v>
      </c>
      <c r="AV116" s="188">
        <f t="shared" ref="AV116" si="399">AV115/AV108</f>
        <v>6.634163418916067E-3</v>
      </c>
    </row>
    <row r="117" spans="2:48" ht="16.2" outlineLevel="1" x14ac:dyDescent="0.45">
      <c r="B117" s="180" t="s">
        <v>42</v>
      </c>
      <c r="C117" s="18"/>
      <c r="D117" s="119">
        <v>0</v>
      </c>
      <c r="E117" s="119">
        <v>0</v>
      </c>
      <c r="F117" s="119">
        <v>0</v>
      </c>
      <c r="G117" s="119">
        <v>0</v>
      </c>
      <c r="H117" s="131">
        <f>SUM(D117:G117)</f>
        <v>0</v>
      </c>
      <c r="I117" s="119">
        <v>0</v>
      </c>
      <c r="J117" s="119">
        <v>0</v>
      </c>
      <c r="K117" s="119">
        <v>0</v>
      </c>
      <c r="L117" s="119">
        <v>0</v>
      </c>
      <c r="M117" s="131">
        <f>SUM(I117:L117)</f>
        <v>0</v>
      </c>
      <c r="N117" s="119">
        <v>0</v>
      </c>
      <c r="O117" s="119">
        <v>0</v>
      </c>
      <c r="P117" s="119">
        <v>0</v>
      </c>
      <c r="Q117" s="119">
        <v>0</v>
      </c>
      <c r="R117" s="131">
        <f>SUM(N117:Q117)</f>
        <v>0</v>
      </c>
      <c r="S117" s="119">
        <v>0</v>
      </c>
      <c r="T117" s="119">
        <v>0</v>
      </c>
      <c r="U117" s="119">
        <v>0</v>
      </c>
      <c r="V117" s="119">
        <f>IFERROR((V163*(U117/U163)),0)</f>
        <v>0</v>
      </c>
      <c r="W117" s="131">
        <f>SUM(S117:V117)</f>
        <v>0</v>
      </c>
      <c r="X117" s="119">
        <f>IFERROR((X163*(V117/V163)),0)</f>
        <v>0</v>
      </c>
      <c r="Y117" s="119">
        <f t="shared" ref="Y117:AA117" si="400">IFERROR((Y163*(X117/X163)),0)</f>
        <v>0</v>
      </c>
      <c r="Z117" s="119">
        <f t="shared" si="400"/>
        <v>0</v>
      </c>
      <c r="AA117" s="119">
        <f t="shared" si="400"/>
        <v>0</v>
      </c>
      <c r="AB117" s="131">
        <f>SUM(X117:AA117)</f>
        <v>0</v>
      </c>
      <c r="AC117" s="119">
        <f>IFERROR((AC163*(AA117/AA163)),0)</f>
        <v>0</v>
      </c>
      <c r="AD117" s="119">
        <f t="shared" ref="AD117:AF117" si="401">IFERROR((AD163*(AC117/AC163)),0)</f>
        <v>0</v>
      </c>
      <c r="AE117" s="119">
        <f t="shared" si="401"/>
        <v>0</v>
      </c>
      <c r="AF117" s="119">
        <f t="shared" si="401"/>
        <v>0</v>
      </c>
      <c r="AG117" s="131">
        <f>SUM(AC117:AF117)</f>
        <v>0</v>
      </c>
      <c r="AH117" s="119">
        <f>IFERROR((AH163*(AF117/AF163)),0)</f>
        <v>0</v>
      </c>
      <c r="AI117" s="119">
        <f t="shared" ref="AI117:AK117" si="402">IFERROR((AI163*(AH117/AH163)),0)</f>
        <v>0</v>
      </c>
      <c r="AJ117" s="119">
        <f t="shared" si="402"/>
        <v>0</v>
      </c>
      <c r="AK117" s="119">
        <f t="shared" si="402"/>
        <v>0</v>
      </c>
      <c r="AL117" s="131">
        <f>SUM(AH117:AK117)</f>
        <v>0</v>
      </c>
      <c r="AM117" s="119">
        <f>IFERROR((AM163*(AK117/AK163)),0)</f>
        <v>0</v>
      </c>
      <c r="AN117" s="119">
        <f t="shared" ref="AN117:AP117" si="403">IFERROR((AN163*(AM117/AM163)),0)</f>
        <v>0</v>
      </c>
      <c r="AO117" s="119">
        <f t="shared" si="403"/>
        <v>0</v>
      </c>
      <c r="AP117" s="119">
        <f t="shared" si="403"/>
        <v>0</v>
      </c>
      <c r="AQ117" s="131">
        <f>SUM(AM117:AP117)</f>
        <v>0</v>
      </c>
      <c r="AR117" s="119">
        <f>IFERROR((AR163*(AP117/AP163)),0)</f>
        <v>0</v>
      </c>
      <c r="AS117" s="119">
        <f t="shared" ref="AS117:AU117" si="404">IFERROR((AS163*(AR117/AR163)),0)</f>
        <v>0</v>
      </c>
      <c r="AT117" s="119">
        <f t="shared" si="404"/>
        <v>0</v>
      </c>
      <c r="AU117" s="119">
        <f t="shared" si="404"/>
        <v>0</v>
      </c>
      <c r="AV117" s="131">
        <f>SUM(AR117:AU117)</f>
        <v>0</v>
      </c>
    </row>
    <row r="118" spans="2:48" outlineLevel="1" x14ac:dyDescent="0.3">
      <c r="B118" s="46" t="s">
        <v>52</v>
      </c>
      <c r="C118" s="19"/>
      <c r="D118" s="50">
        <f>D110+D112+D114+D115+D117</f>
        <v>370.2</v>
      </c>
      <c r="E118" s="50">
        <f t="shared" ref="E118:AV118" si="405">E110+E112+E114+E115+E117</f>
        <v>337.90000000000003</v>
      </c>
      <c r="F118" s="50">
        <f t="shared" si="405"/>
        <v>400.2</v>
      </c>
      <c r="G118" s="50">
        <f t="shared" si="405"/>
        <v>382.30000000000007</v>
      </c>
      <c r="H118" s="26">
        <f t="shared" si="405"/>
        <v>1490.6</v>
      </c>
      <c r="I118" s="50">
        <f t="shared" si="405"/>
        <v>362.1</v>
      </c>
      <c r="J118" s="50">
        <f t="shared" si="405"/>
        <v>372.6</v>
      </c>
      <c r="K118" s="50">
        <f t="shared" si="405"/>
        <v>374.09999999999997</v>
      </c>
      <c r="L118" s="50">
        <f t="shared" si="405"/>
        <v>349.1</v>
      </c>
      <c r="M118" s="26">
        <f t="shared" si="405"/>
        <v>1457.9000000000003</v>
      </c>
      <c r="N118" s="50">
        <f t="shared" si="405"/>
        <v>246.99999999999997</v>
      </c>
      <c r="O118" s="50">
        <f t="shared" si="405"/>
        <v>247.60000000000002</v>
      </c>
      <c r="P118" s="50">
        <f t="shared" si="405"/>
        <v>261.5</v>
      </c>
      <c r="Q118" s="103">
        <f t="shared" si="405"/>
        <v>298.2</v>
      </c>
      <c r="R118" s="26">
        <f t="shared" si="405"/>
        <v>1054.3</v>
      </c>
      <c r="S118" s="50">
        <f t="shared" si="405"/>
        <v>273.5</v>
      </c>
      <c r="T118" s="50">
        <f t="shared" si="405"/>
        <v>313.7</v>
      </c>
      <c r="U118" s="50">
        <f t="shared" si="405"/>
        <v>341.70000000000005</v>
      </c>
      <c r="V118" s="50">
        <f t="shared" si="405"/>
        <v>329.1</v>
      </c>
      <c r="W118" s="26">
        <f t="shared" si="405"/>
        <v>1258</v>
      </c>
      <c r="X118" s="50">
        <f t="shared" si="405"/>
        <v>316.90835000000004</v>
      </c>
      <c r="Y118" s="50">
        <f t="shared" si="405"/>
        <v>326.24799999999999</v>
      </c>
      <c r="Z118" s="50">
        <f t="shared" si="405"/>
        <v>350.37912000000006</v>
      </c>
      <c r="AA118" s="50">
        <f t="shared" si="405"/>
        <v>312.08112</v>
      </c>
      <c r="AB118" s="26">
        <f t="shared" si="405"/>
        <v>1305.6165900000001</v>
      </c>
      <c r="AC118" s="50">
        <f t="shared" si="405"/>
        <v>320.04143600000009</v>
      </c>
      <c r="AD118" s="50">
        <f t="shared" si="405"/>
        <v>339.29792000000003</v>
      </c>
      <c r="AE118" s="50">
        <f t="shared" si="405"/>
        <v>354.01741440000001</v>
      </c>
      <c r="AF118" s="50">
        <f t="shared" si="405"/>
        <v>314.1009664</v>
      </c>
      <c r="AG118" s="26">
        <f t="shared" si="405"/>
        <v>1327.4577368000002</v>
      </c>
      <c r="AH118" s="50">
        <f t="shared" si="405"/>
        <v>331.35434675200008</v>
      </c>
      <c r="AI118" s="50">
        <f t="shared" si="405"/>
        <v>352.86983680000009</v>
      </c>
      <c r="AJ118" s="50">
        <f t="shared" si="405"/>
        <v>362.78213836800012</v>
      </c>
      <c r="AK118" s="50">
        <f t="shared" si="405"/>
        <v>324.48861818880005</v>
      </c>
      <c r="AL118" s="26">
        <f t="shared" si="405"/>
        <v>1371.4949401088002</v>
      </c>
      <c r="AM118" s="50">
        <f t="shared" si="405"/>
        <v>344.60852062208011</v>
      </c>
      <c r="AN118" s="50">
        <f t="shared" si="405"/>
        <v>366.98463027200012</v>
      </c>
      <c r="AO118" s="50">
        <f t="shared" si="405"/>
        <v>377.29342390272006</v>
      </c>
      <c r="AP118" s="50">
        <f t="shared" si="405"/>
        <v>337.46816291635213</v>
      </c>
      <c r="AQ118" s="26">
        <f t="shared" si="405"/>
        <v>1426.3547377131524</v>
      </c>
      <c r="AR118" s="50">
        <f t="shared" si="405"/>
        <v>358.39286144696342</v>
      </c>
      <c r="AS118" s="50">
        <f t="shared" si="405"/>
        <v>381.66401548288013</v>
      </c>
      <c r="AT118" s="50">
        <f t="shared" si="405"/>
        <v>392.38516085882884</v>
      </c>
      <c r="AU118" s="50">
        <f t="shared" si="405"/>
        <v>350.9668894330062</v>
      </c>
      <c r="AV118" s="26">
        <f t="shared" si="405"/>
        <v>1483.4089272216786</v>
      </c>
    </row>
    <row r="119" spans="2:48" ht="16.2" outlineLevel="1" x14ac:dyDescent="0.45">
      <c r="B119" s="47" t="s">
        <v>36</v>
      </c>
      <c r="C119" s="44"/>
      <c r="D119" s="52">
        <v>41.4</v>
      </c>
      <c r="E119" s="104">
        <v>40.200000000000003</v>
      </c>
      <c r="F119" s="104">
        <v>48.8</v>
      </c>
      <c r="G119" s="104">
        <v>65.099999999999994</v>
      </c>
      <c r="H119" s="193">
        <f>SUM(D119:G119)</f>
        <v>195.49999999999997</v>
      </c>
      <c r="I119" s="104">
        <v>43</v>
      </c>
      <c r="J119" s="104">
        <v>43.1</v>
      </c>
      <c r="K119" s="104">
        <v>51</v>
      </c>
      <c r="L119" s="104">
        <v>83</v>
      </c>
      <c r="M119" s="193">
        <f>SUM(I119:L119)</f>
        <v>220.1</v>
      </c>
      <c r="N119" s="104">
        <v>56.4</v>
      </c>
      <c r="O119" s="104">
        <v>50.3</v>
      </c>
      <c r="P119" s="104">
        <v>63.5</v>
      </c>
      <c r="Q119" s="104">
        <v>79.7</v>
      </c>
      <c r="R119" s="193">
        <f>SUM(N119:Q119)</f>
        <v>249.89999999999998</v>
      </c>
      <c r="S119" s="104">
        <v>39.6</v>
      </c>
      <c r="T119" s="104">
        <v>48.5</v>
      </c>
      <c r="U119" s="104">
        <v>53.7</v>
      </c>
      <c r="V119" s="104">
        <v>90</v>
      </c>
      <c r="W119" s="193">
        <f>SUM(S119:V119)</f>
        <v>231.8</v>
      </c>
      <c r="X119" s="56">
        <f>V119</f>
        <v>90</v>
      </c>
      <c r="Y119" s="56">
        <f>X119</f>
        <v>90</v>
      </c>
      <c r="Z119" s="56">
        <f>Y119</f>
        <v>90</v>
      </c>
      <c r="AA119" s="56">
        <f>Z119</f>
        <v>90</v>
      </c>
      <c r="AB119" s="193">
        <f>SUM(X119:AA119)</f>
        <v>360</v>
      </c>
      <c r="AC119" s="56">
        <f>AA119</f>
        <v>90</v>
      </c>
      <c r="AD119" s="56">
        <f>AC119</f>
        <v>90</v>
      </c>
      <c r="AE119" s="56">
        <f>AD119</f>
        <v>90</v>
      </c>
      <c r="AF119" s="56">
        <f>AE119</f>
        <v>90</v>
      </c>
      <c r="AG119" s="193">
        <f>SUM(AC119:AF119)</f>
        <v>360</v>
      </c>
      <c r="AH119" s="56">
        <f>AF119</f>
        <v>90</v>
      </c>
      <c r="AI119" s="56">
        <f>AH119</f>
        <v>90</v>
      </c>
      <c r="AJ119" s="56">
        <f>AI119</f>
        <v>90</v>
      </c>
      <c r="AK119" s="56">
        <f>AJ119</f>
        <v>90</v>
      </c>
      <c r="AL119" s="193">
        <f>SUM(AH119:AK119)</f>
        <v>360</v>
      </c>
      <c r="AM119" s="56">
        <f>AK119</f>
        <v>90</v>
      </c>
      <c r="AN119" s="56">
        <f>AM119</f>
        <v>90</v>
      </c>
      <c r="AO119" s="56">
        <f>AN119</f>
        <v>90</v>
      </c>
      <c r="AP119" s="56">
        <f>AO119</f>
        <v>90</v>
      </c>
      <c r="AQ119" s="193">
        <f>SUM(AM119:AP119)</f>
        <v>360</v>
      </c>
      <c r="AR119" s="56">
        <f>AP119</f>
        <v>90</v>
      </c>
      <c r="AS119" s="56">
        <f>AR119</f>
        <v>90</v>
      </c>
      <c r="AT119" s="56">
        <f>AS119</f>
        <v>90</v>
      </c>
      <c r="AU119" s="56">
        <f>AT119</f>
        <v>90</v>
      </c>
      <c r="AV119" s="193">
        <f>SUM(AR119:AU119)</f>
        <v>360</v>
      </c>
    </row>
    <row r="120" spans="2:48" outlineLevel="1" x14ac:dyDescent="0.3">
      <c r="B120" s="46" t="s">
        <v>53</v>
      </c>
      <c r="C120" s="44"/>
      <c r="D120" s="156">
        <f t="shared" ref="D120:AV120" si="406">D108-D118+D119</f>
        <v>175.80000000000004</v>
      </c>
      <c r="E120" s="156">
        <f t="shared" si="406"/>
        <v>148.89999999999998</v>
      </c>
      <c r="F120" s="156">
        <f t="shared" si="406"/>
        <v>181.89999999999998</v>
      </c>
      <c r="G120" s="156">
        <f t="shared" si="406"/>
        <v>190.89999999999995</v>
      </c>
      <c r="H120" s="97">
        <f t="shared" si="406"/>
        <v>697.5</v>
      </c>
      <c r="I120" s="156">
        <f t="shared" si="406"/>
        <v>175.5</v>
      </c>
      <c r="J120" s="156">
        <f t="shared" si="406"/>
        <v>189.6</v>
      </c>
      <c r="K120" s="156">
        <f t="shared" si="406"/>
        <v>124.20000000000005</v>
      </c>
      <c r="L120" s="74">
        <f t="shared" si="406"/>
        <v>197.89999999999998</v>
      </c>
      <c r="M120" s="97">
        <f t="shared" si="406"/>
        <v>687.1999999999997</v>
      </c>
      <c r="N120" s="74">
        <f t="shared" si="406"/>
        <v>180.8</v>
      </c>
      <c r="O120" s="74">
        <f t="shared" si="406"/>
        <v>172.59999999999997</v>
      </c>
      <c r="P120" s="74">
        <f t="shared" si="406"/>
        <v>216</v>
      </c>
      <c r="Q120" s="74">
        <f t="shared" si="406"/>
        <v>219.8</v>
      </c>
      <c r="R120" s="97">
        <f t="shared" si="406"/>
        <v>789.19999999999993</v>
      </c>
      <c r="S120" s="74">
        <f t="shared" si="406"/>
        <v>183.20000000000002</v>
      </c>
      <c r="T120" s="74">
        <f t="shared" si="406"/>
        <v>197.90000000000003</v>
      </c>
      <c r="U120" s="74">
        <f t="shared" si="406"/>
        <v>191.69999999999993</v>
      </c>
      <c r="V120" s="74">
        <f t="shared" si="406"/>
        <v>244.59999999999997</v>
      </c>
      <c r="W120" s="97">
        <f t="shared" si="406"/>
        <v>817.40000000000009</v>
      </c>
      <c r="X120" s="74">
        <f t="shared" si="406"/>
        <v>231.90165000000002</v>
      </c>
      <c r="Y120" s="74">
        <f t="shared" si="406"/>
        <v>245.37600000000003</v>
      </c>
      <c r="Z120" s="74">
        <f t="shared" si="406"/>
        <v>238.50887999999998</v>
      </c>
      <c r="AA120" s="74">
        <f t="shared" si="406"/>
        <v>280.96688</v>
      </c>
      <c r="AB120" s="97">
        <f t="shared" si="406"/>
        <v>996.75341000000003</v>
      </c>
      <c r="AC120" s="74">
        <f t="shared" si="406"/>
        <v>247.12096400000001</v>
      </c>
      <c r="AD120" s="74">
        <f t="shared" si="406"/>
        <v>251.59104000000002</v>
      </c>
      <c r="AE120" s="74">
        <f t="shared" si="406"/>
        <v>254.82610560000001</v>
      </c>
      <c r="AF120" s="74">
        <f t="shared" si="406"/>
        <v>299.06895360000004</v>
      </c>
      <c r="AG120" s="97">
        <f t="shared" si="406"/>
        <v>1052.6070632000001</v>
      </c>
      <c r="AH120" s="74">
        <f t="shared" si="406"/>
        <v>254.89454924800003</v>
      </c>
      <c r="AI120" s="74">
        <f t="shared" si="406"/>
        <v>258.05468160000004</v>
      </c>
      <c r="AJ120" s="74">
        <f t="shared" si="406"/>
        <v>266.81512243199995</v>
      </c>
      <c r="AK120" s="74">
        <f t="shared" si="406"/>
        <v>309.60809861120003</v>
      </c>
      <c r="AL120" s="97">
        <f t="shared" si="406"/>
        <v>1089.3724518912004</v>
      </c>
      <c r="AM120" s="74">
        <f t="shared" si="406"/>
        <v>261.49033121792007</v>
      </c>
      <c r="AN120" s="74">
        <f t="shared" si="406"/>
        <v>264.77686886399999</v>
      </c>
      <c r="AO120" s="74">
        <f t="shared" si="406"/>
        <v>273.88772732927998</v>
      </c>
      <c r="AP120" s="74">
        <f t="shared" si="406"/>
        <v>318.39242255564801</v>
      </c>
      <c r="AQ120" s="97">
        <f t="shared" si="406"/>
        <v>1118.5473499668481</v>
      </c>
      <c r="AR120" s="74">
        <f t="shared" si="406"/>
        <v>268.34994446663683</v>
      </c>
      <c r="AS120" s="74">
        <f t="shared" si="406"/>
        <v>271.76794361856003</v>
      </c>
      <c r="AT120" s="74">
        <f t="shared" si="406"/>
        <v>281.24323642245122</v>
      </c>
      <c r="AU120" s="74">
        <f t="shared" si="406"/>
        <v>327.52811945787397</v>
      </c>
      <c r="AV120" s="97">
        <f t="shared" si="406"/>
        <v>1148.8892439655222</v>
      </c>
    </row>
    <row r="121" spans="2:48" outlineLevel="1" x14ac:dyDescent="0.3">
      <c r="B121" s="46" t="s">
        <v>54</v>
      </c>
      <c r="C121" s="44"/>
      <c r="D121" s="157">
        <f>+D120/D108</f>
        <v>0.34839476813317488</v>
      </c>
      <c r="E121" s="157">
        <f>+E120/E108</f>
        <v>0.33340797133900574</v>
      </c>
      <c r="F121" s="157">
        <f>+F120/F108</f>
        <v>0.34108381773860863</v>
      </c>
      <c r="G121" s="157">
        <f>+G120/G108</f>
        <v>0.37571344223578024</v>
      </c>
      <c r="H121" s="125">
        <f>H120/H108</f>
        <v>0.35004516711833789</v>
      </c>
      <c r="I121" s="157">
        <f t="shared" ref="I121:AV121" si="407">+I120/I108</f>
        <v>0.3548321876263647</v>
      </c>
      <c r="J121" s="157">
        <f t="shared" si="407"/>
        <v>0.36524754382585239</v>
      </c>
      <c r="K121" s="157">
        <f t="shared" si="407"/>
        <v>0.27766599597585523</v>
      </c>
      <c r="L121" s="75">
        <f t="shared" si="407"/>
        <v>0.42650862068965512</v>
      </c>
      <c r="M121" s="98">
        <f t="shared" si="407"/>
        <v>0.35698701298701285</v>
      </c>
      <c r="N121" s="75">
        <f t="shared" si="407"/>
        <v>0.48680667743672595</v>
      </c>
      <c r="O121" s="75">
        <f t="shared" si="407"/>
        <v>0.46661259799945926</v>
      </c>
      <c r="P121" s="75">
        <f t="shared" si="407"/>
        <v>0.52173913043478259</v>
      </c>
      <c r="Q121" s="75">
        <f t="shared" si="407"/>
        <v>0.50148300250969657</v>
      </c>
      <c r="R121" s="98">
        <f t="shared" si="407"/>
        <v>0.49523092369477911</v>
      </c>
      <c r="S121" s="75">
        <f t="shared" si="407"/>
        <v>0.43922320786382163</v>
      </c>
      <c r="T121" s="75">
        <f t="shared" si="407"/>
        <v>0.42733750809760318</v>
      </c>
      <c r="U121" s="75">
        <f t="shared" si="407"/>
        <v>0.3996247654784239</v>
      </c>
      <c r="V121" s="75">
        <f t="shared" si="407"/>
        <v>0.50568534215422778</v>
      </c>
      <c r="W121" s="98">
        <f t="shared" si="407"/>
        <v>0.44337166413538731</v>
      </c>
      <c r="X121" s="75">
        <f t="shared" si="407"/>
        <v>0.50544157712342797</v>
      </c>
      <c r="Y121" s="75">
        <f t="shared" si="407"/>
        <v>0.50947627194658074</v>
      </c>
      <c r="Z121" s="75">
        <f t="shared" si="407"/>
        <v>0.47808101217106835</v>
      </c>
      <c r="AA121" s="75">
        <f t="shared" si="407"/>
        <v>0.55852896741464031</v>
      </c>
      <c r="AB121" s="98">
        <f t="shared" si="407"/>
        <v>0.51316351158636098</v>
      </c>
      <c r="AC121" s="75">
        <f t="shared" si="407"/>
        <v>0.51789697595619433</v>
      </c>
      <c r="AD121" s="75">
        <f t="shared" si="407"/>
        <v>0.50228905025177639</v>
      </c>
      <c r="AE121" s="75">
        <f t="shared" si="407"/>
        <v>0.49114250400583204</v>
      </c>
      <c r="AF121" s="75">
        <f t="shared" si="407"/>
        <v>0.57164783785734474</v>
      </c>
      <c r="AG121" s="98">
        <f t="shared" si="407"/>
        <v>0.52107588984274167</v>
      </c>
      <c r="AH121" s="75">
        <f t="shared" si="407"/>
        <v>0.51364255175693119</v>
      </c>
      <c r="AI121" s="75">
        <f t="shared" si="407"/>
        <v>0.49537826016061826</v>
      </c>
      <c r="AJ121" s="75">
        <f t="shared" si="407"/>
        <v>0.4944708615392584</v>
      </c>
      <c r="AK121" s="75">
        <f t="shared" si="407"/>
        <v>0.56903136712917579</v>
      </c>
      <c r="AL121" s="98">
        <f t="shared" si="407"/>
        <v>0.51853460910454274</v>
      </c>
      <c r="AM121" s="75">
        <f t="shared" si="407"/>
        <v>0.50666714387302436</v>
      </c>
      <c r="AN121" s="75">
        <f t="shared" si="407"/>
        <v>0.48873326968835085</v>
      </c>
      <c r="AO121" s="75">
        <f t="shared" si="407"/>
        <v>0.48805582070601478</v>
      </c>
      <c r="AP121" s="75">
        <f t="shared" si="407"/>
        <v>0.56266937604439793</v>
      </c>
      <c r="AQ121" s="98">
        <f t="shared" si="407"/>
        <v>0.51194392475250816</v>
      </c>
      <c r="AR121" s="75">
        <f t="shared" si="407"/>
        <v>0.49996002090772923</v>
      </c>
      <c r="AS121" s="75">
        <f t="shared" si="407"/>
        <v>0.48234385577270916</v>
      </c>
      <c r="AT121" s="75">
        <f t="shared" si="407"/>
        <v>0.48188751221251125</v>
      </c>
      <c r="AU121" s="75">
        <f t="shared" si="407"/>
        <v>0.55655207692441933</v>
      </c>
      <c r="AV121" s="98">
        <f t="shared" si="407"/>
        <v>0.50560672826016728</v>
      </c>
    </row>
    <row r="122" spans="2:48" ht="17.399999999999999" x14ac:dyDescent="0.45">
      <c r="B122" s="583" t="s">
        <v>55</v>
      </c>
      <c r="C122" s="584"/>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580" t="s">
        <v>127</v>
      </c>
      <c r="C123" s="581"/>
      <c r="D123" s="48">
        <v>11.6</v>
      </c>
      <c r="E123" s="48">
        <v>15.8</v>
      </c>
      <c r="F123" s="48">
        <v>23.3</v>
      </c>
      <c r="G123" s="48">
        <v>15.4</v>
      </c>
      <c r="H123" s="31">
        <f>SUM(D123:G123)</f>
        <v>66.100000000000009</v>
      </c>
      <c r="I123" s="48">
        <v>20.5</v>
      </c>
      <c r="J123" s="48">
        <v>12</v>
      </c>
      <c r="K123" s="48">
        <v>19.7</v>
      </c>
      <c r="L123" s="48">
        <v>13.9</v>
      </c>
      <c r="M123" s="31">
        <f>SUM(I123:L123)</f>
        <v>66.100000000000009</v>
      </c>
      <c r="N123" s="48">
        <v>20.5</v>
      </c>
      <c r="O123" s="48">
        <v>22.6</v>
      </c>
      <c r="P123" s="48">
        <v>23.8</v>
      </c>
      <c r="Q123" s="105">
        <v>30.8</v>
      </c>
      <c r="R123" s="31">
        <f>SUM(N123:Q123)</f>
        <v>97.7</v>
      </c>
      <c r="S123" s="48">
        <v>25.1</v>
      </c>
      <c r="T123" s="48">
        <v>24.4</v>
      </c>
      <c r="U123" s="48">
        <v>27.3</v>
      </c>
      <c r="V123" s="48">
        <v>19.100000000000001</v>
      </c>
      <c r="W123" s="31">
        <f>SUM(S123:V123)</f>
        <v>95.9</v>
      </c>
      <c r="X123" s="48">
        <f>+S123*(1+X124)</f>
        <v>27.610000000000003</v>
      </c>
      <c r="Y123" s="48">
        <f>+T123*(1+Y124)</f>
        <v>26.84</v>
      </c>
      <c r="Z123" s="48">
        <f>+U123*(1+Z124)</f>
        <v>30.030000000000005</v>
      </c>
      <c r="AA123" s="48">
        <f t="shared" ref="AA123" si="408">+V123*(1+AA124)</f>
        <v>21.01</v>
      </c>
      <c r="AB123" s="31">
        <f>SUM(X123:AA123)</f>
        <v>105.49000000000001</v>
      </c>
      <c r="AC123" s="48">
        <f>+X123*(1+AC124)</f>
        <v>30.371000000000006</v>
      </c>
      <c r="AD123" s="48">
        <f>+Y123*(1+AD124)</f>
        <v>29.524000000000001</v>
      </c>
      <c r="AE123" s="48">
        <f>+Z123*(1+AE124)</f>
        <v>33.033000000000008</v>
      </c>
      <c r="AF123" s="48">
        <f t="shared" ref="AF123" si="409">+AA123*(1+AF124)</f>
        <v>23.111000000000004</v>
      </c>
      <c r="AG123" s="31">
        <f>SUM(AC123:AF123)</f>
        <v>116.03900000000003</v>
      </c>
      <c r="AH123" s="48">
        <f>+AC123*(1+AH124)</f>
        <v>33.408100000000012</v>
      </c>
      <c r="AI123" s="48">
        <f>+AD123*(1+AI124)</f>
        <v>32.476400000000005</v>
      </c>
      <c r="AJ123" s="48">
        <f>+AE123*(1+AJ124)</f>
        <v>36.336300000000016</v>
      </c>
      <c r="AK123" s="48">
        <f t="shared" ref="AK123" si="410">+AF123*(1+AK124)</f>
        <v>25.422100000000007</v>
      </c>
      <c r="AL123" s="31">
        <f>SUM(AH123:AK123)</f>
        <v>127.64290000000003</v>
      </c>
      <c r="AM123" s="48">
        <f>+AH123*(1+AM124)</f>
        <v>36.748910000000016</v>
      </c>
      <c r="AN123" s="48">
        <f>+AI123*(1+AN124)</f>
        <v>35.724040000000009</v>
      </c>
      <c r="AO123" s="48">
        <f>+AJ123*(1+AO124)</f>
        <v>39.969930000000019</v>
      </c>
      <c r="AP123" s="48">
        <f t="shared" ref="AP123" si="411">+AK123*(1+AP124)</f>
        <v>27.964310000000012</v>
      </c>
      <c r="AQ123" s="31">
        <f>SUM(AM123:AP123)</f>
        <v>140.40719000000007</v>
      </c>
      <c r="AR123" s="48">
        <f>+AM123*(1+AR124)</f>
        <v>40.423801000000019</v>
      </c>
      <c r="AS123" s="48">
        <f>+AN123*(1+AS124)</f>
        <v>39.296444000000015</v>
      </c>
      <c r="AT123" s="48">
        <f>+AO123*(1+AT124)</f>
        <v>43.966923000000023</v>
      </c>
      <c r="AU123" s="48">
        <f t="shared" ref="AU123" si="412">+AP123*(1+AU124)</f>
        <v>30.760741000000014</v>
      </c>
      <c r="AV123" s="31">
        <f>SUM(AR123:AU123)</f>
        <v>154.44790900000007</v>
      </c>
    </row>
    <row r="124" spans="2:48" s="8" customFormat="1" outlineLevel="1" x14ac:dyDescent="0.3">
      <c r="B124" s="38" t="s">
        <v>128</v>
      </c>
      <c r="C124" s="201"/>
      <c r="D124" s="30"/>
      <c r="E124" s="30"/>
      <c r="F124" s="30"/>
      <c r="G124" s="118"/>
      <c r="H124" s="130"/>
      <c r="I124" s="118">
        <f t="shared" ref="I124:J124" si="413">I123/D123-1</f>
        <v>0.76724137931034497</v>
      </c>
      <c r="J124" s="118">
        <f t="shared" si="413"/>
        <v>-0.24050632911392411</v>
      </c>
      <c r="K124" s="118">
        <f>K123/F123-1</f>
        <v>-0.15450643776824036</v>
      </c>
      <c r="L124" s="118">
        <f>L123/G123-1</f>
        <v>-9.740259740259738E-2</v>
      </c>
      <c r="M124" s="128">
        <f>M123/H123-1</f>
        <v>0</v>
      </c>
      <c r="N124" s="118">
        <f t="shared" ref="N124:Q124" si="414">N123/I123-1</f>
        <v>0</v>
      </c>
      <c r="O124" s="118">
        <f t="shared" si="414"/>
        <v>0.88333333333333353</v>
      </c>
      <c r="P124" s="118">
        <f t="shared" si="414"/>
        <v>0.20812182741116758</v>
      </c>
      <c r="Q124" s="118">
        <f t="shared" si="414"/>
        <v>1.2158273381294964</v>
      </c>
      <c r="R124" s="128">
        <f>R123/M123-1</f>
        <v>0.47806354009077134</v>
      </c>
      <c r="S124" s="118">
        <f t="shared" ref="S124:V124" si="415">S123/N123-1</f>
        <v>0.224390243902439</v>
      </c>
      <c r="T124" s="118">
        <f t="shared" si="415"/>
        <v>7.9646017699114946E-2</v>
      </c>
      <c r="U124" s="118">
        <f t="shared" si="415"/>
        <v>0.14705882352941169</v>
      </c>
      <c r="V124" s="118">
        <f t="shared" si="415"/>
        <v>-0.3798701298701298</v>
      </c>
      <c r="W124" s="128">
        <f>W123/R123-1</f>
        <v>-1.842374616171949E-2</v>
      </c>
      <c r="X124" s="34">
        <v>0.1</v>
      </c>
      <c r="Y124" s="34">
        <v>0.1</v>
      </c>
      <c r="Z124" s="34">
        <v>0.1</v>
      </c>
      <c r="AA124" s="34">
        <v>0.1</v>
      </c>
      <c r="AB124" s="128">
        <f>AB123/W123-1</f>
        <v>0.10000000000000009</v>
      </c>
      <c r="AC124" s="34">
        <v>0.1</v>
      </c>
      <c r="AD124" s="34">
        <v>0.1</v>
      </c>
      <c r="AE124" s="34">
        <v>0.1</v>
      </c>
      <c r="AF124" s="34">
        <v>0.1</v>
      </c>
      <c r="AG124" s="128">
        <f>AG123/AB123-1</f>
        <v>0.10000000000000009</v>
      </c>
      <c r="AH124" s="34">
        <v>0.1</v>
      </c>
      <c r="AI124" s="34">
        <v>0.1</v>
      </c>
      <c r="AJ124" s="34">
        <v>0.1</v>
      </c>
      <c r="AK124" s="34">
        <v>0.1</v>
      </c>
      <c r="AL124" s="128">
        <f>AL123/AG123-1</f>
        <v>9.9999999999999867E-2</v>
      </c>
      <c r="AM124" s="34">
        <v>0.1</v>
      </c>
      <c r="AN124" s="34">
        <v>0.1</v>
      </c>
      <c r="AO124" s="34">
        <v>0.1</v>
      </c>
      <c r="AP124" s="34">
        <v>0.1</v>
      </c>
      <c r="AQ124" s="128">
        <f>AQ123/AL123-1</f>
        <v>0.10000000000000031</v>
      </c>
      <c r="AR124" s="34">
        <v>0.1</v>
      </c>
      <c r="AS124" s="34">
        <v>0.1</v>
      </c>
      <c r="AT124" s="34">
        <v>0.1</v>
      </c>
      <c r="AU124" s="34">
        <v>0.1</v>
      </c>
      <c r="AV124" s="128">
        <f>AV123/AQ123-1</f>
        <v>9.9999999999999867E-2</v>
      </c>
    </row>
    <row r="125" spans="2:48" outlineLevel="1" x14ac:dyDescent="0.3">
      <c r="B125" s="607" t="s">
        <v>100</v>
      </c>
      <c r="C125" s="608"/>
      <c r="D125" s="48">
        <v>13.4</v>
      </c>
      <c r="E125" s="48">
        <v>15.9</v>
      </c>
      <c r="F125" s="48">
        <v>22.4</v>
      </c>
      <c r="G125" s="105">
        <v>15.5</v>
      </c>
      <c r="H125" s="170"/>
      <c r="I125" s="105">
        <v>20.7</v>
      </c>
      <c r="J125" s="105">
        <v>10.199999999999999</v>
      </c>
      <c r="K125" s="105">
        <v>20.8</v>
      </c>
      <c r="L125" s="105">
        <v>11.6</v>
      </c>
      <c r="M125" s="31">
        <f>SUM(I125:L125)</f>
        <v>63.300000000000004</v>
      </c>
      <c r="N125" s="105">
        <v>19</v>
      </c>
      <c r="O125" s="105">
        <v>19.399999999999999</v>
      </c>
      <c r="P125" s="105">
        <v>19.8</v>
      </c>
      <c r="Q125" s="105">
        <v>28.2</v>
      </c>
      <c r="R125" s="31">
        <f>SUM(N125:Q125)</f>
        <v>86.4</v>
      </c>
      <c r="S125" s="105">
        <v>22.9</v>
      </c>
      <c r="T125" s="105">
        <v>20.8</v>
      </c>
      <c r="U125" s="105">
        <v>24.3</v>
      </c>
      <c r="V125" s="105">
        <v>20.399999999999999</v>
      </c>
      <c r="W125" s="31">
        <f>SUM(S125:V125)</f>
        <v>88.4</v>
      </c>
      <c r="X125" s="95">
        <v>24.3</v>
      </c>
      <c r="Y125" s="95">
        <v>24.3</v>
      </c>
      <c r="Z125" s="95">
        <v>24.3</v>
      </c>
      <c r="AA125" s="95">
        <v>24.3</v>
      </c>
      <c r="AB125" s="31">
        <f>SUM(X125:AA125)</f>
        <v>97.2</v>
      </c>
      <c r="AC125" s="95">
        <v>24.3</v>
      </c>
      <c r="AD125" s="95">
        <v>24.3</v>
      </c>
      <c r="AE125" s="95">
        <v>24.3</v>
      </c>
      <c r="AF125" s="95">
        <v>24.3</v>
      </c>
      <c r="AG125" s="31">
        <f>SUM(AC125:AF125)</f>
        <v>97.2</v>
      </c>
      <c r="AH125" s="95">
        <v>24.3</v>
      </c>
      <c r="AI125" s="95">
        <v>24.3</v>
      </c>
      <c r="AJ125" s="95">
        <v>24.3</v>
      </c>
      <c r="AK125" s="95">
        <v>24.3</v>
      </c>
      <c r="AL125" s="31">
        <f>SUM(AH125:AK125)</f>
        <v>97.2</v>
      </c>
      <c r="AM125" s="95">
        <v>24.3</v>
      </c>
      <c r="AN125" s="95">
        <v>24.3</v>
      </c>
      <c r="AO125" s="95">
        <v>24.3</v>
      </c>
      <c r="AP125" s="95">
        <v>24.3</v>
      </c>
      <c r="AQ125" s="31">
        <f>SUM(AM125:AP125)</f>
        <v>97.2</v>
      </c>
      <c r="AR125" s="95">
        <v>24.3</v>
      </c>
      <c r="AS125" s="95">
        <v>24.3</v>
      </c>
      <c r="AT125" s="95">
        <v>24.3</v>
      </c>
      <c r="AU125" s="95">
        <v>24.3</v>
      </c>
      <c r="AV125" s="31">
        <f>SUM(AR125:AU125)</f>
        <v>97.2</v>
      </c>
    </row>
    <row r="126" spans="2:48" outlineLevel="1" x14ac:dyDescent="0.3">
      <c r="B126" s="180" t="s">
        <v>33</v>
      </c>
      <c r="C126" s="18"/>
      <c r="D126" s="48">
        <v>3.2</v>
      </c>
      <c r="E126" s="48">
        <v>4.3</v>
      </c>
      <c r="F126" s="48">
        <v>5.8</v>
      </c>
      <c r="G126" s="105">
        <f>5.2+0.1</f>
        <v>5.3</v>
      </c>
      <c r="H126" s="170"/>
      <c r="I126" s="105">
        <v>2.8</v>
      </c>
      <c r="J126" s="105">
        <v>3.7</v>
      </c>
      <c r="K126" s="105">
        <v>4</v>
      </c>
      <c r="L126" s="105">
        <v>3.4</v>
      </c>
      <c r="M126" s="31">
        <f t="shared" ref="M126:M129" si="416">SUM(I126:L126)</f>
        <v>13.9</v>
      </c>
      <c r="N126" s="105">
        <v>3.6</v>
      </c>
      <c r="O126" s="105">
        <v>3.4</v>
      </c>
      <c r="P126" s="105">
        <v>3.3</v>
      </c>
      <c r="Q126" s="105">
        <v>4.5</v>
      </c>
      <c r="R126" s="31">
        <f t="shared" ref="R126:R129" si="417">SUM(N126:Q126)</f>
        <v>14.8</v>
      </c>
      <c r="S126" s="105">
        <v>2.9</v>
      </c>
      <c r="T126" s="105">
        <v>4.4000000000000004</v>
      </c>
      <c r="U126" s="105">
        <v>5.9</v>
      </c>
      <c r="V126" s="105">
        <v>3.3</v>
      </c>
      <c r="W126" s="31">
        <f t="shared" ref="W126:W129" si="418">SUM(S126:V126)</f>
        <v>16.5</v>
      </c>
      <c r="X126" s="95">
        <v>5.9</v>
      </c>
      <c r="Y126" s="95">
        <v>5.9</v>
      </c>
      <c r="Z126" s="95">
        <v>5.9</v>
      </c>
      <c r="AA126" s="95">
        <v>5.9</v>
      </c>
      <c r="AB126" s="31">
        <f t="shared" ref="AB126:AB129" si="419">SUM(X126:AA126)</f>
        <v>23.6</v>
      </c>
      <c r="AC126" s="95">
        <v>5.9</v>
      </c>
      <c r="AD126" s="95">
        <v>5.9</v>
      </c>
      <c r="AE126" s="95">
        <v>5.9</v>
      </c>
      <c r="AF126" s="95">
        <v>5.9</v>
      </c>
      <c r="AG126" s="31">
        <f t="shared" ref="AG126:AG129" si="420">SUM(AC126:AF126)</f>
        <v>23.6</v>
      </c>
      <c r="AH126" s="95">
        <v>5.9</v>
      </c>
      <c r="AI126" s="95">
        <v>5.9</v>
      </c>
      <c r="AJ126" s="95">
        <v>5.9</v>
      </c>
      <c r="AK126" s="95">
        <v>5.9</v>
      </c>
      <c r="AL126" s="31">
        <f t="shared" ref="AL126:AL129" si="421">SUM(AH126:AK126)</f>
        <v>23.6</v>
      </c>
      <c r="AM126" s="95">
        <v>5.9</v>
      </c>
      <c r="AN126" s="95">
        <v>5.9</v>
      </c>
      <c r="AO126" s="95">
        <v>5.9</v>
      </c>
      <c r="AP126" s="95">
        <v>5.9</v>
      </c>
      <c r="AQ126" s="31">
        <f t="shared" ref="AQ126:AQ129" si="422">SUM(AM126:AP126)</f>
        <v>23.6</v>
      </c>
      <c r="AR126" s="95">
        <v>5.9</v>
      </c>
      <c r="AS126" s="95">
        <v>5.9</v>
      </c>
      <c r="AT126" s="95">
        <v>5.9</v>
      </c>
      <c r="AU126" s="95">
        <v>5.9</v>
      </c>
      <c r="AV126" s="31">
        <f t="shared" ref="AV126:AV129" si="423">SUM(AR126:AU126)</f>
        <v>23.6</v>
      </c>
    </row>
    <row r="127" spans="2:48" outlineLevel="1" x14ac:dyDescent="0.3">
      <c r="B127" s="180" t="s">
        <v>34</v>
      </c>
      <c r="C127" s="18"/>
      <c r="D127" s="358">
        <v>39.5</v>
      </c>
      <c r="E127" s="358">
        <v>40.5</v>
      </c>
      <c r="F127" s="358">
        <v>39.6</v>
      </c>
      <c r="G127" s="358">
        <v>37.299999999999997</v>
      </c>
      <c r="H127" s="130"/>
      <c r="I127" s="358">
        <v>34.9</v>
      </c>
      <c r="J127" s="358">
        <v>34.5</v>
      </c>
      <c r="K127" s="358">
        <v>40.9</v>
      </c>
      <c r="L127" s="358">
        <v>39.5</v>
      </c>
      <c r="M127" s="126">
        <f t="shared" si="416"/>
        <v>149.80000000000001</v>
      </c>
      <c r="N127" s="358">
        <v>37</v>
      </c>
      <c r="O127" s="358">
        <v>37</v>
      </c>
      <c r="P127" s="358">
        <v>35.5</v>
      </c>
      <c r="Q127" s="358">
        <v>32.9</v>
      </c>
      <c r="R127" s="126">
        <f t="shared" si="417"/>
        <v>142.4</v>
      </c>
      <c r="S127" s="358">
        <v>32.9</v>
      </c>
      <c r="T127" s="358">
        <v>32.299999999999997</v>
      </c>
      <c r="U127" s="358">
        <v>30.6</v>
      </c>
      <c r="V127" s="358">
        <v>30.7</v>
      </c>
      <c r="W127" s="126">
        <f t="shared" si="418"/>
        <v>126.49999999999999</v>
      </c>
      <c r="X127" s="358">
        <f>(V127/(V66+V99+V114+V127))*'CFS (F4Q2022)'!X7*0.95</f>
        <v>31.824697783428835</v>
      </c>
      <c r="Y127" s="358">
        <f>(X127/(X66+X99+X114+X127))*'CFS (F4Q2022)'!Y7*0.95</f>
        <v>32.724656151144941</v>
      </c>
      <c r="Z127" s="358">
        <f>(Y127/(Y66+Y99+Y114+Y127))*'CFS (F4Q2022)'!Z7*0.95</f>
        <v>33.383504707976364</v>
      </c>
      <c r="AA127" s="358">
        <f>(Z127/(Z66+Z99+Z114+Z127))*'CFS (F4Q2022)'!AA7*0.95</f>
        <v>34.201766751476185</v>
      </c>
      <c r="AB127" s="126">
        <f t="shared" si="419"/>
        <v>132.13462539402633</v>
      </c>
      <c r="AC127" s="358">
        <f>(AA127/(AA66+AA99+AA114+AA127))*'CFS (F4Q2022)'!AC7*0.95</f>
        <v>35.767800279253663</v>
      </c>
      <c r="AD127" s="358">
        <f>(AC127/(AC66+AC99+AC114+AC127))*'CFS (F4Q2022)'!AD7*0.95</f>
        <v>36.836997297970093</v>
      </c>
      <c r="AE127" s="358">
        <f>(AD127/(AD66+AD99+AD114+AD127))*'CFS (F4Q2022)'!AE7*0.95</f>
        <v>37.682438339424166</v>
      </c>
      <c r="AF127" s="358">
        <f>(AE127/(AE66+AE99+AE114+AE127))*'CFS (F4Q2022)'!AF7*0.95</f>
        <v>38.822158444277655</v>
      </c>
      <c r="AG127" s="126">
        <f t="shared" si="420"/>
        <v>149.10939436092559</v>
      </c>
      <c r="AH127" s="358">
        <f>(AF127/(AF66+AF99+AF114+AF127))*'CFS (F4Q2022)'!AH7*0.95</f>
        <v>40.095234044915323</v>
      </c>
      <c r="AI127" s="358">
        <f>(AH127/(AH66+AH99+AH114+AH127))*'CFS (F4Q2022)'!AI7*0.95</f>
        <v>40.963923565722602</v>
      </c>
      <c r="AJ127" s="358">
        <f>(AI127/(AI66+AI99+AI114+AI127))*'CFS (F4Q2022)'!AJ7*0.95</f>
        <v>41.617660860333032</v>
      </c>
      <c r="AK127" s="358">
        <f>(AJ127/(AJ66+AJ99+AJ114+AJ127))*'CFS (F4Q2022)'!AK7*0.95</f>
        <v>42.544792692662064</v>
      </c>
      <c r="AL127" s="126">
        <f t="shared" si="421"/>
        <v>165.22161116363301</v>
      </c>
      <c r="AM127" s="358">
        <f>(AK127/(AK66+AK99+AK114+AK127))*'CFS (F4Q2022)'!AM7*0.95</f>
        <v>43.54556909135696</v>
      </c>
      <c r="AN127" s="358">
        <f>(AM127/(AM66+AM99+AM114+AM127))*'CFS (F4Q2022)'!AN7*0.95</f>
        <v>44.556251239461851</v>
      </c>
      <c r="AO127" s="358">
        <f>(AN127/(AN66+AN99+AN114+AN127))*'CFS (F4Q2022)'!AO7*0.95</f>
        <v>45.29836815253428</v>
      </c>
      <c r="AP127" s="358">
        <f>(AO127/(AO66+AO99+AO114+AO127))*'CFS (F4Q2022)'!AP7*0.95</f>
        <v>46.31085649924421</v>
      </c>
      <c r="AQ127" s="126">
        <f t="shared" si="422"/>
        <v>179.71104498259729</v>
      </c>
      <c r="AR127" s="358">
        <f>(AP127/(AP66+AP99+AP114+AP127))*'CFS (F4Q2022)'!AR7*0.95</f>
        <v>47.384218063982765</v>
      </c>
      <c r="AS127" s="358">
        <f>(AR127/(AR66+AR99+AR114+AR127))*'CFS (F4Q2022)'!AS7*0.95</f>
        <v>48.406550549734838</v>
      </c>
      <c r="AT127" s="358">
        <f>(AS127/(AS66+AS99+AS114+AS127))*'CFS (F4Q2022)'!AT7*0.95</f>
        <v>49.138983421925751</v>
      </c>
      <c r="AU127" s="358">
        <f>(AT127/(AT66+AT99+AT114+AT127))*'CFS (F4Q2022)'!AU7*0.95</f>
        <v>50.159054880091198</v>
      </c>
      <c r="AV127" s="126">
        <f t="shared" si="423"/>
        <v>195.08880691573455</v>
      </c>
    </row>
    <row r="128" spans="2:48" outlineLevel="1" x14ac:dyDescent="0.3">
      <c r="B128" s="180" t="s">
        <v>35</v>
      </c>
      <c r="C128" s="18"/>
      <c r="D128" s="48">
        <v>300.39999999999998</v>
      </c>
      <c r="E128" s="48">
        <v>303.89999999999998</v>
      </c>
      <c r="F128" s="48">
        <v>299</v>
      </c>
      <c r="G128" s="105">
        <v>267.39999999999998</v>
      </c>
      <c r="H128" s="170"/>
      <c r="I128" s="105">
        <v>292.2</v>
      </c>
      <c r="J128" s="105">
        <v>271.60000000000002</v>
      </c>
      <c r="K128" s="105">
        <v>269.10000000000002</v>
      </c>
      <c r="L128" s="105">
        <v>288.8</v>
      </c>
      <c r="M128" s="31">
        <f t="shared" si="416"/>
        <v>1121.7</v>
      </c>
      <c r="N128" s="105">
        <v>316.5</v>
      </c>
      <c r="O128" s="105">
        <v>304.60000000000002</v>
      </c>
      <c r="P128" s="105">
        <v>326.5</v>
      </c>
      <c r="Q128" s="105">
        <v>321</v>
      </c>
      <c r="R128" s="31">
        <f t="shared" si="417"/>
        <v>1268.5999999999999</v>
      </c>
      <c r="S128" s="105">
        <v>354.5</v>
      </c>
      <c r="T128" s="105">
        <v>328.1</v>
      </c>
      <c r="U128" s="105">
        <v>326.10000000000002</v>
      </c>
      <c r="V128" s="105">
        <v>362.5</v>
      </c>
      <c r="W128" s="31">
        <f t="shared" si="418"/>
        <v>1371.2</v>
      </c>
      <c r="X128" s="95">
        <v>332.42500000000001</v>
      </c>
      <c r="Y128" s="95">
        <v>332.42500000000001</v>
      </c>
      <c r="Z128" s="95">
        <v>332.42500000000001</v>
      </c>
      <c r="AA128" s="95">
        <v>332.42500000000001</v>
      </c>
      <c r="AB128" s="31">
        <f t="shared" si="419"/>
        <v>1329.7</v>
      </c>
      <c r="AC128" s="95">
        <v>332.42500000000001</v>
      </c>
      <c r="AD128" s="95">
        <v>332.42500000000001</v>
      </c>
      <c r="AE128" s="95">
        <v>332.42500000000001</v>
      </c>
      <c r="AF128" s="95">
        <v>332.42500000000001</v>
      </c>
      <c r="AG128" s="31">
        <f t="shared" si="420"/>
        <v>1329.7</v>
      </c>
      <c r="AH128" s="95">
        <v>332.42500000000001</v>
      </c>
      <c r="AI128" s="95">
        <v>332.42500000000001</v>
      </c>
      <c r="AJ128" s="95">
        <v>332.42500000000001</v>
      </c>
      <c r="AK128" s="95">
        <v>332.42500000000001</v>
      </c>
      <c r="AL128" s="31">
        <f t="shared" si="421"/>
        <v>1329.7</v>
      </c>
      <c r="AM128" s="95">
        <v>332.42500000000001</v>
      </c>
      <c r="AN128" s="95">
        <v>332.42500000000001</v>
      </c>
      <c r="AO128" s="95">
        <v>332.42500000000001</v>
      </c>
      <c r="AP128" s="95">
        <v>332.42500000000001</v>
      </c>
      <c r="AQ128" s="31">
        <f t="shared" si="422"/>
        <v>1329.7</v>
      </c>
      <c r="AR128" s="95">
        <v>332.42500000000001</v>
      </c>
      <c r="AS128" s="95">
        <v>332.42500000000001</v>
      </c>
      <c r="AT128" s="95">
        <v>332.42500000000001</v>
      </c>
      <c r="AU128" s="95">
        <v>332.42500000000001</v>
      </c>
      <c r="AV128" s="31">
        <f t="shared" si="423"/>
        <v>1329.7</v>
      </c>
    </row>
    <row r="129" spans="2:48" ht="16.2" outlineLevel="1" x14ac:dyDescent="0.45">
      <c r="B129" s="180" t="s">
        <v>42</v>
      </c>
      <c r="C129" s="18"/>
      <c r="D129" s="119">
        <v>13.9</v>
      </c>
      <c r="E129" s="119">
        <v>0.6</v>
      </c>
      <c r="F129" s="119">
        <v>6</v>
      </c>
      <c r="G129" s="119">
        <v>-0.9</v>
      </c>
      <c r="H129" s="131"/>
      <c r="I129" s="119">
        <v>0.3</v>
      </c>
      <c r="J129" s="119">
        <v>0</v>
      </c>
      <c r="K129" s="119">
        <v>22.1</v>
      </c>
      <c r="L129" s="119">
        <v>0</v>
      </c>
      <c r="M129" s="193">
        <f t="shared" si="416"/>
        <v>22.400000000000002</v>
      </c>
      <c r="N129" s="119">
        <v>0</v>
      </c>
      <c r="O129" s="119">
        <v>0</v>
      </c>
      <c r="P129" s="119">
        <v>0</v>
      </c>
      <c r="Q129" s="119">
        <v>15</v>
      </c>
      <c r="R129" s="193">
        <f t="shared" si="417"/>
        <v>15</v>
      </c>
      <c r="S129" s="119">
        <v>0</v>
      </c>
      <c r="T129" s="119">
        <v>0</v>
      </c>
      <c r="U129" s="119">
        <v>2</v>
      </c>
      <c r="V129" s="119">
        <v>10.7</v>
      </c>
      <c r="W129" s="193">
        <f t="shared" si="418"/>
        <v>12.7</v>
      </c>
      <c r="X129" s="119">
        <f>IFERROR((X163*(V129/V163)),0)</f>
        <v>15.242165242165239</v>
      </c>
      <c r="Y129" s="119">
        <f t="shared" ref="Y129:AA129" si="424">IFERROR((Y163*(X129/X163)),0)</f>
        <v>0</v>
      </c>
      <c r="Z129" s="119">
        <f t="shared" si="424"/>
        <v>0</v>
      </c>
      <c r="AA129" s="119">
        <f t="shared" si="424"/>
        <v>0</v>
      </c>
      <c r="AB129" s="193">
        <f t="shared" si="419"/>
        <v>15.242165242165239</v>
      </c>
      <c r="AC129" s="119">
        <f>IFERROR((AC163*(AA129/AA163)),0)</f>
        <v>0</v>
      </c>
      <c r="AD129" s="119">
        <f t="shared" ref="AD129:AF129" si="425">IFERROR((AD163*(AC129/AC163)),0)</f>
        <v>0</v>
      </c>
      <c r="AE129" s="119">
        <f t="shared" si="425"/>
        <v>0</v>
      </c>
      <c r="AF129" s="119">
        <f t="shared" si="425"/>
        <v>0</v>
      </c>
      <c r="AG129" s="193">
        <f t="shared" si="420"/>
        <v>0</v>
      </c>
      <c r="AH129" s="119">
        <f>IFERROR((AH163*(AF129/AF163)),0)</f>
        <v>0</v>
      </c>
      <c r="AI129" s="119">
        <f t="shared" ref="AI129:AK129" si="426">IFERROR((AI163*(AH129/AH163)),0)</f>
        <v>0</v>
      </c>
      <c r="AJ129" s="119">
        <f t="shared" si="426"/>
        <v>0</v>
      </c>
      <c r="AK129" s="119">
        <f t="shared" si="426"/>
        <v>0</v>
      </c>
      <c r="AL129" s="193">
        <f t="shared" si="421"/>
        <v>0</v>
      </c>
      <c r="AM129" s="119">
        <f>IFERROR((AM163*(AK129/AK163)),0)</f>
        <v>0</v>
      </c>
      <c r="AN129" s="119">
        <f t="shared" ref="AN129:AP129" si="427">IFERROR((AN163*(AM129/AM163)),0)</f>
        <v>0</v>
      </c>
      <c r="AO129" s="119">
        <f t="shared" si="427"/>
        <v>0</v>
      </c>
      <c r="AP129" s="119">
        <f t="shared" si="427"/>
        <v>0</v>
      </c>
      <c r="AQ129" s="193">
        <f t="shared" si="422"/>
        <v>0</v>
      </c>
      <c r="AR129" s="119">
        <f>IFERROR((AR163*(AP129/AP163)),0)</f>
        <v>0</v>
      </c>
      <c r="AS129" s="119">
        <f t="shared" ref="AS129:AU129" si="428">IFERROR((AS163*(AR129/AR163)),0)</f>
        <v>0</v>
      </c>
      <c r="AT129" s="119">
        <f t="shared" si="428"/>
        <v>0</v>
      </c>
      <c r="AU129" s="119">
        <f t="shared" si="428"/>
        <v>0</v>
      </c>
      <c r="AV129" s="193">
        <f t="shared" si="423"/>
        <v>0</v>
      </c>
    </row>
    <row r="130" spans="2:48" outlineLevel="1" x14ac:dyDescent="0.3">
      <c r="B130" s="46" t="s">
        <v>56</v>
      </c>
      <c r="C130" s="19"/>
      <c r="D130" s="103">
        <f>SUM(D125:D129)</f>
        <v>370.4</v>
      </c>
      <c r="E130" s="103">
        <f>SUM(E125:E129)</f>
        <v>365.2</v>
      </c>
      <c r="F130" s="103">
        <f>SUM(F125:F129)</f>
        <v>372.8</v>
      </c>
      <c r="G130" s="103">
        <f>SUM(G125:G129)</f>
        <v>324.60000000000002</v>
      </c>
      <c r="H130" s="130"/>
      <c r="I130" s="103">
        <f t="shared" ref="I130:AV130" si="429">SUM(I125:I129)</f>
        <v>350.9</v>
      </c>
      <c r="J130" s="103">
        <f t="shared" si="429"/>
        <v>320</v>
      </c>
      <c r="K130" s="103">
        <f t="shared" si="429"/>
        <v>356.90000000000003</v>
      </c>
      <c r="L130" s="50">
        <f t="shared" si="429"/>
        <v>343.3</v>
      </c>
      <c r="M130" s="51">
        <f t="shared" si="429"/>
        <v>1371.1000000000001</v>
      </c>
      <c r="N130" s="50">
        <f t="shared" si="429"/>
        <v>376.1</v>
      </c>
      <c r="O130" s="50">
        <f t="shared" si="429"/>
        <v>364.40000000000003</v>
      </c>
      <c r="P130" s="50">
        <f t="shared" si="429"/>
        <v>385.1</v>
      </c>
      <c r="Q130" s="50">
        <f t="shared" si="429"/>
        <v>401.6</v>
      </c>
      <c r="R130" s="51">
        <f t="shared" si="429"/>
        <v>1527.1999999999998</v>
      </c>
      <c r="S130" s="50">
        <f t="shared" si="429"/>
        <v>413.2</v>
      </c>
      <c r="T130" s="50">
        <f t="shared" si="429"/>
        <v>385.6</v>
      </c>
      <c r="U130" s="50">
        <f t="shared" si="429"/>
        <v>388.90000000000003</v>
      </c>
      <c r="V130" s="50">
        <f t="shared" si="429"/>
        <v>427.59999999999997</v>
      </c>
      <c r="W130" s="51">
        <f t="shared" si="429"/>
        <v>1615.3</v>
      </c>
      <c r="X130" s="50">
        <f t="shared" si="429"/>
        <v>409.6918630255941</v>
      </c>
      <c r="Y130" s="50">
        <f t="shared" si="429"/>
        <v>395.34965615114493</v>
      </c>
      <c r="Z130" s="50">
        <f t="shared" si="429"/>
        <v>396.00850470797639</v>
      </c>
      <c r="AA130" s="50">
        <f t="shared" si="429"/>
        <v>396.82676675147621</v>
      </c>
      <c r="AB130" s="51">
        <f t="shared" si="429"/>
        <v>1597.8767906361916</v>
      </c>
      <c r="AC130" s="50">
        <f t="shared" si="429"/>
        <v>398.39280027925366</v>
      </c>
      <c r="AD130" s="50">
        <f t="shared" si="429"/>
        <v>399.46199729797013</v>
      </c>
      <c r="AE130" s="50">
        <f t="shared" si="429"/>
        <v>400.30743833942415</v>
      </c>
      <c r="AF130" s="50">
        <f t="shared" si="429"/>
        <v>401.44715844427765</v>
      </c>
      <c r="AG130" s="51">
        <f t="shared" si="429"/>
        <v>1599.6093943609258</v>
      </c>
      <c r="AH130" s="50">
        <f t="shared" si="429"/>
        <v>402.72023404491534</v>
      </c>
      <c r="AI130" s="50">
        <f t="shared" si="429"/>
        <v>403.58892356572261</v>
      </c>
      <c r="AJ130" s="50">
        <f t="shared" si="429"/>
        <v>404.24266086033305</v>
      </c>
      <c r="AK130" s="50">
        <f t="shared" si="429"/>
        <v>405.1697926926621</v>
      </c>
      <c r="AL130" s="51">
        <f t="shared" si="429"/>
        <v>1615.721611163633</v>
      </c>
      <c r="AM130" s="50">
        <f t="shared" si="429"/>
        <v>406.17056909135698</v>
      </c>
      <c r="AN130" s="50">
        <f t="shared" si="429"/>
        <v>407.18125123946186</v>
      </c>
      <c r="AO130" s="50">
        <f t="shared" si="429"/>
        <v>407.92336815253429</v>
      </c>
      <c r="AP130" s="50">
        <f t="shared" si="429"/>
        <v>408.93585649924421</v>
      </c>
      <c r="AQ130" s="51">
        <f t="shared" si="429"/>
        <v>1630.2110449825973</v>
      </c>
      <c r="AR130" s="50">
        <f t="shared" si="429"/>
        <v>410.00921806398276</v>
      </c>
      <c r="AS130" s="50">
        <f t="shared" si="429"/>
        <v>411.03155054973485</v>
      </c>
      <c r="AT130" s="50">
        <f t="shared" si="429"/>
        <v>411.76398342192579</v>
      </c>
      <c r="AU130" s="50">
        <f t="shared" si="429"/>
        <v>412.78405488009122</v>
      </c>
      <c r="AV130" s="51">
        <f t="shared" si="429"/>
        <v>1645.5888069157345</v>
      </c>
    </row>
    <row r="131" spans="2:48" outlineLevel="1" x14ac:dyDescent="0.3">
      <c r="B131" s="46" t="s">
        <v>57</v>
      </c>
      <c r="C131" s="44"/>
      <c r="D131" s="156">
        <f>D123-D130</f>
        <v>-358.79999999999995</v>
      </c>
      <c r="E131" s="156">
        <f>E123-E130</f>
        <v>-349.4</v>
      </c>
      <c r="F131" s="156">
        <f>F123-F130</f>
        <v>-349.5</v>
      </c>
      <c r="G131" s="156">
        <f>G123-G130</f>
        <v>-309.20000000000005</v>
      </c>
      <c r="H131" s="158"/>
      <c r="I131" s="156">
        <f t="shared" ref="I131:AV131" si="430">I123-I130</f>
        <v>-330.4</v>
      </c>
      <c r="J131" s="156">
        <f t="shared" si="430"/>
        <v>-308</v>
      </c>
      <c r="K131" s="156">
        <f t="shared" si="430"/>
        <v>-337.20000000000005</v>
      </c>
      <c r="L131" s="74">
        <f t="shared" si="430"/>
        <v>-329.40000000000003</v>
      </c>
      <c r="M131" s="194">
        <f t="shared" si="430"/>
        <v>-1305.0000000000002</v>
      </c>
      <c r="N131" s="74">
        <f t="shared" si="430"/>
        <v>-355.6</v>
      </c>
      <c r="O131" s="74">
        <f t="shared" si="430"/>
        <v>-341.8</v>
      </c>
      <c r="P131" s="74">
        <f t="shared" si="430"/>
        <v>-361.3</v>
      </c>
      <c r="Q131" s="74">
        <f t="shared" si="430"/>
        <v>-370.8</v>
      </c>
      <c r="R131" s="194">
        <f t="shared" si="430"/>
        <v>-1429.4999999999998</v>
      </c>
      <c r="S131" s="74">
        <f t="shared" si="430"/>
        <v>-388.09999999999997</v>
      </c>
      <c r="T131" s="74">
        <f t="shared" si="430"/>
        <v>-361.20000000000005</v>
      </c>
      <c r="U131" s="74">
        <f t="shared" si="430"/>
        <v>-361.6</v>
      </c>
      <c r="V131" s="74">
        <f t="shared" si="430"/>
        <v>-408.49999999999994</v>
      </c>
      <c r="W131" s="194">
        <f t="shared" si="430"/>
        <v>-1519.3999999999999</v>
      </c>
      <c r="X131" s="74">
        <f t="shared" si="430"/>
        <v>-382.08186302559409</v>
      </c>
      <c r="Y131" s="74">
        <f t="shared" si="430"/>
        <v>-368.50965615114495</v>
      </c>
      <c r="Z131" s="74">
        <f t="shared" si="430"/>
        <v>-365.97850470797636</v>
      </c>
      <c r="AA131" s="74">
        <f t="shared" si="430"/>
        <v>-375.81676675147622</v>
      </c>
      <c r="AB131" s="194">
        <f t="shared" si="430"/>
        <v>-1492.3867906361916</v>
      </c>
      <c r="AC131" s="74">
        <f t="shared" si="430"/>
        <v>-368.02180027925368</v>
      </c>
      <c r="AD131" s="74">
        <f t="shared" si="430"/>
        <v>-369.93799729797013</v>
      </c>
      <c r="AE131" s="74">
        <f t="shared" si="430"/>
        <v>-367.27443833942414</v>
      </c>
      <c r="AF131" s="74">
        <f t="shared" si="430"/>
        <v>-378.33615844427766</v>
      </c>
      <c r="AG131" s="194">
        <f t="shared" si="430"/>
        <v>-1483.5703943609258</v>
      </c>
      <c r="AH131" s="74">
        <f t="shared" si="430"/>
        <v>-369.31213404491535</v>
      </c>
      <c r="AI131" s="74">
        <f t="shared" si="430"/>
        <v>-371.1125235657226</v>
      </c>
      <c r="AJ131" s="74">
        <f t="shared" si="430"/>
        <v>-367.90636086033305</v>
      </c>
      <c r="AK131" s="74">
        <f t="shared" si="430"/>
        <v>-379.7476926926621</v>
      </c>
      <c r="AL131" s="194">
        <f t="shared" si="430"/>
        <v>-1488.078711163633</v>
      </c>
      <c r="AM131" s="74">
        <f t="shared" si="430"/>
        <v>-369.42165909135696</v>
      </c>
      <c r="AN131" s="74">
        <f t="shared" si="430"/>
        <v>-371.45721123946186</v>
      </c>
      <c r="AO131" s="74">
        <f t="shared" si="430"/>
        <v>-367.95343815253426</v>
      </c>
      <c r="AP131" s="74">
        <f t="shared" si="430"/>
        <v>-380.9715464992442</v>
      </c>
      <c r="AQ131" s="194">
        <f t="shared" si="430"/>
        <v>-1489.8038549825972</v>
      </c>
      <c r="AR131" s="74">
        <f t="shared" si="430"/>
        <v>-369.58541706398273</v>
      </c>
      <c r="AS131" s="74">
        <f t="shared" si="430"/>
        <v>-371.73510654973484</v>
      </c>
      <c r="AT131" s="74">
        <f t="shared" si="430"/>
        <v>-367.79706042192578</v>
      </c>
      <c r="AU131" s="74">
        <f t="shared" si="430"/>
        <v>-382.02331388009122</v>
      </c>
      <c r="AV131" s="194">
        <f t="shared" si="430"/>
        <v>-1491.1408979157345</v>
      </c>
    </row>
    <row r="132" spans="2:48" ht="17.399999999999999" x14ac:dyDescent="0.45">
      <c r="B132" s="583" t="s">
        <v>14</v>
      </c>
      <c r="C132" s="584"/>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0</v>
      </c>
      <c r="W133" s="66"/>
      <c r="X133" s="65">
        <f>+X45+X78-X5</f>
        <v>0</v>
      </c>
      <c r="Y133" s="65">
        <f>+Y45+Y78-Y5</f>
        <v>0</v>
      </c>
      <c r="Z133" s="121">
        <f>+Z45+Z78-Z5</f>
        <v>0</v>
      </c>
      <c r="AA133" s="65">
        <f>+AA45+AA78-AA5</f>
        <v>0</v>
      </c>
      <c r="AB133" s="66"/>
      <c r="AC133" s="65">
        <f>+AC45+AC78-AC5</f>
        <v>0</v>
      </c>
      <c r="AD133" s="65">
        <f>+AD45+AD78-AD5</f>
        <v>0</v>
      </c>
      <c r="AE133" s="121">
        <f>+AE45+AE78-AE5</f>
        <v>0</v>
      </c>
      <c r="AF133" s="65">
        <f>+AF45+AF78-AF5</f>
        <v>0</v>
      </c>
      <c r="AG133" s="66"/>
      <c r="AH133" s="65">
        <f>+AH45+AH78-AH5</f>
        <v>0</v>
      </c>
      <c r="AI133" s="65">
        <f>+AI45+AI78-AI5</f>
        <v>0</v>
      </c>
      <c r="AJ133" s="121">
        <f>+AJ45+AJ78-AJ5</f>
        <v>0</v>
      </c>
      <c r="AK133" s="65">
        <f>+AK45+AK78-AK5</f>
        <v>0</v>
      </c>
      <c r="AL133" s="66"/>
      <c r="AM133" s="65">
        <f>+AM45+AM78-AM5</f>
        <v>0</v>
      </c>
      <c r="AN133" s="65">
        <f>+AN45+AN78-AN5</f>
        <v>0</v>
      </c>
      <c r="AO133" s="121">
        <f>+AO45+AO78-AO5</f>
        <v>0</v>
      </c>
      <c r="AP133" s="65">
        <f>+AP45+AP78-AP5</f>
        <v>0</v>
      </c>
      <c r="AQ133" s="66"/>
      <c r="AR133" s="65">
        <f>+AR45+AR78-AR5</f>
        <v>0</v>
      </c>
      <c r="AS133" s="65">
        <f>+AS45+AS78-AS5</f>
        <v>0</v>
      </c>
      <c r="AT133" s="121">
        <f>+AT45+AT78-AT5</f>
        <v>0</v>
      </c>
      <c r="AU133" s="65">
        <f>+AU45+AU78-AU5</f>
        <v>0</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0</v>
      </c>
      <c r="Z134" s="121">
        <f>+Z54+Z87-Z6</f>
        <v>0</v>
      </c>
      <c r="AA134" s="65">
        <f>+AA54+AA87-AA6</f>
        <v>0</v>
      </c>
      <c r="AB134" s="66"/>
      <c r="AC134" s="65">
        <f>+AC54+AC87-AC6</f>
        <v>0</v>
      </c>
      <c r="AD134" s="65">
        <f>+AD54+AD87-AD6</f>
        <v>0</v>
      </c>
      <c r="AE134" s="121">
        <f>+AE54+AE87-AE6</f>
        <v>0</v>
      </c>
      <c r="AF134" s="65">
        <f>+AF54+AF87-AF6</f>
        <v>0</v>
      </c>
      <c r="AG134" s="66"/>
      <c r="AH134" s="65">
        <f>+AH54+AH87-AH6</f>
        <v>0</v>
      </c>
      <c r="AI134" s="65">
        <f>+AI54+AI87-AI6</f>
        <v>0</v>
      </c>
      <c r="AJ134" s="121">
        <f>+AJ54+AJ87-AJ6</f>
        <v>0</v>
      </c>
      <c r="AK134" s="65">
        <f>+AK54+AK87-AK6</f>
        <v>0</v>
      </c>
      <c r="AL134" s="66"/>
      <c r="AM134" s="65">
        <f>+AM54+AM87-AM6</f>
        <v>0</v>
      </c>
      <c r="AN134" s="65">
        <f>+AN54+AN87-AN6</f>
        <v>0</v>
      </c>
      <c r="AO134" s="121">
        <f>+AO54+AO87-AO6</f>
        <v>0</v>
      </c>
      <c r="AP134" s="65">
        <f>+AP54+AP87-AP6</f>
        <v>0</v>
      </c>
      <c r="AQ134" s="66"/>
      <c r="AR134" s="65">
        <f>+AR54+AR87-AR6</f>
        <v>0</v>
      </c>
      <c r="AS134" s="65">
        <f>+AS54+AS87-AS6</f>
        <v>0</v>
      </c>
      <c r="AT134" s="121">
        <f>+AT54+AT87-AT6</f>
        <v>0</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0</v>
      </c>
      <c r="W135" s="66"/>
      <c r="X135" s="65">
        <f>+X55+X88+X108+X123-X7</f>
        <v>0</v>
      </c>
      <c r="Y135" s="65">
        <f>+Y55+Y88+Y108+Y123-Y7</f>
        <v>0</v>
      </c>
      <c r="Z135" s="121">
        <f>+Z55+Z88+Z108+Z123-Z7</f>
        <v>0</v>
      </c>
      <c r="AA135" s="65">
        <f>+AA55+AA88+AA108+AA123-AA7</f>
        <v>0</v>
      </c>
      <c r="AB135" s="66"/>
      <c r="AC135" s="65">
        <f>+AC55+AC88+AC108+AC123-AC7</f>
        <v>0</v>
      </c>
      <c r="AD135" s="65">
        <f>+AD55+AD88+AD108+AD123-AD7</f>
        <v>0</v>
      </c>
      <c r="AE135" s="121">
        <f>+AE55+AE88+AE108+AE123-AE7</f>
        <v>0</v>
      </c>
      <c r="AF135" s="65">
        <f>+AF55+AF88+AF108+AF123-AF7</f>
        <v>0</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0</v>
      </c>
      <c r="AQ135" s="66"/>
      <c r="AR135" s="65">
        <f>+AR55+AR88+AR108+AR123-AR7</f>
        <v>0</v>
      </c>
      <c r="AS135" s="65">
        <f>+AS55+AS88+AS108+AS123-AS7</f>
        <v>0</v>
      </c>
      <c r="AT135" s="121">
        <f>+AT55+AT88+AT108+AT123-AT7</f>
        <v>0</v>
      </c>
      <c r="AU135" s="65">
        <f>+AU55+AU88+AU108+AU123-AU7</f>
        <v>0</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9.9999999998544808E-2</v>
      </c>
      <c r="H137" s="66"/>
      <c r="I137" s="65">
        <f>+I71+I105+I120+I131-I17</f>
        <v>0</v>
      </c>
      <c r="J137" s="65">
        <f>+J71+J105+J120+J131-J17</f>
        <v>6.8212102632969618E-13</v>
      </c>
      <c r="K137" s="121">
        <f>+K71+K105+K120+K131-K17</f>
        <v>0</v>
      </c>
      <c r="L137" s="65">
        <f>+L71+L105+L120+L131-L17</f>
        <v>-2.0999999999996817</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2.2737367544323206E-12</v>
      </c>
      <c r="W137" s="66"/>
      <c r="X137" s="65">
        <f>+X71+X105+X120+X131-X17</f>
        <v>0</v>
      </c>
      <c r="Y137" s="65">
        <f>+Y71+Y105+Y120+Y131-Y17</f>
        <v>0</v>
      </c>
      <c r="Z137" s="121">
        <f>+Z71+Z105+Z120+Z131-Z17</f>
        <v>0</v>
      </c>
      <c r="AA137" s="65">
        <f>+AA71+AA105+AA120+AA131-AA17</f>
        <v>0</v>
      </c>
      <c r="AB137" s="66"/>
      <c r="AC137" s="65">
        <f>+AC71+AC105+AC120+AC131-AC17</f>
        <v>2.9558577807620168E-12</v>
      </c>
      <c r="AD137" s="65">
        <f>+AD71+AD105+AD120+AD131-AD17</f>
        <v>0</v>
      </c>
      <c r="AE137" s="121">
        <f>+AE71+AE105+AE120+AE131-AE17</f>
        <v>0</v>
      </c>
      <c r="AF137" s="65">
        <f>+AF71+AF105+AF120+AF131-AF17</f>
        <v>0</v>
      </c>
      <c r="AG137" s="66"/>
      <c r="AH137" s="65">
        <f>+AH71+AH105+AH120+AH131-AH17</f>
        <v>0</v>
      </c>
      <c r="AI137" s="65">
        <f>+AI71+AI105+AI120+AI131-AI17</f>
        <v>-2.9558577807620168E-12</v>
      </c>
      <c r="AJ137" s="121">
        <f>+AJ71+AJ105+AJ120+AJ131-AJ17</f>
        <v>0</v>
      </c>
      <c r="AK137" s="65">
        <f>+AK71+AK105+AK120+AK131-AK17</f>
        <v>0</v>
      </c>
      <c r="AL137" s="66"/>
      <c r="AM137" s="65">
        <f>+AM71+AM105+AM120+AM131-AM17</f>
        <v>0</v>
      </c>
      <c r="AN137" s="65">
        <f>+AN71+AN105+AN120+AN131-AN17</f>
        <v>2.0463630789890885E-12</v>
      </c>
      <c r="AO137" s="121">
        <f>+AO71+AO105+AO120+AO131-AO17</f>
        <v>0</v>
      </c>
      <c r="AP137" s="65">
        <f>+AP71+AP105+AP120+AP131-AP17</f>
        <v>0</v>
      </c>
      <c r="AQ137" s="66"/>
      <c r="AR137" s="65">
        <f>+AR71+AR105+AR120+AR131-AR17</f>
        <v>0</v>
      </c>
      <c r="AS137" s="65">
        <f>+AS71+AS105+AS120+AS131-AS17</f>
        <v>0</v>
      </c>
      <c r="AT137" s="121">
        <f>+AT71+AT105+AT120+AT131-AT17</f>
        <v>0</v>
      </c>
      <c r="AU137" s="65">
        <f>+AU71+AU105+AU120+AU131-AU17</f>
        <v>0</v>
      </c>
      <c r="AV137" s="66"/>
    </row>
    <row r="138" spans="2:48" ht="15" customHeight="1" x14ac:dyDescent="0.45">
      <c r="B138" s="583" t="s">
        <v>9</v>
      </c>
      <c r="C138" s="584"/>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c r="E139" s="27"/>
      <c r="F139" s="27"/>
      <c r="G139" s="27"/>
      <c r="H139" s="29"/>
      <c r="I139" s="27"/>
      <c r="J139" s="27"/>
      <c r="K139" s="27"/>
      <c r="L139" s="113"/>
      <c r="M139" s="137"/>
      <c r="N139" s="113"/>
      <c r="O139" s="113"/>
      <c r="P139" s="113"/>
      <c r="Q139" s="113"/>
      <c r="R139" s="29"/>
      <c r="S139" s="113"/>
      <c r="T139" s="113"/>
      <c r="U139" s="113"/>
      <c r="V139" s="113"/>
      <c r="W139" s="137"/>
      <c r="X139" s="113"/>
      <c r="Y139" s="113"/>
      <c r="Z139" s="113"/>
      <c r="AA139" s="113"/>
      <c r="AB139" s="137">
        <f>(AB91+AB58)/(W83+W74+W50+W41)</f>
        <v>6.9530396796505273E-2</v>
      </c>
      <c r="AC139" s="113"/>
      <c r="AD139" s="113"/>
      <c r="AE139" s="113"/>
      <c r="AF139" s="113"/>
      <c r="AG139" s="137">
        <f>(AG91+AG58)/(AB83+AB74+AB50+AB41)</f>
        <v>6.9565900403204692E-2</v>
      </c>
      <c r="AH139" s="113"/>
      <c r="AI139" s="113"/>
      <c r="AJ139" s="113"/>
      <c r="AK139" s="113"/>
      <c r="AL139" s="406">
        <f>(AL91+AL58)/(AG83+AG74+AG50+AG41)</f>
        <v>6.9594379574551418E-2</v>
      </c>
      <c r="AM139" s="113"/>
      <c r="AN139" s="113"/>
      <c r="AO139" s="113"/>
      <c r="AP139" s="113"/>
      <c r="AQ139" s="137">
        <f>(AQ91+AQ58)/(AL83+AL74+AL50+AL41)</f>
        <v>2.9111548496361057E-2</v>
      </c>
      <c r="AR139" s="113"/>
      <c r="AS139" s="113"/>
      <c r="AT139" s="113"/>
      <c r="AU139" s="113"/>
      <c r="AV139" s="137">
        <f>(AV91+AV58)/(AQ83+AQ74+AQ50+AQ41)</f>
        <v>2.8288039852332875E-2</v>
      </c>
    </row>
    <row r="140" spans="2:48" s="23" customFormat="1" outlineLevel="1" x14ac:dyDescent="0.3">
      <c r="B140" s="580" t="s">
        <v>17</v>
      </c>
      <c r="C140" s="581"/>
      <c r="D140" s="30"/>
      <c r="E140" s="30"/>
      <c r="F140" s="30"/>
      <c r="G140" s="30"/>
      <c r="H140" s="137"/>
      <c r="I140" s="30">
        <f t="shared" ref="I140:AV140" si="431">I8/D8-1</f>
        <v>7.0016735266180907E-2</v>
      </c>
      <c r="J140" s="30">
        <f t="shared" si="431"/>
        <v>-4.9192026514851106E-2</v>
      </c>
      <c r="K140" s="30">
        <f t="shared" si="431"/>
        <v>-0.38119595485856661</v>
      </c>
      <c r="L140" s="113">
        <f t="shared" si="431"/>
        <v>-8.061360604713208E-2</v>
      </c>
      <c r="M140" s="128">
        <f t="shared" si="431"/>
        <v>-0.11281621813298315</v>
      </c>
      <c r="N140" s="30">
        <f t="shared" si="431"/>
        <v>-4.8991841738174613E-2</v>
      </c>
      <c r="O140" s="30">
        <f t="shared" si="431"/>
        <v>0.11213036009139876</v>
      </c>
      <c r="P140" s="30">
        <f t="shared" si="431"/>
        <v>0.77553823926482068</v>
      </c>
      <c r="Q140" s="30">
        <f t="shared" si="431"/>
        <v>0.31332720736405983</v>
      </c>
      <c r="R140" s="128">
        <f t="shared" si="431"/>
        <v>0.23567480227910509</v>
      </c>
      <c r="S140" s="30">
        <f t="shared" si="431"/>
        <v>0.19275787477405393</v>
      </c>
      <c r="T140" s="30">
        <f t="shared" si="431"/>
        <v>0.14511097780443905</v>
      </c>
      <c r="U140" s="30">
        <f t="shared" si="431"/>
        <v>8.7187354098579473E-2</v>
      </c>
      <c r="V140" s="30">
        <f t="shared" si="431"/>
        <v>3.2835381197294566E-2</v>
      </c>
      <c r="W140" s="28">
        <f t="shared" si="431"/>
        <v>0.10976029400631782</v>
      </c>
      <c r="X140" s="30">
        <f t="shared" si="431"/>
        <v>8.3933698002107926E-2</v>
      </c>
      <c r="Y140" s="30">
        <f t="shared" si="431"/>
        <v>0.10640791555627782</v>
      </c>
      <c r="Z140" s="30">
        <f t="shared" si="431"/>
        <v>0.13502833189718677</v>
      </c>
      <c r="AA140" s="30">
        <f t="shared" si="431"/>
        <v>0.13513747960118594</v>
      </c>
      <c r="AB140" s="137">
        <f t="shared" si="431"/>
        <v>0.11552625281232243</v>
      </c>
      <c r="AC140" s="30">
        <f t="shared" si="431"/>
        <v>0.12292757392557396</v>
      </c>
      <c r="AD140" s="30">
        <f t="shared" si="431"/>
        <v>9.6474400368486979E-2</v>
      </c>
      <c r="AE140" s="30">
        <f t="shared" si="431"/>
        <v>9.7417358944140275E-2</v>
      </c>
      <c r="AF140" s="30">
        <f t="shared" si="431"/>
        <v>9.9829295627696268E-2</v>
      </c>
      <c r="AG140" s="137">
        <f t="shared" si="431"/>
        <v>0.1040238516399794</v>
      </c>
      <c r="AH140" s="30">
        <f t="shared" si="431"/>
        <v>0.11491011635657733</v>
      </c>
      <c r="AI140" s="30">
        <f t="shared" si="431"/>
        <v>0.11407393846723335</v>
      </c>
      <c r="AJ140" s="30">
        <f t="shared" si="431"/>
        <v>0.11478223184104674</v>
      </c>
      <c r="AK140" s="30">
        <f t="shared" si="431"/>
        <v>0.11658684351775261</v>
      </c>
      <c r="AL140" s="406">
        <f t="shared" si="431"/>
        <v>0.1151258794785246</v>
      </c>
      <c r="AM140" s="30">
        <f t="shared" si="431"/>
        <v>9.980304196317813E-2</v>
      </c>
      <c r="AN140" s="30">
        <f t="shared" si="431"/>
        <v>9.4269738036827144E-2</v>
      </c>
      <c r="AO140" s="30">
        <f t="shared" si="431"/>
        <v>9.0299851631327588E-2</v>
      </c>
      <c r="AP140" s="30">
        <f t="shared" si="431"/>
        <v>8.6644934019168174E-2</v>
      </c>
      <c r="AQ140" s="28">
        <f t="shared" si="431"/>
        <v>9.2600951927831687E-2</v>
      </c>
      <c r="AR140" s="30">
        <f t="shared" si="431"/>
        <v>6.4838400997392576E-2</v>
      </c>
      <c r="AS140" s="30">
        <f t="shared" si="431"/>
        <v>6.4076831661120437E-2</v>
      </c>
      <c r="AT140" s="30">
        <f t="shared" si="431"/>
        <v>6.3858115584933595E-2</v>
      </c>
      <c r="AU140" s="30">
        <f t="shared" si="431"/>
        <v>6.3781597260213152E-2</v>
      </c>
      <c r="AV140" s="28">
        <f t="shared" si="431"/>
        <v>6.4132389921005117E-2</v>
      </c>
    </row>
    <row r="141" spans="2:48" s="23" customFormat="1" outlineLevel="1" x14ac:dyDescent="0.3">
      <c r="B141" s="580" t="s">
        <v>4</v>
      </c>
      <c r="C141" s="581"/>
      <c r="D141" s="27">
        <f t="shared" ref="D141:AV141" si="432">D17/D8</f>
        <v>0.15313522396610738</v>
      </c>
      <c r="E141" s="27">
        <f t="shared" si="432"/>
        <v>0.13601547756862614</v>
      </c>
      <c r="F141" s="27">
        <f t="shared" si="432"/>
        <v>0.16434119888612064</v>
      </c>
      <c r="G141" s="27">
        <f t="shared" si="432"/>
        <v>0.16054542759745088</v>
      </c>
      <c r="H141" s="29">
        <f t="shared" si="432"/>
        <v>0.15383309567461143</v>
      </c>
      <c r="I141" s="27">
        <f t="shared" si="432"/>
        <v>0.1718730185568752</v>
      </c>
      <c r="J141" s="27">
        <f t="shared" si="432"/>
        <v>8.1291592307820446E-2</v>
      </c>
      <c r="K141" s="27">
        <f t="shared" si="432"/>
        <v>-0.16671798394164022</v>
      </c>
      <c r="L141" s="113">
        <f t="shared" si="432"/>
        <v>9.0003385404072211E-2</v>
      </c>
      <c r="M141" s="137">
        <f t="shared" si="432"/>
        <v>6.6400204098988183E-2</v>
      </c>
      <c r="N141" s="27">
        <f t="shared" si="432"/>
        <v>0.13534536403235845</v>
      </c>
      <c r="O141" s="27">
        <f t="shared" si="432"/>
        <v>0.14811037792441512</v>
      </c>
      <c r="P141" s="27">
        <f t="shared" si="432"/>
        <v>0.19858600680317468</v>
      </c>
      <c r="Q141" s="27">
        <f t="shared" si="432"/>
        <v>0.18193869910515911</v>
      </c>
      <c r="R141" s="137">
        <f t="shared" si="432"/>
        <v>0.16764966999993108</v>
      </c>
      <c r="S141" s="27">
        <f t="shared" si="432"/>
        <v>0.14630328927755143</v>
      </c>
      <c r="T141" s="27">
        <f t="shared" si="432"/>
        <v>0.12427314159987431</v>
      </c>
      <c r="U141" s="27">
        <f t="shared" si="432"/>
        <v>0.15895510484533926</v>
      </c>
      <c r="V141" s="27">
        <f t="shared" si="432"/>
        <v>0.14208124361198912</v>
      </c>
      <c r="W141" s="137">
        <f t="shared" si="432"/>
        <v>0.14318316418761981</v>
      </c>
      <c r="X141" s="27">
        <f t="shared" si="432"/>
        <v>0.13862670942398436</v>
      </c>
      <c r="Y141" s="27">
        <f t="shared" si="432"/>
        <v>0.13967828264902765</v>
      </c>
      <c r="Z141" s="27">
        <f t="shared" si="432"/>
        <v>0.16204233726162787</v>
      </c>
      <c r="AA141" s="27">
        <f t="shared" si="432"/>
        <v>0.17343872358298001</v>
      </c>
      <c r="AB141" s="137">
        <f t="shared" si="432"/>
        <v>0.15413678458728092</v>
      </c>
      <c r="AC141" s="27">
        <f t="shared" si="432"/>
        <v>0.16668018347932467</v>
      </c>
      <c r="AD141" s="27">
        <f t="shared" si="432"/>
        <v>0.14934803681084954</v>
      </c>
      <c r="AE141" s="27">
        <f t="shared" si="432"/>
        <v>0.16638780988763469</v>
      </c>
      <c r="AF141" s="27">
        <f t="shared" si="432"/>
        <v>0.1621853390924084</v>
      </c>
      <c r="AG141" s="137">
        <f t="shared" si="432"/>
        <v>0.16137445834028186</v>
      </c>
      <c r="AH141" s="27">
        <f t="shared" si="432"/>
        <v>0.17303449362251236</v>
      </c>
      <c r="AI141" s="27">
        <f t="shared" si="432"/>
        <v>0.15639673624322692</v>
      </c>
      <c r="AJ141" s="27">
        <f t="shared" si="432"/>
        <v>0.17939609124403302</v>
      </c>
      <c r="AK141" s="27">
        <f t="shared" si="432"/>
        <v>0.16900537576780611</v>
      </c>
      <c r="AL141" s="29">
        <f t="shared" si="432"/>
        <v>0.16971636309555305</v>
      </c>
      <c r="AM141" s="27">
        <f t="shared" si="432"/>
        <v>0.17537516873528747</v>
      </c>
      <c r="AN141" s="27">
        <f t="shared" si="432"/>
        <v>0.15861036832617037</v>
      </c>
      <c r="AO141" s="27">
        <f t="shared" si="432"/>
        <v>0.18026713107499304</v>
      </c>
      <c r="AP141" s="27">
        <f t="shared" si="432"/>
        <v>0.16926064500112822</v>
      </c>
      <c r="AQ141" s="29">
        <f t="shared" si="432"/>
        <v>0.17109987961743658</v>
      </c>
      <c r="AR141" s="27">
        <f t="shared" si="432"/>
        <v>0.17464157122417379</v>
      </c>
      <c r="AS141" s="27">
        <f t="shared" si="432"/>
        <v>0.15792026811414367</v>
      </c>
      <c r="AT141" s="27">
        <f t="shared" si="432"/>
        <v>0.1795042095029524</v>
      </c>
      <c r="AU141" s="27">
        <f t="shared" si="432"/>
        <v>0.16841548529906852</v>
      </c>
      <c r="AV141" s="29">
        <f t="shared" si="432"/>
        <v>0.17033999654101092</v>
      </c>
    </row>
    <row r="142" spans="2:48" s="23" customFormat="1" outlineLevel="1" x14ac:dyDescent="0.3">
      <c r="B142" s="580" t="s">
        <v>77</v>
      </c>
      <c r="C142" s="581"/>
      <c r="D142" s="27">
        <f t="shared" ref="D142:AV142" si="433">+D19/D8</f>
        <v>0.17394123056975294</v>
      </c>
      <c r="E142" s="27">
        <f t="shared" si="433"/>
        <v>0.15843892227913536</v>
      </c>
      <c r="F142" s="27">
        <f t="shared" si="433"/>
        <v>0.18270555474131628</v>
      </c>
      <c r="G142" s="27">
        <f t="shared" si="433"/>
        <v>0.17201719282644154</v>
      </c>
      <c r="H142" s="29">
        <f t="shared" si="433"/>
        <v>0.17201964645435841</v>
      </c>
      <c r="I142" s="27">
        <f t="shared" si="433"/>
        <v>0.1819616463062376</v>
      </c>
      <c r="J142" s="27">
        <f t="shared" si="433"/>
        <v>9.2432910252347358E-2</v>
      </c>
      <c r="K142" s="27">
        <f t="shared" si="433"/>
        <v>-0.12558205632268285</v>
      </c>
      <c r="L142" s="113">
        <f t="shared" si="433"/>
        <v>0.13183730715287523</v>
      </c>
      <c r="M142" s="137">
        <f t="shared" si="433"/>
        <v>9.0704141508631861E-2</v>
      </c>
      <c r="N142" s="27">
        <f t="shared" si="433"/>
        <v>0.15533232583637069</v>
      </c>
      <c r="O142" s="27">
        <f t="shared" si="433"/>
        <v>0.1613377324535093</v>
      </c>
      <c r="P142" s="27">
        <f t="shared" si="433"/>
        <v>0.20548255852731262</v>
      </c>
      <c r="Q142" s="27">
        <f t="shared" si="433"/>
        <v>0.19607939411049871</v>
      </c>
      <c r="R142" s="137">
        <f t="shared" si="433"/>
        <v>0.18106990220435909</v>
      </c>
      <c r="S142" s="27">
        <f t="shared" si="433"/>
        <v>0.15067574282023255</v>
      </c>
      <c r="T142" s="27">
        <f t="shared" si="433"/>
        <v>0.13049400178113052</v>
      </c>
      <c r="U142" s="27">
        <f t="shared" si="433"/>
        <v>0.16846419062342788</v>
      </c>
      <c r="V142" s="27">
        <f t="shared" si="433"/>
        <v>0.15124432506952518</v>
      </c>
      <c r="W142" s="137">
        <f t="shared" si="433"/>
        <v>0.15054123527533064</v>
      </c>
      <c r="X142" s="27">
        <f t="shared" si="433"/>
        <v>0.14552567834692726</v>
      </c>
      <c r="Y142" s="27">
        <f t="shared" si="433"/>
        <v>0.14088578561219059</v>
      </c>
      <c r="Z142" s="27">
        <f t="shared" si="433"/>
        <v>0.16314508711547421</v>
      </c>
      <c r="AA142" s="27">
        <f t="shared" si="433"/>
        <v>0.17450675826246223</v>
      </c>
      <c r="AB142" s="137">
        <f t="shared" si="433"/>
        <v>0.15666080683528935</v>
      </c>
      <c r="AC142" s="27">
        <f t="shared" si="433"/>
        <v>0.1677212409969219</v>
      </c>
      <c r="AD142" s="27">
        <f t="shared" si="433"/>
        <v>0.15388214992444979</v>
      </c>
      <c r="AE142" s="27">
        <f t="shared" si="433"/>
        <v>0.17052502235814823</v>
      </c>
      <c r="AF142" s="27">
        <f t="shared" si="433"/>
        <v>0.16618352250263965</v>
      </c>
      <c r="AG142" s="137">
        <f t="shared" si="433"/>
        <v>0.16480362488413791</v>
      </c>
      <c r="AH142" s="27">
        <f t="shared" si="433"/>
        <v>0.17687897277536702</v>
      </c>
      <c r="AI142" s="27">
        <f t="shared" si="433"/>
        <v>0.16046658561053045</v>
      </c>
      <c r="AJ142" s="27">
        <f t="shared" si="433"/>
        <v>0.18310732053379394</v>
      </c>
      <c r="AK142" s="27">
        <f t="shared" si="433"/>
        <v>0.17258609448524609</v>
      </c>
      <c r="AL142" s="406">
        <f t="shared" si="433"/>
        <v>0.17350945509470186</v>
      </c>
      <c r="AM142" s="27">
        <f t="shared" si="433"/>
        <v>0.17887077568141133</v>
      </c>
      <c r="AN142" s="27">
        <f t="shared" si="433"/>
        <v>0.16232960612087083</v>
      </c>
      <c r="AO142" s="27">
        <f t="shared" si="433"/>
        <v>0.18367099220934807</v>
      </c>
      <c r="AP142" s="27">
        <f t="shared" si="433"/>
        <v>0.17255585082718955</v>
      </c>
      <c r="AQ142" s="29">
        <f t="shared" si="433"/>
        <v>0.174571496581028</v>
      </c>
      <c r="AR142" s="27">
        <f t="shared" si="433"/>
        <v>0.17792432938057542</v>
      </c>
      <c r="AS142" s="27">
        <f t="shared" si="433"/>
        <v>0.16141553996297661</v>
      </c>
      <c r="AT142" s="27">
        <f t="shared" si="433"/>
        <v>0.18270375376970222</v>
      </c>
      <c r="AU142" s="27">
        <f t="shared" si="433"/>
        <v>0.17151311909396419</v>
      </c>
      <c r="AV142" s="29">
        <f t="shared" si="433"/>
        <v>0.17360238851072549</v>
      </c>
    </row>
    <row r="143" spans="2:48" s="23" customFormat="1" outlineLevel="1" x14ac:dyDescent="0.3">
      <c r="B143" s="580" t="s">
        <v>2</v>
      </c>
      <c r="C143" s="581"/>
      <c r="D143" s="27">
        <f t="shared" ref="D143:K143" si="434">D24/D23</f>
        <v>0.2124287933713101</v>
      </c>
      <c r="E143" s="27">
        <f t="shared" si="434"/>
        <v>0.1965853658536586</v>
      </c>
      <c r="F143" s="27">
        <f t="shared" si="434"/>
        <v>0.18110799689903978</v>
      </c>
      <c r="G143" s="118">
        <f t="shared" si="434"/>
        <v>0.20083682008368189</v>
      </c>
      <c r="H143" s="137">
        <f t="shared" si="434"/>
        <v>0.19515471765706843</v>
      </c>
      <c r="I143" s="118">
        <f t="shared" si="434"/>
        <v>0.22600104913446431</v>
      </c>
      <c r="J143" s="118">
        <f t="shared" si="434"/>
        <v>0.16760635571501836</v>
      </c>
      <c r="K143" s="118">
        <f t="shared" si="434"/>
        <v>0.16490147783251249</v>
      </c>
      <c r="L143" s="118">
        <v>0.25</v>
      </c>
      <c r="M143" s="137">
        <f t="shared" ref="M143:V143" si="435">M24/M23</f>
        <v>0.20585709378220463</v>
      </c>
      <c r="N143" s="118">
        <f t="shared" si="435"/>
        <v>0.23023629840405785</v>
      </c>
      <c r="O143" s="118">
        <f t="shared" si="435"/>
        <v>0.25901786717608721</v>
      </c>
      <c r="P143" s="118">
        <f t="shared" si="435"/>
        <v>0.18217246510309659</v>
      </c>
      <c r="Q143" s="118">
        <f t="shared" si="435"/>
        <v>0.21489588894821143</v>
      </c>
      <c r="R143" s="137">
        <f t="shared" si="435"/>
        <v>0.21591906068581893</v>
      </c>
      <c r="S143" s="118">
        <f t="shared" si="435"/>
        <v>0.23183358433734938</v>
      </c>
      <c r="T143" s="118">
        <f t="shared" si="435"/>
        <v>0.22954000684853323</v>
      </c>
      <c r="U143" s="118">
        <f t="shared" si="435"/>
        <v>0.23360174467371256</v>
      </c>
      <c r="V143" s="118">
        <f t="shared" si="435"/>
        <v>0.20223392662549969</v>
      </c>
      <c r="W143" s="137">
        <f>W24/W23</f>
        <v>0.22415463503390937</v>
      </c>
      <c r="X143" s="35">
        <v>0.245</v>
      </c>
      <c r="Y143" s="35">
        <v>0.245</v>
      </c>
      <c r="Z143" s="35">
        <v>0.245</v>
      </c>
      <c r="AA143" s="35">
        <v>0.245</v>
      </c>
      <c r="AB143" s="137">
        <f>AB24/AB23</f>
        <v>0.2450000000000005</v>
      </c>
      <c r="AC143" s="34">
        <f>AVERAGE(X143,Y143,Z143,AA143)</f>
        <v>0.245</v>
      </c>
      <c r="AD143" s="34">
        <f>AVERAGE(Y143,Z143,AA143,AC143)</f>
        <v>0.245</v>
      </c>
      <c r="AE143" s="34">
        <f>AVERAGE(Z143,AA143,AC143,AD143)</f>
        <v>0.245</v>
      </c>
      <c r="AF143" s="34">
        <f>AVERAGE(AA143,AC143,AD143,AE143)</f>
        <v>0.245</v>
      </c>
      <c r="AG143" s="29">
        <f>AG24/AG23</f>
        <v>0.24499999999999975</v>
      </c>
      <c r="AH143" s="34">
        <f>AVERAGE(AC143,AD143,AE143,AF143)</f>
        <v>0.245</v>
      </c>
      <c r="AI143" s="34">
        <f>AVERAGE(AD143,AE143,AF143,AH143)</f>
        <v>0.245</v>
      </c>
      <c r="AJ143" s="34">
        <f>AVERAGE(AE143,AF143,AH143,AI143)</f>
        <v>0.245</v>
      </c>
      <c r="AK143" s="34">
        <f>AVERAGE(AF143,AH143,AI143,AJ143)</f>
        <v>0.245</v>
      </c>
      <c r="AL143" s="29">
        <f>AL24/AL23</f>
        <v>0.24500000000000013</v>
      </c>
      <c r="AM143" s="34">
        <f>AVERAGE(AH143,AI143,AJ143,AK143)</f>
        <v>0.245</v>
      </c>
      <c r="AN143" s="34">
        <f>AVERAGE(AI143,AJ143,AK143,AM143)</f>
        <v>0.245</v>
      </c>
      <c r="AO143" s="34">
        <f>AVERAGE(AJ143,AK143,AM143,AN143)</f>
        <v>0.245</v>
      </c>
      <c r="AP143" s="34">
        <f>AVERAGE(AK143,AM143,AN143,AO143)</f>
        <v>0.245</v>
      </c>
      <c r="AQ143" s="29">
        <f>AQ24/AQ23</f>
        <v>0.24500000000000041</v>
      </c>
      <c r="AR143" s="34">
        <f>AVERAGE(AM143,AN143,AO143,AP143)</f>
        <v>0.245</v>
      </c>
      <c r="AS143" s="34">
        <f>AVERAGE(AN143,AO143,AP143,AR143)</f>
        <v>0.245</v>
      </c>
      <c r="AT143" s="34">
        <f>AVERAGE(AO143,AP143,AR143,AS143)</f>
        <v>0.245</v>
      </c>
      <c r="AU143" s="34">
        <f>AVERAGE(AP143,AR143,AS143,AT143)</f>
        <v>0.245</v>
      </c>
      <c r="AV143" s="29">
        <f>AV24/AV23</f>
        <v>0.24499999999999997</v>
      </c>
    </row>
    <row r="144" spans="2:48" s="23" customFormat="1" outlineLevel="1" x14ac:dyDescent="0.3">
      <c r="B144" s="580" t="s">
        <v>78</v>
      </c>
      <c r="C144" s="581"/>
      <c r="D144" s="27"/>
      <c r="E144" s="27">
        <f>+E21/(('BS (F4Q2022)'!E6+'BS (F4Q2022)'!E7+'BS (F4Q2022)'!E12)+('BS (F4Q2022)'!D6+'BS (F4Q2022)'!D7+'BS (F4Q2022)'!D12)/2)</f>
        <v>3.0327214684756584E-3</v>
      </c>
      <c r="F144" s="27">
        <f>+F21/(('BS (F4Q2022)'!F6+'BS (F4Q2022)'!F7+'BS (F4Q2022)'!F12)+('BS (F4Q2022)'!E6+'BS (F4Q2022)'!E7+'BS (F4Q2022)'!E12)/2)</f>
        <v>6.4321029136466161E-3</v>
      </c>
      <c r="G144" s="27">
        <f>+G21/(('BS (F4Q2022)'!G6+'BS (F4Q2022)'!G7+'BS (F4Q2022)'!G12)+('BS (F4Q2022)'!F6+'BS (F4Q2022)'!F7+'BS (F4Q2022)'!F12)/2)</f>
        <v>2.9603261807251862E-3</v>
      </c>
      <c r="H144" s="29"/>
      <c r="I144" s="27">
        <f>+I21/(('BS (F4Q2022)'!I6+'BS (F4Q2022)'!I7+'BS (F4Q2022)'!I12)+('BS (F4Q2022)'!G6+'BS (F4Q2022)'!G7+'BS (F4Q2022)'!G12)/2)</f>
        <v>3.3143988743550958E-3</v>
      </c>
      <c r="J144" s="27">
        <f>+J21/(('BS (F4Q2022)'!J6+'BS (F4Q2022)'!J7+'BS (F4Q2022)'!J12)+('BS (F4Q2022)'!I6+'BS (F4Q2022)'!I7+'BS (F4Q2022)'!I12)/2)</f>
        <v>4.4659305324505627E-4</v>
      </c>
      <c r="K144" s="27">
        <f>+K21/(('BS (F4Q2022)'!K6+'BS (F4Q2022)'!K7+'BS (F4Q2022)'!K12)+('BS (F4Q2022)'!J6+'BS (F4Q2022)'!J7+'BS (F4Q2022)'!J12)/2)</f>
        <v>2.1779393606804753E-3</v>
      </c>
      <c r="L144" s="27">
        <f>+L21/(('BS (F4Q2022)'!L6+'BS (F4Q2022)'!L7+'BS (F4Q2022)'!L12)+('BS (F4Q2022)'!K6+'BS (F4Q2022)'!K7+'BS (F4Q2022)'!K12)/2)</f>
        <v>1.2911830642186198E-3</v>
      </c>
      <c r="M144" s="29"/>
      <c r="N144" s="27">
        <f>+N21/(('BS (F4Q2022)'!N6+'BS (F4Q2022)'!N7+'BS (F4Q2022)'!N12)+('BS (F4Q2022)'!L6+'BS (F4Q2022)'!L7+'BS (F4Q2022)'!L12)/2)</f>
        <v>1.9686289451959073E-3</v>
      </c>
      <c r="O144" s="27">
        <f>+O21/(('BS (F4Q2022)'!O6+'BS (F4Q2022)'!O7+'BS (F4Q2022)'!O12)+('BS (F4Q2022)'!N6+'BS (F4Q2022)'!N7+'BS (F4Q2022)'!N12)/2)</f>
        <v>2.465933063458573E-3</v>
      </c>
      <c r="P144" s="27">
        <f>+P21/(('BS (F4Q2022)'!P6+'BS (F4Q2022)'!P7+'BS (F4Q2022)'!P12)+('BS (F4Q2022)'!O6+'BS (F4Q2022)'!O7+'BS (F4Q2022)'!O12)/2)</f>
        <v>4.9067713444553383E-3</v>
      </c>
      <c r="Q144" s="27">
        <f>+Q21/(('BS (F4Q2022)'!Q6+'BS (F4Q2022)'!Q7+'BS (F4Q2022)'!Q12)+('BS (F4Q2022)'!P6+'BS (F4Q2022)'!P7+'BS (F4Q2022)'!P12)/2)</f>
        <v>2.2641350477574504E-3</v>
      </c>
      <c r="R144" s="137"/>
      <c r="S144" s="27">
        <f>+S21/(('BS (F4Q2022)'!S6+'BS (F4Q2022)'!S7+'BS (F4Q2022)'!S12)+('BS (F4Q2022)'!Q6+'BS (F4Q2022)'!Q7+'BS (F4Q2022)'!Q12)/2)</f>
        <v>-1.2810330250313835E-5</v>
      </c>
      <c r="T144" s="27">
        <f>+T21/(('BS (F4Q2022)'!T6+'BS (F4Q2022)'!T7+'BS (F4Q2022)'!T12)+('BS (F4Q2022)'!S6+'BS (F4Q2022)'!S7+'BS (F4Q2022)'!S12)/2)</f>
        <v>7.1679593764030023E-3</v>
      </c>
      <c r="U144" s="27">
        <f>+U21/(('BS (F4Q2022)'!U6+'BS (F4Q2022)'!U7+'BS (F4Q2022)'!U12)+('BS (F4Q2022)'!T6+'BS (F4Q2022)'!T7+'BS (F4Q2022)'!T12)/2)</f>
        <v>3.4813492865871276E-3</v>
      </c>
      <c r="V144" s="27">
        <f>+V21/(('BS (F4Q2022)'!V6+'BS (F4Q2022)'!V7+'BS (F4Q2022)'!V12)+('BS (F4Q2022)'!U6+'BS (F4Q2022)'!U7+'BS (F4Q2022)'!U12)/2)</f>
        <v>5.9212851098780295E-3</v>
      </c>
      <c r="W144" s="137"/>
      <c r="X144" s="35">
        <f>V144+0.25%</f>
        <v>8.4212851098780291E-3</v>
      </c>
      <c r="Y144" s="35">
        <f>X144+0.5%</f>
        <v>1.3421285109878028E-2</v>
      </c>
      <c r="Z144" s="35">
        <f>Y144</f>
        <v>1.3421285109878028E-2</v>
      </c>
      <c r="AA144" s="35">
        <f>Z144-0.5%</f>
        <v>8.4212851098780274E-3</v>
      </c>
      <c r="AB144" s="137"/>
      <c r="AC144" s="35">
        <f>AA144</f>
        <v>8.4212851098780274E-3</v>
      </c>
      <c r="AD144" s="35">
        <f>AC144</f>
        <v>8.4212851098780274E-3</v>
      </c>
      <c r="AE144" s="35">
        <f>AD144</f>
        <v>8.4212851098780274E-3</v>
      </c>
      <c r="AF144" s="35">
        <f>AE144</f>
        <v>8.4212851098780274E-3</v>
      </c>
      <c r="AG144" s="29"/>
      <c r="AH144" s="35">
        <f>AF144</f>
        <v>8.4212851098780274E-3</v>
      </c>
      <c r="AI144" s="35">
        <f>AH144</f>
        <v>8.4212851098780274E-3</v>
      </c>
      <c r="AJ144" s="35">
        <f>AI144</f>
        <v>8.4212851098780274E-3</v>
      </c>
      <c r="AK144" s="35">
        <f>AJ144</f>
        <v>8.4212851098780274E-3</v>
      </c>
      <c r="AL144" s="29"/>
      <c r="AM144" s="35">
        <f>AK144</f>
        <v>8.4212851098780274E-3</v>
      </c>
      <c r="AN144" s="35">
        <f t="shared" ref="AN144:AP145" si="436">AM144</f>
        <v>8.4212851098780274E-3</v>
      </c>
      <c r="AO144" s="35">
        <f t="shared" si="436"/>
        <v>8.4212851098780274E-3</v>
      </c>
      <c r="AP144" s="35">
        <f t="shared" si="436"/>
        <v>8.4212851098780274E-3</v>
      </c>
      <c r="AQ144" s="29"/>
      <c r="AR144" s="35">
        <f>AP144</f>
        <v>8.4212851098780274E-3</v>
      </c>
      <c r="AS144" s="35">
        <f t="shared" ref="AS144:AU145" si="437">AR144</f>
        <v>8.4212851098780274E-3</v>
      </c>
      <c r="AT144" s="35">
        <f t="shared" si="437"/>
        <v>8.4212851098780274E-3</v>
      </c>
      <c r="AU144" s="35">
        <f t="shared" si="437"/>
        <v>8.4212851098780274E-3</v>
      </c>
      <c r="AV144" s="29"/>
    </row>
    <row r="145" spans="2:48" s="23" customFormat="1" outlineLevel="1" x14ac:dyDescent="0.3">
      <c r="B145" s="580" t="s">
        <v>79</v>
      </c>
      <c r="C145" s="581"/>
      <c r="D145" s="27"/>
      <c r="E145" s="215">
        <f>-E22/(((('BS (F4Q2022)'!E28+'BS (F4Q2022)'!E31)+('BS (F4Q2022)'!D28+'BS (F4Q2022)'!D31))/2))</f>
        <v>8.0557251242696429E-3</v>
      </c>
      <c r="F145" s="215">
        <f>-F22/(((('BS (F4Q2022)'!F28+'BS (F4Q2022)'!F31)+('BS (F4Q2022)'!E28+'BS (F4Q2022)'!E31))/2))</f>
        <v>8.4807318557490342E-3</v>
      </c>
      <c r="G145" s="215">
        <f>-G22/(((('BS (F4Q2022)'!G28+'BS (F4Q2022)'!G31)+('BS (F4Q2022)'!F28+'BS (F4Q2022)'!F31))/2))</f>
        <v>8.572925858076421E-3</v>
      </c>
      <c r="H145" s="29"/>
      <c r="I145" s="215">
        <f>-I22/(((('BS (F4Q2022)'!I28+'BS (F4Q2022)'!I31)+('BS (F4Q2022)'!G28+'BS (F4Q2022)'!G31))/2))</f>
        <v>8.0554679008449908E-3</v>
      </c>
      <c r="J145" s="215">
        <f>-J22/(((('BS (F4Q2022)'!J28+'BS (F4Q2022)'!J31)+('BS (F4Q2022)'!I28+'BS (F4Q2022)'!I31))/2))</f>
        <v>7.730372102084551E-3</v>
      </c>
      <c r="K145" s="215">
        <f>-K22/(((('BS (F4Q2022)'!K28+'BS (F4Q2022)'!K31)+('BS (F4Q2022)'!J28+'BS (F4Q2022)'!J31))/2))</f>
        <v>7.8322294946980078E-3</v>
      </c>
      <c r="L145" s="215">
        <f>-L22/(((('BS (F4Q2022)'!L28+'BS (F4Q2022)'!L31)+('BS (F4Q2022)'!K28+'BS (F4Q2022)'!K31))/2))</f>
        <v>7.5346594333936109E-3</v>
      </c>
      <c r="M145" s="29"/>
      <c r="N145" s="215">
        <f>-N22/(((('BS (F4Q2022)'!N28+'BS (F4Q2022)'!N31)+('BS (F4Q2022)'!L28+'BS (F4Q2022)'!L31))/2))</f>
        <v>7.481930548840208E-3</v>
      </c>
      <c r="O145" s="215">
        <f>-O22/(((('BS (F4Q2022)'!O28+'BS (F4Q2022)'!O31)+('BS (F4Q2022)'!N28+'BS (F4Q2022)'!N31))/2))</f>
        <v>7.5250206938069089E-3</v>
      </c>
      <c r="P145" s="215">
        <f>-P22/(((('BS (F4Q2022)'!P28+'BS (F4Q2022)'!P31)+('BS (F4Q2022)'!O28+'BS (F4Q2022)'!O31))/2))</f>
        <v>7.7494216976973845E-3</v>
      </c>
      <c r="Q145" s="215">
        <f>-Q22/(((('BS (F4Q2022)'!Q28+'BS (F4Q2022)'!Q31)+('BS (F4Q2022)'!P28+'BS (F4Q2022)'!P31))/2))</f>
        <v>8.2506952544819535E-3</v>
      </c>
      <c r="R145" s="29"/>
      <c r="S145" s="215">
        <f>-S22/(((('BS (F4Q2022)'!S28+'BS (F4Q2022)'!S31)+('BS (F4Q2022)'!Q28+'BS (F4Q2022)'!Q31))/2))</f>
        <v>7.8431639309692741E-3</v>
      </c>
      <c r="T145" s="215">
        <f>-T22/(((('BS (F4Q2022)'!T28+'BS (F4Q2022)'!T31)+('BS (F4Q2022)'!S28+'BS (F4Q2022)'!S31))/2))</f>
        <v>7.7341177845746236E-3</v>
      </c>
      <c r="U145" s="215">
        <f>-U22/(((('BS (F4Q2022)'!U28+'BS (F4Q2022)'!U31)+('BS (F4Q2022)'!T28+'BS (F4Q2022)'!T31))/2))</f>
        <v>7.9054937080361813E-3</v>
      </c>
      <c r="V145" s="215">
        <f>-V22/(((('BS (F4Q2022)'!V28+'BS (F4Q2022)'!V31)+('BS (F4Q2022)'!U28+'BS (F4Q2022)'!U31))/2))</f>
        <v>8.3052184345359225E-3</v>
      </c>
      <c r="W145" s="137"/>
      <c r="X145" s="35">
        <v>9.1399171757323497E-3</v>
      </c>
      <c r="Y145" s="35">
        <f>X145</f>
        <v>9.1399171757323497E-3</v>
      </c>
      <c r="Z145" s="35">
        <f>Y145</f>
        <v>9.1399171757323497E-3</v>
      </c>
      <c r="AA145" s="35">
        <f>Z145</f>
        <v>9.1399171757323497E-3</v>
      </c>
      <c r="AB145" s="137"/>
      <c r="AC145" s="35">
        <f>AA145+0.01%</f>
        <v>9.2399171757323491E-3</v>
      </c>
      <c r="AD145" s="35">
        <f>AC145+0.01%</f>
        <v>9.3399171757323485E-3</v>
      </c>
      <c r="AE145" s="35">
        <f t="shared" ref="AE145:AF145" si="438">AD145+0.01%</f>
        <v>9.4399171757323479E-3</v>
      </c>
      <c r="AF145" s="35">
        <f t="shared" si="438"/>
        <v>9.5399171757323473E-3</v>
      </c>
      <c r="AG145" s="29"/>
      <c r="AH145" s="35">
        <f>AF145+0.01%</f>
        <v>9.6399171757323467E-3</v>
      </c>
      <c r="AI145" s="35">
        <f>AH145+0.01%</f>
        <v>9.7399171757323461E-3</v>
      </c>
      <c r="AJ145" s="35">
        <f t="shared" ref="AJ145:AK145" si="439">AI145+0.01%</f>
        <v>9.8399171757323455E-3</v>
      </c>
      <c r="AK145" s="35">
        <f t="shared" si="439"/>
        <v>9.9399171757323448E-3</v>
      </c>
      <c r="AL145" s="29"/>
      <c r="AM145" s="35">
        <f>AK145</f>
        <v>9.9399171757323448E-3</v>
      </c>
      <c r="AN145" s="35">
        <f t="shared" si="436"/>
        <v>9.9399171757323448E-3</v>
      </c>
      <c r="AO145" s="35">
        <f t="shared" si="436"/>
        <v>9.9399171757323448E-3</v>
      </c>
      <c r="AP145" s="35">
        <f t="shared" si="436"/>
        <v>9.9399171757323448E-3</v>
      </c>
      <c r="AQ145" s="29"/>
      <c r="AR145" s="35">
        <f>AP145</f>
        <v>9.9399171757323448E-3</v>
      </c>
      <c r="AS145" s="35">
        <f t="shared" si="437"/>
        <v>9.9399171757323448E-3</v>
      </c>
      <c r="AT145" s="35">
        <f t="shared" si="437"/>
        <v>9.9399171757323448E-3</v>
      </c>
      <c r="AU145" s="35">
        <f t="shared" si="437"/>
        <v>9.9399171757323448E-3</v>
      </c>
      <c r="AV145" s="29"/>
    </row>
    <row r="146" spans="2:48" s="23" customFormat="1" outlineLevel="1" x14ac:dyDescent="0.3">
      <c r="B146" s="200" t="s">
        <v>186</v>
      </c>
      <c r="C146" s="201"/>
      <c r="D146" s="113"/>
      <c r="E146" s="113"/>
      <c r="F146" s="113"/>
      <c r="G146" s="113"/>
      <c r="H146" s="137"/>
      <c r="I146" s="113">
        <f>I33/D33-1</f>
        <v>0.2254857129231771</v>
      </c>
      <c r="J146" s="113">
        <f t="shared" ref="J146:AV147" si="440">J33/E33-1</f>
        <v>-0.47546772308917484</v>
      </c>
      <c r="K146" s="113">
        <f t="shared" si="440"/>
        <v>-1.5172211898784418</v>
      </c>
      <c r="L146" s="113">
        <f t="shared" si="440"/>
        <v>-0.49266142278343572</v>
      </c>
      <c r="M146" s="137">
        <f t="shared" si="440"/>
        <v>-0.73466371126240593</v>
      </c>
      <c r="N146" s="113">
        <f t="shared" si="440"/>
        <v>-0.292754196932551</v>
      </c>
      <c r="O146" s="113">
        <f t="shared" si="440"/>
        <v>1.0009687774744878</v>
      </c>
      <c r="P146" s="113">
        <f t="shared" si="440"/>
        <v>-2.6748075301104208</v>
      </c>
      <c r="Q146" s="113">
        <f t="shared" si="440"/>
        <v>3.4604705530296798</v>
      </c>
      <c r="R146" s="137">
        <f t="shared" si="440"/>
        <v>3.5714373754781779</v>
      </c>
      <c r="S146" s="113">
        <f t="shared" si="440"/>
        <v>0.31844745711851452</v>
      </c>
      <c r="T146" s="113">
        <f t="shared" si="440"/>
        <v>5.0603007043171555E-2</v>
      </c>
      <c r="U146" s="113">
        <f t="shared" si="440"/>
        <v>-0.18430865147381992</v>
      </c>
      <c r="V146" s="113">
        <f t="shared" si="440"/>
        <v>-0.4870956113954914</v>
      </c>
      <c r="W146" s="137">
        <f t="shared" si="440"/>
        <v>-0.199786344376785</v>
      </c>
      <c r="X146" s="113">
        <f t="shared" si="440"/>
        <v>3.8828642519730616E-2</v>
      </c>
      <c r="Y146" s="113">
        <f t="shared" si="440"/>
        <v>0.22894075619252852</v>
      </c>
      <c r="Z146" s="113">
        <f t="shared" si="440"/>
        <v>0.1629772882707976</v>
      </c>
      <c r="AA146" s="113">
        <f t="shared" si="440"/>
        <v>0.32704744210786219</v>
      </c>
      <c r="AB146" s="137">
        <f t="shared" si="440"/>
        <v>0.190418715568901</v>
      </c>
      <c r="AC146" s="113">
        <f t="shared" si="440"/>
        <v>0.38400328827988006</v>
      </c>
      <c r="AD146" s="113">
        <f t="shared" si="440"/>
        <v>0.16526990251895723</v>
      </c>
      <c r="AE146" s="113">
        <f t="shared" si="440"/>
        <v>0.12098866974597589</v>
      </c>
      <c r="AF146" s="113">
        <f t="shared" si="440"/>
        <v>3.1283042162401298E-2</v>
      </c>
      <c r="AG146" s="137">
        <f t="shared" si="440"/>
        <v>0.15971557067635134</v>
      </c>
      <c r="AH146" s="113">
        <f t="shared" si="440"/>
        <v>0.16800762443633266</v>
      </c>
      <c r="AI146" s="113">
        <f t="shared" si="440"/>
        <v>0.18117353715395468</v>
      </c>
      <c r="AJ146" s="113">
        <f t="shared" si="440"/>
        <v>0.26520039081667268</v>
      </c>
      <c r="AK146" s="113">
        <f t="shared" si="440"/>
        <v>0.23891787859627489</v>
      </c>
      <c r="AL146" s="137">
        <f t="shared" si="440"/>
        <v>0.21409455216854711</v>
      </c>
      <c r="AM146" s="113">
        <f t="shared" si="440"/>
        <v>0.16168530727022845</v>
      </c>
      <c r="AN146" s="113">
        <f t="shared" si="440"/>
        <v>0.15004324967812188</v>
      </c>
      <c r="AO146" s="113">
        <f t="shared" si="440"/>
        <v>0.10268562248206758</v>
      </c>
      <c r="AP146" s="113">
        <f t="shared" si="440"/>
        <v>8.1488190037937835E-2</v>
      </c>
      <c r="AQ146" s="137">
        <f t="shared" si="440"/>
        <v>0.12246221313900008</v>
      </c>
      <c r="AR146" s="113">
        <f t="shared" si="440"/>
        <v>7.6357015451925303E-2</v>
      </c>
      <c r="AS146" s="113">
        <f t="shared" si="440"/>
        <v>7.8116992336499491E-2</v>
      </c>
      <c r="AT146" s="113">
        <f t="shared" si="440"/>
        <v>7.5298742360798698E-2</v>
      </c>
      <c r="AU146" s="113">
        <f t="shared" si="440"/>
        <v>7.5235555594403092E-2</v>
      </c>
      <c r="AV146" s="137">
        <f t="shared" si="440"/>
        <v>7.6152318022934429E-2</v>
      </c>
    </row>
    <row r="147" spans="2:48" s="23" customFormat="1" outlineLevel="1" x14ac:dyDescent="0.3">
      <c r="B147" s="200" t="s">
        <v>139</v>
      </c>
      <c r="C147" s="201"/>
      <c r="D147" s="27"/>
      <c r="E147" s="27"/>
      <c r="F147" s="27"/>
      <c r="G147" s="27"/>
      <c r="H147" s="29"/>
      <c r="I147" s="27">
        <f t="shared" ref="I147:V147" si="441">I34/D34-1</f>
        <v>5.9389868457878192E-2</v>
      </c>
      <c r="J147" s="27">
        <f t="shared" si="441"/>
        <v>-0.47460546003783222</v>
      </c>
      <c r="K147" s="27">
        <f t="shared" si="441"/>
        <v>-1.5922286955663072</v>
      </c>
      <c r="L147" s="113">
        <f t="shared" si="441"/>
        <v>-0.26631134736842188</v>
      </c>
      <c r="M147" s="137">
        <f t="shared" si="441"/>
        <v>-0.59372113780519853</v>
      </c>
      <c r="N147" s="113">
        <f t="shared" si="441"/>
        <v>-0.23228377390823718</v>
      </c>
      <c r="O147" s="113">
        <f t="shared" si="441"/>
        <v>0.96992458477270005</v>
      </c>
      <c r="P147" s="113">
        <f t="shared" si="441"/>
        <v>-3.1776350920116565</v>
      </c>
      <c r="Q147" s="113">
        <f t="shared" si="441"/>
        <v>0.95350602232643134</v>
      </c>
      <c r="R147" s="29">
        <f t="shared" si="441"/>
        <v>1.8162682861720394</v>
      </c>
      <c r="S147" s="113">
        <f t="shared" si="441"/>
        <v>0.18036058258616094</v>
      </c>
      <c r="T147" s="113">
        <f t="shared" si="441"/>
        <v>-5.6546752866856842E-2</v>
      </c>
      <c r="U147" s="113">
        <f t="shared" si="441"/>
        <v>-0.16448812865885809</v>
      </c>
      <c r="V147" s="113">
        <f t="shared" si="441"/>
        <v>-0.1882667305146607</v>
      </c>
      <c r="W147" s="137">
        <f>W34/(R34-0.1-0.04)-1</f>
        <v>-4.7540866454839237E-2</v>
      </c>
      <c r="X147" s="113">
        <f t="shared" si="440"/>
        <v>5.131427503716357E-2</v>
      </c>
      <c r="Y147" s="113">
        <f t="shared" si="440"/>
        <v>0.23706750687770706</v>
      </c>
      <c r="Z147" s="113">
        <f t="shared" si="440"/>
        <v>0.10484258971552496</v>
      </c>
      <c r="AA147" s="113">
        <f t="shared" si="440"/>
        <v>0.25773345751601062</v>
      </c>
      <c r="AB147" s="137">
        <f t="shared" si="440"/>
        <v>0.15997779087503039</v>
      </c>
      <c r="AC147" s="113">
        <f t="shared" si="440"/>
        <v>0.32527277645731445</v>
      </c>
      <c r="AD147" s="113">
        <f t="shared" si="440"/>
        <v>0.19035189742429814</v>
      </c>
      <c r="AE147" s="113">
        <f t="shared" si="440"/>
        <v>0.14086175806520851</v>
      </c>
      <c r="AF147" s="113">
        <f t="shared" si="440"/>
        <v>4.9971699842156436E-2</v>
      </c>
      <c r="AG147" s="137">
        <f t="shared" si="440"/>
        <v>0.16510517474098818</v>
      </c>
      <c r="AH147" s="113">
        <f t="shared" si="440"/>
        <v>0.18611497304962255</v>
      </c>
      <c r="AI147" s="113">
        <f t="shared" si="440"/>
        <v>0.17581084004874481</v>
      </c>
      <c r="AJ147" s="113">
        <f t="shared" si="440"/>
        <v>0.25978824216889462</v>
      </c>
      <c r="AK147" s="113">
        <f t="shared" si="440"/>
        <v>0.23521641561705153</v>
      </c>
      <c r="AL147" s="137">
        <f t="shared" si="440"/>
        <v>0.21526988627125609</v>
      </c>
      <c r="AM147" s="113">
        <f t="shared" si="440"/>
        <v>0.16003794355160328</v>
      </c>
      <c r="AN147" s="113">
        <f t="shared" si="440"/>
        <v>0.14843429194326241</v>
      </c>
      <c r="AO147" s="113">
        <f t="shared" si="440"/>
        <v>0.10153922715954589</v>
      </c>
      <c r="AP147" s="113">
        <f t="shared" si="440"/>
        <v>7.9864660187477288E-2</v>
      </c>
      <c r="AQ147" s="29">
        <f t="shared" si="440"/>
        <v>0.1209628229420201</v>
      </c>
      <c r="AR147" s="113">
        <f t="shared" si="440"/>
        <v>7.4905652129217515E-2</v>
      </c>
      <c r="AS147" s="113">
        <f t="shared" si="440"/>
        <v>7.635352094698078E-2</v>
      </c>
      <c r="AT147" s="113">
        <f t="shared" si="440"/>
        <v>7.3952315106958544E-2</v>
      </c>
      <c r="AU147" s="113">
        <f t="shared" si="440"/>
        <v>7.3845432425636792E-2</v>
      </c>
      <c r="AV147" s="29">
        <f t="shared" si="440"/>
        <v>7.4680431279302129E-2</v>
      </c>
    </row>
    <row r="148" spans="2:48" s="23" customFormat="1" outlineLevel="1" x14ac:dyDescent="0.3">
      <c r="B148" s="200" t="s">
        <v>140</v>
      </c>
      <c r="C148" s="201"/>
      <c r="D148" s="27"/>
      <c r="E148" s="27"/>
      <c r="F148" s="27"/>
      <c r="G148" s="27"/>
      <c r="H148" s="29"/>
      <c r="I148" s="27">
        <f>'CFS (F4Q2022)'!I55</f>
        <v>-0.22820512820512895</v>
      </c>
      <c r="J148" s="27">
        <f>'CFS (F4Q2022)'!J55</f>
        <v>-4.4869364754098413</v>
      </c>
      <c r="K148" s="27">
        <f>'CFS (F4Q2022)'!K55</f>
        <v>-1.314434752864716</v>
      </c>
      <c r="L148" s="113">
        <f>'CFS (F4Q2022)'!L55</f>
        <v>0.34527569713924766</v>
      </c>
      <c r="M148" s="137">
        <f>'CFS (F4Q2022)'!M55</f>
        <v>-0.68340961778517451</v>
      </c>
      <c r="N148" s="113">
        <f>'CFS (F4Q2022)'!N55</f>
        <v>-2.1785305811139466E-4</v>
      </c>
      <c r="O148" s="113">
        <f>'CFS (F4Q2022)'!O55</f>
        <v>-1.649232351428781</v>
      </c>
      <c r="P148" s="113">
        <f>'CFS (F4Q2022)'!P55</f>
        <v>-5.7565950503127619</v>
      </c>
      <c r="Q148" s="113">
        <f>'CFS (F4Q2022)'!Q55</f>
        <v>2.012477359629572E-2</v>
      </c>
      <c r="R148" s="29">
        <f>'CFS (F4Q2022)'!R55</f>
        <v>2.7484040555764064</v>
      </c>
      <c r="S148" s="113">
        <f>'CFS (F4Q2022)'!S55</f>
        <v>1.9175246499972598E-2</v>
      </c>
      <c r="T148" s="113">
        <f>'CFS (F4Q2022)'!T55</f>
        <v>-0.81681375876895213</v>
      </c>
      <c r="U148" s="113">
        <f>'CFS (F4Q2022)'!U55</f>
        <v>-0.27684391080617499</v>
      </c>
      <c r="V148" s="113">
        <f>'CFS (F4Q2022)'!V55</f>
        <v>-0.27691194844479561</v>
      </c>
      <c r="W148" s="137">
        <f>'CFS (F4Q2022)'!W55</f>
        <v>-0.26581179456354764</v>
      </c>
      <c r="X148" s="113">
        <f>'CFS (F4Q2022)'!X55</f>
        <v>8.171438918442453E-2</v>
      </c>
      <c r="Y148" s="113">
        <f>'CFS (F4Q2022)'!Y55</f>
        <v>3.6833104545785833</v>
      </c>
      <c r="Z148" s="113">
        <f>'CFS (F4Q2022)'!Z55</f>
        <v>-0.12558779493844696</v>
      </c>
      <c r="AA148" s="113">
        <f>'CFS (F4Q2022)'!AA55</f>
        <v>0.71812434982269724</v>
      </c>
      <c r="AB148" s="137">
        <f>'CFS (F4Q2022)'!AB55</f>
        <v>0.31383914885570441</v>
      </c>
      <c r="AC148" s="113">
        <f>'CFS (F4Q2022)'!AC55</f>
        <v>9.7123534269793588E-2</v>
      </c>
      <c r="AD148" s="113">
        <f>'CFS (F4Q2022)'!AD55</f>
        <v>0.35950764977440608</v>
      </c>
      <c r="AE148" s="113">
        <f>'CFS (F4Q2022)'!AE55</f>
        <v>0.33981218882453623</v>
      </c>
      <c r="AF148" s="113">
        <f>'CFS (F4Q2022)'!AF55</f>
        <v>-4.5892582489394762E-2</v>
      </c>
      <c r="AG148" s="137">
        <f>'CFS (F4Q2022)'!AG55</f>
        <v>0.13125018543910394</v>
      </c>
      <c r="AH148" s="113">
        <f>'CFS (F4Q2022)'!AH55</f>
        <v>0.1145201068558912</v>
      </c>
      <c r="AI148" s="113">
        <f>'CFS (F4Q2022)'!AI55</f>
        <v>0.13988933028350004</v>
      </c>
      <c r="AJ148" s="113">
        <f>'CFS (F4Q2022)'!AJ55</f>
        <v>0.12131964646390059</v>
      </c>
      <c r="AK148" s="113">
        <f>'CFS (F4Q2022)'!AK55</f>
        <v>0.119303225136425</v>
      </c>
      <c r="AL148" s="29">
        <f>'CFS (F4Q2022)'!AL55</f>
        <v>0.12138237845230204</v>
      </c>
      <c r="AM148" s="113">
        <f>'CFS (F4Q2022)'!AM55</f>
        <v>0.13857600375102086</v>
      </c>
      <c r="AN148" s="113">
        <f>'CFS (F4Q2022)'!AN55</f>
        <v>8.3336261626586472E-2</v>
      </c>
      <c r="AO148" s="113">
        <f>'CFS (F4Q2022)'!AO55</f>
        <v>6.5161558973004796E-2</v>
      </c>
      <c r="AP148" s="113">
        <f>'CFS (F4Q2022)'!AP55</f>
        <v>0.12871523768537885</v>
      </c>
      <c r="AQ148" s="29">
        <f>'CFS (F4Q2022)'!AQ55</f>
        <v>0.11036062380604084</v>
      </c>
      <c r="AR148" s="113">
        <f>'CFS (F4Q2022)'!AR55</f>
        <v>7.1237179164707509E-2</v>
      </c>
      <c r="AS148" s="113">
        <f>'CFS (F4Q2022)'!AS55</f>
        <v>9.3612071990971435E-2</v>
      </c>
      <c r="AT148" s="113">
        <f>'CFS (F4Q2022)'!AT55</f>
        <v>0.10599788470613469</v>
      </c>
      <c r="AU148" s="113">
        <f>'CFS (F4Q2022)'!AU55</f>
        <v>5.0118430150442039E-2</v>
      </c>
      <c r="AV148" s="29">
        <f>'CFS (F4Q2022)'!AV55</f>
        <v>7.6387140627540706E-2</v>
      </c>
    </row>
    <row r="149" spans="2:48" s="23" customFormat="1" outlineLevel="1" x14ac:dyDescent="0.3">
      <c r="B149" s="200" t="s">
        <v>334</v>
      </c>
      <c r="C149" s="201"/>
      <c r="D149" s="27"/>
      <c r="E149" s="27"/>
      <c r="F149" s="27"/>
      <c r="G149" s="27"/>
      <c r="H149" s="29"/>
      <c r="I149" s="27"/>
      <c r="J149" s="27"/>
      <c r="K149" s="27"/>
      <c r="L149" s="113"/>
      <c r="M149" s="137"/>
      <c r="N149" s="113"/>
      <c r="O149" s="113"/>
      <c r="P149" s="113"/>
      <c r="Q149" s="113"/>
      <c r="R149" s="29"/>
      <c r="S149" s="113"/>
      <c r="T149" s="113"/>
      <c r="U149" s="113"/>
      <c r="V149" s="113"/>
      <c r="W149" s="137"/>
      <c r="X149" s="113"/>
      <c r="Y149" s="113"/>
      <c r="Z149" s="113"/>
      <c r="AA149" s="113"/>
      <c r="AB149" s="137"/>
      <c r="AC149" s="113"/>
      <c r="AD149" s="113"/>
      <c r="AE149" s="113"/>
      <c r="AF149" s="113"/>
      <c r="AG149" s="137"/>
      <c r="AH149" s="113"/>
      <c r="AI149" s="113"/>
      <c r="AJ149" s="113"/>
      <c r="AK149" s="113"/>
      <c r="AL149" s="406">
        <f>(AL34/W34)^(1/3)-1</f>
        <v>0.17985647594392118</v>
      </c>
      <c r="AM149" s="113"/>
      <c r="AN149" s="113"/>
      <c r="AO149" s="113"/>
      <c r="AP149" s="113"/>
      <c r="AQ149" s="29"/>
      <c r="AR149" s="113"/>
      <c r="AS149" s="113"/>
      <c r="AT149" s="113"/>
      <c r="AU149" s="113"/>
      <c r="AV149" s="29"/>
    </row>
    <row r="150" spans="2:48" ht="17.399999999999999" x14ac:dyDescent="0.45">
      <c r="B150" s="583" t="s">
        <v>130</v>
      </c>
      <c r="C150" s="584"/>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580" t="s">
        <v>208</v>
      </c>
      <c r="C151" s="581"/>
      <c r="D151" s="27"/>
      <c r="E151" s="27">
        <f t="shared" ref="E151:G151" si="442">(E30+E155+E158+E161)/D30-1</f>
        <v>2.777764747303535E-2</v>
      </c>
      <c r="F151" s="27">
        <f t="shared" si="442"/>
        <v>-1.7269004124131682E-2</v>
      </c>
      <c r="G151" s="27">
        <f t="shared" si="442"/>
        <v>1.9258933156590885E-2</v>
      </c>
      <c r="H151" s="9"/>
      <c r="I151" s="27">
        <f>(I30+I155+I158+I161)/G30-1</f>
        <v>-1.436336111538794E-2</v>
      </c>
      <c r="J151" s="27">
        <f t="shared" ref="J151:L151" si="443">(J30+J155+J158+J161)/I30-1</f>
        <v>-1.1333810572689007E-3</v>
      </c>
      <c r="K151" s="27">
        <f t="shared" si="443"/>
        <v>-2.8161802355349819E-3</v>
      </c>
      <c r="L151" s="27">
        <f t="shared" si="443"/>
        <v>-9.5210569021197955E-4</v>
      </c>
      <c r="M151" s="9"/>
      <c r="N151" s="27">
        <f>(N30+N155+N158+N161)/L30-1</f>
        <v>6.5210015787404707E-3</v>
      </c>
      <c r="O151" s="27">
        <f t="shared" ref="O151:Q151" si="444">(O30+O155+O158+O161)/N30-1</f>
        <v>2.1276595744681437E-3</v>
      </c>
      <c r="P151" s="27">
        <f t="shared" si="444"/>
        <v>8.4925690021231404E-4</v>
      </c>
      <c r="Q151" s="27">
        <f t="shared" si="444"/>
        <v>8.4925690021231404E-4</v>
      </c>
      <c r="R151" s="9"/>
      <c r="S151" s="27">
        <f>(S30+S155+S158+S161)/Q30-1</f>
        <v>1.7994180128374726E-2</v>
      </c>
      <c r="T151" s="27">
        <f>(T30+T155+T158+T161)/S30-1</f>
        <v>-1.2989686217510177E-2</v>
      </c>
      <c r="U151" s="27">
        <f>(U30+U155+U158+U161)/T30-1</f>
        <v>-1.9143752175426743E-3</v>
      </c>
      <c r="V151" s="27">
        <f>(V30+V155+V158+V161)/U30-1</f>
        <v>7.4613109397692057E-4</v>
      </c>
      <c r="W151" s="256"/>
      <c r="X151" s="35">
        <v>2E-3</v>
      </c>
      <c r="Y151" s="35">
        <v>2E-3</v>
      </c>
      <c r="Z151" s="35">
        <v>2E-3</v>
      </c>
      <c r="AA151" s="35">
        <v>2E-3</v>
      </c>
      <c r="AB151" s="9"/>
      <c r="AC151" s="35">
        <v>2E-3</v>
      </c>
      <c r="AD151" s="35">
        <v>2E-3</v>
      </c>
      <c r="AE151" s="35">
        <v>2E-3</v>
      </c>
      <c r="AF151" s="35">
        <v>2E-3</v>
      </c>
      <c r="AG151" s="9"/>
      <c r="AH151" s="35">
        <v>2E-3</v>
      </c>
      <c r="AI151" s="35">
        <v>2E-3</v>
      </c>
      <c r="AJ151" s="35">
        <v>2E-3</v>
      </c>
      <c r="AK151" s="35">
        <v>2E-3</v>
      </c>
      <c r="AL151" s="9"/>
      <c r="AM151" s="35">
        <v>2E-3</v>
      </c>
      <c r="AN151" s="35">
        <v>2E-3</v>
      </c>
      <c r="AO151" s="35">
        <v>2E-3</v>
      </c>
      <c r="AP151" s="35">
        <v>2E-3</v>
      </c>
      <c r="AQ151" s="9"/>
      <c r="AR151" s="35">
        <v>2E-3</v>
      </c>
      <c r="AS151" s="35">
        <v>2E-3</v>
      </c>
      <c r="AT151" s="35">
        <v>2E-3</v>
      </c>
      <c r="AU151" s="35">
        <v>2E-3</v>
      </c>
      <c r="AV151" s="9"/>
    </row>
    <row r="152" spans="2:48" outlineLevel="1" x14ac:dyDescent="0.3">
      <c r="B152" s="580" t="s">
        <v>209</v>
      </c>
      <c r="C152" s="581"/>
      <c r="D152" s="27"/>
      <c r="E152" s="27">
        <f t="shared" ref="E152:G152" si="445">(E31+E155+E158+E161)/D31-1</f>
        <v>2.7604785512613583E-2</v>
      </c>
      <c r="F152" s="27">
        <f t="shared" si="445"/>
        <v>-1.6710442080933863E-2</v>
      </c>
      <c r="G152" s="27">
        <f t="shared" si="445"/>
        <v>1.9089589576967603E-2</v>
      </c>
      <c r="H152" s="9"/>
      <c r="I152" s="27">
        <f>(I31+I155+I158+I161)/G31-1</f>
        <v>-1.5386652077945762E-2</v>
      </c>
      <c r="J152" s="27">
        <f t="shared" ref="J152:L152" si="446">(J31+J155+J158+J161)/I31-1</f>
        <v>-2.5506658270361138E-3</v>
      </c>
      <c r="K152" s="27">
        <f t="shared" si="446"/>
        <v>-1.0332853392055585E-2</v>
      </c>
      <c r="L152" s="27">
        <f t="shared" si="446"/>
        <v>8.9858793324775199E-3</v>
      </c>
      <c r="M152" s="9"/>
      <c r="N152" s="27">
        <f>(N31+N155+N158+N161)/L31-1</f>
        <v>3.392705682782049E-3</v>
      </c>
      <c r="O152" s="27">
        <f t="shared" ref="O152:Q152" si="447">(O31+O155+O158+O161)/N31-1</f>
        <v>1.5215553677092597E-3</v>
      </c>
      <c r="P152" s="27">
        <f t="shared" si="447"/>
        <v>1.1816340310601969E-3</v>
      </c>
      <c r="Q152" s="27">
        <f t="shared" si="447"/>
        <v>1.4331478671387732E-3</v>
      </c>
      <c r="R152" s="9"/>
      <c r="S152" s="27">
        <f>(S31+S155+S158+S161)/Q31-1</f>
        <v>1.6689115245390962E-2</v>
      </c>
      <c r="T152" s="27">
        <f>(T31+T155+T158+T161)/S31-1</f>
        <v>-1.4867191058983376E-2</v>
      </c>
      <c r="U152" s="27">
        <f>(U31+U155+U158+U161)/T31-1</f>
        <v>-2.5132160499177214E-3</v>
      </c>
      <c r="V152" s="27">
        <f t="shared" ref="V152" si="448">(V31+V155+V158+V161)/U31-1</f>
        <v>1.3032145960034658E-3</v>
      </c>
      <c r="W152" s="256"/>
      <c r="X152" s="35">
        <v>1E-3</v>
      </c>
      <c r="Y152" s="35">
        <v>1E-3</v>
      </c>
      <c r="Z152" s="35">
        <v>1E-3</v>
      </c>
      <c r="AA152" s="35">
        <v>1E-3</v>
      </c>
      <c r="AB152" s="9"/>
      <c r="AC152" s="35">
        <v>1E-3</v>
      </c>
      <c r="AD152" s="35">
        <v>1E-3</v>
      </c>
      <c r="AE152" s="35">
        <v>1E-3</v>
      </c>
      <c r="AF152" s="35">
        <v>1E-3</v>
      </c>
      <c r="AG152" s="9"/>
      <c r="AH152" s="35">
        <v>1E-3</v>
      </c>
      <c r="AI152" s="35">
        <v>1E-3</v>
      </c>
      <c r="AJ152" s="35">
        <v>1E-3</v>
      </c>
      <c r="AK152" s="35">
        <v>1E-3</v>
      </c>
      <c r="AL152" s="9"/>
      <c r="AM152" s="35">
        <v>1E-3</v>
      </c>
      <c r="AN152" s="35">
        <v>1E-3</v>
      </c>
      <c r="AO152" s="35">
        <v>1E-3</v>
      </c>
      <c r="AP152" s="35">
        <v>1E-3</v>
      </c>
      <c r="AQ152" s="9"/>
      <c r="AR152" s="35">
        <v>1E-3</v>
      </c>
      <c r="AS152" s="35">
        <v>1E-3</v>
      </c>
      <c r="AT152" s="35">
        <v>1E-3</v>
      </c>
      <c r="AU152" s="35">
        <v>1E-3</v>
      </c>
      <c r="AV152" s="9"/>
    </row>
    <row r="153" spans="2:48" outlineLevel="1" x14ac:dyDescent="0.3">
      <c r="B153" s="609" t="s">
        <v>137</v>
      </c>
      <c r="C153" s="610"/>
      <c r="D153" s="245"/>
      <c r="E153" s="144">
        <v>69.922678056926543</v>
      </c>
      <c r="F153" s="144">
        <v>83.13076202744692</v>
      </c>
      <c r="G153" s="144">
        <v>92.52</v>
      </c>
      <c r="H153" s="246"/>
      <c r="I153" s="144">
        <v>85.23</v>
      </c>
      <c r="J153" s="144">
        <v>78.08</v>
      </c>
      <c r="K153" s="144">
        <v>0</v>
      </c>
      <c r="L153" s="144">
        <v>0</v>
      </c>
      <c r="M153" s="246"/>
      <c r="N153" s="144">
        <v>0</v>
      </c>
      <c r="O153" s="144">
        <v>0</v>
      </c>
      <c r="P153" s="144">
        <v>0</v>
      </c>
      <c r="Q153" s="144">
        <v>0</v>
      </c>
      <c r="R153" s="246"/>
      <c r="S153" s="144">
        <v>113.12</v>
      </c>
      <c r="T153" s="144">
        <v>94.51</v>
      </c>
      <c r="U153" s="144">
        <v>0</v>
      </c>
      <c r="V153" s="144">
        <f>+U153</f>
        <v>0</v>
      </c>
      <c r="W153" s="257"/>
      <c r="X153" s="247">
        <v>0</v>
      </c>
      <c r="Y153" s="247">
        <v>0</v>
      </c>
      <c r="Z153" s="247">
        <v>0</v>
      </c>
      <c r="AA153" s="247">
        <v>0</v>
      </c>
      <c r="AB153" s="246"/>
      <c r="AC153" s="393">
        <f>AG35/0.02</f>
        <v>112.69125000000003</v>
      </c>
      <c r="AD153" s="247">
        <f>+AC153</f>
        <v>112.69125000000003</v>
      </c>
      <c r="AE153" s="247">
        <f>+AD153</f>
        <v>112.69125000000003</v>
      </c>
      <c r="AF153" s="247">
        <f>+AE153</f>
        <v>112.69125000000003</v>
      </c>
      <c r="AG153" s="390"/>
      <c r="AH153" s="393">
        <f>AL35/0.02</f>
        <v>118.3258125</v>
      </c>
      <c r="AI153" s="247">
        <f>AH153</f>
        <v>118.3258125</v>
      </c>
      <c r="AJ153" s="247">
        <f>AI153</f>
        <v>118.3258125</v>
      </c>
      <c r="AK153" s="247">
        <f>AJ153</f>
        <v>118.3258125</v>
      </c>
      <c r="AL153" s="390"/>
      <c r="AM153" s="247">
        <f>AQ35/0.02</f>
        <v>123.32179125000002</v>
      </c>
      <c r="AN153" s="247">
        <f>AM153</f>
        <v>123.32179125000002</v>
      </c>
      <c r="AO153" s="247">
        <f>AN153</f>
        <v>123.32179125000002</v>
      </c>
      <c r="AP153" s="247">
        <f>AO153</f>
        <v>123.32179125000002</v>
      </c>
      <c r="AQ153" s="246"/>
      <c r="AR153" s="247">
        <f>AV35/0.02</f>
        <v>125.78822707500001</v>
      </c>
      <c r="AS153" s="247">
        <f>AR153</f>
        <v>125.78822707500001</v>
      </c>
      <c r="AT153" s="247">
        <f>AS153</f>
        <v>125.78822707500001</v>
      </c>
      <c r="AU153" s="247">
        <f>AT153</f>
        <v>125.78822707500001</v>
      </c>
      <c r="AV153" s="246"/>
    </row>
    <row r="154" spans="2:48" outlineLevel="1" x14ac:dyDescent="0.3">
      <c r="B154" s="580" t="s">
        <v>138</v>
      </c>
      <c r="C154" s="581"/>
      <c r="D154" s="16"/>
      <c r="E154" s="105">
        <v>713.2</v>
      </c>
      <c r="F154" s="105">
        <f>954.3-713.2</f>
        <v>241.09999999999991</v>
      </c>
      <c r="G154" s="101">
        <v>2177.1942404399997</v>
      </c>
      <c r="H154" s="17">
        <f>+SUM(D154:G154)</f>
        <v>3131.4942404399999</v>
      </c>
      <c r="I154" s="101">
        <v>1107.9389472300002</v>
      </c>
      <c r="J154" s="101">
        <v>567.02921856000012</v>
      </c>
      <c r="K154" s="101">
        <v>0</v>
      </c>
      <c r="L154" s="101">
        <v>0</v>
      </c>
      <c r="M154" s="17">
        <f>+SUM(I154:L154)</f>
        <v>1674.9681657900003</v>
      </c>
      <c r="N154" s="101">
        <v>0</v>
      </c>
      <c r="O154" s="101">
        <v>0</v>
      </c>
      <c r="P154" s="101">
        <v>0</v>
      </c>
      <c r="Q154" s="101">
        <v>0</v>
      </c>
      <c r="R154" s="17">
        <f>+SUM(N154:Q154)</f>
        <v>0</v>
      </c>
      <c r="S154" s="101">
        <f>S155*S153</f>
        <v>3520.86</v>
      </c>
      <c r="T154" s="101">
        <f>T155*T153</f>
        <v>492.13842613000003</v>
      </c>
      <c r="U154" s="101">
        <v>0</v>
      </c>
      <c r="V154" s="101">
        <f>U154</f>
        <v>0</v>
      </c>
      <c r="W154" s="169">
        <f>+SUM(S154:V154)</f>
        <v>4012.9984261300001</v>
      </c>
      <c r="X154" s="33">
        <v>0</v>
      </c>
      <c r="Y154" s="33">
        <v>0</v>
      </c>
      <c r="Z154" s="33">
        <v>0</v>
      </c>
      <c r="AA154" s="33">
        <v>0</v>
      </c>
      <c r="AB154" s="17">
        <f>+SUM(X154:AA154)</f>
        <v>0</v>
      </c>
      <c r="AC154" s="33"/>
      <c r="AD154" s="33"/>
      <c r="AE154" s="33">
        <v>100</v>
      </c>
      <c r="AF154" s="33">
        <v>100</v>
      </c>
      <c r="AG154" s="17">
        <f>+SUM(AC154:AF154)</f>
        <v>200</v>
      </c>
      <c r="AH154" s="33">
        <v>100</v>
      </c>
      <c r="AI154" s="33">
        <v>100</v>
      </c>
      <c r="AJ154" s="33">
        <v>5441.98119731518</v>
      </c>
      <c r="AK154" s="33">
        <f>AJ154</f>
        <v>5441.98119731518</v>
      </c>
      <c r="AL154" s="17">
        <f>+SUM(AH154:AK154)</f>
        <v>11083.96239463036</v>
      </c>
      <c r="AM154" s="33">
        <v>250</v>
      </c>
      <c r="AN154" s="33">
        <v>250</v>
      </c>
      <c r="AO154" s="33">
        <v>250</v>
      </c>
      <c r="AP154" s="33">
        <v>250</v>
      </c>
      <c r="AQ154" s="17">
        <f>+SUM(AM154:AP154)</f>
        <v>1000</v>
      </c>
      <c r="AR154" s="33">
        <v>250</v>
      </c>
      <c r="AS154" s="33">
        <v>250</v>
      </c>
      <c r="AT154" s="33">
        <v>250</v>
      </c>
      <c r="AU154" s="33">
        <v>250</v>
      </c>
      <c r="AV154" s="17">
        <f>+SUM(AR154:AU154)</f>
        <v>1000</v>
      </c>
    </row>
    <row r="155" spans="2:48" outlineLevel="1" x14ac:dyDescent="0.3">
      <c r="B155" s="580" t="s">
        <v>207</v>
      </c>
      <c r="C155" s="581"/>
      <c r="D155" s="139"/>
      <c r="E155" s="139">
        <f>IF((E154)&gt;0,(E154/E153),0)</f>
        <v>10.199838161509755</v>
      </c>
      <c r="F155" s="142">
        <f>IF((F154)&gt;0,(F154/F153),0)</f>
        <v>2.9002500893760241</v>
      </c>
      <c r="G155" s="142">
        <f>IF((G154)&gt;0,(G154/G153),0)</f>
        <v>23.532146999999998</v>
      </c>
      <c r="H155" s="49">
        <f>+SUM(D155:G155)</f>
        <v>36.632235250885778</v>
      </c>
      <c r="I155" s="139">
        <f>IF((I154)&gt;0,(I154/I153),0)</f>
        <v>12.999401000000001</v>
      </c>
      <c r="J155" s="142">
        <f>IF((J154)&gt;0,(J154/J153),0)</f>
        <v>7.262157000000002</v>
      </c>
      <c r="K155" s="139">
        <f>IF((K154)&gt;0,(K154/K153),0)</f>
        <v>0</v>
      </c>
      <c r="L155" s="139">
        <f>IF((L154)&gt;0,(L154/L153),0)</f>
        <v>0</v>
      </c>
      <c r="M155" s="49">
        <f>+SUM(I155:L155)</f>
        <v>20.261558000000001</v>
      </c>
      <c r="N155" s="139">
        <f>IF((N154)&gt;0,(N154/N153),0)</f>
        <v>0</v>
      </c>
      <c r="O155" s="139">
        <f>IF((O154)&gt;0,(O154/O153),0)</f>
        <v>0</v>
      </c>
      <c r="P155" s="139">
        <f>IF((P154)&gt;0,(P154/P153),0)</f>
        <v>0</v>
      </c>
      <c r="Q155" s="139">
        <f>IF((Q154)&gt;0,(Q154/Q153),0)</f>
        <v>0</v>
      </c>
      <c r="R155" s="49">
        <f>+SUM(N155:Q155)</f>
        <v>0</v>
      </c>
      <c r="S155" s="139">
        <v>31.125</v>
      </c>
      <c r="T155" s="142">
        <v>5.2072630000000002</v>
      </c>
      <c r="U155" s="142">
        <f>IF((U154)&gt;0,(U154/U153),0)</f>
        <v>0</v>
      </c>
      <c r="V155" s="139">
        <f>IF((V154)&gt;0,(V154/V153),0)</f>
        <v>0</v>
      </c>
      <c r="W155" s="49">
        <f>+SUM(S155:V155)</f>
        <v>36.332262999999998</v>
      </c>
      <c r="X155" s="139">
        <f>IF((X154)&gt;0,(X154/X153),0)</f>
        <v>0</v>
      </c>
      <c r="Y155" s="139">
        <f>IF((Y154)&gt;0,(Y154/Y153),0)</f>
        <v>0</v>
      </c>
      <c r="Z155" s="139">
        <f>IF((Z154)&gt;0,(Z154/Z153),0)</f>
        <v>0</v>
      </c>
      <c r="AA155" s="139">
        <f>IF((AA154)&gt;0,(AA154/AA153),0)</f>
        <v>0</v>
      </c>
      <c r="AB155" s="49">
        <f>+SUM(X155:AA155)</f>
        <v>0</v>
      </c>
      <c r="AC155" s="139">
        <f>IF((AC154)&gt;0,(AC154/AC153),0)</f>
        <v>0</v>
      </c>
      <c r="AD155" s="139">
        <f>IF((AD154)&gt;0,(AD154/AD153),0)</f>
        <v>0</v>
      </c>
      <c r="AE155" s="139">
        <f>IF((AE154)&gt;0,(AE154/AE153),0)</f>
        <v>0.88738034230696683</v>
      </c>
      <c r="AF155" s="139">
        <f>IF((AF154)&gt;0,(AF154/AF153),0)</f>
        <v>0.88738034230696683</v>
      </c>
      <c r="AG155" s="49">
        <f>+SUM(AC155:AF155)</f>
        <v>1.7747606846139337</v>
      </c>
      <c r="AH155" s="139">
        <f>IF((AH154)&gt;0,(AH154/AH153),0)</f>
        <v>0.84512413553044485</v>
      </c>
      <c r="AI155" s="139">
        <f>IF((AI154)&gt;0,(AI154/AI153),0)</f>
        <v>0.84512413553044485</v>
      </c>
      <c r="AJ155" s="139">
        <f>IF((AJ154)&gt;0,(AJ154/AJ153),0)</f>
        <v>45.991496549539264</v>
      </c>
      <c r="AK155" s="139">
        <f>IF((AK154)&gt;0,(AK154/AK153),0)</f>
        <v>45.991496549539264</v>
      </c>
      <c r="AL155" s="49">
        <f>+SUM(AH155:AK155)</f>
        <v>93.673241370139408</v>
      </c>
      <c r="AM155" s="139">
        <f>IF((AM154)&gt;0,(AM154/AM153),0)</f>
        <v>2.0272167430101287</v>
      </c>
      <c r="AN155" s="139">
        <f>IF((AN154)&gt;0,(AN154/AN153),0)</f>
        <v>2.0272167430101287</v>
      </c>
      <c r="AO155" s="139">
        <f>IF((AO154)&gt;0,(AO154/AO153),0)</f>
        <v>2.0272167430101287</v>
      </c>
      <c r="AP155" s="139">
        <f>IF((AP154)&gt;0,(AP154/AP153),0)</f>
        <v>2.0272167430101287</v>
      </c>
      <c r="AQ155" s="49">
        <f>+SUM(AM155:AP155)</f>
        <v>8.1088669720405147</v>
      </c>
      <c r="AR155" s="139">
        <f>IF((AR154)&gt;0,(AR154/AR153),0)</f>
        <v>1.9874673951079693</v>
      </c>
      <c r="AS155" s="139">
        <f>IF((AS154)&gt;0,(AS154/AS153),0)</f>
        <v>1.9874673951079693</v>
      </c>
      <c r="AT155" s="139">
        <f>IF((AT154)&gt;0,(AT154/AT153),0)</f>
        <v>1.9874673951079693</v>
      </c>
      <c r="AU155" s="139">
        <f>IF((AU154)&gt;0,(AU154/AU153),0)</f>
        <v>1.9874673951079693</v>
      </c>
      <c r="AV155" s="49">
        <f>+SUM(AR155:AU155)</f>
        <v>7.9498695804318773</v>
      </c>
    </row>
    <row r="156" spans="2:48" outlineLevel="1" x14ac:dyDescent="0.3">
      <c r="B156" s="611" t="s">
        <v>131</v>
      </c>
      <c r="C156" s="612"/>
      <c r="D156" s="143">
        <v>55.58</v>
      </c>
      <c r="E156" s="144">
        <v>65.03</v>
      </c>
      <c r="F156" s="96"/>
      <c r="G156" s="96"/>
      <c r="H156" s="76"/>
      <c r="I156" s="96"/>
      <c r="J156" s="96"/>
      <c r="K156" s="96"/>
      <c r="L156" s="96"/>
      <c r="M156" s="76"/>
      <c r="N156" s="96"/>
      <c r="O156" s="96"/>
      <c r="P156" s="96"/>
      <c r="Q156" s="96"/>
      <c r="R156" s="76"/>
      <c r="S156" s="96"/>
      <c r="T156" s="96"/>
      <c r="U156" s="96"/>
      <c r="V156" s="96"/>
      <c r="W156" s="76"/>
      <c r="X156" s="96"/>
      <c r="Y156" s="96"/>
      <c r="Z156" s="96"/>
      <c r="AA156" s="96"/>
      <c r="AB156" s="76"/>
      <c r="AC156" s="96"/>
      <c r="AD156" s="96"/>
      <c r="AE156" s="96"/>
      <c r="AF156" s="96"/>
      <c r="AG156" s="76"/>
      <c r="AH156" s="96"/>
      <c r="AI156" s="96"/>
      <c r="AJ156" s="96"/>
      <c r="AK156" s="96"/>
      <c r="AL156" s="76"/>
      <c r="AM156" s="96"/>
      <c r="AN156" s="96"/>
      <c r="AO156" s="96"/>
      <c r="AP156" s="96"/>
      <c r="AQ156" s="76"/>
      <c r="AR156" s="96"/>
      <c r="AS156" s="96"/>
      <c r="AT156" s="96"/>
      <c r="AU156" s="96"/>
      <c r="AV156" s="76"/>
    </row>
    <row r="157" spans="2:48" outlineLevel="1" x14ac:dyDescent="0.3">
      <c r="B157" s="613" t="s">
        <v>132</v>
      </c>
      <c r="C157" s="614"/>
      <c r="D157" s="145">
        <f>71.968334*55.58</f>
        <v>4000.0000037199998</v>
      </c>
      <c r="E157" s="146">
        <v>318.64700000000005</v>
      </c>
      <c r="F157" s="139"/>
      <c r="G157" s="139"/>
      <c r="H157" s="49"/>
      <c r="I157" s="139"/>
      <c r="J157" s="139"/>
      <c r="K157" s="139"/>
      <c r="L157" s="139"/>
      <c r="M157" s="49"/>
      <c r="N157" s="139"/>
      <c r="O157" s="139"/>
      <c r="P157" s="139"/>
      <c r="Q157" s="139"/>
      <c r="R157" s="49"/>
      <c r="S157" s="139"/>
      <c r="T157" s="139"/>
      <c r="U157" s="142"/>
      <c r="V157" s="139"/>
      <c r="W157" s="137"/>
      <c r="X157" s="139"/>
      <c r="Y157" s="139"/>
      <c r="Z157" s="139"/>
      <c r="AA157" s="139"/>
      <c r="AB157" s="49"/>
      <c r="AC157" s="139"/>
      <c r="AD157" s="139"/>
      <c r="AE157" s="139"/>
      <c r="AF157" s="139"/>
      <c r="AG157" s="49"/>
      <c r="AH157" s="139"/>
      <c r="AI157" s="139"/>
      <c r="AJ157" s="139"/>
      <c r="AK157" s="139"/>
      <c r="AL157" s="49"/>
      <c r="AM157" s="139"/>
      <c r="AN157" s="139"/>
      <c r="AO157" s="139"/>
      <c r="AP157" s="139"/>
      <c r="AQ157" s="49"/>
      <c r="AR157" s="139"/>
      <c r="AS157" s="139"/>
      <c r="AT157" s="139"/>
      <c r="AU157" s="139"/>
      <c r="AV157" s="49"/>
    </row>
    <row r="158" spans="2:48" outlineLevel="1" x14ac:dyDescent="0.3">
      <c r="B158" s="615" t="s">
        <v>133</v>
      </c>
      <c r="C158" s="616"/>
      <c r="D158" s="147">
        <f>IF((D157)&gt;0,(D157/D156),0)</f>
        <v>71.968333999999999</v>
      </c>
      <c r="E158" s="140">
        <f>IF((E157)&gt;0,(E157/E156),0)</f>
        <v>4.9000000000000004</v>
      </c>
      <c r="F158" s="140"/>
      <c r="G158" s="140"/>
      <c r="H158" s="141"/>
      <c r="I158" s="140"/>
      <c r="J158" s="140"/>
      <c r="K158" s="140"/>
      <c r="L158" s="140"/>
      <c r="M158" s="141"/>
      <c r="N158" s="140"/>
      <c r="O158" s="140"/>
      <c r="P158" s="140"/>
      <c r="Q158" s="140"/>
      <c r="R158" s="141"/>
      <c r="S158" s="140"/>
      <c r="T158" s="140"/>
      <c r="U158" s="140"/>
      <c r="V158" s="140"/>
      <c r="W158" s="199"/>
      <c r="X158" s="140"/>
      <c r="Y158" s="140"/>
      <c r="Z158" s="140"/>
      <c r="AA158" s="140"/>
      <c r="AB158" s="141"/>
      <c r="AC158" s="140"/>
      <c r="AD158" s="140"/>
      <c r="AE158" s="140"/>
      <c r="AF158" s="140"/>
      <c r="AG158" s="141"/>
      <c r="AH158" s="140"/>
      <c r="AI158" s="140"/>
      <c r="AJ158" s="140"/>
      <c r="AK158" s="140"/>
      <c r="AL158" s="141"/>
      <c r="AM158" s="140"/>
      <c r="AN158" s="140"/>
      <c r="AO158" s="140"/>
      <c r="AP158" s="140"/>
      <c r="AQ158" s="141"/>
      <c r="AR158" s="140"/>
      <c r="AS158" s="140"/>
      <c r="AT158" s="140"/>
      <c r="AU158" s="140"/>
      <c r="AV158" s="141"/>
    </row>
    <row r="159" spans="2:48" outlineLevel="1" x14ac:dyDescent="0.3">
      <c r="B159" s="200" t="s">
        <v>134</v>
      </c>
      <c r="C159" s="201"/>
      <c r="D159" s="139"/>
      <c r="E159" s="36">
        <v>71.959999999999994</v>
      </c>
      <c r="F159" s="36">
        <v>76.5</v>
      </c>
      <c r="G159" s="139"/>
      <c r="H159" s="49"/>
      <c r="I159" s="139"/>
      <c r="J159" s="139"/>
      <c r="K159" s="139"/>
      <c r="L159" s="139"/>
      <c r="M159" s="49"/>
      <c r="N159" s="139"/>
      <c r="O159" s="139"/>
      <c r="P159" s="139"/>
      <c r="Q159" s="139"/>
      <c r="R159" s="49"/>
      <c r="S159" s="139"/>
      <c r="T159" s="139"/>
      <c r="U159" s="139"/>
      <c r="V159" s="139"/>
      <c r="W159" s="49"/>
      <c r="X159" s="139"/>
      <c r="Y159" s="139"/>
      <c r="Z159" s="139"/>
      <c r="AA159" s="139"/>
      <c r="AB159" s="49"/>
      <c r="AC159" s="139"/>
      <c r="AD159" s="139"/>
      <c r="AE159" s="139"/>
      <c r="AF159" s="139"/>
      <c r="AG159" s="49"/>
      <c r="AH159" s="139"/>
      <c r="AI159" s="139"/>
      <c r="AJ159" s="139"/>
      <c r="AK159" s="139"/>
      <c r="AL159" s="49"/>
      <c r="AM159" s="139"/>
      <c r="AN159" s="139"/>
      <c r="AO159" s="139"/>
      <c r="AP159" s="139"/>
      <c r="AQ159" s="49"/>
      <c r="AR159" s="139"/>
      <c r="AS159" s="139"/>
      <c r="AT159" s="139"/>
      <c r="AU159" s="139"/>
      <c r="AV159" s="49"/>
    </row>
    <row r="160" spans="2:48" outlineLevel="1" x14ac:dyDescent="0.3">
      <c r="B160" s="200" t="s">
        <v>135</v>
      </c>
      <c r="C160" s="201"/>
      <c r="D160" s="139"/>
      <c r="E160" s="16">
        <v>1597.5119999999997</v>
      </c>
      <c r="F160" s="16">
        <v>298.35000000000002</v>
      </c>
      <c r="G160" s="139"/>
      <c r="H160" s="49"/>
      <c r="I160" s="139"/>
      <c r="J160" s="139"/>
      <c r="K160" s="139"/>
      <c r="L160" s="139"/>
      <c r="M160" s="49"/>
      <c r="N160" s="179"/>
      <c r="O160" s="139"/>
      <c r="P160" s="139"/>
      <c r="Q160" s="139"/>
      <c r="R160" s="49"/>
      <c r="S160" s="139"/>
      <c r="T160" s="139"/>
      <c r="U160" s="139"/>
      <c r="V160" s="139"/>
      <c r="W160" s="49"/>
      <c r="X160" s="139"/>
      <c r="Y160" s="139"/>
      <c r="Z160" s="139"/>
      <c r="AA160" s="139"/>
      <c r="AB160" s="49"/>
      <c r="AC160" s="139"/>
      <c r="AD160" s="139"/>
      <c r="AE160" s="139"/>
      <c r="AF160" s="139"/>
      <c r="AG160" s="49"/>
      <c r="AH160" s="139"/>
      <c r="AI160" s="139"/>
      <c r="AJ160" s="139"/>
      <c r="AK160" s="139"/>
      <c r="AL160" s="49"/>
      <c r="AM160" s="139"/>
      <c r="AN160" s="139"/>
      <c r="AO160" s="139"/>
      <c r="AP160" s="139"/>
      <c r="AQ160" s="49"/>
      <c r="AR160" s="139"/>
      <c r="AS160" s="139"/>
      <c r="AT160" s="139"/>
      <c r="AU160" s="139"/>
      <c r="AV160" s="49"/>
    </row>
    <row r="161" spans="2:48" outlineLevel="1" x14ac:dyDescent="0.3">
      <c r="B161" s="200" t="s">
        <v>136</v>
      </c>
      <c r="C161" s="201"/>
      <c r="D161" s="139"/>
      <c r="E161" s="139">
        <f>IF((E160)&gt;0,(E160/E159),0)</f>
        <v>22.2</v>
      </c>
      <c r="F161" s="139">
        <f>IF((F160)&gt;0,(F160/F159),0)</f>
        <v>3.9000000000000004</v>
      </c>
      <c r="G161" s="139"/>
      <c r="H161" s="49"/>
      <c r="I161" s="139"/>
      <c r="J161" s="139"/>
      <c r="K161" s="139"/>
      <c r="L161" s="139"/>
      <c r="M161" s="49"/>
      <c r="N161" s="139"/>
      <c r="O161" s="139"/>
      <c r="P161" s="139"/>
      <c r="Q161" s="139"/>
      <c r="R161" s="49"/>
      <c r="S161" s="139"/>
      <c r="T161" s="139"/>
      <c r="U161" s="139"/>
      <c r="V161" s="139"/>
      <c r="W161" s="49"/>
      <c r="X161" s="139"/>
      <c r="Y161" s="139"/>
      <c r="Z161" s="139"/>
      <c r="AA161" s="139"/>
      <c r="AB161" s="49"/>
      <c r="AC161" s="139"/>
      <c r="AD161" s="139"/>
      <c r="AE161" s="139"/>
      <c r="AF161" s="139"/>
      <c r="AG161" s="49"/>
      <c r="AH161" s="139"/>
      <c r="AI161" s="139"/>
      <c r="AJ161" s="139"/>
      <c r="AK161" s="139"/>
      <c r="AL161" s="49"/>
      <c r="AM161" s="139"/>
      <c r="AN161" s="139"/>
      <c r="AO161" s="139"/>
      <c r="AP161" s="139"/>
      <c r="AQ161" s="49"/>
      <c r="AR161" s="139"/>
      <c r="AS161" s="139"/>
      <c r="AT161" s="139"/>
      <c r="AU161" s="139"/>
      <c r="AV161" s="49"/>
    </row>
    <row r="162" spans="2:48" ht="17.399999999999999" x14ac:dyDescent="0.45">
      <c r="B162" s="583" t="s">
        <v>12</v>
      </c>
      <c r="C162" s="584"/>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580" t="s">
        <v>65</v>
      </c>
      <c r="C163" s="581"/>
      <c r="D163" s="102">
        <f>-(22+5.3+0.6+20.9)</f>
        <v>-48.8</v>
      </c>
      <c r="E163" s="102">
        <v>-45.1</v>
      </c>
      <c r="F163" s="102">
        <v>-39.6</v>
      </c>
      <c r="G163" s="102">
        <f>-146.2+133.5</f>
        <v>-12.699999999999989</v>
      </c>
      <c r="H163" s="159">
        <f>SUM(D163:G163)</f>
        <v>-146.19999999999999</v>
      </c>
      <c r="I163" s="102">
        <v>-7.1</v>
      </c>
      <c r="J163" s="102">
        <v>0.1</v>
      </c>
      <c r="K163" s="105">
        <f>-K14</f>
        <v>-78.099999999999994</v>
      </c>
      <c r="L163" s="101">
        <v>-195.5</v>
      </c>
      <c r="M163" s="169"/>
      <c r="N163" s="101">
        <v>-72.2</v>
      </c>
      <c r="O163" s="101">
        <v>-23</v>
      </c>
      <c r="P163" s="101">
        <v>-19.8</v>
      </c>
      <c r="Q163" s="101">
        <v>-55.5</v>
      </c>
      <c r="R163" s="17"/>
      <c r="S163" s="16">
        <v>7.5</v>
      </c>
      <c r="T163" s="16">
        <v>-4.4000000000000004</v>
      </c>
      <c r="U163" s="16">
        <v>-14</v>
      </c>
      <c r="V163" s="101">
        <v>-35.1</v>
      </c>
      <c r="W163" s="17"/>
      <c r="X163" s="33">
        <v>-50</v>
      </c>
      <c r="Y163" s="33">
        <v>0</v>
      </c>
      <c r="Z163" s="33">
        <v>0</v>
      </c>
      <c r="AA163" s="33">
        <v>0</v>
      </c>
      <c r="AB163" s="17"/>
      <c r="AC163" s="33">
        <f>AA163</f>
        <v>0</v>
      </c>
      <c r="AD163" s="33">
        <f t="shared" ref="AD163:AF163" si="449">AC163</f>
        <v>0</v>
      </c>
      <c r="AE163" s="33">
        <f t="shared" si="449"/>
        <v>0</v>
      </c>
      <c r="AF163" s="33">
        <f t="shared" si="449"/>
        <v>0</v>
      </c>
      <c r="AG163" s="17"/>
      <c r="AH163" s="33">
        <f>AF163</f>
        <v>0</v>
      </c>
      <c r="AI163" s="33">
        <f t="shared" ref="AI163:AK163" si="450">AH163</f>
        <v>0</v>
      </c>
      <c r="AJ163" s="33">
        <f t="shared" si="450"/>
        <v>0</v>
      </c>
      <c r="AK163" s="33">
        <f t="shared" si="450"/>
        <v>0</v>
      </c>
      <c r="AL163" s="17"/>
      <c r="AM163" s="33">
        <f>AK163</f>
        <v>0</v>
      </c>
      <c r="AN163" s="33">
        <f t="shared" ref="AN163:AP163" si="451">AM163</f>
        <v>0</v>
      </c>
      <c r="AO163" s="33">
        <f t="shared" si="451"/>
        <v>0</v>
      </c>
      <c r="AP163" s="33">
        <f t="shared" si="451"/>
        <v>0</v>
      </c>
      <c r="AQ163" s="17"/>
      <c r="AR163" s="33">
        <f>AP163</f>
        <v>0</v>
      </c>
      <c r="AS163" s="33">
        <f t="shared" ref="AS163:AU163" si="452">AR163</f>
        <v>0</v>
      </c>
      <c r="AT163" s="33">
        <f t="shared" si="452"/>
        <v>0</v>
      </c>
      <c r="AU163" s="33">
        <f t="shared" si="452"/>
        <v>0</v>
      </c>
      <c r="AV163" s="17"/>
    </row>
    <row r="164" spans="2:48" outlineLevel="1" x14ac:dyDescent="0.3">
      <c r="B164" s="200" t="s">
        <v>64</v>
      </c>
      <c r="C164" s="201"/>
      <c r="D164" s="102">
        <f>-(5.3+0.5)</f>
        <v>-5.8</v>
      </c>
      <c r="E164" s="102">
        <v>-4.3</v>
      </c>
      <c r="F164" s="102">
        <v>-2.2999999999999998</v>
      </c>
      <c r="G164" s="102">
        <v>-0.2</v>
      </c>
      <c r="H164" s="159">
        <f t="shared" ref="H164:H167" si="453">SUM(D164:G164)</f>
        <v>-12.599999999999998</v>
      </c>
      <c r="I164" s="102">
        <v>-5.6</v>
      </c>
      <c r="J164" s="102">
        <v>-6.8</v>
      </c>
      <c r="K164" s="105">
        <v>-35.04</v>
      </c>
      <c r="L164" s="101">
        <v>0</v>
      </c>
      <c r="M164" s="169"/>
      <c r="N164" s="101">
        <v>0</v>
      </c>
      <c r="O164" s="101">
        <v>0</v>
      </c>
      <c r="P164" s="101">
        <v>22.8</v>
      </c>
      <c r="Q164" s="101">
        <v>-0.1</v>
      </c>
      <c r="R164" s="17"/>
      <c r="S164" s="16"/>
      <c r="T164" s="16"/>
      <c r="U164" s="16"/>
      <c r="V164" s="101"/>
      <c r="W164" s="17"/>
      <c r="X164" s="33">
        <f t="shared" ref="X164:X166" si="454">V164</f>
        <v>0</v>
      </c>
      <c r="Y164" s="33"/>
      <c r="Z164" s="33"/>
      <c r="AA164" s="33"/>
      <c r="AB164" s="17"/>
      <c r="AC164" s="33">
        <f t="shared" ref="AC164:AC167" si="455">AA164</f>
        <v>0</v>
      </c>
      <c r="AD164" s="33"/>
      <c r="AE164" s="33"/>
      <c r="AF164" s="33"/>
      <c r="AG164" s="17"/>
      <c r="AH164" s="33">
        <f t="shared" ref="AH164:AH167" si="456">AF164</f>
        <v>0</v>
      </c>
      <c r="AI164" s="33"/>
      <c r="AJ164" s="33"/>
      <c r="AK164" s="33"/>
      <c r="AL164" s="17"/>
      <c r="AM164" s="33">
        <f t="shared" ref="AM164:AM167" si="457">AK164</f>
        <v>0</v>
      </c>
      <c r="AN164" s="33"/>
      <c r="AO164" s="33"/>
      <c r="AP164" s="33"/>
      <c r="AQ164" s="17"/>
      <c r="AR164" s="33">
        <f t="shared" ref="AR164:AR167" si="458">AP164</f>
        <v>0</v>
      </c>
      <c r="AS164" s="33"/>
      <c r="AT164" s="33"/>
      <c r="AU164" s="33"/>
      <c r="AV164" s="17"/>
    </row>
    <row r="165" spans="2:48" outlineLevel="1" x14ac:dyDescent="0.3">
      <c r="B165" s="580" t="s">
        <v>129</v>
      </c>
      <c r="C165" s="581"/>
      <c r="D165" s="102">
        <f>-(60.6-0.3)</f>
        <v>-60.300000000000004</v>
      </c>
      <c r="E165" s="102">
        <v>-68.2</v>
      </c>
      <c r="F165" s="102">
        <v>-69</v>
      </c>
      <c r="G165" s="102">
        <f>-262+197.5</f>
        <v>-64.5</v>
      </c>
      <c r="H165" s="159">
        <f>SUM(D165:G165)</f>
        <v>-262</v>
      </c>
      <c r="I165" s="102">
        <v>-58.9</v>
      </c>
      <c r="J165" s="102">
        <v>-60.1</v>
      </c>
      <c r="K165" s="105">
        <v>-60.54</v>
      </c>
      <c r="L165" s="101">
        <v>-64</v>
      </c>
      <c r="M165" s="169"/>
      <c r="N165" s="101">
        <v>-62.7</v>
      </c>
      <c r="O165" s="101">
        <v>-65.2</v>
      </c>
      <c r="P165" s="101">
        <v>-54.7</v>
      </c>
      <c r="Q165" s="101">
        <v>-59.6</v>
      </c>
      <c r="R165" s="17"/>
      <c r="S165" s="16">
        <f>0.1-42.8</f>
        <v>-42.699999999999996</v>
      </c>
      <c r="T165" s="16">
        <v>-43.1</v>
      </c>
      <c r="U165" s="16">
        <v>-63.5</v>
      </c>
      <c r="V165" s="101">
        <v>-42</v>
      </c>
      <c r="W165" s="17"/>
      <c r="X165" s="33">
        <f t="shared" si="454"/>
        <v>-42</v>
      </c>
      <c r="Y165" s="33">
        <f t="shared" ref="Y165:AA165" si="459">X165</f>
        <v>-42</v>
      </c>
      <c r="Z165" s="33">
        <f t="shared" si="459"/>
        <v>-42</v>
      </c>
      <c r="AA165" s="33">
        <f t="shared" si="459"/>
        <v>-42</v>
      </c>
      <c r="AB165" s="17"/>
      <c r="AC165" s="33">
        <f t="shared" si="455"/>
        <v>-42</v>
      </c>
      <c r="AD165" s="33">
        <f t="shared" ref="AD165:AF165" si="460">AC165</f>
        <v>-42</v>
      </c>
      <c r="AE165" s="33">
        <f t="shared" si="460"/>
        <v>-42</v>
      </c>
      <c r="AF165" s="33">
        <f t="shared" si="460"/>
        <v>-42</v>
      </c>
      <c r="AG165" s="17"/>
      <c r="AH165" s="33">
        <f t="shared" si="456"/>
        <v>-42</v>
      </c>
      <c r="AI165" s="33">
        <f t="shared" ref="AI165:AK165" si="461">AH165</f>
        <v>-42</v>
      </c>
      <c r="AJ165" s="33">
        <f t="shared" si="461"/>
        <v>-42</v>
      </c>
      <c r="AK165" s="33">
        <f t="shared" si="461"/>
        <v>-42</v>
      </c>
      <c r="AL165" s="17"/>
      <c r="AM165" s="33">
        <f t="shared" si="457"/>
        <v>-42</v>
      </c>
      <c r="AN165" s="33">
        <f t="shared" ref="AN165:AP165" si="462">AM165</f>
        <v>-42</v>
      </c>
      <c r="AO165" s="33">
        <f t="shared" si="462"/>
        <v>-42</v>
      </c>
      <c r="AP165" s="33">
        <f t="shared" si="462"/>
        <v>-42</v>
      </c>
      <c r="AQ165" s="17"/>
      <c r="AR165" s="33">
        <f t="shared" si="458"/>
        <v>-42</v>
      </c>
      <c r="AS165" s="33">
        <f t="shared" ref="AS165:AU165" si="463">AR165</f>
        <v>-42</v>
      </c>
      <c r="AT165" s="33">
        <f t="shared" si="463"/>
        <v>-42</v>
      </c>
      <c r="AU165" s="33">
        <f t="shared" si="463"/>
        <v>-42</v>
      </c>
      <c r="AV165" s="17"/>
    </row>
    <row r="166" spans="2:48" outlineLevel="1" x14ac:dyDescent="0.3">
      <c r="B166" s="200" t="s">
        <v>66</v>
      </c>
      <c r="C166" s="201"/>
      <c r="D166" s="102">
        <v>-23.1</v>
      </c>
      <c r="E166" s="102">
        <v>-23.8</v>
      </c>
      <c r="F166" s="102">
        <v>-14.4</v>
      </c>
      <c r="G166" s="102">
        <v>0</v>
      </c>
      <c r="H166" s="159">
        <f t="shared" si="453"/>
        <v>-61.300000000000004</v>
      </c>
      <c r="I166" s="102"/>
      <c r="J166" s="102"/>
      <c r="K166" s="101"/>
      <c r="L166" s="101"/>
      <c r="M166" s="169"/>
      <c r="N166" s="101"/>
      <c r="O166" s="101"/>
      <c r="P166" s="101"/>
      <c r="Q166" s="101"/>
      <c r="R166" s="17"/>
      <c r="S166" s="16"/>
      <c r="T166" s="16"/>
      <c r="U166" s="16"/>
      <c r="V166" s="101"/>
      <c r="W166" s="17"/>
      <c r="X166" s="33">
        <f t="shared" si="454"/>
        <v>0</v>
      </c>
      <c r="Y166" s="33"/>
      <c r="Z166" s="33"/>
      <c r="AA166" s="33"/>
      <c r="AB166" s="17"/>
      <c r="AC166" s="33">
        <f t="shared" si="455"/>
        <v>0</v>
      </c>
      <c r="AD166" s="33"/>
      <c r="AE166" s="33"/>
      <c r="AF166" s="33"/>
      <c r="AG166" s="17"/>
      <c r="AH166" s="33">
        <f t="shared" si="456"/>
        <v>0</v>
      </c>
      <c r="AI166" s="33"/>
      <c r="AJ166" s="33"/>
      <c r="AK166" s="33"/>
      <c r="AL166" s="17"/>
      <c r="AM166" s="33">
        <f t="shared" si="457"/>
        <v>0</v>
      </c>
      <c r="AN166" s="33"/>
      <c r="AO166" s="33"/>
      <c r="AP166" s="33"/>
      <c r="AQ166" s="17"/>
      <c r="AR166" s="33">
        <f t="shared" si="458"/>
        <v>0</v>
      </c>
      <c r="AS166" s="33"/>
      <c r="AT166" s="33"/>
      <c r="AU166" s="33"/>
      <c r="AV166" s="17"/>
    </row>
    <row r="167" spans="2:48" ht="16.2" outlineLevel="1" x14ac:dyDescent="0.45">
      <c r="B167" s="200" t="s">
        <v>80</v>
      </c>
      <c r="C167" s="201"/>
      <c r="D167" s="138">
        <v>0</v>
      </c>
      <c r="E167" s="138">
        <v>0</v>
      </c>
      <c r="F167" s="138">
        <v>0</v>
      </c>
      <c r="G167" s="138">
        <v>0</v>
      </c>
      <c r="H167" s="160">
        <f t="shared" si="453"/>
        <v>0</v>
      </c>
      <c r="I167" s="138">
        <v>0</v>
      </c>
      <c r="J167" s="138">
        <v>0</v>
      </c>
      <c r="K167" s="112">
        <v>0</v>
      </c>
      <c r="L167" s="112">
        <v>0</v>
      </c>
      <c r="M167" s="169"/>
      <c r="N167" s="112">
        <v>0</v>
      </c>
      <c r="O167" s="112">
        <v>0</v>
      </c>
      <c r="P167" s="112">
        <v>0</v>
      </c>
      <c r="Q167" s="112">
        <v>0</v>
      </c>
      <c r="R167" s="17"/>
      <c r="S167" s="112">
        <v>0</v>
      </c>
      <c r="T167" s="112">
        <v>0</v>
      </c>
      <c r="U167" s="112">
        <v>0</v>
      </c>
      <c r="V167" s="112">
        <v>0</v>
      </c>
      <c r="W167" s="17"/>
      <c r="X167" s="32">
        <v>31.798908368811873</v>
      </c>
      <c r="Y167" s="32">
        <f>X167</f>
        <v>31.798908368811873</v>
      </c>
      <c r="Z167" s="32">
        <f>Y167</f>
        <v>31.798908368811873</v>
      </c>
      <c r="AA167" s="32">
        <f>Z167</f>
        <v>31.798908368811873</v>
      </c>
      <c r="AB167" s="17"/>
      <c r="AC167" s="32">
        <f t="shared" si="455"/>
        <v>31.798908368811873</v>
      </c>
      <c r="AD167" s="32">
        <v>0</v>
      </c>
      <c r="AE167" s="32">
        <v>0</v>
      </c>
      <c r="AF167" s="32">
        <v>0</v>
      </c>
      <c r="AG167" s="17"/>
      <c r="AH167" s="32">
        <f t="shared" si="456"/>
        <v>0</v>
      </c>
      <c r="AI167" s="32">
        <v>0</v>
      </c>
      <c r="AJ167" s="32">
        <v>0</v>
      </c>
      <c r="AK167" s="32">
        <v>0</v>
      </c>
      <c r="AL167" s="17"/>
      <c r="AM167" s="32">
        <f t="shared" si="457"/>
        <v>0</v>
      </c>
      <c r="AN167" s="32">
        <v>0</v>
      </c>
      <c r="AO167" s="32">
        <v>0</v>
      </c>
      <c r="AP167" s="32">
        <v>0</v>
      </c>
      <c r="AQ167" s="17"/>
      <c r="AR167" s="32">
        <f t="shared" si="458"/>
        <v>0</v>
      </c>
      <c r="AS167" s="32">
        <v>0</v>
      </c>
      <c r="AT167" s="32">
        <v>0</v>
      </c>
      <c r="AU167" s="32">
        <v>0</v>
      </c>
      <c r="AV167" s="17"/>
    </row>
    <row r="168" spans="2:48" s="8" customFormat="1" outlineLevel="1" x14ac:dyDescent="0.3">
      <c r="B168" s="205" t="s">
        <v>67</v>
      </c>
      <c r="C168" s="202"/>
      <c r="D168" s="103">
        <f t="shared" ref="D168:L168" si="464">SUM(D163:D167)</f>
        <v>-138</v>
      </c>
      <c r="E168" s="103">
        <f t="shared" si="464"/>
        <v>-141.4</v>
      </c>
      <c r="F168" s="103">
        <f t="shared" si="464"/>
        <v>-125.30000000000001</v>
      </c>
      <c r="G168" s="103">
        <f t="shared" si="464"/>
        <v>-77.399999999999991</v>
      </c>
      <c r="H168" s="171">
        <f t="shared" si="464"/>
        <v>-482.09999999999997</v>
      </c>
      <c r="I168" s="103">
        <f t="shared" si="464"/>
        <v>-71.599999999999994</v>
      </c>
      <c r="J168" s="103">
        <f t="shared" si="464"/>
        <v>-66.8</v>
      </c>
      <c r="K168" s="103">
        <f t="shared" si="464"/>
        <v>-173.67999999999998</v>
      </c>
      <c r="L168" s="103">
        <f t="shared" si="464"/>
        <v>-259.5</v>
      </c>
      <c r="M168" s="150"/>
      <c r="N168" s="103">
        <f>SUM(N163:N167)</f>
        <v>-134.9</v>
      </c>
      <c r="O168" s="103">
        <f>SUM(O163:O167)</f>
        <v>-88.2</v>
      </c>
      <c r="P168" s="103">
        <f>SUM(P163:P167)</f>
        <v>-51.7</v>
      </c>
      <c r="Q168" s="103">
        <f>SUM(Q163:Q167)</f>
        <v>-115.2</v>
      </c>
      <c r="R168" s="22"/>
      <c r="S168" s="103">
        <f>SUM(S163:S167)</f>
        <v>-35.199999999999996</v>
      </c>
      <c r="T168" s="50">
        <f>SUM(T163:T167)</f>
        <v>-47.5</v>
      </c>
      <c r="U168" s="50">
        <f>SUM(U163:U167)</f>
        <v>-77.5</v>
      </c>
      <c r="V168" s="50">
        <f>SUM(V163:V167)</f>
        <v>-77.099999999999994</v>
      </c>
      <c r="W168" s="22"/>
      <c r="X168" s="50">
        <f>SUM(X163:X167)</f>
        <v>-60.201091631188127</v>
      </c>
      <c r="Y168" s="50">
        <f>SUM(Y163:Y167)</f>
        <v>-10.201091631188127</v>
      </c>
      <c r="Z168" s="50">
        <f>SUM(Z163:Z167)</f>
        <v>-10.201091631188127</v>
      </c>
      <c r="AA168" s="50">
        <f>SUM(AA163:AA167)</f>
        <v>-10.201091631188127</v>
      </c>
      <c r="AB168" s="22"/>
      <c r="AC168" s="50">
        <f>SUM(AC163:AC167)</f>
        <v>-10.201091631188127</v>
      </c>
      <c r="AD168" s="50">
        <f>SUM(AD163:AD167)</f>
        <v>-42</v>
      </c>
      <c r="AE168" s="50">
        <f>SUM(AE163:AE167)</f>
        <v>-42</v>
      </c>
      <c r="AF168" s="50">
        <f>SUM(AF163:AF167)</f>
        <v>-42</v>
      </c>
      <c r="AG168" s="22"/>
      <c r="AH168" s="50">
        <f>SUM(AH163:AH167)</f>
        <v>-42</v>
      </c>
      <c r="AI168" s="50">
        <f>SUM(AI163:AI167)</f>
        <v>-42</v>
      </c>
      <c r="AJ168" s="50">
        <f>SUM(AJ163:AJ167)</f>
        <v>-42</v>
      </c>
      <c r="AK168" s="50">
        <f>SUM(AK163:AK167)</f>
        <v>-42</v>
      </c>
      <c r="AL168" s="22"/>
      <c r="AM168" s="50">
        <f>SUM(AM163:AM167)</f>
        <v>-42</v>
      </c>
      <c r="AN168" s="50">
        <f>SUM(AN163:AN167)</f>
        <v>-42</v>
      </c>
      <c r="AO168" s="50">
        <f>SUM(AO163:AO167)</f>
        <v>-42</v>
      </c>
      <c r="AP168" s="50">
        <f>SUM(AP163:AP167)</f>
        <v>-42</v>
      </c>
      <c r="AQ168" s="22"/>
      <c r="AR168" s="50">
        <f>SUM(AR163:AR167)</f>
        <v>-42</v>
      </c>
      <c r="AS168" s="50">
        <f>SUM(AS163:AS167)</f>
        <v>-42</v>
      </c>
      <c r="AT168" s="50">
        <f>SUM(AT163:AT167)</f>
        <v>-42</v>
      </c>
      <c r="AU168" s="50">
        <f>SUM(AU163:AU167)</f>
        <v>-42</v>
      </c>
      <c r="AV168" s="22"/>
    </row>
    <row r="169" spans="2:48" ht="16.2" outlineLevel="1" x14ac:dyDescent="0.45">
      <c r="B169" s="200" t="s">
        <v>155</v>
      </c>
      <c r="C169" s="201"/>
      <c r="D169" s="104">
        <v>0</v>
      </c>
      <c r="E169" s="104">
        <v>0</v>
      </c>
      <c r="F169" s="104">
        <v>0</v>
      </c>
      <c r="G169" s="104">
        <v>0</v>
      </c>
      <c r="H169" s="169"/>
      <c r="I169" s="104">
        <v>0</v>
      </c>
      <c r="J169" s="104">
        <v>0</v>
      </c>
      <c r="K169" s="104">
        <v>0</v>
      </c>
      <c r="L169" s="104">
        <v>0</v>
      </c>
      <c r="M169" s="169"/>
      <c r="N169" s="104">
        <v>0</v>
      </c>
      <c r="O169" s="104">
        <v>0</v>
      </c>
      <c r="P169" s="104">
        <v>0</v>
      </c>
      <c r="Q169" s="104">
        <v>0</v>
      </c>
      <c r="R169" s="17"/>
      <c r="S169" s="104">
        <v>0</v>
      </c>
      <c r="T169" s="52">
        <v>0</v>
      </c>
      <c r="U169" s="52">
        <v>0</v>
      </c>
      <c r="V169" s="52">
        <v>0</v>
      </c>
      <c r="W169" s="17"/>
      <c r="X169" s="52">
        <v>0</v>
      </c>
      <c r="Y169" s="52">
        <v>0</v>
      </c>
      <c r="Z169" s="52">
        <v>0</v>
      </c>
      <c r="AA169" s="52">
        <v>0</v>
      </c>
      <c r="AB169" s="17"/>
      <c r="AC169" s="52">
        <v>0</v>
      </c>
      <c r="AD169" s="52">
        <v>0</v>
      </c>
      <c r="AE169" s="52">
        <v>0</v>
      </c>
      <c r="AF169" s="52">
        <v>0</v>
      </c>
      <c r="AG169" s="17"/>
      <c r="AH169" s="52">
        <v>0</v>
      </c>
      <c r="AI169" s="52">
        <v>0</v>
      </c>
      <c r="AJ169" s="52">
        <v>0</v>
      </c>
      <c r="AK169" s="52">
        <v>0</v>
      </c>
      <c r="AL169" s="17"/>
      <c r="AM169" s="52">
        <v>0</v>
      </c>
      <c r="AN169" s="52">
        <v>0</v>
      </c>
      <c r="AO169" s="52">
        <v>0</v>
      </c>
      <c r="AP169" s="52">
        <v>0</v>
      </c>
      <c r="AQ169" s="17"/>
      <c r="AR169" s="52">
        <v>0</v>
      </c>
      <c r="AS169" s="52">
        <v>0</v>
      </c>
      <c r="AT169" s="52">
        <v>0</v>
      </c>
      <c r="AU169" s="52">
        <v>0</v>
      </c>
      <c r="AV169" s="17"/>
    </row>
    <row r="170" spans="2:48" s="8" customFormat="1" outlineLevel="1" x14ac:dyDescent="0.3">
      <c r="B170" s="205" t="s">
        <v>68</v>
      </c>
      <c r="C170" s="202"/>
      <c r="D170" s="103">
        <f t="shared" ref="D170:G170" si="465">-D168+D169</f>
        <v>138</v>
      </c>
      <c r="E170" s="103">
        <f t="shared" si="465"/>
        <v>141.4</v>
      </c>
      <c r="F170" s="103">
        <f t="shared" si="465"/>
        <v>125.30000000000001</v>
      </c>
      <c r="G170" s="103">
        <f t="shared" si="465"/>
        <v>77.399999999999991</v>
      </c>
      <c r="H170" s="150"/>
      <c r="I170" s="103">
        <f t="shared" ref="I170:L170" si="466">-I168+I169</f>
        <v>71.599999999999994</v>
      </c>
      <c r="J170" s="103">
        <f t="shared" si="466"/>
        <v>66.8</v>
      </c>
      <c r="K170" s="103">
        <f t="shared" si="466"/>
        <v>173.67999999999998</v>
      </c>
      <c r="L170" s="103">
        <f t="shared" si="466"/>
        <v>259.5</v>
      </c>
      <c r="M170" s="150"/>
      <c r="N170" s="103">
        <f t="shared" ref="N170:P170" si="467">-N168+N169</f>
        <v>134.9</v>
      </c>
      <c r="O170" s="103">
        <f t="shared" si="467"/>
        <v>88.2</v>
      </c>
      <c r="P170" s="103">
        <f t="shared" si="467"/>
        <v>51.7</v>
      </c>
      <c r="Q170" s="103">
        <f>-Q168+Q169</f>
        <v>115.2</v>
      </c>
      <c r="R170" s="22"/>
      <c r="S170" s="103">
        <f t="shared" ref="S170:V170" si="468">-S168+S169</f>
        <v>35.199999999999996</v>
      </c>
      <c r="T170" s="50">
        <f t="shared" si="468"/>
        <v>47.5</v>
      </c>
      <c r="U170" s="50">
        <f t="shared" si="468"/>
        <v>77.5</v>
      </c>
      <c r="V170" s="50">
        <f t="shared" si="468"/>
        <v>77.099999999999994</v>
      </c>
      <c r="W170" s="22"/>
      <c r="X170" s="50">
        <f t="shared" ref="X170:AA170" si="469">-X168+X169</f>
        <v>60.201091631188127</v>
      </c>
      <c r="Y170" s="50">
        <f t="shared" si="469"/>
        <v>10.201091631188127</v>
      </c>
      <c r="Z170" s="50">
        <f t="shared" si="469"/>
        <v>10.201091631188127</v>
      </c>
      <c r="AA170" s="50">
        <f t="shared" si="469"/>
        <v>10.201091631188127</v>
      </c>
      <c r="AB170" s="22"/>
      <c r="AC170" s="50">
        <f t="shared" ref="AC170:AF170" si="470">-AC168+AC169</f>
        <v>10.201091631188127</v>
      </c>
      <c r="AD170" s="50">
        <f t="shared" si="470"/>
        <v>42</v>
      </c>
      <c r="AE170" s="50">
        <f t="shared" si="470"/>
        <v>42</v>
      </c>
      <c r="AF170" s="50">
        <f t="shared" si="470"/>
        <v>42</v>
      </c>
      <c r="AG170" s="22"/>
      <c r="AH170" s="50">
        <f t="shared" ref="AH170:AK170" si="471">-AH168+AH169</f>
        <v>42</v>
      </c>
      <c r="AI170" s="50">
        <f t="shared" si="471"/>
        <v>42</v>
      </c>
      <c r="AJ170" s="50">
        <f t="shared" si="471"/>
        <v>42</v>
      </c>
      <c r="AK170" s="50">
        <f t="shared" si="471"/>
        <v>42</v>
      </c>
      <c r="AL170" s="22"/>
      <c r="AM170" s="50">
        <f t="shared" ref="AM170:AP170" si="472">-AM168+AM169</f>
        <v>42</v>
      </c>
      <c r="AN170" s="50">
        <f t="shared" si="472"/>
        <v>42</v>
      </c>
      <c r="AO170" s="50">
        <f t="shared" si="472"/>
        <v>42</v>
      </c>
      <c r="AP170" s="50">
        <f t="shared" si="472"/>
        <v>42</v>
      </c>
      <c r="AQ170" s="22"/>
      <c r="AR170" s="50">
        <f t="shared" ref="AR170:AU170" si="473">-AR168+AR169</f>
        <v>42</v>
      </c>
      <c r="AS170" s="50">
        <f t="shared" si="473"/>
        <v>42</v>
      </c>
      <c r="AT170" s="50">
        <f t="shared" si="473"/>
        <v>42</v>
      </c>
      <c r="AU170" s="50">
        <f t="shared" si="473"/>
        <v>42</v>
      </c>
      <c r="AV170" s="22"/>
    </row>
    <row r="171" spans="2:48" outlineLevel="1" x14ac:dyDescent="0.3">
      <c r="B171" s="200" t="s">
        <v>69</v>
      </c>
      <c r="C171" s="201"/>
      <c r="D171" s="105">
        <v>0</v>
      </c>
      <c r="E171" s="101">
        <f>-0.02*E31</f>
        <v>-25.014000000000003</v>
      </c>
      <c r="F171" s="101">
        <f>0.49*F31</f>
        <v>599.27</v>
      </c>
      <c r="G171" s="101">
        <v>0</v>
      </c>
      <c r="H171" s="169"/>
      <c r="I171" s="101">
        <v>0</v>
      </c>
      <c r="J171" s="101">
        <v>0</v>
      </c>
      <c r="K171" s="101">
        <v>0</v>
      </c>
      <c r="L171" s="101">
        <v>0</v>
      </c>
      <c r="M171" s="169"/>
      <c r="N171" s="101">
        <v>0</v>
      </c>
      <c r="O171" s="101">
        <v>0</v>
      </c>
      <c r="P171" s="101">
        <v>0</v>
      </c>
      <c r="Q171" s="101">
        <f>0.73*Q31</f>
        <v>867.16700000000003</v>
      </c>
      <c r="R171" s="17"/>
      <c r="S171" s="101">
        <v>0</v>
      </c>
      <c r="T171" s="101">
        <f>0.03*T31</f>
        <v>34.617000000000004</v>
      </c>
      <c r="U171" s="101">
        <v>0</v>
      </c>
      <c r="V171" s="101">
        <v>0</v>
      </c>
      <c r="W171" s="17"/>
      <c r="X171" s="33">
        <v>0</v>
      </c>
      <c r="Y171" s="33">
        <v>0</v>
      </c>
      <c r="Z171" s="33">
        <v>0</v>
      </c>
      <c r="AA171" s="33">
        <v>0</v>
      </c>
      <c r="AB171" s="17"/>
      <c r="AC171" s="33">
        <v>0</v>
      </c>
      <c r="AD171" s="33">
        <v>0</v>
      </c>
      <c r="AE171" s="33">
        <v>0</v>
      </c>
      <c r="AF171" s="33">
        <v>0</v>
      </c>
      <c r="AG171" s="17"/>
      <c r="AH171" s="33">
        <v>0</v>
      </c>
      <c r="AI171" s="33">
        <v>0</v>
      </c>
      <c r="AJ171" s="33">
        <v>0</v>
      </c>
      <c r="AK171" s="33">
        <v>0</v>
      </c>
      <c r="AL171" s="17"/>
      <c r="AM171" s="33">
        <v>0</v>
      </c>
      <c r="AN171" s="33">
        <v>0</v>
      </c>
      <c r="AO171" s="33">
        <v>0</v>
      </c>
      <c r="AP171" s="33">
        <v>0</v>
      </c>
      <c r="AQ171" s="17"/>
      <c r="AR171" s="33">
        <v>0</v>
      </c>
      <c r="AS171" s="33">
        <v>0</v>
      </c>
      <c r="AT171" s="33">
        <v>0</v>
      </c>
      <c r="AU171" s="33">
        <v>0</v>
      </c>
      <c r="AV171" s="17"/>
    </row>
    <row r="172" spans="2:48" outlineLevel="1" x14ac:dyDescent="0.3">
      <c r="B172" s="580" t="s">
        <v>75</v>
      </c>
      <c r="C172" s="581"/>
      <c r="D172" s="105">
        <v>-41.449999999998646</v>
      </c>
      <c r="E172" s="101">
        <v>79.193999999999548</v>
      </c>
      <c r="F172" s="101">
        <v>-55.109999999999197</v>
      </c>
      <c r="G172" s="101">
        <v>30</v>
      </c>
      <c r="H172" s="169"/>
      <c r="I172" s="101">
        <v>11</v>
      </c>
      <c r="J172" s="101">
        <v>23</v>
      </c>
      <c r="K172" s="101">
        <f>0.03*K31</f>
        <v>35.055</v>
      </c>
      <c r="L172" s="101">
        <v>50.810000000000372</v>
      </c>
      <c r="M172" s="169"/>
      <c r="N172" s="101">
        <f>0.03*N31</f>
        <v>35.49</v>
      </c>
      <c r="O172" s="101">
        <f>0.01*O31</f>
        <v>11.847999999999999</v>
      </c>
      <c r="P172" s="101">
        <f>0.01*P31</f>
        <v>11.862</v>
      </c>
      <c r="Q172" s="101">
        <f>-0.144*Q31</f>
        <v>-171.05760000000001</v>
      </c>
      <c r="R172" s="17"/>
      <c r="S172" s="101">
        <v>3.9480000000003299</v>
      </c>
      <c r="T172" s="16">
        <f>0.01*T31</f>
        <v>11.539000000000001</v>
      </c>
      <c r="U172" s="16">
        <f>0.02*U31</f>
        <v>23.02</v>
      </c>
      <c r="V172" s="16">
        <f>0.02*V31</f>
        <v>23.05</v>
      </c>
      <c r="W172" s="17"/>
      <c r="X172" s="16">
        <f>+X170*X173</f>
        <v>17.99786202462888</v>
      </c>
      <c r="Y172" s="16">
        <f>+Y170*Y173</f>
        <v>3.0497426990776444</v>
      </c>
      <c r="Z172" s="16">
        <f t="shared" ref="Z172:AA172" si="474">+Z170*Z173</f>
        <v>3.0497426990776444</v>
      </c>
      <c r="AA172" s="16">
        <f t="shared" si="474"/>
        <v>3.0497426990776444</v>
      </c>
      <c r="AB172" s="17"/>
      <c r="AC172" s="16">
        <f>+AC170*AC173</f>
        <v>3.0497426990776444</v>
      </c>
      <c r="AD172" s="16">
        <f>+AD170*AD173</f>
        <v>12.556420233463037</v>
      </c>
      <c r="AE172" s="16">
        <f t="shared" ref="AE172:AF172" si="475">+AE170*AE173</f>
        <v>12.556420233463037</v>
      </c>
      <c r="AF172" s="16">
        <f t="shared" si="475"/>
        <v>12.556420233463037</v>
      </c>
      <c r="AG172" s="17"/>
      <c r="AH172" s="16">
        <f>+AH170*AH173</f>
        <v>12.556420233463037</v>
      </c>
      <c r="AI172" s="16">
        <f>+AI170*AI173</f>
        <v>12.556420233463037</v>
      </c>
      <c r="AJ172" s="16">
        <f t="shared" ref="AJ172:AK172" si="476">+AJ170*AJ173</f>
        <v>12.556420233463037</v>
      </c>
      <c r="AK172" s="16">
        <f t="shared" si="476"/>
        <v>12.556420233463037</v>
      </c>
      <c r="AL172" s="17"/>
      <c r="AM172" s="16">
        <f>+AM170*AM173</f>
        <v>12.556420233463037</v>
      </c>
      <c r="AN172" s="16">
        <f>+AN170*AN173</f>
        <v>12.556420233463037</v>
      </c>
      <c r="AO172" s="16">
        <f t="shared" ref="AO172:AP172" si="477">+AO170*AO173</f>
        <v>12.556420233463037</v>
      </c>
      <c r="AP172" s="16">
        <f t="shared" si="477"/>
        <v>12.556420233463037</v>
      </c>
      <c r="AQ172" s="17"/>
      <c r="AR172" s="16">
        <f>+AR170*AR173</f>
        <v>12.556420233463037</v>
      </c>
      <c r="AS172" s="16">
        <f>+AS170*AS173</f>
        <v>12.556420233463037</v>
      </c>
      <c r="AT172" s="16">
        <f t="shared" ref="AT172:AU172" si="478">+AT170*AT173</f>
        <v>12.556420233463037</v>
      </c>
      <c r="AU172" s="16">
        <f t="shared" si="478"/>
        <v>12.556420233463037</v>
      </c>
      <c r="AV172" s="17"/>
    </row>
    <row r="173" spans="2:48" outlineLevel="1" x14ac:dyDescent="0.3">
      <c r="B173" s="203" t="s">
        <v>76</v>
      </c>
      <c r="C173" s="204"/>
      <c r="D173" s="211">
        <f t="shared" ref="D173:G173" si="479">D172/D170</f>
        <v>-0.30036231884056991</v>
      </c>
      <c r="E173" s="211">
        <f t="shared" si="479"/>
        <v>0.56007072135784686</v>
      </c>
      <c r="F173" s="211">
        <f t="shared" si="479"/>
        <v>-0.43982442138866074</v>
      </c>
      <c r="G173" s="211">
        <f t="shared" si="479"/>
        <v>0.38759689922480622</v>
      </c>
      <c r="H173" s="212"/>
      <c r="I173" s="211">
        <f t="shared" ref="I173:V173" si="480">I172/I170</f>
        <v>0.15363128491620112</v>
      </c>
      <c r="J173" s="211">
        <f t="shared" si="480"/>
        <v>0.34431137724550898</v>
      </c>
      <c r="K173" s="211">
        <f t="shared" si="480"/>
        <v>0.20183671119299865</v>
      </c>
      <c r="L173" s="211">
        <f t="shared" si="480"/>
        <v>0.1957996146435467</v>
      </c>
      <c r="M173" s="212"/>
      <c r="N173" s="211">
        <f t="shared" si="480"/>
        <v>0.26308376575240922</v>
      </c>
      <c r="O173" s="211">
        <f t="shared" si="480"/>
        <v>0.13433106575963719</v>
      </c>
      <c r="P173" s="211">
        <f t="shared" si="480"/>
        <v>0.22943907156673113</v>
      </c>
      <c r="Q173" s="211">
        <f t="shared" si="480"/>
        <v>-1.4848749999999999</v>
      </c>
      <c r="R173" s="37"/>
      <c r="S173" s="211">
        <f t="shared" si="480"/>
        <v>0.1121590909091003</v>
      </c>
      <c r="T173" s="211">
        <f t="shared" si="480"/>
        <v>0.24292631578947371</v>
      </c>
      <c r="U173" s="211">
        <f t="shared" si="480"/>
        <v>0.29703225806451611</v>
      </c>
      <c r="V173" s="211">
        <f t="shared" si="480"/>
        <v>0.29896238651102469</v>
      </c>
      <c r="W173" s="37"/>
      <c r="X173" s="94">
        <f>V173</f>
        <v>0.29896238651102469</v>
      </c>
      <c r="Y173" s="94">
        <f>X173</f>
        <v>0.29896238651102469</v>
      </c>
      <c r="Z173" s="94">
        <f>Y173</f>
        <v>0.29896238651102469</v>
      </c>
      <c r="AA173" s="94">
        <f>Z173</f>
        <v>0.29896238651102469</v>
      </c>
      <c r="AB173" s="37"/>
      <c r="AC173" s="94">
        <f>AA173</f>
        <v>0.29896238651102469</v>
      </c>
      <c r="AD173" s="94">
        <f>AC173</f>
        <v>0.29896238651102469</v>
      </c>
      <c r="AE173" s="94">
        <f>AD173</f>
        <v>0.29896238651102469</v>
      </c>
      <c r="AF173" s="94">
        <f>AE173</f>
        <v>0.29896238651102469</v>
      </c>
      <c r="AG173" s="37"/>
      <c r="AH173" s="94">
        <f>AF173</f>
        <v>0.29896238651102469</v>
      </c>
      <c r="AI173" s="94">
        <f>AH173</f>
        <v>0.29896238651102469</v>
      </c>
      <c r="AJ173" s="94">
        <f>AI173</f>
        <v>0.29896238651102469</v>
      </c>
      <c r="AK173" s="94">
        <f>AJ173</f>
        <v>0.29896238651102469</v>
      </c>
      <c r="AL173" s="37"/>
      <c r="AM173" s="94">
        <f>AK173</f>
        <v>0.29896238651102469</v>
      </c>
      <c r="AN173" s="94">
        <f>AM173</f>
        <v>0.29896238651102469</v>
      </c>
      <c r="AO173" s="94">
        <f>AN173</f>
        <v>0.29896238651102469</v>
      </c>
      <c r="AP173" s="94">
        <f>AO173</f>
        <v>0.29896238651102469</v>
      </c>
      <c r="AQ173" s="37"/>
      <c r="AR173" s="94">
        <f>AP173</f>
        <v>0.29896238651102469</v>
      </c>
      <c r="AS173" s="94">
        <f>AR173</f>
        <v>0.29896238651102469</v>
      </c>
      <c r="AT173" s="94">
        <f>AS173</f>
        <v>0.29896238651102469</v>
      </c>
      <c r="AU173" s="94">
        <f>AT173</f>
        <v>0.29896238651102469</v>
      </c>
      <c r="AV173" s="37"/>
    </row>
    <row r="175" spans="2:48" x14ac:dyDescent="0.3">
      <c r="B175" s="382" t="s">
        <v>314</v>
      </c>
      <c r="Q175" s="383">
        <f>Q61-L61</f>
        <v>-6.6118692968142323E-4</v>
      </c>
      <c r="R175" s="383"/>
      <c r="S175" s="383">
        <f>S61-N61</f>
        <v>1.2901737440265071E-2</v>
      </c>
      <c r="T175" s="383">
        <f t="shared" ref="T175" si="481">T61-O61</f>
        <v>2.4025383293040548E-2</v>
      </c>
      <c r="U175" s="383">
        <f>U61-P61</f>
        <v>2.0536242149533701E-2</v>
      </c>
      <c r="V175" s="383">
        <f>V61-Q61</f>
        <v>1.4419766618683716E-2</v>
      </c>
      <c r="W175" s="383"/>
      <c r="X175" s="383">
        <f t="shared" ref="X175:AA175" si="482">X61-S61</f>
        <v>5.0000000000000044E-3</v>
      </c>
      <c r="Y175" s="383">
        <f t="shared" si="482"/>
        <v>0</v>
      </c>
      <c r="Z175" s="383">
        <f t="shared" si="482"/>
        <v>0</v>
      </c>
      <c r="AA175" s="383">
        <f t="shared" si="482"/>
        <v>-1.2500000000000011E-2</v>
      </c>
      <c r="AB175" s="383"/>
      <c r="AC175" s="383">
        <f t="shared" ref="AC175:AF175" si="483">AC61-X61</f>
        <v>-1.0000000000000009E-2</v>
      </c>
      <c r="AD175" s="383">
        <f t="shared" si="483"/>
        <v>-1.0000000000000009E-3</v>
      </c>
      <c r="AE175" s="383">
        <f t="shared" si="483"/>
        <v>-1.0000000000000009E-3</v>
      </c>
      <c r="AF175" s="383">
        <f t="shared" si="483"/>
        <v>1.0000000000000009E-2</v>
      </c>
      <c r="AH175" s="383">
        <f t="shared" ref="AH175:AK175" si="484">AH61-AC61</f>
        <v>-1.0000000000000009E-3</v>
      </c>
      <c r="AI175" s="383">
        <f t="shared" si="484"/>
        <v>-1.0000000000000009E-3</v>
      </c>
      <c r="AJ175" s="383">
        <f t="shared" si="484"/>
        <v>-1.0000000000000009E-3</v>
      </c>
      <c r="AK175" s="383">
        <f t="shared" si="484"/>
        <v>-1.0000000000000009E-3</v>
      </c>
    </row>
    <row r="176" spans="2:48" ht="14.55" customHeight="1" x14ac:dyDescent="0.3">
      <c r="B176" s="382" t="s">
        <v>315</v>
      </c>
      <c r="Q176" s="383">
        <f t="shared" ref="Q176:T176" si="485">Q63-L63</f>
        <v>-4.2476929877535707E-2</v>
      </c>
      <c r="R176" s="383"/>
      <c r="S176" s="383">
        <f t="shared" si="485"/>
        <v>-4.2111802490401029E-3</v>
      </c>
      <c r="T176" s="383">
        <f t="shared" si="485"/>
        <v>1.5713963584189306E-2</v>
      </c>
      <c r="U176" s="383">
        <f>U63-P63</f>
        <v>8.2485911822535729E-3</v>
      </c>
      <c r="V176" s="383">
        <f>V63-Q63</f>
        <v>2.6389804799066163E-2</v>
      </c>
      <c r="W176" s="383"/>
      <c r="X176" s="383">
        <f t="shared" ref="X176:AA176" si="486">X63-S63</f>
        <v>5.0000000000000044E-3</v>
      </c>
      <c r="Y176" s="383">
        <f>Y63-T63</f>
        <v>2.4999999999999467E-3</v>
      </c>
      <c r="Z176" s="383">
        <f t="shared" si="486"/>
        <v>1.0000000000000009E-2</v>
      </c>
      <c r="AA176" s="383">
        <f t="shared" si="486"/>
        <v>0</v>
      </c>
      <c r="AB176" s="383"/>
      <c r="AC176" s="383">
        <f t="shared" ref="AC176:AF176" si="487">AC63-X63</f>
        <v>-1.0000000000000009E-2</v>
      </c>
      <c r="AD176" s="383">
        <f t="shared" si="487"/>
        <v>-1.0000000000000009E-3</v>
      </c>
      <c r="AE176" s="383">
        <f t="shared" si="487"/>
        <v>-1.0000000000000009E-3</v>
      </c>
      <c r="AF176" s="383">
        <f t="shared" si="487"/>
        <v>1.0000000000000009E-2</v>
      </c>
      <c r="AH176" s="383">
        <f t="shared" ref="AH176:AK176" si="488">AH63-AC63</f>
        <v>-1.0000000000000009E-3</v>
      </c>
      <c r="AI176" s="383">
        <f t="shared" si="488"/>
        <v>-1.0000000000000009E-3</v>
      </c>
      <c r="AJ176" s="383">
        <f t="shared" si="488"/>
        <v>-1.0000000000000009E-3</v>
      </c>
      <c r="AK176" s="383">
        <f t="shared" si="488"/>
        <v>-1.0000000000000009E-3</v>
      </c>
    </row>
    <row r="177" spans="1:48" ht="14.55" customHeight="1" x14ac:dyDescent="0.3">
      <c r="B177" s="382" t="s">
        <v>316</v>
      </c>
      <c r="Q177" s="383">
        <f t="shared" ref="Q177:T177" si="489">Q65-L65</f>
        <v>-8.1024370824473238E-4</v>
      </c>
      <c r="R177" s="383"/>
      <c r="S177" s="383">
        <f t="shared" si="489"/>
        <v>-6.9169487840035036E-4</v>
      </c>
      <c r="T177" s="383">
        <f t="shared" si="489"/>
        <v>-3.3352357784197616E-4</v>
      </c>
      <c r="U177" s="383">
        <f>U65-P65</f>
        <v>1.7928850972594532E-3</v>
      </c>
      <c r="V177" s="383">
        <f t="shared" ref="V177:AA177" si="490">V65-Q65</f>
        <v>1.7144676918782326E-4</v>
      </c>
      <c r="W177" s="383"/>
      <c r="X177" s="383">
        <f t="shared" si="490"/>
        <v>0</v>
      </c>
      <c r="Y177" s="383">
        <f t="shared" si="490"/>
        <v>0</v>
      </c>
      <c r="Z177" s="383">
        <f t="shared" si="490"/>
        <v>0</v>
      </c>
      <c r="AA177" s="383">
        <f t="shared" si="490"/>
        <v>0</v>
      </c>
      <c r="AB177" s="383"/>
      <c r="AC177" s="383">
        <f t="shared" ref="AC177:AF177" si="491">AC65-X65</f>
        <v>0</v>
      </c>
      <c r="AD177" s="383">
        <f t="shared" si="491"/>
        <v>0</v>
      </c>
      <c r="AE177" s="383">
        <f t="shared" si="491"/>
        <v>0</v>
      </c>
      <c r="AF177" s="383">
        <f t="shared" si="491"/>
        <v>0</v>
      </c>
      <c r="AH177" s="383">
        <f t="shared" ref="AH177:AK177" si="492">AH65-AC65</f>
        <v>0</v>
      </c>
      <c r="AI177" s="383">
        <f t="shared" si="492"/>
        <v>0</v>
      </c>
      <c r="AJ177" s="383">
        <f t="shared" si="492"/>
        <v>0</v>
      </c>
      <c r="AK177" s="383">
        <f t="shared" si="492"/>
        <v>0</v>
      </c>
    </row>
    <row r="178" spans="1:48" ht="14.55" customHeight="1" x14ac:dyDescent="0.3">
      <c r="A178" s="161"/>
      <c r="B178" s="382" t="s">
        <v>317</v>
      </c>
      <c r="Q178" s="383">
        <f t="shared" ref="Q178:T178" si="493">Q68-L68</f>
        <v>-1.8685768961161399E-3</v>
      </c>
      <c r="R178" s="383"/>
      <c r="S178" s="383">
        <f t="shared" si="493"/>
        <v>-1.673261995123904E-3</v>
      </c>
      <c r="T178" s="383">
        <f t="shared" si="493"/>
        <v>-3.5644778537942175E-3</v>
      </c>
      <c r="U178" s="383">
        <f>U68-P68</f>
        <v>-9.2770624793186637E-4</v>
      </c>
      <c r="V178" s="383">
        <f t="shared" ref="V178:AA178" si="494">V68-Q68</f>
        <v>-7.584336101247053E-4</v>
      </c>
      <c r="W178" s="383"/>
      <c r="X178" s="383">
        <f t="shared" si="494"/>
        <v>4.9999999999999992E-3</v>
      </c>
      <c r="Y178" s="383">
        <f t="shared" si="494"/>
        <v>2.5000000000000005E-3</v>
      </c>
      <c r="Z178" s="383">
        <f t="shared" si="494"/>
        <v>2.5000000000000005E-3</v>
      </c>
      <c r="AA178" s="383">
        <f t="shared" si="494"/>
        <v>-0.01</v>
      </c>
      <c r="AB178" s="383"/>
      <c r="AC178" s="383">
        <f t="shared" ref="AC178:AF178" si="495">AC68-X68</f>
        <v>-2.9999999999999992E-3</v>
      </c>
      <c r="AD178" s="383">
        <f t="shared" si="495"/>
        <v>2.0000000000000018E-3</v>
      </c>
      <c r="AE178" s="383">
        <f t="shared" si="495"/>
        <v>-9.9999999999999915E-4</v>
      </c>
      <c r="AF178" s="383">
        <f t="shared" si="495"/>
        <v>-1E-3</v>
      </c>
      <c r="AH178" s="383">
        <f t="shared" ref="AH178:AK178" si="496">AH68-AC68</f>
        <v>-1.0000000000000009E-3</v>
      </c>
      <c r="AI178" s="383">
        <f t="shared" si="496"/>
        <v>-1.0000000000000009E-3</v>
      </c>
      <c r="AJ178" s="383">
        <f t="shared" si="496"/>
        <v>-1.0000000000000009E-3</v>
      </c>
      <c r="AK178" s="383">
        <f t="shared" si="496"/>
        <v>-1E-3</v>
      </c>
    </row>
    <row r="179" spans="1:48" s="23" customFormat="1" ht="14.55" customHeight="1" x14ac:dyDescent="0.3">
      <c r="A179" s="161"/>
    </row>
    <row r="180" spans="1:48" s="23" customFormat="1" ht="14.55" customHeight="1" x14ac:dyDescent="0.3">
      <c r="A180" s="161"/>
      <c r="B180" s="382" t="s">
        <v>318</v>
      </c>
      <c r="Q180" s="384">
        <f t="shared" ref="Q180:U180" si="497">Q94-L94</f>
        <v>-1.0328853878240896E-3</v>
      </c>
      <c r="R180" s="384"/>
      <c r="S180" s="384">
        <f t="shared" si="497"/>
        <v>1.3694957380178618E-2</v>
      </c>
      <c r="T180" s="384">
        <f t="shared" si="497"/>
        <v>2.2223284472510374E-2</v>
      </c>
      <c r="U180" s="384">
        <f t="shared" si="497"/>
        <v>4.4737654429502782E-2</v>
      </c>
      <c r="V180" s="384">
        <f>V94-Q94</f>
        <v>2.7792802174517572E-2</v>
      </c>
      <c r="W180" s="384"/>
      <c r="X180" s="384">
        <f t="shared" ref="X180:AA180" si="498">X94-S94</f>
        <v>2.0000000000000018E-2</v>
      </c>
      <c r="Y180" s="384">
        <f t="shared" si="498"/>
        <v>-1.0000000000000009E-2</v>
      </c>
      <c r="Z180" s="384">
        <f t="shared" si="498"/>
        <v>-5.0000000000000044E-3</v>
      </c>
      <c r="AA180" s="384">
        <f t="shared" si="498"/>
        <v>-5.0000000000000044E-3</v>
      </c>
      <c r="AB180" s="384"/>
      <c r="AC180" s="384">
        <f t="shared" ref="AC180:AF180" si="499">AC94-X94</f>
        <v>-2.0000000000000018E-2</v>
      </c>
      <c r="AD180" s="384">
        <f t="shared" si="499"/>
        <v>-2.0000000000000018E-2</v>
      </c>
      <c r="AE180" s="384">
        <f t="shared" si="499"/>
        <v>0</v>
      </c>
      <c r="AF180" s="384">
        <f t="shared" si="499"/>
        <v>0</v>
      </c>
      <c r="AG180" s="384"/>
      <c r="AH180" s="384">
        <f t="shared" ref="AH180:AK180" si="500">AH94-AC94</f>
        <v>-2.0000000000000018E-3</v>
      </c>
      <c r="AI180" s="384">
        <f t="shared" si="500"/>
        <v>-2.0000000000000018E-3</v>
      </c>
      <c r="AJ180" s="384">
        <f t="shared" si="500"/>
        <v>-1.0000000000000009E-2</v>
      </c>
      <c r="AK180" s="384">
        <f t="shared" si="500"/>
        <v>-2.0000000000000018E-3</v>
      </c>
      <c r="AL180" s="384"/>
      <c r="AM180" s="384">
        <f t="shared" ref="AM180:AP180" si="501">AM94-AH94</f>
        <v>0</v>
      </c>
      <c r="AN180" s="384">
        <f t="shared" si="501"/>
        <v>0</v>
      </c>
      <c r="AO180" s="384">
        <f t="shared" si="501"/>
        <v>0</v>
      </c>
      <c r="AP180" s="384">
        <f t="shared" si="501"/>
        <v>0</v>
      </c>
      <c r="AQ180" s="384"/>
      <c r="AR180" s="384">
        <f t="shared" ref="AR180:AU180" si="502">AR94-AM94</f>
        <v>0</v>
      </c>
      <c r="AS180" s="384">
        <f t="shared" si="502"/>
        <v>0</v>
      </c>
      <c r="AT180" s="384">
        <f t="shared" si="502"/>
        <v>0</v>
      </c>
      <c r="AU180" s="384">
        <f t="shared" si="502"/>
        <v>0</v>
      </c>
    </row>
    <row r="181" spans="1:48" ht="16.2" customHeight="1" x14ac:dyDescent="0.3">
      <c r="A181" s="161"/>
      <c r="B181" s="382" t="s">
        <v>319</v>
      </c>
      <c r="Q181" s="384">
        <f t="shared" ref="Q181:U181" si="503">Q96-L96</f>
        <v>-4.3229689278334871E-2</v>
      </c>
      <c r="R181" s="384"/>
      <c r="S181" s="384">
        <f t="shared" si="503"/>
        <v>2.6563781125539754E-2</v>
      </c>
      <c r="T181" s="384">
        <f t="shared" si="503"/>
        <v>6.6354626897605851E-2</v>
      </c>
      <c r="U181" s="384">
        <f t="shared" si="503"/>
        <v>0.11154167548484295</v>
      </c>
      <c r="V181" s="384">
        <f>V96-Q96</f>
        <v>6.8821227532231799E-2</v>
      </c>
      <c r="W181" s="384"/>
      <c r="X181" s="384">
        <f t="shared" ref="X181:AA181" si="504">X96-S96</f>
        <v>2.0000000000000018E-2</v>
      </c>
      <c r="Y181" s="384">
        <f t="shared" si="504"/>
        <v>-1.0000000000000009E-2</v>
      </c>
      <c r="Z181" s="384">
        <f t="shared" si="504"/>
        <v>-5.0000000000000044E-3</v>
      </c>
      <c r="AA181" s="384">
        <f t="shared" si="504"/>
        <v>-5.0000000000000044E-3</v>
      </c>
      <c r="AB181" s="384"/>
      <c r="AC181" s="384">
        <f t="shared" ref="AC181:AF181" si="505">AC96-X96</f>
        <v>0</v>
      </c>
      <c r="AD181" s="384">
        <f t="shared" si="505"/>
        <v>-2.0000000000000018E-2</v>
      </c>
      <c r="AE181" s="384">
        <f t="shared" si="505"/>
        <v>0</v>
      </c>
      <c r="AF181" s="384">
        <f t="shared" si="505"/>
        <v>0</v>
      </c>
      <c r="AG181" s="384"/>
      <c r="AH181" s="384">
        <f t="shared" ref="AH181:AK181" si="506">AH96-AC96</f>
        <v>-2.0000000000000018E-3</v>
      </c>
      <c r="AI181" s="384">
        <f t="shared" si="506"/>
        <v>-2.0000000000000018E-3</v>
      </c>
      <c r="AJ181" s="384">
        <f t="shared" si="506"/>
        <v>-2.0000000000000018E-2</v>
      </c>
      <c r="AK181" s="384">
        <f t="shared" si="506"/>
        <v>-2.0000000000000018E-3</v>
      </c>
      <c r="AL181" s="384"/>
      <c r="AM181" s="384">
        <f t="shared" ref="AM181:AP181" si="507">AM96-AH96</f>
        <v>0</v>
      </c>
      <c r="AN181" s="384">
        <f t="shared" si="507"/>
        <v>0</v>
      </c>
      <c r="AO181" s="384">
        <f t="shared" si="507"/>
        <v>0</v>
      </c>
      <c r="AP181" s="384">
        <f t="shared" si="507"/>
        <v>0</v>
      </c>
      <c r="AQ181" s="384"/>
      <c r="AR181" s="384">
        <f t="shared" ref="AR181:AU181" si="508">AR96-AM96</f>
        <v>0</v>
      </c>
      <c r="AS181" s="384">
        <f t="shared" si="508"/>
        <v>0</v>
      </c>
      <c r="AT181" s="384">
        <f t="shared" si="508"/>
        <v>0</v>
      </c>
      <c r="AU181" s="384">
        <f t="shared" si="508"/>
        <v>0</v>
      </c>
    </row>
    <row r="182" spans="1:48" ht="14.55" customHeight="1" x14ac:dyDescent="0.3">
      <c r="A182" s="161"/>
      <c r="B182" s="382" t="s">
        <v>320</v>
      </c>
      <c r="Q182" s="384">
        <f t="shared" ref="Q182:U182" si="509">Q98-L98</f>
        <v>-5.6134797444197491E-3</v>
      </c>
      <c r="R182" s="384"/>
      <c r="S182" s="384">
        <f t="shared" si="509"/>
        <v>1.6279115038060621E-4</v>
      </c>
      <c r="T182" s="384">
        <f t="shared" si="509"/>
        <v>5.0139473649204631E-3</v>
      </c>
      <c r="U182" s="384">
        <f t="shared" si="509"/>
        <v>1.4893713799812251E-2</v>
      </c>
      <c r="V182" s="384">
        <f>V98-Q98</f>
        <v>8.7002690753356267E-3</v>
      </c>
      <c r="W182" s="384"/>
      <c r="X182" s="384">
        <f t="shared" ref="X182:AA182" si="510">X98-S98</f>
        <v>0</v>
      </c>
      <c r="Y182" s="384">
        <f t="shared" si="510"/>
        <v>0</v>
      </c>
      <c r="Z182" s="384">
        <f t="shared" si="510"/>
        <v>-4.9999999999999975E-3</v>
      </c>
      <c r="AA182" s="384">
        <f t="shared" si="510"/>
        <v>0</v>
      </c>
      <c r="AB182" s="384"/>
      <c r="AC182" s="384">
        <f t="shared" ref="AC182:AF182" si="511">AC98-X98</f>
        <v>0</v>
      </c>
      <c r="AD182" s="384">
        <f t="shared" si="511"/>
        <v>0</v>
      </c>
      <c r="AE182" s="384">
        <f t="shared" si="511"/>
        <v>-5.000000000000001E-3</v>
      </c>
      <c r="AF182" s="384">
        <f t="shared" si="511"/>
        <v>0</v>
      </c>
      <c r="AG182" s="384"/>
      <c r="AH182" s="384">
        <f t="shared" ref="AH182:AK182" si="512">AH98-AC98</f>
        <v>-1.9999999999999983E-3</v>
      </c>
      <c r="AI182" s="384">
        <f t="shared" si="512"/>
        <v>-2.0000000000000018E-3</v>
      </c>
      <c r="AJ182" s="384">
        <f t="shared" si="512"/>
        <v>-6.0000000000000019E-3</v>
      </c>
      <c r="AK182" s="384">
        <f t="shared" si="512"/>
        <v>-2.0000000000000018E-3</v>
      </c>
      <c r="AL182" s="384"/>
      <c r="AM182" s="384">
        <f t="shared" ref="AM182:AP182" si="513">AM98-AH98</f>
        <v>0</v>
      </c>
      <c r="AN182" s="384">
        <f t="shared" si="513"/>
        <v>0</v>
      </c>
      <c r="AO182" s="384">
        <f t="shared" si="513"/>
        <v>0</v>
      </c>
      <c r="AP182" s="384">
        <f t="shared" si="513"/>
        <v>0</v>
      </c>
      <c r="AQ182" s="384"/>
      <c r="AR182" s="384">
        <f t="shared" ref="AR182:AU182" si="514">AR98-AM98</f>
        <v>0</v>
      </c>
      <c r="AS182" s="384">
        <f t="shared" si="514"/>
        <v>0</v>
      </c>
      <c r="AT182" s="384">
        <f t="shared" si="514"/>
        <v>0</v>
      </c>
      <c r="AU182" s="384">
        <f t="shared" si="514"/>
        <v>0</v>
      </c>
    </row>
    <row r="183" spans="1:48" ht="14.55" customHeight="1" x14ac:dyDescent="0.3">
      <c r="A183" s="161"/>
      <c r="B183" s="382" t="s">
        <v>321</v>
      </c>
      <c r="Q183" s="384">
        <f t="shared" ref="Q183:U183" si="515">Q101-L101</f>
        <v>-4.5175814670814843E-3</v>
      </c>
      <c r="R183" s="384"/>
      <c r="S183" s="384">
        <f t="shared" si="515"/>
        <v>-1.2605124458150846E-3</v>
      </c>
      <c r="T183" s="384">
        <f t="shared" si="515"/>
        <v>-2.780006809811171E-3</v>
      </c>
      <c r="U183" s="384">
        <f t="shared" si="515"/>
        <v>-4.0374511378418465E-3</v>
      </c>
      <c r="V183" s="384">
        <f>V101-Q101</f>
        <v>7.1575109158830003E-4</v>
      </c>
      <c r="W183" s="384"/>
      <c r="X183" s="384">
        <f t="shared" ref="X183:AA183" si="516">X101-S101</f>
        <v>0</v>
      </c>
      <c r="Y183" s="384">
        <f t="shared" si="516"/>
        <v>0</v>
      </c>
      <c r="Z183" s="384">
        <f t="shared" si="516"/>
        <v>-4.9999999999999975E-3</v>
      </c>
      <c r="AA183" s="384">
        <f t="shared" si="516"/>
        <v>-4.9999999999999975E-3</v>
      </c>
      <c r="AB183" s="384"/>
      <c r="AC183" s="384">
        <f t="shared" ref="AC183:AF183" si="517">AC101-X101</f>
        <v>-3.0000000000000027E-3</v>
      </c>
      <c r="AD183" s="384">
        <f t="shared" si="517"/>
        <v>0</v>
      </c>
      <c r="AE183" s="384">
        <f t="shared" si="517"/>
        <v>0</v>
      </c>
      <c r="AF183" s="384">
        <f t="shared" si="517"/>
        <v>0</v>
      </c>
      <c r="AG183" s="384"/>
      <c r="AH183" s="384">
        <f t="shared" ref="AH183:AK183" si="518">AH101-AC101</f>
        <v>-2.0000000000000018E-3</v>
      </c>
      <c r="AI183" s="384">
        <f t="shared" si="518"/>
        <v>-2.0000000000000018E-3</v>
      </c>
      <c r="AJ183" s="384">
        <f t="shared" si="518"/>
        <v>-2.0000000000000018E-3</v>
      </c>
      <c r="AK183" s="384">
        <f t="shared" si="518"/>
        <v>-2.0000000000000018E-3</v>
      </c>
      <c r="AL183" s="384"/>
      <c r="AM183" s="384">
        <f t="shared" ref="AM183:AP183" si="519">AM101-AH101</f>
        <v>0</v>
      </c>
      <c r="AN183" s="384">
        <f t="shared" si="519"/>
        <v>0</v>
      </c>
      <c r="AO183" s="384">
        <f t="shared" si="519"/>
        <v>0</v>
      </c>
      <c r="AP183" s="384">
        <f t="shared" si="519"/>
        <v>0</v>
      </c>
      <c r="AQ183" s="384"/>
      <c r="AR183" s="384">
        <f t="shared" ref="AR183:AU183" si="520">AR101-AM101</f>
        <v>0</v>
      </c>
      <c r="AS183" s="384">
        <f t="shared" si="520"/>
        <v>0</v>
      </c>
      <c r="AT183" s="384">
        <f t="shared" si="520"/>
        <v>0</v>
      </c>
      <c r="AU183" s="384">
        <f t="shared" si="520"/>
        <v>0</v>
      </c>
    </row>
    <row r="184" spans="1:48" ht="14.55" customHeight="1" x14ac:dyDescent="0.3">
      <c r="A184" s="161"/>
    </row>
    <row r="185" spans="1:48" s="8" customFormat="1" x14ac:dyDescent="0.3">
      <c r="A185" s="161"/>
      <c r="B185" s="382" t="s">
        <v>322</v>
      </c>
      <c r="Q185" s="384">
        <f t="shared" ref="Q185:T185" si="521">Q111-L111</f>
        <v>-7.3337522717080939E-2</v>
      </c>
      <c r="R185" s="384"/>
      <c r="S185" s="384">
        <f t="shared" si="521"/>
        <v>-8.2275015567009335E-3</v>
      </c>
      <c r="T185" s="384">
        <f t="shared" si="521"/>
        <v>2.1961732903702735E-2</v>
      </c>
      <c r="U185" s="384">
        <f>U111-P111</f>
        <v>3.1106851202291286E-2</v>
      </c>
      <c r="V185" s="384">
        <f t="shared" ref="V185:AU185" si="522">V111-Q111</f>
        <v>5.6977238962102605E-3</v>
      </c>
      <c r="W185" s="384"/>
      <c r="X185" s="384">
        <f t="shared" si="522"/>
        <v>1.5000000000000013E-2</v>
      </c>
      <c r="Y185" s="384">
        <f t="shared" si="522"/>
        <v>0</v>
      </c>
      <c r="Z185" s="384">
        <f t="shared" si="522"/>
        <v>-5.0000000000000044E-3</v>
      </c>
      <c r="AA185" s="384">
        <f t="shared" si="522"/>
        <v>-3.0000000000000027E-2</v>
      </c>
      <c r="AB185" s="384"/>
      <c r="AC185" s="384">
        <f t="shared" si="522"/>
        <v>0</v>
      </c>
      <c r="AD185" s="384">
        <f t="shared" si="522"/>
        <v>0</v>
      </c>
      <c r="AE185" s="384">
        <f t="shared" si="522"/>
        <v>-2.0000000000000018E-2</v>
      </c>
      <c r="AF185" s="384">
        <f t="shared" si="522"/>
        <v>0</v>
      </c>
      <c r="AG185" s="384"/>
      <c r="AH185" s="384">
        <f t="shared" si="522"/>
        <v>0</v>
      </c>
      <c r="AI185" s="384">
        <f t="shared" si="522"/>
        <v>0</v>
      </c>
      <c r="AJ185" s="384">
        <f t="shared" si="522"/>
        <v>-1.0000000000000009E-2</v>
      </c>
      <c r="AK185" s="384">
        <f t="shared" si="522"/>
        <v>0</v>
      </c>
      <c r="AL185" s="384"/>
      <c r="AM185" s="384">
        <f t="shared" si="522"/>
        <v>0</v>
      </c>
      <c r="AN185" s="384">
        <f t="shared" si="522"/>
        <v>0</v>
      </c>
      <c r="AO185" s="384">
        <f t="shared" si="522"/>
        <v>0</v>
      </c>
      <c r="AP185" s="384">
        <f t="shared" si="522"/>
        <v>0</v>
      </c>
      <c r="AQ185" s="384"/>
      <c r="AR185" s="384">
        <f t="shared" si="522"/>
        <v>0</v>
      </c>
      <c r="AS185" s="384">
        <f t="shared" si="522"/>
        <v>0</v>
      </c>
      <c r="AT185" s="384">
        <f t="shared" si="522"/>
        <v>0</v>
      </c>
      <c r="AU185" s="384">
        <f t="shared" si="522"/>
        <v>0</v>
      </c>
    </row>
    <row r="186" spans="1:48" s="8" customFormat="1" x14ac:dyDescent="0.3">
      <c r="A186" s="161"/>
      <c r="B186" s="382" t="s">
        <v>323</v>
      </c>
      <c r="Q186" s="384">
        <f t="shared" ref="Q186:T186" si="523">Q113-L113</f>
        <v>-1.0844701708009816E-3</v>
      </c>
      <c r="R186" s="384"/>
      <c r="S186" s="384">
        <f t="shared" si="523"/>
        <v>-2.5553392161973866E-3</v>
      </c>
      <c r="T186" s="384">
        <f t="shared" si="523"/>
        <v>-1.2309816148434665E-2</v>
      </c>
      <c r="U186" s="384">
        <f>U113-P113</f>
        <v>5.2264096219557514E-2</v>
      </c>
      <c r="V186" s="384">
        <f t="shared" ref="V186:AU186" si="524">V113-Q113</f>
        <v>-5.7078651325004406E-3</v>
      </c>
      <c r="W186" s="384"/>
      <c r="X186" s="384">
        <f t="shared" si="524"/>
        <v>0.02</v>
      </c>
      <c r="Y186" s="384">
        <f t="shared" si="524"/>
        <v>0</v>
      </c>
      <c r="Z186" s="384">
        <f t="shared" si="524"/>
        <v>-5.000000000000001E-3</v>
      </c>
      <c r="AA186" s="384">
        <f t="shared" si="524"/>
        <v>-0.03</v>
      </c>
      <c r="AB186" s="384"/>
      <c r="AC186" s="384">
        <f t="shared" si="524"/>
        <v>-0.02</v>
      </c>
      <c r="AD186" s="384">
        <f t="shared" si="524"/>
        <v>0</v>
      </c>
      <c r="AE186" s="384">
        <f t="shared" si="524"/>
        <v>0</v>
      </c>
      <c r="AF186" s="384">
        <f t="shared" si="524"/>
        <v>-0.02</v>
      </c>
      <c r="AG186" s="384"/>
      <c r="AH186" s="384">
        <f t="shared" si="524"/>
        <v>-2.9999999999999992E-3</v>
      </c>
      <c r="AI186" s="384">
        <f t="shared" si="524"/>
        <v>0</v>
      </c>
      <c r="AJ186" s="384">
        <f t="shared" si="524"/>
        <v>0</v>
      </c>
      <c r="AK186" s="384">
        <f t="shared" si="524"/>
        <v>-4.0000000000000001E-3</v>
      </c>
      <c r="AL186" s="384"/>
      <c r="AM186" s="384">
        <f t="shared" si="524"/>
        <v>0</v>
      </c>
      <c r="AN186" s="384">
        <f t="shared" si="524"/>
        <v>0</v>
      </c>
      <c r="AO186" s="384">
        <f t="shared" si="524"/>
        <v>0</v>
      </c>
      <c r="AP186" s="384">
        <f t="shared" si="524"/>
        <v>0</v>
      </c>
      <c r="AQ186" s="384"/>
      <c r="AR186" s="384">
        <f t="shared" si="524"/>
        <v>0</v>
      </c>
      <c r="AS186" s="384">
        <f t="shared" si="524"/>
        <v>0</v>
      </c>
      <c r="AT186" s="384">
        <f t="shared" si="524"/>
        <v>0</v>
      </c>
      <c r="AU186" s="384">
        <f t="shared" si="524"/>
        <v>0</v>
      </c>
    </row>
    <row r="187" spans="1:48" s="8" customFormat="1" x14ac:dyDescent="0.3">
      <c r="A187" s="161"/>
      <c r="B187" s="382" t="s">
        <v>324</v>
      </c>
      <c r="Q187" s="384">
        <f t="shared" ref="Q187:T187" si="525">Q116-L116</f>
        <v>2.3693128623915273E-3</v>
      </c>
      <c r="R187" s="384"/>
      <c r="S187" s="384">
        <f t="shared" si="525"/>
        <v>1.9882391779431439E-3</v>
      </c>
      <c r="T187" s="384">
        <f t="shared" si="525"/>
        <v>-8.1949465585923805E-4</v>
      </c>
      <c r="U187" s="384">
        <f>U116-P116</f>
        <v>-2.2101675866256984E-3</v>
      </c>
      <c r="V187" s="384">
        <f t="shared" ref="V187:AU187" si="526">V116-Q116</f>
        <v>7.190844057926556E-4</v>
      </c>
      <c r="W187" s="384"/>
      <c r="X187" s="384">
        <f t="shared" si="526"/>
        <v>0</v>
      </c>
      <c r="Y187" s="384">
        <f t="shared" si="526"/>
        <v>0</v>
      </c>
      <c r="Z187" s="384">
        <f t="shared" si="526"/>
        <v>0</v>
      </c>
      <c r="AA187" s="384">
        <f t="shared" si="526"/>
        <v>0</v>
      </c>
      <c r="AB187" s="384"/>
      <c r="AC187" s="384">
        <f t="shared" si="526"/>
        <v>0</v>
      </c>
      <c r="AD187" s="384">
        <f t="shared" si="526"/>
        <v>0</v>
      </c>
      <c r="AE187" s="384">
        <f t="shared" si="526"/>
        <v>0</v>
      </c>
      <c r="AF187" s="384">
        <f t="shared" si="526"/>
        <v>0</v>
      </c>
      <c r="AG187" s="384"/>
      <c r="AH187" s="384">
        <f t="shared" si="526"/>
        <v>0</v>
      </c>
      <c r="AI187" s="384">
        <f t="shared" si="526"/>
        <v>0</v>
      </c>
      <c r="AJ187" s="384">
        <f t="shared" si="526"/>
        <v>0</v>
      </c>
      <c r="AK187" s="384">
        <f t="shared" si="526"/>
        <v>0</v>
      </c>
      <c r="AL187" s="384"/>
      <c r="AM187" s="384">
        <f t="shared" si="526"/>
        <v>0</v>
      </c>
      <c r="AN187" s="384">
        <f t="shared" si="526"/>
        <v>0</v>
      </c>
      <c r="AO187" s="384">
        <f t="shared" si="526"/>
        <v>0</v>
      </c>
      <c r="AP187" s="384">
        <f t="shared" si="526"/>
        <v>0</v>
      </c>
      <c r="AQ187" s="384"/>
      <c r="AR187" s="384">
        <f t="shared" si="526"/>
        <v>0</v>
      </c>
      <c r="AS187" s="384">
        <f t="shared" si="526"/>
        <v>0</v>
      </c>
      <c r="AT187" s="384">
        <f t="shared" si="526"/>
        <v>0</v>
      </c>
      <c r="AU187" s="384">
        <f t="shared" si="526"/>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0">
    <mergeCell ref="B7:C7"/>
    <mergeCell ref="A3:A4"/>
    <mergeCell ref="B3:C3"/>
    <mergeCell ref="B4:C4"/>
    <mergeCell ref="B5:C5"/>
    <mergeCell ref="B6:C6"/>
    <mergeCell ref="B39:C39"/>
    <mergeCell ref="B8:C8"/>
    <mergeCell ref="B9:C9"/>
    <mergeCell ref="B16:C16"/>
    <mergeCell ref="B24:C24"/>
    <mergeCell ref="B25:C25"/>
    <mergeCell ref="B30:C30"/>
    <mergeCell ref="B31:C31"/>
    <mergeCell ref="B32:C32"/>
    <mergeCell ref="B33:C33"/>
    <mergeCell ref="B38:C38"/>
    <mergeCell ref="B83:C83"/>
    <mergeCell ref="B40:C40"/>
    <mergeCell ref="B41:C41"/>
    <mergeCell ref="B45:C45"/>
    <mergeCell ref="B50:C50"/>
    <mergeCell ref="B54:C54"/>
    <mergeCell ref="B55:C55"/>
    <mergeCell ref="B59:C59"/>
    <mergeCell ref="B60:C60"/>
    <mergeCell ref="B73:C73"/>
    <mergeCell ref="B74:C74"/>
    <mergeCell ref="B78:C78"/>
    <mergeCell ref="B138:C138"/>
    <mergeCell ref="B87:C87"/>
    <mergeCell ref="B88:C88"/>
    <mergeCell ref="B92:C92"/>
    <mergeCell ref="B93:C93"/>
    <mergeCell ref="B107:C107"/>
    <mergeCell ref="B108:C108"/>
    <mergeCell ref="B110:C110"/>
    <mergeCell ref="B122:C122"/>
    <mergeCell ref="B123:C123"/>
    <mergeCell ref="B125:C125"/>
    <mergeCell ref="B132:C132"/>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72:C172"/>
    <mergeCell ref="B156:C156"/>
    <mergeCell ref="B157:C157"/>
    <mergeCell ref="B158:C158"/>
    <mergeCell ref="B162:C162"/>
    <mergeCell ref="B163:C163"/>
    <mergeCell ref="B165:C16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F1636-53A5-475A-9D30-CA74346C06A7}">
  <sheetPr>
    <tabColor theme="4" tint="0.39997558519241921"/>
    <pageSetUpPr fitToPage="1"/>
  </sheetPr>
  <dimension ref="A1:AV67"/>
  <sheetViews>
    <sheetView showGridLines="0" zoomScale="120" zoomScaleNormal="120" workbookViewId="0">
      <pane xSplit="3" ySplit="5" topLeftCell="R44" activePane="bottomRight" state="frozen"/>
      <selection activeCell="AB90" sqref="AB90"/>
      <selection pane="topRight" activeCell="AB90" sqref="AB90"/>
      <selection pane="bottomLeft" activeCell="AB90" sqref="AB90"/>
      <selection pane="bottomRight" activeCell="AB90" sqref="AB90"/>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583" t="s">
        <v>249</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583" t="s">
        <v>211</v>
      </c>
      <c r="C5" s="584"/>
      <c r="D5" s="13"/>
      <c r="E5" s="13"/>
      <c r="F5" s="13"/>
      <c r="G5" s="258"/>
      <c r="H5" s="259"/>
      <c r="I5" s="258"/>
      <c r="J5" s="13"/>
      <c r="K5" s="13"/>
      <c r="L5" s="258"/>
      <c r="M5" s="259"/>
      <c r="N5" s="258"/>
      <c r="O5" s="13"/>
      <c r="P5" s="13"/>
      <c r="Q5" s="258"/>
      <c r="R5" s="259"/>
      <c r="S5" s="258"/>
      <c r="T5" s="13"/>
      <c r="U5" s="13"/>
      <c r="V5" s="258"/>
      <c r="W5" s="259"/>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580" t="s">
        <v>212</v>
      </c>
      <c r="C6" s="581"/>
      <c r="D6" s="16">
        <f>'CFS (F4Q2022)'!D41</f>
        <v>4761.6000000000004</v>
      </c>
      <c r="E6" s="16">
        <f>'CFS (F4Q2022)'!E41</f>
        <v>2055.1000000000004</v>
      </c>
      <c r="F6" s="16">
        <f>'CFS (F4Q2022)'!F41</f>
        <v>4763.4000000000015</v>
      </c>
      <c r="G6" s="101">
        <f>'CFS (F4Q2022)'!G41</f>
        <v>2686.6000000000022</v>
      </c>
      <c r="H6" s="17">
        <f>G6</f>
        <v>2686.6000000000022</v>
      </c>
      <c r="I6" s="16">
        <f>'CFS (F4Q2022)'!I41</f>
        <v>3040.5000000000036</v>
      </c>
      <c r="J6" s="16">
        <f>'CFS (F4Q2022)'!J41</f>
        <v>2572.3000000000029</v>
      </c>
      <c r="K6" s="16">
        <f>'CFS (F4Q2022)'!K41</f>
        <v>3965.9000000000042</v>
      </c>
      <c r="L6" s="101">
        <f>'CFS (F4Q2022)'!L41</f>
        <v>4350.900000000006</v>
      </c>
      <c r="M6" s="17">
        <f>L6</f>
        <v>4350.900000000006</v>
      </c>
      <c r="N6" s="16">
        <f>'CFS (F4Q2022)'!N41</f>
        <v>5028.00000000001</v>
      </c>
      <c r="O6" s="16">
        <f>'CFS (F4Q2022)'!O41</f>
        <v>3880.6000000000104</v>
      </c>
      <c r="P6" s="16">
        <f>'CFS (F4Q2022)'!P41</f>
        <v>4753.1000000000095</v>
      </c>
      <c r="Q6" s="16">
        <f>'CFS (F4Q2022)'!Q41</f>
        <v>6455.7000000000089</v>
      </c>
      <c r="R6" s="17">
        <f>Q6</f>
        <v>6455.7000000000089</v>
      </c>
      <c r="S6" s="16">
        <f>'CFS (F4Q2022)'!S41</f>
        <v>3969.4000000000078</v>
      </c>
      <c r="T6" s="16">
        <f>'CFS (F4Q2022)'!T41</f>
        <v>3913.4000000000083</v>
      </c>
      <c r="U6" s="16">
        <f>'CFS (F4Q2022)'!U41</f>
        <v>3177.5000000000073</v>
      </c>
      <c r="V6" s="16">
        <f>'CFS (F4Q2022)'!V41</f>
        <v>2818.3000000000061</v>
      </c>
      <c r="W6" s="17">
        <f>V6</f>
        <v>2818.3000000000061</v>
      </c>
      <c r="X6" s="16">
        <f>'CFS (F4Q2022)'!X41</f>
        <v>3820.5170959622287</v>
      </c>
      <c r="Y6" s="16">
        <f>'CFS (F4Q2022)'!Y41</f>
        <v>3379.6981539112676</v>
      </c>
      <c r="Z6" s="16">
        <f>'CFS (F4Q2022)'!Z41</f>
        <v>3190.3687953468434</v>
      </c>
      <c r="AA6" s="16">
        <f>'CFS (F4Q2022)'!AA41</f>
        <v>3736.7664516016048</v>
      </c>
      <c r="AB6" s="17">
        <f>AA6</f>
        <v>3736.7664516016048</v>
      </c>
      <c r="AC6" s="16">
        <f>'CFS (F4Q2022)'!AC41</f>
        <v>4672.3836399376105</v>
      </c>
      <c r="AD6" s="16">
        <f>'CFS (F4Q2022)'!AD41</f>
        <v>4448.8516321989719</v>
      </c>
      <c r="AE6" s="16">
        <f>'CFS (F4Q2022)'!AE41</f>
        <v>4488.7413614245952</v>
      </c>
      <c r="AF6" s="16">
        <f>'CFS (F4Q2022)'!AF41</f>
        <v>4904.4499921261386</v>
      </c>
      <c r="AG6" s="17">
        <f>AF6</f>
        <v>4904.4499921261386</v>
      </c>
      <c r="AH6" s="16">
        <f>'CFS (F4Q2022)'!AH41</f>
        <v>5920.6556147323809</v>
      </c>
      <c r="AI6" s="16">
        <f>'CFS (F4Q2022)'!AI41</f>
        <v>5708.2772645722753</v>
      </c>
      <c r="AJ6" s="16">
        <f>'CFS (F4Q2022)'!AJ41</f>
        <v>6077.7103525739431</v>
      </c>
      <c r="AK6" s="16">
        <f>'CFS (F4Q2022)'!AK41</f>
        <v>1423.1004341304433</v>
      </c>
      <c r="AL6" s="17">
        <f>AK6</f>
        <v>1423.1004341304433</v>
      </c>
      <c r="AM6" s="16">
        <f>'CFS (F4Q2022)'!AM41</f>
        <v>2523.56260659393</v>
      </c>
      <c r="AN6" s="16">
        <f>'CFS (F4Q2022)'!AN41</f>
        <v>2168.8463905030494</v>
      </c>
      <c r="AO6" s="16">
        <f>'CFS (F4Q2022)'!AO41</f>
        <v>2232.1163702638842</v>
      </c>
      <c r="AP6" s="16">
        <f>'CFS (F4Q2022)'!AP41</f>
        <v>2786.091805340955</v>
      </c>
      <c r="AQ6" s="17">
        <f>AP6</f>
        <v>2786.091805340955</v>
      </c>
      <c r="AR6" s="16">
        <f>'CFS (F4Q2022)'!AR41</f>
        <v>4049.0122187580828</v>
      </c>
      <c r="AS6" s="16">
        <f>'CFS (F4Q2022)'!AS41</f>
        <v>3783.8105160840214</v>
      </c>
      <c r="AT6" s="16">
        <f>'CFS (F4Q2022)'!AT41</f>
        <v>3973.7965368708992</v>
      </c>
      <c r="AU6" s="16">
        <f>'CFS (F4Q2022)'!AU41</f>
        <v>4572.5997938213523</v>
      </c>
      <c r="AV6" s="17">
        <f>AU6</f>
        <v>4572.5997938213523</v>
      </c>
    </row>
    <row r="7" spans="1:48" ht="14.55" customHeight="1" outlineLevel="1" x14ac:dyDescent="0.3">
      <c r="A7" s="161"/>
      <c r="B7" s="200" t="s">
        <v>213</v>
      </c>
      <c r="C7" s="201"/>
      <c r="D7" s="16">
        <v>230.2</v>
      </c>
      <c r="E7" s="16">
        <v>76.599999999999994</v>
      </c>
      <c r="F7" s="16">
        <v>72.099999999999994</v>
      </c>
      <c r="G7" s="16">
        <v>70.5</v>
      </c>
      <c r="H7" s="17">
        <f>+G7</f>
        <v>70.5</v>
      </c>
      <c r="I7" s="16">
        <v>68.400000000000006</v>
      </c>
      <c r="J7" s="16">
        <v>52.9</v>
      </c>
      <c r="K7" s="16">
        <v>229.9</v>
      </c>
      <c r="L7" s="16">
        <v>281.2</v>
      </c>
      <c r="M7" s="17">
        <f>+L7</f>
        <v>281.2</v>
      </c>
      <c r="N7" s="16">
        <v>235.5</v>
      </c>
      <c r="O7" s="16">
        <v>123</v>
      </c>
      <c r="P7" s="16">
        <v>153.6</v>
      </c>
      <c r="Q7" s="101">
        <v>162.19999999999999</v>
      </c>
      <c r="R7" s="17">
        <f>+Q7</f>
        <v>162.19999999999999</v>
      </c>
      <c r="S7" s="16">
        <v>87.4</v>
      </c>
      <c r="T7" s="16">
        <v>82.1</v>
      </c>
      <c r="U7" s="16">
        <v>76.900000000000006</v>
      </c>
      <c r="V7" s="16">
        <v>364.5</v>
      </c>
      <c r="W7" s="17">
        <f>+V7</f>
        <v>364.5</v>
      </c>
      <c r="X7" s="16">
        <f>+X53*X42*X54</f>
        <v>136.39463094252216</v>
      </c>
      <c r="Y7" s="16">
        <f>+Y53*Y42*Y54</f>
        <v>149.67757639332876</v>
      </c>
      <c r="Z7" s="16">
        <f>+Z53*Z42*Z54</f>
        <v>174.01392514736213</v>
      </c>
      <c r="AA7" s="16">
        <f>+AA53*AA42*AA54</f>
        <v>205.28192886207799</v>
      </c>
      <c r="AB7" s="17">
        <f>+AA7</f>
        <v>205.28192886207799</v>
      </c>
      <c r="AC7" s="16">
        <f>+AC53*AC42*AC54</f>
        <v>175.04132642942093</v>
      </c>
      <c r="AD7" s="16">
        <f>+AD53*AD42*AD54</f>
        <v>182.59137234831502</v>
      </c>
      <c r="AE7" s="16">
        <f>+AE53*AE42*AE54</f>
        <v>192.4550252325318</v>
      </c>
      <c r="AF7" s="16">
        <f>+AF53*AF42*AF54</f>
        <v>196.90355750190028</v>
      </c>
      <c r="AG7" s="17">
        <f>+AF7</f>
        <v>196.90355750190028</v>
      </c>
      <c r="AH7" s="16">
        <f>+AH53*AH42*AH54</f>
        <v>198.24016134973016</v>
      </c>
      <c r="AI7" s="16">
        <f>+AI53*AI42*AI54</f>
        <v>200.77386816358245</v>
      </c>
      <c r="AJ7" s="16">
        <f>+AJ53*AJ42*AJ54</f>
        <v>208.87115995686779</v>
      </c>
      <c r="AK7" s="16">
        <f>+AK53*AK42*AK54</f>
        <v>179.42710266139906</v>
      </c>
      <c r="AL7" s="17">
        <f>+AK7</f>
        <v>179.42710266139906</v>
      </c>
      <c r="AM7" s="16">
        <f>+AM53*AM42*AM54</f>
        <v>185.5527157925693</v>
      </c>
      <c r="AN7" s="16">
        <f>+AN53*AN42*AN54</f>
        <v>185.20734250504665</v>
      </c>
      <c r="AO7" s="16">
        <f>+AO53*AO42*AO54</f>
        <v>190.86713549059959</v>
      </c>
      <c r="AP7" s="16">
        <f>+AP53*AP42*AP54</f>
        <v>193.89550340560109</v>
      </c>
      <c r="AQ7" s="17">
        <f>+AP7</f>
        <v>193.89550340560109</v>
      </c>
      <c r="AR7" s="16">
        <f>+AR53*AR42*AR54</f>
        <v>201.67214680248034</v>
      </c>
      <c r="AS7" s="16">
        <f>+AS53*AS42*AS54</f>
        <v>201.41281097149638</v>
      </c>
      <c r="AT7" s="16">
        <f>+AT53*AT42*AT54</f>
        <v>207.70204941308594</v>
      </c>
      <c r="AU7" s="16">
        <f>+AU53*AU42*AU54</f>
        <v>211.44137698849386</v>
      </c>
      <c r="AV7" s="17">
        <f>+AU7</f>
        <v>211.44137698849386</v>
      </c>
    </row>
    <row r="8" spans="1:48" s="23" customFormat="1" ht="14.55" customHeight="1" outlineLevel="1" x14ac:dyDescent="0.3">
      <c r="A8" s="161"/>
      <c r="B8" s="580" t="s">
        <v>214</v>
      </c>
      <c r="C8" s="581"/>
      <c r="D8" s="16">
        <v>721.4</v>
      </c>
      <c r="E8" s="16">
        <v>703.6</v>
      </c>
      <c r="F8" s="16">
        <v>790.6</v>
      </c>
      <c r="G8" s="16">
        <v>879</v>
      </c>
      <c r="H8" s="17">
        <f>G8</f>
        <v>879</v>
      </c>
      <c r="I8" s="16">
        <v>908.1</v>
      </c>
      <c r="J8" s="16">
        <v>941</v>
      </c>
      <c r="K8" s="16">
        <v>881.1</v>
      </c>
      <c r="L8" s="16">
        <v>883.4</v>
      </c>
      <c r="M8" s="17">
        <f>L8</f>
        <v>883.4</v>
      </c>
      <c r="N8" s="16">
        <v>888</v>
      </c>
      <c r="O8" s="16">
        <v>880.2</v>
      </c>
      <c r="P8" s="16">
        <v>911.2</v>
      </c>
      <c r="Q8" s="101">
        <v>940</v>
      </c>
      <c r="R8" s="17">
        <f>Q8</f>
        <v>940</v>
      </c>
      <c r="S8" s="16">
        <v>1031.0999999999999</v>
      </c>
      <c r="T8" s="16">
        <v>1001.9</v>
      </c>
      <c r="U8" s="16">
        <v>1146.0999999999999</v>
      </c>
      <c r="V8" s="16">
        <v>1175.5</v>
      </c>
      <c r="W8" s="17">
        <f>V8</f>
        <v>1175.5</v>
      </c>
      <c r="X8" s="16">
        <f>'IS (F4Q2022)'!X8/X47</f>
        <v>1127.2288736753619</v>
      </c>
      <c r="Y8" s="16">
        <f>'IS (F4Q2022)'!Y8/Y47</f>
        <v>1175.0702922684407</v>
      </c>
      <c r="Z8" s="16">
        <f>'IS (F4Q2022)'!Z8/Z47</f>
        <v>1378.6230180058026</v>
      </c>
      <c r="AA8" s="16">
        <f>'IS (F4Q2022)'!AA8/AA47</f>
        <v>1254.1873003371102</v>
      </c>
      <c r="AB8" s="17">
        <f>AA8</f>
        <v>1254.1873003371102</v>
      </c>
      <c r="AC8" s="16">
        <f>'IS (F4Q2022)'!AC8/AC47</f>
        <v>1269.8499006167028</v>
      </c>
      <c r="AD8" s="16">
        <f>'IS (F4Q2022)'!AD8/AD47</f>
        <v>1241.3655651255372</v>
      </c>
      <c r="AE8" s="16">
        <f>'IS (F4Q2022)'!AE8/AE47</f>
        <v>1381.302017265785</v>
      </c>
      <c r="AF8" s="16">
        <f>'IS (F4Q2022)'!AF8/AF47</f>
        <v>1344.456587767974</v>
      </c>
      <c r="AG8" s="17">
        <f>AF8</f>
        <v>1344.456587767974</v>
      </c>
      <c r="AH8" s="16">
        <f>'IS (F4Q2022)'!AH8/AH47</f>
        <v>1408.7210994353084</v>
      </c>
      <c r="AI8" s="16">
        <f>'IS (F4Q2022)'!AI8/AI47</f>
        <v>1390.0216187659919</v>
      </c>
      <c r="AJ8" s="16">
        <f>'IS (F4Q2022)'!AJ8/AJ47</f>
        <v>1603.686934375505</v>
      </c>
      <c r="AK8" s="16">
        <f>'IS (F4Q2022)'!AK8/AK47</f>
        <v>1557.9162809828622</v>
      </c>
      <c r="AL8" s="17">
        <f>AK8</f>
        <v>1557.9162809828622</v>
      </c>
      <c r="AM8" s="16">
        <f>'IS (F4Q2022)'!AM8/AM47</f>
        <v>1552.8195219740298</v>
      </c>
      <c r="AN8" s="16">
        <f>'IS (F4Q2022)'!AN8/AN47</f>
        <v>1534.6270868407362</v>
      </c>
      <c r="AO8" s="16">
        <f>'IS (F4Q2022)'!AO8/AO47</f>
        <v>1752.9952579515636</v>
      </c>
      <c r="AP8" s="16">
        <f>'IS (F4Q2022)'!AP8/AP47</f>
        <v>1665.5456302964474</v>
      </c>
      <c r="AQ8" s="17">
        <f>AP8</f>
        <v>1665.5456302964474</v>
      </c>
      <c r="AR8" s="16">
        <f>'IS (F4Q2022)'!AR8/AR47</f>
        <v>1653.758772086208</v>
      </c>
      <c r="AS8" s="16">
        <f>'IS (F4Q2022)'!AS8/AS47</f>
        <v>1620.5461145674155</v>
      </c>
      <c r="AT8" s="16">
        <f>'IS (F4Q2022)'!AT8/AT47</f>
        <v>1836.3494445703218</v>
      </c>
      <c r="AU8" s="16">
        <f>'IS (F4Q2022)'!AU8/AU47</f>
        <v>1768.917229960613</v>
      </c>
      <c r="AV8" s="17">
        <f>AU8</f>
        <v>1768.917229960613</v>
      </c>
    </row>
    <row r="9" spans="1:48" s="23" customFormat="1" ht="14.55" customHeight="1" outlineLevel="1" x14ac:dyDescent="0.3">
      <c r="A9" s="161"/>
      <c r="B9" s="200" t="s">
        <v>215</v>
      </c>
      <c r="C9" s="201"/>
      <c r="D9" s="16">
        <v>1354.6</v>
      </c>
      <c r="E9" s="16">
        <v>1443</v>
      </c>
      <c r="F9" s="16">
        <v>1517.2</v>
      </c>
      <c r="G9" s="16">
        <v>1529.4</v>
      </c>
      <c r="H9" s="17">
        <f>G9</f>
        <v>1529.4</v>
      </c>
      <c r="I9" s="16">
        <v>1408.7</v>
      </c>
      <c r="J9" s="16">
        <v>1492.2</v>
      </c>
      <c r="K9" s="16">
        <v>1583.8</v>
      </c>
      <c r="L9" s="16">
        <v>1551.4</v>
      </c>
      <c r="M9" s="17">
        <f>L9</f>
        <v>1551.4</v>
      </c>
      <c r="N9" s="16">
        <v>1471.5</v>
      </c>
      <c r="O9" s="16">
        <v>1503.6</v>
      </c>
      <c r="P9" s="16">
        <v>1548.2</v>
      </c>
      <c r="Q9" s="101">
        <v>1603.9</v>
      </c>
      <c r="R9" s="17">
        <f>Q9</f>
        <v>1603.9</v>
      </c>
      <c r="S9" s="16">
        <v>1637.1</v>
      </c>
      <c r="T9" s="16">
        <v>1920</v>
      </c>
      <c r="U9" s="16">
        <v>2132.9</v>
      </c>
      <c r="V9" s="16">
        <v>2176.6</v>
      </c>
      <c r="W9" s="17">
        <f>V9</f>
        <v>2176.6</v>
      </c>
      <c r="X9" s="16">
        <f>'IS (F4Q2022)'!X9/X49</f>
        <v>1863.3942556110537</v>
      </c>
      <c r="Y9" s="16">
        <f>'IS (F4Q2022)'!Y9/Y49</f>
        <v>2051.1527470141064</v>
      </c>
      <c r="Z9" s="16">
        <f>'IS (F4Q2022)'!Z9/Z49</f>
        <v>2469.9557981226026</v>
      </c>
      <c r="AA9" s="16">
        <f>'IS (F4Q2022)'!AA9/AA49</f>
        <v>2190.078900580032</v>
      </c>
      <c r="AB9" s="17">
        <f>AA9</f>
        <v>2190.078900580032</v>
      </c>
      <c r="AC9" s="16">
        <f>'IS (F4Q2022)'!AC9/AC49</f>
        <v>2053.263987951585</v>
      </c>
      <c r="AD9" s="16">
        <f>'IS (F4Q2022)'!AD9/AD49</f>
        <v>2218.7566322600333</v>
      </c>
      <c r="AE9" s="16">
        <f>'IS (F4Q2022)'!AE9/AE49</f>
        <v>2510.9138638898899</v>
      </c>
      <c r="AF9" s="16">
        <f>'IS (F4Q2022)'!AF9/AF49</f>
        <v>2410.360746264605</v>
      </c>
      <c r="AG9" s="17">
        <f>AF9</f>
        <v>2410.360746264605</v>
      </c>
      <c r="AH9" s="16">
        <f>'IS (F4Q2022)'!AH9/AH49</f>
        <v>2229.4709960281257</v>
      </c>
      <c r="AI9" s="16">
        <f>'IS (F4Q2022)'!AI9/AI49</f>
        <v>2462.6014235616344</v>
      </c>
      <c r="AJ9" s="16">
        <f>'IS (F4Q2022)'!AJ9/AJ49</f>
        <v>2864.7370598490347</v>
      </c>
      <c r="AK9" s="16">
        <f>'IS (F4Q2022)'!AK9/AK49</f>
        <v>2786.6674921401864</v>
      </c>
      <c r="AL9" s="17">
        <f>AK9</f>
        <v>2786.6674921401864</v>
      </c>
      <c r="AM9" s="16">
        <f>'IS (F4Q2022)'!AM9/AM49</f>
        <v>2465.5375445395066</v>
      </c>
      <c r="AN9" s="16">
        <f>'IS (F4Q2022)'!AN9/AN49</f>
        <v>2674.034195745528</v>
      </c>
      <c r="AO9" s="16">
        <f>'IS (F4Q2022)'!AO9/AO49</f>
        <v>3108.9733693116436</v>
      </c>
      <c r="AP9" s="16">
        <f>'IS (F4Q2022)'!AP9/AP49</f>
        <v>2959.6307766927971</v>
      </c>
      <c r="AQ9" s="17">
        <f>AP9</f>
        <v>2959.6307766927971</v>
      </c>
      <c r="AR9" s="16">
        <f>'IS (F4Q2022)'!AR9/AR49</f>
        <v>2626.3602581018004</v>
      </c>
      <c r="AS9" s="16">
        <f>'IS (F4Q2022)'!AS9/AS49</f>
        <v>2845.6295190067722</v>
      </c>
      <c r="AT9" s="16">
        <f>'IS (F4Q2022)'!AT9/AT49</f>
        <v>3266.1755705443188</v>
      </c>
      <c r="AU9" s="16">
        <f>'IS (F4Q2022)'!AU9/AU49</f>
        <v>3144.77103183801</v>
      </c>
      <c r="AV9" s="17">
        <f>AU9</f>
        <v>3144.77103183801</v>
      </c>
    </row>
    <row r="10" spans="1:48" ht="16.2" customHeight="1" outlineLevel="1" x14ac:dyDescent="0.45">
      <c r="A10" s="161"/>
      <c r="B10" s="580" t="s">
        <v>216</v>
      </c>
      <c r="C10" s="581"/>
      <c r="D10" s="260">
        <v>608.5</v>
      </c>
      <c r="E10" s="112">
        <v>674</v>
      </c>
      <c r="F10" s="112">
        <v>591.6</v>
      </c>
      <c r="G10" s="112">
        <v>488.2</v>
      </c>
      <c r="H10" s="261">
        <f>G10</f>
        <v>488.2</v>
      </c>
      <c r="I10" s="112">
        <v>474</v>
      </c>
      <c r="J10" s="112">
        <v>691.5</v>
      </c>
      <c r="K10" s="112">
        <v>920.3</v>
      </c>
      <c r="L10" s="112">
        <v>739.5</v>
      </c>
      <c r="M10" s="261">
        <f>L10</f>
        <v>739.5</v>
      </c>
      <c r="N10" s="112">
        <v>734.4</v>
      </c>
      <c r="O10" s="112">
        <v>592</v>
      </c>
      <c r="P10" s="112">
        <v>565.6</v>
      </c>
      <c r="Q10" s="112">
        <v>594.6</v>
      </c>
      <c r="R10" s="261">
        <f>Q10</f>
        <v>594.6</v>
      </c>
      <c r="S10" s="112">
        <v>530.1</v>
      </c>
      <c r="T10" s="112">
        <v>623.70000000000005</v>
      </c>
      <c r="U10" s="112">
        <v>534.1</v>
      </c>
      <c r="V10" s="112">
        <v>483.7</v>
      </c>
      <c r="W10" s="261">
        <f>V10</f>
        <v>483.7</v>
      </c>
      <c r="X10" s="32">
        <f>V10*1.01</f>
        <v>488.53699999999998</v>
      </c>
      <c r="Y10" s="32">
        <f>X10*1.01</f>
        <v>493.42237</v>
      </c>
      <c r="Z10" s="32">
        <f>Y10*1.01</f>
        <v>498.35659370000002</v>
      </c>
      <c r="AA10" s="32">
        <f>Z10*1.01</f>
        <v>503.340159637</v>
      </c>
      <c r="AB10" s="261">
        <f>AA10</f>
        <v>503.340159637</v>
      </c>
      <c r="AC10" s="32">
        <f>AA10*1.01</f>
        <v>508.37356123337003</v>
      </c>
      <c r="AD10" s="32">
        <f>AC10*1.01</f>
        <v>513.45729684570369</v>
      </c>
      <c r="AE10" s="32">
        <f>AD10*1.01</f>
        <v>518.59186981416076</v>
      </c>
      <c r="AF10" s="32">
        <f>AE10*1.01</f>
        <v>523.77778851230232</v>
      </c>
      <c r="AG10" s="261">
        <f>AF10</f>
        <v>523.77778851230232</v>
      </c>
      <c r="AH10" s="32">
        <f>AF10*1.01</f>
        <v>529.01556639742535</v>
      </c>
      <c r="AI10" s="32">
        <f>AH10*1.01</f>
        <v>534.30572206139959</v>
      </c>
      <c r="AJ10" s="32">
        <f>AI10*1.01</f>
        <v>539.64877928201361</v>
      </c>
      <c r="AK10" s="32">
        <f>AJ10*1.01</f>
        <v>545.04526707483376</v>
      </c>
      <c r="AL10" s="261">
        <f>AK10</f>
        <v>545.04526707483376</v>
      </c>
      <c r="AM10" s="32">
        <f>AK10*1.01</f>
        <v>550.49571974558205</v>
      </c>
      <c r="AN10" s="32">
        <f>AM10*1.01</f>
        <v>556.00067694303789</v>
      </c>
      <c r="AO10" s="32">
        <f>AN10*1.01</f>
        <v>561.56068371246829</v>
      </c>
      <c r="AP10" s="32">
        <f>AO10*1.01</f>
        <v>567.17629054959298</v>
      </c>
      <c r="AQ10" s="261">
        <f>AP10</f>
        <v>567.17629054959298</v>
      </c>
      <c r="AR10" s="32">
        <f>AP10*1.01</f>
        <v>572.84805345508892</v>
      </c>
      <c r="AS10" s="32">
        <f>AR10*1.01</f>
        <v>578.57653398963976</v>
      </c>
      <c r="AT10" s="32">
        <f>AS10*1.01</f>
        <v>584.3622993295362</v>
      </c>
      <c r="AU10" s="32">
        <f>AT10*1.01</f>
        <v>590.20592232283161</v>
      </c>
      <c r="AV10" s="261">
        <f>AU10</f>
        <v>590.20592232283161</v>
      </c>
    </row>
    <row r="11" spans="1:48" ht="14.55" customHeight="1" outlineLevel="1" x14ac:dyDescent="0.3">
      <c r="A11" s="161"/>
      <c r="B11" s="205" t="s">
        <v>217</v>
      </c>
      <c r="C11" s="206"/>
      <c r="D11" s="21">
        <f t="shared" ref="D11:AV11" si="0">SUM(D6:D10)</f>
        <v>7676.2999999999993</v>
      </c>
      <c r="E11" s="21">
        <f t="shared" si="0"/>
        <v>4952.3</v>
      </c>
      <c r="F11" s="21">
        <f t="shared" si="0"/>
        <v>7734.9000000000024</v>
      </c>
      <c r="G11" s="21">
        <f t="shared" si="0"/>
        <v>5653.7000000000016</v>
      </c>
      <c r="H11" s="22">
        <f t="shared" si="0"/>
        <v>5653.7000000000016</v>
      </c>
      <c r="I11" s="21">
        <f t="shared" si="0"/>
        <v>5899.7000000000035</v>
      </c>
      <c r="J11" s="21">
        <f t="shared" si="0"/>
        <v>5749.9000000000033</v>
      </c>
      <c r="K11" s="21">
        <f t="shared" si="0"/>
        <v>7581.0000000000045</v>
      </c>
      <c r="L11" s="116">
        <f t="shared" si="0"/>
        <v>7806.4000000000051</v>
      </c>
      <c r="M11" s="22">
        <f t="shared" si="0"/>
        <v>7806.4000000000051</v>
      </c>
      <c r="N11" s="21">
        <f t="shared" si="0"/>
        <v>8357.4000000000106</v>
      </c>
      <c r="O11" s="21">
        <f t="shared" si="0"/>
        <v>6979.4000000000106</v>
      </c>
      <c r="P11" s="21">
        <f t="shared" si="0"/>
        <v>7931.7000000000098</v>
      </c>
      <c r="Q11" s="116">
        <f t="shared" si="0"/>
        <v>9756.4000000000087</v>
      </c>
      <c r="R11" s="22">
        <f t="shared" si="0"/>
        <v>9756.4000000000087</v>
      </c>
      <c r="S11" s="21">
        <f t="shared" si="0"/>
        <v>7255.1000000000076</v>
      </c>
      <c r="T11" s="21">
        <f t="shared" si="0"/>
        <v>7541.1000000000076</v>
      </c>
      <c r="U11" s="21">
        <f t="shared" si="0"/>
        <v>7067.5000000000073</v>
      </c>
      <c r="V11" s="116">
        <f t="shared" si="0"/>
        <v>7018.6000000000067</v>
      </c>
      <c r="W11" s="22">
        <f t="shared" si="0"/>
        <v>7018.6000000000067</v>
      </c>
      <c r="X11" s="21">
        <f t="shared" si="0"/>
        <v>7436.0718561911672</v>
      </c>
      <c r="Y11" s="21">
        <f t="shared" si="0"/>
        <v>7249.0211395871438</v>
      </c>
      <c r="Z11" s="21">
        <f t="shared" si="0"/>
        <v>7711.3181303226111</v>
      </c>
      <c r="AA11" s="21">
        <f t="shared" si="0"/>
        <v>7889.6547410178264</v>
      </c>
      <c r="AB11" s="22">
        <f t="shared" si="0"/>
        <v>7889.6547410178264</v>
      </c>
      <c r="AC11" s="21">
        <f t="shared" si="0"/>
        <v>8678.9124161686887</v>
      </c>
      <c r="AD11" s="21">
        <f t="shared" si="0"/>
        <v>8605.0224987785623</v>
      </c>
      <c r="AE11" s="21">
        <f t="shared" si="0"/>
        <v>9092.0041376269637</v>
      </c>
      <c r="AF11" s="21">
        <f t="shared" si="0"/>
        <v>9379.9486721729227</v>
      </c>
      <c r="AG11" s="22">
        <f t="shared" si="0"/>
        <v>9379.9486721729227</v>
      </c>
      <c r="AH11" s="21">
        <f t="shared" si="0"/>
        <v>10286.103437942971</v>
      </c>
      <c r="AI11" s="21">
        <f t="shared" si="0"/>
        <v>10295.979897124884</v>
      </c>
      <c r="AJ11" s="21">
        <f t="shared" si="0"/>
        <v>11294.654286037365</v>
      </c>
      <c r="AK11" s="21">
        <f t="shared" si="0"/>
        <v>6492.1565769897243</v>
      </c>
      <c r="AL11" s="22">
        <f t="shared" si="0"/>
        <v>6492.1565769897243</v>
      </c>
      <c r="AM11" s="21">
        <f t="shared" si="0"/>
        <v>7277.9681086456185</v>
      </c>
      <c r="AN11" s="21">
        <f t="shared" si="0"/>
        <v>7118.7156925373984</v>
      </c>
      <c r="AO11" s="21">
        <f t="shared" si="0"/>
        <v>7846.5128167301591</v>
      </c>
      <c r="AP11" s="21">
        <f t="shared" si="0"/>
        <v>8172.3400062853925</v>
      </c>
      <c r="AQ11" s="22">
        <f t="shared" si="0"/>
        <v>8172.3400062853925</v>
      </c>
      <c r="AR11" s="21">
        <f t="shared" si="0"/>
        <v>9103.6514492036604</v>
      </c>
      <c r="AS11" s="21">
        <f t="shared" si="0"/>
        <v>9029.9754946193461</v>
      </c>
      <c r="AT11" s="21">
        <f t="shared" si="0"/>
        <v>9868.3859007281608</v>
      </c>
      <c r="AU11" s="21">
        <f t="shared" si="0"/>
        <v>10287.935354931302</v>
      </c>
      <c r="AV11" s="22">
        <f t="shared" si="0"/>
        <v>10287.935354931302</v>
      </c>
    </row>
    <row r="12" spans="1:48" ht="14.55" customHeight="1" outlineLevel="1" x14ac:dyDescent="0.3">
      <c r="A12" s="161"/>
      <c r="B12" s="200" t="s">
        <v>218</v>
      </c>
      <c r="C12" s="207"/>
      <c r="D12" s="16">
        <v>265</v>
      </c>
      <c r="E12" s="16">
        <v>251.9</v>
      </c>
      <c r="F12" s="16">
        <v>222.6</v>
      </c>
      <c r="G12" s="16">
        <v>220</v>
      </c>
      <c r="H12" s="17">
        <f t="shared" ref="H12:H18" si="1">+G12</f>
        <v>220</v>
      </c>
      <c r="I12" s="16">
        <v>199.8</v>
      </c>
      <c r="J12" s="16">
        <v>198.8</v>
      </c>
      <c r="K12" s="16">
        <v>223.4</v>
      </c>
      <c r="L12" s="101">
        <v>206.1</v>
      </c>
      <c r="M12" s="17">
        <f>+L12</f>
        <v>206.1</v>
      </c>
      <c r="N12" s="16">
        <v>190.9</v>
      </c>
      <c r="O12" s="16">
        <v>284.8</v>
      </c>
      <c r="P12" s="16">
        <v>285.89999999999998</v>
      </c>
      <c r="Q12" s="101">
        <v>281.7</v>
      </c>
      <c r="R12" s="17">
        <f>+Q12</f>
        <v>281.7</v>
      </c>
      <c r="S12" s="16">
        <v>299.60000000000002</v>
      </c>
      <c r="T12" s="16">
        <v>285.60000000000002</v>
      </c>
      <c r="U12" s="16">
        <v>292.5</v>
      </c>
      <c r="V12" s="101">
        <v>279.10000000000002</v>
      </c>
      <c r="W12" s="17">
        <f>+V12</f>
        <v>279.10000000000002</v>
      </c>
      <c r="X12" s="16">
        <f>+X53*X42*(1-X54)</f>
        <v>309.47036917810476</v>
      </c>
      <c r="Y12" s="16">
        <f>+Y53*Y42*(1-Y54)</f>
        <v>309.55787976924427</v>
      </c>
      <c r="Z12" s="16">
        <f>+Z53*Z42*(1-Z54)</f>
        <v>320.92069873459377</v>
      </c>
      <c r="AA12" s="16">
        <f>+AA53*AA42*(1-AA54)</f>
        <v>324.55542377836758</v>
      </c>
      <c r="AB12" s="17">
        <f>+AA12</f>
        <v>324.55542377836758</v>
      </c>
      <c r="AC12" s="16">
        <f>+AC53*AC42*(1-AC54)</f>
        <v>335.70355865022316</v>
      </c>
      <c r="AD12" s="16">
        <f>+AD53*AD42*(1-AD54)</f>
        <v>336.25259496509074</v>
      </c>
      <c r="AE12" s="16">
        <f>+AE53*AE42*(1-AE54)</f>
        <v>344.50250840872837</v>
      </c>
      <c r="AF12" s="16">
        <f>+AF53*AF42*(1-AF54)</f>
        <v>349.86159109792777</v>
      </c>
      <c r="AG12" s="17">
        <f>+AF12</f>
        <v>349.86159109792777</v>
      </c>
      <c r="AH12" s="16">
        <f>+AH53*AH42*(1-AH54)</f>
        <v>362.87797483013395</v>
      </c>
      <c r="AI12" s="16">
        <f>+AI53*AI42*(1-AI54)</f>
        <v>363.29406881708559</v>
      </c>
      <c r="AJ12" s="16">
        <f>+AJ53*AJ42*(1-AJ54)</f>
        <v>376.29383269405315</v>
      </c>
      <c r="AK12" s="16">
        <f>+AK53*AK42*(1-AK54)</f>
        <v>323.76793535068208</v>
      </c>
      <c r="AL12" s="17">
        <f>+AK12</f>
        <v>323.76793535068208</v>
      </c>
      <c r="AM12" s="16">
        <f>+AM53*AM42*(1-AM54)</f>
        <v>336.11933605082407</v>
      </c>
      <c r="AN12" s="16">
        <f>+AN53*AN42*(1-AN54)</f>
        <v>334.61918291841585</v>
      </c>
      <c r="AO12" s="16">
        <f>+AO53*AO42*(1-AO54)</f>
        <v>344.71423104310929</v>
      </c>
      <c r="AP12" s="16">
        <f>+AP53*AP42*(1-AP54)</f>
        <v>350.40135268714835</v>
      </c>
      <c r="AQ12" s="17">
        <f>+AP12</f>
        <v>350.40135268714835</v>
      </c>
      <c r="AR12" s="16">
        <f>+AR53*AR42*(1-AR54)</f>
        <v>364.59193967463409</v>
      </c>
      <c r="AS12" s="16">
        <f>+AS53*AS42*(1-AS54)</f>
        <v>363.94189313931298</v>
      </c>
      <c r="AT12" s="16">
        <f>+AT53*AT42*(1-AT54)</f>
        <v>375.31750666292402</v>
      </c>
      <c r="AU12" s="16">
        <f>+AU53*AU42*(1-AU54)</f>
        <v>382.12506051541317</v>
      </c>
      <c r="AV12" s="17">
        <f>+AU12</f>
        <v>382.12506051541317</v>
      </c>
    </row>
    <row r="13" spans="1:48" ht="14.55" customHeight="1" outlineLevel="1" x14ac:dyDescent="0.3">
      <c r="A13" s="161"/>
      <c r="B13" s="200" t="s">
        <v>219</v>
      </c>
      <c r="C13" s="207"/>
      <c r="D13" s="16">
        <v>336.1</v>
      </c>
      <c r="E13" s="16">
        <v>309.3</v>
      </c>
      <c r="F13" s="16">
        <v>340.3</v>
      </c>
      <c r="G13" s="16">
        <v>396</v>
      </c>
      <c r="H13" s="17">
        <f t="shared" si="1"/>
        <v>396</v>
      </c>
      <c r="I13" s="16">
        <v>411.3</v>
      </c>
      <c r="J13" s="16">
        <v>420.9</v>
      </c>
      <c r="K13" s="16">
        <v>426.1</v>
      </c>
      <c r="L13" s="101">
        <v>478.7</v>
      </c>
      <c r="M13" s="17">
        <f>+L13</f>
        <v>478.7</v>
      </c>
      <c r="N13" s="16">
        <v>496</v>
      </c>
      <c r="O13" s="16">
        <v>499.4</v>
      </c>
      <c r="P13" s="16">
        <v>535.29999999999995</v>
      </c>
      <c r="Q13" s="101">
        <v>268.5</v>
      </c>
      <c r="R13" s="17">
        <f>+Q13</f>
        <v>268.5</v>
      </c>
      <c r="S13" s="16">
        <v>251.9</v>
      </c>
      <c r="T13" s="16">
        <v>270.8</v>
      </c>
      <c r="U13" s="16">
        <v>302.7</v>
      </c>
      <c r="V13" s="101">
        <v>311.2</v>
      </c>
      <c r="W13" s="17">
        <f>+V13</f>
        <v>311.2</v>
      </c>
      <c r="X13" s="33">
        <f>V13</f>
        <v>311.2</v>
      </c>
      <c r="Y13" s="33">
        <f>X13</f>
        <v>311.2</v>
      </c>
      <c r="Z13" s="33">
        <f>Y13</f>
        <v>311.2</v>
      </c>
      <c r="AA13" s="33">
        <f>Z13</f>
        <v>311.2</v>
      </c>
      <c r="AB13" s="17">
        <f>+AA13</f>
        <v>311.2</v>
      </c>
      <c r="AC13" s="33">
        <f>AA13</f>
        <v>311.2</v>
      </c>
      <c r="AD13" s="33">
        <f>AC13</f>
        <v>311.2</v>
      </c>
      <c r="AE13" s="33">
        <f>AD13</f>
        <v>311.2</v>
      </c>
      <c r="AF13" s="33">
        <f>AE13</f>
        <v>311.2</v>
      </c>
      <c r="AG13" s="17">
        <f>+AF13</f>
        <v>311.2</v>
      </c>
      <c r="AH13" s="33">
        <f>AF13</f>
        <v>311.2</v>
      </c>
      <c r="AI13" s="33">
        <f>AH13</f>
        <v>311.2</v>
      </c>
      <c r="AJ13" s="33">
        <f>AI13</f>
        <v>311.2</v>
      </c>
      <c r="AK13" s="33">
        <f>AJ13</f>
        <v>311.2</v>
      </c>
      <c r="AL13" s="17">
        <f>+AK13</f>
        <v>311.2</v>
      </c>
      <c r="AM13" s="33">
        <f>AK13</f>
        <v>311.2</v>
      </c>
      <c r="AN13" s="33">
        <f>AM13</f>
        <v>311.2</v>
      </c>
      <c r="AO13" s="33">
        <f>AN13</f>
        <v>311.2</v>
      </c>
      <c r="AP13" s="33">
        <f>AO13</f>
        <v>311.2</v>
      </c>
      <c r="AQ13" s="17">
        <f>+AP13</f>
        <v>311.2</v>
      </c>
      <c r="AR13" s="33">
        <f>AP13</f>
        <v>311.2</v>
      </c>
      <c r="AS13" s="33">
        <f>AR13</f>
        <v>311.2</v>
      </c>
      <c r="AT13" s="33">
        <f>AS13</f>
        <v>311.2</v>
      </c>
      <c r="AU13" s="33">
        <f>AT13</f>
        <v>311.2</v>
      </c>
      <c r="AV13" s="17">
        <f>+AU13</f>
        <v>311.2</v>
      </c>
    </row>
    <row r="14" spans="1:48" s="8" customFormat="1" outlineLevel="1" x14ac:dyDescent="0.3">
      <c r="A14" s="161"/>
      <c r="B14" s="200" t="s">
        <v>220</v>
      </c>
      <c r="C14" s="206"/>
      <c r="D14" s="16">
        <v>6039.3</v>
      </c>
      <c r="E14" s="16">
        <v>6135.5</v>
      </c>
      <c r="F14" s="16">
        <v>6187.8</v>
      </c>
      <c r="G14" s="16">
        <v>6431.7</v>
      </c>
      <c r="H14" s="17">
        <f t="shared" si="1"/>
        <v>6431.7</v>
      </c>
      <c r="I14" s="16">
        <v>6390.9</v>
      </c>
      <c r="J14" s="16">
        <v>6387</v>
      </c>
      <c r="K14" s="16">
        <v>6295.6</v>
      </c>
      <c r="L14" s="101">
        <v>6241.4</v>
      </c>
      <c r="M14" s="17">
        <f>+L14</f>
        <v>6241.4</v>
      </c>
      <c r="N14" s="16">
        <v>6177.9</v>
      </c>
      <c r="O14" s="16">
        <v>6123.1</v>
      </c>
      <c r="P14" s="16">
        <v>6151.4</v>
      </c>
      <c r="Q14" s="101">
        <v>6369.5</v>
      </c>
      <c r="R14" s="17">
        <f>+Q14</f>
        <v>6369.5</v>
      </c>
      <c r="S14" s="16">
        <v>6398</v>
      </c>
      <c r="T14" s="16">
        <v>6460.8</v>
      </c>
      <c r="U14" s="101">
        <v>6408.2</v>
      </c>
      <c r="V14" s="101">
        <v>6560.5</v>
      </c>
      <c r="W14" s="17">
        <f>+V14</f>
        <v>6560.5</v>
      </c>
      <c r="X14" s="16">
        <f>+V14-'CFS (F4Q2022)'!X25-'CFS (F4Q2022)'!X7</f>
        <v>6776.8894230115748</v>
      </c>
      <c r="Y14" s="16">
        <f>+X14-'CFS (F4Q2022)'!Y25-'CFS (F4Q2022)'!Y7</f>
        <v>6962.9311753672</v>
      </c>
      <c r="Z14" s="16">
        <f>+Y14-'CFS (F4Q2022)'!Z25-'CFS (F4Q2022)'!Z7</f>
        <v>7196.6658071546399</v>
      </c>
      <c r="AA14" s="16">
        <f>+Z14-'CFS (F4Q2022)'!AA25-'CFS (F4Q2022)'!AA7</f>
        <v>7441.2675256017483</v>
      </c>
      <c r="AB14" s="17">
        <f>+AA14</f>
        <v>7441.2675256017483</v>
      </c>
      <c r="AC14" s="16">
        <f>+AA14-'CFS (F4Q2022)'!AC25-'CFS (F4Q2022)'!AC7</f>
        <v>7681.3958890029598</v>
      </c>
      <c r="AD14" s="16">
        <f>+AC14-'CFS (F4Q2022)'!AD25-'CFS (F4Q2022)'!AD7</f>
        <v>7871.3337816296153</v>
      </c>
      <c r="AE14" s="16">
        <f>+AD14-'CFS (F4Q2022)'!AE25-'CFS (F4Q2022)'!AE7</f>
        <v>8112.439119622225</v>
      </c>
      <c r="AF14" s="16">
        <f>+AE14-'CFS (F4Q2022)'!AF25-'CFS (F4Q2022)'!AF7</f>
        <v>8364.0191955967839</v>
      </c>
      <c r="AG14" s="17">
        <f>+AF14</f>
        <v>8364.0191955967839</v>
      </c>
      <c r="AH14" s="16">
        <f>+AF14-'CFS (F4Q2022)'!AH25-'CFS (F4Q2022)'!AH7</f>
        <v>8550.9861216135341</v>
      </c>
      <c r="AI14" s="16">
        <f>+AH14-'CFS (F4Q2022)'!AI25-'CFS (F4Q2022)'!AI7</f>
        <v>8689.7459354177427</v>
      </c>
      <c r="AJ14" s="16">
        <f>+AI14-'CFS (F4Q2022)'!AJ25-'CFS (F4Q2022)'!AJ7</f>
        <v>8882.4108187744205</v>
      </c>
      <c r="AK14" s="16">
        <f>+AJ14-'CFS (F4Q2022)'!AK25-'CFS (F4Q2022)'!AK7</f>
        <v>9089.325081765739</v>
      </c>
      <c r="AL14" s="17">
        <f>+AK14</f>
        <v>9089.325081765739</v>
      </c>
      <c r="AM14" s="16">
        <f>+AK14-'CFS (F4Q2022)'!AM25-'CFS (F4Q2022)'!AM7</f>
        <v>9301.7076276152166</v>
      </c>
      <c r="AN14" s="16">
        <f>+AM14-'CFS (F4Q2022)'!AN25-'CFS (F4Q2022)'!AN7</f>
        <v>9456.8487823918404</v>
      </c>
      <c r="AO14" s="16">
        <f>+AN14-'CFS (F4Q2022)'!AO25-'CFS (F4Q2022)'!AO7</f>
        <v>9667.859293676569</v>
      </c>
      <c r="AP14" s="16">
        <f>+AO14-'CFS (F4Q2022)'!AP25-'CFS (F4Q2022)'!AP7</f>
        <v>9891.72405729811</v>
      </c>
      <c r="AQ14" s="17">
        <f>+AP14</f>
        <v>9891.72405729811</v>
      </c>
      <c r="AR14" s="16">
        <f>+AP14-'CFS (F4Q2022)'!AR25-'CFS (F4Q2022)'!AR7</f>
        <v>10105.436173273552</v>
      </c>
      <c r="AS14" s="16">
        <f>+AR14-'CFS (F4Q2022)'!AS25-'CFS (F4Q2022)'!AS7</f>
        <v>10258.321758248399</v>
      </c>
      <c r="AT14" s="16">
        <f>+AS14-'CFS (F4Q2022)'!AT25-'CFS (F4Q2022)'!AT7</f>
        <v>10471.190469613859</v>
      </c>
      <c r="AU14" s="16">
        <f>+AT14-'CFS (F4Q2022)'!AU25-'CFS (F4Q2022)'!AU7</f>
        <v>10698.373116697563</v>
      </c>
      <c r="AV14" s="17">
        <f>+AU14</f>
        <v>10698.373116697563</v>
      </c>
    </row>
    <row r="15" spans="1:48" s="8" customFormat="1" outlineLevel="1" x14ac:dyDescent="0.3">
      <c r="A15" s="161"/>
      <c r="B15" s="200" t="s">
        <v>221</v>
      </c>
      <c r="C15" s="206"/>
      <c r="D15" s="16">
        <v>0</v>
      </c>
      <c r="E15" s="16">
        <v>0</v>
      </c>
      <c r="F15" s="16">
        <v>0</v>
      </c>
      <c r="G15" s="16">
        <v>0</v>
      </c>
      <c r="H15" s="17">
        <f t="shared" si="1"/>
        <v>0</v>
      </c>
      <c r="I15" s="16">
        <v>8358.5</v>
      </c>
      <c r="J15" s="16">
        <v>8260.7999999999993</v>
      </c>
      <c r="K15" s="16">
        <v>8214</v>
      </c>
      <c r="L15" s="101">
        <v>8134.1</v>
      </c>
      <c r="M15" s="17">
        <f>L15</f>
        <v>8134.1</v>
      </c>
      <c r="N15" s="16">
        <v>8199.4</v>
      </c>
      <c r="O15" s="16">
        <v>8036.8</v>
      </c>
      <c r="P15" s="16">
        <v>8065.2</v>
      </c>
      <c r="Q15" s="101">
        <v>8236</v>
      </c>
      <c r="R15" s="17">
        <f>Q15</f>
        <v>8236</v>
      </c>
      <c r="S15" s="16">
        <v>8203.4</v>
      </c>
      <c r="T15" s="16">
        <v>8170.2</v>
      </c>
      <c r="U15" s="101">
        <v>8037.1</v>
      </c>
      <c r="V15" s="101">
        <v>8015.6</v>
      </c>
      <c r="W15" s="17">
        <f>V15</f>
        <v>8015.6</v>
      </c>
      <c r="X15" s="33">
        <f>V15*0.996</f>
        <v>7983.5376000000006</v>
      </c>
      <c r="Y15" s="33">
        <f>X15*0.996</f>
        <v>7951.6034496000002</v>
      </c>
      <c r="Z15" s="33">
        <f>Y15*0.996</f>
        <v>7919.7970358016</v>
      </c>
      <c r="AA15" s="33">
        <f>Z15*0.996</f>
        <v>7888.1178476583937</v>
      </c>
      <c r="AB15" s="17">
        <f>AA15</f>
        <v>7888.1178476583937</v>
      </c>
      <c r="AC15" s="33">
        <f>AA15*0.996</f>
        <v>7856.5653762677603</v>
      </c>
      <c r="AD15" s="33">
        <f>AC15*0.996</f>
        <v>7825.1391147626891</v>
      </c>
      <c r="AE15" s="33">
        <f>AD15*0.996</f>
        <v>7793.8385583036379</v>
      </c>
      <c r="AF15" s="33">
        <f>AE15*0.996</f>
        <v>7762.6632040704235</v>
      </c>
      <c r="AG15" s="17">
        <f>AF15</f>
        <v>7762.6632040704235</v>
      </c>
      <c r="AH15" s="33">
        <f>AF15*0.996</f>
        <v>7731.6125512541421</v>
      </c>
      <c r="AI15" s="33">
        <f>AH15*0.996</f>
        <v>7700.6861010491257</v>
      </c>
      <c r="AJ15" s="33">
        <f>AI15*0.996</f>
        <v>7669.8833566449293</v>
      </c>
      <c r="AK15" s="33">
        <f>AJ15*0.996</f>
        <v>7639.2038232183495</v>
      </c>
      <c r="AL15" s="17">
        <f>AK15</f>
        <v>7639.2038232183495</v>
      </c>
      <c r="AM15" s="33">
        <f>AK15*0.996</f>
        <v>7608.6470079254759</v>
      </c>
      <c r="AN15" s="33">
        <f>AM15*0.996</f>
        <v>7578.2124198937736</v>
      </c>
      <c r="AO15" s="33">
        <f>AN15*0.996</f>
        <v>7547.8995702141983</v>
      </c>
      <c r="AP15" s="33">
        <f>AO15*0.996</f>
        <v>7517.7079719333415</v>
      </c>
      <c r="AQ15" s="17">
        <f>AP15</f>
        <v>7517.7079719333415</v>
      </c>
      <c r="AR15" s="33">
        <f>AP15*0.996</f>
        <v>7487.6371400456082</v>
      </c>
      <c r="AS15" s="33">
        <f>AR15*0.996</f>
        <v>7457.6865914854261</v>
      </c>
      <c r="AT15" s="33">
        <f>AS15*0.996</f>
        <v>7427.855845119484</v>
      </c>
      <c r="AU15" s="33">
        <f>AT15*0.996</f>
        <v>7398.1444217390062</v>
      </c>
      <c r="AV15" s="17">
        <f>AU15</f>
        <v>7398.1444217390062</v>
      </c>
    </row>
    <row r="16" spans="1:48" s="8" customFormat="1" outlineLevel="1" x14ac:dyDescent="0.3">
      <c r="A16" s="161"/>
      <c r="B16" s="200" t="s">
        <v>222</v>
      </c>
      <c r="C16" s="206"/>
      <c r="D16" s="16">
        <v>650</v>
      </c>
      <c r="E16" s="16">
        <v>1006.6</v>
      </c>
      <c r="F16" s="16">
        <v>1533</v>
      </c>
      <c r="G16" s="16">
        <v>1765.8</v>
      </c>
      <c r="H16" s="17">
        <f t="shared" si="1"/>
        <v>1765.8</v>
      </c>
      <c r="I16" s="16">
        <v>1731.4</v>
      </c>
      <c r="J16" s="16">
        <v>1709.7</v>
      </c>
      <c r="K16" s="16">
        <v>1740</v>
      </c>
      <c r="L16" s="101">
        <v>1789.9</v>
      </c>
      <c r="M16" s="17">
        <f>+L16</f>
        <v>1789.9</v>
      </c>
      <c r="N16" s="16">
        <v>1792.4</v>
      </c>
      <c r="O16" s="16">
        <v>1770</v>
      </c>
      <c r="P16" s="16">
        <v>1851</v>
      </c>
      <c r="Q16" s="101">
        <v>1874.8</v>
      </c>
      <c r="R16" s="17">
        <f>+Q16</f>
        <v>1874.8</v>
      </c>
      <c r="S16" s="16">
        <v>1859.7</v>
      </c>
      <c r="T16" s="16">
        <v>1809.4</v>
      </c>
      <c r="U16" s="101">
        <v>1752.9</v>
      </c>
      <c r="V16" s="101">
        <v>1799.7</v>
      </c>
      <c r="W16" s="169">
        <f>+V16</f>
        <v>1799.7</v>
      </c>
      <c r="X16" s="101">
        <f>X55*(X27+X33)</f>
        <v>1854.1357676639595</v>
      </c>
      <c r="Y16" s="101">
        <f>Y55*(Y27+Y33)</f>
        <v>1782.1684146999512</v>
      </c>
      <c r="Z16" s="101">
        <f>Z55*(Z27+Z33)</f>
        <v>1771.7556232533093</v>
      </c>
      <c r="AA16" s="101">
        <f>AA55*(AA27+AA33)</f>
        <v>1769.5874673304418</v>
      </c>
      <c r="AB16" s="169">
        <f>+AA16</f>
        <v>1769.5874673304418</v>
      </c>
      <c r="AC16" s="101">
        <f>AC55*(AC27+AC33)</f>
        <v>1873.0077881027214</v>
      </c>
      <c r="AD16" s="101">
        <f>AD55*(AD27+AD33)</f>
        <v>1790.9207316040574</v>
      </c>
      <c r="AE16" s="101">
        <f>AE55*(AE27+AE33)</f>
        <v>1780.4579889965057</v>
      </c>
      <c r="AF16" s="101">
        <f>AF55*(AF27+AF33)</f>
        <v>1770.1047595292312</v>
      </c>
      <c r="AG16" s="169">
        <f>+AF16</f>
        <v>1770.1047595292312</v>
      </c>
      <c r="AH16" s="101">
        <f>AH55*(AH27+AH33)</f>
        <v>1890.5151782618418</v>
      </c>
      <c r="AI16" s="101">
        <f>AI55*(AI27+AI33)</f>
        <v>1800.8335728725806</v>
      </c>
      <c r="AJ16" s="101">
        <f>AJ55*(AJ27+AJ33)</f>
        <v>1789.5997973163708</v>
      </c>
      <c r="AK16" s="101">
        <f>AK55*(AK27+AK33)</f>
        <v>1778.3099230138571</v>
      </c>
      <c r="AL16" s="169">
        <f>+AK16</f>
        <v>1778.3099230138571</v>
      </c>
      <c r="AM16" s="101">
        <f>AM55*(AM27+AM33)</f>
        <v>1910.6520617541839</v>
      </c>
      <c r="AN16" s="101">
        <f>AN55*(AN27+AN33)</f>
        <v>1813.8041804663651</v>
      </c>
      <c r="AO16" s="101">
        <f>AO55*(AO27+AO33)</f>
        <v>1802.1876882343788</v>
      </c>
      <c r="AP16" s="101">
        <f>AP55*(AP27+AP33)</f>
        <v>1790.6243822122271</v>
      </c>
      <c r="AQ16" s="169">
        <f>+AP16</f>
        <v>1790.6243822122271</v>
      </c>
      <c r="AR16" s="101">
        <f>AR55*(AR27+AR33)</f>
        <v>1934.8080691777147</v>
      </c>
      <c r="AS16" s="101">
        <f>AS55*(AS27+AS33)</f>
        <v>1830.4981697273856</v>
      </c>
      <c r="AT16" s="101">
        <f>AT55*(AT27+AT33)</f>
        <v>1818.5706164393935</v>
      </c>
      <c r="AU16" s="101">
        <f>AU55*(AU27+AU33)</f>
        <v>1806.726707186674</v>
      </c>
      <c r="AV16" s="17">
        <f>+AU16</f>
        <v>1806.726707186674</v>
      </c>
    </row>
    <row r="17" spans="1:48" s="8" customFormat="1" outlineLevel="1" x14ac:dyDescent="0.3">
      <c r="A17" s="161"/>
      <c r="B17" s="200" t="s">
        <v>223</v>
      </c>
      <c r="C17" s="206"/>
      <c r="D17" s="16">
        <v>472.7</v>
      </c>
      <c r="E17" s="16">
        <v>464.5</v>
      </c>
      <c r="F17" s="16">
        <v>458</v>
      </c>
      <c r="G17" s="16">
        <v>479.6</v>
      </c>
      <c r="H17" s="17">
        <f t="shared" si="1"/>
        <v>479.6</v>
      </c>
      <c r="I17" s="16">
        <v>484.7</v>
      </c>
      <c r="J17" s="16">
        <v>580.1</v>
      </c>
      <c r="K17" s="16">
        <v>550.79999999999995</v>
      </c>
      <c r="L17" s="101">
        <v>568.6</v>
      </c>
      <c r="M17" s="17">
        <f>+L17</f>
        <v>568.6</v>
      </c>
      <c r="N17" s="16">
        <v>541.1</v>
      </c>
      <c r="O17" s="16">
        <v>574.9</v>
      </c>
      <c r="P17" s="16">
        <v>586.29999999999995</v>
      </c>
      <c r="Q17" s="101">
        <v>578.5</v>
      </c>
      <c r="R17" s="17">
        <f>+Q17</f>
        <v>578.5</v>
      </c>
      <c r="S17" s="16">
        <v>588</v>
      </c>
      <c r="T17" s="16">
        <v>582.79999999999995</v>
      </c>
      <c r="U17" s="101">
        <v>640.70000000000005</v>
      </c>
      <c r="V17" s="101">
        <v>554.20000000000005</v>
      </c>
      <c r="W17" s="17">
        <f>+V17</f>
        <v>554.20000000000005</v>
      </c>
      <c r="X17" s="33">
        <f>+V17*(X42/V42)</f>
        <v>567.82316922615905</v>
      </c>
      <c r="Y17" s="33">
        <f>+X17*(Y42/X42)</f>
        <v>565.47298557124145</v>
      </c>
      <c r="Z17" s="33">
        <f>+Y17*(Z42/Y42)</f>
        <v>578.70180588405401</v>
      </c>
      <c r="AA17" s="33">
        <f>+Z17*(AA42/Z42)</f>
        <v>586.44191537849417</v>
      </c>
      <c r="AB17" s="17">
        <f>+AA17</f>
        <v>586.44191537849417</v>
      </c>
      <c r="AC17" s="33">
        <f>+AA17*(AC42/AA42)</f>
        <v>608.7412533904635</v>
      </c>
      <c r="AD17" s="33">
        <f>+AC17*(AD42/AC42)</f>
        <v>608.63745539728893</v>
      </c>
      <c r="AE17" s="33">
        <f>+AD17*(AE42/AD42)</f>
        <v>622.52087110879916</v>
      </c>
      <c r="AF17" s="33">
        <f>+AE17*(AF42/AE42)</f>
        <v>632.55228773354554</v>
      </c>
      <c r="AG17" s="17">
        <f>+AF17</f>
        <v>632.55228773354554</v>
      </c>
      <c r="AH17" s="33">
        <f>+AF17*(AH42/AF42)</f>
        <v>656.58206960156667</v>
      </c>
      <c r="AI17" s="33">
        <f>+AH17*(AI42/AH42)</f>
        <v>657.03788112325685</v>
      </c>
      <c r="AJ17" s="33">
        <f>+AI17*(AJ42/AI42)</f>
        <v>680.41670599762972</v>
      </c>
      <c r="AK17" s="33">
        <f>+AJ17*(AK42/AJ42)</f>
        <v>585.53685789274755</v>
      </c>
      <c r="AL17" s="17">
        <f>+AK17</f>
        <v>585.53685789274755</v>
      </c>
      <c r="AM17" s="33">
        <f>+AK17*(AM42/AK42)</f>
        <v>607.92264951749996</v>
      </c>
      <c r="AN17" s="33">
        <f>+AM17*(AN42/AM42)</f>
        <v>605.15181975016549</v>
      </c>
      <c r="AO17" s="33">
        <f>+AN17*(AO42/AN42)</f>
        <v>623.40189328366682</v>
      </c>
      <c r="AP17" s="33">
        <f>+AO17*(AP42/AO42)</f>
        <v>633.70927263047975</v>
      </c>
      <c r="AQ17" s="17">
        <f>+AP17</f>
        <v>633.70927263047975</v>
      </c>
      <c r="AR17" s="33">
        <f>+AP17*(AR42/AP42)</f>
        <v>659.37482538763584</v>
      </c>
      <c r="AS17" s="33">
        <f>+AR17*(AS42/AR42)</f>
        <v>658.18812367298847</v>
      </c>
      <c r="AT17" s="33">
        <f>+AS17*(AT42/AS42)</f>
        <v>678.76264800196441</v>
      </c>
      <c r="AU17" s="33">
        <f>+AT17*(AU42/AT42)</f>
        <v>691.07819609294347</v>
      </c>
      <c r="AV17" s="17">
        <f>+AU17</f>
        <v>691.07819609294347</v>
      </c>
    </row>
    <row r="18" spans="1:48" s="8" customFormat="1" outlineLevel="1" x14ac:dyDescent="0.3">
      <c r="A18" s="161"/>
      <c r="B18" s="200" t="s">
        <v>224</v>
      </c>
      <c r="C18" s="206"/>
      <c r="D18" s="16">
        <v>981.6</v>
      </c>
      <c r="E18" s="16">
        <v>918.3</v>
      </c>
      <c r="F18" s="16">
        <v>853.2</v>
      </c>
      <c r="G18" s="16">
        <v>781.8</v>
      </c>
      <c r="H18" s="17">
        <f t="shared" si="1"/>
        <v>781.8</v>
      </c>
      <c r="I18" s="16">
        <v>739.1</v>
      </c>
      <c r="J18" s="16">
        <v>678.7</v>
      </c>
      <c r="K18" s="16">
        <v>599.6</v>
      </c>
      <c r="L18" s="101">
        <v>552.1</v>
      </c>
      <c r="M18" s="17">
        <f>+L18</f>
        <v>552.1</v>
      </c>
      <c r="N18" s="16">
        <v>506.4</v>
      </c>
      <c r="O18" s="16">
        <v>444.3</v>
      </c>
      <c r="P18" s="16">
        <v>398</v>
      </c>
      <c r="Q18" s="101">
        <v>349.9</v>
      </c>
      <c r="R18" s="17">
        <f>+Q18</f>
        <v>349.9</v>
      </c>
      <c r="S18" s="16">
        <v>302.5</v>
      </c>
      <c r="T18" s="16">
        <v>254.7</v>
      </c>
      <c r="U18" s="101">
        <v>203.4</v>
      </c>
      <c r="V18" s="101">
        <v>155.9</v>
      </c>
      <c r="W18" s="17">
        <f>+V18</f>
        <v>155.9</v>
      </c>
      <c r="X18" s="33">
        <f>+V18*0.92</f>
        <v>143.428</v>
      </c>
      <c r="Y18" s="33">
        <f>+X18*0.92</f>
        <v>131.95376000000002</v>
      </c>
      <c r="Z18" s="33">
        <f>+Y18*0.92</f>
        <v>121.39745920000001</v>
      </c>
      <c r="AA18" s="33">
        <f>+Z18*0.92</f>
        <v>111.68566246400002</v>
      </c>
      <c r="AB18" s="17">
        <f>+AA18</f>
        <v>111.68566246400002</v>
      </c>
      <c r="AC18" s="33">
        <f>+AA18*0.92</f>
        <v>102.75080946688001</v>
      </c>
      <c r="AD18" s="33">
        <f>+AC18*0.92</f>
        <v>94.530744709529614</v>
      </c>
      <c r="AE18" s="33">
        <f>+AD18*0.92</f>
        <v>86.968285132767249</v>
      </c>
      <c r="AF18" s="33">
        <f>+AE18*0.92</f>
        <v>80.01082232214587</v>
      </c>
      <c r="AG18" s="17">
        <f>+AF18</f>
        <v>80.01082232214587</v>
      </c>
      <c r="AH18" s="33">
        <f>+AF18*0.92</f>
        <v>73.609956536374199</v>
      </c>
      <c r="AI18" s="33">
        <f>+AH18*0.92</f>
        <v>67.721160013464271</v>
      </c>
      <c r="AJ18" s="33">
        <f>+AI18*0.92</f>
        <v>62.303467212387133</v>
      </c>
      <c r="AK18" s="33">
        <f>+AJ18*0.92</f>
        <v>57.319189835396166</v>
      </c>
      <c r="AL18" s="17">
        <f>+AK18</f>
        <v>57.319189835396166</v>
      </c>
      <c r="AM18" s="33">
        <f>+AK18*0.92</f>
        <v>52.733654648564475</v>
      </c>
      <c r="AN18" s="33">
        <f>+AM18*0.92</f>
        <v>48.51496227667932</v>
      </c>
      <c r="AO18" s="33">
        <f>+AN18*0.92</f>
        <v>44.633765294544979</v>
      </c>
      <c r="AP18" s="33">
        <f>+AO18*0.92</f>
        <v>41.063064070981383</v>
      </c>
      <c r="AQ18" s="17">
        <f>+AP18</f>
        <v>41.063064070981383</v>
      </c>
      <c r="AR18" s="33">
        <f>+AP18*0.92</f>
        <v>37.778018945302875</v>
      </c>
      <c r="AS18" s="33">
        <f>+AR18*0.92</f>
        <v>34.755777429678645</v>
      </c>
      <c r="AT18" s="33">
        <f>+AS18*0.92</f>
        <v>31.975315235304354</v>
      </c>
      <c r="AU18" s="33">
        <f>+AT18*0.92</f>
        <v>29.417290016480006</v>
      </c>
      <c r="AV18" s="17">
        <f>+AU18</f>
        <v>29.417290016480006</v>
      </c>
    </row>
    <row r="19" spans="1:48" ht="16.2" outlineLevel="1" x14ac:dyDescent="0.45">
      <c r="A19" s="161"/>
      <c r="B19" s="580" t="s">
        <v>225</v>
      </c>
      <c r="C19" s="581"/>
      <c r="D19" s="260">
        <v>3560.3</v>
      </c>
      <c r="E19" s="260">
        <v>3603.5</v>
      </c>
      <c r="F19" s="260">
        <v>3564.7</v>
      </c>
      <c r="G19" s="260">
        <v>3490.8</v>
      </c>
      <c r="H19" s="261">
        <f>G19</f>
        <v>3490.8</v>
      </c>
      <c r="I19" s="260">
        <v>3515.9</v>
      </c>
      <c r="J19" s="260">
        <v>3493</v>
      </c>
      <c r="K19" s="260">
        <v>3510.1</v>
      </c>
      <c r="L19" s="112">
        <v>3597.2</v>
      </c>
      <c r="M19" s="261">
        <f>L19</f>
        <v>3597.2</v>
      </c>
      <c r="N19" s="260">
        <v>3706.8</v>
      </c>
      <c r="O19" s="260">
        <v>3658.9</v>
      </c>
      <c r="P19" s="260">
        <v>3672</v>
      </c>
      <c r="Q19" s="112">
        <v>3677.3</v>
      </c>
      <c r="R19" s="261">
        <f>Q19</f>
        <v>3677.3</v>
      </c>
      <c r="S19" s="260">
        <v>3675.7</v>
      </c>
      <c r="T19" s="260">
        <v>3646.1</v>
      </c>
      <c r="U19" s="112">
        <v>3451.2</v>
      </c>
      <c r="V19" s="112">
        <v>3283.5</v>
      </c>
      <c r="W19" s="261">
        <f>V19</f>
        <v>3283.5</v>
      </c>
      <c r="X19" s="32">
        <f>+V19</f>
        <v>3283.5</v>
      </c>
      <c r="Y19" s="32">
        <f>+X19</f>
        <v>3283.5</v>
      </c>
      <c r="Z19" s="32">
        <f>+Y19</f>
        <v>3283.5</v>
      </c>
      <c r="AA19" s="32">
        <f>+Z19</f>
        <v>3283.5</v>
      </c>
      <c r="AB19" s="261">
        <f>AA19</f>
        <v>3283.5</v>
      </c>
      <c r="AC19" s="32">
        <f>+AA19</f>
        <v>3283.5</v>
      </c>
      <c r="AD19" s="32">
        <f>+AC19</f>
        <v>3283.5</v>
      </c>
      <c r="AE19" s="32">
        <f>+AD19</f>
        <v>3283.5</v>
      </c>
      <c r="AF19" s="32">
        <f>+AE19</f>
        <v>3283.5</v>
      </c>
      <c r="AG19" s="261">
        <f>AF19</f>
        <v>3283.5</v>
      </c>
      <c r="AH19" s="32">
        <f>+AF19</f>
        <v>3283.5</v>
      </c>
      <c r="AI19" s="32">
        <f>+AH19</f>
        <v>3283.5</v>
      </c>
      <c r="AJ19" s="32">
        <f>+AI19</f>
        <v>3283.5</v>
      </c>
      <c r="AK19" s="32">
        <f>+AJ19</f>
        <v>3283.5</v>
      </c>
      <c r="AL19" s="261">
        <f>AK19</f>
        <v>3283.5</v>
      </c>
      <c r="AM19" s="32">
        <f>+AK19</f>
        <v>3283.5</v>
      </c>
      <c r="AN19" s="32">
        <f>+AM19</f>
        <v>3283.5</v>
      </c>
      <c r="AO19" s="32">
        <f>+AN19</f>
        <v>3283.5</v>
      </c>
      <c r="AP19" s="32">
        <f>+AO19</f>
        <v>3283.5</v>
      </c>
      <c r="AQ19" s="261">
        <f>AP19</f>
        <v>3283.5</v>
      </c>
      <c r="AR19" s="32">
        <f>+AP19</f>
        <v>3283.5</v>
      </c>
      <c r="AS19" s="32">
        <f>+AR19</f>
        <v>3283.5</v>
      </c>
      <c r="AT19" s="32">
        <f>+AS19</f>
        <v>3283.5</v>
      </c>
      <c r="AU19" s="32">
        <f>+AT19</f>
        <v>3283.5</v>
      </c>
      <c r="AV19" s="261">
        <f>AU19</f>
        <v>3283.5</v>
      </c>
    </row>
    <row r="20" spans="1:48" outlineLevel="1" x14ac:dyDescent="0.3">
      <c r="A20" s="161"/>
      <c r="B20" s="619" t="s">
        <v>226</v>
      </c>
      <c r="C20" s="620"/>
      <c r="D20" s="21">
        <f t="shared" ref="D20:AV20" si="2">+SUM(D11:D19)</f>
        <v>19981.3</v>
      </c>
      <c r="E20" s="21">
        <f t="shared" si="2"/>
        <v>17641.900000000001</v>
      </c>
      <c r="F20" s="21">
        <f t="shared" si="2"/>
        <v>20894.500000000004</v>
      </c>
      <c r="G20" s="21">
        <f t="shared" si="2"/>
        <v>19219.400000000001</v>
      </c>
      <c r="H20" s="22">
        <f t="shared" si="2"/>
        <v>19219.400000000001</v>
      </c>
      <c r="I20" s="21">
        <f t="shared" si="2"/>
        <v>27731.300000000007</v>
      </c>
      <c r="J20" s="21">
        <f t="shared" si="2"/>
        <v>27478.9</v>
      </c>
      <c r="K20" s="21">
        <f t="shared" si="2"/>
        <v>29140.600000000002</v>
      </c>
      <c r="L20" s="21">
        <f t="shared" si="2"/>
        <v>29374.500000000004</v>
      </c>
      <c r="M20" s="22">
        <f t="shared" si="2"/>
        <v>29374.500000000004</v>
      </c>
      <c r="N20" s="21">
        <f t="shared" si="2"/>
        <v>29968.30000000001</v>
      </c>
      <c r="O20" s="21">
        <f t="shared" si="2"/>
        <v>28371.600000000013</v>
      </c>
      <c r="P20" s="21">
        <f t="shared" si="2"/>
        <v>29476.800000000007</v>
      </c>
      <c r="Q20" s="21">
        <f t="shared" si="2"/>
        <v>31392.600000000009</v>
      </c>
      <c r="R20" s="22">
        <f t="shared" si="2"/>
        <v>31392.600000000009</v>
      </c>
      <c r="S20" s="21">
        <f t="shared" si="2"/>
        <v>28833.900000000009</v>
      </c>
      <c r="T20" s="21">
        <f t="shared" si="2"/>
        <v>29021.500000000007</v>
      </c>
      <c r="U20" s="21">
        <f t="shared" si="2"/>
        <v>28156.200000000012</v>
      </c>
      <c r="V20" s="21">
        <f t="shared" si="2"/>
        <v>27978.30000000001</v>
      </c>
      <c r="W20" s="22">
        <f t="shared" si="2"/>
        <v>27978.30000000001</v>
      </c>
      <c r="X20" s="21">
        <f t="shared" si="2"/>
        <v>28666.056185270965</v>
      </c>
      <c r="Y20" s="21">
        <f t="shared" si="2"/>
        <v>28547.408804594783</v>
      </c>
      <c r="Z20" s="21">
        <f t="shared" si="2"/>
        <v>29215.256560350812</v>
      </c>
      <c r="AA20" s="21">
        <f t="shared" si="2"/>
        <v>29606.010583229272</v>
      </c>
      <c r="AB20" s="22">
        <f t="shared" si="2"/>
        <v>29606.010583229272</v>
      </c>
      <c r="AC20" s="21">
        <f t="shared" si="2"/>
        <v>30731.777091049698</v>
      </c>
      <c r="AD20" s="21">
        <f t="shared" si="2"/>
        <v>30726.536921846833</v>
      </c>
      <c r="AE20" s="21">
        <f t="shared" si="2"/>
        <v>31427.43146919963</v>
      </c>
      <c r="AF20" s="21">
        <f t="shared" si="2"/>
        <v>31933.86053252298</v>
      </c>
      <c r="AG20" s="22">
        <f t="shared" si="2"/>
        <v>31933.86053252298</v>
      </c>
      <c r="AH20" s="21">
        <f t="shared" si="2"/>
        <v>33146.987290040561</v>
      </c>
      <c r="AI20" s="21">
        <f t="shared" si="2"/>
        <v>33169.998616418146</v>
      </c>
      <c r="AJ20" s="21">
        <f t="shared" si="2"/>
        <v>34350.262264677156</v>
      </c>
      <c r="AK20" s="21">
        <f t="shared" si="2"/>
        <v>29560.319388066495</v>
      </c>
      <c r="AL20" s="22">
        <f t="shared" si="2"/>
        <v>29560.319388066495</v>
      </c>
      <c r="AM20" s="21">
        <f t="shared" si="2"/>
        <v>30690.450446157382</v>
      </c>
      <c r="AN20" s="21">
        <f t="shared" si="2"/>
        <v>30550.56704023464</v>
      </c>
      <c r="AO20" s="21">
        <f t="shared" si="2"/>
        <v>31471.909258476622</v>
      </c>
      <c r="AP20" s="21">
        <f t="shared" si="2"/>
        <v>31992.270107117682</v>
      </c>
      <c r="AQ20" s="22">
        <f t="shared" si="2"/>
        <v>31992.270107117682</v>
      </c>
      <c r="AR20" s="21">
        <f t="shared" si="2"/>
        <v>33287.977615708107</v>
      </c>
      <c r="AS20" s="21">
        <f t="shared" si="2"/>
        <v>33228.06780832255</v>
      </c>
      <c r="AT20" s="21">
        <f t="shared" si="2"/>
        <v>34266.758301801092</v>
      </c>
      <c r="AU20" s="21">
        <f t="shared" si="2"/>
        <v>34888.50014717938</v>
      </c>
      <c r="AV20" s="22">
        <f t="shared" si="2"/>
        <v>34888.50014717938</v>
      </c>
    </row>
    <row r="21" spans="1:48" ht="17.399999999999999" x14ac:dyDescent="0.45">
      <c r="A21" s="161"/>
      <c r="B21" s="583" t="s">
        <v>227</v>
      </c>
      <c r="C21" s="584"/>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580" t="s">
        <v>228</v>
      </c>
      <c r="C22" s="581"/>
      <c r="D22" s="101">
        <v>1100.5</v>
      </c>
      <c r="E22" s="101">
        <v>1096.7</v>
      </c>
      <c r="F22" s="101">
        <v>1145.4000000000001</v>
      </c>
      <c r="G22" s="101">
        <v>1189.7</v>
      </c>
      <c r="H22" s="169">
        <f t="shared" ref="H22:H29" si="3">G22</f>
        <v>1189.7</v>
      </c>
      <c r="I22" s="101">
        <v>1085.5999999999999</v>
      </c>
      <c r="J22" s="101">
        <v>997.7</v>
      </c>
      <c r="K22" s="101">
        <v>860.8</v>
      </c>
      <c r="L22" s="101">
        <v>997.9</v>
      </c>
      <c r="M22" s="169">
        <f t="shared" ref="M22:M29" si="4">L22</f>
        <v>997.9</v>
      </c>
      <c r="N22" s="101">
        <v>1050.5999999999999</v>
      </c>
      <c r="O22" s="101">
        <v>1033.5999999999999</v>
      </c>
      <c r="P22" s="101">
        <v>1127</v>
      </c>
      <c r="Q22" s="101">
        <v>1211.5999999999999</v>
      </c>
      <c r="R22" s="169">
        <f t="shared" ref="R22:R29" si="5">Q22</f>
        <v>1211.5999999999999</v>
      </c>
      <c r="S22" s="101">
        <v>1289.4000000000001</v>
      </c>
      <c r="T22" s="101">
        <v>1329.5</v>
      </c>
      <c r="U22" s="101">
        <v>1489.8</v>
      </c>
      <c r="V22" s="101">
        <v>1441.4</v>
      </c>
      <c r="W22" s="169">
        <f t="shared" ref="W22:W29" si="6">V22</f>
        <v>1441.4</v>
      </c>
      <c r="X22" s="101">
        <f>('IS (F4Q2022)'!X9/X51)</f>
        <v>1411.8864379368617</v>
      </c>
      <c r="Y22" s="101">
        <f>('IS (F4Q2022)'!Y9/Y51)</f>
        <v>1399.9529961393557</v>
      </c>
      <c r="Z22" s="101">
        <f>('IS (F4Q2022)'!Z9/Z51)</f>
        <v>1630.0202956593748</v>
      </c>
      <c r="AA22" s="101">
        <f>('IS (F4Q2022)'!AA9/AA51)</f>
        <v>1507.3003786534575</v>
      </c>
      <c r="AB22" s="169">
        <f t="shared" ref="AB22:AB29" si="7">AA22</f>
        <v>1507.3003786534575</v>
      </c>
      <c r="AC22" s="101">
        <f>('IS (F4Q2022)'!AC9/AC51)</f>
        <v>1546.4708076621312</v>
      </c>
      <c r="AD22" s="101">
        <f>('IS (F4Q2022)'!AD9/AD51)</f>
        <v>1525.1676192006421</v>
      </c>
      <c r="AE22" s="101">
        <f>('IS (F4Q2022)'!AE9/AE51)</f>
        <v>1748.29855059393</v>
      </c>
      <c r="AF22" s="101">
        <f>('IS (F4Q2022)'!AF9/AF51)</f>
        <v>1695.2790246634338</v>
      </c>
      <c r="AG22" s="169">
        <f t="shared" ref="AG22:AG29" si="8">AF22</f>
        <v>1695.2790246634338</v>
      </c>
      <c r="AH22" s="101">
        <f>('IS (F4Q2022)'!AH9/AH51)</f>
        <v>1708.004315393569</v>
      </c>
      <c r="AI22" s="101">
        <f>('IS (F4Q2022)'!AI9/AI51)</f>
        <v>1692.7696828034811</v>
      </c>
      <c r="AJ22" s="101">
        <f>('IS (F4Q2022)'!AJ9/AJ51)</f>
        <v>1961.8250012700105</v>
      </c>
      <c r="AK22" s="101">
        <f>('IS (F4Q2022)'!AK9/AK51)</f>
        <v>1908.7063972766762</v>
      </c>
      <c r="AL22" s="169">
        <f t="shared" ref="AL22:AL29" si="9">AK22</f>
        <v>1908.7063972766762</v>
      </c>
      <c r="AM22" s="101">
        <f>('IS (F4Q2022)'!AM9/AM51)</f>
        <v>1871.3266296765194</v>
      </c>
      <c r="AN22" s="101">
        <f>('IS (F4Q2022)'!AN9/AN51)</f>
        <v>1833.7274378563372</v>
      </c>
      <c r="AO22" s="101">
        <f>('IS (F4Q2022)'!AO9/AO51)</f>
        <v>2115.4190493066199</v>
      </c>
      <c r="AP22" s="101">
        <f>('IS (F4Q2022)'!AP9/AP51)</f>
        <v>2048.6691049020601</v>
      </c>
      <c r="AQ22" s="169">
        <f t="shared" ref="AQ22:AQ29" si="10">AP22</f>
        <v>2048.6691049020601</v>
      </c>
      <c r="AR22" s="101">
        <f>('IS (F4Q2022)'!AR9/AR51)</f>
        <v>1994.5363021888702</v>
      </c>
      <c r="AS22" s="101">
        <f>('IS (F4Q2022)'!AS9/AS51)</f>
        <v>1954.5073252986122</v>
      </c>
      <c r="AT22" s="101">
        <f>('IS (F4Q2022)'!AT9/AT51)</f>
        <v>2244.5769920714006</v>
      </c>
      <c r="AU22" s="101">
        <f>('IS (F4Q2022)'!AU9/AU51)</f>
        <v>2181.0117183667317</v>
      </c>
      <c r="AV22" s="169">
        <f t="shared" ref="AV22:AV29" si="11">AU22</f>
        <v>2181.0117183667317</v>
      </c>
    </row>
    <row r="23" spans="1:48" outlineLevel="1" x14ac:dyDescent="0.3">
      <c r="A23" s="161"/>
      <c r="B23" s="200" t="s">
        <v>229</v>
      </c>
      <c r="C23" s="201"/>
      <c r="D23" s="101">
        <v>2564</v>
      </c>
      <c r="E23" s="101">
        <v>2569.3000000000002</v>
      </c>
      <c r="F23" s="101">
        <v>3238.7</v>
      </c>
      <c r="G23" s="101">
        <v>1753.7</v>
      </c>
      <c r="H23" s="169">
        <f t="shared" si="3"/>
        <v>1753.7</v>
      </c>
      <c r="I23" s="101">
        <v>1637.8</v>
      </c>
      <c r="J23" s="101">
        <v>1539</v>
      </c>
      <c r="K23" s="101">
        <v>1511.7</v>
      </c>
      <c r="L23" s="101">
        <v>1160.7</v>
      </c>
      <c r="M23" s="169">
        <f t="shared" si="4"/>
        <v>1160.7</v>
      </c>
      <c r="N23" s="101">
        <v>1616.9</v>
      </c>
      <c r="O23" s="101">
        <v>1771.6</v>
      </c>
      <c r="P23" s="101">
        <v>1791.4</v>
      </c>
      <c r="Q23" s="101">
        <v>1973.2</v>
      </c>
      <c r="R23" s="169">
        <f t="shared" si="5"/>
        <v>1973.2</v>
      </c>
      <c r="S23" s="101">
        <v>2444.3000000000002</v>
      </c>
      <c r="T23" s="101">
        <v>2092.4</v>
      </c>
      <c r="U23" s="101">
        <v>2068.9</v>
      </c>
      <c r="V23" s="101">
        <v>2137.1</v>
      </c>
      <c r="W23" s="169">
        <f t="shared" si="6"/>
        <v>2137.1</v>
      </c>
      <c r="X23" s="33">
        <f>V23</f>
        <v>2137.1</v>
      </c>
      <c r="Y23" s="33">
        <f>X23</f>
        <v>2137.1</v>
      </c>
      <c r="Z23" s="33">
        <f>Y23</f>
        <v>2137.1</v>
      </c>
      <c r="AA23" s="33">
        <f>Z23</f>
        <v>2137.1</v>
      </c>
      <c r="AB23" s="169">
        <f t="shared" si="7"/>
        <v>2137.1</v>
      </c>
      <c r="AC23" s="33">
        <f>AA23</f>
        <v>2137.1</v>
      </c>
      <c r="AD23" s="33">
        <f>AC23</f>
        <v>2137.1</v>
      </c>
      <c r="AE23" s="33">
        <f>AD23</f>
        <v>2137.1</v>
      </c>
      <c r="AF23" s="33">
        <f>AE23</f>
        <v>2137.1</v>
      </c>
      <c r="AG23" s="169">
        <f t="shared" si="8"/>
        <v>2137.1</v>
      </c>
      <c r="AH23" s="33">
        <f>AF23</f>
        <v>2137.1</v>
      </c>
      <c r="AI23" s="33">
        <f>AH23</f>
        <v>2137.1</v>
      </c>
      <c r="AJ23" s="33">
        <f>AI23</f>
        <v>2137.1</v>
      </c>
      <c r="AK23" s="33">
        <f>AJ23</f>
        <v>2137.1</v>
      </c>
      <c r="AL23" s="169">
        <f t="shared" si="9"/>
        <v>2137.1</v>
      </c>
      <c r="AM23" s="33">
        <f>AK23</f>
        <v>2137.1</v>
      </c>
      <c r="AN23" s="33">
        <f>AM23</f>
        <v>2137.1</v>
      </c>
      <c r="AO23" s="33">
        <f>AN23</f>
        <v>2137.1</v>
      </c>
      <c r="AP23" s="33">
        <f>AO23</f>
        <v>2137.1</v>
      </c>
      <c r="AQ23" s="169">
        <f t="shared" si="10"/>
        <v>2137.1</v>
      </c>
      <c r="AR23" s="33">
        <f>AP23</f>
        <v>2137.1</v>
      </c>
      <c r="AS23" s="33">
        <f>AR23</f>
        <v>2137.1</v>
      </c>
      <c r="AT23" s="33">
        <f>AS23</f>
        <v>2137.1</v>
      </c>
      <c r="AU23" s="33">
        <f>AT23</f>
        <v>2137.1</v>
      </c>
      <c r="AV23" s="169">
        <f t="shared" si="11"/>
        <v>2137.1</v>
      </c>
    </row>
    <row r="24" spans="1:48" outlineLevel="1" x14ac:dyDescent="0.3">
      <c r="A24" s="161"/>
      <c r="B24" s="200" t="s">
        <v>230</v>
      </c>
      <c r="C24" s="201"/>
      <c r="D24" s="101">
        <v>0</v>
      </c>
      <c r="E24" s="101">
        <v>0</v>
      </c>
      <c r="F24" s="101">
        <v>0</v>
      </c>
      <c r="G24" s="101">
        <v>664.6</v>
      </c>
      <c r="H24" s="169">
        <f t="shared" si="3"/>
        <v>664.6</v>
      </c>
      <c r="I24" s="101">
        <v>578.5</v>
      </c>
      <c r="J24" s="101">
        <v>596.1</v>
      </c>
      <c r="K24" s="101">
        <v>652.1</v>
      </c>
      <c r="L24" s="101">
        <v>696</v>
      </c>
      <c r="M24" s="169">
        <f t="shared" si="4"/>
        <v>696</v>
      </c>
      <c r="N24" s="101">
        <v>685.3</v>
      </c>
      <c r="O24" s="101">
        <v>646.1</v>
      </c>
      <c r="P24" s="101">
        <v>741</v>
      </c>
      <c r="Q24" s="101">
        <v>772.3</v>
      </c>
      <c r="R24" s="169">
        <f t="shared" si="5"/>
        <v>772.3</v>
      </c>
      <c r="S24" s="101">
        <v>664.1</v>
      </c>
      <c r="T24" s="101">
        <v>665.9</v>
      </c>
      <c r="U24" s="101">
        <v>706.8</v>
      </c>
      <c r="V24" s="101">
        <v>761.7</v>
      </c>
      <c r="W24" s="169">
        <f t="shared" si="6"/>
        <v>761.7</v>
      </c>
      <c r="X24" s="33">
        <f>V24</f>
        <v>761.7</v>
      </c>
      <c r="Y24" s="33">
        <f t="shared" ref="Y24:AA25" si="12">X24</f>
        <v>761.7</v>
      </c>
      <c r="Z24" s="33">
        <f t="shared" si="12"/>
        <v>761.7</v>
      </c>
      <c r="AA24" s="33">
        <f t="shared" si="12"/>
        <v>761.7</v>
      </c>
      <c r="AB24" s="169">
        <f t="shared" si="7"/>
        <v>761.7</v>
      </c>
      <c r="AC24" s="33">
        <f>AA24</f>
        <v>761.7</v>
      </c>
      <c r="AD24" s="33">
        <f t="shared" ref="AD24:AF25" si="13">AC24</f>
        <v>761.7</v>
      </c>
      <c r="AE24" s="33">
        <f t="shared" si="13"/>
        <v>761.7</v>
      </c>
      <c r="AF24" s="33">
        <f t="shared" si="13"/>
        <v>761.7</v>
      </c>
      <c r="AG24" s="169">
        <f t="shared" si="8"/>
        <v>761.7</v>
      </c>
      <c r="AH24" s="33">
        <f>AF24</f>
        <v>761.7</v>
      </c>
      <c r="AI24" s="33">
        <f t="shared" ref="AI24:AK25" si="14">AH24</f>
        <v>761.7</v>
      </c>
      <c r="AJ24" s="33">
        <f t="shared" si="14"/>
        <v>761.7</v>
      </c>
      <c r="AK24" s="33">
        <f t="shared" si="14"/>
        <v>761.7</v>
      </c>
      <c r="AL24" s="169">
        <f t="shared" si="9"/>
        <v>761.7</v>
      </c>
      <c r="AM24" s="33">
        <f>AK24</f>
        <v>761.7</v>
      </c>
      <c r="AN24" s="33">
        <f t="shared" ref="AN24:AP25" si="15">AM24</f>
        <v>761.7</v>
      </c>
      <c r="AO24" s="33">
        <f t="shared" si="15"/>
        <v>761.7</v>
      </c>
      <c r="AP24" s="33">
        <f t="shared" si="15"/>
        <v>761.7</v>
      </c>
      <c r="AQ24" s="169">
        <f t="shared" si="10"/>
        <v>761.7</v>
      </c>
      <c r="AR24" s="33">
        <f>AP24</f>
        <v>761.7</v>
      </c>
      <c r="AS24" s="33">
        <f t="shared" ref="AS24:AU25" si="16">AR24</f>
        <v>761.7</v>
      </c>
      <c r="AT24" s="33">
        <f t="shared" si="16"/>
        <v>761.7</v>
      </c>
      <c r="AU24" s="33">
        <f t="shared" si="16"/>
        <v>761.7</v>
      </c>
      <c r="AV24" s="169">
        <f t="shared" si="11"/>
        <v>761.7</v>
      </c>
    </row>
    <row r="25" spans="1:48" outlineLevel="1" x14ac:dyDescent="0.3">
      <c r="A25" s="161"/>
      <c r="B25" s="200" t="s">
        <v>231</v>
      </c>
      <c r="C25" s="201"/>
      <c r="D25" s="101">
        <v>0</v>
      </c>
      <c r="E25" s="101">
        <v>0</v>
      </c>
      <c r="F25" s="101">
        <v>0</v>
      </c>
      <c r="G25" s="101">
        <v>1291.7</v>
      </c>
      <c r="H25" s="169">
        <f t="shared" si="3"/>
        <v>1291.7</v>
      </c>
      <c r="I25" s="101">
        <v>1414</v>
      </c>
      <c r="J25" s="101">
        <v>86.7</v>
      </c>
      <c r="K25" s="101">
        <v>90.9</v>
      </c>
      <c r="L25" s="101">
        <v>98.2</v>
      </c>
      <c r="M25" s="169">
        <f t="shared" si="4"/>
        <v>98.2</v>
      </c>
      <c r="N25" s="101">
        <v>149.69999999999999</v>
      </c>
      <c r="O25" s="101">
        <v>117</v>
      </c>
      <c r="P25" s="101">
        <v>204.8</v>
      </c>
      <c r="Q25" s="101">
        <v>348</v>
      </c>
      <c r="R25" s="169">
        <f t="shared" si="5"/>
        <v>348</v>
      </c>
      <c r="S25" s="101"/>
      <c r="T25" s="101">
        <f>S25</f>
        <v>0</v>
      </c>
      <c r="U25" s="101">
        <f>T25</f>
        <v>0</v>
      </c>
      <c r="V25" s="101">
        <f>U25</f>
        <v>0</v>
      </c>
      <c r="W25" s="169">
        <f t="shared" si="6"/>
        <v>0</v>
      </c>
      <c r="X25" s="33">
        <f>V25</f>
        <v>0</v>
      </c>
      <c r="Y25" s="33">
        <f t="shared" si="12"/>
        <v>0</v>
      </c>
      <c r="Z25" s="33">
        <f t="shared" si="12"/>
        <v>0</v>
      </c>
      <c r="AA25" s="33">
        <f t="shared" si="12"/>
        <v>0</v>
      </c>
      <c r="AB25" s="169">
        <f t="shared" si="7"/>
        <v>0</v>
      </c>
      <c r="AC25" s="33">
        <f>AA25</f>
        <v>0</v>
      </c>
      <c r="AD25" s="33">
        <f t="shared" si="13"/>
        <v>0</v>
      </c>
      <c r="AE25" s="33">
        <f t="shared" si="13"/>
        <v>0</v>
      </c>
      <c r="AF25" s="33">
        <f t="shared" si="13"/>
        <v>0</v>
      </c>
      <c r="AG25" s="169">
        <f t="shared" si="8"/>
        <v>0</v>
      </c>
      <c r="AH25" s="33">
        <f>AF25</f>
        <v>0</v>
      </c>
      <c r="AI25" s="33">
        <f t="shared" si="14"/>
        <v>0</v>
      </c>
      <c r="AJ25" s="33">
        <f t="shared" si="14"/>
        <v>0</v>
      </c>
      <c r="AK25" s="33">
        <f t="shared" si="14"/>
        <v>0</v>
      </c>
      <c r="AL25" s="169">
        <f t="shared" si="9"/>
        <v>0</v>
      </c>
      <c r="AM25" s="33">
        <f>AK25</f>
        <v>0</v>
      </c>
      <c r="AN25" s="33">
        <f t="shared" si="15"/>
        <v>0</v>
      </c>
      <c r="AO25" s="33">
        <f t="shared" si="15"/>
        <v>0</v>
      </c>
      <c r="AP25" s="33">
        <f t="shared" si="15"/>
        <v>0</v>
      </c>
      <c r="AQ25" s="169">
        <f t="shared" si="10"/>
        <v>0</v>
      </c>
      <c r="AR25" s="33">
        <f>AP25</f>
        <v>0</v>
      </c>
      <c r="AS25" s="33">
        <f t="shared" si="16"/>
        <v>0</v>
      </c>
      <c r="AT25" s="33">
        <f t="shared" si="16"/>
        <v>0</v>
      </c>
      <c r="AU25" s="33">
        <f t="shared" si="16"/>
        <v>0</v>
      </c>
      <c r="AV25" s="169">
        <f t="shared" si="11"/>
        <v>0</v>
      </c>
    </row>
    <row r="26" spans="1:48" outlineLevel="1" x14ac:dyDescent="0.3">
      <c r="A26" s="161"/>
      <c r="B26" s="200" t="s">
        <v>232</v>
      </c>
      <c r="C26" s="201"/>
      <c r="D26" s="101">
        <v>0</v>
      </c>
      <c r="E26" s="101">
        <v>0</v>
      </c>
      <c r="F26" s="101">
        <v>0</v>
      </c>
      <c r="G26" s="101">
        <v>0</v>
      </c>
      <c r="H26" s="169">
        <f t="shared" si="3"/>
        <v>0</v>
      </c>
      <c r="I26" s="101">
        <v>1268.9000000000001</v>
      </c>
      <c r="J26" s="101">
        <v>1253.5</v>
      </c>
      <c r="K26" s="101">
        <v>1237.0999999999999</v>
      </c>
      <c r="L26" s="101">
        <v>1248.8</v>
      </c>
      <c r="M26" s="169">
        <f t="shared" si="4"/>
        <v>1248.8</v>
      </c>
      <c r="N26" s="101">
        <v>1267.5999999999999</v>
      </c>
      <c r="O26" s="101">
        <v>1296.4000000000001</v>
      </c>
      <c r="P26" s="101">
        <v>1308.4000000000001</v>
      </c>
      <c r="Q26" s="101">
        <v>1251.3</v>
      </c>
      <c r="R26" s="169">
        <f t="shared" si="5"/>
        <v>1251.3</v>
      </c>
      <c r="S26" s="101">
        <v>1253.3</v>
      </c>
      <c r="T26" s="101">
        <v>1236.3</v>
      </c>
      <c r="U26" s="101">
        <v>1214.8</v>
      </c>
      <c r="V26" s="101">
        <v>1245.7</v>
      </c>
      <c r="W26" s="169">
        <f t="shared" si="6"/>
        <v>1245.7</v>
      </c>
      <c r="X26" s="33">
        <f>V26*0.996</f>
        <v>1240.7172</v>
      </c>
      <c r="Y26" s="33">
        <f>X26*0.996</f>
        <v>1235.7543312</v>
      </c>
      <c r="Z26" s="33">
        <f>Y26*0.996</f>
        <v>1230.8113138752001</v>
      </c>
      <c r="AA26" s="33">
        <f>Z26*0.996</f>
        <v>1225.8880686196992</v>
      </c>
      <c r="AB26" s="169">
        <f t="shared" si="7"/>
        <v>1225.8880686196992</v>
      </c>
      <c r="AC26" s="33">
        <f>AA26*0.996</f>
        <v>1220.9845163452203</v>
      </c>
      <c r="AD26" s="33">
        <f>AC26*0.996</f>
        <v>1216.1005782798395</v>
      </c>
      <c r="AE26" s="33">
        <f>AD26*0.996</f>
        <v>1211.2361759667201</v>
      </c>
      <c r="AF26" s="33">
        <f>AE26*0.996</f>
        <v>1206.3912312628531</v>
      </c>
      <c r="AG26" s="169">
        <f t="shared" si="8"/>
        <v>1206.3912312628531</v>
      </c>
      <c r="AH26" s="33">
        <f>AF26*0.996</f>
        <v>1201.5656663378018</v>
      </c>
      <c r="AI26" s="33">
        <f>AH26*0.996</f>
        <v>1196.7594036724506</v>
      </c>
      <c r="AJ26" s="33">
        <f>AI26*0.996</f>
        <v>1191.9723660577608</v>
      </c>
      <c r="AK26" s="33">
        <f>AJ26*0.996</f>
        <v>1187.2044765935298</v>
      </c>
      <c r="AL26" s="169">
        <f t="shared" si="9"/>
        <v>1187.2044765935298</v>
      </c>
      <c r="AM26" s="33">
        <f>AK26*0.996</f>
        <v>1182.4556586871556</v>
      </c>
      <c r="AN26" s="33">
        <f>AM26*0.996</f>
        <v>1177.725836052407</v>
      </c>
      <c r="AO26" s="33">
        <f>AN26*0.996</f>
        <v>1173.0149327081974</v>
      </c>
      <c r="AP26" s="33">
        <f>AO26*0.996</f>
        <v>1168.3228729773646</v>
      </c>
      <c r="AQ26" s="169">
        <f t="shared" si="10"/>
        <v>1168.3228729773646</v>
      </c>
      <c r="AR26" s="33">
        <f>AP26*0.996</f>
        <v>1163.6495814854552</v>
      </c>
      <c r="AS26" s="33">
        <f>AR26*0.996</f>
        <v>1158.9949831595134</v>
      </c>
      <c r="AT26" s="33">
        <f>AS26*0.996</f>
        <v>1154.3590032268753</v>
      </c>
      <c r="AU26" s="33">
        <f>AT26*0.996</f>
        <v>1149.7415672139678</v>
      </c>
      <c r="AV26" s="169">
        <f t="shared" si="11"/>
        <v>1149.7415672139678</v>
      </c>
    </row>
    <row r="27" spans="1:48" outlineLevel="1" x14ac:dyDescent="0.3">
      <c r="A27" s="161"/>
      <c r="B27" s="200" t="s">
        <v>233</v>
      </c>
      <c r="C27" s="201"/>
      <c r="D27" s="101">
        <v>1554.2</v>
      </c>
      <c r="E27" s="101">
        <v>1311.4</v>
      </c>
      <c r="F27" s="101">
        <v>1300.2</v>
      </c>
      <c r="G27" s="101">
        <v>1269</v>
      </c>
      <c r="H27" s="169">
        <f t="shared" si="3"/>
        <v>1269</v>
      </c>
      <c r="I27" s="101">
        <v>1694.1</v>
      </c>
      <c r="J27" s="101">
        <v>1436.3</v>
      </c>
      <c r="K27" s="101">
        <v>1463.3</v>
      </c>
      <c r="L27" s="101">
        <v>1456.5</v>
      </c>
      <c r="M27" s="169">
        <f t="shared" si="4"/>
        <v>1456.5</v>
      </c>
      <c r="N27" s="101">
        <v>1871.2</v>
      </c>
      <c r="O27" s="101">
        <v>1622.1</v>
      </c>
      <c r="P27" s="101">
        <v>1628.3</v>
      </c>
      <c r="Q27" s="101">
        <v>1596.1</v>
      </c>
      <c r="R27" s="169">
        <f t="shared" si="5"/>
        <v>1596.1</v>
      </c>
      <c r="S27" s="101">
        <v>2070.6999999999998</v>
      </c>
      <c r="T27" s="101">
        <v>1781.6</v>
      </c>
      <c r="U27" s="101">
        <v>1723</v>
      </c>
      <c r="V27" s="101">
        <v>1641.9</v>
      </c>
      <c r="W27" s="169">
        <f t="shared" si="6"/>
        <v>1641.9</v>
      </c>
      <c r="X27" s="33">
        <f>V27*1.3</f>
        <v>2134.4700000000003</v>
      </c>
      <c r="Y27" s="33">
        <f>X27*0.85</f>
        <v>1814.2995000000001</v>
      </c>
      <c r="Z27" s="33">
        <f>Y27*0.99</f>
        <v>1796.1565050000002</v>
      </c>
      <c r="AA27" s="33">
        <f>Z27*0.99</f>
        <v>1778.1949399500002</v>
      </c>
      <c r="AB27" s="169">
        <f t="shared" si="7"/>
        <v>1778.1949399500002</v>
      </c>
      <c r="AC27" s="33">
        <f>AA27*1.3</f>
        <v>2311.6534219350001</v>
      </c>
      <c r="AD27" s="33">
        <f>AC27*0.85</f>
        <v>1964.90540864475</v>
      </c>
      <c r="AE27" s="33">
        <f>AD27*0.99</f>
        <v>1945.2563545583025</v>
      </c>
      <c r="AF27" s="33">
        <f>AE27*0.99</f>
        <v>1925.8037910127196</v>
      </c>
      <c r="AG27" s="169">
        <f t="shared" si="8"/>
        <v>1925.8037910127196</v>
      </c>
      <c r="AH27" s="33">
        <f>AF27*1.3</f>
        <v>2503.5449283165353</v>
      </c>
      <c r="AI27" s="33">
        <f>AH27*0.85</f>
        <v>2128.013189069055</v>
      </c>
      <c r="AJ27" s="33">
        <f>AI27*0.99</f>
        <v>2106.7330571783646</v>
      </c>
      <c r="AK27" s="33">
        <f>AJ27*0.99</f>
        <v>2085.6657266065808</v>
      </c>
      <c r="AL27" s="169">
        <f t="shared" si="9"/>
        <v>2085.6657266065808</v>
      </c>
      <c r="AM27" s="33">
        <f>AK27*1.3</f>
        <v>2711.3654445885554</v>
      </c>
      <c r="AN27" s="33">
        <f>AM27*0.85</f>
        <v>2304.6606279002722</v>
      </c>
      <c r="AO27" s="33">
        <f>AN27*0.99</f>
        <v>2281.6140216212693</v>
      </c>
      <c r="AP27" s="33">
        <f>AO27*0.99</f>
        <v>2258.7978814050566</v>
      </c>
      <c r="AQ27" s="169">
        <f t="shared" si="10"/>
        <v>2258.7978814050566</v>
      </c>
      <c r="AR27" s="33">
        <f>AP27*1.3</f>
        <v>2936.4372458265739</v>
      </c>
      <c r="AS27" s="33">
        <f>AR27*0.85</f>
        <v>2495.9716589525879</v>
      </c>
      <c r="AT27" s="33">
        <f>AS27*0.99</f>
        <v>2471.0119423630617</v>
      </c>
      <c r="AU27" s="33">
        <f>AT27*0.99</f>
        <v>2446.3018229394311</v>
      </c>
      <c r="AV27" s="169">
        <f t="shared" si="11"/>
        <v>2446.3018229394311</v>
      </c>
    </row>
    <row r="28" spans="1:48" outlineLevel="1" x14ac:dyDescent="0.3">
      <c r="A28" s="161"/>
      <c r="B28" s="200" t="s">
        <v>234</v>
      </c>
      <c r="C28" s="201"/>
      <c r="D28" s="101">
        <v>0</v>
      </c>
      <c r="E28" s="101">
        <f>75+0</f>
        <v>75</v>
      </c>
      <c r="F28" s="101">
        <v>0</v>
      </c>
      <c r="G28" s="101">
        <v>0</v>
      </c>
      <c r="H28" s="169">
        <f t="shared" si="3"/>
        <v>0</v>
      </c>
      <c r="I28" s="101">
        <f>497.9+498.7</f>
        <v>996.59999999999991</v>
      </c>
      <c r="J28" s="101">
        <f>1107.1+1249.4</f>
        <v>2356.5</v>
      </c>
      <c r="K28" s="101">
        <f>936.5+1249.6</f>
        <v>2186.1</v>
      </c>
      <c r="L28" s="101">
        <f>438.8+1249.9</f>
        <v>1688.7</v>
      </c>
      <c r="M28" s="169">
        <f t="shared" si="4"/>
        <v>1688.7</v>
      </c>
      <c r="N28" s="101">
        <f>492.6+750</f>
        <v>1242.5999999999999</v>
      </c>
      <c r="O28" s="101">
        <v>18.3</v>
      </c>
      <c r="P28" s="101">
        <v>998.9</v>
      </c>
      <c r="Q28" s="101">
        <v>998.9</v>
      </c>
      <c r="R28" s="169">
        <f t="shared" si="5"/>
        <v>998.9</v>
      </c>
      <c r="S28" s="101">
        <f>200+999.3</f>
        <v>1199.3</v>
      </c>
      <c r="T28" s="101">
        <v>1998.6</v>
      </c>
      <c r="U28" s="101">
        <f>200+999.1</f>
        <v>1199.0999999999999</v>
      </c>
      <c r="V28" s="101">
        <f>175+1749</f>
        <v>1924</v>
      </c>
      <c r="W28" s="169">
        <f t="shared" si="6"/>
        <v>1924</v>
      </c>
      <c r="X28" s="33">
        <f>V28-X59+X60</f>
        <v>1924</v>
      </c>
      <c r="Y28" s="33">
        <f>X28-Y59+Y60</f>
        <v>1674</v>
      </c>
      <c r="Z28" s="33">
        <f t="shared" ref="Z28:AA28" si="17">Y28-Z59+Z60</f>
        <v>2800.3</v>
      </c>
      <c r="AA28" s="33">
        <f t="shared" si="17"/>
        <v>2800.3</v>
      </c>
      <c r="AB28" s="169">
        <f t="shared" si="7"/>
        <v>2800.3</v>
      </c>
      <c r="AC28" s="33">
        <f>AA28-AC59+AC60</f>
        <v>2050.3000000000002</v>
      </c>
      <c r="AD28" s="33">
        <f t="shared" ref="AD28:AF28" si="18">AC28-AD59+AD60</f>
        <v>924.00000000000023</v>
      </c>
      <c r="AE28" s="33">
        <f t="shared" si="18"/>
        <v>924.00000000000023</v>
      </c>
      <c r="AF28" s="33">
        <f t="shared" si="18"/>
        <v>924.00000000000023</v>
      </c>
      <c r="AG28" s="169">
        <f t="shared" si="8"/>
        <v>924.00000000000023</v>
      </c>
      <c r="AH28" s="33">
        <f>AF28-AH59+AH60</f>
        <v>2174</v>
      </c>
      <c r="AI28" s="33">
        <f t="shared" ref="AI28:AK28" si="19">AH28-AI59+AI60</f>
        <v>2174</v>
      </c>
      <c r="AJ28" s="33">
        <f t="shared" si="19"/>
        <v>2174</v>
      </c>
      <c r="AK28" s="33">
        <f t="shared" si="19"/>
        <v>1424</v>
      </c>
      <c r="AL28" s="169">
        <f t="shared" si="9"/>
        <v>1424</v>
      </c>
      <c r="AM28" s="33">
        <f>AK28-AM59+AM60</f>
        <v>1424</v>
      </c>
      <c r="AN28" s="33">
        <f t="shared" ref="AN28:AP28" si="20">AM28-AN59+AN60</f>
        <v>1424</v>
      </c>
      <c r="AO28" s="33">
        <f t="shared" si="20"/>
        <v>1424</v>
      </c>
      <c r="AP28" s="33">
        <f t="shared" si="20"/>
        <v>1424</v>
      </c>
      <c r="AQ28" s="169">
        <f t="shared" si="10"/>
        <v>1424</v>
      </c>
      <c r="AR28" s="33">
        <f>AP28-AR59+AR60</f>
        <v>1424</v>
      </c>
      <c r="AS28" s="33">
        <f t="shared" ref="AS28:AU28" si="21">AR28-AS59+AS60</f>
        <v>924</v>
      </c>
      <c r="AT28" s="33">
        <f t="shared" si="21"/>
        <v>924</v>
      </c>
      <c r="AU28" s="33">
        <f t="shared" si="21"/>
        <v>924</v>
      </c>
      <c r="AV28" s="169">
        <f t="shared" si="11"/>
        <v>924</v>
      </c>
    </row>
    <row r="29" spans="1:48" ht="16.2" outlineLevel="1" x14ac:dyDescent="0.45">
      <c r="A29" s="161"/>
      <c r="B29" s="200" t="s">
        <v>235</v>
      </c>
      <c r="C29" s="201"/>
      <c r="D29" s="112">
        <v>208.8</v>
      </c>
      <c r="E29" s="112">
        <v>221</v>
      </c>
      <c r="F29" s="112">
        <v>211.5</v>
      </c>
      <c r="G29" s="112">
        <v>0</v>
      </c>
      <c r="H29" s="262">
        <f t="shared" si="3"/>
        <v>0</v>
      </c>
      <c r="I29" s="112">
        <v>0</v>
      </c>
      <c r="J29" s="112">
        <v>0</v>
      </c>
      <c r="K29" s="112">
        <v>0</v>
      </c>
      <c r="L29" s="112">
        <v>0</v>
      </c>
      <c r="M29" s="262">
        <f t="shared" si="4"/>
        <v>0</v>
      </c>
      <c r="N29" s="112">
        <v>0</v>
      </c>
      <c r="O29" s="112">
        <v>0</v>
      </c>
      <c r="P29" s="112">
        <v>0</v>
      </c>
      <c r="Q29" s="112">
        <v>0</v>
      </c>
      <c r="R29" s="262">
        <f t="shared" si="5"/>
        <v>0</v>
      </c>
      <c r="S29" s="112">
        <v>0</v>
      </c>
      <c r="T29" s="112">
        <v>0</v>
      </c>
      <c r="U29" s="112">
        <v>0</v>
      </c>
      <c r="V29" s="112">
        <v>0</v>
      </c>
      <c r="W29" s="262">
        <f t="shared" si="6"/>
        <v>0</v>
      </c>
      <c r="X29" s="32">
        <v>0</v>
      </c>
      <c r="Y29" s="32">
        <v>0</v>
      </c>
      <c r="Z29" s="32">
        <v>0</v>
      </c>
      <c r="AA29" s="32">
        <v>0</v>
      </c>
      <c r="AB29" s="262">
        <f t="shared" si="7"/>
        <v>0</v>
      </c>
      <c r="AC29" s="32">
        <v>0</v>
      </c>
      <c r="AD29" s="32">
        <v>0</v>
      </c>
      <c r="AE29" s="32">
        <v>0</v>
      </c>
      <c r="AF29" s="32">
        <v>0</v>
      </c>
      <c r="AG29" s="262">
        <f t="shared" si="8"/>
        <v>0</v>
      </c>
      <c r="AH29" s="32">
        <v>0</v>
      </c>
      <c r="AI29" s="32">
        <v>0</v>
      </c>
      <c r="AJ29" s="32">
        <v>0</v>
      </c>
      <c r="AK29" s="32">
        <v>0</v>
      </c>
      <c r="AL29" s="262">
        <f t="shared" si="9"/>
        <v>0</v>
      </c>
      <c r="AM29" s="32">
        <v>0</v>
      </c>
      <c r="AN29" s="32">
        <v>0</v>
      </c>
      <c r="AO29" s="32">
        <v>0</v>
      </c>
      <c r="AP29" s="32">
        <v>0</v>
      </c>
      <c r="AQ29" s="262">
        <f t="shared" si="10"/>
        <v>0</v>
      </c>
      <c r="AR29" s="32">
        <v>0</v>
      </c>
      <c r="AS29" s="32">
        <v>0</v>
      </c>
      <c r="AT29" s="32">
        <v>0</v>
      </c>
      <c r="AU29" s="32">
        <v>0</v>
      </c>
      <c r="AV29" s="262">
        <f t="shared" si="11"/>
        <v>0</v>
      </c>
    </row>
    <row r="30" spans="1:48" outlineLevel="1" x14ac:dyDescent="0.3">
      <c r="A30" s="161"/>
      <c r="B30" s="205" t="s">
        <v>236</v>
      </c>
      <c r="C30" s="201"/>
      <c r="D30" s="116">
        <f t="shared" ref="D30:K30" si="22">SUM(D22:D29)</f>
        <v>5427.5</v>
      </c>
      <c r="E30" s="116">
        <f t="shared" si="22"/>
        <v>5273.4</v>
      </c>
      <c r="F30" s="116">
        <f t="shared" si="22"/>
        <v>5895.8</v>
      </c>
      <c r="G30" s="116">
        <f t="shared" si="22"/>
        <v>6168.7</v>
      </c>
      <c r="H30" s="150">
        <f t="shared" si="22"/>
        <v>6168.7</v>
      </c>
      <c r="I30" s="116">
        <f t="shared" si="22"/>
        <v>8675.5</v>
      </c>
      <c r="J30" s="116">
        <f t="shared" si="22"/>
        <v>8265.7999999999993</v>
      </c>
      <c r="K30" s="116">
        <f t="shared" si="22"/>
        <v>8002</v>
      </c>
      <c r="L30" s="116">
        <f t="shared" ref="L30:AV30" si="23">SUM(L22:L28)</f>
        <v>7346.7999999999993</v>
      </c>
      <c r="M30" s="150">
        <f t="shared" si="23"/>
        <v>7346.7999999999993</v>
      </c>
      <c r="N30" s="116">
        <f t="shared" si="23"/>
        <v>7883.9</v>
      </c>
      <c r="O30" s="116">
        <f t="shared" si="23"/>
        <v>6505.0999999999995</v>
      </c>
      <c r="P30" s="116">
        <f t="shared" si="23"/>
        <v>7799.8</v>
      </c>
      <c r="Q30" s="116">
        <f t="shared" si="23"/>
        <v>8151.4</v>
      </c>
      <c r="R30" s="150">
        <f t="shared" si="23"/>
        <v>8151.4</v>
      </c>
      <c r="S30" s="116">
        <f t="shared" si="23"/>
        <v>8921.1</v>
      </c>
      <c r="T30" s="116">
        <f t="shared" si="23"/>
        <v>9104.3000000000011</v>
      </c>
      <c r="U30" s="116">
        <f t="shared" si="23"/>
        <v>8402.4</v>
      </c>
      <c r="V30" s="116">
        <f t="shared" si="23"/>
        <v>9151.7999999999993</v>
      </c>
      <c r="W30" s="150">
        <f t="shared" si="23"/>
        <v>9151.7999999999993</v>
      </c>
      <c r="X30" s="116">
        <f t="shared" si="23"/>
        <v>9609.873637936862</v>
      </c>
      <c r="Y30" s="116">
        <f t="shared" si="23"/>
        <v>9022.8068273393546</v>
      </c>
      <c r="Z30" s="116">
        <f t="shared" si="23"/>
        <v>10356.088114534576</v>
      </c>
      <c r="AA30" s="116">
        <f t="shared" si="23"/>
        <v>10210.483387223157</v>
      </c>
      <c r="AB30" s="150">
        <f t="shared" si="23"/>
        <v>10210.483387223157</v>
      </c>
      <c r="AC30" s="116">
        <f t="shared" si="23"/>
        <v>10028.208745942353</v>
      </c>
      <c r="AD30" s="116">
        <f t="shared" si="23"/>
        <v>8528.9736061252315</v>
      </c>
      <c r="AE30" s="116">
        <f t="shared" si="23"/>
        <v>8727.5910811189533</v>
      </c>
      <c r="AF30" s="116">
        <f t="shared" si="23"/>
        <v>8650.2740469390064</v>
      </c>
      <c r="AG30" s="150">
        <f t="shared" si="23"/>
        <v>8650.2740469390064</v>
      </c>
      <c r="AH30" s="116">
        <f t="shared" si="23"/>
        <v>10485.914910047904</v>
      </c>
      <c r="AI30" s="116">
        <f t="shared" si="23"/>
        <v>10090.342275544986</v>
      </c>
      <c r="AJ30" s="116">
        <f t="shared" si="23"/>
        <v>10333.330424506135</v>
      </c>
      <c r="AK30" s="116">
        <f t="shared" si="23"/>
        <v>9504.3766004767858</v>
      </c>
      <c r="AL30" s="150">
        <f t="shared" si="23"/>
        <v>9504.3766004767858</v>
      </c>
      <c r="AM30" s="116">
        <f t="shared" si="23"/>
        <v>10087.947732952231</v>
      </c>
      <c r="AN30" s="116">
        <f t="shared" si="23"/>
        <v>9638.9139018090154</v>
      </c>
      <c r="AO30" s="116">
        <f t="shared" si="23"/>
        <v>9892.848003636087</v>
      </c>
      <c r="AP30" s="116">
        <f t="shared" si="23"/>
        <v>9798.5898592844806</v>
      </c>
      <c r="AQ30" s="150">
        <f t="shared" si="23"/>
        <v>9798.5898592844806</v>
      </c>
      <c r="AR30" s="116">
        <f t="shared" si="23"/>
        <v>10417.423129500899</v>
      </c>
      <c r="AS30" s="116">
        <f t="shared" si="23"/>
        <v>9432.2739674107142</v>
      </c>
      <c r="AT30" s="116">
        <f t="shared" si="23"/>
        <v>9692.7479376613373</v>
      </c>
      <c r="AU30" s="116">
        <f t="shared" si="23"/>
        <v>9599.8551085201307</v>
      </c>
      <c r="AV30" s="150">
        <f t="shared" si="23"/>
        <v>9599.8551085201307</v>
      </c>
    </row>
    <row r="31" spans="1:48" outlineLevel="1" x14ac:dyDescent="0.3">
      <c r="A31" s="161"/>
      <c r="B31" s="200" t="s">
        <v>237</v>
      </c>
      <c r="C31" s="201"/>
      <c r="D31" s="101">
        <v>9130.7000000000007</v>
      </c>
      <c r="E31" s="101">
        <v>9141.5</v>
      </c>
      <c r="F31" s="101">
        <v>11159.1</v>
      </c>
      <c r="G31" s="101">
        <v>11167</v>
      </c>
      <c r="H31" s="169">
        <f>G31</f>
        <v>11167</v>
      </c>
      <c r="I31" s="101">
        <v>10653.2</v>
      </c>
      <c r="J31" s="101">
        <v>11658.7</v>
      </c>
      <c r="K31" s="101">
        <v>14645.6</v>
      </c>
      <c r="L31" s="101">
        <v>14659.6</v>
      </c>
      <c r="M31" s="169">
        <f>L31</f>
        <v>14659.6</v>
      </c>
      <c r="N31" s="101">
        <v>14673.5</v>
      </c>
      <c r="O31" s="101">
        <v>14630.3</v>
      </c>
      <c r="P31" s="101">
        <v>13619.2</v>
      </c>
      <c r="Q31" s="101">
        <v>13616.9</v>
      </c>
      <c r="R31" s="169">
        <f>Q31</f>
        <v>13616.9</v>
      </c>
      <c r="S31" s="101">
        <v>13586.3</v>
      </c>
      <c r="T31" s="101">
        <v>14014.4</v>
      </c>
      <c r="U31" s="101">
        <v>13930.8</v>
      </c>
      <c r="V31" s="101">
        <v>13119.9</v>
      </c>
      <c r="W31" s="169">
        <f>V31</f>
        <v>13119.9</v>
      </c>
      <c r="X31" s="33">
        <f>V31-X60+X61</f>
        <v>13119.9</v>
      </c>
      <c r="Y31" s="33">
        <f>X31-Y60+Y61</f>
        <v>13369.9</v>
      </c>
      <c r="Z31" s="33">
        <f>Y31-Z60+Z61</f>
        <v>12243.6</v>
      </c>
      <c r="AA31" s="33">
        <f>Z31-AA60+AA61</f>
        <v>12243.6</v>
      </c>
      <c r="AB31" s="169">
        <f>AA31</f>
        <v>12243.6</v>
      </c>
      <c r="AC31" s="33">
        <f>AA31-AC60+AC61</f>
        <v>12993.6</v>
      </c>
      <c r="AD31" s="33">
        <f>AC31-AD60+AD61</f>
        <v>14119.6</v>
      </c>
      <c r="AE31" s="33">
        <f>AD31-AE60+AE61</f>
        <v>14119.6</v>
      </c>
      <c r="AF31" s="33">
        <f>AE31-AF60+AF61</f>
        <v>14219.6</v>
      </c>
      <c r="AG31" s="169">
        <f>AF31</f>
        <v>14219.6</v>
      </c>
      <c r="AH31" s="33">
        <f>AF31-AH60+AH61</f>
        <v>12969.6</v>
      </c>
      <c r="AI31" s="33">
        <f>AH31-AI60+AI61</f>
        <v>12969.6</v>
      </c>
      <c r="AJ31" s="33">
        <f>AI31-AJ60+AJ61</f>
        <v>18511.581197315179</v>
      </c>
      <c r="AK31" s="33">
        <f>AJ31-AK60+AK61</f>
        <v>19261.581197315179</v>
      </c>
      <c r="AL31" s="169">
        <f>AK31</f>
        <v>19261.581197315179</v>
      </c>
      <c r="AM31" s="33">
        <f>AK31-AM60+AM61</f>
        <v>19261.581197315179</v>
      </c>
      <c r="AN31" s="33">
        <f>AM31-AN60+AN61</f>
        <v>19261.581197315179</v>
      </c>
      <c r="AO31" s="33">
        <f>AN31-AO60+AO61</f>
        <v>19261.581197315179</v>
      </c>
      <c r="AP31" s="33">
        <f>AO31-AP60+AP61</f>
        <v>19261.581197315179</v>
      </c>
      <c r="AQ31" s="169">
        <f>AP31</f>
        <v>19261.581197315179</v>
      </c>
      <c r="AR31" s="33">
        <f>AP31-AR60+AR61</f>
        <v>19261.581197315179</v>
      </c>
      <c r="AS31" s="33">
        <f>AR31-AS60+AS61</f>
        <v>19761.581197315179</v>
      </c>
      <c r="AT31" s="33">
        <f>AS31-AT60+AT61</f>
        <v>19761.581197315179</v>
      </c>
      <c r="AU31" s="33">
        <f>AT31-AU60+AU61</f>
        <v>19761.581197315179</v>
      </c>
      <c r="AV31" s="169">
        <f>AU31</f>
        <v>19761.581197315179</v>
      </c>
    </row>
    <row r="32" spans="1:48" outlineLevel="1" x14ac:dyDescent="0.3">
      <c r="A32" s="161"/>
      <c r="B32" s="200" t="s">
        <v>238</v>
      </c>
      <c r="C32" s="207"/>
      <c r="D32" s="101">
        <v>0</v>
      </c>
      <c r="E32" s="101">
        <v>0</v>
      </c>
      <c r="F32" s="101">
        <v>0</v>
      </c>
      <c r="G32" s="101">
        <v>0</v>
      </c>
      <c r="H32" s="169">
        <f>G32</f>
        <v>0</v>
      </c>
      <c r="I32" s="101">
        <v>7711.7</v>
      </c>
      <c r="J32" s="101">
        <v>7650.4</v>
      </c>
      <c r="K32" s="101">
        <v>7653.6</v>
      </c>
      <c r="L32" s="101">
        <v>7661.7</v>
      </c>
      <c r="M32" s="169">
        <f>L32</f>
        <v>7661.7</v>
      </c>
      <c r="N32" s="101">
        <v>7754.5</v>
      </c>
      <c r="O32" s="101">
        <v>7577.7</v>
      </c>
      <c r="P32" s="101">
        <v>7597.8</v>
      </c>
      <c r="Q32" s="101">
        <v>7738</v>
      </c>
      <c r="R32" s="169">
        <f>Q32</f>
        <v>7738</v>
      </c>
      <c r="S32" s="101">
        <v>7708</v>
      </c>
      <c r="T32" s="101">
        <v>7668.5</v>
      </c>
      <c r="U32" s="101">
        <v>7554.4</v>
      </c>
      <c r="V32" s="101">
        <v>7515.2</v>
      </c>
      <c r="W32" s="169">
        <f>V32</f>
        <v>7515.2</v>
      </c>
      <c r="X32" s="33">
        <f>V32*0.996</f>
        <v>7485.1391999999996</v>
      </c>
      <c r="Y32" s="33">
        <f t="shared" ref="Y32:AA32" si="24">X32*0.996</f>
        <v>7455.1986431999994</v>
      </c>
      <c r="Z32" s="33">
        <f t="shared" si="24"/>
        <v>7425.3778486271995</v>
      </c>
      <c r="AA32" s="33">
        <f t="shared" si="24"/>
        <v>7395.6763372326905</v>
      </c>
      <c r="AB32" s="169">
        <f>AA32</f>
        <v>7395.6763372326905</v>
      </c>
      <c r="AC32" s="33">
        <f>AA32*0.996</f>
        <v>7366.0936318837594</v>
      </c>
      <c r="AD32" s="33">
        <f t="shared" ref="AD32:AF32" si="25">AC32*0.996</f>
        <v>7336.6292573562241</v>
      </c>
      <c r="AE32" s="33">
        <f t="shared" si="25"/>
        <v>7307.2827403267993</v>
      </c>
      <c r="AF32" s="33">
        <f t="shared" si="25"/>
        <v>7278.0536093654919</v>
      </c>
      <c r="AG32" s="169">
        <f>AF32</f>
        <v>7278.0536093654919</v>
      </c>
      <c r="AH32" s="33">
        <f>AF32*0.996</f>
        <v>7248.9413949280297</v>
      </c>
      <c r="AI32" s="33">
        <f t="shared" ref="AI32:AK32" si="26">AH32*0.996</f>
        <v>7219.9456293483172</v>
      </c>
      <c r="AJ32" s="33">
        <f t="shared" si="26"/>
        <v>7191.0658468309239</v>
      </c>
      <c r="AK32" s="33">
        <f t="shared" si="26"/>
        <v>7162.3015834436001</v>
      </c>
      <c r="AL32" s="169">
        <f>AK32</f>
        <v>7162.3015834436001</v>
      </c>
      <c r="AM32" s="33">
        <f>AK32*0.996</f>
        <v>7133.6523771098255</v>
      </c>
      <c r="AN32" s="33">
        <f t="shared" ref="AN32:AP32" si="27">AM32*0.996</f>
        <v>7105.1177676013858</v>
      </c>
      <c r="AO32" s="33">
        <f t="shared" si="27"/>
        <v>7076.6972965309806</v>
      </c>
      <c r="AP32" s="33">
        <f t="shared" si="27"/>
        <v>7048.3905073448568</v>
      </c>
      <c r="AQ32" s="169">
        <f>AP32</f>
        <v>7048.3905073448568</v>
      </c>
      <c r="AR32" s="33">
        <f>AP32*0.996</f>
        <v>7020.196945315477</v>
      </c>
      <c r="AS32" s="33">
        <f t="shared" ref="AS32:AU32" si="28">AR32*0.996</f>
        <v>6992.1161575342148</v>
      </c>
      <c r="AT32" s="33">
        <f t="shared" si="28"/>
        <v>6964.1476929040782</v>
      </c>
      <c r="AU32" s="33">
        <f t="shared" si="28"/>
        <v>6936.2911021324617</v>
      </c>
      <c r="AV32" s="169">
        <f>AU32</f>
        <v>6936.2911021324617</v>
      </c>
    </row>
    <row r="33" spans="1:48" outlineLevel="1" x14ac:dyDescent="0.3">
      <c r="A33" s="161"/>
      <c r="B33" s="200" t="s">
        <v>239</v>
      </c>
      <c r="C33" s="207"/>
      <c r="D33" s="101">
        <v>6823.7</v>
      </c>
      <c r="E33" s="101">
        <v>6761.9</v>
      </c>
      <c r="F33" s="101">
        <v>6717.9</v>
      </c>
      <c r="G33" s="101">
        <v>6744.4</v>
      </c>
      <c r="H33" s="169">
        <f>G33</f>
        <v>6744.4</v>
      </c>
      <c r="I33" s="101">
        <v>6748.8</v>
      </c>
      <c r="J33" s="101">
        <v>6685.5</v>
      </c>
      <c r="K33" s="101">
        <v>6642.6</v>
      </c>
      <c r="L33" s="101">
        <v>6598.5</v>
      </c>
      <c r="M33" s="169">
        <f>L33</f>
        <v>6598.5</v>
      </c>
      <c r="N33" s="101">
        <v>6597.7</v>
      </c>
      <c r="O33" s="101">
        <v>6532.1</v>
      </c>
      <c r="P33" s="101">
        <v>6491.4</v>
      </c>
      <c r="Q33" s="101">
        <v>6463</v>
      </c>
      <c r="R33" s="169">
        <f>Q33</f>
        <v>6463</v>
      </c>
      <c r="S33" s="101">
        <v>6447.7</v>
      </c>
      <c r="T33" s="101">
        <v>6381.9</v>
      </c>
      <c r="U33" s="101">
        <v>6333.1</v>
      </c>
      <c r="V33" s="101">
        <v>6279.7</v>
      </c>
      <c r="W33" s="169">
        <f>V33</f>
        <v>6279.7</v>
      </c>
      <c r="X33" s="33">
        <f>V33*0.995</f>
        <v>6248.3014999999996</v>
      </c>
      <c r="Y33" s="33">
        <f>X33*0.995</f>
        <v>6217.0599924999997</v>
      </c>
      <c r="Z33" s="33">
        <f>Y33*0.995</f>
        <v>6185.9746925374993</v>
      </c>
      <c r="AA33" s="33">
        <f>Z33*0.995</f>
        <v>6155.044819074812</v>
      </c>
      <c r="AB33" s="169">
        <f>AA33</f>
        <v>6155.044819074812</v>
      </c>
      <c r="AC33" s="33">
        <f>AA33*0.995</f>
        <v>6124.2695949794379</v>
      </c>
      <c r="AD33" s="33">
        <f>AC33*0.995</f>
        <v>6093.6482470045403</v>
      </c>
      <c r="AE33" s="33">
        <f>AD33*0.995</f>
        <v>6063.1800057695173</v>
      </c>
      <c r="AF33" s="33">
        <f>AE33*0.995</f>
        <v>6032.8641057406694</v>
      </c>
      <c r="AG33" s="169">
        <f>AF33</f>
        <v>6032.8641057406694</v>
      </c>
      <c r="AH33" s="33">
        <f>AF33*0.995</f>
        <v>6002.6997852119657</v>
      </c>
      <c r="AI33" s="33">
        <f>AH33*0.995</f>
        <v>5972.6862862859061</v>
      </c>
      <c r="AJ33" s="33">
        <f>AI33*0.995</f>
        <v>5942.8228548544766</v>
      </c>
      <c r="AK33" s="33">
        <f>AJ33*0.995</f>
        <v>5913.1087405802045</v>
      </c>
      <c r="AL33" s="169">
        <f>AK33</f>
        <v>5913.1087405802045</v>
      </c>
      <c r="AM33" s="33">
        <f>AK33*0.995</f>
        <v>5883.5431968773037</v>
      </c>
      <c r="AN33" s="33">
        <f>AM33*0.995</f>
        <v>5854.125480892917</v>
      </c>
      <c r="AO33" s="33">
        <f>AN33*0.995</f>
        <v>5824.8548534884521</v>
      </c>
      <c r="AP33" s="33">
        <f>AO33*0.995</f>
        <v>5795.73057922101</v>
      </c>
      <c r="AQ33" s="169">
        <f>AP33</f>
        <v>5795.73057922101</v>
      </c>
      <c r="AR33" s="33">
        <f>AP33*0.995</f>
        <v>5766.7519263249051</v>
      </c>
      <c r="AS33" s="33">
        <f>AR33*0.995</f>
        <v>5737.9181666932809</v>
      </c>
      <c r="AT33" s="33">
        <f>AS33*0.995</f>
        <v>5709.2285758598146</v>
      </c>
      <c r="AU33" s="33">
        <f>AT33*0.995</f>
        <v>5680.6824329805158</v>
      </c>
      <c r="AV33" s="169">
        <f>AU33</f>
        <v>5680.6824329805158</v>
      </c>
    </row>
    <row r="34" spans="1:48" ht="15.75" customHeight="1" outlineLevel="1" x14ac:dyDescent="0.45">
      <c r="A34" s="161"/>
      <c r="B34" s="580" t="s">
        <v>240</v>
      </c>
      <c r="C34" s="581"/>
      <c r="D34" s="112">
        <v>1478.2</v>
      </c>
      <c r="E34" s="112">
        <v>1500.3</v>
      </c>
      <c r="F34" s="112">
        <v>1440.6</v>
      </c>
      <c r="G34" s="112">
        <v>1370.5</v>
      </c>
      <c r="H34" s="262">
        <f>G34</f>
        <v>1370.5</v>
      </c>
      <c r="I34" s="112">
        <v>701.2</v>
      </c>
      <c r="J34" s="112">
        <v>751.4</v>
      </c>
      <c r="K34" s="112">
        <v>821.1</v>
      </c>
      <c r="L34" s="112">
        <v>907.3</v>
      </c>
      <c r="M34" s="262">
        <f>L34</f>
        <v>907.3</v>
      </c>
      <c r="N34" s="112">
        <v>962.8</v>
      </c>
      <c r="O34" s="112">
        <v>774.8</v>
      </c>
      <c r="P34" s="112">
        <v>762.9</v>
      </c>
      <c r="Q34" s="112">
        <v>737.8</v>
      </c>
      <c r="R34" s="262">
        <f>Q34</f>
        <v>737.8</v>
      </c>
      <c r="S34" s="112">
        <v>621.1</v>
      </c>
      <c r="T34" s="112">
        <v>613.6</v>
      </c>
      <c r="U34" s="112">
        <v>594.4</v>
      </c>
      <c r="V34" s="112">
        <v>610.5</v>
      </c>
      <c r="W34" s="262">
        <f>V34</f>
        <v>610.5</v>
      </c>
      <c r="X34" s="32">
        <f>V34</f>
        <v>610.5</v>
      </c>
      <c r="Y34" s="32">
        <f>X34</f>
        <v>610.5</v>
      </c>
      <c r="Z34" s="32">
        <f>Y34</f>
        <v>610.5</v>
      </c>
      <c r="AA34" s="32">
        <f>Z34</f>
        <v>610.5</v>
      </c>
      <c r="AB34" s="262">
        <f>AA34</f>
        <v>610.5</v>
      </c>
      <c r="AC34" s="32">
        <f>AA34</f>
        <v>610.5</v>
      </c>
      <c r="AD34" s="32">
        <f>AC34</f>
        <v>610.5</v>
      </c>
      <c r="AE34" s="32">
        <f>AD34</f>
        <v>610.5</v>
      </c>
      <c r="AF34" s="32">
        <f>AE34</f>
        <v>610.5</v>
      </c>
      <c r="AG34" s="262">
        <f>AF34</f>
        <v>610.5</v>
      </c>
      <c r="AH34" s="32">
        <f>AF34</f>
        <v>610.5</v>
      </c>
      <c r="AI34" s="32">
        <f>AH34</f>
        <v>610.5</v>
      </c>
      <c r="AJ34" s="32">
        <f>AI34</f>
        <v>610.5</v>
      </c>
      <c r="AK34" s="32">
        <f>AJ34</f>
        <v>610.5</v>
      </c>
      <c r="AL34" s="262">
        <f>AK34</f>
        <v>610.5</v>
      </c>
      <c r="AM34" s="32">
        <f>AK34</f>
        <v>610.5</v>
      </c>
      <c r="AN34" s="32">
        <f>AM34</f>
        <v>610.5</v>
      </c>
      <c r="AO34" s="32">
        <f>AN34</f>
        <v>610.5</v>
      </c>
      <c r="AP34" s="32">
        <f>AO34</f>
        <v>610.5</v>
      </c>
      <c r="AQ34" s="262">
        <f>AP34</f>
        <v>610.5</v>
      </c>
      <c r="AR34" s="32">
        <f>AP34</f>
        <v>610.5</v>
      </c>
      <c r="AS34" s="32">
        <f>AR34</f>
        <v>610.5</v>
      </c>
      <c r="AT34" s="32">
        <f>AS34</f>
        <v>610.5</v>
      </c>
      <c r="AU34" s="32">
        <f>AT34</f>
        <v>610.5</v>
      </c>
      <c r="AV34" s="262">
        <f>AU34</f>
        <v>610.5</v>
      </c>
    </row>
    <row r="35" spans="1:48" outlineLevel="1" x14ac:dyDescent="0.3">
      <c r="A35" s="161"/>
      <c r="B35" s="619" t="s">
        <v>241</v>
      </c>
      <c r="C35" s="620"/>
      <c r="D35" s="116">
        <f t="shared" ref="D35:AV35" si="29">SUM(D30:D34)</f>
        <v>22860.100000000002</v>
      </c>
      <c r="E35" s="116">
        <f t="shared" si="29"/>
        <v>22677.1</v>
      </c>
      <c r="F35" s="116">
        <f t="shared" si="29"/>
        <v>25213.4</v>
      </c>
      <c r="G35" s="116">
        <f t="shared" si="29"/>
        <v>25450.6</v>
      </c>
      <c r="H35" s="150">
        <f t="shared" si="29"/>
        <v>25450.6</v>
      </c>
      <c r="I35" s="116">
        <f t="shared" si="29"/>
        <v>34490.400000000001</v>
      </c>
      <c r="J35" s="116">
        <f t="shared" si="29"/>
        <v>35011.800000000003</v>
      </c>
      <c r="K35" s="116">
        <f t="shared" si="29"/>
        <v>37764.899999999994</v>
      </c>
      <c r="L35" s="116">
        <f t="shared" si="29"/>
        <v>37173.900000000009</v>
      </c>
      <c r="M35" s="150">
        <f t="shared" si="29"/>
        <v>37173.900000000009</v>
      </c>
      <c r="N35" s="116">
        <f t="shared" si="29"/>
        <v>37872.400000000001</v>
      </c>
      <c r="O35" s="116">
        <f t="shared" si="29"/>
        <v>36020</v>
      </c>
      <c r="P35" s="116">
        <f t="shared" si="29"/>
        <v>36271.1</v>
      </c>
      <c r="Q35" s="116">
        <f t="shared" si="29"/>
        <v>36707.100000000006</v>
      </c>
      <c r="R35" s="150">
        <f t="shared" si="29"/>
        <v>36707.100000000006</v>
      </c>
      <c r="S35" s="116">
        <f t="shared" si="29"/>
        <v>37284.199999999997</v>
      </c>
      <c r="T35" s="116">
        <f t="shared" si="29"/>
        <v>37782.699999999997</v>
      </c>
      <c r="U35" s="116">
        <f t="shared" si="29"/>
        <v>36815.1</v>
      </c>
      <c r="V35" s="116">
        <f t="shared" si="29"/>
        <v>36677.1</v>
      </c>
      <c r="W35" s="150">
        <f t="shared" si="29"/>
        <v>36677.1</v>
      </c>
      <c r="X35" s="116">
        <f t="shared" si="29"/>
        <v>37073.714337936864</v>
      </c>
      <c r="Y35" s="116">
        <f t="shared" si="29"/>
        <v>36675.465463039349</v>
      </c>
      <c r="Z35" s="116">
        <f t="shared" si="29"/>
        <v>36821.540655699275</v>
      </c>
      <c r="AA35" s="116">
        <f t="shared" si="29"/>
        <v>36615.304543530663</v>
      </c>
      <c r="AB35" s="150">
        <f t="shared" si="29"/>
        <v>36615.304543530663</v>
      </c>
      <c r="AC35" s="116">
        <f t="shared" si="29"/>
        <v>37122.671972805554</v>
      </c>
      <c r="AD35" s="116">
        <f t="shared" si="29"/>
        <v>36689.351110485994</v>
      </c>
      <c r="AE35" s="116">
        <f t="shared" si="29"/>
        <v>36828.153827215268</v>
      </c>
      <c r="AF35" s="116">
        <f t="shared" si="29"/>
        <v>36791.29176204517</v>
      </c>
      <c r="AG35" s="150">
        <f t="shared" si="29"/>
        <v>36791.29176204517</v>
      </c>
      <c r="AH35" s="116">
        <f t="shared" si="29"/>
        <v>37317.656090187898</v>
      </c>
      <c r="AI35" s="116">
        <f t="shared" si="29"/>
        <v>36863.074191179207</v>
      </c>
      <c r="AJ35" s="116">
        <f t="shared" si="29"/>
        <v>42589.300323506723</v>
      </c>
      <c r="AK35" s="116">
        <f t="shared" si="29"/>
        <v>42451.868121815765</v>
      </c>
      <c r="AL35" s="150">
        <f t="shared" si="29"/>
        <v>42451.868121815765</v>
      </c>
      <c r="AM35" s="116">
        <f t="shared" si="29"/>
        <v>42977.22450425454</v>
      </c>
      <c r="AN35" s="116">
        <f t="shared" si="29"/>
        <v>42470.238347618491</v>
      </c>
      <c r="AO35" s="116">
        <f t="shared" si="29"/>
        <v>42666.481350970702</v>
      </c>
      <c r="AP35" s="116">
        <f t="shared" si="29"/>
        <v>42514.792143165527</v>
      </c>
      <c r="AQ35" s="150">
        <f t="shared" si="29"/>
        <v>42514.792143165527</v>
      </c>
      <c r="AR35" s="116">
        <f t="shared" si="29"/>
        <v>43076.45319845646</v>
      </c>
      <c r="AS35" s="116">
        <f t="shared" si="29"/>
        <v>42534.389488953384</v>
      </c>
      <c r="AT35" s="116">
        <f t="shared" si="29"/>
        <v>42738.205403740409</v>
      </c>
      <c r="AU35" s="116">
        <f t="shared" si="29"/>
        <v>42588.90984094829</v>
      </c>
      <c r="AV35" s="150">
        <f t="shared" si="29"/>
        <v>42588.90984094829</v>
      </c>
    </row>
    <row r="36" spans="1:48" ht="17.399999999999999" x14ac:dyDescent="0.45">
      <c r="B36" s="583" t="s">
        <v>242</v>
      </c>
      <c r="C36" s="584"/>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580" t="s">
        <v>243</v>
      </c>
      <c r="C37" s="581"/>
      <c r="D37" s="16">
        <f>1.2+41.1</f>
        <v>42.300000000000004</v>
      </c>
      <c r="E37" s="16">
        <f>1.2+41.1</f>
        <v>42.300000000000004</v>
      </c>
      <c r="F37" s="16">
        <f>1.2+41.1</f>
        <v>42.300000000000004</v>
      </c>
      <c r="G37" s="16">
        <f>1.2+41.1</f>
        <v>42.300000000000004</v>
      </c>
      <c r="H37" s="17">
        <f>G37</f>
        <v>42.300000000000004</v>
      </c>
      <c r="I37" s="16">
        <f>1.2+41.1</f>
        <v>42.300000000000004</v>
      </c>
      <c r="J37" s="16">
        <f>1.2+41.1</f>
        <v>42.300000000000004</v>
      </c>
      <c r="K37" s="16">
        <f>1.2+115.4</f>
        <v>116.60000000000001</v>
      </c>
      <c r="L37" s="16">
        <f>1.2+373.9</f>
        <v>375.09999999999997</v>
      </c>
      <c r="M37" s="17">
        <f>L37</f>
        <v>375.09999999999997</v>
      </c>
      <c r="N37" s="16">
        <f>1.2+488.6</f>
        <v>489.8</v>
      </c>
      <c r="O37" s="16">
        <f>1.2+595.4</f>
        <v>596.6</v>
      </c>
      <c r="P37" s="16">
        <f>1.2+729.3</f>
        <v>730.5</v>
      </c>
      <c r="Q37" s="16">
        <f>1.2+846.1</f>
        <v>847.30000000000007</v>
      </c>
      <c r="R37" s="17">
        <f>Q37</f>
        <v>847.30000000000007</v>
      </c>
      <c r="S37" s="16">
        <f>1.2+41.1</f>
        <v>42.300000000000004</v>
      </c>
      <c r="T37" s="16">
        <f>1.1+41.1</f>
        <v>42.2</v>
      </c>
      <c r="U37" s="16">
        <f>1.1+117.1</f>
        <v>118.19999999999999</v>
      </c>
      <c r="V37" s="16">
        <f>1.1+205.3</f>
        <v>206.4</v>
      </c>
      <c r="W37" s="17">
        <f>V37</f>
        <v>206.4</v>
      </c>
      <c r="X37" s="16">
        <f>+V37+'CFS (F4Q2022)'!X12+'CFS (F4Q2022)'!X35</f>
        <v>275.62241864383759</v>
      </c>
      <c r="Y37" s="16">
        <f>+X37+'CFS (F4Q2022)'!Y12+'CFS (F4Q2022)'!Y35</f>
        <v>335.69341238944276</v>
      </c>
      <c r="Z37" s="16">
        <f>+Y37+'CFS (F4Q2022)'!Z12+'CFS (F4Q2022)'!Z35</f>
        <v>402.66346489721246</v>
      </c>
      <c r="AA37" s="16">
        <f>+Z37+'CFS (F4Q2022)'!AA12+'CFS (F4Q2022)'!AA35</f>
        <v>473.23869323034688</v>
      </c>
      <c r="AB37" s="17">
        <f>AA37</f>
        <v>473.23869323034688</v>
      </c>
      <c r="AC37" s="16">
        <f>+AA37+'CFS (F4Q2022)'!AC12+'CFS (F4Q2022)'!AC35</f>
        <v>545.92611459269835</v>
      </c>
      <c r="AD37" s="16">
        <f>+AC37+'CFS (F4Q2022)'!AD12+'CFS (F4Q2022)'!AD35</f>
        <v>613.44781780684241</v>
      </c>
      <c r="AE37" s="16">
        <f>+AD37+'CFS (F4Q2022)'!AE12+'CFS (F4Q2022)'!AE35</f>
        <v>687.900720766414</v>
      </c>
      <c r="AF37" s="16">
        <f>+AE37+'CFS (F4Q2022)'!AF12+'CFS (F4Q2022)'!AF35</f>
        <v>765.19061512237647</v>
      </c>
      <c r="AG37" s="17">
        <f>AF37</f>
        <v>765.19061512237647</v>
      </c>
      <c r="AH37" s="16">
        <f>+AF37+'CFS (F4Q2022)'!AH12+'CFS (F4Q2022)'!AH35</f>
        <v>845.48459046857988</v>
      </c>
      <c r="AI37" s="16">
        <f>+AH37+'CFS (F4Q2022)'!AI12+'CFS (F4Q2022)'!AI35</f>
        <v>921.15607699789371</v>
      </c>
      <c r="AJ37" s="16">
        <f>+AI37+'CFS (F4Q2022)'!AJ12+'CFS (F4Q2022)'!AJ35</f>
        <v>1004.2624159998445</v>
      </c>
      <c r="AK37" s="16">
        <f>+AJ37+'CFS (F4Q2022)'!AK12+'CFS (F4Q2022)'!AK35</f>
        <v>1090.4256988586167</v>
      </c>
      <c r="AL37" s="17">
        <f>AK37</f>
        <v>1090.4256988586167</v>
      </c>
      <c r="AM37" s="16">
        <f>+AK37+'CFS (F4Q2022)'!AM12+'CFS (F4Q2022)'!AM35</f>
        <v>1178.6516667708395</v>
      </c>
      <c r="AN37" s="16">
        <f>+AM37+'CFS (F4Q2022)'!AN12+'CFS (F4Q2022)'!AN35</f>
        <v>1261.5536002497502</v>
      </c>
      <c r="AO37" s="16">
        <f>+AN37+'CFS (F4Q2022)'!AO12+'CFS (F4Q2022)'!AO35</f>
        <v>1352.1630890753031</v>
      </c>
      <c r="AP37" s="16">
        <f>+AO37+'CFS (F4Q2022)'!AP12+'CFS (F4Q2022)'!AP35</f>
        <v>1445.7599668378014</v>
      </c>
      <c r="AQ37" s="17">
        <f>AP37</f>
        <v>1445.7599668378014</v>
      </c>
      <c r="AR37" s="16">
        <f>+AP37+'CFS (F4Q2022)'!AR12+'CFS (F4Q2022)'!AR35</f>
        <v>1539.7037136857537</v>
      </c>
      <c r="AS37" s="16">
        <f>+AR37+'CFS (F4Q2022)'!AS12+'CFS (F4Q2022)'!AS35</f>
        <v>1627.9350268087692</v>
      </c>
      <c r="AT37" s="16">
        <f>+AS37+'CFS (F4Q2022)'!AT12+'CFS (F4Q2022)'!AT35</f>
        <v>1724.3261076647043</v>
      </c>
      <c r="AU37" s="16">
        <f>+AT37+'CFS (F4Q2022)'!AU12+'CFS (F4Q2022)'!AU35</f>
        <v>1823.8872255095428</v>
      </c>
      <c r="AV37" s="17">
        <f>AU37</f>
        <v>1823.8872255095428</v>
      </c>
    </row>
    <row r="38" spans="1:48" outlineLevel="1" x14ac:dyDescent="0.3">
      <c r="B38" s="621" t="s">
        <v>244</v>
      </c>
      <c r="C38" s="622"/>
      <c r="D38" s="16">
        <v>-2584</v>
      </c>
      <c r="E38" s="101">
        <v>-4807.7</v>
      </c>
      <c r="F38" s="101">
        <v>-4013.9</v>
      </c>
      <c r="G38" s="101">
        <v>-5771.2</v>
      </c>
      <c r="H38" s="169">
        <f>G38</f>
        <v>-5771.2</v>
      </c>
      <c r="I38" s="101">
        <v>-6414.8</v>
      </c>
      <c r="J38" s="101">
        <v>-7050.6</v>
      </c>
      <c r="K38" s="101">
        <v>-8208.2999999999993</v>
      </c>
      <c r="L38" s="101">
        <v>-7815.6</v>
      </c>
      <c r="M38" s="169">
        <f>L38</f>
        <v>-7815.6</v>
      </c>
      <c r="N38" s="101">
        <v>-8253.6</v>
      </c>
      <c r="O38" s="101">
        <v>-8124.3</v>
      </c>
      <c r="P38" s="101">
        <v>-7501.6</v>
      </c>
      <c r="Q38" s="101">
        <v>-6315.7</v>
      </c>
      <c r="R38" s="169">
        <f>Q38</f>
        <v>-6315.7</v>
      </c>
      <c r="S38" s="101">
        <v>-8753</v>
      </c>
      <c r="T38" s="101">
        <v>-9070.5</v>
      </c>
      <c r="U38" s="101">
        <v>-8719.7000000000007</v>
      </c>
      <c r="V38" s="101">
        <v>-8449.7999999999993</v>
      </c>
      <c r="W38" s="169">
        <f>V38</f>
        <v>-8449.7999999999993</v>
      </c>
      <c r="X38" s="101">
        <f>V38+'CFS (F4Q2022)'!X6+'CFS (F4Q2022)'!X33+'CFS (F4Q2022)'!X34</f>
        <v>-8227.8805713097408</v>
      </c>
      <c r="Y38" s="101">
        <f>X38+'CFS (F4Q2022)'!Y6+'CFS (F4Q2022)'!Y33+'CFS (F4Q2022)'!Y34</f>
        <v>-8008.3500708340234</v>
      </c>
      <c r="Z38" s="101">
        <f>Y38+'CFS (F4Q2022)'!Z6+'CFS (F4Q2022)'!Z33+'CFS (F4Q2022)'!Z34</f>
        <v>-7553.5475602456845</v>
      </c>
      <c r="AA38" s="101">
        <f>Z38+'CFS (F4Q2022)'!AA6+'CFS (F4Q2022)'!AA33+'CFS (F4Q2022)'!AA34</f>
        <v>-7027.1326535317412</v>
      </c>
      <c r="AB38" s="169">
        <f>AA38</f>
        <v>-7027.1326535317412</v>
      </c>
      <c r="AC38" s="101">
        <f>AA38+'CFS (F4Q2022)'!AC6+'CFS (F4Q2022)'!AC33+'CFS (F4Q2022)'!AC34</f>
        <v>-6481.4209963485573</v>
      </c>
      <c r="AD38" s="101">
        <f>AC38+'CFS (F4Q2022)'!AD6+'CFS (F4Q2022)'!AD33+'CFS (F4Q2022)'!AD34</f>
        <v>-6120.8620064460138</v>
      </c>
      <c r="AE38" s="101">
        <f>AD38+'CFS (F4Q2022)'!AE6+'CFS (F4Q2022)'!AE33+'CFS (F4Q2022)'!AE34</f>
        <v>-5633.2230787820645</v>
      </c>
      <c r="AF38" s="101">
        <f>AE38+'CFS (F4Q2022)'!AF6+'CFS (F4Q2022)'!AF33+'CFS (F4Q2022)'!AF34</f>
        <v>-5167.2218446445722</v>
      </c>
      <c r="AG38" s="169">
        <f>AF38</f>
        <v>-5167.2218446445722</v>
      </c>
      <c r="AH38" s="101">
        <f>AF38+'CFS (F4Q2022)'!AH6+'CFS (F4Q2022)'!AH33+'CFS (F4Q2022)'!AH34</f>
        <v>-4560.7533906159242</v>
      </c>
      <c r="AI38" s="101">
        <f>AH38+'CFS (F4Q2022)'!AI6+'CFS (F4Q2022)'!AI33+'CFS (F4Q2022)'!AI34</f>
        <v>-4158.8316517589719</v>
      </c>
      <c r="AJ38" s="101">
        <f>AI38+'CFS (F4Q2022)'!AJ6+'CFS (F4Q2022)'!AJ33+'CFS (F4Q2022)'!AJ34</f>
        <v>-8787.9004748294137</v>
      </c>
      <c r="AK38" s="101">
        <f>AJ38+'CFS (F4Q2022)'!AK6+'CFS (F4Q2022)'!AK33+'CFS (F4Q2022)'!AK34</f>
        <v>-13526.5744326079</v>
      </c>
      <c r="AL38" s="169">
        <f>AK38</f>
        <v>-13526.5744326079</v>
      </c>
      <c r="AM38" s="101">
        <f>AK38+'CFS (F4Q2022)'!AM6+'CFS (F4Q2022)'!AM33+'CFS (F4Q2022)'!AM34</f>
        <v>-13010.025724868003</v>
      </c>
      <c r="AN38" s="101">
        <f>AM38+'CFS (F4Q2022)'!AN6+'CFS (F4Q2022)'!AN33+'CFS (F4Q2022)'!AN34</f>
        <v>-12725.82490763362</v>
      </c>
      <c r="AO38" s="101">
        <f>AN38+'CFS (F4Q2022)'!AO6+'CFS (F4Q2022)'!AO33+'CFS (F4Q2022)'!AO34</f>
        <v>-12091.335181569386</v>
      </c>
      <c r="AP38" s="101">
        <f>AO38+'CFS (F4Q2022)'!AP6+'CFS (F4Q2022)'!AP33+'CFS (F4Q2022)'!AP34</f>
        <v>-11512.882002885657</v>
      </c>
      <c r="AQ38" s="169">
        <f>AP38</f>
        <v>-11512.882002885657</v>
      </c>
      <c r="AR38" s="101">
        <f>AP38+'CFS (F4Q2022)'!AR6+'CFS (F4Q2022)'!AR33+'CFS (F4Q2022)'!AR34</f>
        <v>-10872.779296434117</v>
      </c>
      <c r="AS38" s="101">
        <f>AR38+'CFS (F4Q2022)'!AS6+'CFS (F4Q2022)'!AS33+'CFS (F4Q2022)'!AS34</f>
        <v>-10478.856707439631</v>
      </c>
      <c r="AT38" s="101">
        <f>AS38+'CFS (F4Q2022)'!AT6+'CFS (F4Q2022)'!AT33+'CFS (F4Q2022)'!AT34</f>
        <v>-9740.3732096040312</v>
      </c>
      <c r="AU38" s="101">
        <f>AT38+'CFS (F4Q2022)'!AU6+'CFS (F4Q2022)'!AU33+'CFS (F4Q2022)'!AU34</f>
        <v>-9068.8969192784589</v>
      </c>
      <c r="AV38" s="169">
        <f>AU38</f>
        <v>-9068.8969192784589</v>
      </c>
    </row>
    <row r="39" spans="1:48" outlineLevel="1" x14ac:dyDescent="0.3">
      <c r="B39" s="621" t="s">
        <v>245</v>
      </c>
      <c r="C39" s="622"/>
      <c r="D39" s="16">
        <v>-343.2</v>
      </c>
      <c r="E39" s="102">
        <v>-271.5</v>
      </c>
      <c r="F39" s="101">
        <v>-349</v>
      </c>
      <c r="G39" s="101">
        <v>-503.3</v>
      </c>
      <c r="H39" s="169">
        <f>+G39</f>
        <v>-503.3</v>
      </c>
      <c r="I39" s="101">
        <v>-387.4</v>
      </c>
      <c r="J39" s="101">
        <v>-521.79999999999995</v>
      </c>
      <c r="K39" s="101">
        <v>-529.9</v>
      </c>
      <c r="L39" s="101">
        <v>-364.6</v>
      </c>
      <c r="M39" s="169">
        <f>+L39</f>
        <v>-364.6</v>
      </c>
      <c r="N39" s="101">
        <v>-145.9</v>
      </c>
      <c r="O39" s="101">
        <v>-126.3</v>
      </c>
      <c r="P39" s="101">
        <v>-29.7</v>
      </c>
      <c r="Q39" s="101">
        <v>147.19999999999999</v>
      </c>
      <c r="R39" s="169">
        <f>+Q39</f>
        <v>147.19999999999999</v>
      </c>
      <c r="S39" s="101">
        <v>253.5</v>
      </c>
      <c r="T39" s="101">
        <v>260.3</v>
      </c>
      <c r="U39" s="101">
        <v>-65</v>
      </c>
      <c r="V39" s="101">
        <v>-463.2</v>
      </c>
      <c r="W39" s="169">
        <f t="shared" ref="W39:W40" si="30">+V39</f>
        <v>-463.2</v>
      </c>
      <c r="X39" s="101">
        <f>+V39</f>
        <v>-463.2</v>
      </c>
      <c r="Y39" s="101">
        <f t="shared" ref="Y39:AB40" si="31">+X39</f>
        <v>-463.2</v>
      </c>
      <c r="Z39" s="101">
        <f t="shared" si="31"/>
        <v>-463.2</v>
      </c>
      <c r="AA39" s="101">
        <f t="shared" si="31"/>
        <v>-463.2</v>
      </c>
      <c r="AB39" s="169">
        <f t="shared" si="31"/>
        <v>-463.2</v>
      </c>
      <c r="AC39" s="101">
        <f>+AA39</f>
        <v>-463.2</v>
      </c>
      <c r="AD39" s="101">
        <f t="shared" ref="AD39:AG40" si="32">+AC39</f>
        <v>-463.2</v>
      </c>
      <c r="AE39" s="101">
        <f t="shared" si="32"/>
        <v>-463.2</v>
      </c>
      <c r="AF39" s="101">
        <f t="shared" si="32"/>
        <v>-463.2</v>
      </c>
      <c r="AG39" s="169">
        <f t="shared" si="32"/>
        <v>-463.2</v>
      </c>
      <c r="AH39" s="101">
        <f>+AF39</f>
        <v>-463.2</v>
      </c>
      <c r="AI39" s="101">
        <f t="shared" ref="AI39:AL40" si="33">+AH39</f>
        <v>-463.2</v>
      </c>
      <c r="AJ39" s="101">
        <f t="shared" si="33"/>
        <v>-463.2</v>
      </c>
      <c r="AK39" s="101">
        <f t="shared" si="33"/>
        <v>-463.2</v>
      </c>
      <c r="AL39" s="169">
        <f t="shared" si="33"/>
        <v>-463.2</v>
      </c>
      <c r="AM39" s="101">
        <f>+AK39</f>
        <v>-463.2</v>
      </c>
      <c r="AN39" s="101">
        <f t="shared" ref="AN39:AQ40" si="34">+AM39</f>
        <v>-463.2</v>
      </c>
      <c r="AO39" s="101">
        <f t="shared" si="34"/>
        <v>-463.2</v>
      </c>
      <c r="AP39" s="101">
        <f t="shared" si="34"/>
        <v>-463.2</v>
      </c>
      <c r="AQ39" s="169">
        <f t="shared" si="34"/>
        <v>-463.2</v>
      </c>
      <c r="AR39" s="101">
        <f>+AP39</f>
        <v>-463.2</v>
      </c>
      <c r="AS39" s="101">
        <f t="shared" ref="AS39:AV40" si="35">+AR39</f>
        <v>-463.2</v>
      </c>
      <c r="AT39" s="101">
        <f t="shared" si="35"/>
        <v>-463.2</v>
      </c>
      <c r="AU39" s="101">
        <f t="shared" si="35"/>
        <v>-463.2</v>
      </c>
      <c r="AV39" s="169">
        <f t="shared" si="35"/>
        <v>-463.2</v>
      </c>
    </row>
    <row r="40" spans="1:48" ht="16.2" outlineLevel="1" x14ac:dyDescent="0.45">
      <c r="B40" s="265" t="s">
        <v>246</v>
      </c>
      <c r="C40" s="266"/>
      <c r="D40" s="260">
        <v>6.1</v>
      </c>
      <c r="E40" s="112">
        <v>1.7</v>
      </c>
      <c r="F40" s="112">
        <v>1.6</v>
      </c>
      <c r="G40" s="112">
        <v>1.2</v>
      </c>
      <c r="H40" s="261">
        <f>+G40</f>
        <v>1.2</v>
      </c>
      <c r="I40" s="112">
        <v>0.8</v>
      </c>
      <c r="J40" s="112">
        <v>-2.8</v>
      </c>
      <c r="K40" s="112">
        <v>-2.7</v>
      </c>
      <c r="L40" s="112">
        <v>5.7</v>
      </c>
      <c r="M40" s="262">
        <f>+L40</f>
        <v>5.7</v>
      </c>
      <c r="N40" s="112">
        <v>5.7</v>
      </c>
      <c r="O40" s="112">
        <v>5.7</v>
      </c>
      <c r="P40" s="112">
        <v>6.5</v>
      </c>
      <c r="Q40" s="112">
        <v>6.7</v>
      </c>
      <c r="R40" s="262">
        <f>+Q40</f>
        <v>6.7</v>
      </c>
      <c r="S40" s="112">
        <v>6.9</v>
      </c>
      <c r="T40" s="112">
        <v>6.8</v>
      </c>
      <c r="U40" s="112">
        <v>7.6</v>
      </c>
      <c r="V40" s="112">
        <v>7.9</v>
      </c>
      <c r="W40" s="262">
        <f t="shared" si="30"/>
        <v>7.9</v>
      </c>
      <c r="X40" s="112">
        <f>+V40</f>
        <v>7.9</v>
      </c>
      <c r="Y40" s="112">
        <f t="shared" si="31"/>
        <v>7.9</v>
      </c>
      <c r="Z40" s="112">
        <f t="shared" si="31"/>
        <v>7.9</v>
      </c>
      <c r="AA40" s="112">
        <f t="shared" si="31"/>
        <v>7.9</v>
      </c>
      <c r="AB40" s="262">
        <f t="shared" si="31"/>
        <v>7.9</v>
      </c>
      <c r="AC40" s="112">
        <f>+AA40</f>
        <v>7.9</v>
      </c>
      <c r="AD40" s="112">
        <f t="shared" si="32"/>
        <v>7.9</v>
      </c>
      <c r="AE40" s="112">
        <f t="shared" si="32"/>
        <v>7.9</v>
      </c>
      <c r="AF40" s="112">
        <f t="shared" si="32"/>
        <v>7.9</v>
      </c>
      <c r="AG40" s="262">
        <f t="shared" si="32"/>
        <v>7.9</v>
      </c>
      <c r="AH40" s="112">
        <f>+AF40</f>
        <v>7.9</v>
      </c>
      <c r="AI40" s="112">
        <f t="shared" si="33"/>
        <v>7.9</v>
      </c>
      <c r="AJ40" s="112">
        <f t="shared" si="33"/>
        <v>7.9</v>
      </c>
      <c r="AK40" s="112">
        <f t="shared" si="33"/>
        <v>7.9</v>
      </c>
      <c r="AL40" s="262">
        <f t="shared" si="33"/>
        <v>7.9</v>
      </c>
      <c r="AM40" s="112">
        <f>+AK40</f>
        <v>7.9</v>
      </c>
      <c r="AN40" s="112">
        <f t="shared" si="34"/>
        <v>7.9</v>
      </c>
      <c r="AO40" s="112">
        <f t="shared" si="34"/>
        <v>7.9</v>
      </c>
      <c r="AP40" s="112">
        <f t="shared" si="34"/>
        <v>7.9</v>
      </c>
      <c r="AQ40" s="262">
        <f t="shared" si="34"/>
        <v>7.9</v>
      </c>
      <c r="AR40" s="112">
        <f>+AP40</f>
        <v>7.9</v>
      </c>
      <c r="AS40" s="112">
        <f t="shared" si="35"/>
        <v>7.9</v>
      </c>
      <c r="AT40" s="112">
        <f t="shared" si="35"/>
        <v>7.9</v>
      </c>
      <c r="AU40" s="112">
        <f t="shared" si="35"/>
        <v>7.9</v>
      </c>
      <c r="AV40" s="262">
        <f t="shared" si="35"/>
        <v>7.9</v>
      </c>
    </row>
    <row r="41" spans="1:48" outlineLevel="1" x14ac:dyDescent="0.3">
      <c r="B41" s="619" t="s">
        <v>247</v>
      </c>
      <c r="C41" s="620"/>
      <c r="D41" s="21">
        <f t="shared" ref="D41:AV41" si="36">SUM(D37:D40)</f>
        <v>-2878.7999999999997</v>
      </c>
      <c r="E41" s="21">
        <f t="shared" si="36"/>
        <v>-5035.2</v>
      </c>
      <c r="F41" s="21">
        <f t="shared" si="36"/>
        <v>-4319</v>
      </c>
      <c r="G41" s="21">
        <f t="shared" si="36"/>
        <v>-6231</v>
      </c>
      <c r="H41" s="22">
        <f t="shared" si="36"/>
        <v>-6231</v>
      </c>
      <c r="I41" s="21">
        <f t="shared" si="36"/>
        <v>-6759.0999999999995</v>
      </c>
      <c r="J41" s="21">
        <f t="shared" si="36"/>
        <v>-7532.9000000000005</v>
      </c>
      <c r="K41" s="21">
        <f t="shared" si="36"/>
        <v>-8624.2999999999993</v>
      </c>
      <c r="L41" s="21">
        <f t="shared" si="36"/>
        <v>-7799.4000000000005</v>
      </c>
      <c r="M41" s="22">
        <f t="shared" si="36"/>
        <v>-7799.4000000000005</v>
      </c>
      <c r="N41" s="21">
        <f t="shared" si="36"/>
        <v>-7904</v>
      </c>
      <c r="O41" s="21">
        <f t="shared" si="36"/>
        <v>-7648.3</v>
      </c>
      <c r="P41" s="21">
        <f t="shared" si="36"/>
        <v>-6794.3</v>
      </c>
      <c r="Q41" s="21">
        <f t="shared" si="36"/>
        <v>-5314.5</v>
      </c>
      <c r="R41" s="22">
        <f t="shared" si="36"/>
        <v>-5314.5</v>
      </c>
      <c r="S41" s="21">
        <f t="shared" si="36"/>
        <v>-8450.3000000000011</v>
      </c>
      <c r="T41" s="21">
        <f t="shared" si="36"/>
        <v>-8761.2000000000007</v>
      </c>
      <c r="U41" s="21">
        <f t="shared" si="36"/>
        <v>-8658.9</v>
      </c>
      <c r="V41" s="21">
        <f t="shared" si="36"/>
        <v>-8698.7000000000007</v>
      </c>
      <c r="W41" s="22">
        <f t="shared" si="36"/>
        <v>-8698.7000000000007</v>
      </c>
      <c r="X41" s="21">
        <f t="shared" si="36"/>
        <v>-8407.5581526659043</v>
      </c>
      <c r="Y41" s="21">
        <f t="shared" si="36"/>
        <v>-8127.9566584445811</v>
      </c>
      <c r="Z41" s="21">
        <f t="shared" si="36"/>
        <v>-7606.1840953484725</v>
      </c>
      <c r="AA41" s="21">
        <f t="shared" si="36"/>
        <v>-7009.1939603013943</v>
      </c>
      <c r="AB41" s="22">
        <f t="shared" si="36"/>
        <v>-7009.1939603013943</v>
      </c>
      <c r="AC41" s="21">
        <f t="shared" si="36"/>
        <v>-6390.794881755859</v>
      </c>
      <c r="AD41" s="21">
        <f t="shared" si="36"/>
        <v>-5962.7141886391719</v>
      </c>
      <c r="AE41" s="21">
        <f t="shared" si="36"/>
        <v>-5400.6223580156502</v>
      </c>
      <c r="AF41" s="21">
        <f t="shared" si="36"/>
        <v>-4857.3312295221958</v>
      </c>
      <c r="AG41" s="22">
        <f t="shared" si="36"/>
        <v>-4857.3312295221958</v>
      </c>
      <c r="AH41" s="21">
        <f t="shared" si="36"/>
        <v>-4170.5688001473445</v>
      </c>
      <c r="AI41" s="21">
        <f t="shared" si="36"/>
        <v>-3692.975574761078</v>
      </c>
      <c r="AJ41" s="21">
        <f t="shared" si="36"/>
        <v>-8238.9380588295699</v>
      </c>
      <c r="AK41" s="21">
        <f t="shared" si="36"/>
        <v>-12891.448733749285</v>
      </c>
      <c r="AL41" s="22">
        <f t="shared" si="36"/>
        <v>-12891.448733749285</v>
      </c>
      <c r="AM41" s="21">
        <f t="shared" si="36"/>
        <v>-12286.674058097164</v>
      </c>
      <c r="AN41" s="21">
        <f t="shared" si="36"/>
        <v>-11919.571307383871</v>
      </c>
      <c r="AO41" s="21">
        <f t="shared" si="36"/>
        <v>-11194.472092494083</v>
      </c>
      <c r="AP41" s="21">
        <f t="shared" si="36"/>
        <v>-10522.422036047858</v>
      </c>
      <c r="AQ41" s="22">
        <f t="shared" si="36"/>
        <v>-10522.422036047858</v>
      </c>
      <c r="AR41" s="21">
        <f t="shared" si="36"/>
        <v>-9788.3755827483637</v>
      </c>
      <c r="AS41" s="21">
        <f t="shared" si="36"/>
        <v>-9306.2216806308625</v>
      </c>
      <c r="AT41" s="21">
        <f t="shared" si="36"/>
        <v>-8471.3471019393273</v>
      </c>
      <c r="AU41" s="21">
        <f t="shared" si="36"/>
        <v>-7700.3096937689161</v>
      </c>
      <c r="AV41" s="22">
        <f t="shared" si="36"/>
        <v>-7700.3096937689161</v>
      </c>
    </row>
    <row r="42" spans="1:48" outlineLevel="1" x14ac:dyDescent="0.3">
      <c r="B42" s="617" t="s">
        <v>248</v>
      </c>
      <c r="C42" s="618"/>
      <c r="D42" s="267">
        <f t="shared" ref="D42:AV42" si="37">D41+D35</f>
        <v>19981.300000000003</v>
      </c>
      <c r="E42" s="267">
        <f t="shared" si="37"/>
        <v>17641.899999999998</v>
      </c>
      <c r="F42" s="267">
        <f t="shared" si="37"/>
        <v>20894.400000000001</v>
      </c>
      <c r="G42" s="267">
        <f t="shared" si="37"/>
        <v>19219.599999999999</v>
      </c>
      <c r="H42" s="268">
        <f t="shared" si="37"/>
        <v>19219.599999999999</v>
      </c>
      <c r="I42" s="267">
        <f t="shared" si="37"/>
        <v>27731.300000000003</v>
      </c>
      <c r="J42" s="267">
        <f t="shared" si="37"/>
        <v>27478.9</v>
      </c>
      <c r="K42" s="267">
        <f t="shared" si="37"/>
        <v>29140.599999999995</v>
      </c>
      <c r="L42" s="267">
        <f t="shared" si="37"/>
        <v>29374.500000000007</v>
      </c>
      <c r="M42" s="268">
        <f t="shared" si="37"/>
        <v>29374.500000000007</v>
      </c>
      <c r="N42" s="267">
        <f t="shared" si="37"/>
        <v>29968.400000000001</v>
      </c>
      <c r="O42" s="267">
        <f t="shared" si="37"/>
        <v>28371.7</v>
      </c>
      <c r="P42" s="267">
        <f t="shared" si="37"/>
        <v>29476.799999999999</v>
      </c>
      <c r="Q42" s="267">
        <f t="shared" si="37"/>
        <v>31392.600000000006</v>
      </c>
      <c r="R42" s="268">
        <f t="shared" si="37"/>
        <v>31392.600000000006</v>
      </c>
      <c r="S42" s="267">
        <f t="shared" si="37"/>
        <v>28833.899999999994</v>
      </c>
      <c r="T42" s="267">
        <f t="shared" si="37"/>
        <v>29021.499999999996</v>
      </c>
      <c r="U42" s="267">
        <f t="shared" si="37"/>
        <v>28156.199999999997</v>
      </c>
      <c r="V42" s="267">
        <f t="shared" si="37"/>
        <v>27978.399999999998</v>
      </c>
      <c r="W42" s="268">
        <f t="shared" si="37"/>
        <v>27978.399999999998</v>
      </c>
      <c r="X42" s="267">
        <f t="shared" si="37"/>
        <v>28666.15618527096</v>
      </c>
      <c r="Y42" s="267">
        <f t="shared" si="37"/>
        <v>28547.508804594767</v>
      </c>
      <c r="Z42" s="267">
        <f t="shared" si="37"/>
        <v>29215.356560350803</v>
      </c>
      <c r="AA42" s="267">
        <f t="shared" si="37"/>
        <v>29606.110583229267</v>
      </c>
      <c r="AB42" s="268">
        <f t="shared" si="37"/>
        <v>29606.110583229267</v>
      </c>
      <c r="AC42" s="267">
        <f t="shared" si="37"/>
        <v>30731.877091049697</v>
      </c>
      <c r="AD42" s="267">
        <f t="shared" si="37"/>
        <v>30726.636921846821</v>
      </c>
      <c r="AE42" s="267">
        <f t="shared" si="37"/>
        <v>31427.531469199617</v>
      </c>
      <c r="AF42" s="267">
        <f t="shared" si="37"/>
        <v>31933.960532522975</v>
      </c>
      <c r="AG42" s="268">
        <f t="shared" si="37"/>
        <v>31933.960532522975</v>
      </c>
      <c r="AH42" s="267">
        <f t="shared" si="37"/>
        <v>33147.087290040552</v>
      </c>
      <c r="AI42" s="267">
        <f t="shared" si="37"/>
        <v>33170.09861641813</v>
      </c>
      <c r="AJ42" s="267">
        <f t="shared" si="37"/>
        <v>34350.362264677155</v>
      </c>
      <c r="AK42" s="267">
        <f t="shared" si="37"/>
        <v>29560.419388066482</v>
      </c>
      <c r="AL42" s="268">
        <f t="shared" si="37"/>
        <v>29560.419388066482</v>
      </c>
      <c r="AM42" s="267">
        <f t="shared" si="37"/>
        <v>30690.550446157376</v>
      </c>
      <c r="AN42" s="267">
        <f t="shared" si="37"/>
        <v>30550.667040234621</v>
      </c>
      <c r="AO42" s="267">
        <f t="shared" si="37"/>
        <v>31472.009258476617</v>
      </c>
      <c r="AP42" s="267">
        <f t="shared" si="37"/>
        <v>31992.370107117669</v>
      </c>
      <c r="AQ42" s="268">
        <f t="shared" si="37"/>
        <v>31992.370107117669</v>
      </c>
      <c r="AR42" s="267">
        <f t="shared" si="37"/>
        <v>33288.077615708098</v>
      </c>
      <c r="AS42" s="267">
        <f t="shared" si="37"/>
        <v>33228.16780832252</v>
      </c>
      <c r="AT42" s="267">
        <f t="shared" si="37"/>
        <v>34266.858301801083</v>
      </c>
      <c r="AU42" s="267">
        <f t="shared" si="37"/>
        <v>34888.600147179372</v>
      </c>
      <c r="AV42" s="268">
        <f t="shared" si="37"/>
        <v>34888.600147179372</v>
      </c>
    </row>
    <row r="43" spans="1:48" x14ac:dyDescent="0.3">
      <c r="B43" s="269"/>
      <c r="C43" s="270"/>
      <c r="D43" s="271">
        <f t="shared" ref="D43:AV43" si="38">ROUND((D42-D20),0)</f>
        <v>0</v>
      </c>
      <c r="E43" s="271">
        <f t="shared" si="38"/>
        <v>0</v>
      </c>
      <c r="F43" s="271">
        <f t="shared" si="38"/>
        <v>0</v>
      </c>
      <c r="G43" s="271">
        <f t="shared" si="38"/>
        <v>0</v>
      </c>
      <c r="H43" s="271">
        <f t="shared" si="38"/>
        <v>0</v>
      </c>
      <c r="I43" s="271">
        <f t="shared" si="38"/>
        <v>0</v>
      </c>
      <c r="J43" s="271">
        <f t="shared" si="38"/>
        <v>0</v>
      </c>
      <c r="K43" s="271">
        <f t="shared" si="38"/>
        <v>0</v>
      </c>
      <c r="L43" s="272">
        <f t="shared" si="38"/>
        <v>0</v>
      </c>
      <c r="M43" s="272">
        <f t="shared" si="38"/>
        <v>0</v>
      </c>
      <c r="N43" s="272">
        <f t="shared" si="38"/>
        <v>0</v>
      </c>
      <c r="O43" s="272">
        <f t="shared" si="38"/>
        <v>0</v>
      </c>
      <c r="P43" s="272">
        <f t="shared" si="38"/>
        <v>0</v>
      </c>
      <c r="Q43" s="272">
        <f t="shared" si="38"/>
        <v>0</v>
      </c>
      <c r="R43" s="272">
        <f t="shared" si="38"/>
        <v>0</v>
      </c>
      <c r="S43" s="272">
        <f t="shared" si="38"/>
        <v>0</v>
      </c>
      <c r="T43" s="272">
        <f t="shared" si="38"/>
        <v>0</v>
      </c>
      <c r="U43" s="272">
        <f t="shared" si="38"/>
        <v>0</v>
      </c>
      <c r="V43" s="272">
        <f t="shared" si="38"/>
        <v>0</v>
      </c>
      <c r="W43" s="272">
        <f t="shared" si="38"/>
        <v>0</v>
      </c>
      <c r="X43" s="272">
        <f t="shared" si="38"/>
        <v>0</v>
      </c>
      <c r="Y43" s="272">
        <f t="shared" si="38"/>
        <v>0</v>
      </c>
      <c r="Z43" s="272">
        <f t="shared" si="38"/>
        <v>0</v>
      </c>
      <c r="AA43" s="272">
        <f t="shared" si="38"/>
        <v>0</v>
      </c>
      <c r="AB43" s="272">
        <f t="shared" si="38"/>
        <v>0</v>
      </c>
      <c r="AC43" s="272">
        <f t="shared" si="38"/>
        <v>0</v>
      </c>
      <c r="AD43" s="272">
        <f t="shared" si="38"/>
        <v>0</v>
      </c>
      <c r="AE43" s="272">
        <f t="shared" si="38"/>
        <v>0</v>
      </c>
      <c r="AF43" s="272">
        <f t="shared" si="38"/>
        <v>0</v>
      </c>
      <c r="AG43" s="272">
        <f t="shared" si="38"/>
        <v>0</v>
      </c>
      <c r="AH43" s="272">
        <f t="shared" si="38"/>
        <v>0</v>
      </c>
      <c r="AI43" s="272">
        <f t="shared" si="38"/>
        <v>0</v>
      </c>
      <c r="AJ43" s="272">
        <f t="shared" si="38"/>
        <v>0</v>
      </c>
      <c r="AK43" s="272">
        <f t="shared" si="38"/>
        <v>0</v>
      </c>
      <c r="AL43" s="272">
        <f t="shared" si="38"/>
        <v>0</v>
      </c>
      <c r="AM43" s="272">
        <f t="shared" si="38"/>
        <v>0</v>
      </c>
      <c r="AN43" s="272">
        <f t="shared" si="38"/>
        <v>0</v>
      </c>
      <c r="AO43" s="272">
        <f t="shared" si="38"/>
        <v>0</v>
      </c>
      <c r="AP43" s="272">
        <f t="shared" si="38"/>
        <v>0</v>
      </c>
      <c r="AQ43" s="272">
        <f t="shared" si="38"/>
        <v>0</v>
      </c>
      <c r="AR43" s="272">
        <f t="shared" si="38"/>
        <v>0</v>
      </c>
      <c r="AS43" s="272">
        <f t="shared" si="38"/>
        <v>0</v>
      </c>
      <c r="AT43" s="272">
        <f t="shared" si="38"/>
        <v>0</v>
      </c>
      <c r="AU43" s="272">
        <f t="shared" si="38"/>
        <v>0</v>
      </c>
      <c r="AV43" s="272">
        <f t="shared" si="38"/>
        <v>0</v>
      </c>
    </row>
    <row r="44" spans="1:48" ht="15.6" x14ac:dyDescent="0.3">
      <c r="B44" s="583" t="s">
        <v>249</v>
      </c>
      <c r="C44" s="584"/>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85"/>
      <c r="C45" s="586"/>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31+30+31</f>
        <v>92</v>
      </c>
      <c r="E46" s="274">
        <f>31+28+31</f>
        <v>90</v>
      </c>
      <c r="F46" s="274">
        <f>30+31+30</f>
        <v>91</v>
      </c>
      <c r="G46" s="274">
        <f>31+31+30</f>
        <v>92</v>
      </c>
      <c r="H46" s="122"/>
      <c r="I46" s="274">
        <f>31+30+31</f>
        <v>92</v>
      </c>
      <c r="J46" s="274">
        <f>31+29+31</f>
        <v>91</v>
      </c>
      <c r="K46" s="274">
        <f>30+31+30</f>
        <v>91</v>
      </c>
      <c r="L46" s="274">
        <f>31+31+30</f>
        <v>92</v>
      </c>
      <c r="M46" s="122"/>
      <c r="N46" s="274">
        <f>31+30+31</f>
        <v>92</v>
      </c>
      <c r="O46" s="274">
        <f>31+28+31</f>
        <v>90</v>
      </c>
      <c r="P46" s="274">
        <f>30+31+30</f>
        <v>91</v>
      </c>
      <c r="Q46" s="274">
        <f>31+31+30</f>
        <v>92</v>
      </c>
      <c r="R46" s="122"/>
      <c r="S46" s="274">
        <f>31+30+31</f>
        <v>92</v>
      </c>
      <c r="T46" s="274">
        <f>31+28+31</f>
        <v>90</v>
      </c>
      <c r="U46" s="274">
        <f>30+31+30</f>
        <v>91</v>
      </c>
      <c r="V46" s="274">
        <f>31+31+30</f>
        <v>92</v>
      </c>
      <c r="W46" s="122"/>
      <c r="X46" s="274">
        <f>31+30+31</f>
        <v>92</v>
      </c>
      <c r="Y46" s="274">
        <f>31+28+31</f>
        <v>90</v>
      </c>
      <c r="Z46" s="274">
        <f>30+31+30</f>
        <v>91</v>
      </c>
      <c r="AA46" s="274">
        <f>31+31+30</f>
        <v>92</v>
      </c>
      <c r="AB46" s="122"/>
      <c r="AC46" s="274">
        <f>31+30+31</f>
        <v>92</v>
      </c>
      <c r="AD46" s="274">
        <f>31+29+31</f>
        <v>91</v>
      </c>
      <c r="AE46" s="274">
        <f>30+31+30</f>
        <v>91</v>
      </c>
      <c r="AF46" s="274">
        <f>31+31+30</f>
        <v>92</v>
      </c>
      <c r="AG46" s="122"/>
      <c r="AH46" s="274">
        <f>31+30+31</f>
        <v>92</v>
      </c>
      <c r="AI46" s="274">
        <f>31+28+31</f>
        <v>90</v>
      </c>
      <c r="AJ46" s="274">
        <f>30+31+30</f>
        <v>91</v>
      </c>
      <c r="AK46" s="274">
        <f>31+31+30</f>
        <v>92</v>
      </c>
      <c r="AL46" s="122"/>
      <c r="AM46" s="274">
        <f>31+30+31</f>
        <v>92</v>
      </c>
      <c r="AN46" s="274">
        <f>31+28+31</f>
        <v>90</v>
      </c>
      <c r="AO46" s="274">
        <f>30+31+30</f>
        <v>91</v>
      </c>
      <c r="AP46" s="274">
        <f>31+31+30</f>
        <v>92</v>
      </c>
      <c r="AQ46" s="122"/>
      <c r="AR46" s="274">
        <f>31+30+31</f>
        <v>92</v>
      </c>
      <c r="AS46" s="274">
        <f>31+28+31</f>
        <v>90</v>
      </c>
      <c r="AT46" s="274">
        <f>30+31+30</f>
        <v>91</v>
      </c>
      <c r="AU46" s="274">
        <f>31+31+30</f>
        <v>92</v>
      </c>
      <c r="AV46" s="122"/>
    </row>
    <row r="47" spans="1:48" outlineLevel="1" x14ac:dyDescent="0.3">
      <c r="B47" s="580" t="s">
        <v>251</v>
      </c>
      <c r="C47" s="581"/>
      <c r="D47" s="276">
        <f>'IS (F4Q2022)'!D8/'BS (F4Q2022)'!D8</f>
        <v>9.1942057111172737</v>
      </c>
      <c r="E47" s="276">
        <f>'IS (F4Q2022)'!E8/'BS (F4Q2022)'!E8</f>
        <v>8.9623365548607161</v>
      </c>
      <c r="F47" s="276">
        <f>'IS (F4Q2022)'!F8/'BS (F4Q2022)'!F8</f>
        <v>8.6301543131798635</v>
      </c>
      <c r="G47" s="276">
        <f>'IS (F4Q2022)'!G8/'BS (F4Q2022)'!G8</f>
        <v>7.6757679180887379</v>
      </c>
      <c r="H47" s="126"/>
      <c r="I47" s="276">
        <f>'IS (F4Q2022)'!I8/'BS (F4Q2022)'!I8</f>
        <v>7.8153287082920375</v>
      </c>
      <c r="J47" s="276">
        <f>'IS (F4Q2022)'!J8/'BS (F4Q2022)'!J8</f>
        <v>6.3716259298618487</v>
      </c>
      <c r="K47" s="276">
        <f>'IS (F4Q2022)'!K8/'BS (F4Q2022)'!K8</f>
        <v>4.7918510952218822</v>
      </c>
      <c r="L47" s="276">
        <f>'IS (F4Q2022)'!L8/'BS (F4Q2022)'!L8</f>
        <v>7.0218474077428121</v>
      </c>
      <c r="M47" s="31"/>
      <c r="N47" s="276">
        <f>'IS (F4Q2022)'!N8/'BS (F4Q2022)'!N8</f>
        <v>7.6006756756756761</v>
      </c>
      <c r="O47" s="276">
        <f>'IS (F4Q2022)'!O8/'BS (F4Q2022)'!O8</f>
        <v>7.5755510111338324</v>
      </c>
      <c r="P47" s="276">
        <f>'IS (F4Q2022)'!P8/'BS (F4Q2022)'!P8</f>
        <v>8.2270632133450388</v>
      </c>
      <c r="Q47" s="276">
        <f>'IS (F4Q2022)'!Q8/'BS (F4Q2022)'!Q8</f>
        <v>8.6667021276595744</v>
      </c>
      <c r="R47" s="31"/>
      <c r="S47" s="276">
        <f>'IS (F4Q2022)'!S8/'BS (F4Q2022)'!S8</f>
        <v>7.8075841334497138</v>
      </c>
      <c r="T47" s="276">
        <f>'IS (F4Q2022)'!T8/'BS (F4Q2022)'!T8</f>
        <v>7.6211198722427387</v>
      </c>
      <c r="U47" s="276">
        <f>'IS (F4Q2022)'!U8/'BS (F4Q2022)'!U8</f>
        <v>7.1111595846784761</v>
      </c>
      <c r="V47" s="276">
        <f>'IS (F4Q2022)'!V8/'BS (F4Q2022)'!V8</f>
        <v>7.1579753296469582</v>
      </c>
      <c r="W47" s="126"/>
      <c r="X47" s="277">
        <f>AVERAGE(S47,N47,I47)</f>
        <v>7.7411961724724749</v>
      </c>
      <c r="Y47" s="277">
        <f t="shared" ref="Y47:AA47" si="39">AVERAGE(T47,O47,J47)</f>
        <v>7.1894322710794727</v>
      </c>
      <c r="Z47" s="277">
        <f t="shared" si="39"/>
        <v>6.7100246310817999</v>
      </c>
      <c r="AA47" s="277">
        <f t="shared" si="39"/>
        <v>7.6155082883497807</v>
      </c>
      <c r="AB47" s="278"/>
      <c r="AC47" s="277">
        <f t="shared" ref="AC47:AF47" si="40">AVERAGE(X47,S47,N47)</f>
        <v>7.7164853271992895</v>
      </c>
      <c r="AD47" s="277">
        <f t="shared" si="40"/>
        <v>7.4620343848186819</v>
      </c>
      <c r="AE47" s="277">
        <f t="shared" si="40"/>
        <v>7.3494158097017719</v>
      </c>
      <c r="AF47" s="277">
        <f t="shared" si="40"/>
        <v>7.813395248552105</v>
      </c>
      <c r="AG47" s="278"/>
      <c r="AH47" s="277">
        <f t="shared" ref="AH47:AK47" si="41">AVERAGE(AC47,X47,S47)</f>
        <v>7.7550885443738267</v>
      </c>
      <c r="AI47" s="277">
        <f t="shared" si="41"/>
        <v>7.4241955093802972</v>
      </c>
      <c r="AJ47" s="277">
        <f t="shared" si="41"/>
        <v>7.0568666751540157</v>
      </c>
      <c r="AK47" s="277">
        <f t="shared" si="41"/>
        <v>7.5289596221829482</v>
      </c>
      <c r="AL47" s="278"/>
      <c r="AM47" s="277">
        <f t="shared" ref="AM47:AP47" si="42">AVERAGE(AH47,AC47,X47)</f>
        <v>7.7375900146818637</v>
      </c>
      <c r="AN47" s="277">
        <f t="shared" si="42"/>
        <v>7.3585540550928172</v>
      </c>
      <c r="AO47" s="277">
        <f t="shared" si="42"/>
        <v>7.0387690386458628</v>
      </c>
      <c r="AP47" s="277">
        <f t="shared" si="42"/>
        <v>7.6526210530282777</v>
      </c>
      <c r="AQ47" s="278"/>
      <c r="AR47" s="277">
        <f t="shared" ref="AR47:AU47" si="43">AVERAGE(AM47,AH47,AC47)</f>
        <v>7.7363879620849936</v>
      </c>
      <c r="AS47" s="277">
        <f t="shared" si="43"/>
        <v>7.4149279830972654</v>
      </c>
      <c r="AT47" s="277">
        <f t="shared" si="43"/>
        <v>7.1483505078338831</v>
      </c>
      <c r="AU47" s="277">
        <f t="shared" si="43"/>
        <v>7.6649919745877773</v>
      </c>
      <c r="AV47" s="278"/>
    </row>
    <row r="48" spans="1:48" s="23" customFormat="1" outlineLevel="1" x14ac:dyDescent="0.3">
      <c r="B48" s="607" t="s">
        <v>252</v>
      </c>
      <c r="C48" s="608"/>
      <c r="D48" s="279">
        <f>D46/D47</f>
        <v>10.00630210924661</v>
      </c>
      <c r="E48" s="279">
        <f>E46/E47</f>
        <v>10.042024136126486</v>
      </c>
      <c r="F48" s="274">
        <f>F46/F47</f>
        <v>10.544423274219552</v>
      </c>
      <c r="G48" s="274">
        <f>G46/G47</f>
        <v>11.985771453979545</v>
      </c>
      <c r="H48" s="126"/>
      <c r="I48" s="274">
        <f>I46/I47</f>
        <v>11.771737752039567</v>
      </c>
      <c r="J48" s="274">
        <f>J46/J47</f>
        <v>14.28206881598479</v>
      </c>
      <c r="K48" s="274">
        <f>K46/K47</f>
        <v>18.990573411335589</v>
      </c>
      <c r="L48" s="279">
        <f>L46/L47</f>
        <v>13.101965146459028</v>
      </c>
      <c r="M48" s="31"/>
      <c r="N48" s="279">
        <f>N46/N47</f>
        <v>12.104187038847897</v>
      </c>
      <c r="O48" s="279">
        <f>O46/O47</f>
        <v>11.880323935212958</v>
      </c>
      <c r="P48" s="279">
        <f>P46/P47</f>
        <v>11.061055159074236</v>
      </c>
      <c r="Q48" s="279">
        <f>Q46/Q47</f>
        <v>10.615341181091731</v>
      </c>
      <c r="R48" s="31"/>
      <c r="S48" s="279">
        <f>S46/S47</f>
        <v>11.783414488721057</v>
      </c>
      <c r="T48" s="279">
        <f>T46/T47</f>
        <v>11.809288071664309</v>
      </c>
      <c r="U48" s="279">
        <f>U46/U47</f>
        <v>12.79678776947522</v>
      </c>
      <c r="V48" s="279">
        <f>V46/V47</f>
        <v>12.852796463121866</v>
      </c>
      <c r="W48" s="126"/>
      <c r="X48" s="279">
        <f>X46/X47</f>
        <v>11.884468233365535</v>
      </c>
      <c r="Y48" s="279">
        <f>Y46/Y47</f>
        <v>12.518373719443463</v>
      </c>
      <c r="Z48" s="279">
        <f>Z46/Z47</f>
        <v>13.561798205400752</v>
      </c>
      <c r="AA48" s="279">
        <f>AA46/AA47</f>
        <v>12.080611893068488</v>
      </c>
      <c r="AB48" s="31"/>
      <c r="AC48" s="279">
        <f>AC46/AC47</f>
        <v>11.922526396274707</v>
      </c>
      <c r="AD48" s="279">
        <f>AD46/AD47</f>
        <v>12.195065756482867</v>
      </c>
      <c r="AE48" s="279">
        <f>AE46/AE47</f>
        <v>12.381936517984638</v>
      </c>
      <c r="AF48" s="279">
        <f>AF46/AF47</f>
        <v>11.774650721406735</v>
      </c>
      <c r="AG48" s="31"/>
      <c r="AH48" s="279">
        <f>AH46/AH47</f>
        <v>11.863178540591171</v>
      </c>
      <c r="AI48" s="279">
        <f>AI46/AI47</f>
        <v>12.122525583585064</v>
      </c>
      <c r="AJ48" s="279">
        <f>AJ46/AJ47</f>
        <v>12.89524149866611</v>
      </c>
      <c r="AK48" s="279">
        <f>AK46/AK47</f>
        <v>12.219483782186296</v>
      </c>
      <c r="AL48" s="31"/>
      <c r="AM48" s="279">
        <f>AM46/AM47</f>
        <v>11.890007072671533</v>
      </c>
      <c r="AN48" s="279">
        <f>AN46/AN47</f>
        <v>12.230663704605318</v>
      </c>
      <c r="AO48" s="279">
        <f>AO46/AO47</f>
        <v>12.928396925708309</v>
      </c>
      <c r="AP48" s="279">
        <f>AP46/AP47</f>
        <v>12.022024788956978</v>
      </c>
      <c r="AQ48" s="31"/>
      <c r="AR48" s="279">
        <f>AR46/AR47</f>
        <v>11.89185449991388</v>
      </c>
      <c r="AS48" s="279">
        <f>AS46/AS47</f>
        <v>12.137676887106648</v>
      </c>
      <c r="AT48" s="279">
        <f>AT46/AT47</f>
        <v>12.730209563769016</v>
      </c>
      <c r="AU48" s="279">
        <f>AU46/AU47</f>
        <v>12.002621829874487</v>
      </c>
      <c r="AV48" s="31"/>
    </row>
    <row r="49" spans="2:48" outlineLevel="1" x14ac:dyDescent="0.3">
      <c r="B49" s="580" t="s">
        <v>253</v>
      </c>
      <c r="C49" s="581"/>
      <c r="D49" s="276">
        <f>'IS (F4Q2022)'!D9/'BS (F4Q2022)'!D9</f>
        <v>1.6062306215857083</v>
      </c>
      <c r="E49" s="276">
        <f>'IS (F4Q2022)'!E9/'BS (F4Q2022)'!E9</f>
        <v>1.3943173943173943</v>
      </c>
      <c r="F49" s="276">
        <f>'IS (F4Q2022)'!F9/'BS (F4Q2022)'!F9</f>
        <v>1.4497759029791721</v>
      </c>
      <c r="G49" s="276">
        <f>'IS (F4Q2022)'!G9/'BS (F4Q2022)'!G9</f>
        <v>1.3989146070354381</v>
      </c>
      <c r="H49" s="126"/>
      <c r="I49" s="276">
        <f>'IS (F4Q2022)'!I9/'BS (F4Q2022)'!I9</f>
        <v>1.5875630013487614</v>
      </c>
      <c r="J49" s="276">
        <f>'IS (F4Q2022)'!J9/'BS (F4Q2022)'!J9</f>
        <v>1.3387615601125855</v>
      </c>
      <c r="K49" s="276">
        <f>'IS (F4Q2022)'!K9/'BS (F4Q2022)'!K9</f>
        <v>0.93698699330723578</v>
      </c>
      <c r="L49" s="276">
        <f>'IS (F4Q2022)'!L9/'BS (F4Q2022)'!L9</f>
        <v>1.2742039448240299</v>
      </c>
      <c r="M49" s="31"/>
      <c r="N49" s="276">
        <f>'IS (F4Q2022)'!N9/'BS (F4Q2022)'!N9</f>
        <v>1.3925246347264695</v>
      </c>
      <c r="O49" s="276">
        <f>'IS (F4Q2022)'!O9/'BS (F4Q2022)'!O9</f>
        <v>1.3250864591646716</v>
      </c>
      <c r="P49" s="276">
        <f>'IS (F4Q2022)'!P9/'BS (F4Q2022)'!P9</f>
        <v>1.4248805063945227</v>
      </c>
      <c r="Q49" s="276">
        <f>'IS (F4Q2022)'!Q9/'BS (F4Q2022)'!Q9</f>
        <v>1.5531516927489244</v>
      </c>
      <c r="R49" s="31"/>
      <c r="S49" s="276">
        <f>'IS (F4Q2022)'!S9/'BS (F4Q2022)'!S9</f>
        <v>1.5435220817298883</v>
      </c>
      <c r="T49" s="276">
        <f>'IS (F4Q2022)'!T9/'BS (F4Q2022)'!T9</f>
        <v>1.2842708333333335</v>
      </c>
      <c r="U49" s="276">
        <f>'IS (F4Q2022)'!U9/'BS (F4Q2022)'!U9</f>
        <v>1.2253739040742651</v>
      </c>
      <c r="V49" s="276">
        <f>'IS (F4Q2022)'!V9/'BS (F4Q2022)'!V9</f>
        <v>1.2455205366167417</v>
      </c>
      <c r="W49" s="126"/>
      <c r="X49" s="277">
        <f t="shared" ref="X49:AA49" si="44">AVERAGE(S49,N49,I49)</f>
        <v>1.5078699059350396</v>
      </c>
      <c r="Y49" s="277">
        <f t="shared" si="44"/>
        <v>1.3160396175368636</v>
      </c>
      <c r="Z49" s="277">
        <f t="shared" si="44"/>
        <v>1.1957471345920079</v>
      </c>
      <c r="AA49" s="277">
        <f t="shared" si="44"/>
        <v>1.3576253913965652</v>
      </c>
      <c r="AB49" s="278"/>
      <c r="AC49" s="277">
        <f t="shared" ref="AC49:AF49" si="45">AVERAGE(X49,S49,N49)</f>
        <v>1.4813055407971323</v>
      </c>
      <c r="AD49" s="277">
        <f t="shared" si="45"/>
        <v>1.3084656366782896</v>
      </c>
      <c r="AE49" s="277">
        <f t="shared" si="45"/>
        <v>1.2820005150202654</v>
      </c>
      <c r="AF49" s="277">
        <f t="shared" si="45"/>
        <v>1.385432540254077</v>
      </c>
      <c r="AG49" s="278"/>
      <c r="AH49" s="277">
        <f t="shared" ref="AH49:AK49" si="46">AVERAGE(AC49,X49,S49)</f>
        <v>1.5108991761540198</v>
      </c>
      <c r="AI49" s="277">
        <f t="shared" si="46"/>
        <v>1.3029253625161621</v>
      </c>
      <c r="AJ49" s="277">
        <f t="shared" si="46"/>
        <v>1.234373851228846</v>
      </c>
      <c r="AK49" s="277">
        <f t="shared" si="46"/>
        <v>1.3295261560891281</v>
      </c>
      <c r="AL49" s="278"/>
      <c r="AM49" s="277">
        <f t="shared" ref="AM49:AP49" si="47">AVERAGE(AH49,AC49,X49)</f>
        <v>1.500024874295397</v>
      </c>
      <c r="AN49" s="277">
        <f t="shared" si="47"/>
        <v>1.3091435389104384</v>
      </c>
      <c r="AO49" s="277">
        <f t="shared" si="47"/>
        <v>1.2373738336137066</v>
      </c>
      <c r="AP49" s="277">
        <f t="shared" si="47"/>
        <v>1.3575280292465901</v>
      </c>
      <c r="AQ49" s="278"/>
      <c r="AR49" s="277">
        <f t="shared" ref="AR49:AU49" si="48">AVERAGE(AM49,AH49,AC49)</f>
        <v>1.4974098637488495</v>
      </c>
      <c r="AS49" s="277">
        <f t="shared" si="48"/>
        <v>1.3068448460349635</v>
      </c>
      <c r="AT49" s="277">
        <f t="shared" si="48"/>
        <v>1.2512493999542726</v>
      </c>
      <c r="AU49" s="277">
        <f t="shared" si="48"/>
        <v>1.3574955751965982</v>
      </c>
      <c r="AV49" s="278"/>
    </row>
    <row r="50" spans="2:48" s="23" customFormat="1" outlineLevel="1" x14ac:dyDescent="0.3">
      <c r="B50" s="607" t="s">
        <v>252</v>
      </c>
      <c r="C50" s="608"/>
      <c r="D50" s="279">
        <f>D46/D49</f>
        <v>57.276955602536987</v>
      </c>
      <c r="E50" s="279">
        <f>E46/E49</f>
        <v>64.547713717693838</v>
      </c>
      <c r="F50" s="274">
        <f>F46/F49</f>
        <v>62.768321513002363</v>
      </c>
      <c r="G50" s="274">
        <f>G46/G49</f>
        <v>65.765272259873825</v>
      </c>
      <c r="H50" s="126"/>
      <c r="I50" s="274">
        <f>I46/I49</f>
        <v>57.950456090144868</v>
      </c>
      <c r="J50" s="274">
        <f>J46/J49</f>
        <v>67.973269259648589</v>
      </c>
      <c r="K50" s="274">
        <f>K46/K49</f>
        <v>97.119811320754721</v>
      </c>
      <c r="L50" s="279">
        <f>L46/L49</f>
        <v>72.201942533387296</v>
      </c>
      <c r="M50" s="31"/>
      <c r="N50" s="279">
        <f>N46/N49</f>
        <v>66.067053828510083</v>
      </c>
      <c r="O50" s="279">
        <f>O46/O49</f>
        <v>67.920096366191515</v>
      </c>
      <c r="P50" s="279">
        <f>P46/P49</f>
        <v>63.865004533091565</v>
      </c>
      <c r="Q50" s="279">
        <f>Q46/Q49</f>
        <v>59.234394444221429</v>
      </c>
      <c r="R50" s="31"/>
      <c r="S50" s="279">
        <f>S46/S49</f>
        <v>59.603941588507659</v>
      </c>
      <c r="T50" s="279">
        <f>T46/T49</f>
        <v>70.078676291670035</v>
      </c>
      <c r="U50" s="279">
        <f>U46/U49</f>
        <v>74.263047138047142</v>
      </c>
      <c r="V50" s="279">
        <f>V46/V49</f>
        <v>73.864699372925116</v>
      </c>
      <c r="W50" s="126"/>
      <c r="X50" s="279">
        <f>X46/X49</f>
        <v>61.01322112596327</v>
      </c>
      <c r="Y50" s="279">
        <f>Y46/Y49</f>
        <v>68.38699899357627</v>
      </c>
      <c r="Z50" s="279">
        <f>Z46/Z49</f>
        <v>76.103046678886201</v>
      </c>
      <c r="AA50" s="279">
        <f>AA46/AA49</f>
        <v>67.765379598094597</v>
      </c>
      <c r="AB50" s="31"/>
      <c r="AC50" s="279">
        <f>AC46/AC49</f>
        <v>62.1073758695942</v>
      </c>
      <c r="AD50" s="279">
        <f>AD46/AD49</f>
        <v>69.547107275216902</v>
      </c>
      <c r="AE50" s="279">
        <f>AE46/AE49</f>
        <v>70.982810797514773</v>
      </c>
      <c r="AF50" s="279">
        <f>AF46/AF49</f>
        <v>66.405254190960434</v>
      </c>
      <c r="AG50" s="31"/>
      <c r="AH50" s="279">
        <f>AH46/AH49</f>
        <v>60.890892954343364</v>
      </c>
      <c r="AI50" s="279">
        <f>AI46/AI49</f>
        <v>69.075330474951585</v>
      </c>
      <c r="AJ50" s="279">
        <f>AJ46/AJ49</f>
        <v>73.721587596340868</v>
      </c>
      <c r="AK50" s="279">
        <f>AK46/AK49</f>
        <v>69.19758560495184</v>
      </c>
      <c r="AL50" s="31"/>
      <c r="AM50" s="279">
        <f>AM46/AM49</f>
        <v>61.332316267898513</v>
      </c>
      <c r="AN50" s="279">
        <f>AN46/AN49</f>
        <v>68.747236131879276</v>
      </c>
      <c r="AO50" s="279">
        <f>AO46/AO49</f>
        <v>73.542851422870086</v>
      </c>
      <c r="AP50" s="279">
        <f>AP46/AP49</f>
        <v>67.770239743085654</v>
      </c>
      <c r="AQ50" s="31"/>
      <c r="AR50" s="279">
        <f>AR46/AR49</f>
        <v>61.439424320120906</v>
      </c>
      <c r="AS50" s="279">
        <f>AS46/AS49</f>
        <v>68.868160036797605</v>
      </c>
      <c r="AT50" s="279">
        <f>AT46/AT49</f>
        <v>72.727307604163983</v>
      </c>
      <c r="AU50" s="279">
        <f>AU46/AU49</f>
        <v>67.771859946339916</v>
      </c>
      <c r="AV50" s="31"/>
    </row>
    <row r="51" spans="2:48" s="23" customFormat="1" outlineLevel="1" x14ac:dyDescent="0.3">
      <c r="B51" s="580" t="s">
        <v>254</v>
      </c>
      <c r="C51" s="581"/>
      <c r="D51" s="276">
        <f>'IS (F4Q2022)'!D9/'BS (F4Q2022)'!D22</f>
        <v>1.9771013175829171</v>
      </c>
      <c r="E51" s="276">
        <f>'IS (F4Q2022)'!E9/'BS (F4Q2022)'!E22</f>
        <v>1.8345946931704202</v>
      </c>
      <c r="F51" s="276">
        <f>'IS (F4Q2022)'!F9/'BS (F4Q2022)'!F22</f>
        <v>1.9203771608171816</v>
      </c>
      <c r="G51" s="276">
        <f>'IS (F4Q2022)'!G9/'BS (F4Q2022)'!G22</f>
        <v>1.7983525258468513</v>
      </c>
      <c r="H51" s="127"/>
      <c r="I51" s="276">
        <f>'IS (F4Q2022)'!I9/'BS (F4Q2022)'!I22</f>
        <v>2.0600589535740608</v>
      </c>
      <c r="J51" s="276">
        <f>'IS (F4Q2022)'!J9/'BS (F4Q2022)'!J22</f>
        <v>2.0023053021950488</v>
      </c>
      <c r="K51" s="276">
        <f>'IS (F4Q2022)'!K9/'BS (F4Q2022)'!K22</f>
        <v>1.7239776951672863</v>
      </c>
      <c r="L51" s="276">
        <f>'IS (F4Q2022)'!L9/'BS (F4Q2022)'!L22</f>
        <v>1.9809600160336707</v>
      </c>
      <c r="M51" s="280"/>
      <c r="N51" s="276">
        <f>'IS (F4Q2022)'!N9/'BS (F4Q2022)'!N22</f>
        <v>1.9504092899295642</v>
      </c>
      <c r="O51" s="276">
        <f>'IS (F4Q2022)'!O9/'BS (F4Q2022)'!O22</f>
        <v>1.9276315789473686</v>
      </c>
      <c r="P51" s="276">
        <f>'IS (F4Q2022)'!P9/'BS (F4Q2022)'!P22</f>
        <v>1.9574090505767525</v>
      </c>
      <c r="Q51" s="276">
        <f>'IS (F4Q2022)'!Q9/'BS (F4Q2022)'!Q22</f>
        <v>2.0560415978870914</v>
      </c>
      <c r="R51" s="280"/>
      <c r="S51" s="276">
        <f>'IS (F4Q2022)'!S9/'BS (F4Q2022)'!S22</f>
        <v>1.9597487203350394</v>
      </c>
      <c r="T51" s="276">
        <f>'IS (F4Q2022)'!T9/'BS (F4Q2022)'!T22</f>
        <v>1.8546822113576533</v>
      </c>
      <c r="U51" s="276">
        <f>'IS (F4Q2022)'!U9/'BS (F4Q2022)'!U22</f>
        <v>1.7543294401933145</v>
      </c>
      <c r="V51" s="276">
        <f>'IS (F4Q2022)'!V9/'BS (F4Q2022)'!V22</f>
        <v>1.8808103232967948</v>
      </c>
      <c r="W51" s="127"/>
      <c r="X51" s="277">
        <f t="shared" ref="X51:AA51" si="49">AVERAGE(S51,N51,I51)</f>
        <v>1.9900723212795548</v>
      </c>
      <c r="Y51" s="277">
        <f t="shared" si="49"/>
        <v>1.9282063641666902</v>
      </c>
      <c r="Z51" s="277">
        <f t="shared" si="49"/>
        <v>1.8119053953124509</v>
      </c>
      <c r="AA51" s="277">
        <f t="shared" si="49"/>
        <v>1.9726039790725192</v>
      </c>
      <c r="AB51" s="31"/>
      <c r="AC51" s="277">
        <f t="shared" ref="AC51:AF51" si="50">AVERAGE(X51,S51,N51)</f>
        <v>1.9667434438480529</v>
      </c>
      <c r="AD51" s="277">
        <f t="shared" si="50"/>
        <v>1.9035067181572376</v>
      </c>
      <c r="AE51" s="277">
        <f t="shared" si="50"/>
        <v>1.8412146286941729</v>
      </c>
      <c r="AF51" s="277">
        <f t="shared" si="50"/>
        <v>1.9698186334188019</v>
      </c>
      <c r="AG51" s="31"/>
      <c r="AH51" s="277">
        <f t="shared" ref="AH51:AK51" si="51">AVERAGE(AC51,X51,S51)</f>
        <v>1.9721881618208823</v>
      </c>
      <c r="AI51" s="277">
        <f t="shared" si="51"/>
        <v>1.8954650978938605</v>
      </c>
      <c r="AJ51" s="277">
        <f t="shared" si="51"/>
        <v>1.8024831547333129</v>
      </c>
      <c r="AK51" s="277">
        <f t="shared" si="51"/>
        <v>1.9410776452627054</v>
      </c>
      <c r="AL51" s="31"/>
      <c r="AM51" s="277">
        <f t="shared" ref="AM51:AP51" si="52">AVERAGE(AH51,AC51,X51)</f>
        <v>1.9763346423161634</v>
      </c>
      <c r="AN51" s="277">
        <f t="shared" si="52"/>
        <v>1.9090593934059295</v>
      </c>
      <c r="AO51" s="277">
        <f t="shared" si="52"/>
        <v>1.8185343929133122</v>
      </c>
      <c r="AP51" s="277">
        <f t="shared" si="52"/>
        <v>1.9611667525846757</v>
      </c>
      <c r="AQ51" s="31"/>
      <c r="AR51" s="277">
        <f t="shared" ref="AR51:AU51" si="53">AVERAGE(AM51,AH51,AC51)</f>
        <v>1.9717554159950328</v>
      </c>
      <c r="AS51" s="277">
        <f t="shared" si="53"/>
        <v>1.9026770698190092</v>
      </c>
      <c r="AT51" s="277">
        <f t="shared" si="53"/>
        <v>1.8207440587802661</v>
      </c>
      <c r="AU51" s="277">
        <f t="shared" si="53"/>
        <v>1.9573543437553944</v>
      </c>
      <c r="AV51" s="31"/>
    </row>
    <row r="52" spans="2:48" s="23" customFormat="1" outlineLevel="1" x14ac:dyDescent="0.3">
      <c r="B52" s="607" t="s">
        <v>255</v>
      </c>
      <c r="C52" s="608"/>
      <c r="D52" s="16">
        <f>D46/D51</f>
        <v>46.532769556025364</v>
      </c>
      <c r="E52" s="16">
        <f>E46/E51</f>
        <v>49.057157057654081</v>
      </c>
      <c r="F52" s="101">
        <f>F46/F51</f>
        <v>47.386524822695037</v>
      </c>
      <c r="G52" s="101">
        <f>G46/G51</f>
        <v>51.157934096751603</v>
      </c>
      <c r="H52" s="128"/>
      <c r="I52" s="101">
        <f>I46/I51</f>
        <v>44.658916115185114</v>
      </c>
      <c r="J52" s="101">
        <f>J46/J51</f>
        <v>45.447614756970509</v>
      </c>
      <c r="K52" s="101">
        <f>K46/K51</f>
        <v>52.784905660377355</v>
      </c>
      <c r="L52" s="16">
        <f>L46/L51</f>
        <v>46.44212869283691</v>
      </c>
      <c r="M52" s="28"/>
      <c r="N52" s="16">
        <f>N46/N51</f>
        <v>47.169586647796592</v>
      </c>
      <c r="O52" s="16">
        <f>O46/O51</f>
        <v>46.689419795221838</v>
      </c>
      <c r="P52" s="16">
        <f>P46/P51</f>
        <v>46.490027198549406</v>
      </c>
      <c r="Q52" s="16">
        <f>Q46/Q51</f>
        <v>44.74617638794107</v>
      </c>
      <c r="R52" s="28"/>
      <c r="S52" s="16">
        <f>S46/S51</f>
        <v>46.944794016383717</v>
      </c>
      <c r="T52" s="16">
        <f>T46/T51</f>
        <v>48.525833400924647</v>
      </c>
      <c r="U52" s="16">
        <f>U46/U51</f>
        <v>51.871671258034894</v>
      </c>
      <c r="V52" s="16">
        <f>V46/V51</f>
        <v>48.915086683880489</v>
      </c>
      <c r="W52" s="28"/>
      <c r="X52" s="16">
        <f>X46/X51</f>
        <v>46.229475691037628</v>
      </c>
      <c r="Y52" s="16">
        <f>Y46/Y51</f>
        <v>46.675501996330745</v>
      </c>
      <c r="Z52" s="16">
        <f>Z46/Z51</f>
        <v>50.223372718810005</v>
      </c>
      <c r="AA52" s="16">
        <f>AA46/AA51</f>
        <v>46.638859586634645</v>
      </c>
      <c r="AB52" s="28"/>
      <c r="AC52" s="16">
        <f>AC46/AC51</f>
        <v>46.77783484560468</v>
      </c>
      <c r="AD52" s="16">
        <f>AD46/AD51</f>
        <v>47.80650319327269</v>
      </c>
      <c r="AE52" s="16">
        <f>AE46/AE51</f>
        <v>49.423895824974551</v>
      </c>
      <c r="AF52" s="16">
        <f>AF46/AF51</f>
        <v>46.70480745748938</v>
      </c>
      <c r="AG52" s="28"/>
      <c r="AH52" s="16">
        <f>AH46/AH51</f>
        <v>46.648692949793499</v>
      </c>
      <c r="AI52" s="16">
        <f>AI46/AI51</f>
        <v>47.481750046467852</v>
      </c>
      <c r="AJ52" s="16">
        <f>AJ46/AJ51</f>
        <v>50.485908709345992</v>
      </c>
      <c r="AK52" s="16">
        <f>AK46/AK51</f>
        <v>47.396352343004146</v>
      </c>
      <c r="AL52" s="28"/>
      <c r="AM52" s="16">
        <f>AM46/AM51</f>
        <v>46.550820913699461</v>
      </c>
      <c r="AN52" s="16">
        <f>AN46/AN51</f>
        <v>47.143635400170609</v>
      </c>
      <c r="AO52" s="16">
        <f>AO46/AO51</f>
        <v>50.040296380766819</v>
      </c>
      <c r="AP52" s="16">
        <f>AP46/AP51</f>
        <v>46.910850328637615</v>
      </c>
      <c r="AQ52" s="28"/>
      <c r="AR52" s="16">
        <f>AR46/AR51</f>
        <v>46.658931048794827</v>
      </c>
      <c r="AS52" s="16">
        <f>AS46/AS51</f>
        <v>47.301773604998132</v>
      </c>
      <c r="AT52" s="16">
        <f>AT46/AT51</f>
        <v>49.979567178135831</v>
      </c>
      <c r="AU52" s="16">
        <f>AU46/AU51</f>
        <v>47.002220264057108</v>
      </c>
      <c r="AV52" s="28"/>
    </row>
    <row r="53" spans="2:48" s="23" customFormat="1" outlineLevel="1" x14ac:dyDescent="0.3">
      <c r="B53" s="580" t="s">
        <v>256</v>
      </c>
      <c r="C53" s="581"/>
      <c r="D53" s="30">
        <f t="shared" ref="D53:L53" si="54">(D12+D7)/D20</f>
        <v>2.4783172266068774E-2</v>
      </c>
      <c r="E53" s="30">
        <f t="shared" si="54"/>
        <v>1.862044337628033E-2</v>
      </c>
      <c r="F53" s="118">
        <f t="shared" si="54"/>
        <v>1.4104190097872643E-2</v>
      </c>
      <c r="G53" s="118">
        <f t="shared" si="54"/>
        <v>1.5114935950133718E-2</v>
      </c>
      <c r="H53" s="128">
        <f t="shared" si="54"/>
        <v>1.5114935950133718E-2</v>
      </c>
      <c r="I53" s="118">
        <f t="shared" si="54"/>
        <v>9.6713821566244626E-3</v>
      </c>
      <c r="J53" s="118">
        <f t="shared" si="54"/>
        <v>9.1597553031598795E-3</v>
      </c>
      <c r="K53" s="118">
        <f t="shared" si="54"/>
        <v>1.5555616562459249E-2</v>
      </c>
      <c r="L53" s="118">
        <f t="shared" si="54"/>
        <v>1.6589218539890038E-2</v>
      </c>
      <c r="M53" s="28"/>
      <c r="N53" s="118">
        <f>(N12+N7)/N20</f>
        <v>1.4228367975494099E-2</v>
      </c>
      <c r="O53" s="118">
        <f>(O12+O7)/O20</f>
        <v>1.4373528458035493E-2</v>
      </c>
      <c r="P53" s="118">
        <f>(P12+P7)/P20</f>
        <v>1.4910030939586384E-2</v>
      </c>
      <c r="Q53" s="118">
        <f>(Q12+Q7)/Q20</f>
        <v>1.4140275096678831E-2</v>
      </c>
      <c r="R53" s="28"/>
      <c r="S53" s="118">
        <f>(S12+S7)/S20</f>
        <v>1.3421701538813684E-2</v>
      </c>
      <c r="T53" s="118">
        <f>(T12+T7)/T20</f>
        <v>1.2669917130403319E-2</v>
      </c>
      <c r="U53" s="118">
        <f>(U12+U7)/U20</f>
        <v>1.3119668137035531E-2</v>
      </c>
      <c r="V53" s="118">
        <f>(V12+V7)/V20</f>
        <v>2.3003542030788138E-2</v>
      </c>
      <c r="W53" s="28"/>
      <c r="X53" s="34">
        <f>AVERAGE(S53,T53,U53,V53)</f>
        <v>1.5553707209260168E-2</v>
      </c>
      <c r="Y53" s="34">
        <f>AVERAGE(T53,U53,V53,X53)</f>
        <v>1.6086708626871789E-2</v>
      </c>
      <c r="Z53" s="34">
        <f>AVERAGE(U53,V53,X53,Y53)</f>
        <v>1.6940906500988909E-2</v>
      </c>
      <c r="AA53" s="34">
        <f>AVERAGE(V53,X53,Y53,Z53)</f>
        <v>1.7896216091977252E-2</v>
      </c>
      <c r="AB53" s="28"/>
      <c r="AC53" s="34">
        <f>AVERAGE(X53,Y53,Z53,AA53)</f>
        <v>1.661938460727453E-2</v>
      </c>
      <c r="AD53" s="34">
        <f>AVERAGE(Y53,Z53,AA53,AC53)</f>
        <v>1.688580395677812E-2</v>
      </c>
      <c r="AE53" s="34">
        <f>AVERAGE(Z53,AA53,AC53,AD53)</f>
        <v>1.7085577789254701E-2</v>
      </c>
      <c r="AF53" s="34">
        <f>AVERAGE(AA53,AC53,AD53,AE53)</f>
        <v>1.7121745611321151E-2</v>
      </c>
      <c r="AG53" s="28"/>
      <c r="AH53" s="34">
        <f>AVERAGE(AC53,AD53,AE53,AF53)</f>
        <v>1.6928127991157126E-2</v>
      </c>
      <c r="AI53" s="34">
        <f>AVERAGE(AD53,AE53,AF53,AH53)</f>
        <v>1.7005313837127774E-2</v>
      </c>
      <c r="AJ53" s="34">
        <f>AVERAGE(AE53,AF53,AH53,AI53)</f>
        <v>1.7035191307215189E-2</v>
      </c>
      <c r="AK53" s="34">
        <f>AVERAGE(AF53,AH53,AI53,AJ53)</f>
        <v>1.7022594686705309E-2</v>
      </c>
      <c r="AL53" s="28"/>
      <c r="AM53" s="34">
        <f>AVERAGE(AH53,AI53,AJ53,AK53)</f>
        <v>1.6997806955551351E-2</v>
      </c>
      <c r="AN53" s="34">
        <f>AVERAGE(AI53,AJ53,AK53,AM53)</f>
        <v>1.7015226696649906E-2</v>
      </c>
      <c r="AO53" s="34">
        <f>AVERAGE(AJ53,AK53,AM53,AN53)</f>
        <v>1.7017704911530436E-2</v>
      </c>
      <c r="AP53" s="34">
        <f>AVERAGE(AK53,AM53,AN53,AO53)</f>
        <v>1.701333331260925E-2</v>
      </c>
      <c r="AQ53" s="28"/>
      <c r="AR53" s="34">
        <f>AVERAGE(AM53,AN53,AO53,AP53)</f>
        <v>1.7011017969085235E-2</v>
      </c>
      <c r="AS53" s="34">
        <f>AVERAGE(AN53,AO53,AP53,AR53)</f>
        <v>1.7014320722468706E-2</v>
      </c>
      <c r="AT53" s="34">
        <f>AVERAGE(AO53,AP53,AR53,AS53)</f>
        <v>1.7014094228923408E-2</v>
      </c>
      <c r="AU53" s="34">
        <f>AVERAGE(AP53,AR53,AS53,AT53)</f>
        <v>1.7013191558271648E-2</v>
      </c>
      <c r="AV53" s="28"/>
    </row>
    <row r="54" spans="2:48" s="23" customFormat="1" outlineLevel="1" x14ac:dyDescent="0.3">
      <c r="B54" s="180" t="s">
        <v>257</v>
      </c>
      <c r="C54" s="201"/>
      <c r="D54" s="30">
        <f t="shared" ref="D54:L54" si="55">D7/(D7+D12)</f>
        <v>0.4648626817447496</v>
      </c>
      <c r="E54" s="30">
        <f t="shared" si="55"/>
        <v>0.23318112633181123</v>
      </c>
      <c r="F54" s="118">
        <f t="shared" si="55"/>
        <v>0.24465558194774345</v>
      </c>
      <c r="G54" s="118">
        <f t="shared" si="55"/>
        <v>0.24268502581755594</v>
      </c>
      <c r="H54" s="128">
        <f t="shared" si="55"/>
        <v>0.24268502581755594</v>
      </c>
      <c r="I54" s="118">
        <f t="shared" si="55"/>
        <v>0.25503355704697983</v>
      </c>
      <c r="J54" s="118">
        <f t="shared" si="55"/>
        <v>0.21017083829956296</v>
      </c>
      <c r="K54" s="118">
        <f t="shared" si="55"/>
        <v>0.50716964482682547</v>
      </c>
      <c r="L54" s="118">
        <f t="shared" si="55"/>
        <v>0.57705725425815724</v>
      </c>
      <c r="M54" s="28"/>
      <c r="N54" s="118">
        <f>N7/(N7+N12)</f>
        <v>0.55229831144465291</v>
      </c>
      <c r="O54" s="118">
        <f>O7/(O7+O12)</f>
        <v>0.30161844041196662</v>
      </c>
      <c r="P54" s="118">
        <f>P7/(P7+P12)</f>
        <v>0.34948805460750854</v>
      </c>
      <c r="Q54" s="118">
        <f>Q7/(Q7+Q12)</f>
        <v>0.3653976120747916</v>
      </c>
      <c r="R54" s="28"/>
      <c r="S54" s="118">
        <f>S7/(S7+S12)</f>
        <v>0.22583979328165377</v>
      </c>
      <c r="T54" s="118">
        <f>T7/(T7+T12)</f>
        <v>0.22327984770193088</v>
      </c>
      <c r="U54" s="118">
        <f>U7/(U7+U12)</f>
        <v>0.20817541959935032</v>
      </c>
      <c r="V54" s="118">
        <f>V7/(V7+V12)</f>
        <v>0.5663455562461156</v>
      </c>
      <c r="W54" s="28"/>
      <c r="X54" s="34">
        <f>AVERAGE(S54,T54,U54,V54)</f>
        <v>0.30591015420726264</v>
      </c>
      <c r="Y54" s="34">
        <f>AVERAGE(T54,U54,V54,X54)</f>
        <v>0.32592774443866485</v>
      </c>
      <c r="Z54" s="34">
        <f>AVERAGE(U54,V54,X54,Y54)</f>
        <v>0.35158971862284832</v>
      </c>
      <c r="AA54" s="34">
        <f>AVERAGE(V54,X54,Y54,Z54)</f>
        <v>0.38744329337872285</v>
      </c>
      <c r="AB54" s="28"/>
      <c r="AC54" s="34">
        <f>AVERAGE(X54,Y54,Z54,AA54)</f>
        <v>0.34271772766187464</v>
      </c>
      <c r="AD54" s="34">
        <f>AVERAGE(Y54,Z54,AA54,AC54)</f>
        <v>0.35191962102552765</v>
      </c>
      <c r="AE54" s="34">
        <f>AVERAGE(Z54,AA54,AC54,AD54)</f>
        <v>0.35841759017224339</v>
      </c>
      <c r="AF54" s="34">
        <f>AVERAGE(AA54,AC54,AD54,AE54)</f>
        <v>0.36012455805959209</v>
      </c>
      <c r="AG54" s="28"/>
      <c r="AH54" s="34">
        <f>AVERAGE(AC54,AD54,AE54,AF54)</f>
        <v>0.35329487422980943</v>
      </c>
      <c r="AI54" s="34">
        <f>AVERAGE(AD54,AE54,AF54,AH54)</f>
        <v>0.35593916087179311</v>
      </c>
      <c r="AJ54" s="34">
        <f>AVERAGE(AE54,AF54,AH54,AI54)</f>
        <v>0.35694404583335948</v>
      </c>
      <c r="AK54" s="34">
        <f>AVERAGE(AF54,AH54,AI54,AJ54)</f>
        <v>0.35657565974863853</v>
      </c>
      <c r="AL54" s="28"/>
      <c r="AM54" s="34">
        <f>AVERAGE(AH54,AI54,AJ54,AK54)</f>
        <v>0.35568843517090015</v>
      </c>
      <c r="AN54" s="34">
        <f>AVERAGE(AI54,AJ54,AK54,AM54)</f>
        <v>0.35628682540617285</v>
      </c>
      <c r="AO54" s="34">
        <f>AVERAGE(AJ54,AK54,AM54,AN54)</f>
        <v>0.35637374153976775</v>
      </c>
      <c r="AP54" s="34">
        <f>AVERAGE(AK54,AM54,AN54,AO54)</f>
        <v>0.35623116546636979</v>
      </c>
      <c r="AQ54" s="28"/>
      <c r="AR54" s="34">
        <f>AVERAGE(AM54,AN54,AO54,AP54)</f>
        <v>0.35614504189580265</v>
      </c>
      <c r="AS54" s="34">
        <f>AVERAGE(AN54,AO54,AP54,AR54)</f>
        <v>0.35625919357702829</v>
      </c>
      <c r="AT54" s="34">
        <f>AVERAGE(AO54,AP54,AR54,AS54)</f>
        <v>0.35625228561974209</v>
      </c>
      <c r="AU54" s="34">
        <f>AVERAGE(AP54,AR54,AS54,AT54)</f>
        <v>0.35622192163973571</v>
      </c>
      <c r="AV54" s="28"/>
    </row>
    <row r="55" spans="2:48" s="23" customFormat="1" outlineLevel="1" x14ac:dyDescent="0.3">
      <c r="B55" s="200" t="s">
        <v>258</v>
      </c>
      <c r="C55" s="201"/>
      <c r="D55" s="30">
        <f t="shared" ref="D55:L55" si="56">+D16/(D27+D33)</f>
        <v>7.7585075018799465E-2</v>
      </c>
      <c r="E55" s="30">
        <f t="shared" si="56"/>
        <v>0.12468259571674534</v>
      </c>
      <c r="F55" s="113">
        <f t="shared" si="56"/>
        <v>0.19119242713361023</v>
      </c>
      <c r="G55" s="113">
        <f t="shared" si="56"/>
        <v>0.22035590386103276</v>
      </c>
      <c r="H55" s="125">
        <f t="shared" si="56"/>
        <v>0.22035590386103276</v>
      </c>
      <c r="I55" s="281">
        <f t="shared" si="56"/>
        <v>0.20507171706404201</v>
      </c>
      <c r="J55" s="281">
        <f t="shared" si="56"/>
        <v>0.21050752296288999</v>
      </c>
      <c r="K55" s="113">
        <f t="shared" si="56"/>
        <v>0.2146584586535733</v>
      </c>
      <c r="L55" s="113">
        <f t="shared" si="56"/>
        <v>0.22220980757293607</v>
      </c>
      <c r="M55" s="282"/>
      <c r="N55" s="281">
        <f>+N16/(N27+N33)</f>
        <v>0.21164495979407008</v>
      </c>
      <c r="O55" s="281">
        <f>+O16/(O27+O33)</f>
        <v>0.21706605185058006</v>
      </c>
      <c r="P55" s="113">
        <f>+P16/(P27+P33)</f>
        <v>0.22796408734312845</v>
      </c>
      <c r="Q55" s="113">
        <f>+Q16/(Q27+Q33)</f>
        <v>0.23263143527192862</v>
      </c>
      <c r="R55" s="282"/>
      <c r="S55" s="281">
        <f>+S16/(S27+S33)</f>
        <v>0.21831564613072879</v>
      </c>
      <c r="T55" s="281">
        <f>+T16/(T27+T33)</f>
        <v>0.22164512770257855</v>
      </c>
      <c r="U55" s="281">
        <f>+U16/(U27+U33)</f>
        <v>0.21758667345241495</v>
      </c>
      <c r="V55" s="113">
        <f>+V16/(V27+V33)</f>
        <v>0.22718895172692385</v>
      </c>
      <c r="W55" s="282"/>
      <c r="X55" s="283">
        <f>AVERAGE(S55,T55,U55,V55)</f>
        <v>0.22118409975316156</v>
      </c>
      <c r="Y55" s="283">
        <f>AVERAGE(T55,U55,V55,X55)</f>
        <v>0.22190121315876973</v>
      </c>
      <c r="Z55" s="35">
        <f>AVERAGE(U55,V55,X55,Y55)</f>
        <v>0.22196523452281752</v>
      </c>
      <c r="AA55" s="284">
        <f>AVERAGE(V55,X55,Y55,Z55)</f>
        <v>0.22305987479041817</v>
      </c>
      <c r="AB55" s="28"/>
      <c r="AC55" s="283">
        <f>AVERAGE(X55,Y55,Z55,AA55)</f>
        <v>0.22202760555629175</v>
      </c>
      <c r="AD55" s="283">
        <f>AVERAGE(Y55,Z55,AA55,AC55)</f>
        <v>0.2222384820070743</v>
      </c>
      <c r="AE55" s="35">
        <f>AVERAGE(Z55,AA55,AC55,AD55)</f>
        <v>0.22232279921915044</v>
      </c>
      <c r="AF55" s="284">
        <f>AVERAGE(AA55,AC55,AD55,AE55)</f>
        <v>0.22241219039323365</v>
      </c>
      <c r="AG55" s="28"/>
      <c r="AH55" s="283">
        <f>AVERAGE(AC55,AD55,AE55,AF55)</f>
        <v>0.22225026929393754</v>
      </c>
      <c r="AI55" s="283">
        <f>AVERAGE(AD55,AE55,AF55,AH55)</f>
        <v>0.22230593522834899</v>
      </c>
      <c r="AJ55" s="35">
        <f>AVERAGE(AE55,AF55,AH55,AI55)</f>
        <v>0.22232279853366765</v>
      </c>
      <c r="AK55" s="284">
        <f>AVERAGE(AF55,AH55,AI55,AJ55)</f>
        <v>0.22232279836229696</v>
      </c>
      <c r="AL55" s="28"/>
      <c r="AM55" s="283">
        <f>AVERAGE(AH55,AI55,AJ55,AK55)</f>
        <v>0.22230045035456278</v>
      </c>
      <c r="AN55" s="283">
        <f>AVERAGE(AI55,AJ55,AK55,AM55)</f>
        <v>0.22231299561971909</v>
      </c>
      <c r="AO55" s="35">
        <f>AVERAGE(AJ55,AK55,AM55,AN55)</f>
        <v>0.22231476071756162</v>
      </c>
      <c r="AP55" s="284">
        <f>AVERAGE(AK55,AM55,AN55,AO55)</f>
        <v>0.22231275126353511</v>
      </c>
      <c r="AQ55" s="28"/>
      <c r="AR55" s="283">
        <f>AVERAGE(AM55,AN55,AO55,AP55)</f>
        <v>0.22231023948884465</v>
      </c>
      <c r="AS55" s="283">
        <f>AVERAGE(AN55,AO55,AP55,AR55)</f>
        <v>0.22231268677241511</v>
      </c>
      <c r="AT55" s="35">
        <f>AVERAGE(AO55,AP55,AR55,AS55)</f>
        <v>0.22231260956058913</v>
      </c>
      <c r="AU55" s="284">
        <f>AVERAGE(AP55,AR55,AS55,AT55)</f>
        <v>0.22231207177134599</v>
      </c>
      <c r="AV55" s="28"/>
    </row>
    <row r="56" spans="2:48" outlineLevel="1" x14ac:dyDescent="0.3">
      <c r="B56" s="200" t="s">
        <v>259</v>
      </c>
      <c r="C56" s="201"/>
      <c r="D56" s="285"/>
      <c r="E56" s="285">
        <f>+'CFS (F4Q2022)'!E7/((E14+D14)/2)</f>
        <v>6.122482504846076E-2</v>
      </c>
      <c r="F56" s="286">
        <f>+'CFS (F4Q2022)'!F7/((F14+E14)/2)</f>
        <v>5.8442138063667992E-2</v>
      </c>
      <c r="G56" s="286">
        <f>+'CFS (F4Q2022)'!G7/((G14+F14)/2)</f>
        <v>5.7957922263164152E-2</v>
      </c>
      <c r="H56" s="125">
        <f>+'CFS (F4Q2022)'!H7/((H14+G14)/2)</f>
        <v>0.2253370026587061</v>
      </c>
      <c r="I56" s="287">
        <f>+'CFS (F4Q2022)'!I7/((I14+G14)/2)</f>
        <v>5.75858250276855E-2</v>
      </c>
      <c r="J56" s="287">
        <f>+'CFS (F4Q2022)'!J7/((J14+I14)/2)</f>
        <v>5.9117695395957084E-2</v>
      </c>
      <c r="K56" s="286">
        <f>+'CFS (F4Q2022)'!K7/((K14+J14)/2)</f>
        <v>5.9467301657388859E-2</v>
      </c>
      <c r="L56" s="286">
        <f>+'CFS (F4Q2022)'!L7/((L14+K14)/2)</f>
        <v>6.0492940894950963E-2</v>
      </c>
      <c r="M56" s="282"/>
      <c r="N56" s="287">
        <f>+'CFS (F4Q2022)'!N7/((N14+L14)/2)</f>
        <v>6.2547808652661588E-2</v>
      </c>
      <c r="O56" s="287">
        <f>+'CFS (F4Q2022)'!O7/((O14+N14)/2)</f>
        <v>6.251524266319812E-2</v>
      </c>
      <c r="P56" s="286">
        <f>+'CFS (F4Q2022)'!P7/((P14+O14)/2)</f>
        <v>6.0825288199111989E-2</v>
      </c>
      <c r="Q56" s="286">
        <f>+'CFS (F4Q2022)'!Q7/((Q14+P14)/2)</f>
        <v>6.0363072942040873E-2</v>
      </c>
      <c r="R56" s="282"/>
      <c r="S56" s="287">
        <f>+'CFS (F4Q2022)'!S7/((S14+Q14)/2)</f>
        <v>6.052868611709418E-2</v>
      </c>
      <c r="T56" s="287">
        <f>+'CFS (F4Q2022)'!T7/((T14+S14)/2)</f>
        <v>6.0861044576476821E-2</v>
      </c>
      <c r="U56" s="287">
        <f>+'CFS (F4Q2022)'!U7/((U14+T14)/2)</f>
        <v>6.0812805967829661E-2</v>
      </c>
      <c r="V56" s="286">
        <f>+'CFS (F4Q2022)'!V7/((V14+U14)/2)</f>
        <v>5.5579973320379075E-2</v>
      </c>
      <c r="W56" s="282"/>
      <c r="X56" s="289">
        <f>AVERAGE(S56,T56,U56,V56)</f>
        <v>5.9445627495444936E-2</v>
      </c>
      <c r="Y56" s="289">
        <f>AVERAGE(T56,U56,V56,X56)</f>
        <v>5.9174862840032628E-2</v>
      </c>
      <c r="Z56" s="288">
        <f>AVERAGE(U56,V56,X56,Y56)</f>
        <v>5.8753317405921573E-2</v>
      </c>
      <c r="AA56" s="288">
        <f>AVERAGE(V56,X56,Y56,Z56)</f>
        <v>5.8238445265444555E-2</v>
      </c>
      <c r="AB56" s="290"/>
      <c r="AC56" s="289">
        <f>AVERAGE(X56,Y56,Z56,AA56)</f>
        <v>5.8903063251710921E-2</v>
      </c>
      <c r="AD56" s="289">
        <f>AVERAGE(Y56,Z56,AA56,AC56)</f>
        <v>5.8767422190777421E-2</v>
      </c>
      <c r="AE56" s="288">
        <f>AVERAGE(Z56,AA56,AC56,AD56)</f>
        <v>5.8665562028463611E-2</v>
      </c>
      <c r="AF56" s="288">
        <f>AVERAGE(AA56,AC56,AD56,AE56)</f>
        <v>5.8643623184099131E-2</v>
      </c>
      <c r="AG56" s="290"/>
      <c r="AH56" s="289">
        <f>AVERAGE(AC56,AD56,AE56,AF56)</f>
        <v>5.8744917663762768E-2</v>
      </c>
      <c r="AI56" s="289">
        <f>AVERAGE(AD56,AE56,AF56,AH56)</f>
        <v>5.8705381266775734E-2</v>
      </c>
      <c r="AJ56" s="288">
        <f>AVERAGE(AE56,AF56,AH56,AI56)</f>
        <v>5.8689871035775311E-2</v>
      </c>
      <c r="AK56" s="288">
        <f>AVERAGE(AF56,AH56,AI56,AJ56)</f>
        <v>5.8695948287603238E-2</v>
      </c>
      <c r="AL56" s="290"/>
      <c r="AM56" s="289">
        <f>AVERAGE(AH56,AI56,AJ56,AK56)</f>
        <v>5.8709029563479266E-2</v>
      </c>
      <c r="AN56" s="289">
        <f>AVERAGE(AI56,AJ56,AK56,AM56)</f>
        <v>5.8700057538408387E-2</v>
      </c>
      <c r="AO56" s="288">
        <f>AVERAGE(AJ56,AK56,AM56,AN56)</f>
        <v>5.8698726606316545E-2</v>
      </c>
      <c r="AP56" s="288">
        <f>AVERAGE(AK56,AM56,AN56,AO56)</f>
        <v>5.8700940498951859E-2</v>
      </c>
      <c r="AQ56" s="290"/>
      <c r="AR56" s="289">
        <f>AVERAGE(AM56,AN56,AO56,AP56)</f>
        <v>5.870218855178902E-2</v>
      </c>
      <c r="AS56" s="289">
        <f>AVERAGE(AN56,AO56,AP56,AR56)</f>
        <v>5.8700478298866453E-2</v>
      </c>
      <c r="AT56" s="288">
        <f>AVERAGE(AO56,AP56,AR56,AS56)</f>
        <v>5.8700583488980974E-2</v>
      </c>
      <c r="AU56" s="288">
        <f>AVERAGE(AP56,AR56,AS56,AT56)</f>
        <v>5.8701047709647076E-2</v>
      </c>
      <c r="AV56" s="290"/>
    </row>
    <row r="57" spans="2:48" outlineLevel="1" x14ac:dyDescent="0.3">
      <c r="B57" s="200"/>
      <c r="C57" s="201"/>
      <c r="D57" s="285"/>
      <c r="E57" s="285"/>
      <c r="F57" s="286"/>
      <c r="G57" s="286"/>
      <c r="H57" s="125"/>
      <c r="I57" s="287"/>
      <c r="J57" s="287"/>
      <c r="K57" s="286"/>
      <c r="L57" s="286"/>
      <c r="M57" s="282"/>
      <c r="N57" s="287"/>
      <c r="O57" s="287"/>
      <c r="P57" s="286"/>
      <c r="Q57" s="286"/>
      <c r="R57" s="282"/>
      <c r="S57" s="287"/>
      <c r="T57" s="287"/>
      <c r="U57" s="287"/>
      <c r="V57" s="286"/>
      <c r="W57" s="282"/>
      <c r="X57" s="289"/>
      <c r="Y57" s="289"/>
      <c r="Z57" s="288"/>
      <c r="AA57" s="288"/>
      <c r="AB57" s="290"/>
      <c r="AC57" s="289"/>
      <c r="AD57" s="289"/>
      <c r="AE57" s="288"/>
      <c r="AF57" s="288"/>
      <c r="AG57" s="290"/>
      <c r="AH57" s="289"/>
      <c r="AI57" s="289"/>
      <c r="AJ57" s="288"/>
      <c r="AK57" s="288"/>
      <c r="AL57" s="290"/>
      <c r="AM57" s="289"/>
      <c r="AN57" s="289"/>
      <c r="AO57" s="288"/>
      <c r="AP57" s="288"/>
      <c r="AQ57" s="290"/>
      <c r="AR57" s="289"/>
      <c r="AS57" s="289"/>
      <c r="AT57" s="288"/>
      <c r="AU57" s="288"/>
      <c r="AV57" s="290"/>
    </row>
    <row r="58" spans="2:48" s="296" customFormat="1" outlineLevel="1" x14ac:dyDescent="0.3">
      <c r="B58" s="291" t="s">
        <v>260</v>
      </c>
      <c r="C58" s="249"/>
      <c r="D58" s="292"/>
      <c r="E58" s="292"/>
      <c r="F58" s="293"/>
      <c r="G58" s="293"/>
      <c r="H58" s="294"/>
      <c r="I58" s="292"/>
      <c r="J58" s="292"/>
      <c r="K58" s="293"/>
      <c r="L58" s="293"/>
      <c r="M58" s="294"/>
      <c r="N58" s="292"/>
      <c r="O58" s="292"/>
      <c r="P58" s="293"/>
      <c r="Q58" s="293"/>
      <c r="R58" s="294"/>
      <c r="S58" s="292"/>
      <c r="T58" s="292"/>
      <c r="U58" s="292"/>
      <c r="V58" s="293"/>
      <c r="W58" s="294"/>
      <c r="X58" s="292"/>
      <c r="Y58" s="292"/>
      <c r="Z58" s="293"/>
      <c r="AA58" s="293"/>
      <c r="AB58" s="295"/>
      <c r="AC58" s="292"/>
      <c r="AD58" s="292"/>
      <c r="AE58" s="293"/>
      <c r="AF58" s="293"/>
      <c r="AG58" s="295"/>
      <c r="AH58" s="292"/>
      <c r="AI58" s="292"/>
      <c r="AJ58" s="293"/>
      <c r="AK58" s="293"/>
      <c r="AL58" s="295"/>
      <c r="AM58" s="292"/>
      <c r="AN58" s="292"/>
      <c r="AO58" s="293"/>
      <c r="AP58" s="293"/>
      <c r="AQ58" s="295"/>
      <c r="AR58" s="292"/>
      <c r="AS58" s="292"/>
      <c r="AT58" s="293"/>
      <c r="AU58" s="293"/>
      <c r="AV58" s="295"/>
    </row>
    <row r="59" spans="2:48" s="302" customFormat="1" outlineLevel="1" x14ac:dyDescent="0.3">
      <c r="B59" s="200" t="s">
        <v>261</v>
      </c>
      <c r="C59" s="297"/>
      <c r="D59" s="298"/>
      <c r="E59" s="298"/>
      <c r="F59" s="146"/>
      <c r="G59" s="146"/>
      <c r="H59" s="122"/>
      <c r="I59" s="299"/>
      <c r="J59" s="299"/>
      <c r="K59" s="146"/>
      <c r="L59" s="146"/>
      <c r="M59" s="26"/>
      <c r="N59" s="299"/>
      <c r="O59" s="299"/>
      <c r="P59" s="146"/>
      <c r="Q59" s="146"/>
      <c r="R59" s="26"/>
      <c r="S59" s="299"/>
      <c r="T59" s="299"/>
      <c r="U59" s="299"/>
      <c r="V59" s="146"/>
      <c r="W59" s="26"/>
      <c r="X59" s="301">
        <v>0</v>
      </c>
      <c r="Y59" s="301">
        <v>1000</v>
      </c>
      <c r="Z59" s="300">
        <v>0</v>
      </c>
      <c r="AA59" s="300">
        <v>0</v>
      </c>
      <c r="AB59" s="6"/>
      <c r="AC59" s="301">
        <v>750</v>
      </c>
      <c r="AD59" s="301">
        <f>500+626.3</f>
        <v>1126.3</v>
      </c>
      <c r="AE59" s="300">
        <v>0</v>
      </c>
      <c r="AF59" s="300">
        <v>0</v>
      </c>
      <c r="AG59" s="6"/>
      <c r="AH59" s="301">
        <v>0</v>
      </c>
      <c r="AI59" s="301">
        <v>0</v>
      </c>
      <c r="AJ59" s="300">
        <v>0</v>
      </c>
      <c r="AK59" s="300">
        <v>1250</v>
      </c>
      <c r="AL59" s="6"/>
      <c r="AM59" s="301">
        <v>0</v>
      </c>
      <c r="AN59" s="301">
        <v>0</v>
      </c>
      <c r="AO59" s="300">
        <v>500</v>
      </c>
      <c r="AP59" s="300">
        <v>0</v>
      </c>
      <c r="AQ59" s="6"/>
      <c r="AR59" s="301">
        <v>0</v>
      </c>
      <c r="AS59" s="301">
        <v>500</v>
      </c>
      <c r="AT59" s="300">
        <v>0</v>
      </c>
      <c r="AU59" s="300">
        <v>0</v>
      </c>
      <c r="AV59" s="6"/>
    </row>
    <row r="60" spans="2:48" s="302" customFormat="1" outlineLevel="1" x14ac:dyDescent="0.3">
      <c r="B60" s="200" t="s">
        <v>262</v>
      </c>
      <c r="C60" s="297"/>
      <c r="D60" s="298"/>
      <c r="E60" s="298"/>
      <c r="F60" s="146"/>
      <c r="G60" s="146"/>
      <c r="H60" s="122"/>
      <c r="I60" s="299"/>
      <c r="J60" s="299"/>
      <c r="K60" s="146"/>
      <c r="L60" s="146"/>
      <c r="M60" s="26"/>
      <c r="N60" s="299"/>
      <c r="O60" s="299"/>
      <c r="P60" s="146"/>
      <c r="Q60" s="146"/>
      <c r="R60" s="26"/>
      <c r="S60" s="299"/>
      <c r="T60" s="299"/>
      <c r="U60" s="299"/>
      <c r="V60" s="146"/>
      <c r="W60" s="26"/>
      <c r="X60" s="300">
        <f>AA59</f>
        <v>0</v>
      </c>
      <c r="Y60" s="300">
        <f>AC59</f>
        <v>750</v>
      </c>
      <c r="Z60" s="300">
        <f>AD59</f>
        <v>1126.3</v>
      </c>
      <c r="AA60" s="300">
        <f>AE59</f>
        <v>0</v>
      </c>
      <c r="AB60" s="6"/>
      <c r="AC60" s="300">
        <f>AF59</f>
        <v>0</v>
      </c>
      <c r="AD60" s="300">
        <f>AH59</f>
        <v>0</v>
      </c>
      <c r="AE60" s="300">
        <f>AI59</f>
        <v>0</v>
      </c>
      <c r="AF60" s="300">
        <f>AJ59</f>
        <v>0</v>
      </c>
      <c r="AG60" s="6"/>
      <c r="AH60" s="300">
        <f>AK59</f>
        <v>1250</v>
      </c>
      <c r="AI60" s="300">
        <f>AM59</f>
        <v>0</v>
      </c>
      <c r="AJ60" s="300">
        <f>AN59</f>
        <v>0</v>
      </c>
      <c r="AK60" s="300">
        <f>AO59</f>
        <v>500</v>
      </c>
      <c r="AL60" s="6"/>
      <c r="AM60" s="300">
        <f>AP59</f>
        <v>0</v>
      </c>
      <c r="AN60" s="300">
        <f>AR59</f>
        <v>0</v>
      </c>
      <c r="AO60" s="300">
        <f>AS59</f>
        <v>500</v>
      </c>
      <c r="AP60" s="300">
        <f>AT59</f>
        <v>0</v>
      </c>
      <c r="AQ60" s="6"/>
      <c r="AR60" s="300">
        <f>AU60</f>
        <v>0</v>
      </c>
      <c r="AS60" s="300">
        <f t="shared" ref="AS60:AU60" si="57">AW60</f>
        <v>0</v>
      </c>
      <c r="AT60" s="300">
        <f t="shared" si="57"/>
        <v>0</v>
      </c>
      <c r="AU60" s="300">
        <f t="shared" si="57"/>
        <v>0</v>
      </c>
      <c r="AV60" s="6"/>
    </row>
    <row r="61" spans="2:48" s="302" customFormat="1" outlineLevel="1" x14ac:dyDescent="0.3">
      <c r="B61" s="200" t="s">
        <v>263</v>
      </c>
      <c r="C61" s="297"/>
      <c r="D61" s="298"/>
      <c r="E61" s="298"/>
      <c r="F61" s="146"/>
      <c r="G61" s="146"/>
      <c r="H61" s="122"/>
      <c r="I61" s="299"/>
      <c r="J61" s="299"/>
      <c r="K61" s="146"/>
      <c r="L61" s="146"/>
      <c r="M61" s="26"/>
      <c r="N61" s="299"/>
      <c r="O61" s="299"/>
      <c r="P61" s="146"/>
      <c r="Q61" s="146"/>
      <c r="R61" s="26"/>
      <c r="S61" s="299"/>
      <c r="T61" s="299"/>
      <c r="U61" s="299"/>
      <c r="V61" s="146"/>
      <c r="W61" s="26"/>
      <c r="X61" s="301">
        <v>0</v>
      </c>
      <c r="Y61" s="301">
        <v>1000</v>
      </c>
      <c r="Z61" s="300">
        <v>0</v>
      </c>
      <c r="AA61" s="300">
        <v>0</v>
      </c>
      <c r="AB61" s="6"/>
      <c r="AC61" s="301">
        <v>750</v>
      </c>
      <c r="AD61" s="301">
        <v>1126</v>
      </c>
      <c r="AE61" s="300">
        <v>0</v>
      </c>
      <c r="AF61" s="300">
        <f>0.5*(SUM('IS (F4Q2022)'!AC154:AF154))</f>
        <v>100</v>
      </c>
      <c r="AG61" s="6"/>
      <c r="AH61" s="301"/>
      <c r="AI61" s="301"/>
      <c r="AJ61" s="300">
        <f>0.5*(SUM('IS (F4Q2022)'!AH154:AK154))</f>
        <v>5541.98119731518</v>
      </c>
      <c r="AK61" s="300">
        <v>1250</v>
      </c>
      <c r="AL61" s="6"/>
      <c r="AM61" s="301">
        <v>0</v>
      </c>
      <c r="AN61" s="301">
        <v>0</v>
      </c>
      <c r="AO61" s="300">
        <v>500</v>
      </c>
      <c r="AP61" s="300">
        <v>0</v>
      </c>
      <c r="AQ61" s="6"/>
      <c r="AR61" s="301">
        <v>0</v>
      </c>
      <c r="AS61" s="301">
        <v>500</v>
      </c>
      <c r="AT61" s="300">
        <v>0</v>
      </c>
      <c r="AU61" s="300">
        <v>0</v>
      </c>
      <c r="AV61" s="6"/>
    </row>
    <row r="62" spans="2:48" s="23" customFormat="1" outlineLevel="1" x14ac:dyDescent="0.3">
      <c r="B62" s="200" t="s">
        <v>264</v>
      </c>
      <c r="C62" s="201"/>
      <c r="D62" s="179">
        <f>+(D28+D31)/D41</f>
        <v>-3.1717034875642636</v>
      </c>
      <c r="E62" s="179">
        <f>+(E28+E31)/E41</f>
        <v>-1.8304138862408643</v>
      </c>
      <c r="F62" s="303">
        <f>+(F28+F31)/F41</f>
        <v>-2.5837230840472332</v>
      </c>
      <c r="G62" s="303">
        <f>+(G28+G31)/G41</f>
        <v>-1.7921681913015568</v>
      </c>
      <c r="H62" s="128"/>
      <c r="I62" s="303">
        <f>+(I28+I31)/I41</f>
        <v>-1.7235726649997785</v>
      </c>
      <c r="J62" s="303">
        <f>+(J28+J31)/J41</f>
        <v>-1.8605318005017988</v>
      </c>
      <c r="K62" s="303">
        <f>+(K28+K31)/K41</f>
        <v>-1.9516598448569742</v>
      </c>
      <c r="L62" s="179">
        <f>+(L28+L31)/L41</f>
        <v>-2.0960971356771032</v>
      </c>
      <c r="M62" s="28"/>
      <c r="N62" s="179">
        <f>+(N28+N31)/N41</f>
        <v>-2.0136766194331983</v>
      </c>
      <c r="O62" s="179">
        <f>+(O28+O31)/O41</f>
        <v>-1.9152752899337104</v>
      </c>
      <c r="P62" s="179">
        <f>+(P28+P31)/P41</f>
        <v>-2.1515240716482933</v>
      </c>
      <c r="Q62" s="179">
        <f>+(Q28+Q31)/Q41</f>
        <v>-2.7501740521215541</v>
      </c>
      <c r="R62" s="28"/>
      <c r="S62" s="179">
        <f t="shared" ref="S62:AA62" si="58">+(S28+S31)/S41</f>
        <v>-1.7497130279398361</v>
      </c>
      <c r="T62" s="179">
        <f t="shared" si="58"/>
        <v>-1.8277176642469066</v>
      </c>
      <c r="U62" s="179">
        <f t="shared" si="58"/>
        <v>-1.7473235630391852</v>
      </c>
      <c r="V62" s="179">
        <f t="shared" si="58"/>
        <v>-1.7294423304631725</v>
      </c>
      <c r="W62" s="28">
        <f t="shared" si="58"/>
        <v>-1.7294423304631725</v>
      </c>
      <c r="X62" s="179">
        <f t="shared" si="58"/>
        <v>-1.7893304722762835</v>
      </c>
      <c r="Y62" s="179">
        <f t="shared" si="58"/>
        <v>-1.8508833932289814</v>
      </c>
      <c r="Z62" s="179">
        <f t="shared" si="58"/>
        <v>-1.9778511552461675</v>
      </c>
      <c r="AA62" s="179">
        <f t="shared" si="58"/>
        <v>-2.1463095593024675</v>
      </c>
      <c r="AB62" s="28"/>
      <c r="AC62" s="179">
        <f>+(AC28+AC31)/AC41</f>
        <v>-2.3539951255432436</v>
      </c>
      <c r="AD62" s="179">
        <f>+(AD28+AD31)/AD41</f>
        <v>-2.522945008610801</v>
      </c>
      <c r="AE62" s="179">
        <f>+(AE28+AE31)/AE41</f>
        <v>-2.7855308152906044</v>
      </c>
      <c r="AF62" s="179">
        <f>+(AF28+AF31)/AF41</f>
        <v>-3.1176790884589605</v>
      </c>
      <c r="AG62" s="28"/>
      <c r="AH62" s="179">
        <f>+(AH28+AH31)/AH41</f>
        <v>-3.6310634653635212</v>
      </c>
      <c r="AI62" s="179">
        <f>+(AI28+AI31)/AI41</f>
        <v>-4.1006499212981486</v>
      </c>
      <c r="AJ62" s="179">
        <f>+(AJ28+AJ31)/AJ41</f>
        <v>-2.5107096387436356</v>
      </c>
      <c r="AK62" s="179">
        <f>+(AK28+AK31)/AK41</f>
        <v>-1.6045970956825959</v>
      </c>
      <c r="AL62" s="28"/>
      <c r="AM62" s="179">
        <f>+(AM28+AM31)/AM41</f>
        <v>-1.6835785746007454</v>
      </c>
      <c r="AN62" s="179">
        <f>+(AN28+AN31)/AN41</f>
        <v>-1.7354299633662991</v>
      </c>
      <c r="AO62" s="179">
        <f>+(AO28+AO31)/AO41</f>
        <v>-1.8478389178516872</v>
      </c>
      <c r="AP62" s="179">
        <f>+(AP28+AP31)/AP41</f>
        <v>-1.9658573973226157</v>
      </c>
      <c r="AQ62" s="28"/>
      <c r="AR62" s="179">
        <f>+(AR28+AR31)/AR41</f>
        <v>-2.1132802907330941</v>
      </c>
      <c r="AS62" s="179">
        <f>+(AS28+AS31)/AS41</f>
        <v>-2.2227690148804751</v>
      </c>
      <c r="AT62" s="179">
        <f>+(AT28+AT31)/AT41</f>
        <v>-2.4418290206264448</v>
      </c>
      <c r="AU62" s="179">
        <f>+(AU28+AU31)/AU41</f>
        <v>-2.686331072379327</v>
      </c>
      <c r="AV62" s="28"/>
    </row>
    <row r="63" spans="2:48" s="23" customFormat="1" outlineLevel="1" x14ac:dyDescent="0.3">
      <c r="B63" s="200" t="s">
        <v>265</v>
      </c>
      <c r="C63" s="201"/>
      <c r="D63" s="179">
        <f>+D28/(D28+D31)</f>
        <v>0</v>
      </c>
      <c r="E63" s="179">
        <f>+E28/(E28+E31)</f>
        <v>8.1375793413985785E-3</v>
      </c>
      <c r="F63" s="303">
        <f>+F28/(F28+F31)</f>
        <v>0</v>
      </c>
      <c r="G63" s="303">
        <f>+G28/(G28+G31)</f>
        <v>0</v>
      </c>
      <c r="H63" s="128"/>
      <c r="I63" s="303">
        <f>+I28/(I28+I31)</f>
        <v>8.5546532987690757E-2</v>
      </c>
      <c r="J63" s="303">
        <f>+J28/(J28+J31)</f>
        <v>0.16813887778982817</v>
      </c>
      <c r="K63" s="303">
        <f>+K28/(K28+K31)</f>
        <v>0.12987992894360045</v>
      </c>
      <c r="L63" s="179">
        <f>+L28/(L28+L31)</f>
        <v>0.10329514383758555</v>
      </c>
      <c r="M63" s="28"/>
      <c r="N63" s="179">
        <f>+N28/(N28+N31)</f>
        <v>7.8071889470410452E-2</v>
      </c>
      <c r="O63" s="179">
        <f>+O28/(O28+O31)</f>
        <v>1.2492661414742708E-3</v>
      </c>
      <c r="P63" s="179">
        <f>+P28/(P28+P31)</f>
        <v>6.8333093904132544E-2</v>
      </c>
      <c r="Q63" s="179">
        <f>+Q28/(Q28+Q31)</f>
        <v>6.8343847069609609E-2</v>
      </c>
      <c r="R63" s="28"/>
      <c r="S63" s="179">
        <f t="shared" ref="S63:AA63" si="59">+S28/(S28+S31)</f>
        <v>8.1112704252786494E-2</v>
      </c>
      <c r="T63" s="179">
        <f t="shared" si="59"/>
        <v>0.12481109098857178</v>
      </c>
      <c r="U63" s="179">
        <f t="shared" si="59"/>
        <v>7.9253663276029576E-2</v>
      </c>
      <c r="V63" s="179">
        <f t="shared" si="59"/>
        <v>0.12789236833533857</v>
      </c>
      <c r="W63" s="28">
        <f t="shared" si="59"/>
        <v>0.12789236833533857</v>
      </c>
      <c r="X63" s="179">
        <f t="shared" si="59"/>
        <v>0.12789236833533857</v>
      </c>
      <c r="Y63" s="179">
        <f t="shared" si="59"/>
        <v>0.11127433710673429</v>
      </c>
      <c r="Z63" s="179">
        <f t="shared" si="59"/>
        <v>0.18614189139784232</v>
      </c>
      <c r="AA63" s="179">
        <f t="shared" si="59"/>
        <v>0.18614189139784232</v>
      </c>
      <c r="AB63" s="28"/>
      <c r="AC63" s="179">
        <f>+AC28/(AC28+AC31)</f>
        <v>0.13628779771202945</v>
      </c>
      <c r="AD63" s="179">
        <f>+AD28/(AD28+AD31)</f>
        <v>6.1421468265574743E-2</v>
      </c>
      <c r="AE63" s="179">
        <f>+AE28/(AE28+AE31)</f>
        <v>6.1421468265574743E-2</v>
      </c>
      <c r="AF63" s="179">
        <f>+AF28/(AF28+AF31)</f>
        <v>6.1015874692939606E-2</v>
      </c>
      <c r="AG63" s="28"/>
      <c r="AH63" s="179">
        <f>+AH28/(AH28+AH31)</f>
        <v>0.14355899521910245</v>
      </c>
      <c r="AI63" s="179">
        <f>+AI28/(AI28+AI31)</f>
        <v>0.14355899521910245</v>
      </c>
      <c r="AJ63" s="179">
        <f>+AJ28/(AJ28+AJ31)</f>
        <v>0.10509736126158097</v>
      </c>
      <c r="AK63" s="179">
        <f>+AK28/(AK28+AK31)</f>
        <v>6.8840221911909527E-2</v>
      </c>
      <c r="AL63" s="28"/>
      <c r="AM63" s="179">
        <f>+AM28/(AM28+AM31)</f>
        <v>6.8840221911909527E-2</v>
      </c>
      <c r="AN63" s="179">
        <f>+AN28/(AN28+AN31)</f>
        <v>6.8840221911909527E-2</v>
      </c>
      <c r="AO63" s="179">
        <f>+AO28/(AO28+AO31)</f>
        <v>6.8840221911909527E-2</v>
      </c>
      <c r="AP63" s="179">
        <f>+AP28/(AP28+AP31)</f>
        <v>6.8840221911909527E-2</v>
      </c>
      <c r="AQ63" s="28"/>
      <c r="AR63" s="179">
        <f>+AR28/(AR28+AR31)</f>
        <v>6.8840221911909527E-2</v>
      </c>
      <c r="AS63" s="179">
        <f>+AS28/(AS28+AS31)</f>
        <v>4.4668795678795226E-2</v>
      </c>
      <c r="AT63" s="179">
        <f>+AT28/(AT28+AT31)</f>
        <v>4.4668795678795226E-2</v>
      </c>
      <c r="AU63" s="179">
        <f>+AU28/(AU28+AU31)</f>
        <v>4.4668795678795226E-2</v>
      </c>
      <c r="AV63" s="28"/>
    </row>
    <row r="64" spans="2:48" outlineLevel="1" x14ac:dyDescent="0.3">
      <c r="B64" s="200" t="s">
        <v>328</v>
      </c>
      <c r="C64" s="201"/>
      <c r="D64" s="304"/>
      <c r="E64" s="304"/>
      <c r="F64" s="304"/>
      <c r="G64" s="304"/>
      <c r="H64" s="306"/>
      <c r="I64" s="305"/>
      <c r="J64" s="305"/>
      <c r="K64" s="305"/>
      <c r="L64" s="305"/>
      <c r="M64" s="306">
        <f>M67/(M65-M66)</f>
        <v>14.55407378391847</v>
      </c>
      <c r="N64" s="305"/>
      <c r="O64" s="305"/>
      <c r="P64" s="305"/>
      <c r="Q64" s="305"/>
      <c r="R64" s="306">
        <f>R67/(R65-R66)</f>
        <v>3.5268936560411204</v>
      </c>
      <c r="S64" s="305"/>
      <c r="T64" s="305"/>
      <c r="U64" s="305"/>
      <c r="V64" s="305"/>
      <c r="W64" s="306">
        <f>W67/(W65-W66)</f>
        <v>4.1612739491288941</v>
      </c>
      <c r="X64" s="307"/>
      <c r="Y64" s="307"/>
      <c r="Z64" s="307"/>
      <c r="AA64" s="307"/>
      <c r="AB64" s="306">
        <f>AB67/(AB65-AB66)</f>
        <v>3.4565881824304836</v>
      </c>
      <c r="AC64" s="307"/>
      <c r="AD64" s="307"/>
      <c r="AE64" s="307"/>
      <c r="AF64" s="307"/>
      <c r="AG64" s="405">
        <f>AG67/(AG65-AG66)</f>
        <v>2.8473690744878386</v>
      </c>
      <c r="AH64" s="307"/>
      <c r="AI64" s="307"/>
      <c r="AJ64" s="307"/>
      <c r="AK64" s="307"/>
      <c r="AL64" s="405">
        <f>AL67/(AL65-AL66)</f>
        <v>3.183845630558507</v>
      </c>
      <c r="AM64" s="307"/>
      <c r="AN64" s="307"/>
      <c r="AO64" s="307"/>
      <c r="AP64" s="307"/>
      <c r="AQ64" s="306">
        <f>AQ67/(AQ65-AQ66)</f>
        <v>2.8440892228964887</v>
      </c>
      <c r="AR64" s="307"/>
      <c r="AS64" s="307"/>
      <c r="AT64" s="307"/>
      <c r="AU64" s="307"/>
      <c r="AV64" s="306">
        <f>AV67/(AV65-AV66)</f>
        <v>2.6585612840525723</v>
      </c>
    </row>
    <row r="65" spans="2:48" outlineLevel="1" x14ac:dyDescent="0.3">
      <c r="B65" s="180" t="s">
        <v>325</v>
      </c>
      <c r="C65" s="44"/>
      <c r="D65" s="139"/>
      <c r="E65" s="139"/>
      <c r="F65" s="309"/>
      <c r="G65" s="309"/>
      <c r="H65" s="17"/>
      <c r="I65" s="139"/>
      <c r="J65" s="139"/>
      <c r="K65" s="309"/>
      <c r="L65" s="309"/>
      <c r="M65" s="17">
        <f>'IS (F4Q2022)'!M19+'IS (F4Q2022)'!M12</f>
        <v>3564.3800000000042</v>
      </c>
      <c r="N65" s="139"/>
      <c r="O65" s="139"/>
      <c r="P65" s="309"/>
      <c r="Q65" s="309"/>
      <c r="R65" s="17">
        <f>'IS (F4Q2022)'!R19+'IS (F4Q2022)'!R12</f>
        <v>6703.7999999999975</v>
      </c>
      <c r="S65" s="139"/>
      <c r="T65" s="139"/>
      <c r="U65" s="309"/>
      <c r="V65" s="309"/>
      <c r="W65" s="17">
        <f>'IS (F4Q2022)'!W19+'IS (F4Q2022)'!W12</f>
        <v>6302.899999999996</v>
      </c>
      <c r="X65" s="139"/>
      <c r="Y65" s="305"/>
      <c r="Z65" s="305"/>
      <c r="AA65" s="310"/>
      <c r="AB65" s="17">
        <f>'IS (F4Q2022)'!AB19+'IS (F4Q2022)'!AB12</f>
        <v>7174.3088591228761</v>
      </c>
      <c r="AC65" s="139"/>
      <c r="AD65" s="139"/>
      <c r="AE65" s="309"/>
      <c r="AF65" s="309"/>
      <c r="AG65" s="17">
        <f>'IS (F4Q2022)'!AG19+'IS (F4Q2022)'!AG12</f>
        <v>8281.6262054754079</v>
      </c>
      <c r="AH65" s="139"/>
      <c r="AI65" s="139"/>
      <c r="AJ65" s="309"/>
      <c r="AK65" s="309"/>
      <c r="AL65" s="17">
        <f>'IS (F4Q2022)'!AL19+'IS (F4Q2022)'!AL12</f>
        <v>9608.3741063464586</v>
      </c>
      <c r="AM65" s="139"/>
      <c r="AN65" s="139"/>
      <c r="AO65" s="309"/>
      <c r="AP65" s="309"/>
      <c r="AQ65" s="17">
        <f>'IS (F4Q2022)'!AQ19+'IS (F4Q2022)'!AQ12</f>
        <v>10540.080849028845</v>
      </c>
      <c r="AR65" s="139"/>
      <c r="AS65" s="139"/>
      <c r="AT65" s="309"/>
      <c r="AU65" s="309"/>
      <c r="AV65" s="17">
        <f>'IS (F4Q2022)'!AV19+'IS (F4Q2022)'!AV12</f>
        <v>11210.985471406721</v>
      </c>
    </row>
    <row r="66" spans="2:48" outlineLevel="1" x14ac:dyDescent="0.3">
      <c r="B66" s="180" t="s">
        <v>327</v>
      </c>
      <c r="C66" s="44"/>
      <c r="D66" s="139"/>
      <c r="E66" s="139"/>
      <c r="F66" s="309"/>
      <c r="G66" s="309"/>
      <c r="H66" s="387"/>
      <c r="I66" s="139"/>
      <c r="J66" s="139"/>
      <c r="K66" s="309"/>
      <c r="L66" s="309"/>
      <c r="M66" s="387">
        <v>2441.1</v>
      </c>
      <c r="N66" s="139"/>
      <c r="O66" s="139"/>
      <c r="P66" s="309"/>
      <c r="Q66" s="309"/>
      <c r="R66" s="387">
        <v>2559.6999999999998</v>
      </c>
      <c r="S66" s="139"/>
      <c r="T66" s="139"/>
      <c r="U66" s="309"/>
      <c r="V66" s="309"/>
      <c r="W66" s="388">
        <f>R66*1.05</f>
        <v>2687.6849999999999</v>
      </c>
      <c r="X66" s="139"/>
      <c r="Y66" s="179"/>
      <c r="Z66" s="179"/>
      <c r="AA66" s="310"/>
      <c r="AB66" s="388">
        <f>W66*1.05</f>
        <v>2822.06925</v>
      </c>
      <c r="AC66" s="139"/>
      <c r="AD66" s="139"/>
      <c r="AE66" s="309"/>
      <c r="AF66" s="309"/>
      <c r="AG66" s="388">
        <f>AB66*1.05</f>
        <v>2963.1727125000002</v>
      </c>
      <c r="AH66" s="139"/>
      <c r="AI66" s="139"/>
      <c r="AJ66" s="309"/>
      <c r="AK66" s="309"/>
      <c r="AL66" s="388">
        <f>AG66*1.05</f>
        <v>3111.3313481250002</v>
      </c>
      <c r="AM66" s="139"/>
      <c r="AN66" s="139"/>
      <c r="AO66" s="309"/>
      <c r="AP66" s="309"/>
      <c r="AQ66" s="388">
        <f>AL66*1.05</f>
        <v>3266.8979155312504</v>
      </c>
      <c r="AR66" s="139"/>
      <c r="AS66" s="139"/>
      <c r="AT66" s="309"/>
      <c r="AU66" s="309"/>
      <c r="AV66" s="388">
        <f>AQ66*1.05</f>
        <v>3430.2428113078131</v>
      </c>
    </row>
    <row r="67" spans="2:48" outlineLevel="1" x14ac:dyDescent="0.3">
      <c r="B67" s="386" t="s">
        <v>326</v>
      </c>
      <c r="C67" s="312"/>
      <c r="D67" s="313"/>
      <c r="E67" s="313"/>
      <c r="F67" s="314"/>
      <c r="G67" s="314"/>
      <c r="H67" s="316"/>
      <c r="I67" s="313"/>
      <c r="J67" s="313"/>
      <c r="K67" s="314"/>
      <c r="L67" s="314"/>
      <c r="M67" s="316">
        <f>M28+M31</f>
        <v>16348.300000000001</v>
      </c>
      <c r="N67" s="313"/>
      <c r="O67" s="313"/>
      <c r="P67" s="314"/>
      <c r="Q67" s="314"/>
      <c r="R67" s="316">
        <f>R28+R31</f>
        <v>14615.8</v>
      </c>
      <c r="S67" s="313"/>
      <c r="T67" s="313"/>
      <c r="U67" s="314"/>
      <c r="V67" s="314"/>
      <c r="W67" s="316">
        <f>W28+W31</f>
        <v>15043.9</v>
      </c>
      <c r="X67" s="313"/>
      <c r="Y67" s="313"/>
      <c r="Z67" s="314"/>
      <c r="AA67" s="315"/>
      <c r="AB67" s="316">
        <f>AB28+AB31</f>
        <v>15043.900000000001</v>
      </c>
      <c r="AC67" s="313"/>
      <c r="AD67" s="313"/>
      <c r="AE67" s="314"/>
      <c r="AF67" s="314"/>
      <c r="AG67" s="316">
        <f>AG28+AG31</f>
        <v>15143.6</v>
      </c>
      <c r="AH67" s="313"/>
      <c r="AI67" s="313"/>
      <c r="AJ67" s="314"/>
      <c r="AK67" s="314"/>
      <c r="AL67" s="316">
        <f>AL28+AL31</f>
        <v>20685.581197315179</v>
      </c>
      <c r="AM67" s="313"/>
      <c r="AN67" s="313"/>
      <c r="AO67" s="314"/>
      <c r="AP67" s="314"/>
      <c r="AQ67" s="316">
        <f>AQ28+AQ31</f>
        <v>20685.581197315179</v>
      </c>
      <c r="AR67" s="313"/>
      <c r="AS67" s="313"/>
      <c r="AT67" s="314"/>
      <c r="AU67" s="314"/>
      <c r="AV67" s="316">
        <f>AV28+AV31</f>
        <v>20685.581197315179</v>
      </c>
    </row>
  </sheetData>
  <dataConsolidate/>
  <mergeCells count="26">
    <mergeCell ref="B19:C19"/>
    <mergeCell ref="B3:C3"/>
    <mergeCell ref="B5:C5"/>
    <mergeCell ref="B6:C6"/>
    <mergeCell ref="B8:C8"/>
    <mergeCell ref="B10:C10"/>
    <mergeCell ref="B42:C42"/>
    <mergeCell ref="B20:C20"/>
    <mergeCell ref="B21:C21"/>
    <mergeCell ref="B22:C22"/>
    <mergeCell ref="B34:C34"/>
    <mergeCell ref="B35:C35"/>
    <mergeCell ref="B36:C36"/>
    <mergeCell ref="B37:C37"/>
    <mergeCell ref="B38:C38"/>
    <mergeCell ref="B39:C39"/>
    <mergeCell ref="B41:C41"/>
    <mergeCell ref="B51:C51"/>
    <mergeCell ref="B52:C52"/>
    <mergeCell ref="B53:C53"/>
    <mergeCell ref="B44:C44"/>
    <mergeCell ref="B45:C45"/>
    <mergeCell ref="B47:C47"/>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70797-E96C-4D17-9E54-456E2AF996F8}">
  <sheetPr>
    <tabColor theme="4" tint="0.39997558519241921"/>
    <pageSetUpPr fitToPage="1"/>
  </sheetPr>
  <dimension ref="B1:AV65"/>
  <sheetViews>
    <sheetView showGridLines="0" zoomScaleNormal="100" workbookViewId="0">
      <pane xSplit="3" ySplit="4" topLeftCell="R25" activePane="bottomRight" state="frozen"/>
      <selection activeCell="AB90" sqref="AB90"/>
      <selection pane="topRight" activeCell="AB90" sqref="AB90"/>
      <selection pane="bottomLeft" activeCell="AB90" sqref="AB90"/>
      <selection pane="bottomRight" activeCell="AB90" sqref="AB90"/>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583" t="s">
        <v>266</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601" t="s">
        <v>267</v>
      </c>
      <c r="C5" s="602"/>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v>760.40000000000043</v>
      </c>
      <c r="E6" s="101">
        <v>658.59999999999968</v>
      </c>
      <c r="F6" s="16">
        <v>1373.200000000001</v>
      </c>
      <c r="G6" s="16">
        <v>802.400000000001</v>
      </c>
      <c r="H6" s="17">
        <v>3594.6000000000054</v>
      </c>
      <c r="I6" s="16">
        <v>885.29999999999882</v>
      </c>
      <c r="J6" s="16">
        <v>324.79999999999905</v>
      </c>
      <c r="K6" s="16">
        <v>-678.09999999999923</v>
      </c>
      <c r="L6" s="16">
        <f>924.7-K6-J6-I6</f>
        <v>392.70000000000141</v>
      </c>
      <c r="M6" s="17">
        <v>924.70000000000437</v>
      </c>
      <c r="N6" s="16">
        <v>622.20000000000016</v>
      </c>
      <c r="O6" s="16">
        <v>659.4</v>
      </c>
      <c r="P6" s="16">
        <v>1154.1999999999989</v>
      </c>
      <c r="Q6" s="16">
        <v>1764.6</v>
      </c>
      <c r="R6" s="17">
        <v>4200.3999999999978</v>
      </c>
      <c r="S6" s="16">
        <v>816.10000000000014</v>
      </c>
      <c r="T6" s="16">
        <v>675.00000000000011</v>
      </c>
      <c r="U6" s="16">
        <v>913.69999999999959</v>
      </c>
      <c r="V6" s="16">
        <f>'IS (F4Q2022)'!V25</f>
        <v>878.49999999999864</v>
      </c>
      <c r="W6" s="17">
        <f t="shared" ref="W6:W13" si="0">SUM(S6:V6)</f>
        <v>3283.2999999999988</v>
      </c>
      <c r="X6" s="16">
        <f>'IS (F4Q2022)'!X25</f>
        <v>831.49973640470444</v>
      </c>
      <c r="Y6" s="16">
        <f>'IS (F4Q2022)'!Y25</f>
        <v>830.32996880559256</v>
      </c>
      <c r="Z6" s="16">
        <f>'IS (F4Q2022)'!Z25</f>
        <v>1066.8235778548733</v>
      </c>
      <c r="AA6" s="16">
        <f>'IS (F4Q2022)'!AA25</f>
        <v>1170.3222715850643</v>
      </c>
      <c r="AB6" s="17">
        <f t="shared" ref="AB6" si="1">SUM(X6:AA6)</f>
        <v>3898.9755546502347</v>
      </c>
      <c r="AC6" s="16">
        <f>'IS (F4Q2022)'!AC25</f>
        <v>1155.2919648976308</v>
      </c>
      <c r="AD6" s="16">
        <f>'IS (F4Q2022)'!AD25</f>
        <v>971.358458232418</v>
      </c>
      <c r="AE6" s="16">
        <f>'IS (F4Q2022)'!AE25</f>
        <v>1199.6599949304841</v>
      </c>
      <c r="AF6" s="16">
        <f>'IS (F4Q2022)'!AF25</f>
        <v>1209.9085990086128</v>
      </c>
      <c r="AG6" s="17">
        <f t="shared" ref="AG6" si="2">SUM(AC6:AF6)</f>
        <v>4536.2190170691456</v>
      </c>
      <c r="AH6" s="16">
        <f>'IS (F4Q2022)'!AH25</f>
        <v>1351.6636336295119</v>
      </c>
      <c r="AI6" s="16">
        <f>'IS (F4Q2022)'!AI25</f>
        <v>1148.407308817018</v>
      </c>
      <c r="AJ6" s="16">
        <f>'IS (F4Q2022)'!AJ25</f>
        <v>1460.197088184231</v>
      </c>
      <c r="AK6" s="16">
        <f>'IS (F4Q2022)'!AK25</f>
        <v>1383.7969685539142</v>
      </c>
      <c r="AL6" s="17">
        <f t="shared" ref="AL6" si="3">SUM(AH6:AK6)</f>
        <v>5344.0649991846749</v>
      </c>
      <c r="AM6" s="16">
        <f>'IS (F4Q2022)'!AM25</f>
        <v>1447.9055890546595</v>
      </c>
      <c r="AN6" s="16">
        <f>'IS (F4Q2022)'!AN25</f>
        <v>1216.426585151281</v>
      </c>
      <c r="AO6" s="16">
        <f>'IS (F4Q2022)'!AO25</f>
        <v>1541.205964295656</v>
      </c>
      <c r="AP6" s="16">
        <f>'IS (F4Q2022)'!AP25</f>
        <v>1491.1666526446313</v>
      </c>
      <c r="AQ6" s="17">
        <f t="shared" ref="AQ6" si="4">SUM(AM6:AP6)</f>
        <v>5696.7047911462287</v>
      </c>
      <c r="AR6" s="16">
        <f>'IS (F4Q2022)'!AR25</f>
        <v>1552.8978262658381</v>
      </c>
      <c r="AS6" s="16">
        <f>'IS (F4Q2022)'!AS25</f>
        <v>1306.7995179538839</v>
      </c>
      <c r="AT6" s="16">
        <f>'IS (F4Q2022)'!AT25</f>
        <v>1651.4423995583891</v>
      </c>
      <c r="AU6" s="16">
        <f>'IS (F4Q2022)'!AU25</f>
        <v>1597.778149525916</v>
      </c>
      <c r="AV6" s="17">
        <f t="shared" ref="AV6" si="5">SUM(AR6:AU6)</f>
        <v>6108.9178933040275</v>
      </c>
    </row>
    <row r="7" spans="2:48" outlineLevel="1" x14ac:dyDescent="0.3">
      <c r="B7" s="308" t="s">
        <v>269</v>
      </c>
      <c r="C7" s="44"/>
      <c r="D7" s="16">
        <v>350.8</v>
      </c>
      <c r="E7" s="16">
        <f>723.5-D7</f>
        <v>372.7</v>
      </c>
      <c r="F7" s="16">
        <f>1083.6-E7-D7</f>
        <v>360.09999999999985</v>
      </c>
      <c r="G7" s="16">
        <f>1449.3-F7-E7-D7</f>
        <v>365.7</v>
      </c>
      <c r="H7" s="17">
        <f t="shared" ref="H7:H13" si="6">SUM(D7:G7)</f>
        <v>1449.3</v>
      </c>
      <c r="I7" s="16">
        <v>369.2</v>
      </c>
      <c r="J7" s="16">
        <f>746.9-I7</f>
        <v>377.7</v>
      </c>
      <c r="K7" s="16">
        <f>1124-J7-I7</f>
        <v>377.09999999999997</v>
      </c>
      <c r="L7" s="16">
        <f>1503.2-K7-J7-I7</f>
        <v>379.2000000000001</v>
      </c>
      <c r="M7" s="17">
        <f t="shared" ref="M7:M13" si="7">SUM(I7:L7)</f>
        <v>1503.2</v>
      </c>
      <c r="N7" s="16">
        <v>388.4</v>
      </c>
      <c r="O7" s="16">
        <f>772.9-N7</f>
        <v>384.5</v>
      </c>
      <c r="P7" s="16">
        <f>1146.2-O7-N7</f>
        <v>373.30000000000007</v>
      </c>
      <c r="Q7" s="16">
        <f>1524.1-P7-O7-N7</f>
        <v>377.89999999999975</v>
      </c>
      <c r="R7" s="17">
        <f t="shared" ref="R7:R13" si="8">SUM(N7:Q7)</f>
        <v>1524.1</v>
      </c>
      <c r="S7" s="16">
        <v>386.4</v>
      </c>
      <c r="T7" s="16">
        <f>777.7-S7</f>
        <v>391.30000000000007</v>
      </c>
      <c r="U7" s="16">
        <f>1169-T7-S7</f>
        <v>391.29999999999995</v>
      </c>
      <c r="V7" s="16">
        <f>1529.4-U7-T7-S7</f>
        <v>360.40000000000009</v>
      </c>
      <c r="W7" s="17">
        <f t="shared" si="0"/>
        <v>1529.4</v>
      </c>
      <c r="X7" s="16">
        <f>('BS (F4Q2022)'!W14*'BS (F4Q2022)'!X56)</f>
        <v>389.99303918386653</v>
      </c>
      <c r="Y7" s="16">
        <f>('BS (F4Q2022)'!X14*'BS (F4Q2022)'!Y56)</f>
        <v>401.02150208877782</v>
      </c>
      <c r="Z7" s="16">
        <f>('BS (F4Q2022)'!Y14*'BS (F4Q2022)'!Z56)</f>
        <v>409.09530542193568</v>
      </c>
      <c r="AA7" s="16">
        <f>('BS (F4Q2022)'!Z14*'BS (F4Q2022)'!AA56)</f>
        <v>419.12262770367187</v>
      </c>
      <c r="AB7" s="17">
        <f t="shared" ref="AB7:AB13" si="9">SUM(X7:AA7)</f>
        <v>1619.232474398252</v>
      </c>
      <c r="AC7" s="16">
        <f>('BS (F4Q2022)'!AB14*'BS (F4Q2022)'!AC56)</f>
        <v>438.3134517334222</v>
      </c>
      <c r="AD7" s="16">
        <f>('BS (F4Q2022)'!AC14*'BS (F4Q2022)'!AD56)</f>
        <v>451.41583522353898</v>
      </c>
      <c r="AE7" s="16">
        <f>('BS (F4Q2022)'!AD14*'BS (F4Q2022)'!AE56)</f>
        <v>461.77622021293325</v>
      </c>
      <c r="AF7" s="16">
        <f>('BS (F4Q2022)'!AE14*'BS (F4Q2022)'!AF56)</f>
        <v>475.74282283507068</v>
      </c>
      <c r="AG7" s="17">
        <f t="shared" ref="AG7:AG13" si="10">SUM(AC7:AF7)</f>
        <v>1827.2483300049651</v>
      </c>
      <c r="AH7" s="16">
        <f>('BS (F4Q2022)'!AG14*'BS (F4Q2022)'!AH56)</f>
        <v>491.34361898346435</v>
      </c>
      <c r="AI7" s="16">
        <f>('BS (F4Q2022)'!AH14*'BS (F4Q2022)'!AI56)</f>
        <v>501.98890047623047</v>
      </c>
      <c r="AJ7" s="16">
        <f>('BS (F4Q2022)'!AI14*'BS (F4Q2022)'!AJ56)</f>
        <v>510.00006828331999</v>
      </c>
      <c r="AK7" s="16">
        <f>('BS (F4Q2022)'!AJ14*'BS (F4Q2022)'!AK56)</f>
        <v>521.36152608803093</v>
      </c>
      <c r="AL7" s="17">
        <f t="shared" ref="AL7:AL13" si="11">SUM(AH7:AK7)</f>
        <v>2024.6941138310458</v>
      </c>
      <c r="AM7" s="16">
        <f>('BS (F4Q2022)'!AL14*'BS (F4Q2022)'!AM56)</f>
        <v>533.62545493745836</v>
      </c>
      <c r="AN7" s="16">
        <f>('BS (F4Q2022)'!AM14*'BS (F4Q2022)'!AN56)</f>
        <v>546.01077294646541</v>
      </c>
      <c r="AO7" s="16">
        <f>('BS (F4Q2022)'!AN14*'BS (F4Q2022)'!AO56)</f>
        <v>555.10498123489617</v>
      </c>
      <c r="AP7" s="16">
        <f>('BS (F4Q2022)'!AO14*'BS (F4Q2022)'!AP56)</f>
        <v>567.51243315034708</v>
      </c>
      <c r="AQ7" s="17">
        <f t="shared" ref="AQ7:AQ13" si="12">SUM(AM7:AP7)</f>
        <v>2202.2536422691669</v>
      </c>
      <c r="AR7" s="16">
        <f>('BS (F4Q2022)'!AQ14*'BS (F4Q2022)'!AR56)</f>
        <v>580.6658507137812</v>
      </c>
      <c r="AS7" s="16">
        <f>('BS (F4Q2022)'!AR14*'BS (F4Q2022)'!AS56)</f>
        <v>593.19393678982419</v>
      </c>
      <c r="AT7" s="16">
        <f>('BS (F4Q2022)'!AS14*'BS (F4Q2022)'!AT56)</f>
        <v>602.16947282689023</v>
      </c>
      <c r="AU7" s="16">
        <f>('BS (F4Q2022)'!AT14*'BS (F4Q2022)'!AU56)</f>
        <v>614.66985133360492</v>
      </c>
      <c r="AV7" s="17">
        <f t="shared" ref="AV7:AV13" si="13">SUM(AR7:AU7)</f>
        <v>2390.6991116641007</v>
      </c>
    </row>
    <row r="8" spans="2:48" outlineLevel="1" x14ac:dyDescent="0.3">
      <c r="B8" s="308" t="s">
        <v>222</v>
      </c>
      <c r="C8" s="44"/>
      <c r="D8" s="16">
        <v>-354.6</v>
      </c>
      <c r="E8" s="16">
        <f>-714.5-D8</f>
        <v>-359.9</v>
      </c>
      <c r="F8" s="16">
        <f>-1243.5-E8-D8</f>
        <v>-529</v>
      </c>
      <c r="G8" s="101">
        <f>-1495.4-F8-E8-D8</f>
        <v>-251.90000000000009</v>
      </c>
      <c r="H8" s="17">
        <f t="shared" si="6"/>
        <v>-1495.4</v>
      </c>
      <c r="I8" s="16">
        <v>10.4</v>
      </c>
      <c r="J8" s="16">
        <f>47.7-I8</f>
        <v>37.300000000000004</v>
      </c>
      <c r="K8" s="16">
        <f>20-J8-I8</f>
        <v>-27.700000000000003</v>
      </c>
      <c r="L8" s="101">
        <f>-25.8-K8-J8-I8</f>
        <v>-45.800000000000004</v>
      </c>
      <c r="M8" s="17">
        <f t="shared" si="7"/>
        <v>-25.800000000000004</v>
      </c>
      <c r="N8" s="16">
        <v>-6.1</v>
      </c>
      <c r="O8" s="16">
        <f>-25.2-N8</f>
        <v>-19.100000000000001</v>
      </c>
      <c r="P8" s="16">
        <f>-113.2-O8-N8</f>
        <v>-88</v>
      </c>
      <c r="Q8" s="101">
        <f>-146.2-P8-O8-N8</f>
        <v>-32.999999999999986</v>
      </c>
      <c r="R8" s="17">
        <f t="shared" si="8"/>
        <v>-146.19999999999999</v>
      </c>
      <c r="S8" s="16">
        <v>-0.3</v>
      </c>
      <c r="T8" s="16">
        <f>28.4-S8</f>
        <v>28.7</v>
      </c>
      <c r="U8" s="16">
        <f>35-T8-S8</f>
        <v>6.6000000000000005</v>
      </c>
      <c r="V8" s="16">
        <f>-37.8-U8-T8-S8</f>
        <v>-72.8</v>
      </c>
      <c r="W8" s="17">
        <f t="shared" si="0"/>
        <v>-37.799999999999997</v>
      </c>
      <c r="X8" s="16">
        <f>-('BS (F4Q2022)'!X16-'BS (F4Q2022)'!V16)</f>
        <v>-54.435767663959496</v>
      </c>
      <c r="Y8" s="16">
        <f>-('BS (F4Q2022)'!Y16-'BS (F4Q2022)'!X16)</f>
        <v>71.967352964008342</v>
      </c>
      <c r="Z8" s="16">
        <f>-('BS (F4Q2022)'!Z16-'BS (F4Q2022)'!Y16)</f>
        <v>10.412791446641904</v>
      </c>
      <c r="AA8" s="16">
        <f>-('BS (F4Q2022)'!AA16-'BS (F4Q2022)'!Z16)</f>
        <v>2.1681559228675269</v>
      </c>
      <c r="AB8" s="17">
        <f t="shared" si="9"/>
        <v>30.112532669558277</v>
      </c>
      <c r="AC8" s="16">
        <f>-('BS (F4Q2022)'!AC16-'BS (F4Q2022)'!AA16)</f>
        <v>-103.42032077227964</v>
      </c>
      <c r="AD8" s="16">
        <f>-('BS (F4Q2022)'!AD16-'BS (F4Q2022)'!AC16)</f>
        <v>82.087056498663969</v>
      </c>
      <c r="AE8" s="16">
        <f>-('BS (F4Q2022)'!AE16-'BS (F4Q2022)'!AD16)</f>
        <v>10.462742607551718</v>
      </c>
      <c r="AF8" s="16">
        <f>-('BS (F4Q2022)'!AF16-'BS (F4Q2022)'!AE16)</f>
        <v>10.353229467274559</v>
      </c>
      <c r="AG8" s="17">
        <f t="shared" si="10"/>
        <v>-0.51729219878939148</v>
      </c>
      <c r="AH8" s="16">
        <f>-('BS (F4Q2022)'!AH16-'BS (F4Q2022)'!AF16)</f>
        <v>-120.41041873261065</v>
      </c>
      <c r="AI8" s="16">
        <f>-('BS (F4Q2022)'!AI16-'BS (F4Q2022)'!AH16)</f>
        <v>89.681605389261222</v>
      </c>
      <c r="AJ8" s="16">
        <f>-('BS (F4Q2022)'!AJ16-'BS (F4Q2022)'!AI16)</f>
        <v>11.233775556209821</v>
      </c>
      <c r="AK8" s="16">
        <f>-('BS (F4Q2022)'!AK16-'BS (F4Q2022)'!AJ16)</f>
        <v>11.289874302513681</v>
      </c>
      <c r="AL8" s="17">
        <f t="shared" si="11"/>
        <v>-8.2051634846259276</v>
      </c>
      <c r="AM8" s="16">
        <f>-('BS (F4Q2022)'!AM16-'BS (F4Q2022)'!AK16)</f>
        <v>-132.34213874032685</v>
      </c>
      <c r="AN8" s="16">
        <f>-('BS (F4Q2022)'!AN16-'BS (F4Q2022)'!AM16)</f>
        <v>96.847881287818836</v>
      </c>
      <c r="AO8" s="16">
        <f>-('BS (F4Q2022)'!AO16-'BS (F4Q2022)'!AN16)</f>
        <v>11.616492231986285</v>
      </c>
      <c r="AP8" s="16">
        <f>-('BS (F4Q2022)'!AP16-'BS (F4Q2022)'!AO16)</f>
        <v>11.563306022151664</v>
      </c>
      <c r="AQ8" s="17">
        <f t="shared" si="12"/>
        <v>-12.314459198370059</v>
      </c>
      <c r="AR8" s="16">
        <f>-('BS (F4Q2022)'!AR16-'BS (F4Q2022)'!AP16)</f>
        <v>-144.1836869654876</v>
      </c>
      <c r="AS8" s="16">
        <f>-('BS (F4Q2022)'!AS16-'BS (F4Q2022)'!AR16)</f>
        <v>104.30989945032911</v>
      </c>
      <c r="AT8" s="16">
        <f>-('BS (F4Q2022)'!AT16-'BS (F4Q2022)'!AS16)</f>
        <v>11.927553287992168</v>
      </c>
      <c r="AU8" s="16">
        <f>-('BS (F4Q2022)'!AU16-'BS (F4Q2022)'!AT16)</f>
        <v>11.843909252719413</v>
      </c>
      <c r="AV8" s="17">
        <f t="shared" si="13"/>
        <v>-16.102324974446901</v>
      </c>
    </row>
    <row r="9" spans="2:48" outlineLevel="1" x14ac:dyDescent="0.3">
      <c r="B9" s="308" t="s">
        <v>270</v>
      </c>
      <c r="C9" s="44"/>
      <c r="D9" s="16">
        <v>-55</v>
      </c>
      <c r="E9" s="16">
        <f>-108.2-D9</f>
        <v>-53.2</v>
      </c>
      <c r="F9" s="16">
        <f>-174.1-E9-D9</f>
        <v>-65.899999999999991</v>
      </c>
      <c r="G9" s="101">
        <f>-250.6-F9-E9-D9</f>
        <v>-76.5</v>
      </c>
      <c r="H9" s="17">
        <f t="shared" si="6"/>
        <v>-250.6</v>
      </c>
      <c r="I9" s="16">
        <v>-62.9</v>
      </c>
      <c r="J9" s="16">
        <f>-116.3-I9</f>
        <v>-53.4</v>
      </c>
      <c r="K9" s="16">
        <f>-182.3-J9-I9</f>
        <v>-66</v>
      </c>
      <c r="L9" s="101">
        <f>-280.7-K9-J9-I9</f>
        <v>-98.399999999999977</v>
      </c>
      <c r="M9" s="17">
        <f t="shared" si="7"/>
        <v>-280.7</v>
      </c>
      <c r="N9" s="16">
        <v>-69</v>
      </c>
      <c r="O9" s="16">
        <f>-131.3-N9</f>
        <v>-62.300000000000011</v>
      </c>
      <c r="P9" s="16">
        <f>-238.3-O9-N9</f>
        <v>-107</v>
      </c>
      <c r="Q9" s="101">
        <f>-347.3-P9-O9-N9</f>
        <v>-109</v>
      </c>
      <c r="R9" s="17">
        <f t="shared" si="8"/>
        <v>-347.3</v>
      </c>
      <c r="S9" s="16">
        <v>-46.6</v>
      </c>
      <c r="T9" s="16">
        <f>-118.7-S9</f>
        <v>-72.099999999999994</v>
      </c>
      <c r="U9" s="16">
        <f>-175-T9-S9</f>
        <v>-56.300000000000004</v>
      </c>
      <c r="V9" s="16">
        <f>-268.7-U9-T9-S9</f>
        <v>-93.699999999999989</v>
      </c>
      <c r="W9" s="17">
        <f t="shared" si="0"/>
        <v>-268.7</v>
      </c>
      <c r="X9" s="16">
        <f>-'IS (F4Q2022)'!X16</f>
        <v>-90.4</v>
      </c>
      <c r="Y9" s="16">
        <f>-'IS (F4Q2022)'!Y16</f>
        <v>-90.5</v>
      </c>
      <c r="Z9" s="16">
        <f>-'IS (F4Q2022)'!Z16</f>
        <v>-90.6</v>
      </c>
      <c r="AA9" s="16">
        <f>-'IS (F4Q2022)'!AA16</f>
        <v>-90.7</v>
      </c>
      <c r="AB9" s="17">
        <f t="shared" si="9"/>
        <v>-362.2</v>
      </c>
      <c r="AC9" s="16">
        <f>-'IS (F4Q2022)'!AC16</f>
        <v>-91</v>
      </c>
      <c r="AD9" s="16">
        <f>-'IS (F4Q2022)'!AD16</f>
        <v>-91</v>
      </c>
      <c r="AE9" s="16">
        <f>-'IS (F4Q2022)'!AE16</f>
        <v>-91</v>
      </c>
      <c r="AF9" s="16">
        <f>-'IS (F4Q2022)'!AF16</f>
        <v>-91</v>
      </c>
      <c r="AG9" s="17">
        <f t="shared" si="10"/>
        <v>-364</v>
      </c>
      <c r="AH9" s="16">
        <f>-'IS (F4Q2022)'!AH16</f>
        <v>-91</v>
      </c>
      <c r="AI9" s="16">
        <f>-'IS (F4Q2022)'!AI16</f>
        <v>-91</v>
      </c>
      <c r="AJ9" s="16">
        <f>-'IS (F4Q2022)'!AJ16</f>
        <v>-91</v>
      </c>
      <c r="AK9" s="16">
        <f>-'IS (F4Q2022)'!AK16</f>
        <v>-91</v>
      </c>
      <c r="AL9" s="17">
        <f t="shared" si="11"/>
        <v>-364</v>
      </c>
      <c r="AM9" s="16">
        <f>-'IS (F4Q2022)'!AM16</f>
        <v>-91</v>
      </c>
      <c r="AN9" s="16">
        <f>-'IS (F4Q2022)'!AN16</f>
        <v>-91</v>
      </c>
      <c r="AO9" s="16">
        <f>-'IS (F4Q2022)'!AO16</f>
        <v>-91</v>
      </c>
      <c r="AP9" s="16">
        <f>-'IS (F4Q2022)'!AP16</f>
        <v>-91</v>
      </c>
      <c r="AQ9" s="17">
        <f t="shared" si="12"/>
        <v>-364</v>
      </c>
      <c r="AR9" s="16">
        <f>-'IS (F4Q2022)'!AR16</f>
        <v>-91</v>
      </c>
      <c r="AS9" s="16">
        <f>-'IS (F4Q2022)'!AS16</f>
        <v>-91</v>
      </c>
      <c r="AT9" s="16">
        <f>-'IS (F4Q2022)'!AT16</f>
        <v>-91</v>
      </c>
      <c r="AU9" s="16">
        <f>-'IS (F4Q2022)'!AU16</f>
        <v>-91</v>
      </c>
      <c r="AV9" s="17">
        <f t="shared" si="13"/>
        <v>-364</v>
      </c>
    </row>
    <row r="10" spans="2:48" outlineLevel="1" x14ac:dyDescent="0.3">
      <c r="B10" s="308" t="s">
        <v>271</v>
      </c>
      <c r="C10" s="44"/>
      <c r="D10" s="16">
        <v>63.7</v>
      </c>
      <c r="E10" s="16">
        <f>93.3-D10</f>
        <v>29.599999999999994</v>
      </c>
      <c r="F10" s="16">
        <f>163.7-E10-D10</f>
        <v>70.399999999999991</v>
      </c>
      <c r="G10" s="101">
        <f>216.8-F10-E10-D10</f>
        <v>53.100000000000037</v>
      </c>
      <c r="H10" s="17">
        <f t="shared" si="6"/>
        <v>216.8</v>
      </c>
      <c r="I10" s="16">
        <v>64.3</v>
      </c>
      <c r="J10" s="16">
        <f>98.1-I10</f>
        <v>33.799999999999997</v>
      </c>
      <c r="K10" s="16">
        <f>165.6-J10-I10</f>
        <v>67.500000000000014</v>
      </c>
      <c r="L10" s="101">
        <f>227.7-K10-J10-I10</f>
        <v>62.099999999999994</v>
      </c>
      <c r="M10" s="17">
        <f t="shared" si="7"/>
        <v>227.70000000000002</v>
      </c>
      <c r="N10" s="16">
        <v>77.2</v>
      </c>
      <c r="O10" s="16">
        <f>130.2-N10</f>
        <v>52.999999999999986</v>
      </c>
      <c r="P10" s="16">
        <f>226.7-O10-N10</f>
        <v>96.499999999999986</v>
      </c>
      <c r="Q10" s="101">
        <f>336-P10-O10-N10</f>
        <v>109.3</v>
      </c>
      <c r="R10" s="17">
        <f t="shared" si="8"/>
        <v>336</v>
      </c>
      <c r="S10" s="16">
        <v>44.9</v>
      </c>
      <c r="T10" s="16">
        <f>100.8-S10</f>
        <v>55.9</v>
      </c>
      <c r="U10" s="16">
        <f>145.9-T10-S10</f>
        <v>45.1</v>
      </c>
      <c r="V10" s="16">
        <f>231.2-U10-T10-S10</f>
        <v>85.299999999999983</v>
      </c>
      <c r="W10" s="17">
        <f t="shared" si="0"/>
        <v>231.2</v>
      </c>
      <c r="X10" s="16">
        <f>-X54*X9</f>
        <v>90.4</v>
      </c>
      <c r="Y10" s="16">
        <f>-Y54*Y9</f>
        <v>90.5</v>
      </c>
      <c r="Z10" s="16">
        <f>-Z54*Z9</f>
        <v>90.6</v>
      </c>
      <c r="AA10" s="16">
        <f>-AA54*AA9</f>
        <v>90.7</v>
      </c>
      <c r="AB10" s="17">
        <f t="shared" si="9"/>
        <v>362.2</v>
      </c>
      <c r="AC10" s="16">
        <f>-AC54*AC9</f>
        <v>91</v>
      </c>
      <c r="AD10" s="16">
        <f>-AD54*AD9</f>
        <v>91</v>
      </c>
      <c r="AE10" s="16">
        <f>-AE54*AE9</f>
        <v>91</v>
      </c>
      <c r="AF10" s="16">
        <f>-AF54*AF9</f>
        <v>91</v>
      </c>
      <c r="AG10" s="17">
        <f t="shared" si="10"/>
        <v>364</v>
      </c>
      <c r="AH10" s="16">
        <f>-AH54*AH9</f>
        <v>91</v>
      </c>
      <c r="AI10" s="16">
        <f>-AI54*AI9</f>
        <v>91</v>
      </c>
      <c r="AJ10" s="16">
        <f>-AJ54*AJ9</f>
        <v>91</v>
      </c>
      <c r="AK10" s="16">
        <f>-AK54*AK9</f>
        <v>91</v>
      </c>
      <c r="AL10" s="17">
        <f t="shared" si="11"/>
        <v>364</v>
      </c>
      <c r="AM10" s="16">
        <f>-AM54*AM9</f>
        <v>91</v>
      </c>
      <c r="AN10" s="16">
        <f>-AN54*AN9</f>
        <v>91</v>
      </c>
      <c r="AO10" s="16">
        <f>-AO54*AO9</f>
        <v>91</v>
      </c>
      <c r="AP10" s="16">
        <f>-AP54*AP9</f>
        <v>91</v>
      </c>
      <c r="AQ10" s="17">
        <f t="shared" si="12"/>
        <v>364</v>
      </c>
      <c r="AR10" s="16">
        <f>-AR54*AR9</f>
        <v>91</v>
      </c>
      <c r="AS10" s="16">
        <f>-AS54*AS9</f>
        <v>91</v>
      </c>
      <c r="AT10" s="16">
        <f>-AT54*AT9</f>
        <v>91</v>
      </c>
      <c r="AU10" s="16">
        <f>-AU54*AU9</f>
        <v>91</v>
      </c>
      <c r="AV10" s="17">
        <f t="shared" si="13"/>
        <v>364</v>
      </c>
    </row>
    <row r="11" spans="2:48" outlineLevel="1" x14ac:dyDescent="0.3">
      <c r="B11" s="308" t="s">
        <v>272</v>
      </c>
      <c r="C11" s="44"/>
      <c r="D11" s="16">
        <v>0</v>
      </c>
      <c r="E11" s="16">
        <f>-21-D11</f>
        <v>-21</v>
      </c>
      <c r="F11" s="16">
        <f>-622.8-E11-D11</f>
        <v>-601.79999999999995</v>
      </c>
      <c r="G11" s="101">
        <f>-622.8-F11-E11-D11</f>
        <v>0</v>
      </c>
      <c r="H11" s="17">
        <f t="shared" si="6"/>
        <v>-622.79999999999995</v>
      </c>
      <c r="I11" s="16">
        <v>0</v>
      </c>
      <c r="J11" s="16">
        <f>0-I11</f>
        <v>0</v>
      </c>
      <c r="K11" s="16">
        <f>0-J11-I11</f>
        <v>0</v>
      </c>
      <c r="L11" s="101">
        <f>0-K11-J11-I11</f>
        <v>0</v>
      </c>
      <c r="M11" s="17">
        <f t="shared" si="7"/>
        <v>0</v>
      </c>
      <c r="N11" s="16">
        <v>0</v>
      </c>
      <c r="O11" s="16">
        <f>0-N11</f>
        <v>0</v>
      </c>
      <c r="P11" s="16">
        <f>0-O11-N11</f>
        <v>0</v>
      </c>
      <c r="Q11" s="101">
        <f>-864.5-P11-O11-N11</f>
        <v>-864.5</v>
      </c>
      <c r="R11" s="17">
        <f t="shared" si="8"/>
        <v>-864.5</v>
      </c>
      <c r="S11" s="16">
        <v>0</v>
      </c>
      <c r="T11" s="16">
        <f>0-S11</f>
        <v>0</v>
      </c>
      <c r="U11" s="16">
        <f t="shared" ref="U11" si="14">0-T11-S11</f>
        <v>0</v>
      </c>
      <c r="V11" s="16">
        <f t="shared" ref="V11:V17" si="15">0-U11-T11-S11</f>
        <v>0</v>
      </c>
      <c r="W11" s="17">
        <f t="shared" si="0"/>
        <v>0</v>
      </c>
      <c r="X11" s="16">
        <v>0</v>
      </c>
      <c r="Y11" s="16">
        <v>0</v>
      </c>
      <c r="Z11" s="16">
        <v>0</v>
      </c>
      <c r="AA11" s="16">
        <v>0</v>
      </c>
      <c r="AB11" s="17">
        <f t="shared" si="9"/>
        <v>0</v>
      </c>
      <c r="AC11" s="16">
        <v>0</v>
      </c>
      <c r="AD11" s="16">
        <v>0</v>
      </c>
      <c r="AE11" s="16">
        <v>0</v>
      </c>
      <c r="AF11" s="16">
        <v>0</v>
      </c>
      <c r="AG11" s="17">
        <f t="shared" si="10"/>
        <v>0</v>
      </c>
      <c r="AH11" s="16">
        <v>0</v>
      </c>
      <c r="AI11" s="16">
        <v>0</v>
      </c>
      <c r="AJ11" s="16">
        <v>0</v>
      </c>
      <c r="AK11" s="16">
        <v>0</v>
      </c>
      <c r="AL11" s="17">
        <f t="shared" si="11"/>
        <v>0</v>
      </c>
      <c r="AM11" s="16">
        <v>0</v>
      </c>
      <c r="AN11" s="16">
        <v>0</v>
      </c>
      <c r="AO11" s="16">
        <v>0</v>
      </c>
      <c r="AP11" s="16">
        <v>0</v>
      </c>
      <c r="AQ11" s="17">
        <f t="shared" si="12"/>
        <v>0</v>
      </c>
      <c r="AR11" s="16">
        <v>0</v>
      </c>
      <c r="AS11" s="16">
        <v>0</v>
      </c>
      <c r="AT11" s="16">
        <v>0</v>
      </c>
      <c r="AU11" s="16">
        <v>0</v>
      </c>
      <c r="AV11" s="17">
        <f t="shared" si="13"/>
        <v>0</v>
      </c>
    </row>
    <row r="12" spans="2:48" outlineLevel="1" x14ac:dyDescent="0.3">
      <c r="B12" s="308" t="s">
        <v>273</v>
      </c>
      <c r="C12" s="44"/>
      <c r="D12" s="16">
        <v>97.3</v>
      </c>
      <c r="E12" s="16">
        <f>192.1-D12</f>
        <v>94.8</v>
      </c>
      <c r="F12" s="16">
        <f>255.4-E12-D12</f>
        <v>63.300000000000026</v>
      </c>
      <c r="G12" s="101">
        <f>308-F12-E12-D12</f>
        <v>52.59999999999998</v>
      </c>
      <c r="H12" s="17">
        <f t="shared" si="6"/>
        <v>308</v>
      </c>
      <c r="I12" s="16">
        <v>90.3</v>
      </c>
      <c r="J12" s="16">
        <f>146.6-I12</f>
        <v>56.3</v>
      </c>
      <c r="K12" s="16">
        <f>188-J12-I12</f>
        <v>41.399999999999991</v>
      </c>
      <c r="L12" s="101">
        <f>248.6-K12-J12-I12</f>
        <v>60.59999999999998</v>
      </c>
      <c r="M12" s="17">
        <f t="shared" si="7"/>
        <v>248.59999999999997</v>
      </c>
      <c r="N12" s="16">
        <v>99.3</v>
      </c>
      <c r="O12" s="16">
        <f>175.3-N12</f>
        <v>76.000000000000014</v>
      </c>
      <c r="P12" s="16">
        <f>255.3-O12-N12</f>
        <v>80.000000000000014</v>
      </c>
      <c r="Q12" s="101">
        <f>319.1-P12-O12-N12</f>
        <v>63.800000000000026</v>
      </c>
      <c r="R12" s="17">
        <f t="shared" si="8"/>
        <v>319.10000000000002</v>
      </c>
      <c r="S12" s="16">
        <v>95.8</v>
      </c>
      <c r="T12" s="16">
        <f>149.2-S12</f>
        <v>53.399999999999991</v>
      </c>
      <c r="U12" s="16">
        <f>206.6-T12-S12</f>
        <v>57.399999999999991</v>
      </c>
      <c r="V12" s="16">
        <f>271.5-U12-T12-S12</f>
        <v>64.900000000000048</v>
      </c>
      <c r="W12" s="17">
        <f t="shared" si="0"/>
        <v>271.5</v>
      </c>
      <c r="X12" s="16">
        <f>'IS (F4Q2022)'!X8*X53</f>
        <v>73.407434150082651</v>
      </c>
      <c r="Y12" s="16">
        <f>'IS (F4Q2022)'!Y8*Y53</f>
        <v>63.702736831532256</v>
      </c>
      <c r="Z12" s="16">
        <f>'IS (F4Q2022)'!Z8*Z53</f>
        <v>71.018895551540098</v>
      </c>
      <c r="AA12" s="16">
        <f>'IS (F4Q2022)'!AA8*AA53</f>
        <v>74.842031353274876</v>
      </c>
      <c r="AB12" s="17">
        <f t="shared" si="9"/>
        <v>282.9710978864299</v>
      </c>
      <c r="AC12" s="16">
        <f>'IS (F4Q2022)'!AC8*AC53</f>
        <v>77.08192232706871</v>
      </c>
      <c r="AD12" s="16">
        <f>'IS (F4Q2022)'!AD8*AD53</f>
        <v>71.603897689508941</v>
      </c>
      <c r="AE12" s="16">
        <f>'IS (F4Q2022)'!AE8*AE53</f>
        <v>78.954140556800539</v>
      </c>
      <c r="AF12" s="16">
        <f>'IS (F4Q2022)'!AF8*AF53</f>
        <v>81.96264940689484</v>
      </c>
      <c r="AG12" s="17">
        <f t="shared" si="10"/>
        <v>309.60260998027303</v>
      </c>
      <c r="AH12" s="16">
        <f>'IS (F4Q2022)'!AH8*AH53</f>
        <v>85.148349672689605</v>
      </c>
      <c r="AI12" s="16">
        <f>'IS (F4Q2022)'!AI8*AI53</f>
        <v>80.246396662622047</v>
      </c>
      <c r="AJ12" s="16">
        <f>'IS (F4Q2022)'!AJ8*AJ53</f>
        <v>88.13074185010791</v>
      </c>
      <c r="AK12" s="16">
        <f>'IS (F4Q2022)'!AK8*AK53</f>
        <v>91.372500940103251</v>
      </c>
      <c r="AL12" s="17">
        <f t="shared" si="11"/>
        <v>344.89798912552283</v>
      </c>
      <c r="AM12" s="16">
        <f>'IS (F4Q2022)'!AM8*AM53</f>
        <v>93.559890808876872</v>
      </c>
      <c r="AN12" s="16">
        <f>'IS (F4Q2022)'!AN8*AN53</f>
        <v>87.913978476818855</v>
      </c>
      <c r="AO12" s="16">
        <f>'IS (F4Q2022)'!AO8*AO53</f>
        <v>96.087513476770866</v>
      </c>
      <c r="AP12" s="16">
        <f>'IS (F4Q2022)'!AP8*AP53</f>
        <v>99.255512529185168</v>
      </c>
      <c r="AQ12" s="17">
        <f t="shared" si="12"/>
        <v>376.8168952916518</v>
      </c>
      <c r="AR12" s="16">
        <f>'IS (F4Q2022)'!AR8*AR53</f>
        <v>99.623352458040884</v>
      </c>
      <c r="AS12" s="16">
        <f>'IS (F4Q2022)'!AS8*AS53</f>
        <v>93.565559177838352</v>
      </c>
      <c r="AT12" s="16">
        <f>'IS (F4Q2022)'!AT8*AT53</f>
        <v>102.21864620180055</v>
      </c>
      <c r="AU12" s="16">
        <f>'IS (F4Q2022)'!AU8*AU53</f>
        <v>105.58033575375845</v>
      </c>
      <c r="AV12" s="17">
        <f t="shared" si="13"/>
        <v>400.98789359143825</v>
      </c>
    </row>
    <row r="13" spans="2:48" outlineLevel="1" x14ac:dyDescent="0.3">
      <c r="B13" s="319" t="s">
        <v>274</v>
      </c>
      <c r="C13" s="320"/>
      <c r="D13" s="16">
        <v>6.1</v>
      </c>
      <c r="E13" s="101">
        <f>5.4+91.1-D13</f>
        <v>90.4</v>
      </c>
      <c r="F13" s="101">
        <f>10.5+122.3-E13-D13</f>
        <v>36.300000000000004</v>
      </c>
      <c r="G13" s="101">
        <f>10.5+187.9-F13-E13-D13</f>
        <v>65.599999999999994</v>
      </c>
      <c r="H13" s="17">
        <f t="shared" si="6"/>
        <v>198.4</v>
      </c>
      <c r="I13" s="101">
        <f>5.1+294.9</f>
        <v>300</v>
      </c>
      <c r="J13" s="101">
        <f>596.3+67.7-I13</f>
        <v>364</v>
      </c>
      <c r="K13" s="101">
        <f>902.4+124.6+63.7-J13-I13</f>
        <v>426.70000000000005</v>
      </c>
      <c r="L13" s="101">
        <f>1197.6+454.4+24.5-K13-J13-I13</f>
        <v>585.79999999999995</v>
      </c>
      <c r="M13" s="17">
        <f t="shared" si="7"/>
        <v>1676.5</v>
      </c>
      <c r="N13" s="101">
        <f>308.3+132.6-10.2</f>
        <v>430.7</v>
      </c>
      <c r="O13" s="101">
        <f>617.9+175.4-15.4-N13</f>
        <v>347.2</v>
      </c>
      <c r="P13" s="101">
        <f>931.7+204.7-6.8-O13-N13</f>
        <v>351.7000000000001</v>
      </c>
      <c r="Q13" s="101">
        <f>1248.6+226.2-6-P13-O13-N13</f>
        <v>339.19999999999987</v>
      </c>
      <c r="R13" s="17">
        <f t="shared" si="8"/>
        <v>1468.8</v>
      </c>
      <c r="S13" s="101">
        <v>0</v>
      </c>
      <c r="T13" s="101">
        <f>0-S13</f>
        <v>0</v>
      </c>
      <c r="U13" s="101">
        <f>1090.4+89.6-44.7</f>
        <v>1135.3</v>
      </c>
      <c r="V13" s="101">
        <f>1497.7+91.4-67.8-U13-T13-S13</f>
        <v>386.00000000000023</v>
      </c>
      <c r="W13" s="17">
        <f t="shared" si="0"/>
        <v>1521.3000000000002</v>
      </c>
      <c r="X13" s="33">
        <v>0</v>
      </c>
      <c r="Y13" s="33">
        <v>0</v>
      </c>
      <c r="Z13" s="33">
        <v>0</v>
      </c>
      <c r="AA13" s="33">
        <v>0</v>
      </c>
      <c r="AB13" s="17">
        <f t="shared" si="9"/>
        <v>0</v>
      </c>
      <c r="AC13" s="33">
        <v>0</v>
      </c>
      <c r="AD13" s="33">
        <v>0</v>
      </c>
      <c r="AE13" s="33">
        <v>0</v>
      </c>
      <c r="AF13" s="33">
        <v>0</v>
      </c>
      <c r="AG13" s="17">
        <f t="shared" si="10"/>
        <v>0</v>
      </c>
      <c r="AH13" s="33">
        <v>0</v>
      </c>
      <c r="AI13" s="33">
        <v>0</v>
      </c>
      <c r="AJ13" s="33">
        <v>0</v>
      </c>
      <c r="AK13" s="33">
        <v>0</v>
      </c>
      <c r="AL13" s="17">
        <f t="shared" si="11"/>
        <v>0</v>
      </c>
      <c r="AM13" s="33">
        <v>0</v>
      </c>
      <c r="AN13" s="33">
        <v>0</v>
      </c>
      <c r="AO13" s="33">
        <v>0</v>
      </c>
      <c r="AP13" s="33">
        <v>0</v>
      </c>
      <c r="AQ13" s="17">
        <f t="shared" si="12"/>
        <v>0</v>
      </c>
      <c r="AR13" s="33">
        <v>0</v>
      </c>
      <c r="AS13" s="33">
        <v>0</v>
      </c>
      <c r="AT13" s="33">
        <v>0</v>
      </c>
      <c r="AU13" s="33">
        <v>0</v>
      </c>
      <c r="AV13" s="17">
        <f t="shared" si="13"/>
        <v>0</v>
      </c>
    </row>
    <row r="14" spans="2:48" outlineLevel="1" x14ac:dyDescent="0.3">
      <c r="B14" s="625" t="s">
        <v>275</v>
      </c>
      <c r="C14" s="626"/>
      <c r="D14" s="321"/>
      <c r="E14" s="322"/>
      <c r="F14" s="323"/>
      <c r="G14" s="323"/>
      <c r="H14" s="324"/>
      <c r="I14" s="323"/>
      <c r="J14" s="323"/>
      <c r="K14" s="323"/>
      <c r="L14" s="323"/>
      <c r="M14" s="324"/>
      <c r="N14" s="323"/>
      <c r="O14" s="323"/>
      <c r="P14" s="323"/>
      <c r="Q14" s="323"/>
      <c r="R14" s="324"/>
      <c r="S14" s="323"/>
      <c r="T14" s="323"/>
      <c r="U14" s="323"/>
      <c r="V14" s="323"/>
      <c r="W14" s="324"/>
      <c r="X14" s="323"/>
      <c r="Y14" s="323"/>
      <c r="Z14" s="323"/>
      <c r="AA14" s="323"/>
      <c r="AB14" s="324"/>
      <c r="AC14" s="323"/>
      <c r="AD14" s="323"/>
      <c r="AE14" s="323"/>
      <c r="AF14" s="323"/>
      <c r="AG14" s="324"/>
      <c r="AH14" s="323"/>
      <c r="AI14" s="323"/>
      <c r="AJ14" s="323"/>
      <c r="AK14" s="323"/>
      <c r="AL14" s="324"/>
      <c r="AM14" s="323"/>
      <c r="AN14" s="323"/>
      <c r="AO14" s="323"/>
      <c r="AP14" s="323"/>
      <c r="AQ14" s="324"/>
      <c r="AR14" s="323"/>
      <c r="AS14" s="323"/>
      <c r="AT14" s="323"/>
      <c r="AU14" s="323"/>
      <c r="AV14" s="324"/>
    </row>
    <row r="15" spans="2:48" outlineLevel="1" x14ac:dyDescent="0.3">
      <c r="B15" s="623" t="s">
        <v>276</v>
      </c>
      <c r="C15" s="624"/>
      <c r="D15" s="327">
        <v>-28.8</v>
      </c>
      <c r="E15" s="327">
        <f>9.8-D15</f>
        <v>38.6</v>
      </c>
      <c r="F15" s="327">
        <f>-70.1-E15-D15</f>
        <v>-79.899999999999991</v>
      </c>
      <c r="G15" s="327">
        <f>-197.7-F15-E15-D15</f>
        <v>-127.60000000000001</v>
      </c>
      <c r="H15" s="328">
        <f t="shared" ref="H15:H21" si="16">SUM(D15:G15)</f>
        <v>-197.7</v>
      </c>
      <c r="I15" s="327">
        <v>-22.9</v>
      </c>
      <c r="J15" s="327">
        <f>-60.7-I15</f>
        <v>-37.800000000000004</v>
      </c>
      <c r="K15" s="327">
        <f>13.4-J15-I15</f>
        <v>74.099999999999994</v>
      </c>
      <c r="L15" s="327">
        <f>-2.7-K15-J15-I15</f>
        <v>-16.099999999999994</v>
      </c>
      <c r="M15" s="328">
        <f t="shared" ref="M15:M21" si="17">SUM(I15:L15)</f>
        <v>-2.7000000000000028</v>
      </c>
      <c r="N15" s="327">
        <v>19.600000000000001</v>
      </c>
      <c r="O15" s="327">
        <f>12.8-N15</f>
        <v>-6.8000000000000007</v>
      </c>
      <c r="P15" s="327">
        <f>-13.1-O15-N15</f>
        <v>-25.9</v>
      </c>
      <c r="Q15" s="327">
        <f>-43-P15-O15-N15</f>
        <v>-29.900000000000002</v>
      </c>
      <c r="R15" s="328">
        <f t="shared" ref="R15:R21" si="18">SUM(N15:Q15)</f>
        <v>-43</v>
      </c>
      <c r="S15" s="327">
        <v>-91.6</v>
      </c>
      <c r="T15" s="327">
        <f>-62.1-S15</f>
        <v>29.499999999999993</v>
      </c>
      <c r="U15" s="327">
        <f>-245.5-T15-S15</f>
        <v>-183.4</v>
      </c>
      <c r="V15" s="327">
        <f>-326.1-U15-T15-S15</f>
        <v>-80.600000000000023</v>
      </c>
      <c r="W15" s="328">
        <f t="shared" ref="W15:W21" si="19">SUM(S15:V15)</f>
        <v>-326.10000000000002</v>
      </c>
      <c r="X15" s="327">
        <f>-('BS (F4Q2022)'!X8-'BS (F4Q2022)'!V8)</f>
        <v>48.271126324638089</v>
      </c>
      <c r="Y15" s="327">
        <f>-('BS (F4Q2022)'!Y8-'BS (F4Q2022)'!X8)</f>
        <v>-47.841418593078743</v>
      </c>
      <c r="Z15" s="327">
        <f>-('BS (F4Q2022)'!Z8-'BS (F4Q2022)'!Y8)</f>
        <v>-203.55272573736192</v>
      </c>
      <c r="AA15" s="327">
        <f>-('BS (F4Q2022)'!AA8-'BS (F4Q2022)'!Z8)</f>
        <v>124.4357176686924</v>
      </c>
      <c r="AB15" s="328">
        <f t="shared" ref="AB15:AB21" si="20">SUM(X15:AA15)</f>
        <v>-78.687300337110173</v>
      </c>
      <c r="AC15" s="327">
        <f>-('BS (F4Q2022)'!AC8-'BS (F4Q2022)'!AA8)</f>
        <v>-15.662600279592652</v>
      </c>
      <c r="AD15" s="327">
        <f>-('BS (F4Q2022)'!AD8-'BS (F4Q2022)'!AC8)</f>
        <v>28.484335491165666</v>
      </c>
      <c r="AE15" s="327">
        <f>-('BS (F4Q2022)'!AE8-'BS (F4Q2022)'!AD8)</f>
        <v>-139.93645214024787</v>
      </c>
      <c r="AF15" s="327">
        <f>-('BS (F4Q2022)'!AF8-'BS (F4Q2022)'!AE8)</f>
        <v>36.845429497810983</v>
      </c>
      <c r="AG15" s="328">
        <f t="shared" ref="AG15:AG21" si="21">SUM(AC15:AF15)</f>
        <v>-90.269287430863869</v>
      </c>
      <c r="AH15" s="327">
        <f>-('BS (F4Q2022)'!AH8-'BS (F4Q2022)'!AF8)</f>
        <v>-64.264511667334318</v>
      </c>
      <c r="AI15" s="327">
        <f>-('BS (F4Q2022)'!AI8-'BS (F4Q2022)'!AH8)</f>
        <v>18.699480669316472</v>
      </c>
      <c r="AJ15" s="327">
        <f>-('BS (F4Q2022)'!AJ8-'BS (F4Q2022)'!AI8)</f>
        <v>-213.66531560951307</v>
      </c>
      <c r="AK15" s="327">
        <f>-('BS (F4Q2022)'!AK8-'BS (F4Q2022)'!AJ8)</f>
        <v>45.770653392642771</v>
      </c>
      <c r="AL15" s="328">
        <f t="shared" ref="AL15:AL21" si="22">SUM(AH15:AK15)</f>
        <v>-213.45969321488815</v>
      </c>
      <c r="AM15" s="327">
        <f>-('BS (F4Q2022)'!AM8-'BS (F4Q2022)'!AK8)</f>
        <v>5.0967590088323504</v>
      </c>
      <c r="AN15" s="327">
        <f>-('BS (F4Q2022)'!AN8-'BS (F4Q2022)'!AM8)</f>
        <v>18.192435133293657</v>
      </c>
      <c r="AO15" s="327">
        <f>-('BS (F4Q2022)'!AO8-'BS (F4Q2022)'!AN8)</f>
        <v>-218.36817111082746</v>
      </c>
      <c r="AP15" s="327">
        <f>-('BS (F4Q2022)'!AP8-'BS (F4Q2022)'!AO8)</f>
        <v>87.449627655116274</v>
      </c>
      <c r="AQ15" s="328">
        <f t="shared" ref="AQ15:AQ21" si="23">SUM(AM15:AP15)</f>
        <v>-107.62934931358518</v>
      </c>
      <c r="AR15" s="327">
        <f>-('BS (F4Q2022)'!AR8-'BS (F4Q2022)'!AP8)</f>
        <v>11.786858210239416</v>
      </c>
      <c r="AS15" s="327">
        <f>-('BS (F4Q2022)'!AS8-'BS (F4Q2022)'!AR8)</f>
        <v>33.212657518792412</v>
      </c>
      <c r="AT15" s="327">
        <f>-('BS (F4Q2022)'!AT8-'BS (F4Q2022)'!AS8)</f>
        <v>-215.80333000290625</v>
      </c>
      <c r="AU15" s="327">
        <f>-('BS (F4Q2022)'!AU8-'BS (F4Q2022)'!AT8)</f>
        <v>67.432214609708808</v>
      </c>
      <c r="AV15" s="328">
        <f t="shared" ref="AV15:AV21" si="24">SUM(AR15:AU15)</f>
        <v>-103.37159966416561</v>
      </c>
    </row>
    <row r="16" spans="2:48" outlineLevel="1" x14ac:dyDescent="0.3">
      <c r="B16" s="325" t="s">
        <v>215</v>
      </c>
      <c r="C16" s="326"/>
      <c r="D16" s="327">
        <v>44.8</v>
      </c>
      <c r="E16" s="327">
        <f>-51-D16</f>
        <v>-95.8</v>
      </c>
      <c r="F16" s="327">
        <f>-140.5-E16-D16</f>
        <v>-89.5</v>
      </c>
      <c r="G16" s="327">
        <f>-173-F16-E16-D16</f>
        <v>-32.5</v>
      </c>
      <c r="H16" s="328">
        <f t="shared" si="16"/>
        <v>-173</v>
      </c>
      <c r="I16" s="327">
        <v>122.8</v>
      </c>
      <c r="J16" s="327">
        <f>36.9-I16</f>
        <v>-85.9</v>
      </c>
      <c r="K16" s="327">
        <f>-51.7-J16-I16</f>
        <v>-88.6</v>
      </c>
      <c r="L16" s="327">
        <f>-10.9-K16-J16-I16</f>
        <v>40.799999999999997</v>
      </c>
      <c r="M16" s="328">
        <f t="shared" si="17"/>
        <v>-10.900000000000006</v>
      </c>
      <c r="N16" s="327">
        <v>90.1</v>
      </c>
      <c r="O16" s="327">
        <f>51.3-N16</f>
        <v>-38.799999999999997</v>
      </c>
      <c r="P16" s="327">
        <f>8.4-O16-N16</f>
        <v>-42.9</v>
      </c>
      <c r="Q16" s="327">
        <f>-49.8-P16-O16-N16</f>
        <v>-58.199999999999996</v>
      </c>
      <c r="R16" s="328">
        <f t="shared" si="18"/>
        <v>-49.8</v>
      </c>
      <c r="S16" s="327">
        <v>-36</v>
      </c>
      <c r="T16" s="327">
        <f>-324.9-S16</f>
        <v>-288.89999999999998</v>
      </c>
      <c r="U16" s="327">
        <f>-557.3-T16-S16</f>
        <v>-232.39999999999998</v>
      </c>
      <c r="V16" s="327">
        <f>-641-U16-T16-S16</f>
        <v>-83.700000000000045</v>
      </c>
      <c r="W16" s="328">
        <f t="shared" si="19"/>
        <v>-641</v>
      </c>
      <c r="X16" s="327">
        <f>-('BS (F4Q2022)'!X9-'BS (F4Q2022)'!V9)</f>
        <v>313.20574438894619</v>
      </c>
      <c r="Y16" s="327">
        <f>-('BS (F4Q2022)'!Y9-'BS (F4Q2022)'!X9)</f>
        <v>-187.75849140305263</v>
      </c>
      <c r="Z16" s="327">
        <f>-('BS (F4Q2022)'!Z9-'BS (F4Q2022)'!Y9)</f>
        <v>-418.80305110849622</v>
      </c>
      <c r="AA16" s="327">
        <f>-('BS (F4Q2022)'!AA9-'BS (F4Q2022)'!Z9)</f>
        <v>279.87689754257053</v>
      </c>
      <c r="AB16" s="328">
        <f t="shared" si="20"/>
        <v>-13.478900580032132</v>
      </c>
      <c r="AC16" s="327">
        <f>-('BS (F4Q2022)'!AC9-'BS (F4Q2022)'!AA9)</f>
        <v>136.81491262844702</v>
      </c>
      <c r="AD16" s="327">
        <f>-('BS (F4Q2022)'!AD9-'BS (F4Q2022)'!AC9)</f>
        <v>-165.49264430844823</v>
      </c>
      <c r="AE16" s="327">
        <f>-('BS (F4Q2022)'!AE9-'BS (F4Q2022)'!AD9)</f>
        <v>-292.1572316298566</v>
      </c>
      <c r="AF16" s="327">
        <f>-('BS (F4Q2022)'!AF9-'BS (F4Q2022)'!AE9)</f>
        <v>100.55311762528481</v>
      </c>
      <c r="AG16" s="328">
        <f t="shared" si="21"/>
        <v>-220.281845684573</v>
      </c>
      <c r="AH16" s="327">
        <f>-('BS (F4Q2022)'!AH9-'BS (F4Q2022)'!AF9)</f>
        <v>180.88975023647936</v>
      </c>
      <c r="AI16" s="327">
        <f>-('BS (F4Q2022)'!AI9-'BS (F4Q2022)'!AH9)</f>
        <v>-233.13042753350874</v>
      </c>
      <c r="AJ16" s="327">
        <f>-('BS (F4Q2022)'!AJ9-'BS (F4Q2022)'!AI9)</f>
        <v>-402.1356362874003</v>
      </c>
      <c r="AK16" s="327">
        <f>-('BS (F4Q2022)'!AK9-'BS (F4Q2022)'!AJ9)</f>
        <v>78.069567708848354</v>
      </c>
      <c r="AL16" s="328">
        <f t="shared" si="22"/>
        <v>-376.30674587558133</v>
      </c>
      <c r="AM16" s="327">
        <f>-('BS (F4Q2022)'!AM9-'BS (F4Q2022)'!AK9)</f>
        <v>321.12994760067977</v>
      </c>
      <c r="AN16" s="327">
        <f>-('BS (F4Q2022)'!AN9-'BS (F4Q2022)'!AM9)</f>
        <v>-208.4966512060214</v>
      </c>
      <c r="AO16" s="327">
        <f>-('BS (F4Q2022)'!AO9-'BS (F4Q2022)'!AN9)</f>
        <v>-434.93917356611564</v>
      </c>
      <c r="AP16" s="327">
        <f>-('BS (F4Q2022)'!AP9-'BS (F4Q2022)'!AO9)</f>
        <v>149.34259261884654</v>
      </c>
      <c r="AQ16" s="328">
        <f t="shared" si="23"/>
        <v>-172.96328455261073</v>
      </c>
      <c r="AR16" s="327">
        <f>-('BS (F4Q2022)'!AR9-'BS (F4Q2022)'!AP9)</f>
        <v>333.27051859099674</v>
      </c>
      <c r="AS16" s="327">
        <f>-('BS (F4Q2022)'!AS9-'BS (F4Q2022)'!AR9)</f>
        <v>-219.26926090497182</v>
      </c>
      <c r="AT16" s="327">
        <f>-('BS (F4Q2022)'!AT9-'BS (F4Q2022)'!AS9)</f>
        <v>-420.54605153754665</v>
      </c>
      <c r="AU16" s="327">
        <f>-('BS (F4Q2022)'!AU9-'BS (F4Q2022)'!AT9)</f>
        <v>121.40453870630881</v>
      </c>
      <c r="AV16" s="328">
        <f t="shared" si="24"/>
        <v>-185.1402551452129</v>
      </c>
    </row>
    <row r="17" spans="2:48" outlineLevel="1" x14ac:dyDescent="0.3">
      <c r="B17" s="623" t="s">
        <v>277</v>
      </c>
      <c r="C17" s="624"/>
      <c r="D17" s="327">
        <v>847.3</v>
      </c>
      <c r="E17" s="327">
        <f>774.6-D17</f>
        <v>-72.699999999999932</v>
      </c>
      <c r="F17" s="327">
        <f>831.6-E17-D17</f>
        <v>57</v>
      </c>
      <c r="G17" s="327">
        <f>922-F17-E17-D17</f>
        <v>90.399999999999977</v>
      </c>
      <c r="H17" s="328">
        <f t="shared" si="16"/>
        <v>922</v>
      </c>
      <c r="I17" s="327">
        <v>-28.5</v>
      </c>
      <c r="J17" s="327">
        <f>-247.7-I17</f>
        <v>-219.2</v>
      </c>
      <c r="K17" s="327">
        <f>-492.1-J17-I17</f>
        <v>-244.40000000000003</v>
      </c>
      <c r="L17" s="327">
        <f>-317.5-K17-J17-I17</f>
        <v>174.60000000000002</v>
      </c>
      <c r="M17" s="328">
        <f t="shared" si="17"/>
        <v>-317.5</v>
      </c>
      <c r="N17" s="327">
        <v>5.2</v>
      </c>
      <c r="O17" s="327">
        <f>139.7-N17</f>
        <v>134.5</v>
      </c>
      <c r="P17" s="327">
        <f>216.8-O17-N17</f>
        <v>77.100000000000009</v>
      </c>
      <c r="Q17" s="327">
        <f>251.1-P17-O17-N17</f>
        <v>34.299999999999997</v>
      </c>
      <c r="R17" s="328">
        <f t="shared" si="18"/>
        <v>251.10000000000002</v>
      </c>
      <c r="S17" s="327">
        <f>64.6+330.4+50.7-4.9</f>
        <v>440.8</v>
      </c>
      <c r="T17" s="327">
        <f>-120.7+670.7+77.3-17.9-S17</f>
        <v>168.59999999999997</v>
      </c>
      <c r="U17" s="327">
        <f t="shared" ref="U17:U20" si="25">0-T17-S17</f>
        <v>-609.4</v>
      </c>
      <c r="V17" s="327">
        <f t="shared" si="15"/>
        <v>0</v>
      </c>
      <c r="W17" s="328">
        <f t="shared" si="19"/>
        <v>0</v>
      </c>
      <c r="X17" s="327">
        <f>-('BS (F4Q2022)'!X10-'BS (F4Q2022)'!V10)</f>
        <v>-4.8369999999999891</v>
      </c>
      <c r="Y17" s="327">
        <f>-('BS (F4Q2022)'!Y10-'BS (F4Q2022)'!X10)</f>
        <v>-4.8853700000000231</v>
      </c>
      <c r="Z17" s="327">
        <f>-('BS (F4Q2022)'!Z10-'BS (F4Q2022)'!Y10)</f>
        <v>-4.9342237000000182</v>
      </c>
      <c r="AA17" s="327">
        <f>-('BS (F4Q2022)'!AA10-'BS (F4Q2022)'!Z10)</f>
        <v>-4.9835659369999803</v>
      </c>
      <c r="AB17" s="328">
        <f t="shared" si="20"/>
        <v>-19.640159637000011</v>
      </c>
      <c r="AC17" s="327">
        <f>-('BS (F4Q2022)'!AC10-'BS (F4Q2022)'!AA10)</f>
        <v>-5.0334015963700267</v>
      </c>
      <c r="AD17" s="327">
        <f>-('BS (F4Q2022)'!AD10-'BS (F4Q2022)'!AC10)</f>
        <v>-5.083735612333669</v>
      </c>
      <c r="AE17" s="327">
        <f>-('BS (F4Q2022)'!AE10-'BS (F4Q2022)'!AD10)</f>
        <v>-5.1345729684570642</v>
      </c>
      <c r="AF17" s="327">
        <f>-('BS (F4Q2022)'!AF10-'BS (F4Q2022)'!AE10)</f>
        <v>-5.1859186981415633</v>
      </c>
      <c r="AG17" s="328">
        <f t="shared" si="21"/>
        <v>-20.437628875302323</v>
      </c>
      <c r="AH17" s="327">
        <f>-('BS (F4Q2022)'!AH10-'BS (F4Q2022)'!AF10)</f>
        <v>-5.2377778851230232</v>
      </c>
      <c r="AI17" s="327">
        <f>-('BS (F4Q2022)'!AI10-'BS (F4Q2022)'!AH10)</f>
        <v>-5.2901556639742466</v>
      </c>
      <c r="AJ17" s="327">
        <f>-('BS (F4Q2022)'!AJ10-'BS (F4Q2022)'!AI10)</f>
        <v>-5.3430572206140141</v>
      </c>
      <c r="AK17" s="327">
        <f>-('BS (F4Q2022)'!AK10-'BS (F4Q2022)'!AJ10)</f>
        <v>-5.3964877928201531</v>
      </c>
      <c r="AL17" s="328">
        <f t="shared" si="22"/>
        <v>-21.267478562531437</v>
      </c>
      <c r="AM17" s="327">
        <f>-('BS (F4Q2022)'!AM10-'BS (F4Q2022)'!AK10)</f>
        <v>-5.450452670748291</v>
      </c>
      <c r="AN17" s="327">
        <f>-('BS (F4Q2022)'!AN10-'BS (F4Q2022)'!AM10)</f>
        <v>-5.5049571974558376</v>
      </c>
      <c r="AO17" s="327">
        <f>-('BS (F4Q2022)'!AO10-'BS (F4Q2022)'!AN10)</f>
        <v>-5.5600067694304016</v>
      </c>
      <c r="AP17" s="327">
        <f>-('BS (F4Q2022)'!AP10-'BS (F4Q2022)'!AO10)</f>
        <v>-5.6156068371246874</v>
      </c>
      <c r="AQ17" s="328">
        <f t="shared" si="23"/>
        <v>-22.131023474759218</v>
      </c>
      <c r="AR17" s="327">
        <f>-('BS (F4Q2022)'!AR10-'BS (F4Q2022)'!AP10)</f>
        <v>-5.6717629054959389</v>
      </c>
      <c r="AS17" s="327">
        <f>-('BS (F4Q2022)'!AS10-'BS (F4Q2022)'!AR10)</f>
        <v>-5.7284805345508403</v>
      </c>
      <c r="AT17" s="327">
        <f>-('BS (F4Q2022)'!AT10-'BS (F4Q2022)'!AS10)</f>
        <v>-5.785765339896443</v>
      </c>
      <c r="AU17" s="327">
        <f>-('BS (F4Q2022)'!AU10-'BS (F4Q2022)'!AT10)</f>
        <v>-5.843622993295412</v>
      </c>
      <c r="AV17" s="328">
        <f t="shared" si="24"/>
        <v>-23.029631773238634</v>
      </c>
    </row>
    <row r="18" spans="2:48" outlineLevel="1" x14ac:dyDescent="0.3">
      <c r="B18" s="623" t="s">
        <v>228</v>
      </c>
      <c r="C18" s="624"/>
      <c r="D18" s="327">
        <v>-21.3</v>
      </c>
      <c r="E18" s="327">
        <f>-83.4-D18</f>
        <v>-62.100000000000009</v>
      </c>
      <c r="F18" s="327">
        <f>-15.1-E18-D18</f>
        <v>68.300000000000011</v>
      </c>
      <c r="G18" s="327">
        <f>31.9-F18-E18-D18</f>
        <v>47</v>
      </c>
      <c r="H18" s="328">
        <f t="shared" si="16"/>
        <v>31.900000000000006</v>
      </c>
      <c r="I18" s="327">
        <v>-110.3</v>
      </c>
      <c r="J18" s="327">
        <f>-186.4-I18</f>
        <v>-76.100000000000009</v>
      </c>
      <c r="K18" s="327">
        <f>-320.3-J18-I18</f>
        <v>-133.89999999999998</v>
      </c>
      <c r="L18" s="327">
        <f>-210.8-K18-J18-I18</f>
        <v>109.49999999999997</v>
      </c>
      <c r="M18" s="328">
        <f t="shared" si="17"/>
        <v>-210.79999999999998</v>
      </c>
      <c r="N18" s="327">
        <v>24.8</v>
      </c>
      <c r="O18" s="327">
        <f>21.3-N18</f>
        <v>-3.5</v>
      </c>
      <c r="P18" s="327">
        <f>108.2-O18-N18</f>
        <v>86.9</v>
      </c>
      <c r="Q18" s="327">
        <f>189.9-P18-O18-N18</f>
        <v>81.7</v>
      </c>
      <c r="R18" s="328">
        <f t="shared" si="18"/>
        <v>189.9</v>
      </c>
      <c r="S18" s="327">
        <v>84</v>
      </c>
      <c r="T18" s="327">
        <f>133-S18</f>
        <v>49</v>
      </c>
      <c r="U18" s="327">
        <f>341.7-T18-S18</f>
        <v>208.7</v>
      </c>
      <c r="V18" s="327">
        <f>345.5-U18-T18-S18</f>
        <v>3.8000000000000114</v>
      </c>
      <c r="W18" s="328">
        <f t="shared" si="19"/>
        <v>345.5</v>
      </c>
      <c r="X18" s="327">
        <f>'BS (F4Q2022)'!X22-'BS (F4Q2022)'!V22</f>
        <v>-29.513562063138352</v>
      </c>
      <c r="Y18" s="327">
        <f>'BS (F4Q2022)'!Y22-'BS (F4Q2022)'!X22</f>
        <v>-11.933441797506021</v>
      </c>
      <c r="Z18" s="327">
        <f>'BS (F4Q2022)'!Z22-'BS (F4Q2022)'!Y22</f>
        <v>230.06729952001911</v>
      </c>
      <c r="AA18" s="327">
        <f>'BS (F4Q2022)'!AA22-'BS (F4Q2022)'!Z22</f>
        <v>-122.7199170059173</v>
      </c>
      <c r="AB18" s="328">
        <f t="shared" si="20"/>
        <v>65.900378653457437</v>
      </c>
      <c r="AC18" s="327">
        <f>'BS (F4Q2022)'!AC22-'BS (F4Q2022)'!AA22</f>
        <v>39.170429008673636</v>
      </c>
      <c r="AD18" s="327">
        <f>'BS (F4Q2022)'!AD22-'BS (F4Q2022)'!AC22</f>
        <v>-21.303188461489071</v>
      </c>
      <c r="AE18" s="327">
        <f>'BS (F4Q2022)'!AE22-'BS (F4Q2022)'!AD22</f>
        <v>223.13093139328794</v>
      </c>
      <c r="AF18" s="327">
        <f>'BS (F4Q2022)'!AF22-'BS (F4Q2022)'!AE22</f>
        <v>-53.019525930496229</v>
      </c>
      <c r="AG18" s="328">
        <f t="shared" si="21"/>
        <v>187.97864600997627</v>
      </c>
      <c r="AH18" s="327">
        <f>'BS (F4Q2022)'!AH22-'BS (F4Q2022)'!AF22</f>
        <v>12.725290730135157</v>
      </c>
      <c r="AI18" s="327">
        <f>'BS (F4Q2022)'!AI22-'BS (F4Q2022)'!AH22</f>
        <v>-15.234632590087813</v>
      </c>
      <c r="AJ18" s="327">
        <f>'BS (F4Q2022)'!AJ22-'BS (F4Q2022)'!AI22</f>
        <v>269.05531846652934</v>
      </c>
      <c r="AK18" s="327">
        <f>'BS (F4Q2022)'!AK22-'BS (F4Q2022)'!AJ22</f>
        <v>-53.118603993334318</v>
      </c>
      <c r="AL18" s="328">
        <f t="shared" si="22"/>
        <v>213.42737261324237</v>
      </c>
      <c r="AM18" s="327">
        <f>'BS (F4Q2022)'!AM22-'BS (F4Q2022)'!AK22</f>
        <v>-37.379767600156811</v>
      </c>
      <c r="AN18" s="327">
        <f>'BS (F4Q2022)'!AN22-'BS (F4Q2022)'!AM22</f>
        <v>-37.599191820182114</v>
      </c>
      <c r="AO18" s="327">
        <f>'BS (F4Q2022)'!AO22-'BS (F4Q2022)'!AN22</f>
        <v>281.69161145028261</v>
      </c>
      <c r="AP18" s="327">
        <f>'BS (F4Q2022)'!AP22-'BS (F4Q2022)'!AO22</f>
        <v>-66.749944404559756</v>
      </c>
      <c r="AQ18" s="328">
        <f t="shared" si="23"/>
        <v>139.96270762538393</v>
      </c>
      <c r="AR18" s="327">
        <f>'BS (F4Q2022)'!AR22-'BS (F4Q2022)'!AP22</f>
        <v>-54.132802713189903</v>
      </c>
      <c r="AS18" s="327">
        <f>'BS (F4Q2022)'!AS22-'BS (F4Q2022)'!AR22</f>
        <v>-40.028976890258036</v>
      </c>
      <c r="AT18" s="327">
        <f>'BS (F4Q2022)'!AT22-'BS (F4Q2022)'!AS22</f>
        <v>290.06966677278842</v>
      </c>
      <c r="AU18" s="327">
        <f>'BS (F4Q2022)'!AU22-'BS (F4Q2022)'!AT22</f>
        <v>-63.565273704668925</v>
      </c>
      <c r="AV18" s="328">
        <f t="shared" si="24"/>
        <v>132.34261346467156</v>
      </c>
    </row>
    <row r="19" spans="2:48" outlineLevel="1" x14ac:dyDescent="0.3">
      <c r="B19" s="325" t="s">
        <v>233</v>
      </c>
      <c r="C19" s="326"/>
      <c r="D19" s="327">
        <v>362.7</v>
      </c>
      <c r="E19" s="327">
        <f>9.4-D19</f>
        <v>-353.3</v>
      </c>
      <c r="F19" s="327">
        <f>-32.4-E19-D19</f>
        <v>-41.799999999999955</v>
      </c>
      <c r="G19" s="327">
        <f>-30.5-F19-E19-D19</f>
        <v>1.8999999999999773</v>
      </c>
      <c r="H19" s="328">
        <f t="shared" si="16"/>
        <v>-30.5</v>
      </c>
      <c r="I19" s="327">
        <v>426.7</v>
      </c>
      <c r="J19" s="327">
        <f>112.1-I19</f>
        <v>-314.60000000000002</v>
      </c>
      <c r="K19" s="327">
        <f>92-J19-I19</f>
        <v>-20.099999999999966</v>
      </c>
      <c r="L19" s="327">
        <f>31-K19-J19-I19</f>
        <v>-61</v>
      </c>
      <c r="M19" s="328">
        <f t="shared" si="17"/>
        <v>31</v>
      </c>
      <c r="N19" s="327">
        <v>398.9</v>
      </c>
      <c r="O19" s="327">
        <f>89.8-N19</f>
        <v>-309.09999999999997</v>
      </c>
      <c r="P19" s="327">
        <f>52.4-O19-N19</f>
        <v>-37.400000000000034</v>
      </c>
      <c r="Q19" s="327">
        <f>-6.1-P19-O19-N19</f>
        <v>-58.5</v>
      </c>
      <c r="R19" s="328">
        <f t="shared" si="18"/>
        <v>-6.1000000000000227</v>
      </c>
      <c r="S19" s="327">
        <v>461.3</v>
      </c>
      <c r="T19" s="327">
        <f>110.2-S19</f>
        <v>-351.1</v>
      </c>
      <c r="U19" s="327">
        <f>32.7-T19-S19</f>
        <v>-77.5</v>
      </c>
      <c r="V19" s="327">
        <f>-75.8-U19-T19-S19</f>
        <v>-108.5</v>
      </c>
      <c r="W19" s="328">
        <f t="shared" si="19"/>
        <v>-75.800000000000011</v>
      </c>
      <c r="X19" s="327">
        <f>+('BS (F4Q2022)'!X27-'BS (F4Q2022)'!V27)</f>
        <v>492.57000000000016</v>
      </c>
      <c r="Y19" s="327">
        <f>+('BS (F4Q2022)'!Y27-'BS (F4Q2022)'!X27)</f>
        <v>-320.17050000000017</v>
      </c>
      <c r="Z19" s="327">
        <f>+('BS (F4Q2022)'!Z27-'BS (F4Q2022)'!Y27)</f>
        <v>-18.142994999999928</v>
      </c>
      <c r="AA19" s="327">
        <f>+('BS (F4Q2022)'!AA27-'BS (F4Q2022)'!Z27)</f>
        <v>-17.96156504999999</v>
      </c>
      <c r="AB19" s="328">
        <f t="shared" si="20"/>
        <v>136.29493995000007</v>
      </c>
      <c r="AC19" s="327">
        <f>+('BS (F4Q2022)'!AC27-'BS (F4Q2022)'!AA27)</f>
        <v>533.45848198499993</v>
      </c>
      <c r="AD19" s="327">
        <f>+('BS (F4Q2022)'!AD27-'BS (F4Q2022)'!AC27)</f>
        <v>-346.74801329025013</v>
      </c>
      <c r="AE19" s="327">
        <f>+('BS (F4Q2022)'!AE27-'BS (F4Q2022)'!AD27)</f>
        <v>-19.64905408644745</v>
      </c>
      <c r="AF19" s="327">
        <f>+('BS (F4Q2022)'!AF27-'BS (F4Q2022)'!AE27)</f>
        <v>-19.452563545582962</v>
      </c>
      <c r="AG19" s="328">
        <f t="shared" si="21"/>
        <v>147.6088510627194</v>
      </c>
      <c r="AH19" s="327">
        <f>+('BS (F4Q2022)'!AH27-'BS (F4Q2022)'!AF27)</f>
        <v>577.74113730381578</v>
      </c>
      <c r="AI19" s="327">
        <f>+('BS (F4Q2022)'!AI27-'BS (F4Q2022)'!AH27)</f>
        <v>-375.53173924748035</v>
      </c>
      <c r="AJ19" s="327">
        <f>+('BS (F4Q2022)'!AJ27-'BS (F4Q2022)'!AI27)</f>
        <v>-21.280131890690427</v>
      </c>
      <c r="AK19" s="327">
        <f>+('BS (F4Q2022)'!AK27-'BS (F4Q2022)'!AJ27)</f>
        <v>-21.067330571783714</v>
      </c>
      <c r="AL19" s="328">
        <f t="shared" si="22"/>
        <v>159.86193559386129</v>
      </c>
      <c r="AM19" s="327">
        <f>+('BS (F4Q2022)'!AM27-'BS (F4Q2022)'!AK27)</f>
        <v>625.69971798197457</v>
      </c>
      <c r="AN19" s="327">
        <f>+('BS (F4Q2022)'!AN27-'BS (F4Q2022)'!AM27)</f>
        <v>-406.70481668828324</v>
      </c>
      <c r="AO19" s="327">
        <f>+('BS (F4Q2022)'!AO27-'BS (F4Q2022)'!AN27)</f>
        <v>-23.046606279002845</v>
      </c>
      <c r="AP19" s="327">
        <f>+('BS (F4Q2022)'!AP27-'BS (F4Q2022)'!AO27)</f>
        <v>-22.816140216212716</v>
      </c>
      <c r="AQ19" s="328">
        <f t="shared" si="23"/>
        <v>173.13215479847577</v>
      </c>
      <c r="AR19" s="327">
        <f>+('BS (F4Q2022)'!AR27-'BS (F4Q2022)'!AP27)</f>
        <v>677.63936442151726</v>
      </c>
      <c r="AS19" s="327">
        <f>+('BS (F4Q2022)'!AS27-'BS (F4Q2022)'!AR27)</f>
        <v>-440.46558687398601</v>
      </c>
      <c r="AT19" s="327">
        <f>+('BS (F4Q2022)'!AT27-'BS (F4Q2022)'!AS27)</f>
        <v>-24.959716589526124</v>
      </c>
      <c r="AU19" s="327">
        <f>+('BS (F4Q2022)'!AU27-'BS (F4Q2022)'!AT27)</f>
        <v>-24.710119423630658</v>
      </c>
      <c r="AV19" s="328">
        <f t="shared" si="24"/>
        <v>187.50394153437446</v>
      </c>
    </row>
    <row r="20" spans="2:48" outlineLevel="1" x14ac:dyDescent="0.3">
      <c r="B20" s="325" t="s">
        <v>278</v>
      </c>
      <c r="C20" s="326"/>
      <c r="D20" s="327">
        <v>0</v>
      </c>
      <c r="E20" s="327">
        <v>0</v>
      </c>
      <c r="F20" s="327">
        <f>1045.4-E20-D20</f>
        <v>1045.4000000000001</v>
      </c>
      <c r="G20" s="327">
        <f>1237-F20-E20-D20</f>
        <v>191.59999999999991</v>
      </c>
      <c r="H20" s="328">
        <f t="shared" si="16"/>
        <v>1237</v>
      </c>
      <c r="I20" s="327">
        <v>125.1</v>
      </c>
      <c r="J20" s="327">
        <f>-1227.4-I20</f>
        <v>-1352.5</v>
      </c>
      <c r="K20" s="327">
        <f>-1224.5-J20-I20</f>
        <v>2.9000000000000057</v>
      </c>
      <c r="L20" s="327">
        <f>-1214.6-K20-J20-I20</f>
        <v>9.9000000000000057</v>
      </c>
      <c r="M20" s="328">
        <f t="shared" si="17"/>
        <v>-1214.5999999999999</v>
      </c>
      <c r="N20" s="327">
        <v>56.9</v>
      </c>
      <c r="O20" s="327">
        <f>40-N20</f>
        <v>-16.899999999999999</v>
      </c>
      <c r="P20" s="327">
        <f>128.9-O20-N20</f>
        <v>88.9</v>
      </c>
      <c r="Q20" s="327">
        <f>286.1-P20-O20-N20</f>
        <v>157.20000000000002</v>
      </c>
      <c r="R20" s="328">
        <f t="shared" si="18"/>
        <v>286.10000000000002</v>
      </c>
      <c r="S20" s="327">
        <v>0</v>
      </c>
      <c r="T20" s="327">
        <f>0-S20</f>
        <v>0</v>
      </c>
      <c r="U20" s="327">
        <f t="shared" si="25"/>
        <v>0</v>
      </c>
      <c r="V20" s="327">
        <f>-149.6-U20-T20-S20</f>
        <v>-149.6</v>
      </c>
      <c r="W20" s="328">
        <f t="shared" si="19"/>
        <v>-149.6</v>
      </c>
      <c r="X20" s="327">
        <f>+('BS (F4Q2022)'!X25-'BS (F4Q2022)'!V25)</f>
        <v>0</v>
      </c>
      <c r="Y20" s="327">
        <f>+('BS (F4Q2022)'!Y25-'BS (F4Q2022)'!X25)</f>
        <v>0</v>
      </c>
      <c r="Z20" s="327">
        <f>+('BS (F4Q2022)'!Z25-'BS (F4Q2022)'!Y25)</f>
        <v>0</v>
      </c>
      <c r="AA20" s="327">
        <f>+('BS (F4Q2022)'!AA25-'BS (F4Q2022)'!Z25)</f>
        <v>0</v>
      </c>
      <c r="AB20" s="328">
        <f t="shared" si="20"/>
        <v>0</v>
      </c>
      <c r="AC20" s="327">
        <f>+('BS (F4Q2022)'!AC25-'BS (F4Q2022)'!AA25)</f>
        <v>0</v>
      </c>
      <c r="AD20" s="327">
        <f>+('BS (F4Q2022)'!AD25-'BS (F4Q2022)'!AC25)</f>
        <v>0</v>
      </c>
      <c r="AE20" s="327">
        <f>+('BS (F4Q2022)'!AE25-'BS (F4Q2022)'!AD25)</f>
        <v>0</v>
      </c>
      <c r="AF20" s="327">
        <f>+('BS (F4Q2022)'!AF25-'BS (F4Q2022)'!AE25)</f>
        <v>0</v>
      </c>
      <c r="AG20" s="328">
        <f t="shared" si="21"/>
        <v>0</v>
      </c>
      <c r="AH20" s="327">
        <f>+('BS (F4Q2022)'!AH25-'BS (F4Q2022)'!AF25)</f>
        <v>0</v>
      </c>
      <c r="AI20" s="327">
        <f>+('BS (F4Q2022)'!AI25-'BS (F4Q2022)'!AH25)</f>
        <v>0</v>
      </c>
      <c r="AJ20" s="327">
        <f>+('BS (F4Q2022)'!AJ25-'BS (F4Q2022)'!AI25)</f>
        <v>0</v>
      </c>
      <c r="AK20" s="327">
        <f>+('BS (F4Q2022)'!AK25-'BS (F4Q2022)'!AJ25)</f>
        <v>0</v>
      </c>
      <c r="AL20" s="328">
        <f t="shared" si="22"/>
        <v>0</v>
      </c>
      <c r="AM20" s="327">
        <f>+('BS (F4Q2022)'!AM25-'BS (F4Q2022)'!AK25)</f>
        <v>0</v>
      </c>
      <c r="AN20" s="327">
        <f>+('BS (F4Q2022)'!AN25-'BS (F4Q2022)'!AM25)</f>
        <v>0</v>
      </c>
      <c r="AO20" s="327">
        <f>+('BS (F4Q2022)'!AO25-'BS (F4Q2022)'!AN25)</f>
        <v>0</v>
      </c>
      <c r="AP20" s="327">
        <f>+('BS (F4Q2022)'!AP25-'BS (F4Q2022)'!AO25)</f>
        <v>0</v>
      </c>
      <c r="AQ20" s="328">
        <f t="shared" si="23"/>
        <v>0</v>
      </c>
      <c r="AR20" s="327">
        <f>+('BS (F4Q2022)'!AR25-'BS (F4Q2022)'!AP25)</f>
        <v>0</v>
      </c>
      <c r="AS20" s="327">
        <f>+('BS (F4Q2022)'!AS25-'BS (F4Q2022)'!AR25)</f>
        <v>0</v>
      </c>
      <c r="AT20" s="327">
        <f>+('BS (F4Q2022)'!AT25-'BS (F4Q2022)'!AS25)</f>
        <v>0</v>
      </c>
      <c r="AU20" s="327">
        <f>+('BS (F4Q2022)'!AU25-'BS (F4Q2022)'!AT25)</f>
        <v>0</v>
      </c>
      <c r="AV20" s="328">
        <f t="shared" si="24"/>
        <v>0</v>
      </c>
    </row>
    <row r="21" spans="2:48" ht="16.2" outlineLevel="1" x14ac:dyDescent="0.45">
      <c r="B21" s="623" t="s">
        <v>279</v>
      </c>
      <c r="C21" s="624"/>
      <c r="D21" s="329">
        <v>305.60000000000002</v>
      </c>
      <c r="E21" s="329">
        <f>429.3-D21</f>
        <v>123.69999999999999</v>
      </c>
      <c r="F21" s="329">
        <f>-67.4-E21-D21</f>
        <v>-496.70000000000005</v>
      </c>
      <c r="G21" s="329">
        <f>-141.1-F21-E21-D21</f>
        <v>-73.699999999999989</v>
      </c>
      <c r="H21" s="330">
        <f t="shared" si="16"/>
        <v>-141.10000000000002</v>
      </c>
      <c r="I21" s="329">
        <f>-31.8-301.6</f>
        <v>-333.40000000000003</v>
      </c>
      <c r="J21" s="329">
        <f>-608.6-140.5-I21</f>
        <v>-415.7</v>
      </c>
      <c r="K21" s="329">
        <f>-918.2+70.5-J21-I21</f>
        <v>-98.600000000000023</v>
      </c>
      <c r="L21" s="329">
        <f>-1231.4+280.5-K21-J21-I21</f>
        <v>-103.20000000000005</v>
      </c>
      <c r="M21" s="330">
        <f t="shared" si="17"/>
        <v>-950.90000000000009</v>
      </c>
      <c r="N21" s="329">
        <f>-314.8+12.3</f>
        <v>-302.5</v>
      </c>
      <c r="O21" s="329">
        <f>-676.3+59.5-N21</f>
        <v>-314.29999999999995</v>
      </c>
      <c r="P21" s="329">
        <f>-1029.8+154.6-O21-N21</f>
        <v>-258.39999999999998</v>
      </c>
      <c r="Q21" s="329">
        <f>-1488.1+358.7-P21-O21-N21</f>
        <v>-254.19999999999993</v>
      </c>
      <c r="R21" s="330">
        <f t="shared" si="18"/>
        <v>-1129.3999999999999</v>
      </c>
      <c r="S21" s="329">
        <f>-363.3+79.4</f>
        <v>-283.89999999999998</v>
      </c>
      <c r="T21" s="329">
        <f>-766.3-95-S21</f>
        <v>-577.4</v>
      </c>
      <c r="U21" s="329">
        <f>-1201.4+5.8-T21-S21</f>
        <v>-334.30000000000018</v>
      </c>
      <c r="V21" s="329">
        <f>339.6-1625.6-U21-T21-S21</f>
        <v>-90.399999999999864</v>
      </c>
      <c r="W21" s="330">
        <f t="shared" si="19"/>
        <v>-1286</v>
      </c>
      <c r="X21" s="329">
        <f>('BS (F4Q2022)'!X23-'BS (F4Q2022)'!V23)+('BS (F4Q2022)'!X33-'BS (F4Q2022)'!V33)+('BS (F4Q2022)'!X34-'BS (F4Q2022)'!V34)+('BS (F4Q2022)'!X26-'BS (F4Q2022)'!V26)+('BS (F4Q2022)'!X24-'BS (F4Q2022)'!V24)</f>
        <v>-36.381300000000238</v>
      </c>
      <c r="Y21" s="329">
        <f>('BS (F4Q2022)'!Y23-'BS (F4Q2022)'!X23)+('BS (F4Q2022)'!Y33-'BS (F4Q2022)'!X33)+('BS (F4Q2022)'!Y34-'BS (F4Q2022)'!X34)+('BS (F4Q2022)'!Y26-'BS (F4Q2022)'!X26)+('BS (F4Q2022)'!Y24-'BS (F4Q2022)'!X24)</f>
        <v>-36.204376299999922</v>
      </c>
      <c r="Z21" s="329">
        <f>('BS (F4Q2022)'!Z23-'BS (F4Q2022)'!Y23)+('BS (F4Q2022)'!Z33-'BS (F4Q2022)'!Y33)+('BS (F4Q2022)'!Z34-'BS (F4Q2022)'!Y34)+('BS (F4Q2022)'!Z26-'BS (F4Q2022)'!Y26)+('BS (F4Q2022)'!Z24-'BS (F4Q2022)'!Y24)</f>
        <v>-36.028317287300297</v>
      </c>
      <c r="AA21" s="329">
        <f>('BS (F4Q2022)'!AA23-'BS (F4Q2022)'!Z23)+('BS (F4Q2022)'!AA33-'BS (F4Q2022)'!Z33)+('BS (F4Q2022)'!AA34-'BS (F4Q2022)'!Z34)+('BS (F4Q2022)'!AA26-'BS (F4Q2022)'!Z26)+('BS (F4Q2022)'!AA24-'BS (F4Q2022)'!Z24)</f>
        <v>-35.853118718188171</v>
      </c>
      <c r="AB21" s="330">
        <f t="shared" si="20"/>
        <v>-144.46711230548863</v>
      </c>
      <c r="AC21" s="329">
        <f>('BS (F4Q2022)'!AC23-'BS (F4Q2022)'!AA23)+('BS (F4Q2022)'!AC33-'BS (F4Q2022)'!AA33)+('BS (F4Q2022)'!AC34-'BS (F4Q2022)'!AA34)+('BS (F4Q2022)'!AC26-'BS (F4Q2022)'!AA26)+('BS (F4Q2022)'!AC24-'BS (F4Q2022)'!AA24)</f>
        <v>-35.67877636985304</v>
      </c>
      <c r="AD21" s="329">
        <f>('BS (F4Q2022)'!AD23-'BS (F4Q2022)'!AC23)+('BS (F4Q2022)'!AD33-'BS (F4Q2022)'!AC33)+('BS (F4Q2022)'!AD34-'BS (F4Q2022)'!AC34)+('BS (F4Q2022)'!AD26-'BS (F4Q2022)'!AC26)+('BS (F4Q2022)'!AD24-'BS (F4Q2022)'!AC24)</f>
        <v>-35.505286040278406</v>
      </c>
      <c r="AE21" s="329">
        <f>('BS (F4Q2022)'!AE23-'BS (F4Q2022)'!AD23)+('BS (F4Q2022)'!AE33-'BS (F4Q2022)'!AD33)+('BS (F4Q2022)'!AE34-'BS (F4Q2022)'!AD34)+('BS (F4Q2022)'!AE26-'BS (F4Q2022)'!AD26)+('BS (F4Q2022)'!AE24-'BS (F4Q2022)'!AD24)</f>
        <v>-35.332643548142414</v>
      </c>
      <c r="AF21" s="329">
        <f>('BS (F4Q2022)'!AF23-'BS (F4Q2022)'!AE23)+('BS (F4Q2022)'!AF33-'BS (F4Q2022)'!AE33)+('BS (F4Q2022)'!AF34-'BS (F4Q2022)'!AE34)+('BS (F4Q2022)'!AF26-'BS (F4Q2022)'!AE26)+('BS (F4Q2022)'!AF24-'BS (F4Q2022)'!AE24)</f>
        <v>-35.16084473271485</v>
      </c>
      <c r="AG21" s="330">
        <f t="shared" si="21"/>
        <v>-141.67755069098871</v>
      </c>
      <c r="AH21" s="329">
        <f>('BS (F4Q2022)'!AH23-'BS (F4Q2022)'!AF23)+('BS (F4Q2022)'!AH33-'BS (F4Q2022)'!AF33)+('BS (F4Q2022)'!AH34-'BS (F4Q2022)'!AF34)+('BS (F4Q2022)'!AH26-'BS (F4Q2022)'!AF26)+('BS (F4Q2022)'!AH24-'BS (F4Q2022)'!AF24)</f>
        <v>-34.989885453755051</v>
      </c>
      <c r="AI21" s="329">
        <f>('BS (F4Q2022)'!AI23-'BS (F4Q2022)'!AH23)+('BS (F4Q2022)'!AI33-'BS (F4Q2022)'!AH33)+('BS (F4Q2022)'!AI34-'BS (F4Q2022)'!AH34)+('BS (F4Q2022)'!AI26-'BS (F4Q2022)'!AH26)+('BS (F4Q2022)'!AI24-'BS (F4Q2022)'!AH24)</f>
        <v>-34.819761591410725</v>
      </c>
      <c r="AJ21" s="329">
        <f>('BS (F4Q2022)'!AJ23-'BS (F4Q2022)'!AI23)+('BS (F4Q2022)'!AJ33-'BS (F4Q2022)'!AI33)+('BS (F4Q2022)'!AJ34-'BS (F4Q2022)'!AI34)+('BS (F4Q2022)'!AJ26-'BS (F4Q2022)'!AI26)+('BS (F4Q2022)'!AJ24-'BS (F4Q2022)'!AI24)</f>
        <v>-34.650469046119269</v>
      </c>
      <c r="AK21" s="329">
        <f>('BS (F4Q2022)'!AK23-'BS (F4Q2022)'!AJ23)+('BS (F4Q2022)'!AK33-'BS (F4Q2022)'!AJ33)+('BS (F4Q2022)'!AK34-'BS (F4Q2022)'!AJ34)+('BS (F4Q2022)'!AK26-'BS (F4Q2022)'!AJ26)+('BS (F4Q2022)'!AK24-'BS (F4Q2022)'!AJ24)</f>
        <v>-34.482003738503181</v>
      </c>
      <c r="AL21" s="330">
        <f t="shared" si="22"/>
        <v>-138.94211982978823</v>
      </c>
      <c r="AM21" s="329">
        <f>('BS (F4Q2022)'!AM23-'BS (F4Q2022)'!AK23)+('BS (F4Q2022)'!AM33-'BS (F4Q2022)'!AK33)+('BS (F4Q2022)'!AM34-'BS (F4Q2022)'!AK34)+('BS (F4Q2022)'!AM26-'BS (F4Q2022)'!AK26)+('BS (F4Q2022)'!AM24-'BS (F4Q2022)'!AK24)</f>
        <v>-34.314361609275011</v>
      </c>
      <c r="AN21" s="329">
        <f>('BS (F4Q2022)'!AN23-'BS (F4Q2022)'!AM23)+('BS (F4Q2022)'!AN33-'BS (F4Q2022)'!AM33)+('BS (F4Q2022)'!AN34-'BS (F4Q2022)'!AM34)+('BS (F4Q2022)'!AN26-'BS (F4Q2022)'!AM26)+('BS (F4Q2022)'!AN24-'BS (F4Q2022)'!AM24)</f>
        <v>-34.147538619135275</v>
      </c>
      <c r="AO21" s="329">
        <f>('BS (F4Q2022)'!AO23-'BS (F4Q2022)'!AN23)+('BS (F4Q2022)'!AO33-'BS (F4Q2022)'!AN33)+('BS (F4Q2022)'!AO34-'BS (F4Q2022)'!AN34)+('BS (F4Q2022)'!AO26-'BS (F4Q2022)'!AN26)+('BS (F4Q2022)'!AO24-'BS (F4Q2022)'!AN24)</f>
        <v>-33.981530748674459</v>
      </c>
      <c r="AP21" s="329">
        <f>('BS (F4Q2022)'!AP23-'BS (F4Q2022)'!AO23)+('BS (F4Q2022)'!AP33-'BS (F4Q2022)'!AO33)+('BS (F4Q2022)'!AP34-'BS (F4Q2022)'!AO34)+('BS (F4Q2022)'!AP26-'BS (F4Q2022)'!AO26)+('BS (F4Q2022)'!AP24-'BS (F4Q2022)'!AO24)</f>
        <v>-33.816333998275013</v>
      </c>
      <c r="AQ21" s="330">
        <f t="shared" si="23"/>
        <v>-136.25976497535976</v>
      </c>
      <c r="AR21" s="329">
        <f>('BS (F4Q2022)'!AR23-'BS (F4Q2022)'!AP23)+('BS (F4Q2022)'!AR33-'BS (F4Q2022)'!AP33)+('BS (F4Q2022)'!AR34-'BS (F4Q2022)'!AP34)+('BS (F4Q2022)'!AR26-'BS (F4Q2022)'!AP26)+('BS (F4Q2022)'!AR24-'BS (F4Q2022)'!AP24)</f>
        <v>-33.651944388014272</v>
      </c>
      <c r="AS21" s="329">
        <f>('BS (F4Q2022)'!AS23-'BS (F4Q2022)'!AR23)+('BS (F4Q2022)'!AS33-'BS (F4Q2022)'!AR33)+('BS (F4Q2022)'!AS34-'BS (F4Q2022)'!AR34)+('BS (F4Q2022)'!AS26-'BS (F4Q2022)'!AR26)+('BS (F4Q2022)'!AS24-'BS (F4Q2022)'!AR24)</f>
        <v>-33.488357957565995</v>
      </c>
      <c r="AT21" s="329">
        <f>('BS (F4Q2022)'!AT23-'BS (F4Q2022)'!AS23)+('BS (F4Q2022)'!AT33-'BS (F4Q2022)'!AS33)+('BS (F4Q2022)'!AT34-'BS (F4Q2022)'!AS34)+('BS (F4Q2022)'!AT26-'BS (F4Q2022)'!AS26)+('BS (F4Q2022)'!AT24-'BS (F4Q2022)'!AS24)</f>
        <v>-33.32557076610442</v>
      </c>
      <c r="AU21" s="329">
        <f>('BS (F4Q2022)'!AU23-'BS (F4Q2022)'!AT23)+('BS (F4Q2022)'!AU33-'BS (F4Q2022)'!AT33)+('BS (F4Q2022)'!AU34-'BS (F4Q2022)'!AT34)+('BS (F4Q2022)'!AU26-'BS (F4Q2022)'!AT26)+('BS (F4Q2022)'!AU24-'BS (F4Q2022)'!AT24)</f>
        <v>-33.16357889220626</v>
      </c>
      <c r="AV21" s="330">
        <f t="shared" si="24"/>
        <v>-133.62945200389095</v>
      </c>
    </row>
    <row r="22" spans="2:48" outlineLevel="1" x14ac:dyDescent="0.3">
      <c r="B22" s="627" t="s">
        <v>280</v>
      </c>
      <c r="C22" s="628"/>
      <c r="D22" s="331">
        <f t="shared" ref="D22:AV22" si="26">D6+SUM(D7:D21)</f>
        <v>2379.0000000000005</v>
      </c>
      <c r="E22" s="331">
        <f t="shared" si="26"/>
        <v>390.39999999999969</v>
      </c>
      <c r="F22" s="331">
        <f t="shared" si="26"/>
        <v>1169.400000000001</v>
      </c>
      <c r="G22" s="331">
        <f t="shared" si="26"/>
        <v>1108.1000000000008</v>
      </c>
      <c r="H22" s="332">
        <f t="shared" si="26"/>
        <v>5046.9000000000051</v>
      </c>
      <c r="I22" s="331">
        <f t="shared" si="26"/>
        <v>1836.0999999999985</v>
      </c>
      <c r="J22" s="331">
        <f t="shared" si="26"/>
        <v>-1361.3000000000009</v>
      </c>
      <c r="K22" s="331">
        <f t="shared" si="26"/>
        <v>-367.69999999999925</v>
      </c>
      <c r="L22" s="331">
        <f t="shared" si="26"/>
        <v>1490.7000000000014</v>
      </c>
      <c r="M22" s="332">
        <f t="shared" si="26"/>
        <v>1597.8000000000043</v>
      </c>
      <c r="N22" s="331">
        <f t="shared" si="26"/>
        <v>1835.7000000000003</v>
      </c>
      <c r="O22" s="331">
        <f t="shared" si="26"/>
        <v>883.80000000000018</v>
      </c>
      <c r="P22" s="331">
        <f t="shared" si="26"/>
        <v>1748.9999999999991</v>
      </c>
      <c r="Q22" s="331">
        <f t="shared" si="26"/>
        <v>1520.6999999999996</v>
      </c>
      <c r="R22" s="332">
        <f t="shared" si="26"/>
        <v>5989.199999999998</v>
      </c>
      <c r="S22" s="331">
        <f t="shared" si="26"/>
        <v>1870.8999999999999</v>
      </c>
      <c r="T22" s="331">
        <f t="shared" si="26"/>
        <v>161.9000000000002</v>
      </c>
      <c r="U22" s="331">
        <f t="shared" si="26"/>
        <v>1264.7999999999993</v>
      </c>
      <c r="V22" s="331">
        <f t="shared" si="26"/>
        <v>1099.599999999999</v>
      </c>
      <c r="W22" s="332">
        <f>W6+SUM(W7:W21)</f>
        <v>4397.1999999999989</v>
      </c>
      <c r="X22" s="331">
        <f t="shared" si="26"/>
        <v>2023.7794507251399</v>
      </c>
      <c r="Y22" s="331">
        <f t="shared" si="26"/>
        <v>758.22796259627353</v>
      </c>
      <c r="Z22" s="331">
        <f t="shared" si="26"/>
        <v>1105.9565569618517</v>
      </c>
      <c r="AA22" s="331">
        <f t="shared" si="26"/>
        <v>1889.2495350650361</v>
      </c>
      <c r="AB22" s="332">
        <f t="shared" si="26"/>
        <v>5777.2135053483016</v>
      </c>
      <c r="AC22" s="331">
        <f t="shared" si="26"/>
        <v>2220.336063562147</v>
      </c>
      <c r="AD22" s="331">
        <f t="shared" si="26"/>
        <v>1030.8167154224961</v>
      </c>
      <c r="AE22" s="331">
        <f t="shared" si="26"/>
        <v>1481.7740753279063</v>
      </c>
      <c r="AF22" s="331">
        <f t="shared" si="26"/>
        <v>1802.5469949340131</v>
      </c>
      <c r="AG22" s="332">
        <f t="shared" si="26"/>
        <v>6535.4738492465622</v>
      </c>
      <c r="AH22" s="331">
        <f t="shared" si="26"/>
        <v>2474.609186817273</v>
      </c>
      <c r="AI22" s="331">
        <f t="shared" si="26"/>
        <v>1175.0169753879863</v>
      </c>
      <c r="AJ22" s="331">
        <f t="shared" si="26"/>
        <v>1661.542382286061</v>
      </c>
      <c r="AK22" s="331">
        <f t="shared" si="26"/>
        <v>2017.5966648896119</v>
      </c>
      <c r="AL22" s="332">
        <f t="shared" si="26"/>
        <v>7328.765209380932</v>
      </c>
      <c r="AM22" s="331">
        <f t="shared" si="26"/>
        <v>2817.5306387719743</v>
      </c>
      <c r="AN22" s="331">
        <f t="shared" si="26"/>
        <v>1272.9384974646</v>
      </c>
      <c r="AO22" s="331">
        <f t="shared" si="26"/>
        <v>1769.8110742155411</v>
      </c>
      <c r="AP22" s="331">
        <f t="shared" si="26"/>
        <v>2277.2920991641058</v>
      </c>
      <c r="AQ22" s="332">
        <f t="shared" si="26"/>
        <v>8137.5723096162219</v>
      </c>
      <c r="AR22" s="331">
        <f t="shared" si="26"/>
        <v>3018.2435736882262</v>
      </c>
      <c r="AS22" s="331">
        <f t="shared" si="26"/>
        <v>1392.1009077293352</v>
      </c>
      <c r="AT22" s="331">
        <f t="shared" si="26"/>
        <v>1957.4073044118804</v>
      </c>
      <c r="AU22" s="331">
        <f t="shared" si="26"/>
        <v>2391.4264041682154</v>
      </c>
      <c r="AV22" s="332">
        <f t="shared" si="26"/>
        <v>8759.1781899976577</v>
      </c>
    </row>
    <row r="23" spans="2:48" outlineLevel="1" x14ac:dyDescent="0.3">
      <c r="B23" s="250" t="s">
        <v>281</v>
      </c>
      <c r="C23" s="480"/>
      <c r="D23" s="333"/>
      <c r="E23" s="334"/>
      <c r="F23" s="334"/>
      <c r="G23" s="334"/>
      <c r="H23" s="335"/>
      <c r="I23" s="336"/>
      <c r="J23" s="336"/>
      <c r="K23" s="334"/>
      <c r="L23" s="334"/>
      <c r="M23" s="337"/>
      <c r="N23" s="334"/>
      <c r="O23" s="334"/>
      <c r="P23" s="334"/>
      <c r="Q23" s="334"/>
      <c r="R23" s="337"/>
      <c r="S23" s="334"/>
      <c r="T23" s="334"/>
      <c r="U23" s="334"/>
      <c r="V23" s="334"/>
      <c r="W23" s="337"/>
      <c r="X23" s="334"/>
      <c r="Y23" s="334"/>
      <c r="Z23" s="334"/>
      <c r="AA23" s="334"/>
      <c r="AB23" s="337"/>
      <c r="AC23" s="334"/>
      <c r="AD23" s="334"/>
      <c r="AE23" s="334"/>
      <c r="AF23" s="334"/>
      <c r="AG23" s="337"/>
      <c r="AH23" s="334"/>
      <c r="AI23" s="334"/>
      <c r="AJ23" s="334"/>
      <c r="AK23" s="334"/>
      <c r="AL23" s="337"/>
      <c r="AM23" s="334"/>
      <c r="AN23" s="334"/>
      <c r="AO23" s="334"/>
      <c r="AP23" s="334"/>
      <c r="AQ23" s="337"/>
      <c r="AR23" s="334"/>
      <c r="AS23" s="334"/>
      <c r="AT23" s="334"/>
      <c r="AU23" s="334"/>
      <c r="AV23" s="337"/>
    </row>
    <row r="24" spans="2:48" outlineLevel="1" x14ac:dyDescent="0.3">
      <c r="B24" s="200" t="s">
        <v>282</v>
      </c>
      <c r="C24" s="201"/>
      <c r="D24" s="16">
        <f>-108.7+32.1+14.2</f>
        <v>-62.399999999999991</v>
      </c>
      <c r="E24" s="16">
        <f>-150.2+218.3+55.1-D24</f>
        <v>185.60000000000002</v>
      </c>
      <c r="F24" s="16">
        <f>-176.3+281.7+57.5-E24-D24</f>
        <v>39.699999999999946</v>
      </c>
      <c r="G24" s="16">
        <f>-190.4+298.3+59.8-F24-E24-D24</f>
        <v>4.8000000000000256</v>
      </c>
      <c r="H24" s="17">
        <f>SUM(D24:G24)</f>
        <v>167.7</v>
      </c>
      <c r="I24" s="16">
        <f>-38+64.6+1.3</f>
        <v>27.899999999999995</v>
      </c>
      <c r="J24" s="16">
        <f>-65.1+93.7+4.3-I24</f>
        <v>5.0000000000000107</v>
      </c>
      <c r="K24" s="16">
        <f>-297.4+133.5+10-J24-I24</f>
        <v>-186.79999999999998</v>
      </c>
      <c r="L24" s="16">
        <f>-443.9+186.7+73.7-K24-J24-I24</f>
        <v>-29.600000000000023</v>
      </c>
      <c r="M24" s="17">
        <f>SUM(I24:L24)</f>
        <v>-183.5</v>
      </c>
      <c r="N24" s="16">
        <f>-135.5+91.2+113.7</f>
        <v>69.400000000000006</v>
      </c>
      <c r="O24" s="16">
        <f>-321.7+121.7+289-N24</f>
        <v>19.599999999999994</v>
      </c>
      <c r="P24" s="16">
        <f>-367.3+130.4+298.7-O24-N24</f>
        <v>-27.200000000000017</v>
      </c>
      <c r="Q24" s="16">
        <f>-432+143.2+345.5-P24-O24-N24</f>
        <v>-5.0999999999999943</v>
      </c>
      <c r="R24" s="17">
        <f>SUM(N24:Q24)</f>
        <v>56.699999999999989</v>
      </c>
      <c r="S24" s="16">
        <f>-61+72.6+45.6</f>
        <v>57.199999999999996</v>
      </c>
      <c r="T24" s="16">
        <f>-67.5+72.6+55.7-S24</f>
        <v>3.6000000000000014</v>
      </c>
      <c r="U24" s="16">
        <f>-117.3+72.6+59.5-T24-S24</f>
        <v>-46</v>
      </c>
      <c r="V24" s="16">
        <f>-377.9+72.6+67.3-U24-T24-S24</f>
        <v>-252.79999999999993</v>
      </c>
      <c r="W24" s="17">
        <f>SUM(S24:V24)</f>
        <v>-237.99999999999994</v>
      </c>
      <c r="X24" s="16">
        <f>-('BS (F4Q2022)'!X7-'BS (F4Q2022)'!V7)-('BS (F4Q2022)'!X12-'BS (F4Q2022)'!V12)</f>
        <v>197.73499987937311</v>
      </c>
      <c r="Y24" s="16">
        <f>-('BS (F4Q2022)'!Y7-'BS (F4Q2022)'!X7)-('BS (F4Q2022)'!Y12-'BS (F4Q2022)'!X12)</f>
        <v>-13.370456041946113</v>
      </c>
      <c r="Z24" s="16">
        <f>-('BS (F4Q2022)'!Z7-'BS (F4Q2022)'!Y7)-('BS (F4Q2022)'!Z12-'BS (F4Q2022)'!Y12)</f>
        <v>-35.699167719382871</v>
      </c>
      <c r="AA24" s="16">
        <f>-('BS (F4Q2022)'!AA7-'BS (F4Q2022)'!Z7)-('BS (F4Q2022)'!AA12-'BS (F4Q2022)'!Z12)</f>
        <v>-34.902728758489673</v>
      </c>
      <c r="AB24" s="17">
        <f>SUM(X24:AA24)</f>
        <v>113.76264735955445</v>
      </c>
      <c r="AC24" s="16">
        <f>-('BS (F4Q2022)'!AC7-'BS (F4Q2022)'!AA7)-('BS (F4Q2022)'!AC12-'BS (F4Q2022)'!AA12)</f>
        <v>19.092467560801481</v>
      </c>
      <c r="AD24" s="16">
        <f>-('BS (F4Q2022)'!AD7-'BS (F4Q2022)'!AC7)-('BS (F4Q2022)'!AD12-'BS (F4Q2022)'!AC12)</f>
        <v>-8.0990822337616635</v>
      </c>
      <c r="AE24" s="16">
        <f>-('BS (F4Q2022)'!AE7-'BS (F4Q2022)'!AD7)-('BS (F4Q2022)'!AE12-'BS (F4Q2022)'!AD12)</f>
        <v>-18.113566327854414</v>
      </c>
      <c r="AF24" s="16">
        <f>-('BS (F4Q2022)'!AF7-'BS (F4Q2022)'!AE7)-('BS (F4Q2022)'!AF12-'BS (F4Q2022)'!AE12)</f>
        <v>-9.807614958567882</v>
      </c>
      <c r="AG24" s="17">
        <f>SUM(AC24:AF24)</f>
        <v>-16.927795959382479</v>
      </c>
      <c r="AH24" s="16">
        <f>-('BS (F4Q2022)'!AH7-'BS (F4Q2022)'!AF7)-('BS (F4Q2022)'!AH12-'BS (F4Q2022)'!AF12)</f>
        <v>-14.352987580036057</v>
      </c>
      <c r="AI24" s="16">
        <f>-('BS (F4Q2022)'!AI7-'BS (F4Q2022)'!AH7)-('BS (F4Q2022)'!AI12-'BS (F4Q2022)'!AH12)</f>
        <v>-2.9498008008039278</v>
      </c>
      <c r="AJ24" s="16">
        <f>-('BS (F4Q2022)'!AJ7-'BS (F4Q2022)'!AI7)-('BS (F4Q2022)'!AJ12-'BS (F4Q2022)'!AI12)</f>
        <v>-21.0970556702529</v>
      </c>
      <c r="AK24" s="16">
        <f>-('BS (F4Q2022)'!AK7-'BS (F4Q2022)'!AJ7)-('BS (F4Q2022)'!AK12-'BS (F4Q2022)'!AJ12)</f>
        <v>81.969954638839795</v>
      </c>
      <c r="AL24" s="17">
        <f>SUM(AH24:AK24)</f>
        <v>43.57011058774691</v>
      </c>
      <c r="AM24" s="16">
        <f>-('BS (F4Q2022)'!AM7-'BS (F4Q2022)'!AK7)-('BS (F4Q2022)'!AM12-'BS (F4Q2022)'!AK12)</f>
        <v>-18.477013831312235</v>
      </c>
      <c r="AN24" s="16">
        <f>-('BS (F4Q2022)'!AN7-'BS (F4Q2022)'!AM7)-('BS (F4Q2022)'!AN12-'BS (F4Q2022)'!AM12)</f>
        <v>1.8455264199308772</v>
      </c>
      <c r="AO24" s="16">
        <f>-('BS (F4Q2022)'!AO7-'BS (F4Q2022)'!AN7)-('BS (F4Q2022)'!AO12-'BS (F4Q2022)'!AN12)</f>
        <v>-15.754841110246389</v>
      </c>
      <c r="AP24" s="16">
        <f>-('BS (F4Q2022)'!AP7-'BS (F4Q2022)'!AO7)-('BS (F4Q2022)'!AP12-'BS (F4Q2022)'!AO12)</f>
        <v>-8.7154895590405488</v>
      </c>
      <c r="AQ24" s="17">
        <f>SUM(AM24:AP24)</f>
        <v>-41.101818080668295</v>
      </c>
      <c r="AR24" s="16">
        <f>-('BS (F4Q2022)'!AR7-'BS (F4Q2022)'!AP7)-('BS (F4Q2022)'!AR12-'BS (F4Q2022)'!AP12)</f>
        <v>-21.967230384364996</v>
      </c>
      <c r="AS24" s="16">
        <f>-('BS (F4Q2022)'!AS7-'BS (F4Q2022)'!AR7)-('BS (F4Q2022)'!AS12-'BS (F4Q2022)'!AR12)</f>
        <v>0.90938236630506708</v>
      </c>
      <c r="AT24" s="16">
        <f>-('BS (F4Q2022)'!AT7-'BS (F4Q2022)'!AS7)-('BS (F4Q2022)'!AT12-'BS (F4Q2022)'!AS12)</f>
        <v>-17.664851965200597</v>
      </c>
      <c r="AU24" s="16">
        <f>-('BS (F4Q2022)'!AU7-'BS (F4Q2022)'!AT7)-('BS (F4Q2022)'!AU12-'BS (F4Q2022)'!AT12)</f>
        <v>-10.546881427897063</v>
      </c>
      <c r="AV24" s="17">
        <f>SUM(AR24:AU24)</f>
        <v>-49.269581411157588</v>
      </c>
    </row>
    <row r="25" spans="2:48" outlineLevel="1" x14ac:dyDescent="0.3">
      <c r="B25" s="580" t="s">
        <v>283</v>
      </c>
      <c r="C25" s="581"/>
      <c r="D25" s="16">
        <v>-431.4</v>
      </c>
      <c r="E25" s="16">
        <f>-845.6-D25</f>
        <v>-414.20000000000005</v>
      </c>
      <c r="F25" s="16">
        <f>-1280.7-E25-D25</f>
        <v>-435.1</v>
      </c>
      <c r="G25" s="16">
        <f>-1806.6-F25-E25-D25</f>
        <v>-525.9</v>
      </c>
      <c r="H25" s="169">
        <f>SUM(D25:G25)</f>
        <v>-1806.6</v>
      </c>
      <c r="I25" s="16">
        <v>-394.3</v>
      </c>
      <c r="J25" s="16">
        <f>-758.3-I25</f>
        <v>-363.99999999999994</v>
      </c>
      <c r="K25" s="16">
        <f>-1138.4-J25-I25</f>
        <v>-380.10000000000008</v>
      </c>
      <c r="L25" s="16">
        <f>-1483.6-K25-J25-I25</f>
        <v>-345.19999999999976</v>
      </c>
      <c r="M25" s="169">
        <f>SUM(I25:L25)</f>
        <v>-1483.6</v>
      </c>
      <c r="N25" s="16">
        <v>-324.2</v>
      </c>
      <c r="O25" s="16">
        <f>-647.9-N25</f>
        <v>-323.7</v>
      </c>
      <c r="P25" s="16">
        <f>-985.7-O25-N25</f>
        <v>-337.8</v>
      </c>
      <c r="Q25" s="16">
        <f>-1470-P25-O25-N25</f>
        <v>-484.3</v>
      </c>
      <c r="R25" s="169">
        <f>SUM(N25:Q25)</f>
        <v>-1470</v>
      </c>
      <c r="S25" s="16">
        <v>-416.8</v>
      </c>
      <c r="T25" s="16">
        <f>-871.9-S25</f>
        <v>-455.09999999999997</v>
      </c>
      <c r="U25" s="16">
        <f>-1295.4-T25-S25</f>
        <v>-423.50000000000017</v>
      </c>
      <c r="V25" s="16">
        <f>-1841.3-U25-T25-S25</f>
        <v>-545.89999999999986</v>
      </c>
      <c r="W25" s="169">
        <f>SUM(S25:V25)</f>
        <v>-1841.3</v>
      </c>
      <c r="X25" s="16">
        <f>-'IS (F4Q2022)'!X8*X56</f>
        <v>-606.38246219544101</v>
      </c>
      <c r="Y25" s="16">
        <f>-'IS (F4Q2022)'!Y8*Y56</f>
        <v>-587.06325444440381</v>
      </c>
      <c r="Z25" s="16">
        <f>-'IS (F4Q2022)'!Z8*Z56</f>
        <v>-642.8299372093752</v>
      </c>
      <c r="AA25" s="16">
        <f>-'IS (F4Q2022)'!AA8*AA56</f>
        <v>-663.72434615078043</v>
      </c>
      <c r="AB25" s="418">
        <f>SUM(X25:AA25)</f>
        <v>-2500.0000000000005</v>
      </c>
      <c r="AC25" s="16">
        <f>-'IS (F4Q2022)'!AC8*AC56</f>
        <v>-678.44181513463332</v>
      </c>
      <c r="AD25" s="16">
        <f>-'IS (F4Q2022)'!AD8*AD56</f>
        <v>-641.35372785019376</v>
      </c>
      <c r="AE25" s="16">
        <f>-'IS (F4Q2022)'!AE8*AE56</f>
        <v>-702.881558205543</v>
      </c>
      <c r="AF25" s="16">
        <f>-'IS (F4Q2022)'!AF8*AF56</f>
        <v>-727.32289880962992</v>
      </c>
      <c r="AG25" s="418">
        <f>SUM(AC25:AF25)</f>
        <v>-2750</v>
      </c>
      <c r="AH25" s="16">
        <f>-'IS (F4Q2022)'!AH8*AH56</f>
        <v>-678.31054500021446</v>
      </c>
      <c r="AI25" s="16">
        <f>-'IS (F4Q2022)'!AI8*AI56</f>
        <v>-640.74871428043809</v>
      </c>
      <c r="AJ25" s="16">
        <f>-'IS (F4Q2022)'!AJ8*AJ56</f>
        <v>-702.66495163999798</v>
      </c>
      <c r="AK25" s="16">
        <f>-'IS (F4Q2022)'!AK8*AK56</f>
        <v>-728.27578907934981</v>
      </c>
      <c r="AL25" s="418">
        <f>SUM(AH25:AK25)</f>
        <v>-2750</v>
      </c>
      <c r="AM25" s="16">
        <f>-'IS (F4Q2022)'!AM8*AM56</f>
        <v>-746.00800078693715</v>
      </c>
      <c r="AN25" s="16">
        <f>-'IS (F4Q2022)'!AN8*AN56</f>
        <v>-701.15192772308876</v>
      </c>
      <c r="AO25" s="16">
        <f>-'IS (F4Q2022)'!AO8*AO56</f>
        <v>-766.11549251962367</v>
      </c>
      <c r="AP25" s="16">
        <f>-'IS (F4Q2022)'!AP8*AP56</f>
        <v>-791.37719677188761</v>
      </c>
      <c r="AQ25" s="17">
        <f>SUM(AM25:AP25)</f>
        <v>-3004.6526178015374</v>
      </c>
      <c r="AR25" s="16">
        <f>-'IS (F4Q2022)'!AR8*AR56</f>
        <v>-794.37796668922374</v>
      </c>
      <c r="AS25" s="16">
        <f>-'IS (F4Q2022)'!AS8*AS56</f>
        <v>-746.0795217646712</v>
      </c>
      <c r="AT25" s="16">
        <f>-'IS (F4Q2022)'!AT8*AT56</f>
        <v>-815.03818419235006</v>
      </c>
      <c r="AU25" s="16">
        <f>-'IS (F4Q2022)'!AU8*AU56</f>
        <v>-841.85249841730865</v>
      </c>
      <c r="AV25" s="17">
        <f>SUM(AR25:AU25)</f>
        <v>-3197.3481710635538</v>
      </c>
    </row>
    <row r="26" spans="2:48" ht="16.2" outlineLevel="1" x14ac:dyDescent="0.45">
      <c r="B26" s="580" t="s">
        <v>284</v>
      </c>
      <c r="C26" s="581"/>
      <c r="D26" s="260">
        <v>-16.600000000000001</v>
      </c>
      <c r="E26" s="260">
        <f>48.5-37.1-D26</f>
        <v>28</v>
      </c>
      <c r="F26" s="260">
        <f>684.2-72.9-E26-D26</f>
        <v>599.90000000000009</v>
      </c>
      <c r="G26" s="260">
        <f>684.3-56.2-F26-E26-D26</f>
        <v>16.79999999999982</v>
      </c>
      <c r="H26" s="261">
        <f>SUM(D26:G26)</f>
        <v>628.09999999999991</v>
      </c>
      <c r="I26" s="260">
        <v>-19.899999999999999</v>
      </c>
      <c r="J26" s="260">
        <f>-22.5-I26</f>
        <v>-2.6000000000000014</v>
      </c>
      <c r="K26" s="260">
        <f>-39.4-J26-I26</f>
        <v>-16.899999999999999</v>
      </c>
      <c r="L26" s="260">
        <f>-44.4-K26-J26-I26</f>
        <v>-5</v>
      </c>
      <c r="M26" s="261">
        <f>SUM(I26:L26)</f>
        <v>-44.4</v>
      </c>
      <c r="N26" s="260">
        <v>-17.7</v>
      </c>
      <c r="O26" s="260">
        <f>-20.1-N26</f>
        <v>-2.4000000000000021</v>
      </c>
      <c r="P26" s="260">
        <f>-62.3-O26-N26</f>
        <v>-42.199999999999989</v>
      </c>
      <c r="Q26" s="260">
        <f>1175-81.2-P26-O26-N26</f>
        <v>1156.1000000000001</v>
      </c>
      <c r="R26" s="261">
        <f>SUM(N26:Q26)</f>
        <v>1093.8000000000002</v>
      </c>
      <c r="S26" s="260">
        <v>-41.4</v>
      </c>
      <c r="T26" s="260">
        <f>-69.8-S26</f>
        <v>-28.4</v>
      </c>
      <c r="U26" s="260">
        <f>-95.7-T26-S26</f>
        <v>-25.900000000000013</v>
      </c>
      <c r="V26" s="260">
        <f>59.3-126.3-U26-T26-S26</f>
        <v>28.70000000000001</v>
      </c>
      <c r="W26" s="261">
        <f>SUM(S26:V26)</f>
        <v>-67</v>
      </c>
      <c r="X26" s="260">
        <f>-('BS (F4Q2022)'!X13-'BS (F4Q2022)'!V13)-('BS (F4Q2022)'!X17-'BS (F4Q2022)'!V17)-('BS (F4Q2022)'!X15-'BS (F4Q2022)'!V15)+('BS (F4Q2022)'!X32-'BS (F4Q2022)'!V32)-('BS (F4Q2022)'!X18-'BS (F4Q2022)'!V18)-('BS (F4Q2022)'!X19-'BS (F4Q2022)'!V19)</f>
        <v>0.85043077384059984</v>
      </c>
      <c r="Y26" s="260">
        <f>-('BS (F4Q2022)'!Y13-'BS (F4Q2022)'!X13)-('BS (F4Q2022)'!Y17-'BS (F4Q2022)'!X17)-('BS (F4Q2022)'!Y15-'BS (F4Q2022)'!X15)+('BS (F4Q2022)'!Y32-'BS (F4Q2022)'!X32)-('BS (F4Q2022)'!Y18-'BS (F4Q2022)'!X18)-('BS (F4Q2022)'!Y19-'BS (F4Q2022)'!X19)</f>
        <v>15.818017254917748</v>
      </c>
      <c r="Z26" s="260">
        <f>-('BS (F4Q2022)'!Z13-'BS (F4Q2022)'!Y13)-('BS (F4Q2022)'!Z17-'BS (F4Q2022)'!Y17)-('BS (F4Q2022)'!Z15-'BS (F4Q2022)'!Y15)+('BS (F4Q2022)'!Z32-'BS (F4Q2022)'!Y32)-('BS (F4Q2022)'!Z18-'BS (F4Q2022)'!Y18)-('BS (F4Q2022)'!Z19-'BS (F4Q2022)'!Y19)</f>
        <v>-0.68690028721235308</v>
      </c>
      <c r="AA26" s="260">
        <f>-('BS (F4Q2022)'!AA13-'BS (F4Q2022)'!Z13)-('BS (F4Q2022)'!AA17-'BS (F4Q2022)'!Z17)-('BS (F4Q2022)'!AA15-'BS (F4Q2022)'!Z15)+('BS (F4Q2022)'!AA32-'BS (F4Q2022)'!Z32)-('BS (F4Q2022)'!AA18-'BS (F4Q2022)'!Z18)-('BS (F4Q2022)'!AA19-'BS (F4Q2022)'!Z19)</f>
        <v>3.9493639902572113</v>
      </c>
      <c r="AB26" s="261">
        <f>SUM(X26:AA26)</f>
        <v>19.930911731803207</v>
      </c>
      <c r="AC26" s="260">
        <f>-('BS (F4Q2022)'!AC13-'BS (F4Q2022)'!AA13)-('BS (F4Q2022)'!AC17-'BS (F4Q2022)'!AA17)-('BS (F4Q2022)'!AC15-'BS (F4Q2022)'!AA15)+('BS (F4Q2022)'!AC32-'BS (F4Q2022)'!AA32)-('BS (F4Q2022)'!AC18-'BS (F4Q2022)'!AA18)-('BS (F4Q2022)'!AC19-'BS (F4Q2022)'!AA19)</f>
        <v>-11.394718973147008</v>
      </c>
      <c r="AD26" s="260">
        <f>-('BS (F4Q2022)'!AD13-'BS (F4Q2022)'!AC13)-('BS (F4Q2022)'!AD17-'BS (F4Q2022)'!AC17)-('BS (F4Q2022)'!AD15-'BS (F4Q2022)'!AC15)+('BS (F4Q2022)'!AD32-'BS (F4Q2022)'!AC32)-('BS (F4Q2022)'!AD18-'BS (F4Q2022)'!AC18)-('BS (F4Q2022)'!AD19-'BS (F4Q2022)'!AC19)</f>
        <v>10.285749728060836</v>
      </c>
      <c r="AE26" s="260">
        <f>-('BS (F4Q2022)'!AE13-'BS (F4Q2022)'!AD13)-('BS (F4Q2022)'!AE17-'BS (F4Q2022)'!AD17)-('BS (F4Q2022)'!AE15-'BS (F4Q2022)'!AD15)+('BS (F4Q2022)'!AE32-'BS (F4Q2022)'!AD32)-('BS (F4Q2022)'!AE18-'BS (F4Q2022)'!AD18)-('BS (F4Q2022)'!AE19-'BS (F4Q2022)'!AD19)</f>
        <v>-4.3669167051214686</v>
      </c>
      <c r="AF26" s="260">
        <f>-('BS (F4Q2022)'!AF13-'BS (F4Q2022)'!AE13)-('BS (F4Q2022)'!AF17-'BS (F4Q2022)'!AE17)-('BS (F4Q2022)'!AF15-'BS (F4Q2022)'!AE15)+('BS (F4Q2022)'!AF32-'BS (F4Q2022)'!AE32)-('BS (F4Q2022)'!AF18-'BS (F4Q2022)'!AE18)-('BS (F4Q2022)'!AF19-'BS (F4Q2022)'!AE19)</f>
        <v>-1.1277305422180035</v>
      </c>
      <c r="AG26" s="261">
        <f>SUM(AC26:AF26)</f>
        <v>-6.603616492425644</v>
      </c>
      <c r="AH26" s="260">
        <f>-('BS (F4Q2022)'!AH13-'BS (F4Q2022)'!AF13)-('BS (F4Q2022)'!AH17-'BS (F4Q2022)'!AF17)-('BS (F4Q2022)'!AH15-'BS (F4Q2022)'!AF15)+('BS (F4Q2022)'!AH32-'BS (F4Q2022)'!AF32)-('BS (F4Q2022)'!AH18-'BS (F4Q2022)'!AF18)-('BS (F4Q2022)'!AH19-'BS (F4Q2022)'!AF19)</f>
        <v>-15.690477703430233</v>
      </c>
      <c r="AI26" s="260">
        <f>-('BS (F4Q2022)'!AI13-'BS (F4Q2022)'!AH13)-('BS (F4Q2022)'!AI17-'BS (F4Q2022)'!AH17)-('BS (F4Q2022)'!AI15-'BS (F4Q2022)'!AH15)+('BS (F4Q2022)'!AI32-'BS (F4Q2022)'!AH32)-('BS (F4Q2022)'!AI18-'BS (F4Q2022)'!AH18)-('BS (F4Q2022)'!AI19-'BS (F4Q2022)'!AH19)</f>
        <v>7.3636696265236594</v>
      </c>
      <c r="AJ26" s="260">
        <f>-('BS (F4Q2022)'!AJ13-'BS (F4Q2022)'!AI13)-('BS (F4Q2022)'!AJ17-'BS (F4Q2022)'!AI17)-('BS (F4Q2022)'!AJ15-'BS (F4Q2022)'!AI15)+('BS (F4Q2022)'!AJ32-'BS (F4Q2022)'!AI32)-('BS (F4Q2022)'!AJ18-'BS (F4Q2022)'!AI18)-('BS (F4Q2022)'!AJ19-'BS (F4Q2022)'!AI19)</f>
        <v>-16.038170186492707</v>
      </c>
      <c r="AK26" s="260">
        <f>-('BS (F4Q2022)'!AK13-'BS (F4Q2022)'!AJ13)-('BS (F4Q2022)'!AK17-'BS (F4Q2022)'!AJ17)-('BS (F4Q2022)'!AK15-'BS (F4Q2022)'!AJ15)+('BS (F4Q2022)'!AK32-'BS (F4Q2022)'!AJ32)-('BS (F4Q2022)'!AK18-'BS (F4Q2022)'!AJ18)-('BS (F4Q2022)'!AK19-'BS (F4Q2022)'!AJ19)</f>
        <v>101.77939552112917</v>
      </c>
      <c r="AL26" s="261">
        <f>SUM(AH26:AK26)</f>
        <v>77.414417257729895</v>
      </c>
      <c r="AM26" s="260">
        <f>-('BS (F4Q2022)'!AM13-'BS (F4Q2022)'!AK13)-('BS (F4Q2022)'!AM17-'BS (F4Q2022)'!AK17)-('BS (F4Q2022)'!AM15-'BS (F4Q2022)'!AK15)+('BS (F4Q2022)'!AM32-'BS (F4Q2022)'!AK32)-('BS (F4Q2022)'!AM18-'BS (F4Q2022)'!AK18)-('BS (F4Q2022)'!AM19-'BS (F4Q2022)'!AK19)</f>
        <v>-15.892647478821743</v>
      </c>
      <c r="AN26" s="260">
        <f>-('BS (F4Q2022)'!AN13-'BS (F4Q2022)'!AM13)-('BS (F4Q2022)'!AN17-'BS (F4Q2022)'!AM17)-('BS (F4Q2022)'!AN15-'BS (F4Q2022)'!AM15)+('BS (F4Q2022)'!AN32-'BS (F4Q2022)'!AM32)-('BS (F4Q2022)'!AN18-'BS (F4Q2022)'!AM18)-('BS (F4Q2022)'!AN19-'BS (F4Q2022)'!AM19)</f>
        <v>8.8895006624823196</v>
      </c>
      <c r="AO26" s="260">
        <f>-('BS (F4Q2022)'!AO13-'BS (F4Q2022)'!AN13)-('BS (F4Q2022)'!AO17-'BS (F4Q2022)'!AN17)-('BS (F4Q2022)'!AO15-'BS (F4Q2022)'!AN15)+('BS (F4Q2022)'!AO32-'BS (F4Q2022)'!AN32)-('BS (F4Q2022)'!AO18-'BS (F4Q2022)'!AN18)-('BS (F4Q2022)'!AO19-'BS (F4Q2022)'!AN19)</f>
        <v>-12.476497942196985</v>
      </c>
      <c r="AP26" s="260">
        <f>-('BS (F4Q2022)'!AP13-'BS (F4Q2022)'!AO13)-('BS (F4Q2022)'!AP17-'BS (F4Q2022)'!AO17)-('BS (F4Q2022)'!AP15-'BS (F4Q2022)'!AO15)+('BS (F4Q2022)'!AP32-'BS (F4Q2022)'!AO32)-('BS (F4Q2022)'!AP18-'BS (F4Q2022)'!AO18)-('BS (F4Q2022)'!AP19-'BS (F4Q2022)'!AO19)</f>
        <v>-4.8518690285162265</v>
      </c>
      <c r="AQ26" s="261">
        <f>SUM(AM26:AP26)</f>
        <v>-24.331513787052636</v>
      </c>
      <c r="AR26" s="260">
        <f>-('BS (F4Q2022)'!AR13-'BS (F4Q2022)'!AP13)-('BS (F4Q2022)'!AR17-'BS (F4Q2022)'!AP17)-('BS (F4Q2022)'!AR15-'BS (F4Q2022)'!AP15)+('BS (F4Q2022)'!AR32-'BS (F4Q2022)'!AP32)-('BS (F4Q2022)'!AR18-'BS (F4Q2022)'!AP18)-('BS (F4Q2022)'!AR19-'BS (F4Q2022)'!AP19)</f>
        <v>-20.503237773124155</v>
      </c>
      <c r="AS26" s="260">
        <f>-('BS (F4Q2022)'!AS13-'BS (F4Q2022)'!AR13)-('BS (F4Q2022)'!AS17-'BS (F4Q2022)'!AR17)-('BS (F4Q2022)'!AS15-'BS (F4Q2022)'!AR15)+('BS (F4Q2022)'!AS32-'BS (F4Q2022)'!AR32)-('BS (F4Q2022)'!AS18-'BS (F4Q2022)'!AR18)-('BS (F4Q2022)'!AS19-'BS (F4Q2022)'!AR19)</f>
        <v>6.0787040091915543</v>
      </c>
      <c r="AT26" s="260">
        <f>-('BS (F4Q2022)'!AT13-'BS (F4Q2022)'!AS13)-('BS (F4Q2022)'!AT17-'BS (F4Q2022)'!AS17)-('BS (F4Q2022)'!AT15-'BS (F4Q2022)'!AS15)+('BS (F4Q2022)'!AT32-'BS (F4Q2022)'!AS32)-('BS (F4Q2022)'!AT18-'BS (F4Q2022)'!AS18)-('BS (F4Q2022)'!AT19-'BS (F4Q2022)'!AS19)</f>
        <v>-15.931780398796167</v>
      </c>
      <c r="AU26" s="260">
        <f>-('BS (F4Q2022)'!AU13-'BS (F4Q2022)'!AT13)-('BS (F4Q2022)'!AU17-'BS (F4Q2022)'!AT17)-('BS (F4Q2022)'!AU15-'BS (F4Q2022)'!AT15)+('BS (F4Q2022)'!AU32-'BS (F4Q2022)'!AT32)-('BS (F4Q2022)'!AU18-'BS (F4Q2022)'!AT18)-('BS (F4Q2022)'!AU19-'BS (F4Q2022)'!AT19)</f>
        <v>-7.9026902632935005</v>
      </c>
      <c r="AV26" s="261">
        <f>SUM(AR26:AU26)</f>
        <v>-38.259004426022273</v>
      </c>
    </row>
    <row r="27" spans="2:48" outlineLevel="1" x14ac:dyDescent="0.3">
      <c r="B27" s="587" t="s">
        <v>285</v>
      </c>
      <c r="C27" s="588"/>
      <c r="D27" s="21">
        <f t="shared" ref="D27:AV27" si="27">SUM(D24:D26)</f>
        <v>-510.4</v>
      </c>
      <c r="E27" s="21">
        <f t="shared" si="27"/>
        <v>-200.60000000000002</v>
      </c>
      <c r="F27" s="21">
        <f t="shared" si="27"/>
        <v>204.5</v>
      </c>
      <c r="G27" s="21">
        <f t="shared" si="27"/>
        <v>-504.30000000000007</v>
      </c>
      <c r="H27" s="22">
        <f t="shared" si="27"/>
        <v>-1010.8</v>
      </c>
      <c r="I27" s="21">
        <f t="shared" si="27"/>
        <v>-386.3</v>
      </c>
      <c r="J27" s="21">
        <f t="shared" si="27"/>
        <v>-361.59999999999997</v>
      </c>
      <c r="K27" s="21">
        <f t="shared" si="27"/>
        <v>-583.80000000000007</v>
      </c>
      <c r="L27" s="21">
        <f t="shared" si="27"/>
        <v>-379.79999999999978</v>
      </c>
      <c r="M27" s="22">
        <f t="shared" si="27"/>
        <v>-1711.5</v>
      </c>
      <c r="N27" s="21">
        <f t="shared" si="27"/>
        <v>-272.5</v>
      </c>
      <c r="O27" s="21">
        <f t="shared" si="27"/>
        <v>-306.5</v>
      </c>
      <c r="P27" s="21">
        <f t="shared" si="27"/>
        <v>-407.2</v>
      </c>
      <c r="Q27" s="21">
        <f t="shared" si="27"/>
        <v>666.70000000000016</v>
      </c>
      <c r="R27" s="22">
        <f t="shared" si="27"/>
        <v>-319.49999999999977</v>
      </c>
      <c r="S27" s="21">
        <f t="shared" si="27"/>
        <v>-401</v>
      </c>
      <c r="T27" s="21">
        <f t="shared" si="27"/>
        <v>-479.89999999999992</v>
      </c>
      <c r="U27" s="21">
        <f t="shared" si="27"/>
        <v>-495.4000000000002</v>
      </c>
      <c r="V27" s="21">
        <f t="shared" si="27"/>
        <v>-769.99999999999977</v>
      </c>
      <c r="W27" s="22">
        <f t="shared" si="27"/>
        <v>-2146.2999999999997</v>
      </c>
      <c r="X27" s="21">
        <f t="shared" si="27"/>
        <v>-407.79703154222727</v>
      </c>
      <c r="Y27" s="21">
        <f t="shared" si="27"/>
        <v>-584.61569323143215</v>
      </c>
      <c r="Z27" s="21">
        <f t="shared" si="27"/>
        <v>-679.21600521597043</v>
      </c>
      <c r="AA27" s="21">
        <f t="shared" si="27"/>
        <v>-694.67771091901284</v>
      </c>
      <c r="AB27" s="22">
        <f t="shared" si="27"/>
        <v>-2366.3064409086428</v>
      </c>
      <c r="AC27" s="21">
        <f t="shared" si="27"/>
        <v>-670.74406654697896</v>
      </c>
      <c r="AD27" s="21">
        <f t="shared" si="27"/>
        <v>-639.16706035589459</v>
      </c>
      <c r="AE27" s="21">
        <f t="shared" si="27"/>
        <v>-725.36204123851894</v>
      </c>
      <c r="AF27" s="21">
        <f t="shared" si="27"/>
        <v>-738.25824431041588</v>
      </c>
      <c r="AG27" s="22">
        <f t="shared" si="27"/>
        <v>-2773.5314124518081</v>
      </c>
      <c r="AH27" s="21">
        <f t="shared" si="27"/>
        <v>-708.35401028368074</v>
      </c>
      <c r="AI27" s="21">
        <f t="shared" si="27"/>
        <v>-636.33484545471833</v>
      </c>
      <c r="AJ27" s="21">
        <f t="shared" si="27"/>
        <v>-739.80017749674357</v>
      </c>
      <c r="AK27" s="21">
        <f t="shared" si="27"/>
        <v>-544.52643891938078</v>
      </c>
      <c r="AL27" s="22">
        <f t="shared" si="27"/>
        <v>-2629.0154721545232</v>
      </c>
      <c r="AM27" s="21">
        <f t="shared" si="27"/>
        <v>-780.37766209707115</v>
      </c>
      <c r="AN27" s="21">
        <f t="shared" si="27"/>
        <v>-690.41690064067552</v>
      </c>
      <c r="AO27" s="21">
        <f t="shared" si="27"/>
        <v>-794.346831572067</v>
      </c>
      <c r="AP27" s="21">
        <f t="shared" si="27"/>
        <v>-804.94455535944439</v>
      </c>
      <c r="AQ27" s="22">
        <f t="shared" si="27"/>
        <v>-3070.0859496692583</v>
      </c>
      <c r="AR27" s="21">
        <f t="shared" si="27"/>
        <v>-836.84843484671285</v>
      </c>
      <c r="AS27" s="21">
        <f t="shared" si="27"/>
        <v>-739.09143538917453</v>
      </c>
      <c r="AT27" s="21">
        <f t="shared" si="27"/>
        <v>-848.63481655634678</v>
      </c>
      <c r="AU27" s="21">
        <f t="shared" si="27"/>
        <v>-860.30207010849915</v>
      </c>
      <c r="AV27" s="22">
        <f t="shared" si="27"/>
        <v>-3284.8767569007337</v>
      </c>
    </row>
    <row r="28" spans="2:48" outlineLevel="1" x14ac:dyDescent="0.3">
      <c r="B28" s="625" t="s">
        <v>286</v>
      </c>
      <c r="C28" s="626"/>
      <c r="D28" s="321"/>
      <c r="E28" s="323"/>
      <c r="F28" s="323"/>
      <c r="G28" s="323"/>
      <c r="H28" s="324"/>
      <c r="I28" s="323"/>
      <c r="J28" s="323"/>
      <c r="K28" s="323"/>
      <c r="L28" s="323"/>
      <c r="M28" s="324"/>
      <c r="N28" s="323"/>
      <c r="O28" s="323"/>
      <c r="P28" s="323"/>
      <c r="Q28" s="323"/>
      <c r="R28" s="324"/>
      <c r="S28" s="323"/>
      <c r="T28" s="323"/>
      <c r="U28" s="323"/>
      <c r="V28" s="323"/>
      <c r="W28" s="324"/>
      <c r="X28" s="323"/>
      <c r="Y28" s="323"/>
      <c r="Z28" s="323"/>
      <c r="AA28" s="323"/>
      <c r="AB28" s="324"/>
      <c r="AC28" s="323"/>
      <c r="AD28" s="323"/>
      <c r="AE28" s="323"/>
      <c r="AF28" s="323"/>
      <c r="AG28" s="324"/>
      <c r="AH28" s="323"/>
      <c r="AI28" s="323"/>
      <c r="AJ28" s="323"/>
      <c r="AK28" s="323"/>
      <c r="AL28" s="324"/>
      <c r="AM28" s="323"/>
      <c r="AN28" s="323"/>
      <c r="AO28" s="323"/>
      <c r="AP28" s="323"/>
      <c r="AQ28" s="324"/>
      <c r="AR28" s="323"/>
      <c r="AS28" s="323"/>
      <c r="AT28" s="323"/>
      <c r="AU28" s="323"/>
      <c r="AV28" s="324"/>
    </row>
    <row r="29" spans="2:48" outlineLevel="1" x14ac:dyDescent="0.3">
      <c r="B29" s="623" t="s">
        <v>263</v>
      </c>
      <c r="C29" s="624"/>
      <c r="D29" s="327">
        <v>0</v>
      </c>
      <c r="E29" s="327">
        <f>-D29</f>
        <v>0</v>
      </c>
      <c r="F29" s="327">
        <f>1996-350-E29-D29</f>
        <v>1646</v>
      </c>
      <c r="G29" s="327">
        <f>1996-F29-E29-D29</f>
        <v>350</v>
      </c>
      <c r="H29" s="328">
        <f t="shared" ref="H29:H36" si="28">SUM(D29:G29)</f>
        <v>1996</v>
      </c>
      <c r="I29" s="327">
        <v>0</v>
      </c>
      <c r="J29" s="327">
        <f>1739.7-I29</f>
        <v>1739.7</v>
      </c>
      <c r="K29" s="327">
        <f>1157.2+4727.6-J29-I29</f>
        <v>4145.1000000000004</v>
      </c>
      <c r="L29" s="327">
        <f>1406.6-K29-J29-I29</f>
        <v>-4478.2000000000007</v>
      </c>
      <c r="M29" s="328">
        <f t="shared" ref="M29:M36" si="29">SUM(I29:L29)</f>
        <v>1406.5999999999995</v>
      </c>
      <c r="N29" s="327">
        <v>192.9</v>
      </c>
      <c r="O29" s="327">
        <f>203.3-N29</f>
        <v>10.400000000000006</v>
      </c>
      <c r="P29" s="327">
        <f>215.6-O29-N29</f>
        <v>12.299999999999983</v>
      </c>
      <c r="Q29" s="327">
        <f>-296.5-P29-O29-N29</f>
        <v>-512.09999999999991</v>
      </c>
      <c r="R29" s="328">
        <f t="shared" ref="R29:R36" si="30">SUM(N29:Q29)</f>
        <v>-296.49999999999989</v>
      </c>
      <c r="S29" s="327">
        <v>200</v>
      </c>
      <c r="T29" s="327">
        <f>17.4+1498.1-S29</f>
        <v>1315.5</v>
      </c>
      <c r="U29" s="327">
        <f>200+38.9+1498.1-T29-S29</f>
        <v>221.5</v>
      </c>
      <c r="V29" s="327">
        <f>36.6-36.6+1498.1-1000-U29-T29-S29</f>
        <v>-1238.9000000000001</v>
      </c>
      <c r="W29" s="328">
        <f t="shared" ref="W29:W36" si="31">SUM(S29:V29)</f>
        <v>498.09999999999991</v>
      </c>
      <c r="X29" s="327">
        <f>+('BS (F4Q2022)'!X28-'BS (F4Q2022)'!V28)+('BS (F4Q2022)'!X31-'BS (F4Q2022)'!V31)</f>
        <v>0</v>
      </c>
      <c r="Y29" s="327">
        <f>+('BS (F4Q2022)'!Y28-'BS (F4Q2022)'!X28)+('BS (F4Q2022)'!Y31-'BS (F4Q2022)'!X31)</f>
        <v>0</v>
      </c>
      <c r="Z29" s="327">
        <f>+('BS (F4Q2022)'!Z28-'BS (F4Q2022)'!Y28)+('BS (F4Q2022)'!Z31-'BS (F4Q2022)'!Y31)</f>
        <v>0</v>
      </c>
      <c r="AA29" s="327">
        <f>+('BS (F4Q2022)'!AA28-'BS (F4Q2022)'!Z28)+('BS (F4Q2022)'!AA31-'BS (F4Q2022)'!Z31)</f>
        <v>0</v>
      </c>
      <c r="AB29" s="328">
        <f t="shared" ref="AB29:AB36" si="32">SUM(X29:AA29)</f>
        <v>0</v>
      </c>
      <c r="AC29" s="327">
        <f>+('BS (F4Q2022)'!AC28-'BS (F4Q2022)'!AA28)+('BS (F4Q2022)'!AC31-'BS (F4Q2022)'!AA31)</f>
        <v>0</v>
      </c>
      <c r="AD29" s="327">
        <f>+('BS (F4Q2022)'!AD28-'BS (F4Q2022)'!AC28)+('BS (F4Q2022)'!AD31-'BS (F4Q2022)'!AC31)</f>
        <v>-0.29999999999995453</v>
      </c>
      <c r="AE29" s="327">
        <f>+('BS (F4Q2022)'!AE28-'BS (F4Q2022)'!AD28)+('BS (F4Q2022)'!AE31-'BS (F4Q2022)'!AD31)</f>
        <v>0</v>
      </c>
      <c r="AF29" s="327">
        <f>+('BS (F4Q2022)'!AF28-'BS (F4Q2022)'!AE28)+('BS (F4Q2022)'!AF31-'BS (F4Q2022)'!AE31)</f>
        <v>100</v>
      </c>
      <c r="AG29" s="328">
        <f t="shared" ref="AG29:AG36" si="33">SUM(AC29:AF29)</f>
        <v>99.700000000000045</v>
      </c>
      <c r="AH29" s="327">
        <f>+('BS (F4Q2022)'!AH28-'BS (F4Q2022)'!AF28)+('BS (F4Q2022)'!AH31-'BS (F4Q2022)'!AF31)</f>
        <v>0</v>
      </c>
      <c r="AI29" s="327">
        <f>+('BS (F4Q2022)'!AI28-'BS (F4Q2022)'!AH28)+('BS (F4Q2022)'!AI31-'BS (F4Q2022)'!AH31)</f>
        <v>0</v>
      </c>
      <c r="AJ29" s="327">
        <f>+('BS (F4Q2022)'!AJ28-'BS (F4Q2022)'!AI28)+('BS (F4Q2022)'!AJ31-'BS (F4Q2022)'!AI31)</f>
        <v>5541.9811973151791</v>
      </c>
      <c r="AK29" s="327">
        <f>+('BS (F4Q2022)'!AK28-'BS (F4Q2022)'!AJ28)+('BS (F4Q2022)'!AK31-'BS (F4Q2022)'!AJ31)</f>
        <v>0</v>
      </c>
      <c r="AL29" s="328">
        <f t="shared" ref="AL29:AL36" si="34">SUM(AH29:AK29)</f>
        <v>5541.9811973151791</v>
      </c>
      <c r="AM29" s="327">
        <f>+('BS (F4Q2022)'!AM28-'BS (F4Q2022)'!AK28)+('BS (F4Q2022)'!AM31-'BS (F4Q2022)'!AK31)</f>
        <v>0</v>
      </c>
      <c r="AN29" s="327">
        <f>+('BS (F4Q2022)'!AN28-'BS (F4Q2022)'!AM28)+('BS (F4Q2022)'!AN31-'BS (F4Q2022)'!AM31)</f>
        <v>0</v>
      </c>
      <c r="AO29" s="327">
        <f>+('BS (F4Q2022)'!AO28-'BS (F4Q2022)'!AN28)+('BS (F4Q2022)'!AO31-'BS (F4Q2022)'!AN31)</f>
        <v>0</v>
      </c>
      <c r="AP29" s="327">
        <f>+('BS (F4Q2022)'!AP28-'BS (F4Q2022)'!AO28)+('BS (F4Q2022)'!AP31-'BS (F4Q2022)'!AO31)</f>
        <v>0</v>
      </c>
      <c r="AQ29" s="328">
        <f t="shared" ref="AQ29:AQ36" si="35">SUM(AM29:AP29)</f>
        <v>0</v>
      </c>
      <c r="AR29" s="327">
        <f>+('BS (F4Q2022)'!AR28-'BS (F4Q2022)'!AP28)+('BS (F4Q2022)'!AR31-'BS (F4Q2022)'!AP31)</f>
        <v>0</v>
      </c>
      <c r="AS29" s="327">
        <f>+('BS (F4Q2022)'!AS28-'BS (F4Q2022)'!AR28)+('BS (F4Q2022)'!AS31-'BS (F4Q2022)'!AR31)</f>
        <v>0</v>
      </c>
      <c r="AT29" s="327">
        <f>+('BS (F4Q2022)'!AT28-'BS (F4Q2022)'!AS28)+('BS (F4Q2022)'!AT31-'BS (F4Q2022)'!AS31)</f>
        <v>0</v>
      </c>
      <c r="AU29" s="327">
        <f>+('BS (F4Q2022)'!AU28-'BS (F4Q2022)'!AT28)+('BS (F4Q2022)'!AU31-'BS (F4Q2022)'!AT31)</f>
        <v>0</v>
      </c>
      <c r="AV29" s="328">
        <f t="shared" ref="AV29:AV36" si="36">SUM(AR29:AU29)</f>
        <v>0</v>
      </c>
    </row>
    <row r="30" spans="2:48" outlineLevel="1" x14ac:dyDescent="0.3">
      <c r="B30" s="325" t="s">
        <v>287</v>
      </c>
      <c r="C30" s="326"/>
      <c r="D30" s="327">
        <v>-350</v>
      </c>
      <c r="E30" s="327">
        <v>0</v>
      </c>
      <c r="F30" s="327">
        <f>-75-E30-D30</f>
        <v>275</v>
      </c>
      <c r="G30" s="327">
        <f>-350-F30-E30-D30</f>
        <v>-275</v>
      </c>
      <c r="H30" s="328">
        <f t="shared" si="28"/>
        <v>-350</v>
      </c>
      <c r="I30" s="327"/>
      <c r="J30" s="327">
        <f>0-I30</f>
        <v>0</v>
      </c>
      <c r="K30" s="327">
        <v>-220.7</v>
      </c>
      <c r="L30" s="327">
        <f>-967.7-K30-J30-I30</f>
        <v>-747</v>
      </c>
      <c r="M30" s="328">
        <f t="shared" si="29"/>
        <v>-967.7</v>
      </c>
      <c r="N30" s="327">
        <f>-144.7-500</f>
        <v>-644.70000000000005</v>
      </c>
      <c r="O30" s="327">
        <f>-296.5-320.5-1250-N30</f>
        <v>-1222.3</v>
      </c>
      <c r="P30" s="327">
        <f>-296.5-346.2-1250-O30-N30</f>
        <v>-25.700000000000045</v>
      </c>
      <c r="Q30" s="327">
        <f>215.1-349.8-1250-P30-O30-N30</f>
        <v>508</v>
      </c>
      <c r="R30" s="328">
        <f t="shared" si="30"/>
        <v>-1384.7</v>
      </c>
      <c r="S30" s="327"/>
      <c r="T30" s="327">
        <v>-12.6</v>
      </c>
      <c r="U30" s="327">
        <f>-38.9-1000-T30-S30</f>
        <v>-1026.3000000000002</v>
      </c>
      <c r="V30" s="327">
        <f>175-U30-T30-S30</f>
        <v>1213.9000000000001</v>
      </c>
      <c r="W30" s="328">
        <f t="shared" si="31"/>
        <v>175</v>
      </c>
      <c r="X30" s="327"/>
      <c r="Y30" s="327"/>
      <c r="Z30" s="327"/>
      <c r="AA30" s="327"/>
      <c r="AB30" s="328">
        <f t="shared" si="32"/>
        <v>0</v>
      </c>
      <c r="AC30" s="327"/>
      <c r="AD30" s="327"/>
      <c r="AE30" s="327"/>
      <c r="AF30" s="327"/>
      <c r="AG30" s="328">
        <f t="shared" si="33"/>
        <v>0</v>
      </c>
      <c r="AH30" s="327"/>
      <c r="AI30" s="327"/>
      <c r="AJ30" s="327"/>
      <c r="AK30" s="327"/>
      <c r="AL30" s="328">
        <f t="shared" si="34"/>
        <v>0</v>
      </c>
      <c r="AM30" s="327"/>
      <c r="AN30" s="327"/>
      <c r="AO30" s="327"/>
      <c r="AP30" s="327"/>
      <c r="AQ30" s="328">
        <f t="shared" si="35"/>
        <v>0</v>
      </c>
      <c r="AR30" s="327"/>
      <c r="AS30" s="327"/>
      <c r="AT30" s="327"/>
      <c r="AU30" s="327"/>
      <c r="AV30" s="328">
        <f t="shared" si="36"/>
        <v>0</v>
      </c>
    </row>
    <row r="31" spans="2:48" outlineLevel="1" x14ac:dyDescent="0.3">
      <c r="B31" s="325" t="s">
        <v>288</v>
      </c>
      <c r="C31" s="326"/>
      <c r="D31" s="327"/>
      <c r="E31" s="327">
        <v>75</v>
      </c>
      <c r="F31" s="327">
        <v>0</v>
      </c>
      <c r="G31" s="327">
        <f>0-F31-E31-D31</f>
        <v>-75</v>
      </c>
      <c r="H31" s="328">
        <f t="shared" si="28"/>
        <v>0</v>
      </c>
      <c r="I31" s="327">
        <f>398.9+99</f>
        <v>497.9</v>
      </c>
      <c r="J31" s="327">
        <f>613+494.1-I31</f>
        <v>609.19999999999993</v>
      </c>
      <c r="K31" s="327">
        <f>0-J31-I31</f>
        <v>-1107.0999999999999</v>
      </c>
      <c r="L31" s="327">
        <f>4727.6-K31-J31-I31</f>
        <v>4727.6000000000013</v>
      </c>
      <c r="M31" s="328">
        <f t="shared" si="29"/>
        <v>4727.6000000000013</v>
      </c>
      <c r="N31" s="327">
        <v>0</v>
      </c>
      <c r="O31" s="327">
        <f>0-N31</f>
        <v>0</v>
      </c>
      <c r="P31" s="327">
        <f>0-O31-N31</f>
        <v>0</v>
      </c>
      <c r="Q31" s="327">
        <f>0-P31-O31-N31</f>
        <v>0</v>
      </c>
      <c r="R31" s="328">
        <f t="shared" si="30"/>
        <v>0</v>
      </c>
      <c r="S31" s="327">
        <v>0</v>
      </c>
      <c r="T31" s="327">
        <f>0-S31</f>
        <v>0</v>
      </c>
      <c r="U31" s="327">
        <f t="shared" ref="U31" si="37">0-T31-S31</f>
        <v>0</v>
      </c>
      <c r="V31" s="327">
        <f t="shared" ref="V31" si="38">0-U31-T31-S31</f>
        <v>0</v>
      </c>
      <c r="W31" s="328">
        <f t="shared" si="31"/>
        <v>0</v>
      </c>
      <c r="X31" s="327"/>
      <c r="Y31" s="327"/>
      <c r="Z31" s="327"/>
      <c r="AA31" s="327"/>
      <c r="AB31" s="328">
        <f t="shared" si="32"/>
        <v>0</v>
      </c>
      <c r="AC31" s="327"/>
      <c r="AD31" s="327"/>
      <c r="AE31" s="327"/>
      <c r="AF31" s="327"/>
      <c r="AG31" s="328">
        <f t="shared" si="33"/>
        <v>0</v>
      </c>
      <c r="AH31" s="327"/>
      <c r="AI31" s="327"/>
      <c r="AJ31" s="327"/>
      <c r="AK31" s="327"/>
      <c r="AL31" s="328">
        <f t="shared" si="34"/>
        <v>0</v>
      </c>
      <c r="AM31" s="327"/>
      <c r="AN31" s="327"/>
      <c r="AO31" s="327"/>
      <c r="AP31" s="327"/>
      <c r="AQ31" s="328">
        <f t="shared" si="35"/>
        <v>0</v>
      </c>
      <c r="AR31" s="327"/>
      <c r="AS31" s="327"/>
      <c r="AT31" s="327"/>
      <c r="AU31" s="327"/>
      <c r="AV31" s="328">
        <f t="shared" si="36"/>
        <v>0</v>
      </c>
    </row>
    <row r="32" spans="2:48" outlineLevel="1" x14ac:dyDescent="0.3">
      <c r="B32" s="325" t="s">
        <v>289</v>
      </c>
      <c r="C32" s="326"/>
      <c r="D32" s="327">
        <v>108.4</v>
      </c>
      <c r="E32" s="327">
        <f>275.7-D32</f>
        <v>167.29999999999998</v>
      </c>
      <c r="F32" s="327">
        <f>358.5-E32-D32</f>
        <v>82.800000000000011</v>
      </c>
      <c r="G32" s="327">
        <f>409.8-F32-E32-D32</f>
        <v>51.300000000000011</v>
      </c>
      <c r="H32" s="328">
        <f t="shared" si="28"/>
        <v>409.8</v>
      </c>
      <c r="I32" s="327">
        <v>33.1</v>
      </c>
      <c r="J32" s="327">
        <f>65.4-I32</f>
        <v>32.300000000000004</v>
      </c>
      <c r="K32" s="327">
        <f>98.9-J32-I32</f>
        <v>33.499999999999993</v>
      </c>
      <c r="L32" s="327">
        <f>298.8-K32-J32-I32</f>
        <v>199.9</v>
      </c>
      <c r="M32" s="328">
        <f t="shared" si="29"/>
        <v>298.8</v>
      </c>
      <c r="N32" s="327">
        <v>102.8</v>
      </c>
      <c r="O32" s="327">
        <f>134.4-N32</f>
        <v>31.600000000000009</v>
      </c>
      <c r="P32" s="327">
        <f>191.6-O32-N32</f>
        <v>57.2</v>
      </c>
      <c r="Q32" s="327">
        <f>246.2-P32-O32-N32</f>
        <v>54.59999999999998</v>
      </c>
      <c r="R32" s="328">
        <f t="shared" si="30"/>
        <v>246.2</v>
      </c>
      <c r="S32" s="327">
        <v>41.3</v>
      </c>
      <c r="T32" s="327">
        <f>56.3-S32</f>
        <v>15</v>
      </c>
      <c r="U32" s="327">
        <f>75.5-T32-S32</f>
        <v>19.200000000000003</v>
      </c>
      <c r="V32" s="327">
        <f>101.6-U32-T32-S32</f>
        <v>26.099999999999994</v>
      </c>
      <c r="W32" s="328">
        <f t="shared" si="31"/>
        <v>101.6</v>
      </c>
      <c r="X32" s="327">
        <v>0</v>
      </c>
      <c r="Y32" s="327">
        <v>0</v>
      </c>
      <c r="Z32" s="327">
        <v>0</v>
      </c>
      <c r="AA32" s="327">
        <v>0</v>
      </c>
      <c r="AB32" s="328">
        <f t="shared" si="32"/>
        <v>0</v>
      </c>
      <c r="AC32" s="327">
        <v>0</v>
      </c>
      <c r="AD32" s="327">
        <v>0</v>
      </c>
      <c r="AE32" s="327">
        <v>0</v>
      </c>
      <c r="AF32" s="327">
        <v>0</v>
      </c>
      <c r="AG32" s="328">
        <f t="shared" si="33"/>
        <v>0</v>
      </c>
      <c r="AH32" s="327">
        <v>0</v>
      </c>
      <c r="AI32" s="327">
        <v>0</v>
      </c>
      <c r="AJ32" s="327">
        <v>0</v>
      </c>
      <c r="AK32" s="327">
        <v>0</v>
      </c>
      <c r="AL32" s="328">
        <f t="shared" si="34"/>
        <v>0</v>
      </c>
      <c r="AM32" s="327">
        <v>0</v>
      </c>
      <c r="AN32" s="327">
        <v>0</v>
      </c>
      <c r="AO32" s="327">
        <v>0</v>
      </c>
      <c r="AP32" s="327">
        <v>0</v>
      </c>
      <c r="AQ32" s="328">
        <f t="shared" si="35"/>
        <v>0</v>
      </c>
      <c r="AR32" s="327">
        <v>0</v>
      </c>
      <c r="AS32" s="327">
        <v>0</v>
      </c>
      <c r="AT32" s="327">
        <v>0</v>
      </c>
      <c r="AU32" s="327">
        <v>0</v>
      </c>
      <c r="AV32" s="328">
        <f t="shared" si="36"/>
        <v>0</v>
      </c>
    </row>
    <row r="33" spans="2:48" outlineLevel="1" x14ac:dyDescent="0.3">
      <c r="B33" s="325" t="s">
        <v>290</v>
      </c>
      <c r="C33" s="326"/>
      <c r="D33" s="327">
        <v>-446.7</v>
      </c>
      <c r="E33" s="327">
        <f>-894.5-D33</f>
        <v>-447.8</v>
      </c>
      <c r="F33" s="327">
        <f>-1330.7-E33-D33</f>
        <v>-436.2000000000001</v>
      </c>
      <c r="G33" s="327">
        <f>-1761.3-F33-E33-D33</f>
        <v>-430.59999999999997</v>
      </c>
      <c r="H33" s="328">
        <f t="shared" si="28"/>
        <v>-1761.3</v>
      </c>
      <c r="I33" s="327">
        <v>-484.2</v>
      </c>
      <c r="J33" s="327">
        <f>-965.2-I33</f>
        <v>-481.00000000000006</v>
      </c>
      <c r="K33" s="327">
        <f>-1444.2-J33-I33</f>
        <v>-479.00000000000006</v>
      </c>
      <c r="L33" s="327">
        <f>-1923.5-K33-J33-I33</f>
        <v>-479.3</v>
      </c>
      <c r="M33" s="328">
        <f t="shared" si="29"/>
        <v>-1923.5</v>
      </c>
      <c r="N33" s="327">
        <v>-528.20000000000005</v>
      </c>
      <c r="O33" s="327">
        <f>-1058-N33</f>
        <v>-529.79999999999995</v>
      </c>
      <c r="P33" s="327">
        <f>-1588.2-O33-N33</f>
        <v>-530.20000000000005</v>
      </c>
      <c r="Q33" s="327">
        <f>-2119-P33-O33-N33</f>
        <v>-530.79999999999995</v>
      </c>
      <c r="R33" s="328">
        <f t="shared" si="30"/>
        <v>-2119</v>
      </c>
      <c r="S33" s="327">
        <v>-576</v>
      </c>
      <c r="T33" s="327">
        <f>-1139.2-S33</f>
        <v>-563.20000000000005</v>
      </c>
      <c r="U33" s="327">
        <f>-1701.1-T33-S33</f>
        <v>-561.89999999999986</v>
      </c>
      <c r="V33" s="327">
        <f>-2263.3-U33-T33-S33</f>
        <v>-562.20000000000027</v>
      </c>
      <c r="W33" s="328">
        <f t="shared" si="31"/>
        <v>-2263.3000000000002</v>
      </c>
      <c r="X33" s="327">
        <f>-'IS (F4Q2022)'!X35*'IS (F4Q2022)'!X30</f>
        <v>-609.58030771444623</v>
      </c>
      <c r="Y33" s="327">
        <f>-'IS (F4Q2022)'!Y35*'IS (F4Q2022)'!Y30</f>
        <v>-610.79946832987514</v>
      </c>
      <c r="Z33" s="327">
        <f>-'IS (F4Q2022)'!Z35*'IS (F4Q2022)'!Z30</f>
        <v>-612.02106726653483</v>
      </c>
      <c r="AA33" s="327">
        <f>-'IS (F4Q2022)'!AA35*'IS (F4Q2022)'!AA30</f>
        <v>-643.90736487112133</v>
      </c>
      <c r="AB33" s="328">
        <f t="shared" si="32"/>
        <v>-2476.3082081819775</v>
      </c>
      <c r="AC33" s="327">
        <f>-'IS (F4Q2022)'!X35*'IS (F4Q2022)'!X30</f>
        <v>-609.58030771444623</v>
      </c>
      <c r="AD33" s="327">
        <f>-'IS (F4Q2022)'!Y35*'IS (F4Q2022)'!Y30</f>
        <v>-610.79946832987514</v>
      </c>
      <c r="AE33" s="327">
        <f>-'IS (F4Q2022)'!Z35*'IS (F4Q2022)'!Z30</f>
        <v>-612.02106726653483</v>
      </c>
      <c r="AF33" s="327">
        <f>-'IS (F4Q2022)'!AA35*'IS (F4Q2022)'!AA30</f>
        <v>-643.90736487112133</v>
      </c>
      <c r="AG33" s="328">
        <f t="shared" si="33"/>
        <v>-2476.3082081819775</v>
      </c>
      <c r="AH33" s="327">
        <f>-'IS (F4Q2022)'!AC35*'IS (F4Q2022)'!AC30</f>
        <v>-645.19517960086364</v>
      </c>
      <c r="AI33" s="327">
        <f>-'IS (F4Q2022)'!AD35*'IS (F4Q2022)'!AD30</f>
        <v>-646.48556996006528</v>
      </c>
      <c r="AJ33" s="327">
        <f>-'IS (F4Q2022)'!AE35*'IS (F4Q2022)'!AE30</f>
        <v>-647.28471393949167</v>
      </c>
      <c r="AK33" s="327">
        <f>-'IS (F4Q2022)'!AF35*'IS (F4Q2022)'!AF30</f>
        <v>-680.48972901722072</v>
      </c>
      <c r="AL33" s="328">
        <f t="shared" si="34"/>
        <v>-2619.4551925176411</v>
      </c>
      <c r="AM33" s="327">
        <f>-'IS (F4Q2022)'!AH35*'IS (F4Q2022)'!AH30</f>
        <v>-681.35688131476138</v>
      </c>
      <c r="AN33" s="327">
        <f>-'IS (F4Q2022)'!AI35*'IS (F4Q2022)'!AI30</f>
        <v>-682.2257679168971</v>
      </c>
      <c r="AO33" s="327">
        <f>-'IS (F4Q2022)'!AJ35*'IS (F4Q2022)'!AJ30</f>
        <v>-656.71623823142136</v>
      </c>
      <c r="AP33" s="327">
        <f>-'IS (F4Q2022)'!AK35*'IS (F4Q2022)'!AK30</f>
        <v>-662.71347396090346</v>
      </c>
      <c r="AQ33" s="328">
        <f t="shared" si="35"/>
        <v>-2683.0123614239833</v>
      </c>
      <c r="AR33" s="327">
        <f>-'IS (F4Q2022)'!AM35*'IS (F4Q2022)'!AM30</f>
        <v>-662.795119814298</v>
      </c>
      <c r="AS33" s="327">
        <f>-'IS (F4Q2022)'!AN35*'IS (F4Q2022)'!AN30</f>
        <v>-662.87692895939927</v>
      </c>
      <c r="AT33" s="327">
        <f>-'IS (F4Q2022)'!AO35*'IS (F4Q2022)'!AO30</f>
        <v>-662.95890172279076</v>
      </c>
      <c r="AU33" s="327">
        <f>-'IS (F4Q2022)'!AP35*'IS (F4Q2022)'!AP30</f>
        <v>-676.3018592003433</v>
      </c>
      <c r="AV33" s="328">
        <f t="shared" si="36"/>
        <v>-2664.9328096968311</v>
      </c>
    </row>
    <row r="34" spans="2:48" outlineLevel="1" x14ac:dyDescent="0.3">
      <c r="B34" s="325" t="s">
        <v>291</v>
      </c>
      <c r="C34" s="338"/>
      <c r="D34" s="327">
        <v>-5114.7</v>
      </c>
      <c r="E34" s="327">
        <f>-7827.9-D34</f>
        <v>-2713.2</v>
      </c>
      <c r="F34" s="327">
        <f>-7972.9-E34-D34</f>
        <v>-145</v>
      </c>
      <c r="G34" s="327">
        <f>-10222.3-F34-E34-D34</f>
        <v>-2249.3999999999996</v>
      </c>
      <c r="H34" s="328">
        <f t="shared" si="28"/>
        <v>-10222.299999999999</v>
      </c>
      <c r="I34" s="327">
        <v>-1091.4000000000001</v>
      </c>
      <c r="J34" s="327">
        <f>-1698.9-I34</f>
        <v>-607.5</v>
      </c>
      <c r="K34" s="327">
        <f>-1698.9-J34-I34</f>
        <v>0</v>
      </c>
      <c r="L34" s="327">
        <f>-1698.9-K34-J34-I34</f>
        <v>0</v>
      </c>
      <c r="M34" s="328">
        <f t="shared" si="29"/>
        <v>-1698.9</v>
      </c>
      <c r="N34" s="327">
        <v>0</v>
      </c>
      <c r="O34" s="327">
        <f>0-N34</f>
        <v>0</v>
      </c>
      <c r="P34" s="327">
        <f>0-O34-N34</f>
        <v>0</v>
      </c>
      <c r="Q34" s="327">
        <f>0-P34-O34-N34</f>
        <v>0</v>
      </c>
      <c r="R34" s="328">
        <f t="shared" si="30"/>
        <v>0</v>
      </c>
      <c r="S34" s="327">
        <v>-3520.9</v>
      </c>
      <c r="T34" s="327">
        <f>-3997.5-S34</f>
        <v>-476.59999999999991</v>
      </c>
      <c r="U34" s="327">
        <f>-4013-T34-S34</f>
        <v>-15.5</v>
      </c>
      <c r="V34" s="327">
        <f>-4013-U34-T34-S34</f>
        <v>0</v>
      </c>
      <c r="W34" s="328">
        <f t="shared" si="31"/>
        <v>-4013</v>
      </c>
      <c r="X34" s="327">
        <f>-'IS (F4Q2022)'!X154</f>
        <v>0</v>
      </c>
      <c r="Y34" s="327">
        <f>-'IS (F4Q2022)'!Y154</f>
        <v>0</v>
      </c>
      <c r="Z34" s="327">
        <f>-'IS (F4Q2022)'!Z154</f>
        <v>0</v>
      </c>
      <c r="AA34" s="327">
        <f>-'IS (F4Q2022)'!AA154</f>
        <v>0</v>
      </c>
      <c r="AB34" s="328">
        <f t="shared" si="32"/>
        <v>0</v>
      </c>
      <c r="AC34" s="327">
        <f>-'IS (F4Q2022)'!AC154</f>
        <v>0</v>
      </c>
      <c r="AD34" s="327">
        <f>-'IS (F4Q2022)'!AD154</f>
        <v>0</v>
      </c>
      <c r="AE34" s="327">
        <f>-'IS (F4Q2022)'!AE154</f>
        <v>-100</v>
      </c>
      <c r="AF34" s="327">
        <f>-'IS (F4Q2022)'!AF154</f>
        <v>-100</v>
      </c>
      <c r="AG34" s="328">
        <f t="shared" si="33"/>
        <v>-200</v>
      </c>
      <c r="AH34" s="327">
        <f>-'IS (F4Q2022)'!AH154</f>
        <v>-100</v>
      </c>
      <c r="AI34" s="327">
        <f>-'IS (F4Q2022)'!AI154</f>
        <v>-100</v>
      </c>
      <c r="AJ34" s="327">
        <f>-'IS (F4Q2022)'!AJ154</f>
        <v>-5441.98119731518</v>
      </c>
      <c r="AK34" s="327">
        <f>-'IS (F4Q2022)'!AK154</f>
        <v>-5441.98119731518</v>
      </c>
      <c r="AL34" s="328">
        <f t="shared" si="34"/>
        <v>-11083.96239463036</v>
      </c>
      <c r="AM34" s="327">
        <f>-'IS (F4Q2022)'!AM154</f>
        <v>-250</v>
      </c>
      <c r="AN34" s="327">
        <f>-'IS (F4Q2022)'!AN154</f>
        <v>-250</v>
      </c>
      <c r="AO34" s="327">
        <f>-'IS (F4Q2022)'!AO154</f>
        <v>-250</v>
      </c>
      <c r="AP34" s="327">
        <f>-'IS (F4Q2022)'!AP154</f>
        <v>-250</v>
      </c>
      <c r="AQ34" s="328">
        <f t="shared" si="35"/>
        <v>-1000</v>
      </c>
      <c r="AR34" s="327">
        <f>-'IS (F4Q2022)'!AR154</f>
        <v>-250</v>
      </c>
      <c r="AS34" s="327">
        <f>-'IS (F4Q2022)'!AS154</f>
        <v>-250</v>
      </c>
      <c r="AT34" s="327">
        <f>-'IS (F4Q2022)'!AT154</f>
        <v>-250</v>
      </c>
      <c r="AU34" s="327">
        <f>-'IS (F4Q2022)'!AU154</f>
        <v>-250</v>
      </c>
      <c r="AV34" s="328">
        <f t="shared" si="36"/>
        <v>-1000</v>
      </c>
    </row>
    <row r="35" spans="2:48" outlineLevel="1" x14ac:dyDescent="0.3">
      <c r="B35" s="325" t="s">
        <v>292</v>
      </c>
      <c r="C35" s="339"/>
      <c r="D35" s="327">
        <v>-55.3</v>
      </c>
      <c r="E35" s="327">
        <f>-56.3-D35</f>
        <v>-1</v>
      </c>
      <c r="F35" s="327">
        <f>-106.1-E35-D35</f>
        <v>-49.8</v>
      </c>
      <c r="G35" s="327">
        <f>-111.6-F35-E35-D35</f>
        <v>-5.5</v>
      </c>
      <c r="H35" s="328">
        <f t="shared" si="28"/>
        <v>-111.6</v>
      </c>
      <c r="I35" s="327">
        <v>-78.400000000000006</v>
      </c>
      <c r="J35" s="327">
        <f>-87.6-I35</f>
        <v>-9.1999999999999886</v>
      </c>
      <c r="K35" s="327">
        <f>-89.1-J35-I35</f>
        <v>-1.5</v>
      </c>
      <c r="L35" s="327">
        <f>-91.9-K35-J35-I35</f>
        <v>-2.8000000000000114</v>
      </c>
      <c r="M35" s="328">
        <f t="shared" si="29"/>
        <v>-91.9</v>
      </c>
      <c r="N35" s="327">
        <v>-88.6</v>
      </c>
      <c r="O35" s="327">
        <f>-90.1-N35</f>
        <v>-1.5</v>
      </c>
      <c r="P35" s="327">
        <f>-94.2-O35-N35</f>
        <v>-4.1000000000000085</v>
      </c>
      <c r="Q35" s="327">
        <f>-97-P35-O35-N35</f>
        <v>-2.7999999999999972</v>
      </c>
      <c r="R35" s="328">
        <f t="shared" si="30"/>
        <v>-97</v>
      </c>
      <c r="S35" s="327">
        <v>-113.6</v>
      </c>
      <c r="T35" s="327">
        <f>-122.1-S35</f>
        <v>-8.5</v>
      </c>
      <c r="U35" s="327">
        <f>-123.5-T35-S35</f>
        <v>-1.4000000000000057</v>
      </c>
      <c r="V35" s="327">
        <f>-127.2-U35-T35-S35</f>
        <v>-3.7000000000000028</v>
      </c>
      <c r="W35" s="328">
        <f t="shared" si="31"/>
        <v>-127.2</v>
      </c>
      <c r="X35" s="327">
        <f>(V35/V12)*X12</f>
        <v>-4.1850155062450822</v>
      </c>
      <c r="Y35" s="327">
        <f>(X35/X12)*Y12</f>
        <v>-3.6317430859271091</v>
      </c>
      <c r="Z35" s="327">
        <f>(Y35/Y12)*Z12</f>
        <v>-4.0488430437703915</v>
      </c>
      <c r="AA35" s="327">
        <f>(Z35/Z12)*AA12</f>
        <v>-4.266803020140479</v>
      </c>
      <c r="AB35" s="328">
        <f t="shared" si="32"/>
        <v>-16.132404656083061</v>
      </c>
      <c r="AC35" s="327">
        <f>(AA35/AA12)*AC12</f>
        <v>-4.3945009647173237</v>
      </c>
      <c r="AD35" s="327">
        <f>(AC35/AC12)*AD12</f>
        <v>-4.0821944753649175</v>
      </c>
      <c r="AE35" s="327">
        <f>(AD35/AD12)*AE12</f>
        <v>-4.5012375972289993</v>
      </c>
      <c r="AF35" s="327">
        <f>(AE35/AE12)*AF12</f>
        <v>-4.6727550509323725</v>
      </c>
      <c r="AG35" s="328">
        <f t="shared" si="33"/>
        <v>-17.650688088243616</v>
      </c>
      <c r="AH35" s="327">
        <f>(AF35/AF12)*AH12</f>
        <v>-4.8543743264861572</v>
      </c>
      <c r="AI35" s="327">
        <f>(AH35/AH12)*AI12</f>
        <v>-4.5749101333081912</v>
      </c>
      <c r="AJ35" s="327">
        <f>(AI35/AI12)*AJ12</f>
        <v>-5.0244028481571545</v>
      </c>
      <c r="AK35" s="327">
        <f>(AJ35/AJ12)*AK12</f>
        <v>-5.2092180813310032</v>
      </c>
      <c r="AL35" s="328">
        <f t="shared" si="34"/>
        <v>-19.662905389282507</v>
      </c>
      <c r="AM35" s="327">
        <f>(AK35/AK12)*AM12</f>
        <v>-5.3339228966539993</v>
      </c>
      <c r="AN35" s="327">
        <f>(AM35/AM12)*AN12</f>
        <v>-5.0120449979080108</v>
      </c>
      <c r="AO35" s="327">
        <f>(AN35/AN12)*AO12</f>
        <v>-5.4780246512180639</v>
      </c>
      <c r="AP35" s="327">
        <f>(AO35/AO12)*AP12</f>
        <v>-5.6586347666869843</v>
      </c>
      <c r="AQ35" s="328">
        <f t="shared" si="35"/>
        <v>-21.482627312467059</v>
      </c>
      <c r="AR35" s="327">
        <f>(AP35/AP12)*AR12</f>
        <v>-5.6796056100886201</v>
      </c>
      <c r="AS35" s="327">
        <f>(AR35/AR12)*AS12</f>
        <v>-5.3342460548228354</v>
      </c>
      <c r="AT35" s="327">
        <f>(AS35/AS12)*AT12</f>
        <v>-5.8275653458653647</v>
      </c>
      <c r="AU35" s="327">
        <f>(AT35/AT12)*AU12</f>
        <v>-6.0192179089199751</v>
      </c>
      <c r="AV35" s="328">
        <f t="shared" si="36"/>
        <v>-22.8606349196968</v>
      </c>
    </row>
    <row r="36" spans="2:48" ht="16.2" outlineLevel="1" x14ac:dyDescent="0.45">
      <c r="B36" s="623" t="s">
        <v>293</v>
      </c>
      <c r="C36" s="624"/>
      <c r="D36" s="329">
        <v>-0.3</v>
      </c>
      <c r="E36" s="329">
        <f>0.1-D36</f>
        <v>0.4</v>
      </c>
      <c r="F36" s="329">
        <f>-17.6-E36-D36</f>
        <v>-17.7</v>
      </c>
      <c r="G36" s="329">
        <f>-17.5-F36-E36-D36</f>
        <v>9.9999999999999256E-2</v>
      </c>
      <c r="H36" s="330">
        <f t="shared" si="28"/>
        <v>-17.5</v>
      </c>
      <c r="I36" s="329">
        <v>0</v>
      </c>
      <c r="J36" s="329">
        <f>-10.4-I36</f>
        <v>-10.4</v>
      </c>
      <c r="K36" s="329">
        <f>-37.8-J36-I36</f>
        <v>-27.4</v>
      </c>
      <c r="L36" s="329">
        <f>-37.7-K36-J36-I36</f>
        <v>9.9999999999996092E-2</v>
      </c>
      <c r="M36" s="330">
        <f t="shared" si="29"/>
        <v>-37.700000000000003</v>
      </c>
      <c r="N36" s="329">
        <v>0</v>
      </c>
      <c r="O36" s="329">
        <f>0-N36</f>
        <v>0</v>
      </c>
      <c r="P36" s="329">
        <f>0-O36-N36</f>
        <v>0</v>
      </c>
      <c r="Q36" s="329">
        <f>0-P36-O36-N36</f>
        <v>0</v>
      </c>
      <c r="R36" s="330">
        <f t="shared" si="30"/>
        <v>0</v>
      </c>
      <c r="S36" s="329">
        <v>0</v>
      </c>
      <c r="T36" s="329">
        <f>-9.2-S36</f>
        <v>-9.1999999999999993</v>
      </c>
      <c r="U36" s="329">
        <f>-9.2-T36-S36</f>
        <v>0</v>
      </c>
      <c r="V36" s="329">
        <f>-9.2-U36-T36-S36</f>
        <v>0</v>
      </c>
      <c r="W36" s="330">
        <f t="shared" si="31"/>
        <v>-9.1999999999999993</v>
      </c>
      <c r="X36" s="329">
        <v>0</v>
      </c>
      <c r="Y36" s="329">
        <v>0</v>
      </c>
      <c r="Z36" s="329">
        <v>0</v>
      </c>
      <c r="AA36" s="329">
        <v>0</v>
      </c>
      <c r="AB36" s="330">
        <f t="shared" si="32"/>
        <v>0</v>
      </c>
      <c r="AC36" s="329">
        <v>0</v>
      </c>
      <c r="AD36" s="329">
        <v>0</v>
      </c>
      <c r="AE36" s="329">
        <v>0</v>
      </c>
      <c r="AF36" s="329">
        <v>0</v>
      </c>
      <c r="AG36" s="330">
        <f t="shared" si="33"/>
        <v>0</v>
      </c>
      <c r="AH36" s="329">
        <v>0</v>
      </c>
      <c r="AI36" s="329">
        <v>0</v>
      </c>
      <c r="AJ36" s="329">
        <v>0</v>
      </c>
      <c r="AK36" s="329">
        <v>0</v>
      </c>
      <c r="AL36" s="330">
        <f t="shared" si="34"/>
        <v>0</v>
      </c>
      <c r="AM36" s="329">
        <v>0</v>
      </c>
      <c r="AN36" s="329">
        <v>0</v>
      </c>
      <c r="AO36" s="329">
        <v>0</v>
      </c>
      <c r="AP36" s="329">
        <v>0</v>
      </c>
      <c r="AQ36" s="330">
        <f t="shared" si="35"/>
        <v>0</v>
      </c>
      <c r="AR36" s="329">
        <v>0</v>
      </c>
      <c r="AS36" s="329">
        <v>0</v>
      </c>
      <c r="AT36" s="329">
        <v>0</v>
      </c>
      <c r="AU36" s="329">
        <v>0</v>
      </c>
      <c r="AV36" s="330">
        <f t="shared" si="36"/>
        <v>0</v>
      </c>
    </row>
    <row r="37" spans="2:48" outlineLevel="1" x14ac:dyDescent="0.3">
      <c r="B37" s="627" t="s">
        <v>294</v>
      </c>
      <c r="C37" s="628"/>
      <c r="D37" s="331">
        <f t="shared" ref="D37:AV37" si="39">SUM(D29:D36)</f>
        <v>-5858.6</v>
      </c>
      <c r="E37" s="331">
        <f t="shared" si="39"/>
        <v>-2919.2999999999997</v>
      </c>
      <c r="F37" s="331">
        <f t="shared" si="39"/>
        <v>1355.1</v>
      </c>
      <c r="G37" s="331">
        <f t="shared" si="39"/>
        <v>-2634.1</v>
      </c>
      <c r="H37" s="332">
        <f t="shared" si="39"/>
        <v>-10056.9</v>
      </c>
      <c r="I37" s="331">
        <f t="shared" si="39"/>
        <v>-1123.0000000000002</v>
      </c>
      <c r="J37" s="331">
        <f t="shared" si="39"/>
        <v>1273.1000000000001</v>
      </c>
      <c r="K37" s="331">
        <f t="shared" si="39"/>
        <v>2342.9000000000005</v>
      </c>
      <c r="L37" s="331">
        <f t="shared" si="39"/>
        <v>-779.69999999999948</v>
      </c>
      <c r="M37" s="332">
        <f t="shared" si="39"/>
        <v>1713.3000000000009</v>
      </c>
      <c r="N37" s="331">
        <f t="shared" si="39"/>
        <v>-965.80000000000007</v>
      </c>
      <c r="O37" s="331">
        <f t="shared" si="39"/>
        <v>-1711.6</v>
      </c>
      <c r="P37" s="331">
        <f t="shared" si="39"/>
        <v>-490.50000000000011</v>
      </c>
      <c r="Q37" s="331">
        <f t="shared" si="39"/>
        <v>-483.09999999999991</v>
      </c>
      <c r="R37" s="332">
        <f t="shared" si="39"/>
        <v>-3651</v>
      </c>
      <c r="S37" s="331">
        <f t="shared" si="39"/>
        <v>-3969.2</v>
      </c>
      <c r="T37" s="331">
        <f t="shared" si="39"/>
        <v>260.40000000000015</v>
      </c>
      <c r="U37" s="331">
        <f t="shared" si="39"/>
        <v>-1364.4</v>
      </c>
      <c r="V37" s="331">
        <f t="shared" si="39"/>
        <v>-564.8000000000003</v>
      </c>
      <c r="W37" s="332">
        <f t="shared" si="39"/>
        <v>-5638</v>
      </c>
      <c r="X37" s="331">
        <f t="shared" si="39"/>
        <v>-613.76532322069136</v>
      </c>
      <c r="Y37" s="331">
        <f t="shared" si="39"/>
        <v>-614.4312114158023</v>
      </c>
      <c r="Z37" s="331">
        <f t="shared" si="39"/>
        <v>-616.0699103103052</v>
      </c>
      <c r="AA37" s="331">
        <f t="shared" si="39"/>
        <v>-648.17416789126185</v>
      </c>
      <c r="AB37" s="332">
        <f t="shared" si="39"/>
        <v>-2492.4406128380606</v>
      </c>
      <c r="AC37" s="331">
        <f t="shared" si="39"/>
        <v>-613.97480867916352</v>
      </c>
      <c r="AD37" s="331">
        <f t="shared" si="39"/>
        <v>-615.18166280523997</v>
      </c>
      <c r="AE37" s="331">
        <f t="shared" si="39"/>
        <v>-716.52230486376379</v>
      </c>
      <c r="AF37" s="331">
        <f t="shared" si="39"/>
        <v>-648.58011992205365</v>
      </c>
      <c r="AG37" s="332">
        <f t="shared" si="39"/>
        <v>-2594.2588962702212</v>
      </c>
      <c r="AH37" s="331">
        <f t="shared" si="39"/>
        <v>-750.04955392734985</v>
      </c>
      <c r="AI37" s="331">
        <f t="shared" si="39"/>
        <v>-751.06048009337349</v>
      </c>
      <c r="AJ37" s="331">
        <f t="shared" si="39"/>
        <v>-552.30911678764971</v>
      </c>
      <c r="AK37" s="331">
        <f t="shared" si="39"/>
        <v>-6127.6801444137309</v>
      </c>
      <c r="AL37" s="332">
        <f t="shared" si="39"/>
        <v>-8181.099295222104</v>
      </c>
      <c r="AM37" s="331">
        <f t="shared" si="39"/>
        <v>-936.69080421141541</v>
      </c>
      <c r="AN37" s="331">
        <f t="shared" si="39"/>
        <v>-937.23781291480509</v>
      </c>
      <c r="AO37" s="331">
        <f t="shared" si="39"/>
        <v>-912.19426288263946</v>
      </c>
      <c r="AP37" s="331">
        <f t="shared" si="39"/>
        <v>-918.37210872759044</v>
      </c>
      <c r="AQ37" s="332">
        <f t="shared" si="39"/>
        <v>-3704.4949887364505</v>
      </c>
      <c r="AR37" s="331">
        <f t="shared" si="39"/>
        <v>-918.47472542438663</v>
      </c>
      <c r="AS37" s="331">
        <f t="shared" si="39"/>
        <v>-918.21117501422214</v>
      </c>
      <c r="AT37" s="331">
        <f t="shared" si="39"/>
        <v>-918.78646706865607</v>
      </c>
      <c r="AU37" s="331">
        <f t="shared" si="39"/>
        <v>-932.32107710926323</v>
      </c>
      <c r="AV37" s="332">
        <f t="shared" si="39"/>
        <v>-3687.7934446165277</v>
      </c>
    </row>
    <row r="38" spans="2:48" outlineLevel="1" x14ac:dyDescent="0.3">
      <c r="B38" s="248" t="s">
        <v>295</v>
      </c>
      <c r="C38" s="249"/>
      <c r="D38" s="333">
        <f>-4.7-0.1</f>
        <v>-4.8</v>
      </c>
      <c r="E38" s="340">
        <f>18.3-0.1-D38</f>
        <v>23</v>
      </c>
      <c r="F38" s="340">
        <f>-2.5-E38-D38</f>
        <v>-20.7</v>
      </c>
      <c r="G38" s="340">
        <f>-49-F38-E38-D38</f>
        <v>-46.5</v>
      </c>
      <c r="H38" s="337">
        <f>SUM(D38:G38)</f>
        <v>-49</v>
      </c>
      <c r="I38" s="340">
        <v>27.1</v>
      </c>
      <c r="J38" s="340">
        <f>8.7-I38</f>
        <v>-18.400000000000002</v>
      </c>
      <c r="K38" s="340">
        <f>10.9-J38-I38</f>
        <v>2.2000000000000028</v>
      </c>
      <c r="L38" s="340">
        <f>64.7-K38-J38-I38</f>
        <v>53.800000000000004</v>
      </c>
      <c r="M38" s="337">
        <f>SUM(I38:L38)</f>
        <v>64.7</v>
      </c>
      <c r="N38" s="340">
        <v>79.8</v>
      </c>
      <c r="O38" s="340">
        <f>66.7-N38</f>
        <v>-13.099999999999994</v>
      </c>
      <c r="P38" s="340">
        <f>87.9-O38-N38</f>
        <v>21.200000000000003</v>
      </c>
      <c r="Q38" s="340">
        <f>86.2-P38-O38-N38</f>
        <v>-1.7000000000000028</v>
      </c>
      <c r="R38" s="337">
        <f>SUM(N38:Q38)</f>
        <v>86.2</v>
      </c>
      <c r="S38" s="340">
        <v>13</v>
      </c>
      <c r="T38" s="340">
        <f>14.6-S38</f>
        <v>1.5999999999999996</v>
      </c>
      <c r="U38" s="340">
        <f>-126.3-T38-S38</f>
        <v>-140.89999999999998</v>
      </c>
      <c r="V38" s="340">
        <f>-250.3-U38-T38-S38</f>
        <v>-124.00000000000003</v>
      </c>
      <c r="W38" s="337">
        <f>SUM(S38:V38)</f>
        <v>-250.3</v>
      </c>
      <c r="X38" s="341">
        <v>0</v>
      </c>
      <c r="Y38" s="341">
        <v>0</v>
      </c>
      <c r="Z38" s="341">
        <v>0</v>
      </c>
      <c r="AA38" s="341">
        <v>0</v>
      </c>
      <c r="AB38" s="337">
        <f>SUM(X38:AA38)</f>
        <v>0</v>
      </c>
      <c r="AC38" s="341">
        <v>0</v>
      </c>
      <c r="AD38" s="341">
        <v>0</v>
      </c>
      <c r="AE38" s="341">
        <v>0</v>
      </c>
      <c r="AF38" s="341">
        <v>0</v>
      </c>
      <c r="AG38" s="337">
        <f>SUM(AC38:AF38)</f>
        <v>0</v>
      </c>
      <c r="AH38" s="341">
        <v>0</v>
      </c>
      <c r="AI38" s="341">
        <v>0</v>
      </c>
      <c r="AJ38" s="341">
        <v>0</v>
      </c>
      <c r="AK38" s="341">
        <v>0</v>
      </c>
      <c r="AL38" s="337">
        <f>SUM(AH38:AK38)</f>
        <v>0</v>
      </c>
      <c r="AM38" s="341">
        <v>0</v>
      </c>
      <c r="AN38" s="341">
        <v>0</v>
      </c>
      <c r="AO38" s="341">
        <v>0</v>
      </c>
      <c r="AP38" s="341">
        <v>0</v>
      </c>
      <c r="AQ38" s="337">
        <f>SUM(AM38:AP38)</f>
        <v>0</v>
      </c>
      <c r="AR38" s="341">
        <v>0</v>
      </c>
      <c r="AS38" s="341">
        <v>0</v>
      </c>
      <c r="AT38" s="341">
        <v>0</v>
      </c>
      <c r="AU38" s="341">
        <v>0</v>
      </c>
      <c r="AV38" s="337">
        <f>SUM(AR38:AU38)</f>
        <v>0</v>
      </c>
    </row>
    <row r="39" spans="2:48" ht="16.2" outlineLevel="1" x14ac:dyDescent="0.45">
      <c r="B39" s="580" t="s">
        <v>296</v>
      </c>
      <c r="C39" s="581"/>
      <c r="D39" s="260">
        <f t="shared" ref="D39:AV39" si="40">D37+D27+D22+D38</f>
        <v>-3994.7999999999997</v>
      </c>
      <c r="E39" s="260">
        <f t="shared" si="40"/>
        <v>-2706.5</v>
      </c>
      <c r="F39" s="260">
        <f t="shared" si="40"/>
        <v>2708.3000000000011</v>
      </c>
      <c r="G39" s="260">
        <f t="shared" si="40"/>
        <v>-2076.7999999999993</v>
      </c>
      <c r="H39" s="261">
        <f t="shared" si="40"/>
        <v>-6069.7999999999938</v>
      </c>
      <c r="I39" s="260">
        <f t="shared" si="40"/>
        <v>353.89999999999839</v>
      </c>
      <c r="J39" s="260">
        <f t="shared" si="40"/>
        <v>-468.20000000000061</v>
      </c>
      <c r="K39" s="260">
        <f t="shared" si="40"/>
        <v>1393.600000000001</v>
      </c>
      <c r="L39" s="260">
        <f t="shared" si="40"/>
        <v>385.0000000000021</v>
      </c>
      <c r="M39" s="261">
        <f t="shared" si="40"/>
        <v>1664.3000000000052</v>
      </c>
      <c r="N39" s="260">
        <f t="shared" si="40"/>
        <v>677.2</v>
      </c>
      <c r="O39" s="260">
        <f t="shared" si="40"/>
        <v>-1147.3999999999996</v>
      </c>
      <c r="P39" s="260">
        <f t="shared" si="40"/>
        <v>872.49999999999909</v>
      </c>
      <c r="Q39" s="260">
        <f t="shared" si="40"/>
        <v>1702.5999999999997</v>
      </c>
      <c r="R39" s="261">
        <f t="shared" si="40"/>
        <v>2104.8999999999978</v>
      </c>
      <c r="S39" s="260">
        <f t="shared" si="40"/>
        <v>-2486.3000000000002</v>
      </c>
      <c r="T39" s="260">
        <f t="shared" si="40"/>
        <v>-55.999999999999567</v>
      </c>
      <c r="U39" s="260">
        <f t="shared" si="40"/>
        <v>-735.90000000000089</v>
      </c>
      <c r="V39" s="260">
        <f t="shared" si="40"/>
        <v>-359.20000000000118</v>
      </c>
      <c r="W39" s="261">
        <f>W37+W27+W22+W38</f>
        <v>-3637.4000000000005</v>
      </c>
      <c r="X39" s="260">
        <f>X37+X27+X22+X38</f>
        <v>1002.2170959622213</v>
      </c>
      <c r="Y39" s="260">
        <f t="shared" si="40"/>
        <v>-440.81894205096091</v>
      </c>
      <c r="Z39" s="260">
        <f t="shared" si="40"/>
        <v>-189.32935856442396</v>
      </c>
      <c r="AA39" s="260">
        <f t="shared" si="40"/>
        <v>546.39765625476139</v>
      </c>
      <c r="AB39" s="261">
        <f t="shared" si="40"/>
        <v>918.46645160159824</v>
      </c>
      <c r="AC39" s="260">
        <f t="shared" si="40"/>
        <v>935.61718833600457</v>
      </c>
      <c r="AD39" s="260">
        <f t="shared" si="40"/>
        <v>-223.53200773863841</v>
      </c>
      <c r="AE39" s="260">
        <f t="shared" si="40"/>
        <v>39.889729225623569</v>
      </c>
      <c r="AF39" s="260">
        <f t="shared" si="40"/>
        <v>415.7086307015436</v>
      </c>
      <c r="AG39" s="261">
        <f t="shared" si="40"/>
        <v>1167.6835405245329</v>
      </c>
      <c r="AH39" s="260">
        <f t="shared" si="40"/>
        <v>1016.2056226062423</v>
      </c>
      <c r="AI39" s="260">
        <f t="shared" si="40"/>
        <v>-212.37835016010558</v>
      </c>
      <c r="AJ39" s="260">
        <f t="shared" si="40"/>
        <v>369.43308800166756</v>
      </c>
      <c r="AK39" s="260">
        <f t="shared" si="40"/>
        <v>-4654.6099184434997</v>
      </c>
      <c r="AL39" s="261">
        <f t="shared" si="40"/>
        <v>-3481.3495579956962</v>
      </c>
      <c r="AM39" s="260">
        <f t="shared" si="40"/>
        <v>1100.4621724634876</v>
      </c>
      <c r="AN39" s="260">
        <f t="shared" si="40"/>
        <v>-354.71621609088061</v>
      </c>
      <c r="AO39" s="260">
        <f t="shared" si="40"/>
        <v>63.269979760834531</v>
      </c>
      <c r="AP39" s="260">
        <f t="shared" si="40"/>
        <v>553.97543507707087</v>
      </c>
      <c r="AQ39" s="261">
        <f t="shared" si="40"/>
        <v>1362.9913712105135</v>
      </c>
      <c r="AR39" s="260">
        <f t="shared" si="40"/>
        <v>1262.9204134171268</v>
      </c>
      <c r="AS39" s="260">
        <f t="shared" si="40"/>
        <v>-265.20170267406138</v>
      </c>
      <c r="AT39" s="260">
        <f t="shared" si="40"/>
        <v>189.98602078687759</v>
      </c>
      <c r="AU39" s="260">
        <f t="shared" si="40"/>
        <v>598.80325695045303</v>
      </c>
      <c r="AV39" s="261">
        <f t="shared" si="40"/>
        <v>1786.5079884803963</v>
      </c>
    </row>
    <row r="40" spans="2:48" ht="16.2" outlineLevel="1" x14ac:dyDescent="0.45">
      <c r="B40" s="580" t="s">
        <v>297</v>
      </c>
      <c r="C40" s="581"/>
      <c r="D40" s="260">
        <v>8756.2999999999993</v>
      </c>
      <c r="E40" s="260">
        <f>D41</f>
        <v>4761.6000000000004</v>
      </c>
      <c r="F40" s="260">
        <f>E41</f>
        <v>2055.1000000000004</v>
      </c>
      <c r="G40" s="260">
        <f>F41</f>
        <v>4763.4000000000015</v>
      </c>
      <c r="H40" s="261">
        <f>D40</f>
        <v>8756.2999999999993</v>
      </c>
      <c r="I40" s="112">
        <f>H41</f>
        <v>2686.5000000000055</v>
      </c>
      <c r="J40" s="260">
        <f>I41</f>
        <v>3040.5000000000036</v>
      </c>
      <c r="K40" s="260">
        <f>J41</f>
        <v>2572.3000000000029</v>
      </c>
      <c r="L40" s="260">
        <f>K41</f>
        <v>3965.9000000000042</v>
      </c>
      <c r="M40" s="261">
        <f>H41</f>
        <v>2686.5000000000055</v>
      </c>
      <c r="N40" s="260">
        <f>+M41</f>
        <v>4350.8000000000102</v>
      </c>
      <c r="O40" s="260">
        <f>N41</f>
        <v>5028.00000000001</v>
      </c>
      <c r="P40" s="260">
        <f>O41</f>
        <v>3880.6000000000104</v>
      </c>
      <c r="Q40" s="260">
        <f>P41</f>
        <v>4753.1000000000095</v>
      </c>
      <c r="R40" s="261">
        <f>M41</f>
        <v>4350.8000000000102</v>
      </c>
      <c r="S40" s="260">
        <f>+R41</f>
        <v>6455.700000000008</v>
      </c>
      <c r="T40" s="260">
        <f>S41</f>
        <v>3969.4000000000078</v>
      </c>
      <c r="U40" s="260">
        <f>T41</f>
        <v>3913.4000000000083</v>
      </c>
      <c r="V40" s="260">
        <f>U41</f>
        <v>3177.5000000000073</v>
      </c>
      <c r="W40" s="261">
        <f>R41</f>
        <v>6455.700000000008</v>
      </c>
      <c r="X40" s="260">
        <f>+W41</f>
        <v>2818.3000000000075</v>
      </c>
      <c r="Y40" s="260">
        <f>X41</f>
        <v>3820.5170959622287</v>
      </c>
      <c r="Z40" s="260">
        <f>Y41</f>
        <v>3379.6981539112676</v>
      </c>
      <c r="AA40" s="260">
        <f>Z41</f>
        <v>3190.3687953468434</v>
      </c>
      <c r="AB40" s="261">
        <f>W41</f>
        <v>2818.3000000000075</v>
      </c>
      <c r="AC40" s="260">
        <f>+AB41</f>
        <v>3736.7664516016057</v>
      </c>
      <c r="AD40" s="260">
        <f>AC41</f>
        <v>4672.3836399376105</v>
      </c>
      <c r="AE40" s="260">
        <f>AD41</f>
        <v>4448.8516321989719</v>
      </c>
      <c r="AF40" s="260">
        <f>AE41</f>
        <v>4488.7413614245952</v>
      </c>
      <c r="AG40" s="261">
        <f>AB41</f>
        <v>3736.7664516016057</v>
      </c>
      <c r="AH40" s="260">
        <f>+AG41</f>
        <v>4904.4499921261386</v>
      </c>
      <c r="AI40" s="260">
        <f>AH41</f>
        <v>5920.6556147323809</v>
      </c>
      <c r="AJ40" s="260">
        <f>AI41</f>
        <v>5708.2772645722753</v>
      </c>
      <c r="AK40" s="260">
        <f>AJ41</f>
        <v>6077.7103525739431</v>
      </c>
      <c r="AL40" s="261">
        <f>AG41</f>
        <v>4904.4499921261386</v>
      </c>
      <c r="AM40" s="260">
        <f>+AL41</f>
        <v>1423.1004341304424</v>
      </c>
      <c r="AN40" s="260">
        <f>AM41</f>
        <v>2523.56260659393</v>
      </c>
      <c r="AO40" s="260">
        <f>AN41</f>
        <v>2168.8463905030494</v>
      </c>
      <c r="AP40" s="260">
        <f>AO41</f>
        <v>2232.1163702638842</v>
      </c>
      <c r="AQ40" s="261">
        <f>AL41</f>
        <v>1423.1004341304424</v>
      </c>
      <c r="AR40" s="260">
        <f>+AQ41</f>
        <v>2786.0918053409559</v>
      </c>
      <c r="AS40" s="260">
        <f>AR41</f>
        <v>4049.0122187580828</v>
      </c>
      <c r="AT40" s="260">
        <f>AS41</f>
        <v>3783.8105160840214</v>
      </c>
      <c r="AU40" s="260">
        <f>AT41</f>
        <v>3973.7965368708992</v>
      </c>
      <c r="AV40" s="261">
        <f>AQ41</f>
        <v>2786.0918053409559</v>
      </c>
    </row>
    <row r="41" spans="2:48" outlineLevel="1" x14ac:dyDescent="0.3">
      <c r="B41" s="629" t="s">
        <v>298</v>
      </c>
      <c r="C41" s="630"/>
      <c r="D41" s="116">
        <f>+D40+D39+0.1</f>
        <v>4761.6000000000004</v>
      </c>
      <c r="E41" s="116">
        <f>+E40+E39</f>
        <v>2055.1000000000004</v>
      </c>
      <c r="F41" s="116">
        <f>+F40+F39</f>
        <v>4763.4000000000015</v>
      </c>
      <c r="G41" s="116">
        <f>+G40+G39</f>
        <v>2686.6000000000022</v>
      </c>
      <c r="H41" s="150">
        <f>+D40+H39</f>
        <v>2686.5000000000055</v>
      </c>
      <c r="I41" s="116">
        <f>+I40+I39+0.1</f>
        <v>3040.5000000000036</v>
      </c>
      <c r="J41" s="116">
        <f>+J40+J39</f>
        <v>2572.3000000000029</v>
      </c>
      <c r="K41" s="116">
        <f>+K40+K39</f>
        <v>3965.9000000000042</v>
      </c>
      <c r="L41" s="21">
        <f>+L40+L39</f>
        <v>4350.900000000006</v>
      </c>
      <c r="M41" s="22">
        <f>+I40+M39</f>
        <v>4350.8000000000102</v>
      </c>
      <c r="N41" s="21">
        <f>+N40+N39</f>
        <v>5028.00000000001</v>
      </c>
      <c r="O41" s="21">
        <f>+O40+O39</f>
        <v>3880.6000000000104</v>
      </c>
      <c r="P41" s="21">
        <f>+P40+P39</f>
        <v>4753.1000000000095</v>
      </c>
      <c r="Q41" s="21">
        <f>+Q40+Q39</f>
        <v>6455.7000000000089</v>
      </c>
      <c r="R41" s="22">
        <f>+N40+R39</f>
        <v>6455.700000000008</v>
      </c>
      <c r="S41" s="21">
        <f>+S40+S39</f>
        <v>3969.4000000000078</v>
      </c>
      <c r="T41" s="21">
        <f>+T40+T39</f>
        <v>3913.4000000000083</v>
      </c>
      <c r="U41" s="21">
        <f>+U40+U39</f>
        <v>3177.5000000000073</v>
      </c>
      <c r="V41" s="21">
        <f>+V40+V39</f>
        <v>2818.3000000000061</v>
      </c>
      <c r="W41" s="22">
        <f>+S40+W39</f>
        <v>2818.3000000000075</v>
      </c>
      <c r="X41" s="21">
        <f>+X40+X39</f>
        <v>3820.5170959622287</v>
      </c>
      <c r="Y41" s="21">
        <f>+Y40+Y39</f>
        <v>3379.6981539112676</v>
      </c>
      <c r="Z41" s="21">
        <f>+Z40+Z39</f>
        <v>3190.3687953468434</v>
      </c>
      <c r="AA41" s="21">
        <f>+AA40+AA39</f>
        <v>3736.7664516016048</v>
      </c>
      <c r="AB41" s="22">
        <f>+X40+AB39</f>
        <v>3736.7664516016057</v>
      </c>
      <c r="AC41" s="21">
        <f>+AC40+AC39</f>
        <v>4672.3836399376105</v>
      </c>
      <c r="AD41" s="21">
        <f>+AD40+AD39</f>
        <v>4448.8516321989719</v>
      </c>
      <c r="AE41" s="21">
        <f>+AE40+AE39</f>
        <v>4488.7413614245952</v>
      </c>
      <c r="AF41" s="21">
        <f>+AF40+AF39</f>
        <v>4904.4499921261386</v>
      </c>
      <c r="AG41" s="22">
        <f>+AC40+AG39</f>
        <v>4904.4499921261386</v>
      </c>
      <c r="AH41" s="21">
        <f>+AH40+AH39</f>
        <v>5920.6556147323809</v>
      </c>
      <c r="AI41" s="21">
        <f>+AI40+AI39</f>
        <v>5708.2772645722753</v>
      </c>
      <c r="AJ41" s="21">
        <f>+AJ40+AJ39</f>
        <v>6077.7103525739431</v>
      </c>
      <c r="AK41" s="21">
        <f>+AK40+AK39</f>
        <v>1423.1004341304433</v>
      </c>
      <c r="AL41" s="22">
        <f>+AH40+AL39</f>
        <v>1423.1004341304424</v>
      </c>
      <c r="AM41" s="21">
        <f>+AM40+AM39</f>
        <v>2523.56260659393</v>
      </c>
      <c r="AN41" s="21">
        <f>+AN40+AN39</f>
        <v>2168.8463905030494</v>
      </c>
      <c r="AO41" s="21">
        <f>+AO40+AO39</f>
        <v>2232.1163702638842</v>
      </c>
      <c r="AP41" s="21">
        <f>+AP40+AP39</f>
        <v>2786.091805340955</v>
      </c>
      <c r="AQ41" s="22">
        <f>+AM40+AQ39</f>
        <v>2786.0918053409559</v>
      </c>
      <c r="AR41" s="21">
        <f>+AR40+AR39</f>
        <v>4049.0122187580828</v>
      </c>
      <c r="AS41" s="21">
        <f>+AS40+AS39</f>
        <v>3783.8105160840214</v>
      </c>
      <c r="AT41" s="21">
        <f>+AT40+AT39</f>
        <v>3973.7965368708992</v>
      </c>
      <c r="AU41" s="21">
        <f>+AU40+AU39</f>
        <v>4572.5997938213523</v>
      </c>
      <c r="AV41" s="22">
        <f>+AR40+AV39</f>
        <v>4572.5997938213523</v>
      </c>
    </row>
    <row r="42" spans="2:48" s="23" customFormat="1" outlineLevel="1" x14ac:dyDescent="0.3">
      <c r="B42" s="631" t="s">
        <v>299</v>
      </c>
      <c r="C42" s="632"/>
      <c r="D42" s="321">
        <f>D22-(-D25)+((-'IS (F4Q2022)'!D22*(1-'Valuation (F4Q2022)'!$F$18)))</f>
        <v>2004.2250000000004</v>
      </c>
      <c r="E42" s="321">
        <f>E22-(-E25)+((-'IS (F4Q2022)'!E22*(1-'Valuation (F4Q2022)'!$F$18)))</f>
        <v>31.994499999999611</v>
      </c>
      <c r="F42" s="321">
        <f>F22-(-F25)+((-'IS (F4Q2022)'!F22*(1-'Valuation (F4Q2022)'!$F$18)))</f>
        <v>799.53200000000095</v>
      </c>
      <c r="G42" s="321">
        <f>G22-(-G25)+((-'IS (F4Q2022)'!G22*(1-'Valuation (F4Q2022)'!$F$18)))</f>
        <v>654.45350000000076</v>
      </c>
      <c r="H42" s="342">
        <f>SUM(D42:G42)</f>
        <v>3490.2050000000017</v>
      </c>
      <c r="I42" s="321">
        <f>I22-(-I25)+((-'IS (F4Q2022)'!I22*(1-'Valuation (F4Q2022)'!$F$18)))</f>
        <v>1511.1844999999985</v>
      </c>
      <c r="J42" s="321">
        <f>J22-(-J25)+((-'IS (F4Q2022)'!J22*(1-'Valuation (F4Q2022)'!$F$18)))</f>
        <v>-1650.4040000000009</v>
      </c>
      <c r="K42" s="321">
        <f>K22-(-K25)+((-'IS (F4Q2022)'!K22*(1-'Valuation (F4Q2022)'!$F$18)))</f>
        <v>-656.59599999999932</v>
      </c>
      <c r="L42" s="321">
        <f>L22-(-L25)+((-'IS (F4Q2022)'!L22*(1-'Valuation (F4Q2022)'!$F$18)))</f>
        <v>1239.8750000000016</v>
      </c>
      <c r="M42" s="342">
        <f>SUM(I42:L42)</f>
        <v>444.05949999999984</v>
      </c>
      <c r="N42" s="321">
        <f>N22-(-N25)+((-'IS (F4Q2022)'!N22*(1-'Valuation (F4Q2022)'!$F$18)))</f>
        <v>1602.6285000000003</v>
      </c>
      <c r="O42" s="321">
        <f>O22-(-O25)+((-'IS (F4Q2022)'!O22*(1-'Valuation (F4Q2022)'!$F$18)))</f>
        <v>646.92500000000007</v>
      </c>
      <c r="P42" s="321">
        <f>P22-(-P25)+((-'IS (F4Q2022)'!P22*(1-'Valuation (F4Q2022)'!$F$18)))</f>
        <v>1496.8169999999991</v>
      </c>
      <c r="Q42" s="321">
        <f>Q22-(-Q25)+((-'IS (F4Q2022)'!Q22*(1-'Valuation (F4Q2022)'!$F$18)))</f>
        <v>1127.4529999999995</v>
      </c>
      <c r="R42" s="342">
        <f>SUM(N42:Q42)</f>
        <v>4873.8234999999986</v>
      </c>
      <c r="S42" s="321">
        <f>S22-(-S25)+((-'IS (F4Q2022)'!S22*(1-'Valuation (F4Q2022)'!$F$18)))</f>
        <v>1541.1514999999999</v>
      </c>
      <c r="T42" s="321">
        <f>T22-(-T25)+((-'IS (F4Q2022)'!T22*(1-'Valuation (F4Q2022)'!$F$18)))</f>
        <v>-203.27949999999981</v>
      </c>
      <c r="U42" s="321">
        <f>U22-(-U25)+((-'IS (F4Q2022)'!U22*(1-'Valuation (F4Q2022)'!$F$18)))</f>
        <v>934.24049999999897</v>
      </c>
      <c r="V42" s="321">
        <f>V22-(-V25)+((-'IS (F4Q2022)'!V22*(1-'Valuation (F4Q2022)'!$F$18)))</f>
        <v>648.30149999999912</v>
      </c>
      <c r="W42" s="342">
        <f>SUM(S42:V42)</f>
        <v>2920.4139999999984</v>
      </c>
      <c r="X42" s="321">
        <f>X22-(-X25)+((-'IS (F4Q2022)'!X22*(1-'Valuation (F4Q2022)'!$F$18)))</f>
        <v>1521.2094885296985</v>
      </c>
      <c r="Y42" s="321">
        <f>Y22-(-Y25)+((-'IS (F4Q2022)'!Y22*(1-'Valuation (F4Q2022)'!$F$18)))</f>
        <v>274.97720815186955</v>
      </c>
      <c r="Z42" s="321">
        <f>Z22-(-Z25)+((-'IS (F4Q2022)'!Z22*(1-'Valuation (F4Q2022)'!$F$18)))</f>
        <v>566.93911975247636</v>
      </c>
      <c r="AA42" s="321">
        <f>AA22-(-AA25)+((-'IS (F4Q2022)'!AA22*(1-'Valuation (F4Q2022)'!$F$18)))</f>
        <v>1329.3376889142553</v>
      </c>
      <c r="AB42" s="342">
        <f>SUM(X42:AA42)</f>
        <v>3692.4635053482998</v>
      </c>
      <c r="AC42" s="321">
        <f>AC22-(-AC25)+((-'IS (F4Q2022)'!AC22*(1-'Valuation (F4Q2022)'!$F$18)))</f>
        <v>1646.8425628775135</v>
      </c>
      <c r="AD42" s="321">
        <f>AD22-(-AD25)+((-'IS (F4Q2022)'!AD22*(1-'Valuation (F4Q2022)'!$F$18)))</f>
        <v>495.54711647230221</v>
      </c>
      <c r="AE42" s="321">
        <f>AE22-(-AE25)+((-'IS (F4Q2022)'!AE22*(1-'Valuation (F4Q2022)'!$F$18)))</f>
        <v>886.1103223311228</v>
      </c>
      <c r="AF42" s="321">
        <f>AF22-(-AF25)+((-'IS (F4Q2022)'!AF22*(1-'Valuation (F4Q2022)'!$F$18)))</f>
        <v>1183.5776931331429</v>
      </c>
      <c r="AG42" s="342">
        <f>SUM(AC42:AF42)</f>
        <v>4212.077694814081</v>
      </c>
      <c r="AH42" s="321">
        <f>AH22-(-AH25)+((-'IS (F4Q2022)'!AH22*(1-'Valuation (F4Q2022)'!$F$18)))</f>
        <v>1906.5158443725859</v>
      </c>
      <c r="AI42" s="321">
        <f>AI22-(-AI25)+((-'IS (F4Q2022)'!AI22*(1-'Valuation (F4Q2022)'!$F$18)))</f>
        <v>645.62880546307554</v>
      </c>
      <c r="AJ42" s="321">
        <f>AJ22-(-AJ25)+((-'IS (F4Q2022)'!AJ22*(1-'Valuation (F4Q2022)'!$F$18)))</f>
        <v>1071.3813168015902</v>
      </c>
      <c r="AK42" s="321">
        <f>AK22-(-AK25)+((-'IS (F4Q2022)'!AK22*(1-'Valuation (F4Q2022)'!$F$18)))</f>
        <v>1444.5586635043273</v>
      </c>
      <c r="AL42" s="342">
        <f>SUM(AH42:AK42)</f>
        <v>5068.0846301415786</v>
      </c>
      <c r="AM42" s="321">
        <f>AM22-(-AM25)+((-'IS (F4Q2022)'!AM22*(1-'Valuation (F4Q2022)'!$F$18)))</f>
        <v>2226.7604256791028</v>
      </c>
      <c r="AN42" s="321">
        <f>AN22-(-AN25)+((-'IS (F4Q2022)'!AN22*(1-'Valuation (F4Q2022)'!$F$18)))</f>
        <v>727.02435743557658</v>
      </c>
      <c r="AO42" s="321">
        <f>AO22-(-AO25)+((-'IS (F4Q2022)'!AO22*(1-'Valuation (F4Q2022)'!$F$18)))</f>
        <v>1158.9333693899828</v>
      </c>
      <c r="AP42" s="321">
        <f>AP22-(-AP25)+((-'IS (F4Q2022)'!AP22*(1-'Valuation (F4Q2022)'!$F$18)))</f>
        <v>1641.1526900862834</v>
      </c>
      <c r="AQ42" s="342">
        <f>SUM(AM42:AP42)</f>
        <v>5753.8708425909454</v>
      </c>
      <c r="AR42" s="321">
        <f>AR22-(-AR25)+((-'IS (F4Q2022)'!AR22*(1-'Valuation (F4Q2022)'!$F$18)))</f>
        <v>2379.1033946930679</v>
      </c>
      <c r="AS42" s="321">
        <f>AS22-(-AS25)+((-'IS (F4Q2022)'!AS22*(1-'Valuation (F4Q2022)'!$F$18)))</f>
        <v>801.2591736587292</v>
      </c>
      <c r="AT42" s="321">
        <f>AT22-(-AT25)+((-'IS (F4Q2022)'!AT22*(1-'Valuation (F4Q2022)'!$F$18)))</f>
        <v>1297.6069079135957</v>
      </c>
      <c r="AU42" s="321">
        <f>AU22-(-AU25)+((-'IS (F4Q2022)'!AU22*(1-'Valuation (F4Q2022)'!$F$18)))</f>
        <v>1704.811693444972</v>
      </c>
      <c r="AV42" s="342">
        <f>SUM(AR42:AU42)</f>
        <v>6182.7811697103643</v>
      </c>
    </row>
    <row r="43" spans="2:48" s="23" customFormat="1" outlineLevel="1" x14ac:dyDescent="0.3">
      <c r="B43" s="325" t="s">
        <v>300</v>
      </c>
      <c r="C43" s="326"/>
      <c r="D43" s="327"/>
      <c r="E43" s="327"/>
      <c r="F43" s="343"/>
      <c r="G43" s="327"/>
      <c r="H43" s="328"/>
      <c r="I43" s="327"/>
      <c r="J43" s="327"/>
      <c r="K43" s="327"/>
      <c r="L43" s="327"/>
      <c r="M43" s="328"/>
      <c r="N43" s="327"/>
      <c r="O43" s="327"/>
      <c r="P43" s="327"/>
      <c r="Q43" s="327"/>
      <c r="R43" s="328"/>
      <c r="S43" s="327"/>
      <c r="T43" s="327"/>
      <c r="U43" s="327"/>
      <c r="V43" s="327"/>
      <c r="W43" s="328">
        <v>0</v>
      </c>
      <c r="X43" s="327"/>
      <c r="Y43" s="327"/>
      <c r="Z43" s="327"/>
      <c r="AA43" s="327"/>
      <c r="AB43" s="328">
        <f>1+W43</f>
        <v>1</v>
      </c>
      <c r="AC43" s="327"/>
      <c r="AD43" s="327"/>
      <c r="AE43" s="327"/>
      <c r="AF43" s="327"/>
      <c r="AG43" s="328">
        <f>1+AB43</f>
        <v>2</v>
      </c>
      <c r="AH43" s="327"/>
      <c r="AI43" s="327"/>
      <c r="AJ43" s="327"/>
      <c r="AK43" s="327"/>
      <c r="AL43" s="328">
        <f>1+AG43</f>
        <v>3</v>
      </c>
      <c r="AM43" s="327"/>
      <c r="AN43" s="327"/>
      <c r="AO43" s="327"/>
      <c r="AP43" s="327"/>
      <c r="AQ43" s="328">
        <f>1+AL43</f>
        <v>4</v>
      </c>
      <c r="AR43" s="327"/>
      <c r="AS43" s="327"/>
      <c r="AT43" s="327"/>
      <c r="AU43" s="327"/>
      <c r="AV43" s="328">
        <f>1+AQ43</f>
        <v>5</v>
      </c>
    </row>
    <row r="44" spans="2:48" s="23" customFormat="1" outlineLevel="1" x14ac:dyDescent="0.3">
      <c r="B44" s="633" t="s">
        <v>301</v>
      </c>
      <c r="C44" s="634"/>
      <c r="D44" s="344"/>
      <c r="E44" s="344"/>
      <c r="F44" s="344"/>
      <c r="G44" s="344"/>
      <c r="H44" s="345"/>
      <c r="I44" s="344"/>
      <c r="J44" s="344"/>
      <c r="K44" s="344"/>
      <c r="L44" s="344"/>
      <c r="M44" s="345"/>
      <c r="N44" s="344"/>
      <c r="O44" s="344"/>
      <c r="P44" s="344"/>
      <c r="Q44" s="344"/>
      <c r="R44" s="345"/>
      <c r="S44" s="344"/>
      <c r="T44" s="344"/>
      <c r="U44" s="344"/>
      <c r="V44" s="344"/>
      <c r="W44" s="345">
        <f>W42/(1+'Valuation (F4Q2022)'!$F$20)^W43</f>
        <v>2920.4139999999984</v>
      </c>
      <c r="X44" s="344"/>
      <c r="Y44" s="344"/>
      <c r="Z44" s="344"/>
      <c r="AA44" s="344"/>
      <c r="AB44" s="345">
        <f>AB42/(1+'Valuation (F4Q2022)'!$F$20)^AB43</f>
        <v>3311.9879233355605</v>
      </c>
      <c r="AC44" s="344"/>
      <c r="AD44" s="344"/>
      <c r="AE44" s="344"/>
      <c r="AF44" s="344"/>
      <c r="AG44" s="345">
        <f>AG42/(1+'Valuation (F4Q2022)'!$F$20)^AG43</f>
        <v>3388.7648930866062</v>
      </c>
      <c r="AH44" s="344"/>
      <c r="AI44" s="344"/>
      <c r="AJ44" s="344"/>
      <c r="AK44" s="344"/>
      <c r="AL44" s="345">
        <f>AL42/(1+'Valuation (F4Q2022)'!$F$20)^AL43</f>
        <v>3657.3073356856839</v>
      </c>
      <c r="AM44" s="344"/>
      <c r="AN44" s="344"/>
      <c r="AO44" s="344"/>
      <c r="AP44" s="344"/>
      <c r="AQ44" s="345">
        <f>AQ42/(1+'Valuation (F4Q2022)'!$F$20)^AQ43</f>
        <v>3724.3478823751743</v>
      </c>
      <c r="AR44" s="344"/>
      <c r="AS44" s="344"/>
      <c r="AT44" s="344"/>
      <c r="AU44" s="344"/>
      <c r="AV44" s="345">
        <f>AV42/(1+'Valuation (F4Q2022)'!$F$20)^AV43</f>
        <v>3589.6039963608573</v>
      </c>
    </row>
    <row r="45" spans="2:48" outlineLevel="1" x14ac:dyDescent="0.3">
      <c r="B45" s="250" t="s">
        <v>302</v>
      </c>
      <c r="C45" s="249"/>
      <c r="D45" s="334"/>
      <c r="E45" s="334"/>
      <c r="F45" s="334"/>
      <c r="G45" s="334"/>
      <c r="H45" s="335"/>
      <c r="I45" s="334"/>
      <c r="J45" s="334"/>
      <c r="K45" s="334"/>
      <c r="L45" s="334"/>
      <c r="M45" s="335"/>
      <c r="N45" s="334"/>
      <c r="O45" s="334"/>
      <c r="P45" s="334"/>
      <c r="Q45" s="334"/>
      <c r="R45" s="335"/>
      <c r="S45" s="334"/>
      <c r="T45" s="334"/>
      <c r="U45" s="334"/>
      <c r="V45" s="334"/>
      <c r="W45" s="335"/>
      <c r="X45" s="334"/>
      <c r="Y45" s="334"/>
      <c r="Z45" s="334"/>
      <c r="AA45" s="334"/>
      <c r="AB45" s="335"/>
      <c r="AC45" s="334"/>
      <c r="AD45" s="334"/>
      <c r="AE45" s="334"/>
      <c r="AF45" s="334"/>
      <c r="AG45" s="335"/>
      <c r="AH45" s="334"/>
      <c r="AI45" s="334"/>
      <c r="AJ45" s="334"/>
      <c r="AK45" s="334"/>
      <c r="AL45" s="335"/>
      <c r="AM45" s="334"/>
      <c r="AN45" s="334"/>
      <c r="AO45" s="334"/>
      <c r="AP45" s="334"/>
      <c r="AQ45" s="335"/>
      <c r="AR45" s="334"/>
      <c r="AS45" s="334"/>
      <c r="AT45" s="334"/>
      <c r="AU45" s="334"/>
      <c r="AV45" s="335"/>
    </row>
    <row r="46" spans="2:48" outlineLevel="1" x14ac:dyDescent="0.3">
      <c r="B46" s="200" t="s">
        <v>303</v>
      </c>
      <c r="C46" s="201"/>
      <c r="D46" s="16">
        <f>+'BS (F4Q2022)'!D6+'BS (F4Q2022)'!D7+'BS (F4Q2022)'!D12</f>
        <v>5256.8</v>
      </c>
      <c r="E46" s="16">
        <f>+'BS (F4Q2022)'!E6+'BS (F4Q2022)'!E7+'BS (F4Q2022)'!E12</f>
        <v>2383.6000000000004</v>
      </c>
      <c r="F46" s="16">
        <f>+'BS (F4Q2022)'!F6+'BS (F4Q2022)'!F7+'BS (F4Q2022)'!F12</f>
        <v>5058.1000000000022</v>
      </c>
      <c r="G46" s="16">
        <f>+'BS (F4Q2022)'!G6+'BS (F4Q2022)'!G7+'BS (F4Q2022)'!G12</f>
        <v>2977.1000000000022</v>
      </c>
      <c r="H46" s="17">
        <f>+'BS (F4Q2022)'!H6+'BS (F4Q2022)'!H7+'BS (F4Q2022)'!H12</f>
        <v>2977.1000000000022</v>
      </c>
      <c r="I46" s="16">
        <f>+'BS (F4Q2022)'!I6+'BS (F4Q2022)'!I7+'BS (F4Q2022)'!I12</f>
        <v>3308.7000000000039</v>
      </c>
      <c r="J46" s="16">
        <f>+'BS (F4Q2022)'!J6+'BS (F4Q2022)'!J7+'BS (F4Q2022)'!J12</f>
        <v>2824.0000000000032</v>
      </c>
      <c r="K46" s="16">
        <f>+'BS (F4Q2022)'!K6+'BS (F4Q2022)'!K7+'BS (F4Q2022)'!K12</f>
        <v>4419.2000000000035</v>
      </c>
      <c r="L46" s="16">
        <f>+'BS (F4Q2022)'!L6+'BS (F4Q2022)'!L7+'BS (F4Q2022)'!L12</f>
        <v>4838.2000000000062</v>
      </c>
      <c r="M46" s="17">
        <f>+'BS (F4Q2022)'!M6+'BS (F4Q2022)'!M7+'BS (F4Q2022)'!M12</f>
        <v>4838.2000000000062</v>
      </c>
      <c r="N46" s="16">
        <f>+'BS (F4Q2022)'!N6+'BS (F4Q2022)'!N7+'BS (F4Q2022)'!N12</f>
        <v>5454.4000000000096</v>
      </c>
      <c r="O46" s="16">
        <f>+'BS (F4Q2022)'!O6+'BS (F4Q2022)'!O7+'BS (F4Q2022)'!O12</f>
        <v>4288.4000000000106</v>
      </c>
      <c r="P46" s="16">
        <f>+'BS (F4Q2022)'!P6+'BS (F4Q2022)'!P7+'BS (F4Q2022)'!P12</f>
        <v>5192.6000000000095</v>
      </c>
      <c r="Q46" s="16">
        <f>+'BS (F4Q2022)'!Q6+'BS (F4Q2022)'!Q7+'BS (F4Q2022)'!Q12</f>
        <v>6899.6000000000085</v>
      </c>
      <c r="R46" s="17">
        <f>+'BS (F4Q2022)'!R6+'BS (F4Q2022)'!R7+'BS (F4Q2022)'!R12</f>
        <v>6899.6000000000085</v>
      </c>
      <c r="S46" s="16">
        <f>+'BS (F4Q2022)'!S6+'BS (F4Q2022)'!S7+'BS (F4Q2022)'!S12</f>
        <v>4356.4000000000078</v>
      </c>
      <c r="T46" s="16">
        <f>+'BS (F4Q2022)'!T6+'BS (F4Q2022)'!T7+'BS (F4Q2022)'!T12</f>
        <v>4281.1000000000085</v>
      </c>
      <c r="U46" s="16">
        <f>+'BS (F4Q2022)'!U6+'BS (F4Q2022)'!U7+'BS (F4Q2022)'!U12</f>
        <v>3546.9000000000074</v>
      </c>
      <c r="V46" s="16">
        <f>+'BS (F4Q2022)'!V6+'BS (F4Q2022)'!V7+'BS (F4Q2022)'!V12</f>
        <v>3461.900000000006</v>
      </c>
      <c r="W46" s="17">
        <f>+'BS (F4Q2022)'!W6+'BS (F4Q2022)'!W7+'BS (F4Q2022)'!W12</f>
        <v>3461.900000000006</v>
      </c>
      <c r="X46" s="16">
        <f>+'BS (F4Q2022)'!X6+'BS (F4Q2022)'!X7+'BS (F4Q2022)'!X12</f>
        <v>4266.3820960828562</v>
      </c>
      <c r="Y46" s="16">
        <f>+'BS (F4Q2022)'!Y6+'BS (F4Q2022)'!Y7+'BS (F4Q2022)'!Y12</f>
        <v>3838.9336100738406</v>
      </c>
      <c r="Z46" s="16">
        <f>+'BS (F4Q2022)'!Z6+'BS (F4Q2022)'!Z7+'BS (F4Q2022)'!Z12</f>
        <v>3685.3034192287992</v>
      </c>
      <c r="AA46" s="16">
        <f>+'BS (F4Q2022)'!AA6+'BS (F4Q2022)'!AA7+'BS (F4Q2022)'!AA12</f>
        <v>4266.6038042420505</v>
      </c>
      <c r="AB46" s="17">
        <f>+'BS (F4Q2022)'!AB6+'BS (F4Q2022)'!AB7+'BS (F4Q2022)'!AB12</f>
        <v>4266.6038042420505</v>
      </c>
      <c r="AC46" s="16">
        <f>+'BS (F4Q2022)'!AC6+'BS (F4Q2022)'!AC7+'BS (F4Q2022)'!AC12</f>
        <v>5183.128525017255</v>
      </c>
      <c r="AD46" s="16">
        <f>+'BS (F4Q2022)'!AD6+'BS (F4Q2022)'!AD7+'BS (F4Q2022)'!AD12</f>
        <v>4967.6955995123781</v>
      </c>
      <c r="AE46" s="16">
        <f>+'BS (F4Q2022)'!AE6+'BS (F4Q2022)'!AE7+'BS (F4Q2022)'!AE12</f>
        <v>5025.6988950658551</v>
      </c>
      <c r="AF46" s="16">
        <f>+'BS (F4Q2022)'!AF6+'BS (F4Q2022)'!AF7+'BS (F4Q2022)'!AF12</f>
        <v>5451.2151407259671</v>
      </c>
      <c r="AG46" s="17">
        <f>+'BS (F4Q2022)'!AG6+'BS (F4Q2022)'!AG7+'BS (F4Q2022)'!AG12</f>
        <v>5451.2151407259671</v>
      </c>
      <c r="AH46" s="16">
        <f>+'BS (F4Q2022)'!AH6+'BS (F4Q2022)'!AH7+'BS (F4Q2022)'!AH12</f>
        <v>6481.7737509122453</v>
      </c>
      <c r="AI46" s="16">
        <f>+'BS (F4Q2022)'!AI6+'BS (F4Q2022)'!AI7+'BS (F4Q2022)'!AI12</f>
        <v>6272.3452015529438</v>
      </c>
      <c r="AJ46" s="16">
        <f>+'BS (F4Q2022)'!AJ6+'BS (F4Q2022)'!AJ7+'BS (F4Q2022)'!AJ12</f>
        <v>6662.8753452248638</v>
      </c>
      <c r="AK46" s="16">
        <f>+'BS (F4Q2022)'!AK6+'BS (F4Q2022)'!AK7+'BS (F4Q2022)'!AK12</f>
        <v>1926.2954721425244</v>
      </c>
      <c r="AL46" s="17">
        <f>+'BS (F4Q2022)'!AL6+'BS (F4Q2022)'!AL7+'BS (F4Q2022)'!AL12</f>
        <v>1926.2954721425244</v>
      </c>
      <c r="AM46" s="16">
        <f>+'BS (F4Q2022)'!AM6+'BS (F4Q2022)'!AM7+'BS (F4Q2022)'!AM12</f>
        <v>3045.2346584373236</v>
      </c>
      <c r="AN46" s="16">
        <f>+'BS (F4Q2022)'!AN6+'BS (F4Q2022)'!AN7+'BS (F4Q2022)'!AN12</f>
        <v>2688.6729159265119</v>
      </c>
      <c r="AO46" s="16">
        <f>+'BS (F4Q2022)'!AO6+'BS (F4Q2022)'!AO7+'BS (F4Q2022)'!AO12</f>
        <v>2767.6977367975933</v>
      </c>
      <c r="AP46" s="16">
        <f>+'BS (F4Q2022)'!AP6+'BS (F4Q2022)'!AP7+'BS (F4Q2022)'!AP12</f>
        <v>3330.3886614337043</v>
      </c>
      <c r="AQ46" s="17">
        <f>+'BS (F4Q2022)'!AQ6+'BS (F4Q2022)'!AQ7+'BS (F4Q2022)'!AQ12</f>
        <v>3330.3886614337043</v>
      </c>
      <c r="AR46" s="16">
        <f>+'BS (F4Q2022)'!AR6+'BS (F4Q2022)'!AR7+'BS (F4Q2022)'!AR12</f>
        <v>4615.2763052351975</v>
      </c>
      <c r="AS46" s="16">
        <f>+'BS (F4Q2022)'!AS6+'BS (F4Q2022)'!AS7+'BS (F4Q2022)'!AS12</f>
        <v>4349.1652201948309</v>
      </c>
      <c r="AT46" s="16">
        <f>+'BS (F4Q2022)'!AT6+'BS (F4Q2022)'!AT7+'BS (F4Q2022)'!AT12</f>
        <v>4556.8160929469086</v>
      </c>
      <c r="AU46" s="16">
        <f>+'BS (F4Q2022)'!AU6+'BS (F4Q2022)'!AU7+'BS (F4Q2022)'!AU12</f>
        <v>5166.1662313252591</v>
      </c>
      <c r="AV46" s="17">
        <f>+'BS (F4Q2022)'!AV6+'BS (F4Q2022)'!AV7+'BS (F4Q2022)'!AV12</f>
        <v>5166.1662313252591</v>
      </c>
    </row>
    <row r="47" spans="2:48" outlineLevel="1" x14ac:dyDescent="0.3">
      <c r="B47" s="200" t="s">
        <v>304</v>
      </c>
      <c r="C47" s="201"/>
      <c r="D47" s="16">
        <f>'BS (F4Q2022)'!D28+'BS (F4Q2022)'!D31</f>
        <v>9130.7000000000007</v>
      </c>
      <c r="E47" s="16">
        <f>'BS (F4Q2022)'!E28+'BS (F4Q2022)'!E31</f>
        <v>9216.5</v>
      </c>
      <c r="F47" s="16">
        <f>'BS (F4Q2022)'!F28+'BS (F4Q2022)'!F31</f>
        <v>11159.1</v>
      </c>
      <c r="G47" s="16">
        <f>'BS (F4Q2022)'!G28+'BS (F4Q2022)'!G31</f>
        <v>11167</v>
      </c>
      <c r="H47" s="17">
        <f>'BS (F4Q2022)'!H28+'BS (F4Q2022)'!H31</f>
        <v>11167</v>
      </c>
      <c r="I47" s="16">
        <f>'BS (F4Q2022)'!I28+'BS (F4Q2022)'!I31</f>
        <v>11649.800000000001</v>
      </c>
      <c r="J47" s="16">
        <f>'BS (F4Q2022)'!J28+'BS (F4Q2022)'!J31</f>
        <v>14015.2</v>
      </c>
      <c r="K47" s="16">
        <f>'BS (F4Q2022)'!K28+'BS (F4Q2022)'!K31</f>
        <v>16831.7</v>
      </c>
      <c r="L47" s="16">
        <f>'BS (F4Q2022)'!L28+'BS (F4Q2022)'!L31</f>
        <v>16348.300000000001</v>
      </c>
      <c r="M47" s="17">
        <f>'BS (F4Q2022)'!M28+'BS (F4Q2022)'!M31</f>
        <v>16348.300000000001</v>
      </c>
      <c r="N47" s="16">
        <f>'BS (F4Q2022)'!N28+'BS (F4Q2022)'!N31</f>
        <v>15916.1</v>
      </c>
      <c r="O47" s="16">
        <f>'BS (F4Q2022)'!O28+'BS (F4Q2022)'!O31</f>
        <v>14648.599999999999</v>
      </c>
      <c r="P47" s="16">
        <f>'BS (F4Q2022)'!P28+'BS (F4Q2022)'!P31</f>
        <v>14618.1</v>
      </c>
      <c r="Q47" s="16">
        <f>'BS (F4Q2022)'!Q28+'BS (F4Q2022)'!Q31</f>
        <v>14615.8</v>
      </c>
      <c r="R47" s="17">
        <f>'BS (F4Q2022)'!R28+'BS (F4Q2022)'!R31</f>
        <v>14615.8</v>
      </c>
      <c r="S47" s="16">
        <f>'BS (F4Q2022)'!S28+'BS (F4Q2022)'!S31</f>
        <v>14785.599999999999</v>
      </c>
      <c r="T47" s="16">
        <f>'BS (F4Q2022)'!T28+'BS (F4Q2022)'!T31</f>
        <v>16013</v>
      </c>
      <c r="U47" s="16">
        <f>'BS (F4Q2022)'!U28+'BS (F4Q2022)'!U31</f>
        <v>15129.9</v>
      </c>
      <c r="V47" s="16">
        <f>'BS (F4Q2022)'!V28+'BS (F4Q2022)'!V31</f>
        <v>15043.9</v>
      </c>
      <c r="W47" s="17">
        <f>'BS (F4Q2022)'!W28+'BS (F4Q2022)'!W31</f>
        <v>15043.9</v>
      </c>
      <c r="X47" s="16">
        <f>'BS (F4Q2022)'!X28+'BS (F4Q2022)'!X31</f>
        <v>15043.9</v>
      </c>
      <c r="Y47" s="16">
        <f>'BS (F4Q2022)'!Y28+'BS (F4Q2022)'!Y31</f>
        <v>15043.9</v>
      </c>
      <c r="Z47" s="16">
        <f>'BS (F4Q2022)'!Z28+'BS (F4Q2022)'!Z31</f>
        <v>15043.900000000001</v>
      </c>
      <c r="AA47" s="16">
        <f>'BS (F4Q2022)'!AA28+'BS (F4Q2022)'!AA31</f>
        <v>15043.900000000001</v>
      </c>
      <c r="AB47" s="17">
        <f>'BS (F4Q2022)'!AB28+'BS (F4Q2022)'!AB31</f>
        <v>15043.900000000001</v>
      </c>
      <c r="AC47" s="16">
        <f>'BS (F4Q2022)'!AC28+'BS (F4Q2022)'!AC31</f>
        <v>15043.900000000001</v>
      </c>
      <c r="AD47" s="16">
        <f>'BS (F4Q2022)'!AD28+'BS (F4Q2022)'!AD31</f>
        <v>15043.6</v>
      </c>
      <c r="AE47" s="16">
        <f>'BS (F4Q2022)'!AE28+'BS (F4Q2022)'!AE31</f>
        <v>15043.6</v>
      </c>
      <c r="AF47" s="16">
        <f>'BS (F4Q2022)'!AF28+'BS (F4Q2022)'!AF31</f>
        <v>15143.6</v>
      </c>
      <c r="AG47" s="17">
        <f>'BS (F4Q2022)'!AG28+'BS (F4Q2022)'!AG31</f>
        <v>15143.6</v>
      </c>
      <c r="AH47" s="16">
        <f>'BS (F4Q2022)'!AH28+'BS (F4Q2022)'!AH31</f>
        <v>15143.6</v>
      </c>
      <c r="AI47" s="16">
        <f>'BS (F4Q2022)'!AI28+'BS (F4Q2022)'!AI31</f>
        <v>15143.6</v>
      </c>
      <c r="AJ47" s="16">
        <f>'BS (F4Q2022)'!AJ28+'BS (F4Q2022)'!AJ31</f>
        <v>20685.581197315179</v>
      </c>
      <c r="AK47" s="16">
        <f>'BS (F4Q2022)'!AK28+'BS (F4Q2022)'!AK31</f>
        <v>20685.581197315179</v>
      </c>
      <c r="AL47" s="17">
        <f>'BS (F4Q2022)'!AL28+'BS (F4Q2022)'!AL31</f>
        <v>20685.581197315179</v>
      </c>
      <c r="AM47" s="16">
        <f>'BS (F4Q2022)'!AM28+'BS (F4Q2022)'!AM31</f>
        <v>20685.581197315179</v>
      </c>
      <c r="AN47" s="16">
        <f>'BS (F4Q2022)'!AN28+'BS (F4Q2022)'!AN31</f>
        <v>20685.581197315179</v>
      </c>
      <c r="AO47" s="16">
        <f>'BS (F4Q2022)'!AO28+'BS (F4Q2022)'!AO31</f>
        <v>20685.581197315179</v>
      </c>
      <c r="AP47" s="16">
        <f>'BS (F4Q2022)'!AP28+'BS (F4Q2022)'!AP31</f>
        <v>20685.581197315179</v>
      </c>
      <c r="AQ47" s="17">
        <f>'BS (F4Q2022)'!AQ28+'BS (F4Q2022)'!AQ31</f>
        <v>20685.581197315179</v>
      </c>
      <c r="AR47" s="16">
        <f>'BS (F4Q2022)'!AR28+'BS (F4Q2022)'!AR31</f>
        <v>20685.581197315179</v>
      </c>
      <c r="AS47" s="16">
        <f>'BS (F4Q2022)'!AS28+'BS (F4Q2022)'!AS31</f>
        <v>20685.581197315179</v>
      </c>
      <c r="AT47" s="16">
        <f>'BS (F4Q2022)'!AT28+'BS (F4Q2022)'!AT31</f>
        <v>20685.581197315179</v>
      </c>
      <c r="AU47" s="16">
        <f>'BS (F4Q2022)'!AU28+'BS (F4Q2022)'!AU31</f>
        <v>20685.581197315179</v>
      </c>
      <c r="AV47" s="17">
        <f>'BS (F4Q2022)'!AV28+'BS (F4Q2022)'!AV31</f>
        <v>20685.581197315179</v>
      </c>
    </row>
    <row r="48" spans="2:48" outlineLevel="1" x14ac:dyDescent="0.3">
      <c r="B48" s="635" t="s">
        <v>305</v>
      </c>
      <c r="C48" s="636"/>
      <c r="D48" s="346">
        <f>(D46-D47)/'IS (F4Q2022)'!D31</f>
        <v>-3.0907132599329823</v>
      </c>
      <c r="E48" s="346">
        <f>(E46-E47)/'IS (F4Q2022)'!E31</f>
        <v>-5.4632605740785154</v>
      </c>
      <c r="F48" s="346">
        <f>(F46-F47)/'IS (F4Q2022)'!F31</f>
        <v>-4.9885527391659839</v>
      </c>
      <c r="G48" s="346">
        <f>(G46-G47)/'IS (F4Q2022)'!G31</f>
        <v>-6.6975821179389685</v>
      </c>
      <c r="H48" s="347">
        <f>(H46-H47)/'IS (F4Q2022)'!H31</f>
        <v>-6.6411774245864397</v>
      </c>
      <c r="I48" s="346">
        <f>(I46-I47)/'IS (F4Q2022)'!I31</f>
        <v>-7.0034424853064623</v>
      </c>
      <c r="J48" s="346">
        <f>(J46-J47)/'IS (F4Q2022)'!J31</f>
        <v>-9.4784449902600123</v>
      </c>
      <c r="K48" s="346">
        <f>(K46-K47)/'IS (F4Q2022)'!K31</f>
        <v>-10.62259306803594</v>
      </c>
      <c r="L48" s="346">
        <f>(L46-L47)/'IS (F4Q2022)'!L31</f>
        <v>-9.7625954198473242</v>
      </c>
      <c r="M48" s="347">
        <f>(M46-M47)/'IS (F4Q2022)'!M31</f>
        <v>-9.6019593007244595</v>
      </c>
      <c r="N48" s="346">
        <f>(N46-N47)/'IS (F4Q2022)'!N31</f>
        <v>-8.8433643279797032</v>
      </c>
      <c r="O48" s="346">
        <f>(O46-O47)/'IS (F4Q2022)'!O31</f>
        <v>-8.7442606347062704</v>
      </c>
      <c r="P48" s="346">
        <f>(P46-P47)/'IS (F4Q2022)'!P31</f>
        <v>-7.9459618951272892</v>
      </c>
      <c r="Q48" s="346">
        <f>(Q46-Q47)/'IS (F4Q2022)'!Q31</f>
        <v>-6.4956646182338496</v>
      </c>
      <c r="R48" s="347">
        <f>(R46-R47)/'IS (F4Q2022)'!R31</f>
        <v>-6.504862503325251</v>
      </c>
      <c r="S48" s="346">
        <f>(S46-S47)/'IS (F4Q2022)'!S31</f>
        <v>-8.8638449770525156</v>
      </c>
      <c r="T48" s="346">
        <f>(T46-T47)/'IS (F4Q2022)'!T31</f>
        <v>-10.167172198630722</v>
      </c>
      <c r="U48" s="346">
        <f>(U46-U47)/'IS (F4Q2022)'!U31</f>
        <v>-10.06342311033883</v>
      </c>
      <c r="V48" s="346">
        <f>(V46-V47)/'IS (F4Q2022)'!V31</f>
        <v>-10.049457700650754</v>
      </c>
      <c r="W48" s="347">
        <f>(W46-W47)/'IS (F4Q2022)'!W31</f>
        <v>-9.9985955103363526</v>
      </c>
      <c r="X48" s="346">
        <f>(X46-X47)/'IS (F4Q2022)'!X31</f>
        <v>-9.3420834297304811</v>
      </c>
      <c r="Y48" s="346">
        <f>(Y46-Y47)/'IS (F4Q2022)'!Y31</f>
        <v>-9.702898071393987</v>
      </c>
      <c r="Z48" s="346">
        <f>(Z46-Z47)/'IS (F4Q2022)'!Z31</f>
        <v>-9.8261074439848599</v>
      </c>
      <c r="AA48" s="346">
        <f>(AA46-AA47)/'IS (F4Q2022)'!AA31</f>
        <v>-9.3139215347223931</v>
      </c>
      <c r="AB48" s="347">
        <f>(AB46-AB47)/'IS (F4Q2022)'!AB31</f>
        <v>-9.3263916466044456</v>
      </c>
      <c r="AC48" s="346">
        <f>(AC46-AC47)/'IS (F4Q2022)'!AC31</f>
        <v>-8.5133320474984586</v>
      </c>
      <c r="AD48" s="346">
        <f>(AD46-AD47)/'IS (F4Q2022)'!AD31</f>
        <v>-8.6903774447665914</v>
      </c>
      <c r="AE48" s="346">
        <f>(AE46-AE47)/'IS (F4Q2022)'!AE31</f>
        <v>-8.6383232042269906</v>
      </c>
      <c r="AF48" s="346">
        <f>(AF46-AF47)/'IS (F4Q2022)'!AF31</f>
        <v>-8.355672119629217</v>
      </c>
      <c r="AG48" s="347">
        <f>(AG46-AG47)/'IS (F4Q2022)'!AG31</f>
        <v>-8.3601565826226611</v>
      </c>
      <c r="AH48" s="346">
        <f>(AH46-AH47)/'IS (F4Q2022)'!AH31</f>
        <v>-7.4652153852260499</v>
      </c>
      <c r="AI48" s="346">
        <f>(AI46-AI47)/'IS (F4Q2022)'!AI31</f>
        <v>-7.6436356508057814</v>
      </c>
      <c r="AJ48" s="346">
        <f>(AJ46-AJ47)/'IS (F4Q2022)'!AJ31</f>
        <v>-12.567673221287325</v>
      </c>
      <c r="AK48" s="346">
        <f>(AK46-AK47)/'IS (F4Q2022)'!AK31</f>
        <v>-17.517306979791638</v>
      </c>
      <c r="AL48" s="347">
        <f>(AL46-AL47)/'IS (F4Q2022)'!AL31</f>
        <v>-16.67420783561203</v>
      </c>
      <c r="AM48" s="346">
        <f>(AM46-AM47)/'IS (F4Q2022)'!AM31</f>
        <v>-16.487171457388623</v>
      </c>
      <c r="AN48" s="346">
        <f>(AN46-AN47)/'IS (F4Q2022)'!AN31</f>
        <v>-16.835486860616438</v>
      </c>
      <c r="AO48" s="346">
        <f>(AO46-AO47)/'IS (F4Q2022)'!AO31</f>
        <v>-16.776600265832336</v>
      </c>
      <c r="AP48" s="346">
        <f>(AP46-AP47)/'IS (F4Q2022)'!AP31</f>
        <v>-16.264356954233794</v>
      </c>
      <c r="AQ48" s="347">
        <f>(AQ46-AQ47)/'IS (F4Q2022)'!AQ31</f>
        <v>-16.243052609969226</v>
      </c>
      <c r="AR48" s="346">
        <f>(AR46-AR47)/'IS (F4Q2022)'!AR31</f>
        <v>-15.073230453851155</v>
      </c>
      <c r="AS48" s="346">
        <f>(AS46-AS47)/'IS (F4Q2022)'!AS31</f>
        <v>-15.336083570416092</v>
      </c>
      <c r="AT48" s="346">
        <f>(AT46-AT47)/'IS (F4Q2022)'!AT31</f>
        <v>-15.154267926477148</v>
      </c>
      <c r="AU48" s="346">
        <f>(AU46-AU47)/'IS (F4Q2022)'!AU31</f>
        <v>-14.594393574814072</v>
      </c>
      <c r="AV48" s="347">
        <f>(AV46-AV47)/'IS (F4Q2022)'!AV31</f>
        <v>-14.575921609030049</v>
      </c>
    </row>
    <row r="49" spans="2:48" x14ac:dyDescent="0.3">
      <c r="B49" s="637"/>
      <c r="C49" s="637"/>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583" t="s">
        <v>306</v>
      </c>
      <c r="C50" s="584"/>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85"/>
      <c r="C51" s="586"/>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601" t="s">
        <v>307</v>
      </c>
      <c r="C52" s="602"/>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D12/'IS (F4Q2022)'!D8</f>
        <v>1.4669742337208073E-2</v>
      </c>
      <c r="E53" s="281">
        <f>E12/'IS (F4Q2022)'!E8</f>
        <v>1.5033540018078308E-2</v>
      </c>
      <c r="F53" s="113">
        <f>F12/'IS (F4Q2022)'!F8</f>
        <v>9.2774439396160081E-3</v>
      </c>
      <c r="G53" s="113">
        <f>G12/'IS (F4Q2022)'!G8</f>
        <v>7.7960575070401619E-3</v>
      </c>
      <c r="H53" s="125">
        <f>H12/'IS (F4Q2022)'!H8</f>
        <v>1.1618870857004896E-2</v>
      </c>
      <c r="I53" s="113">
        <f>I12/'IS (F4Q2022)'!I8</f>
        <v>1.2723506784461259E-2</v>
      </c>
      <c r="J53" s="113">
        <f>J12/'IS (F4Q2022)'!J8</f>
        <v>9.3900628783961833E-3</v>
      </c>
      <c r="K53" s="113">
        <f>K12/'IS (F4Q2022)'!K8</f>
        <v>9.8055470026763899E-3</v>
      </c>
      <c r="L53" s="113">
        <f>L12/'IS (F4Q2022)'!L8</f>
        <v>9.7693088939401224E-3</v>
      </c>
      <c r="M53" s="282">
        <f>M12/'IS (F4Q2022)'!M8</f>
        <v>1.0570626753975675E-2</v>
      </c>
      <c r="N53" s="113">
        <f>N12/'IS (F4Q2022)'!N8</f>
        <v>1.4712418881678371E-2</v>
      </c>
      <c r="O53" s="113">
        <f>O12/'IS (F4Q2022)'!O8</f>
        <v>1.1397720455908821E-2</v>
      </c>
      <c r="P53" s="113">
        <f>P12/'IS (F4Q2022)'!P8</f>
        <v>1.0671646768491964E-2</v>
      </c>
      <c r="Q53" s="113">
        <f>Q12/'IS (F4Q2022)'!Q8</f>
        <v>7.8313918519155035E-3</v>
      </c>
      <c r="R53" s="282">
        <f>R12/'IS (F4Q2022)'!R8</f>
        <v>1.0980502811366593E-2</v>
      </c>
      <c r="S53" s="113">
        <f>S12/'IS (F4Q2022)'!S8</f>
        <v>1.1900029812183245E-2</v>
      </c>
      <c r="T53" s="113">
        <f>T12/'IS (F4Q2022)'!T8</f>
        <v>6.9935564985069932E-3</v>
      </c>
      <c r="U53" s="113">
        <f>U12/'IS (F4Q2022)'!U8</f>
        <v>7.0428583698359517E-3</v>
      </c>
      <c r="V53" s="113">
        <f>V12/'IS (F4Q2022)'!V8</f>
        <v>7.7131515770958682E-3</v>
      </c>
      <c r="W53" s="282"/>
      <c r="X53" s="35">
        <f>AVERAGE(V53,U53,T53,S53)</f>
        <v>8.4123990644055149E-3</v>
      </c>
      <c r="Y53" s="35">
        <f>AVERAGE(X53,V53,U53,T53)</f>
        <v>7.5404913774610822E-3</v>
      </c>
      <c r="Z53" s="35">
        <f>AVERAGE(Y53,X53,V53,U53)</f>
        <v>7.6772250971996045E-3</v>
      </c>
      <c r="AA53" s="35">
        <f>AVERAGE(Z53,Y53,X53,V53)</f>
        <v>7.8358167790405168E-3</v>
      </c>
      <c r="AB53" s="282"/>
      <c r="AC53" s="35">
        <f>AVERAGE(AA53,Z53,Y53,X53)</f>
        <v>7.8664830795266791E-3</v>
      </c>
      <c r="AD53" s="35">
        <f>AVERAGE(AC53,AA53,Z53,Y53)</f>
        <v>7.7300040833069711E-3</v>
      </c>
      <c r="AE53" s="35">
        <f>AVERAGE(AD53,AC53,AA53,Z53)</f>
        <v>7.7773822597684431E-3</v>
      </c>
      <c r="AF53" s="35">
        <f>AVERAGE(AE53,AD53,AC53,AA53)</f>
        <v>7.8024215504106514E-3</v>
      </c>
      <c r="AG53" s="282"/>
      <c r="AH53" s="35">
        <f>AVERAGE(AF53,AE53,AD53,AC53)</f>
        <v>7.7940727432531855E-3</v>
      </c>
      <c r="AI53" s="35">
        <f>AVERAGE(AH53,AF53,AE53,AD53)</f>
        <v>7.775970159184813E-3</v>
      </c>
      <c r="AJ53" s="35">
        <f>AVERAGE(AI53,AH53,AF53,AE53)</f>
        <v>7.7874616781542731E-3</v>
      </c>
      <c r="AK53" s="35">
        <f>AVERAGE(AJ53,AI53,AH53,AF53)</f>
        <v>7.7899815327507303E-3</v>
      </c>
      <c r="AL53" s="282"/>
      <c r="AM53" s="35">
        <f>AVERAGE(AK53,AJ53,AI53,AH53)</f>
        <v>7.7868715283357509E-3</v>
      </c>
      <c r="AN53" s="35">
        <f>AVERAGE(AM53,AK53,AJ53,AI53)</f>
        <v>7.7850712246063918E-3</v>
      </c>
      <c r="AO53" s="35">
        <f>AVERAGE(AN53,AM53,AK53,AJ53)</f>
        <v>7.7873464909617857E-3</v>
      </c>
      <c r="AP53" s="35">
        <f>AVERAGE(AO53,AN53,AM53,AK53)</f>
        <v>7.7873176941636651E-3</v>
      </c>
      <c r="AQ53" s="282"/>
      <c r="AR53" s="35">
        <f>AVERAGE(AP53,AO53,AN53,AM53)</f>
        <v>7.786651734516899E-3</v>
      </c>
      <c r="AS53" s="35">
        <f>AVERAGE(AR53,AP53,AO53,AN53)</f>
        <v>7.7865967860621856E-3</v>
      </c>
      <c r="AT53" s="35">
        <f>AVERAGE(AS53,AR53,AP53,AO53)</f>
        <v>7.7869781764261341E-3</v>
      </c>
      <c r="AU53" s="35">
        <f>AVERAGE(AT53,AS53,AR53,AP53)</f>
        <v>7.7868860977922212E-3</v>
      </c>
      <c r="AV53" s="282"/>
    </row>
    <row r="54" spans="2:48" s="23" customFormat="1" outlineLevel="1" x14ac:dyDescent="0.3">
      <c r="B54" s="200" t="s">
        <v>309</v>
      </c>
      <c r="C54" s="201"/>
      <c r="D54" s="351">
        <f t="shared" ref="D54:V54" si="41">+D10/-D9</f>
        <v>1.1581818181818182</v>
      </c>
      <c r="E54" s="351">
        <f t="shared" si="41"/>
        <v>0.55639097744360888</v>
      </c>
      <c r="F54" s="113">
        <f t="shared" si="41"/>
        <v>1.0682852807283763</v>
      </c>
      <c r="G54" s="113">
        <f t="shared" si="41"/>
        <v>0.69411764705882406</v>
      </c>
      <c r="H54" s="125">
        <f t="shared" si="41"/>
        <v>0.86512370311252995</v>
      </c>
      <c r="I54" s="113">
        <f t="shared" si="41"/>
        <v>1.0222575516693164</v>
      </c>
      <c r="J54" s="113">
        <f t="shared" si="41"/>
        <v>0.63295880149812733</v>
      </c>
      <c r="K54" s="113">
        <f t="shared" si="41"/>
        <v>1.0227272727272729</v>
      </c>
      <c r="L54" s="113">
        <f t="shared" si="41"/>
        <v>0.63109756097560987</v>
      </c>
      <c r="M54" s="282">
        <f t="shared" si="41"/>
        <v>0.81118631991449952</v>
      </c>
      <c r="N54" s="113">
        <f t="shared" si="41"/>
        <v>1.1188405797101451</v>
      </c>
      <c r="O54" s="113">
        <f t="shared" si="41"/>
        <v>0.85072231139646837</v>
      </c>
      <c r="P54" s="113">
        <f t="shared" si="41"/>
        <v>0.9018691588785045</v>
      </c>
      <c r="Q54" s="113">
        <f t="shared" si="41"/>
        <v>1.0027522935779816</v>
      </c>
      <c r="R54" s="282">
        <f t="shared" si="41"/>
        <v>0.96746328822343797</v>
      </c>
      <c r="S54" s="113">
        <f t="shared" si="41"/>
        <v>0.96351931330472096</v>
      </c>
      <c r="T54" s="113">
        <f t="shared" si="41"/>
        <v>0.77531206657420249</v>
      </c>
      <c r="U54" s="113">
        <f t="shared" si="41"/>
        <v>0.80106571936056836</v>
      </c>
      <c r="V54" s="113">
        <f t="shared" si="41"/>
        <v>0.91035218783351113</v>
      </c>
      <c r="W54" s="282"/>
      <c r="X54" s="35">
        <v>1</v>
      </c>
      <c r="Y54" s="35">
        <v>1</v>
      </c>
      <c r="Z54" s="35">
        <v>1</v>
      </c>
      <c r="AA54" s="35">
        <v>1</v>
      </c>
      <c r="AB54" s="282"/>
      <c r="AC54" s="35">
        <v>1</v>
      </c>
      <c r="AD54" s="35">
        <v>1</v>
      </c>
      <c r="AE54" s="35">
        <v>1</v>
      </c>
      <c r="AF54" s="35">
        <v>1</v>
      </c>
      <c r="AG54" s="282"/>
      <c r="AH54" s="35">
        <v>1</v>
      </c>
      <c r="AI54" s="35">
        <v>1</v>
      </c>
      <c r="AJ54" s="35">
        <v>1</v>
      </c>
      <c r="AK54" s="35">
        <v>1</v>
      </c>
      <c r="AL54" s="282"/>
      <c r="AM54" s="35">
        <v>1</v>
      </c>
      <c r="AN54" s="35">
        <v>1</v>
      </c>
      <c r="AO54" s="35">
        <v>1</v>
      </c>
      <c r="AP54" s="35">
        <v>1</v>
      </c>
      <c r="AQ54" s="282"/>
      <c r="AR54" s="35">
        <v>1</v>
      </c>
      <c r="AS54" s="35">
        <v>1</v>
      </c>
      <c r="AT54" s="35">
        <v>1</v>
      </c>
      <c r="AU54" s="35">
        <v>1</v>
      </c>
      <c r="AV54" s="282"/>
    </row>
    <row r="55" spans="2:48" s="23" customFormat="1" outlineLevel="1" x14ac:dyDescent="0.3">
      <c r="B55" s="580" t="s">
        <v>310</v>
      </c>
      <c r="C55" s="581"/>
      <c r="D55" s="352"/>
      <c r="E55" s="352"/>
      <c r="F55" s="352"/>
      <c r="G55" s="352"/>
      <c r="H55" s="353"/>
      <c r="I55" s="352">
        <f t="shared" ref="I55:AV55" si="42">I22/D22-1</f>
        <v>-0.22820512820512895</v>
      </c>
      <c r="J55" s="352">
        <f t="shared" si="42"/>
        <v>-4.4869364754098413</v>
      </c>
      <c r="K55" s="352">
        <f t="shared" si="42"/>
        <v>-1.314434752864716</v>
      </c>
      <c r="L55" s="352">
        <f t="shared" si="42"/>
        <v>0.34527569713924766</v>
      </c>
      <c r="M55" s="353">
        <f t="shared" si="42"/>
        <v>-0.68340961778517451</v>
      </c>
      <c r="N55" s="352">
        <f t="shared" si="42"/>
        <v>-2.1785305811139466E-4</v>
      </c>
      <c r="O55" s="352">
        <f t="shared" si="42"/>
        <v>-1.649232351428781</v>
      </c>
      <c r="P55" s="352">
        <f t="shared" si="42"/>
        <v>-5.7565950503127619</v>
      </c>
      <c r="Q55" s="352">
        <f t="shared" si="42"/>
        <v>2.012477359629572E-2</v>
      </c>
      <c r="R55" s="353">
        <f t="shared" si="42"/>
        <v>2.7484040555764064</v>
      </c>
      <c r="S55" s="352">
        <f t="shared" si="42"/>
        <v>1.9175246499972598E-2</v>
      </c>
      <c r="T55" s="352">
        <f t="shared" si="42"/>
        <v>-0.81681375876895213</v>
      </c>
      <c r="U55" s="352">
        <f t="shared" si="42"/>
        <v>-0.27684391080617499</v>
      </c>
      <c r="V55" s="352">
        <f t="shared" si="42"/>
        <v>-0.27691194844479561</v>
      </c>
      <c r="W55" s="353">
        <f t="shared" si="42"/>
        <v>-0.26581179456354764</v>
      </c>
      <c r="X55" s="352">
        <f t="shared" si="42"/>
        <v>8.171438918442453E-2</v>
      </c>
      <c r="Y55" s="352">
        <f t="shared" si="42"/>
        <v>3.6833104545785833</v>
      </c>
      <c r="Z55" s="352">
        <f t="shared" si="42"/>
        <v>-0.12558779493844696</v>
      </c>
      <c r="AA55" s="352">
        <f t="shared" si="42"/>
        <v>0.71812434982269724</v>
      </c>
      <c r="AB55" s="353">
        <f t="shared" si="42"/>
        <v>0.31383914885570441</v>
      </c>
      <c r="AC55" s="352">
        <f t="shared" si="42"/>
        <v>9.7123534269793588E-2</v>
      </c>
      <c r="AD55" s="352">
        <f t="shared" si="42"/>
        <v>0.35950764977440608</v>
      </c>
      <c r="AE55" s="352">
        <f t="shared" si="42"/>
        <v>0.33981218882453623</v>
      </c>
      <c r="AF55" s="352">
        <f t="shared" si="42"/>
        <v>-4.5892582489394762E-2</v>
      </c>
      <c r="AG55" s="353">
        <f t="shared" si="42"/>
        <v>0.13125018543910394</v>
      </c>
      <c r="AH55" s="352">
        <f t="shared" si="42"/>
        <v>0.1145201068558912</v>
      </c>
      <c r="AI55" s="352">
        <f t="shared" si="42"/>
        <v>0.13988933028350004</v>
      </c>
      <c r="AJ55" s="352">
        <f t="shared" si="42"/>
        <v>0.12131964646390059</v>
      </c>
      <c r="AK55" s="352">
        <f t="shared" si="42"/>
        <v>0.119303225136425</v>
      </c>
      <c r="AL55" s="353">
        <f t="shared" si="42"/>
        <v>0.12138237845230204</v>
      </c>
      <c r="AM55" s="352">
        <f t="shared" si="42"/>
        <v>0.13857600375102086</v>
      </c>
      <c r="AN55" s="352">
        <f t="shared" si="42"/>
        <v>8.3336261626586472E-2</v>
      </c>
      <c r="AO55" s="352">
        <f t="shared" si="42"/>
        <v>6.5161558973004796E-2</v>
      </c>
      <c r="AP55" s="352">
        <f t="shared" si="42"/>
        <v>0.12871523768537885</v>
      </c>
      <c r="AQ55" s="353">
        <f t="shared" si="42"/>
        <v>0.11036062380604084</v>
      </c>
      <c r="AR55" s="352">
        <f t="shared" si="42"/>
        <v>7.1237179164707509E-2</v>
      </c>
      <c r="AS55" s="352">
        <f t="shared" si="42"/>
        <v>9.3612071990971435E-2</v>
      </c>
      <c r="AT55" s="352">
        <f t="shared" si="42"/>
        <v>0.10599788470613469</v>
      </c>
      <c r="AU55" s="352">
        <f t="shared" si="42"/>
        <v>5.0118430150442039E-2</v>
      </c>
      <c r="AV55" s="353">
        <f t="shared" si="42"/>
        <v>7.6387140627540706E-2</v>
      </c>
    </row>
    <row r="56" spans="2:48" outlineLevel="1" x14ac:dyDescent="0.3">
      <c r="B56" s="200" t="s">
        <v>311</v>
      </c>
      <c r="C56" s="356"/>
      <c r="D56" s="351">
        <f>-D25/'IS (F4Q2022)'!D8</f>
        <v>6.5041385860961587E-2</v>
      </c>
      <c r="E56" s="351">
        <f>-E25/'IS (F4Q2022)'!E8</f>
        <v>6.5684517673924428E-2</v>
      </c>
      <c r="F56" s="113">
        <f>-F25/'IS (F4Q2022)'!F8</f>
        <v>6.3769602814011436E-2</v>
      </c>
      <c r="G56" s="113">
        <f>-G25/'IS (F4Q2022)'!G8</f>
        <v>7.7945753668297008E-2</v>
      </c>
      <c r="H56" s="363">
        <f>-H25/'IS (F4Q2022)'!H8</f>
        <v>6.8151467825535855E-2</v>
      </c>
      <c r="I56" s="354">
        <f>-I25/'IS (F4Q2022)'!I8</f>
        <v>5.555790393259219E-2</v>
      </c>
      <c r="J56" s="118">
        <f>-J25/'IS (F4Q2022)'!J8</f>
        <v>6.0710175625865198E-2</v>
      </c>
      <c r="K56" s="118">
        <f>-K25/'IS (F4Q2022)'!K8</f>
        <v>9.0026290234717338E-2</v>
      </c>
      <c r="L56" s="113">
        <f>-L25/'IS (F4Q2022)'!L8</f>
        <v>5.5649594557559891E-2</v>
      </c>
      <c r="M56" s="353">
        <f>-M25/'IS (F4Q2022)'!M8</f>
        <v>6.3083595543838744E-2</v>
      </c>
      <c r="N56" s="354">
        <f>-N25/'IS (F4Q2022)'!N8</f>
        <v>4.8033899309568251E-2</v>
      </c>
      <c r="O56" s="118">
        <f>-O25/'IS (F4Q2022)'!O8</f>
        <v>4.8545290941811634E-2</v>
      </c>
      <c r="P56" s="118">
        <f>-P25/'IS (F4Q2022)'!P8</f>
        <v>4.5061028479957313E-2</v>
      </c>
      <c r="Q56" s="118">
        <f>-Q25/'IS (F4Q2022)'!Q8</f>
        <v>5.9447383603176751E-2</v>
      </c>
      <c r="R56" s="353">
        <f>-R25/'IS (F4Q2022)'!R8</f>
        <v>5.058395215515165E-2</v>
      </c>
      <c r="S56" s="354">
        <f>-S25/'IS (F4Q2022)'!S8</f>
        <v>5.1773824903110409E-2</v>
      </c>
      <c r="T56" s="118">
        <f>-T25/'IS (F4Q2022)'!T8</f>
        <v>5.9602388810309603E-2</v>
      </c>
      <c r="U56" s="118">
        <f>-U25/'IS (F4Q2022)'!U8</f>
        <v>5.1962552606716499E-2</v>
      </c>
      <c r="V56" s="118">
        <f>-V25/'IS (F4Q2022)'!V8</f>
        <v>6.4878419814123733E-2</v>
      </c>
      <c r="W56" s="353">
        <f>-W25/'IS (F4Q2022)'!W8</f>
        <v>5.7094042536038427E-2</v>
      </c>
      <c r="X56" s="355">
        <v>6.9490662855964933E-2</v>
      </c>
      <c r="Y56" s="355">
        <f>X56</f>
        <v>6.9490662855964933E-2</v>
      </c>
      <c r="Z56" s="355">
        <f>Y56</f>
        <v>6.9490662855964933E-2</v>
      </c>
      <c r="AA56" s="355">
        <f>Z56</f>
        <v>6.9490662855964933E-2</v>
      </c>
      <c r="AB56" s="353">
        <f>-AB25/'IS (F4Q2022)'!AB8</f>
        <v>6.9490662855964946E-2</v>
      </c>
      <c r="AC56" s="355">
        <v>6.9237389235761101E-2</v>
      </c>
      <c r="AD56" s="35">
        <f>AC56</f>
        <v>6.9237389235761101E-2</v>
      </c>
      <c r="AE56" s="35">
        <f>AD56</f>
        <v>6.9237389235761101E-2</v>
      </c>
      <c r="AF56" s="35">
        <f>AE56</f>
        <v>6.9237389235761101E-2</v>
      </c>
      <c r="AG56" s="353">
        <f>-AG25/'IS (F4Q2022)'!AG8</f>
        <v>6.9237389235761101E-2</v>
      </c>
      <c r="AH56" s="355">
        <v>6.2089303557495354E-2</v>
      </c>
      <c r="AI56" s="35">
        <f>AH56</f>
        <v>6.2089303557495354E-2</v>
      </c>
      <c r="AJ56" s="35">
        <f>AI56</f>
        <v>6.2089303557495354E-2</v>
      </c>
      <c r="AK56" s="35">
        <f>AJ56</f>
        <v>6.2089303557495354E-2</v>
      </c>
      <c r="AL56" s="353">
        <f>-AL25/'IS (F4Q2022)'!AL8</f>
        <v>6.2089303557495361E-2</v>
      </c>
      <c r="AM56" s="355">
        <f>AVERAGE(AH56,AI56,AJ56,AK56)</f>
        <v>6.2089303557495354E-2</v>
      </c>
      <c r="AN56" s="35">
        <f>AVERAGE(AI56,AJ56,AK56,AM56)</f>
        <v>6.2089303557495354E-2</v>
      </c>
      <c r="AO56" s="35">
        <f>AVERAGE(AN56,AM56,AK56,AJ56)</f>
        <v>6.2089303557495354E-2</v>
      </c>
      <c r="AP56" s="35">
        <f>AVERAGE(AO56,AN56,AM56,AK56)</f>
        <v>6.2089303557495354E-2</v>
      </c>
      <c r="AQ56" s="353">
        <f>-AQ25/'IS (F4Q2022)'!AQ8</f>
        <v>6.2089303557495368E-2</v>
      </c>
      <c r="AR56" s="355">
        <f>AVERAGE(AM56,AN56,AO56,AP56)</f>
        <v>6.2089303557495354E-2</v>
      </c>
      <c r="AS56" s="35">
        <f>AVERAGE(AN56,AO56,AP56,AR56)</f>
        <v>6.2089303557495354E-2</v>
      </c>
      <c r="AT56" s="35">
        <f>AVERAGE(AS56,AR56,AP56,AO56)</f>
        <v>6.2089303557495354E-2</v>
      </c>
      <c r="AU56" s="35">
        <f>AVERAGE(AT56,AS56,AR56,AP56)</f>
        <v>6.2089303557495354E-2</v>
      </c>
      <c r="AV56" s="353">
        <f>-AV25/'IS (F4Q2022)'!AV8</f>
        <v>6.2089303557495354E-2</v>
      </c>
    </row>
    <row r="57" spans="2:48" outlineLevel="1" x14ac:dyDescent="0.3">
      <c r="B57" s="200" t="s">
        <v>312</v>
      </c>
      <c r="C57" s="356"/>
      <c r="D57" s="299">
        <f>-D34-D33</f>
        <v>5561.4</v>
      </c>
      <c r="E57" s="299">
        <f t="shared" ref="E57:AV57" si="43">-E34-E33</f>
        <v>3161</v>
      </c>
      <c r="F57" s="146">
        <f t="shared" si="43"/>
        <v>581.20000000000005</v>
      </c>
      <c r="G57" s="146">
        <f t="shared" si="43"/>
        <v>2679.9999999999995</v>
      </c>
      <c r="H57" s="122">
        <f t="shared" si="43"/>
        <v>11983.599999999999</v>
      </c>
      <c r="I57" s="299">
        <f t="shared" si="43"/>
        <v>1575.6000000000001</v>
      </c>
      <c r="J57" s="146">
        <f t="shared" si="43"/>
        <v>1088.5</v>
      </c>
      <c r="K57" s="146">
        <f t="shared" si="43"/>
        <v>479.00000000000006</v>
      </c>
      <c r="L57" s="146">
        <f t="shared" si="43"/>
        <v>479.3</v>
      </c>
      <c r="M57" s="122">
        <f t="shared" si="43"/>
        <v>3622.4</v>
      </c>
      <c r="N57" s="299">
        <f t="shared" si="43"/>
        <v>528.20000000000005</v>
      </c>
      <c r="O57" s="146">
        <f t="shared" si="43"/>
        <v>529.79999999999995</v>
      </c>
      <c r="P57" s="146">
        <f t="shared" si="43"/>
        <v>530.20000000000005</v>
      </c>
      <c r="Q57" s="146">
        <f t="shared" si="43"/>
        <v>530.79999999999995</v>
      </c>
      <c r="R57" s="122">
        <f t="shared" si="43"/>
        <v>2119</v>
      </c>
      <c r="S57" s="299">
        <f t="shared" si="43"/>
        <v>4096.8999999999996</v>
      </c>
      <c r="T57" s="146">
        <f t="shared" si="43"/>
        <v>1039.8</v>
      </c>
      <c r="U57" s="146">
        <f t="shared" si="43"/>
        <v>577.39999999999986</v>
      </c>
      <c r="V57" s="146">
        <f t="shared" si="43"/>
        <v>562.20000000000027</v>
      </c>
      <c r="W57" s="122">
        <f>-W34-W33</f>
        <v>6276.3</v>
      </c>
      <c r="X57" s="299">
        <f t="shared" si="43"/>
        <v>609.58030771444623</v>
      </c>
      <c r="Y57" s="299">
        <f t="shared" si="43"/>
        <v>610.79946832987514</v>
      </c>
      <c r="Z57" s="299">
        <f t="shared" si="43"/>
        <v>612.02106726653483</v>
      </c>
      <c r="AA57" s="299">
        <f t="shared" si="43"/>
        <v>643.90736487112133</v>
      </c>
      <c r="AB57" s="166">
        <f t="shared" si="43"/>
        <v>2476.3082081819775</v>
      </c>
      <c r="AC57" s="299">
        <f t="shared" si="43"/>
        <v>609.58030771444623</v>
      </c>
      <c r="AD57" s="146">
        <f t="shared" si="43"/>
        <v>610.79946832987514</v>
      </c>
      <c r="AE57" s="146">
        <f t="shared" si="43"/>
        <v>712.02106726653483</v>
      </c>
      <c r="AF57" s="146">
        <f t="shared" si="43"/>
        <v>743.90736487112133</v>
      </c>
      <c r="AG57" s="166">
        <f t="shared" si="43"/>
        <v>2676.3082081819775</v>
      </c>
      <c r="AH57" s="299">
        <f t="shared" si="43"/>
        <v>745.19517960086364</v>
      </c>
      <c r="AI57" s="146">
        <f t="shared" si="43"/>
        <v>746.48556996006528</v>
      </c>
      <c r="AJ57" s="146">
        <f t="shared" si="43"/>
        <v>6089.2659112546717</v>
      </c>
      <c r="AK57" s="146">
        <f>-AK34-AK33</f>
        <v>6122.4709263324003</v>
      </c>
      <c r="AL57" s="122">
        <f t="shared" si="43"/>
        <v>13703.417587148</v>
      </c>
      <c r="AM57" s="299">
        <f t="shared" si="43"/>
        <v>931.35688131476138</v>
      </c>
      <c r="AN57" s="146">
        <f t="shared" si="43"/>
        <v>932.2257679168971</v>
      </c>
      <c r="AO57" s="146">
        <f t="shared" si="43"/>
        <v>906.71623823142136</v>
      </c>
      <c r="AP57" s="146">
        <f t="shared" si="43"/>
        <v>912.71347396090346</v>
      </c>
      <c r="AQ57" s="122">
        <f t="shared" si="43"/>
        <v>3683.0123614239833</v>
      </c>
      <c r="AR57" s="299">
        <f t="shared" si="43"/>
        <v>912.795119814298</v>
      </c>
      <c r="AS57" s="146">
        <f t="shared" si="43"/>
        <v>912.87692895939927</v>
      </c>
      <c r="AT57" s="146">
        <f t="shared" si="43"/>
        <v>912.95890172279076</v>
      </c>
      <c r="AU57" s="146">
        <f t="shared" si="43"/>
        <v>926.3018592003433</v>
      </c>
      <c r="AV57" s="122">
        <f t="shared" si="43"/>
        <v>3664.9328096968311</v>
      </c>
    </row>
    <row r="58" spans="2:48" outlineLevel="1" x14ac:dyDescent="0.3">
      <c r="B58" s="203" t="s">
        <v>313</v>
      </c>
      <c r="C58" s="364"/>
      <c r="D58" s="365"/>
      <c r="E58" s="365"/>
      <c r="F58" s="366"/>
      <c r="G58" s="366"/>
      <c r="H58" s="367"/>
      <c r="I58" s="365"/>
      <c r="J58" s="366"/>
      <c r="K58" s="366"/>
      <c r="L58" s="366"/>
      <c r="M58" s="367"/>
      <c r="N58" s="365"/>
      <c r="O58" s="366"/>
      <c r="P58" s="366"/>
      <c r="Q58" s="366"/>
      <c r="R58" s="367"/>
      <c r="S58" s="365"/>
      <c r="T58" s="366"/>
      <c r="U58" s="366"/>
      <c r="V58" s="366"/>
      <c r="W58" s="367"/>
      <c r="X58" s="365">
        <f>X57</f>
        <v>609.58030771444623</v>
      </c>
      <c r="Y58" s="365">
        <f>+Y57+X58</f>
        <v>1220.3797760443213</v>
      </c>
      <c r="Z58" s="365">
        <f t="shared" ref="Z58:AA58" si="44">+Z57+Y58</f>
        <v>1832.4008433108561</v>
      </c>
      <c r="AA58" s="365">
        <f t="shared" si="44"/>
        <v>2476.3082081819775</v>
      </c>
      <c r="AB58" s="368">
        <f>AA58</f>
        <v>2476.3082081819775</v>
      </c>
      <c r="AC58" s="365">
        <f>AA58+AC57</f>
        <v>3085.888515896424</v>
      </c>
      <c r="AD58" s="365">
        <f>AC58+AD57</f>
        <v>3696.6879842262992</v>
      </c>
      <c r="AE58" s="365">
        <f t="shared" ref="AE58:AF58" si="45">AD58+AE57</f>
        <v>4408.7090514928341</v>
      </c>
      <c r="AF58" s="365">
        <f t="shared" si="45"/>
        <v>5152.6164163639551</v>
      </c>
      <c r="AG58" s="368">
        <f>+AF58</f>
        <v>5152.6164163639551</v>
      </c>
      <c r="AH58" s="365">
        <f>AF58+AH57</f>
        <v>5897.8115959648185</v>
      </c>
      <c r="AI58" s="365">
        <f>AH58+AI57</f>
        <v>6644.2971659248833</v>
      </c>
      <c r="AJ58" s="365">
        <f t="shared" ref="AJ58" si="46">AI58+AJ57</f>
        <v>12733.563077179555</v>
      </c>
      <c r="AK58" s="365">
        <f>AJ58+AK57</f>
        <v>18856.034003511955</v>
      </c>
      <c r="AL58" s="394">
        <f>+AK58</f>
        <v>18856.034003511955</v>
      </c>
      <c r="AM58" s="365"/>
      <c r="AN58" s="366"/>
      <c r="AO58" s="366"/>
      <c r="AP58" s="366"/>
      <c r="AQ58" s="367"/>
      <c r="AR58" s="365"/>
      <c r="AS58" s="366"/>
      <c r="AT58" s="366"/>
      <c r="AU58" s="366"/>
      <c r="AV58" s="367"/>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('IS (F4Q2022)'!AL34/'IS (F4Q2022)'!W34)^(1/3)-1</f>
        <v>0.17985647594392118</v>
      </c>
    </row>
    <row r="60" spans="2:48" x14ac:dyDescent="0.3">
      <c r="B60" s="308" t="s">
        <v>330</v>
      </c>
      <c r="D60" s="399"/>
      <c r="E60" s="399"/>
      <c r="I60" s="399"/>
      <c r="J60" s="399"/>
      <c r="N60" s="399"/>
      <c r="O60" s="399"/>
      <c r="S60" s="399"/>
      <c r="T60" s="399"/>
      <c r="X60" s="399"/>
      <c r="Y60" s="399"/>
      <c r="AC60" s="399"/>
      <c r="AD60" s="399"/>
      <c r="AH60" s="399"/>
      <c r="AI60" s="399"/>
      <c r="AL60" s="29">
        <v>0.16966830366076002</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AL59-AL60</f>
        <v>1.0188172283161157E-2</v>
      </c>
    </row>
    <row r="62" spans="2:48" s="23" customFormat="1" x14ac:dyDescent="0.3">
      <c r="B62" s="395" t="s">
        <v>332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(0.15+1)^3*2.88</f>
        <v>4.3801199999999989</v>
      </c>
      <c r="AM62" s="408"/>
      <c r="AN62" s="48"/>
      <c r="AO62" s="309"/>
      <c r="AP62" s="309"/>
      <c r="AQ62" s="309"/>
      <c r="AR62" s="48"/>
      <c r="AS62" s="48"/>
      <c r="AT62" s="309"/>
      <c r="AU62" s="309"/>
      <c r="AV62" s="309"/>
    </row>
    <row r="63" spans="2:48" s="23" customFormat="1" x14ac:dyDescent="0.3">
      <c r="B63" s="311" t="s">
        <v>333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(0.2+1)^3*2.88</f>
        <v>4.9766399999999997</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403">
        <f>(('IS (F4Q2022)'!AK57+'IS (F4Q2022)'!AK90)/('IS (F4Q2022)'!V57+'IS (F4Q2022)'!V90))^(1/3)-1</f>
        <v>6.9563558604510023E-2</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425">
        <f>('IS (F4Q2022)'!AL8/'IS (F4Q2022)'!W8)^(1/3)-1</f>
        <v>0.11154585151284735</v>
      </c>
      <c r="AM65" s="48"/>
      <c r="AN65" s="48"/>
      <c r="AO65" s="309"/>
      <c r="AP65" s="309"/>
      <c r="AQ65" s="309"/>
      <c r="AR65" s="48"/>
      <c r="AS65" s="48"/>
      <c r="AT65" s="309"/>
      <c r="AU65" s="309"/>
      <c r="AV65" s="309"/>
    </row>
  </sheetData>
  <dataConsolidate/>
  <mergeCells count="26">
    <mergeCell ref="B18:C18"/>
    <mergeCell ref="B3:C3"/>
    <mergeCell ref="B5:C5"/>
    <mergeCell ref="B14:C14"/>
    <mergeCell ref="B15:C15"/>
    <mergeCell ref="B17:C17"/>
    <mergeCell ref="B40:C40"/>
    <mergeCell ref="B21:C21"/>
    <mergeCell ref="B22:C22"/>
    <mergeCell ref="B25:C25"/>
    <mergeCell ref="B26:C26"/>
    <mergeCell ref="B27:C27"/>
    <mergeCell ref="B28:C28"/>
    <mergeCell ref="B29:C29"/>
    <mergeCell ref="B36:C36"/>
    <mergeCell ref="B37:C37"/>
    <mergeCell ref="B39:C39"/>
    <mergeCell ref="B51:C51"/>
    <mergeCell ref="B52:C52"/>
    <mergeCell ref="B55:C55"/>
    <mergeCell ref="B41:C41"/>
    <mergeCell ref="B42:C42"/>
    <mergeCell ref="B44:C44"/>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EF520-1184-4115-AFF8-7B342F1853A4}">
  <sheetPr>
    <tabColor theme="4" tint="0.39997558519241921"/>
  </sheetPr>
  <dimension ref="A1"/>
  <sheetViews>
    <sheetView showGridLines="0" topLeftCell="A7" workbookViewId="0">
      <selection activeCell="AB90" sqref="AB90"/>
    </sheetView>
  </sheetViews>
  <sheetFormatPr defaultRowHeight="14.4" x14ac:dyDescent="0.3"/>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EF8A2-B9BB-4E47-953E-531DBE85BD5E}">
  <sheetPr>
    <tabColor theme="4" tint="0.39997558519241921"/>
  </sheetPr>
  <dimension ref="B2:G38"/>
  <sheetViews>
    <sheetView showGridLines="0" workbookViewId="0">
      <selection activeCell="AB90" sqref="AB90"/>
    </sheetView>
  </sheetViews>
  <sheetFormatPr defaultRowHeight="14.4" x14ac:dyDescent="0.3"/>
  <cols>
    <col min="1" max="1" width="2.44140625" customWidth="1"/>
    <col min="2" max="2" width="28.33203125" customWidth="1"/>
    <col min="3" max="3" width="12.5546875" customWidth="1"/>
    <col min="4" max="4" width="2.33203125" customWidth="1"/>
    <col min="5" max="5" width="36.109375" customWidth="1"/>
    <col min="6" max="6" width="11.5546875" customWidth="1"/>
    <col min="7" max="7" width="86.109375" customWidth="1"/>
  </cols>
  <sheetData>
    <row r="2" spans="2:7" ht="30" customHeight="1" x14ac:dyDescent="0.3">
      <c r="B2" s="639" t="s">
        <v>403</v>
      </c>
      <c r="C2" s="640"/>
      <c r="D2" s="640"/>
      <c r="E2" s="640"/>
      <c r="F2" s="640"/>
      <c r="G2" s="641"/>
    </row>
    <row r="3" spans="2:7" ht="8.4" customHeight="1" x14ac:dyDescent="0.3"/>
    <row r="4" spans="2:7" ht="15.6" x14ac:dyDescent="0.3">
      <c r="B4" s="583" t="s">
        <v>335</v>
      </c>
      <c r="C4" s="638"/>
      <c r="E4" s="583" t="s">
        <v>350</v>
      </c>
      <c r="F4" s="638"/>
      <c r="G4" s="458" t="s">
        <v>384</v>
      </c>
    </row>
    <row r="5" spans="2:7" ht="14.4" customHeight="1" x14ac:dyDescent="0.3">
      <c r="B5" s="308" t="s">
        <v>338</v>
      </c>
      <c r="C5" s="474">
        <v>27.5</v>
      </c>
      <c r="E5" s="432" t="s">
        <v>351</v>
      </c>
      <c r="F5" s="399"/>
      <c r="G5" s="459"/>
    </row>
    <row r="6" spans="2:7" ht="16.2" customHeight="1" x14ac:dyDescent="0.3">
      <c r="B6" s="308" t="s">
        <v>339</v>
      </c>
      <c r="C6" s="421">
        <v>30.8</v>
      </c>
      <c r="E6" s="433" t="s">
        <v>352</v>
      </c>
      <c r="F6" s="476">
        <v>112</v>
      </c>
      <c r="G6" s="459" t="s">
        <v>397</v>
      </c>
    </row>
    <row r="7" spans="2:7" ht="16.2" x14ac:dyDescent="0.45">
      <c r="B7" s="308" t="s">
        <v>340</v>
      </c>
      <c r="C7" s="421">
        <v>24.7</v>
      </c>
      <c r="E7" s="433" t="s">
        <v>353</v>
      </c>
      <c r="F7" s="444">
        <f>'IS (F4Q2022)'!V31</f>
        <v>1152.5</v>
      </c>
      <c r="G7" s="459" t="s">
        <v>398</v>
      </c>
    </row>
    <row r="8" spans="2:7" x14ac:dyDescent="0.3">
      <c r="B8" s="308" t="s">
        <v>341</v>
      </c>
      <c r="C8" s="421" t="s">
        <v>345</v>
      </c>
      <c r="E8" s="434" t="s">
        <v>354</v>
      </c>
      <c r="F8" s="445">
        <f>F7*F6</f>
        <v>129080</v>
      </c>
      <c r="G8" s="459"/>
    </row>
    <row r="9" spans="2:7" x14ac:dyDescent="0.3">
      <c r="B9" s="180" t="s">
        <v>342</v>
      </c>
      <c r="C9" s="475">
        <v>30</v>
      </c>
      <c r="E9" s="442" t="s">
        <v>373</v>
      </c>
      <c r="F9" s="446"/>
      <c r="G9" s="459"/>
    </row>
    <row r="10" spans="2:7" ht="16.2" x14ac:dyDescent="0.45">
      <c r="B10" s="180" t="s">
        <v>336</v>
      </c>
      <c r="C10" s="422">
        <v>0</v>
      </c>
      <c r="E10" s="433" t="s">
        <v>355</v>
      </c>
      <c r="F10" s="447">
        <v>0.90400000000000003</v>
      </c>
      <c r="G10" s="459" t="s">
        <v>399</v>
      </c>
    </row>
    <row r="11" spans="2:7" ht="15" customHeight="1" x14ac:dyDescent="0.3">
      <c r="B11" s="423" t="s">
        <v>337</v>
      </c>
      <c r="C11" s="424">
        <f>C9*('IS (F4Q2022)'!X34+'IS (F4Q2022)'!Y34+'IS (F4Q2022)'!Z34+'IS (F4Q2022)'!AA34)</f>
        <v>102.8237035779967</v>
      </c>
      <c r="E11" s="433" t="s">
        <v>356</v>
      </c>
      <c r="F11" s="448">
        <v>0.35</v>
      </c>
      <c r="G11" s="459" t="s">
        <v>401</v>
      </c>
    </row>
    <row r="12" spans="2:7" ht="15" customHeight="1" x14ac:dyDescent="0.3">
      <c r="E12" s="433" t="s">
        <v>357</v>
      </c>
      <c r="F12" s="449">
        <v>0.2356</v>
      </c>
      <c r="G12" s="459" t="s">
        <v>402</v>
      </c>
    </row>
    <row r="13" spans="2:7" ht="15" customHeight="1" x14ac:dyDescent="0.3">
      <c r="B13" s="642" t="s">
        <v>406</v>
      </c>
      <c r="C13" s="643"/>
      <c r="E13" s="435" t="s">
        <v>387</v>
      </c>
      <c r="F13" s="450">
        <f>F11*F12</f>
        <v>8.2459999999999992E-2</v>
      </c>
      <c r="G13" s="459" t="s">
        <v>386</v>
      </c>
    </row>
    <row r="14" spans="2:7" x14ac:dyDescent="0.3">
      <c r="B14" s="644"/>
      <c r="C14" s="645"/>
      <c r="E14" s="433" t="s">
        <v>380</v>
      </c>
      <c r="F14" s="473">
        <v>5.0799999999999998E-2</v>
      </c>
      <c r="G14" s="459" t="s">
        <v>394</v>
      </c>
    </row>
    <row r="15" spans="2:7" x14ac:dyDescent="0.3">
      <c r="B15" s="644"/>
      <c r="C15" s="645"/>
      <c r="E15" s="434" t="s">
        <v>374</v>
      </c>
      <c r="F15" s="451">
        <f>F14+(F10*F13)</f>
        <v>0.12534383999999998</v>
      </c>
      <c r="G15" s="459"/>
    </row>
    <row r="16" spans="2:7" x14ac:dyDescent="0.3">
      <c r="B16" s="644"/>
      <c r="C16" s="645"/>
      <c r="E16" s="308" t="s">
        <v>358</v>
      </c>
      <c r="F16" s="452">
        <f>F8/(F8+'BS (F4Q2022)'!V28+'BS (F4Q2022)'!V31)</f>
        <v>0.89561828399037224</v>
      </c>
      <c r="G16" s="459"/>
    </row>
    <row r="17" spans="2:7" ht="14.4" customHeight="1" x14ac:dyDescent="0.3">
      <c r="B17" s="644"/>
      <c r="C17" s="645"/>
      <c r="E17" s="308" t="s">
        <v>359</v>
      </c>
      <c r="F17" s="452">
        <f>'IS (F4Q2022)'!V145*4</f>
        <v>3.322087373814369E-2</v>
      </c>
      <c r="G17" s="459"/>
    </row>
    <row r="18" spans="2:7" ht="14.4" customHeight="1" x14ac:dyDescent="0.3">
      <c r="B18" s="644"/>
      <c r="C18" s="645"/>
      <c r="E18" s="308" t="s">
        <v>2</v>
      </c>
      <c r="F18" s="453">
        <f>'IS (F4Q2022)'!AB143</f>
        <v>0.2450000000000005</v>
      </c>
      <c r="G18" s="459"/>
    </row>
    <row r="19" spans="2:7" ht="14.4" customHeight="1" x14ac:dyDescent="0.3">
      <c r="B19" s="644"/>
      <c r="C19" s="645"/>
      <c r="E19" s="308" t="s">
        <v>360</v>
      </c>
      <c r="F19" s="452">
        <f>F17*(1-F18)</f>
        <v>2.5081759672298469E-2</v>
      </c>
      <c r="G19" s="459"/>
    </row>
    <row r="20" spans="2:7" ht="14.4" customHeight="1" x14ac:dyDescent="0.3">
      <c r="B20" s="644"/>
      <c r="C20" s="645"/>
      <c r="E20" s="436" t="s">
        <v>361</v>
      </c>
      <c r="F20" s="454">
        <f>(F16*F15)+((1-F16)*F19)</f>
        <v>0.11487831200469936</v>
      </c>
      <c r="G20" s="459"/>
    </row>
    <row r="21" spans="2:7" ht="14.4" customHeight="1" x14ac:dyDescent="0.3">
      <c r="B21" s="644"/>
      <c r="C21" s="645"/>
      <c r="E21" s="648" t="s">
        <v>372</v>
      </c>
      <c r="F21" s="649"/>
      <c r="G21" s="459"/>
    </row>
    <row r="22" spans="2:7" ht="14.4" customHeight="1" x14ac:dyDescent="0.3">
      <c r="B22" s="644"/>
      <c r="C22" s="645"/>
      <c r="E22" s="308" t="s">
        <v>404</v>
      </c>
      <c r="F22" s="288">
        <v>0.04</v>
      </c>
      <c r="G22" s="650" t="s">
        <v>397</v>
      </c>
    </row>
    <row r="23" spans="2:7" ht="14.4" customHeight="1" x14ac:dyDescent="0.3">
      <c r="B23" s="644"/>
      <c r="C23" s="645"/>
      <c r="E23" s="308" t="s">
        <v>362</v>
      </c>
      <c r="F23" s="288">
        <v>0.04</v>
      </c>
      <c r="G23" s="650"/>
    </row>
    <row r="24" spans="2:7" ht="14.4" customHeight="1" x14ac:dyDescent="0.3">
      <c r="B24" s="644"/>
      <c r="C24" s="645"/>
      <c r="E24" s="308" t="s">
        <v>363</v>
      </c>
      <c r="F24" s="288">
        <v>0.02</v>
      </c>
      <c r="G24" s="650"/>
    </row>
    <row r="25" spans="2:7" ht="14.4" customHeight="1" x14ac:dyDescent="0.3">
      <c r="B25" s="644"/>
      <c r="C25" s="645"/>
      <c r="E25" s="443" t="s">
        <v>375</v>
      </c>
      <c r="F25" s="455"/>
      <c r="G25" s="459"/>
    </row>
    <row r="26" spans="2:7" ht="14.4" customHeight="1" x14ac:dyDescent="0.3">
      <c r="B26" s="646"/>
      <c r="C26" s="647"/>
      <c r="E26" s="433" t="s">
        <v>377</v>
      </c>
      <c r="F26" s="447">
        <v>0.81799999999999995</v>
      </c>
      <c r="G26" s="459" t="s">
        <v>400</v>
      </c>
    </row>
    <row r="27" spans="2:7" ht="14.4" customHeight="1" x14ac:dyDescent="0.3">
      <c r="B27" s="466"/>
      <c r="C27" s="466"/>
      <c r="E27" s="433" t="s">
        <v>385</v>
      </c>
      <c r="F27" s="448">
        <v>0.34</v>
      </c>
      <c r="G27" s="459" t="s">
        <v>405</v>
      </c>
    </row>
    <row r="28" spans="2:7" ht="14.4" customHeight="1" x14ac:dyDescent="0.3">
      <c r="B28" s="583" t="s">
        <v>390</v>
      </c>
      <c r="C28" s="638"/>
      <c r="E28" s="433" t="s">
        <v>376</v>
      </c>
      <c r="F28" s="449">
        <v>0.19500000000000001</v>
      </c>
      <c r="G28" s="459" t="s">
        <v>395</v>
      </c>
    </row>
    <row r="29" spans="2:7" x14ac:dyDescent="0.3">
      <c r="B29" s="395" t="s">
        <v>391</v>
      </c>
      <c r="C29" s="468">
        <f>C11</f>
        <v>102.8237035779967</v>
      </c>
      <c r="E29" s="435" t="s">
        <v>388</v>
      </c>
      <c r="F29" s="450">
        <f>F27*F28</f>
        <v>6.6300000000000012E-2</v>
      </c>
      <c r="G29" s="459"/>
    </row>
    <row r="30" spans="2:7" x14ac:dyDescent="0.3">
      <c r="B30" s="308" t="s">
        <v>392</v>
      </c>
      <c r="C30" s="467">
        <f>F37</f>
        <v>111.85226299745524</v>
      </c>
      <c r="E30" s="433" t="s">
        <v>379</v>
      </c>
      <c r="F30" s="478">
        <v>3.9E-2</v>
      </c>
      <c r="G30" s="459" t="s">
        <v>396</v>
      </c>
    </row>
    <row r="31" spans="2:7" x14ac:dyDescent="0.3">
      <c r="B31" s="469" t="s">
        <v>393</v>
      </c>
      <c r="C31" s="470">
        <f>(C29+C30)/2</f>
        <v>107.33798328772596</v>
      </c>
      <c r="E31" s="435" t="s">
        <v>378</v>
      </c>
      <c r="F31" s="450">
        <f>F30+(F26*F29)</f>
        <v>9.3233400000000008E-2</v>
      </c>
      <c r="G31" s="459"/>
    </row>
    <row r="32" spans="2:7" x14ac:dyDescent="0.3">
      <c r="E32" s="319" t="s">
        <v>364</v>
      </c>
      <c r="F32" s="465">
        <f>(F16*(F30+(F26*(F27*F28))))+((1-F16)*F19)</f>
        <v>8.6119614833723573E-2</v>
      </c>
      <c r="G32" s="459"/>
    </row>
    <row r="33" spans="2:7" ht="15.6" x14ac:dyDescent="0.3">
      <c r="B33" s="583" t="s">
        <v>389</v>
      </c>
      <c r="C33" s="638"/>
      <c r="E33" s="437" t="s">
        <v>349</v>
      </c>
      <c r="F33" s="399"/>
      <c r="G33" s="459"/>
    </row>
    <row r="34" spans="2:7" x14ac:dyDescent="0.3">
      <c r="B34" s="395" t="s">
        <v>367</v>
      </c>
      <c r="C34" s="438">
        <v>2.2000000000000001E-3</v>
      </c>
      <c r="E34" s="308" t="s">
        <v>383</v>
      </c>
      <c r="F34" s="456">
        <f>'CFS (F4Q2022)'!AB44+'CFS (F4Q2022)'!AG44+'CFS (F4Q2022)'!AL44+'CFS (F4Q2022)'!AQ44+'CFS (F4Q2022)'!AV44</f>
        <v>17672.012030843882</v>
      </c>
      <c r="G34" s="459"/>
    </row>
    <row r="35" spans="2:7" x14ac:dyDescent="0.3">
      <c r="B35" s="308" t="s">
        <v>368</v>
      </c>
      <c r="C35" s="439">
        <v>8.7400000000000005E-2</v>
      </c>
      <c r="E35" s="308" t="s">
        <v>382</v>
      </c>
      <c r="F35" s="456">
        <f>(((('CFS (F4Q2022)'!AV22*(1+F23))-(F24*'IS (F4Q2022)'!AV8*(1+F22))+(F19*('BS (F4Q2022)'!AV28+'BS (F4Q2022)'!AV31))))/(F32-F22))/(1+F32)^5</f>
        <v>122761.10239938593</v>
      </c>
      <c r="G35" s="459" t="s">
        <v>397</v>
      </c>
    </row>
    <row r="36" spans="2:7" ht="16.2" x14ac:dyDescent="0.45">
      <c r="B36" s="308" t="s">
        <v>369</v>
      </c>
      <c r="C36" s="440">
        <f>C31</f>
        <v>107.33798328772596</v>
      </c>
      <c r="E36" s="308" t="s">
        <v>365</v>
      </c>
      <c r="F36" s="457">
        <f>'CFS (F4Q2022)'!W48</f>
        <v>-9.9985955103363526</v>
      </c>
      <c r="G36" s="459" t="s">
        <v>397</v>
      </c>
    </row>
    <row r="37" spans="2:7" x14ac:dyDescent="0.3">
      <c r="B37" s="308" t="s">
        <v>370</v>
      </c>
      <c r="C37" s="440">
        <f>C36*(1+(C34+(2*C35)))</f>
        <v>126.33680632965346</v>
      </c>
      <c r="E37" s="461" t="s">
        <v>366</v>
      </c>
      <c r="F37" s="462">
        <f>(F35+F34)/F7+F36</f>
        <v>111.85226299745524</v>
      </c>
      <c r="G37" s="459"/>
    </row>
    <row r="38" spans="2:7" x14ac:dyDescent="0.3">
      <c r="B38" s="311" t="s">
        <v>371</v>
      </c>
      <c r="C38" s="441">
        <f>C36*(1+(C34-(2*C35)))</f>
        <v>88.811447372264468</v>
      </c>
      <c r="E38" s="463" t="s">
        <v>381</v>
      </c>
      <c r="F38" s="464">
        <f>F6-F37</f>
        <v>0.14773700254475841</v>
      </c>
      <c r="G38" s="460"/>
    </row>
  </sheetData>
  <mergeCells count="8">
    <mergeCell ref="B33:C33"/>
    <mergeCell ref="B2:G2"/>
    <mergeCell ref="B4:C4"/>
    <mergeCell ref="E4:F4"/>
    <mergeCell ref="B13:C26"/>
    <mergeCell ref="E21:F21"/>
    <mergeCell ref="B28:C28"/>
    <mergeCell ref="G22:G24"/>
  </mergeCells>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C5DC-A5DD-427A-AFED-1D6FFA1307F4}">
  <sheetPr>
    <tabColor theme="8" tint="0.39997558519241921"/>
    <pageSetUpPr fitToPage="1"/>
  </sheetPr>
  <dimension ref="A1:AV316"/>
  <sheetViews>
    <sheetView showGridLines="0" zoomScaleNormal="100" workbookViewId="0">
      <pane xSplit="3" ySplit="4" topLeftCell="R5" activePane="bottomRight" state="frozen"/>
      <selection activeCell="AG31" sqref="AG31"/>
      <selection pane="topRight" activeCell="AG31" sqref="AG31"/>
      <selection pane="bottomLeft" activeCell="AG31" sqref="AG31"/>
      <selection pane="bottomRight" activeCell="AG31" sqref="AG31"/>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91"/>
      <c r="AA1" s="391"/>
      <c r="AB1" s="391"/>
      <c r="AC1" s="391"/>
      <c r="AD1" s="369"/>
      <c r="AE1" s="369"/>
      <c r="AF1" s="369"/>
      <c r="AG1" s="369"/>
      <c r="AH1" s="369"/>
      <c r="AI1" s="369"/>
      <c r="AJ1" s="369"/>
      <c r="AK1" s="369"/>
      <c r="AL1" s="42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582"/>
      <c r="B3" s="583" t="s">
        <v>18</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82"/>
      <c r="B4" s="585" t="s">
        <v>3</v>
      </c>
      <c r="C4" s="586"/>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580" t="s">
        <v>101</v>
      </c>
      <c r="C5" s="581"/>
      <c r="D5" s="105">
        <f>'IS (F1Q23)'!D5-'IS (F4Q2022)'!D5</f>
        <v>0</v>
      </c>
      <c r="E5" s="105">
        <f>'IS (F1Q23)'!E5-'IS (F4Q2022)'!E5</f>
        <v>0</v>
      </c>
      <c r="F5" s="105">
        <f>'IS (F1Q23)'!F5-'IS (F4Q2022)'!F5</f>
        <v>0</v>
      </c>
      <c r="G5" s="105">
        <f>'IS (F1Q23)'!G5-'IS (F4Q2022)'!G5</f>
        <v>0</v>
      </c>
      <c r="H5" s="170">
        <f>'IS (F1Q23)'!H5-'IS (F4Q2022)'!H5</f>
        <v>0</v>
      </c>
      <c r="I5" s="105">
        <f>'IS (F1Q23)'!I5-'IS (F4Q2022)'!I5</f>
        <v>0</v>
      </c>
      <c r="J5" s="105">
        <f>'IS (F1Q23)'!J5-'IS (F4Q2022)'!J5</f>
        <v>0</v>
      </c>
      <c r="K5" s="105">
        <f>'IS (F1Q23)'!K5-'IS (F4Q2022)'!K5</f>
        <v>0</v>
      </c>
      <c r="L5" s="105">
        <f>'IS (F1Q23)'!L5-'IS (F4Q2022)'!L5</f>
        <v>0</v>
      </c>
      <c r="M5" s="49">
        <f>'IS (F1Q23)'!M5-'IS (F4Q2022)'!M5</f>
        <v>0</v>
      </c>
      <c r="N5" s="48">
        <f>'IS (F1Q23)'!N5-'IS (F4Q2022)'!N5</f>
        <v>0</v>
      </c>
      <c r="O5" s="48">
        <f>'IS (F1Q23)'!O5-'IS (F4Q2022)'!O5</f>
        <v>0</v>
      </c>
      <c r="P5" s="48">
        <f>'IS (F1Q23)'!P5-'IS (F4Q2022)'!P5</f>
        <v>0</v>
      </c>
      <c r="Q5" s="105">
        <f>'IS (F1Q23)'!Q5-'IS (F4Q2022)'!Q5</f>
        <v>0</v>
      </c>
      <c r="R5" s="49">
        <f>'IS (F1Q23)'!R5-'IS (F4Q2022)'!R5</f>
        <v>0</v>
      </c>
      <c r="S5" s="48">
        <f>'IS (F1Q23)'!S5-'IS (F4Q2022)'!S5</f>
        <v>0</v>
      </c>
      <c r="T5" s="48">
        <f>'IS (F1Q23)'!T5-'IS (F4Q2022)'!T5</f>
        <v>0</v>
      </c>
      <c r="U5" s="48">
        <f>'IS (F1Q23)'!U5-'IS (F4Q2022)'!U5</f>
        <v>0</v>
      </c>
      <c r="V5" s="48">
        <f>'IS (F1Q23)'!V5-'IS (F4Q2022)'!V5</f>
        <v>0</v>
      </c>
      <c r="W5" s="49">
        <f>'IS (F1Q23)'!W5-'IS (F4Q2022)'!W5</f>
        <v>0</v>
      </c>
      <c r="X5" s="48">
        <f>'IS (F1Q23)'!X5-'IS (F4Q2022)'!X5</f>
        <v>-120.73688517011396</v>
      </c>
      <c r="Y5" s="48">
        <f>'IS (F1Q23)'!Y5-'IS (F4Q2022)'!Y5</f>
        <v>-34.355142973323382</v>
      </c>
      <c r="Z5" s="48">
        <f>'IS (F1Q23)'!Z5-'IS (F4Q2022)'!Z5</f>
        <v>-30.099663050400522</v>
      </c>
      <c r="AA5" s="48">
        <f>'IS (F1Q23)'!AA5-'IS (F4Q2022)'!AA5</f>
        <v>-25.905504585023664</v>
      </c>
      <c r="AB5" s="49">
        <f>'IS (F1Q23)'!AB5-'IS (F4Q2022)'!AB5</f>
        <v>-211.09719577886062</v>
      </c>
      <c r="AC5" s="48">
        <f>'IS (F1Q23)'!AC5-'IS (F4Q2022)'!AC5</f>
        <v>-183.86627856376708</v>
      </c>
      <c r="AD5" s="48">
        <f>'IS (F1Q23)'!AD5-'IS (F4Q2022)'!AD5</f>
        <v>-19.365358709647808</v>
      </c>
      <c r="AE5" s="48">
        <f>'IS (F1Q23)'!AE5-'IS (F4Q2022)'!AE5</f>
        <v>-20.894795532947683</v>
      </c>
      <c r="AF5" s="48">
        <f>'IS (F1Q23)'!AF5-'IS (F4Q2022)'!AF5</f>
        <v>-23.509357357519548</v>
      </c>
      <c r="AG5" s="49">
        <f>'IS (F1Q23)'!AG5-'IS (F4Q2022)'!AG5</f>
        <v>-247.63579016388394</v>
      </c>
      <c r="AH5" s="48">
        <f>'IS (F1Q23)'!AH5-'IS (F4Q2022)'!AH5</f>
        <v>-220.0230951061003</v>
      </c>
      <c r="AI5" s="48">
        <f>'IS (F1Q23)'!AI5-'IS (F4Q2022)'!AI5</f>
        <v>-20.344800077284162</v>
      </c>
      <c r="AJ5" s="48">
        <f>'IS (F1Q23)'!AJ5-'IS (F4Q2022)'!AJ5</f>
        <v>-21.951689484760209</v>
      </c>
      <c r="AK5" s="48">
        <f>'IS (F1Q23)'!AK5-'IS (F4Q2022)'!AK5</f>
        <v>-24.696903437672518</v>
      </c>
      <c r="AL5" s="49">
        <f>'IS (F1Q23)'!AL5-'IS (F4Q2022)'!AL5</f>
        <v>-287.01648810582265</v>
      </c>
      <c r="AM5" s="48">
        <f>'IS (F1Q23)'!AM5-'IS (F4Q2022)'!AM5</f>
        <v>-259.60612711437534</v>
      </c>
      <c r="AN5" s="48">
        <f>'IS (F1Q23)'!AN5-'IS (F4Q2022)'!AN5</f>
        <v>-21.362040081146915</v>
      </c>
      <c r="AO5" s="48">
        <f>'IS (F1Q23)'!AO5-'IS (F4Q2022)'!AO5</f>
        <v>-23.049273958999038</v>
      </c>
      <c r="AP5" s="48">
        <f>'IS (F1Q23)'!AP5-'IS (F4Q2022)'!AP5</f>
        <v>-25.931748609556962</v>
      </c>
      <c r="AQ5" s="49">
        <f>'IS (F1Q23)'!AQ5-'IS (F4Q2022)'!AQ5</f>
        <v>-329.94918976406916</v>
      </c>
      <c r="AR5" s="48">
        <f>'IS (F1Q23)'!AR5-'IS (F4Q2022)'!AR5</f>
        <v>-280.08296493387206</v>
      </c>
      <c r="AS5" s="48">
        <f>'IS (F1Q23)'!AS5-'IS (F4Q2022)'!AS5</f>
        <v>-22.002901283583924</v>
      </c>
      <c r="AT5" s="48">
        <f>'IS (F1Q23)'!AT5-'IS (F4Q2022)'!AT5</f>
        <v>-23.740752177767718</v>
      </c>
      <c r="AU5" s="48">
        <f>'IS (F1Q23)'!AU5-'IS (F4Q2022)'!AU5</f>
        <v>-26.709701067842616</v>
      </c>
      <c r="AV5" s="49">
        <f>'IS (F1Q23)'!AV5-'IS (F4Q2022)'!AV5</f>
        <v>-352.53631946306268</v>
      </c>
    </row>
    <row r="6" spans="1:48" outlineLevel="1" x14ac:dyDescent="0.3">
      <c r="B6" s="580" t="s">
        <v>102</v>
      </c>
      <c r="C6" s="581"/>
      <c r="D6" s="105">
        <f>'IS (F1Q23)'!D6-'IS (F4Q2022)'!D6</f>
        <v>0</v>
      </c>
      <c r="E6" s="105">
        <f>'IS (F1Q23)'!E6-'IS (F4Q2022)'!E6</f>
        <v>0</v>
      </c>
      <c r="F6" s="105">
        <f>'IS (F1Q23)'!F6-'IS (F4Q2022)'!F6</f>
        <v>0</v>
      </c>
      <c r="G6" s="105">
        <f>'IS (F1Q23)'!G6-'IS (F4Q2022)'!G6</f>
        <v>0</v>
      </c>
      <c r="H6" s="170">
        <f>'IS (F1Q23)'!H6-'IS (F4Q2022)'!H6</f>
        <v>0</v>
      </c>
      <c r="I6" s="105">
        <f>'IS (F1Q23)'!I6-'IS (F4Q2022)'!I6</f>
        <v>0</v>
      </c>
      <c r="J6" s="105">
        <f>'IS (F1Q23)'!J6-'IS (F4Q2022)'!J6</f>
        <v>0</v>
      </c>
      <c r="K6" s="105">
        <f>'IS (F1Q23)'!K6-'IS (F4Q2022)'!K6</f>
        <v>0</v>
      </c>
      <c r="L6" s="48">
        <f>'IS (F1Q23)'!L6-'IS (F4Q2022)'!L6</f>
        <v>0</v>
      </c>
      <c r="M6" s="49">
        <f>'IS (F1Q23)'!M6-'IS (F4Q2022)'!M6</f>
        <v>0</v>
      </c>
      <c r="N6" s="48">
        <f>'IS (F1Q23)'!N6-'IS (F4Q2022)'!N6</f>
        <v>0</v>
      </c>
      <c r="O6" s="48">
        <f>'IS (F1Q23)'!O6-'IS (F4Q2022)'!O6</f>
        <v>0</v>
      </c>
      <c r="P6" s="48">
        <f>'IS (F1Q23)'!P6-'IS (F4Q2022)'!P6</f>
        <v>0</v>
      </c>
      <c r="Q6" s="105">
        <f>'IS (F1Q23)'!Q6-'IS (F4Q2022)'!Q6</f>
        <v>0</v>
      </c>
      <c r="R6" s="49">
        <f>'IS (F1Q23)'!R6-'IS (F4Q2022)'!R6</f>
        <v>0</v>
      </c>
      <c r="S6" s="48">
        <f>'IS (F1Q23)'!S6-'IS (F4Q2022)'!S6</f>
        <v>0</v>
      </c>
      <c r="T6" s="48">
        <f>'IS (F1Q23)'!T6-'IS (F4Q2022)'!T6</f>
        <v>0</v>
      </c>
      <c r="U6" s="48">
        <f>'IS (F1Q23)'!U6-'IS (F4Q2022)'!U6</f>
        <v>0</v>
      </c>
      <c r="V6" s="48">
        <f>'IS (F1Q23)'!V6-'IS (F4Q2022)'!V6</f>
        <v>0</v>
      </c>
      <c r="W6" s="49">
        <f>'IS (F1Q23)'!W6-'IS (F4Q2022)'!W6</f>
        <v>0</v>
      </c>
      <c r="X6" s="48">
        <f>'IS (F1Q23)'!X6-'IS (F4Q2022)'!X6</f>
        <v>112.17204277394387</v>
      </c>
      <c r="Y6" s="48">
        <f>'IS (F1Q23)'!Y6-'IS (F4Q2022)'!Y6</f>
        <v>0.59109412245379644</v>
      </c>
      <c r="Z6" s="48">
        <f>'IS (F1Q23)'!Z6-'IS (F4Q2022)'!Z6</f>
        <v>2.5475085390999084</v>
      </c>
      <c r="AA6" s="48">
        <f>'IS (F1Q23)'!AA6-'IS (F4Q2022)'!AA6</f>
        <v>3.9974927265629958</v>
      </c>
      <c r="AB6" s="49">
        <f>'IS (F1Q23)'!AB6-'IS (F4Q2022)'!AB6</f>
        <v>119.30813816205955</v>
      </c>
      <c r="AC6" s="48">
        <f>'IS (F1Q23)'!AC6-'IS (F4Q2022)'!AC6</f>
        <v>127.41818741145471</v>
      </c>
      <c r="AD6" s="48">
        <f>'IS (F1Q23)'!AD6-'IS (F4Q2022)'!AD6</f>
        <v>4.1776121270668227</v>
      </c>
      <c r="AE6" s="48">
        <f>'IS (F1Q23)'!AE6-'IS (F4Q2022)'!AE6</f>
        <v>5.0018935319649245</v>
      </c>
      <c r="AF6" s="48">
        <f>'IS (F1Q23)'!AF6-'IS (F4Q2022)'!AF6</f>
        <v>4.9547018089697303</v>
      </c>
      <c r="AG6" s="49">
        <f>'IS (F1Q23)'!AG6-'IS (F4Q2022)'!AG6</f>
        <v>141.55239487945619</v>
      </c>
      <c r="AH6" s="48">
        <f>'IS (F1Q23)'!AH6-'IS (F4Q2022)'!AH6</f>
        <v>142.49185489576075</v>
      </c>
      <c r="AI6" s="48">
        <f>'IS (F1Q23)'!AI6-'IS (F4Q2022)'!AI6</f>
        <v>4.3831369454544529</v>
      </c>
      <c r="AJ6" s="48">
        <f>'IS (F1Q23)'!AJ6-'IS (F4Q2022)'!AJ6</f>
        <v>5.2485528779018296</v>
      </c>
      <c r="AK6" s="48">
        <f>'IS (F1Q23)'!AK6-'IS (F4Q2022)'!AK6</f>
        <v>5.1987821029124461</v>
      </c>
      <c r="AL6" s="49">
        <f>'IS (F1Q23)'!AL6-'IS (F4Q2022)'!AL6</f>
        <v>157.32232682202994</v>
      </c>
      <c r="AM6" s="48">
        <f>'IS (F1Q23)'!AM6-'IS (F4Q2022)'!AM6</f>
        <v>156.6291849447</v>
      </c>
      <c r="AN6" s="48">
        <f>'IS (F1Q23)'!AN6-'IS (F4Q2022)'!AN6</f>
        <v>4.6022937927273233</v>
      </c>
      <c r="AO6" s="48">
        <f>'IS (F1Q23)'!AO6-'IS (F4Q2022)'!AO6</f>
        <v>5.5109805217966823</v>
      </c>
      <c r="AP6" s="48">
        <f>'IS (F1Q23)'!AP6-'IS (F4Q2022)'!AP6</f>
        <v>5.4587212080582503</v>
      </c>
      <c r="AQ6" s="49">
        <f>'IS (F1Q23)'!AQ6-'IS (F4Q2022)'!AQ6</f>
        <v>172.20118046728203</v>
      </c>
      <c r="AR6" s="48">
        <f>'IS (F1Q23)'!AR6-'IS (F4Q2022)'!AR6</f>
        <v>163.57708587729212</v>
      </c>
      <c r="AS6" s="48">
        <f>'IS (F1Q23)'!AS6-'IS (F4Q2022)'!AS6</f>
        <v>4.7403626065092794</v>
      </c>
      <c r="AT6" s="48">
        <f>'IS (F1Q23)'!AT6-'IS (F4Q2022)'!AT6</f>
        <v>5.6763099374511512</v>
      </c>
      <c r="AU6" s="48">
        <f>'IS (F1Q23)'!AU6-'IS (F4Q2022)'!AU6</f>
        <v>5.6224828442998387</v>
      </c>
      <c r="AV6" s="49">
        <f>'IS (F1Q23)'!AV6-'IS (F4Q2022)'!AV6</f>
        <v>179.61624126555307</v>
      </c>
    </row>
    <row r="7" spans="1:48" ht="16.2" outlineLevel="1" x14ac:dyDescent="0.45">
      <c r="B7" s="580" t="s">
        <v>103</v>
      </c>
      <c r="C7" s="581"/>
      <c r="D7" s="104">
        <f>'IS (F1Q23)'!D7-'IS (F4Q2022)'!D7</f>
        <v>0</v>
      </c>
      <c r="E7" s="104">
        <f>'IS (F1Q23)'!E7-'IS (F4Q2022)'!E7</f>
        <v>0</v>
      </c>
      <c r="F7" s="104">
        <f>'IS (F1Q23)'!F7-'IS (F4Q2022)'!F7</f>
        <v>0</v>
      </c>
      <c r="G7" s="104">
        <f>'IS (F1Q23)'!G7-'IS (F4Q2022)'!G7</f>
        <v>0</v>
      </c>
      <c r="H7" s="173">
        <f>'IS (F1Q23)'!H7-'IS (F4Q2022)'!H7</f>
        <v>0</v>
      </c>
      <c r="I7" s="104">
        <f>'IS (F1Q23)'!I7-'IS (F4Q2022)'!I7</f>
        <v>0</v>
      </c>
      <c r="J7" s="104">
        <f>'IS (F1Q23)'!J7-'IS (F4Q2022)'!J7</f>
        <v>0</v>
      </c>
      <c r="K7" s="104">
        <f>'IS (F1Q23)'!K7-'IS (F4Q2022)'!K7</f>
        <v>0</v>
      </c>
      <c r="L7" s="52">
        <f>'IS (F1Q23)'!L7-'IS (F4Q2022)'!L7</f>
        <v>0</v>
      </c>
      <c r="M7" s="53">
        <f>'IS (F1Q23)'!M7-'IS (F4Q2022)'!M7</f>
        <v>0</v>
      </c>
      <c r="N7" s="52">
        <f>'IS (F1Q23)'!N7-'IS (F4Q2022)'!N7</f>
        <v>0</v>
      </c>
      <c r="O7" s="52">
        <f>'IS (F1Q23)'!O7-'IS (F4Q2022)'!O7</f>
        <v>0</v>
      </c>
      <c r="P7" s="52">
        <f>'IS (F1Q23)'!P7-'IS (F4Q2022)'!P7</f>
        <v>0</v>
      </c>
      <c r="Q7" s="104">
        <f>'IS (F1Q23)'!Q7-'IS (F4Q2022)'!Q7</f>
        <v>0</v>
      </c>
      <c r="R7" s="53">
        <f>'IS (F1Q23)'!R7-'IS (F4Q2022)'!R7</f>
        <v>0</v>
      </c>
      <c r="S7" s="52">
        <f>'IS (F1Q23)'!S7-'IS (F4Q2022)'!S7</f>
        <v>0</v>
      </c>
      <c r="T7" s="52">
        <f>'IS (F1Q23)'!T7-'IS (F4Q2022)'!T7</f>
        <v>0</v>
      </c>
      <c r="U7" s="52">
        <f>'IS (F1Q23)'!U7-'IS (F4Q2022)'!U7</f>
        <v>0</v>
      </c>
      <c r="V7" s="52">
        <f>'IS (F1Q23)'!V7-'IS (F4Q2022)'!V7</f>
        <v>0</v>
      </c>
      <c r="W7" s="173">
        <f>'IS (F1Q23)'!W7-'IS (F4Q2022)'!W7</f>
        <v>0</v>
      </c>
      <c r="X7" s="52">
        <f>'IS (F1Q23)'!X7-'IS (F4Q2022)'!X7</f>
        <v>-3.6350000000001046</v>
      </c>
      <c r="Y7" s="52">
        <f>'IS (F1Q23)'!Y7-'IS (F4Q2022)'!Y7</f>
        <v>0</v>
      </c>
      <c r="Z7" s="52">
        <f>'IS (F1Q23)'!Z7-'IS (F4Q2022)'!Z7</f>
        <v>0</v>
      </c>
      <c r="AA7" s="52">
        <f>'IS (F1Q23)'!AA7-'IS (F4Q2022)'!AA7</f>
        <v>0</v>
      </c>
      <c r="AB7" s="53">
        <f>'IS (F1Q23)'!AB7-'IS (F4Q2022)'!AB7</f>
        <v>-3.6350000000002183</v>
      </c>
      <c r="AC7" s="52">
        <f>'IS (F1Q23)'!AC7-'IS (F4Q2022)'!AC7</f>
        <v>-5.0364000000000715</v>
      </c>
      <c r="AD7" s="52">
        <f>'IS (F1Q23)'!AD7-'IS (F4Q2022)'!AD7</f>
        <v>0</v>
      </c>
      <c r="AE7" s="52">
        <f>'IS (F1Q23)'!AE7-'IS (F4Q2022)'!AE7</f>
        <v>0</v>
      </c>
      <c r="AF7" s="52">
        <f>'IS (F1Q23)'!AF7-'IS (F4Q2022)'!AF7</f>
        <v>0</v>
      </c>
      <c r="AG7" s="53">
        <f>'IS (F1Q23)'!AG7-'IS (F4Q2022)'!AG7</f>
        <v>-5.0364000000004125</v>
      </c>
      <c r="AH7" s="52">
        <f>'IS (F1Q23)'!AH7-'IS (F4Q2022)'!AH7</f>
        <v>-6.3703760000000784</v>
      </c>
      <c r="AI7" s="52">
        <f>'IS (F1Q23)'!AI7-'IS (F4Q2022)'!AI7</f>
        <v>0</v>
      </c>
      <c r="AJ7" s="52">
        <f>'IS (F1Q23)'!AJ7-'IS (F4Q2022)'!AJ7</f>
        <v>0</v>
      </c>
      <c r="AK7" s="52">
        <f>'IS (F1Q23)'!AK7-'IS (F4Q2022)'!AK7</f>
        <v>0</v>
      </c>
      <c r="AL7" s="53">
        <f>'IS (F1Q23)'!AL7-'IS (F4Q2022)'!AL7</f>
        <v>-6.3703760000007605</v>
      </c>
      <c r="AM7" s="52">
        <f>'IS (F1Q23)'!AM7-'IS (F4Q2022)'!AM7</f>
        <v>-8.1402470400001903</v>
      </c>
      <c r="AN7" s="52">
        <f>'IS (F1Q23)'!AN7-'IS (F4Q2022)'!AN7</f>
        <v>0</v>
      </c>
      <c r="AO7" s="52">
        <f>'IS (F1Q23)'!AO7-'IS (F4Q2022)'!AO7</f>
        <v>0</v>
      </c>
      <c r="AP7" s="52">
        <f>'IS (F1Q23)'!AP7-'IS (F4Q2022)'!AP7</f>
        <v>0</v>
      </c>
      <c r="AQ7" s="53">
        <f>'IS (F1Q23)'!AQ7-'IS (F4Q2022)'!AQ7</f>
        <v>-8.140247040000304</v>
      </c>
      <c r="AR7" s="52">
        <f>'IS (F1Q23)'!AR7-'IS (F4Q2022)'!AR7</f>
        <v>-10.253901021600313</v>
      </c>
      <c r="AS7" s="52">
        <f>'IS (F1Q23)'!AS7-'IS (F4Q2022)'!AS7</f>
        <v>0</v>
      </c>
      <c r="AT7" s="52">
        <f>'IS (F1Q23)'!AT7-'IS (F4Q2022)'!AT7</f>
        <v>0</v>
      </c>
      <c r="AU7" s="52">
        <f>'IS (F1Q23)'!AU7-'IS (F4Q2022)'!AU7</f>
        <v>0</v>
      </c>
      <c r="AV7" s="53">
        <f>'IS (F1Q23)'!AV7-'IS (F4Q2022)'!AV7</f>
        <v>-10.253901021600541</v>
      </c>
    </row>
    <row r="8" spans="1:48" s="8" customFormat="1" x14ac:dyDescent="0.3">
      <c r="B8" s="587" t="s">
        <v>104</v>
      </c>
      <c r="C8" s="588"/>
      <c r="D8" s="103">
        <f>'IS (F1Q23)'!D8-'IS (F4Q2022)'!D8</f>
        <v>0</v>
      </c>
      <c r="E8" s="103">
        <f>'IS (F1Q23)'!E8-'IS (F4Q2022)'!E8</f>
        <v>0</v>
      </c>
      <c r="F8" s="103">
        <f>'IS (F1Q23)'!F8-'IS (F4Q2022)'!F8</f>
        <v>0</v>
      </c>
      <c r="G8" s="103">
        <f>'IS (F1Q23)'!G8-'IS (F4Q2022)'!G8</f>
        <v>0</v>
      </c>
      <c r="H8" s="171">
        <f>'IS (F1Q23)'!H8-'IS (F4Q2022)'!H8</f>
        <v>0</v>
      </c>
      <c r="I8" s="103">
        <f>'IS (F1Q23)'!I8-'IS (F4Q2022)'!I8</f>
        <v>0</v>
      </c>
      <c r="J8" s="103">
        <f>'IS (F1Q23)'!J8-'IS (F4Q2022)'!J8</f>
        <v>0</v>
      </c>
      <c r="K8" s="103">
        <f>'IS (F1Q23)'!K8-'IS (F4Q2022)'!K8</f>
        <v>0</v>
      </c>
      <c r="L8" s="103">
        <f>'IS (F1Q23)'!L8-'IS (F4Q2022)'!L8</f>
        <v>0</v>
      </c>
      <c r="M8" s="171">
        <f>'IS (F1Q23)'!M8-'IS (F4Q2022)'!M8</f>
        <v>0</v>
      </c>
      <c r="N8" s="103">
        <f>'IS (F1Q23)'!N8-'IS (F4Q2022)'!N8</f>
        <v>0</v>
      </c>
      <c r="O8" s="103">
        <f>'IS (F1Q23)'!O8-'IS (F4Q2022)'!O8</f>
        <v>0</v>
      </c>
      <c r="P8" s="103">
        <f>'IS (F1Q23)'!P8-'IS (F4Q2022)'!P8</f>
        <v>0</v>
      </c>
      <c r="Q8" s="103">
        <f>'IS (F1Q23)'!Q8-'IS (F4Q2022)'!Q8</f>
        <v>0</v>
      </c>
      <c r="R8" s="171">
        <f>'IS (F1Q23)'!R8-'IS (F4Q2022)'!R8</f>
        <v>0</v>
      </c>
      <c r="S8" s="103">
        <f>'IS (F1Q23)'!S8-'IS (F4Q2022)'!S8</f>
        <v>0</v>
      </c>
      <c r="T8" s="103">
        <f>'IS (F1Q23)'!T8-'IS (F4Q2022)'!T8</f>
        <v>0</v>
      </c>
      <c r="U8" s="103">
        <f>'IS (F1Q23)'!U8-'IS (F4Q2022)'!U8</f>
        <v>0</v>
      </c>
      <c r="V8" s="103">
        <f>'IS (F1Q23)'!V8-'IS (F4Q2022)'!V8</f>
        <v>0</v>
      </c>
      <c r="W8" s="171">
        <f>'IS (F1Q23)'!W8-'IS (F4Q2022)'!W8</f>
        <v>0</v>
      </c>
      <c r="X8" s="50">
        <f>'IS (F1Q23)'!X8-'IS (F4Q2022)'!X8</f>
        <v>-12.199842396170425</v>
      </c>
      <c r="Y8" s="50">
        <f>'IS (F1Q23)'!Y8-'IS (F4Q2022)'!Y8</f>
        <v>-33.764048850869585</v>
      </c>
      <c r="Z8" s="50">
        <f>'IS (F1Q23)'!Z8-'IS (F4Q2022)'!Z8</f>
        <v>-27.552154511300614</v>
      </c>
      <c r="AA8" s="50">
        <f>'IS (F1Q23)'!AA8-'IS (F4Q2022)'!AA8</f>
        <v>-21.908011858460668</v>
      </c>
      <c r="AB8" s="171">
        <f>'IS (F1Q23)'!AB8-'IS (F4Q2022)'!AB8</f>
        <v>-95.424057616801292</v>
      </c>
      <c r="AC8" s="50">
        <f>'IS (F1Q23)'!AC8-'IS (F4Q2022)'!AC8</f>
        <v>-61.484491152310511</v>
      </c>
      <c r="AD8" s="50">
        <f>'IS (F1Q23)'!AD8-'IS (F4Q2022)'!AD8</f>
        <v>-15.187746582581894</v>
      </c>
      <c r="AE8" s="50">
        <f>'IS (F1Q23)'!AE8-'IS (F4Q2022)'!AE8</f>
        <v>-15.892902000983668</v>
      </c>
      <c r="AF8" s="50">
        <f>'IS (F1Q23)'!AF8-'IS (F4Q2022)'!AF8</f>
        <v>-18.554655548550727</v>
      </c>
      <c r="AG8" s="51">
        <f>'IS (F1Q23)'!AG8-'IS (F4Q2022)'!AG8</f>
        <v>-111.11979528442316</v>
      </c>
      <c r="AH8" s="50">
        <f>'IS (F1Q23)'!AH8-'IS (F4Q2022)'!AH8</f>
        <v>-83.901616210341672</v>
      </c>
      <c r="AI8" s="50">
        <f>'IS (F1Q23)'!AI8-'IS (F4Q2022)'!AI8</f>
        <v>-15.961663131829482</v>
      </c>
      <c r="AJ8" s="50">
        <f>'IS (F1Q23)'!AJ8-'IS (F4Q2022)'!AJ8</f>
        <v>-16.703136606858607</v>
      </c>
      <c r="AK8" s="50">
        <f>'IS (F1Q23)'!AK8-'IS (F4Q2022)'!AK8</f>
        <v>-19.498121334760071</v>
      </c>
      <c r="AL8" s="51">
        <f>'IS (F1Q23)'!AL8-'IS (F4Q2022)'!AL8</f>
        <v>-136.06453728378983</v>
      </c>
      <c r="AM8" s="50">
        <f>'IS (F1Q23)'!AM8-'IS (F4Q2022)'!AM8</f>
        <v>-111.11718920967724</v>
      </c>
      <c r="AN8" s="50">
        <f>'IS (F1Q23)'!AN8-'IS (F4Q2022)'!AN8</f>
        <v>-16.759746288418683</v>
      </c>
      <c r="AO8" s="50">
        <f>'IS (F1Q23)'!AO8-'IS (F4Q2022)'!AO8</f>
        <v>-17.53829343720281</v>
      </c>
      <c r="AP8" s="50">
        <f>'IS (F1Q23)'!AP8-'IS (F4Q2022)'!AP8</f>
        <v>-20.473027401500076</v>
      </c>
      <c r="AQ8" s="51">
        <f>'IS (F1Q23)'!AQ8-'IS (F4Q2022)'!AQ8</f>
        <v>-165.88825633678061</v>
      </c>
      <c r="AR8" s="50">
        <f>'IS (F1Q23)'!AR8-'IS (F4Q2022)'!AR8</f>
        <v>-126.75978007818048</v>
      </c>
      <c r="AS8" s="50">
        <f>'IS (F1Q23)'!AS8-'IS (F4Q2022)'!AS8</f>
        <v>-17.262538677076009</v>
      </c>
      <c r="AT8" s="50">
        <f>'IS (F1Q23)'!AT8-'IS (F4Q2022)'!AT8</f>
        <v>-18.064442240316566</v>
      </c>
      <c r="AU8" s="50">
        <f>'IS (F1Q23)'!AU8-'IS (F4Q2022)'!AU8</f>
        <v>-21.087218223543459</v>
      </c>
      <c r="AV8" s="51">
        <f>'IS (F1Q23)'!AV8-'IS (F4Q2022)'!AV8</f>
        <v>-183.1739792191147</v>
      </c>
    </row>
    <row r="9" spans="1:48" outlineLevel="1" x14ac:dyDescent="0.3">
      <c r="B9" s="589" t="s">
        <v>100</v>
      </c>
      <c r="C9" s="590"/>
      <c r="D9" s="105">
        <f>'IS (F1Q23)'!D9-'IS (F4Q2022)'!D9</f>
        <v>0</v>
      </c>
      <c r="E9" s="105">
        <f>'IS (F1Q23)'!E9-'IS (F4Q2022)'!E9</f>
        <v>0</v>
      </c>
      <c r="F9" s="105">
        <f>'IS (F1Q23)'!F9-'IS (F4Q2022)'!F9</f>
        <v>0</v>
      </c>
      <c r="G9" s="105">
        <f>'IS (F1Q23)'!G9-'IS (F4Q2022)'!G9</f>
        <v>0</v>
      </c>
      <c r="H9" s="170">
        <f>'IS (F1Q23)'!H9-'IS (F4Q2022)'!H9</f>
        <v>0</v>
      </c>
      <c r="I9" s="105">
        <f>'IS (F1Q23)'!I9-'IS (F4Q2022)'!I9</f>
        <v>0</v>
      </c>
      <c r="J9" s="105">
        <f>'IS (F1Q23)'!J9-'IS (F4Q2022)'!J9</f>
        <v>0</v>
      </c>
      <c r="K9" s="105">
        <f>'IS (F1Q23)'!K9-'IS (F4Q2022)'!K9</f>
        <v>0</v>
      </c>
      <c r="L9" s="105">
        <f>'IS (F1Q23)'!L9-'IS (F4Q2022)'!L9</f>
        <v>0</v>
      </c>
      <c r="M9" s="170">
        <f>'IS (F1Q23)'!M9-'IS (F4Q2022)'!M9</f>
        <v>0</v>
      </c>
      <c r="N9" s="105">
        <f>'IS (F1Q23)'!N9-'IS (F4Q2022)'!N9</f>
        <v>0</v>
      </c>
      <c r="O9" s="105">
        <f>'IS (F1Q23)'!O9-'IS (F4Q2022)'!O9</f>
        <v>0</v>
      </c>
      <c r="P9" s="105">
        <f>'IS (F1Q23)'!P9-'IS (F4Q2022)'!P9</f>
        <v>0</v>
      </c>
      <c r="Q9" s="105">
        <f>'IS (F1Q23)'!Q9-'IS (F4Q2022)'!Q9</f>
        <v>0</v>
      </c>
      <c r="R9" s="170">
        <f>'IS (F1Q23)'!R9-'IS (F4Q2022)'!R9</f>
        <v>0</v>
      </c>
      <c r="S9" s="105">
        <f>'IS (F1Q23)'!S9-'IS (F4Q2022)'!S9</f>
        <v>0</v>
      </c>
      <c r="T9" s="105">
        <f>'IS (F1Q23)'!T9-'IS (F4Q2022)'!T9</f>
        <v>0</v>
      </c>
      <c r="U9" s="105">
        <f>'IS (F1Q23)'!U9-'IS (F4Q2022)'!U9</f>
        <v>0</v>
      </c>
      <c r="V9" s="105">
        <f>'IS (F1Q23)'!V9-'IS (F4Q2022)'!V9</f>
        <v>0</v>
      </c>
      <c r="W9" s="170">
        <f>'IS (F1Q23)'!W9-'IS (F4Q2022)'!W9</f>
        <v>0</v>
      </c>
      <c r="X9" s="105">
        <f>'IS (F1Q23)'!X9-'IS (F4Q2022)'!X9</f>
        <v>0.44387907186728626</v>
      </c>
      <c r="Y9" s="105">
        <f>'IS (F1Q23)'!Y9-'IS (F4Q2022)'!Y9</f>
        <v>38.272950664406835</v>
      </c>
      <c r="Z9" s="105">
        <f>'IS (F1Q23)'!Z9-'IS (F4Q2022)'!Z9</f>
        <v>-69.189177399504842</v>
      </c>
      <c r="AA9" s="105">
        <f>'IS (F1Q23)'!AA9-'IS (F4Q2022)'!AA9</f>
        <v>-111.59176011725367</v>
      </c>
      <c r="AB9" s="49">
        <f>'IS (F1Q23)'!AB9-'IS (F4Q2022)'!AB9</f>
        <v>-142.06410778048303</v>
      </c>
      <c r="AC9" s="105">
        <f>'IS (F1Q23)'!AC9-'IS (F4Q2022)'!AC9</f>
        <v>-1.2380574912244811</v>
      </c>
      <c r="AD9" s="105">
        <f>'IS (F1Q23)'!AD9-'IS (F4Q2022)'!AD9</f>
        <v>52.266057426404586</v>
      </c>
      <c r="AE9" s="105">
        <f>'IS (F1Q23)'!AE9-'IS (F4Q2022)'!AE9</f>
        <v>-76.198074831371741</v>
      </c>
      <c r="AF9" s="105">
        <f>'IS (F1Q23)'!AF9-'IS (F4Q2022)'!AF9</f>
        <v>-126.65976568119913</v>
      </c>
      <c r="AG9" s="49">
        <f>'IS (F1Q23)'!AG9-'IS (F4Q2022)'!AG9</f>
        <v>-151.8298405773894</v>
      </c>
      <c r="AH9" s="105">
        <f>'IS (F1Q23)'!AH9-'IS (F4Q2022)'!AH9</f>
        <v>-3.0384812830948249</v>
      </c>
      <c r="AI9" s="105">
        <f>'IS (F1Q23)'!AI9-'IS (F4Q2022)'!AI9</f>
        <v>62.256765215313408</v>
      </c>
      <c r="AJ9" s="105">
        <f>'IS (F1Q23)'!AJ9-'IS (F4Q2022)'!AJ9</f>
        <v>-86.475169996720069</v>
      </c>
      <c r="AK9" s="105">
        <f>'IS (F1Q23)'!AK9-'IS (F4Q2022)'!AK9</f>
        <v>-144.56568541965726</v>
      </c>
      <c r="AL9" s="49">
        <f>'IS (F1Q23)'!AL9-'IS (F4Q2022)'!AL9</f>
        <v>-171.8225714841592</v>
      </c>
      <c r="AM9" s="105">
        <f>'IS (F1Q23)'!AM9-'IS (F4Q2022)'!AM9</f>
        <v>-7.8180191309502334</v>
      </c>
      <c r="AN9" s="105">
        <f>'IS (F1Q23)'!AN9-'IS (F4Q2022)'!AN9</f>
        <v>71.95593214311566</v>
      </c>
      <c r="AO9" s="105">
        <f>'IS (F1Q23)'!AO9-'IS (F4Q2022)'!AO9</f>
        <v>-95.025503198044134</v>
      </c>
      <c r="AP9" s="105">
        <f>'IS (F1Q23)'!AP9-'IS (F4Q2022)'!AP9</f>
        <v>-157.76513034847176</v>
      </c>
      <c r="AQ9" s="49">
        <f>'IS (F1Q23)'!AQ9-'IS (F4Q2022)'!AQ9</f>
        <v>-188.65272053434819</v>
      </c>
      <c r="AR9" s="105">
        <f>'IS (F1Q23)'!AR9-'IS (F4Q2022)'!AR9</f>
        <v>-9.8280469306941995</v>
      </c>
      <c r="AS9" s="105">
        <f>'IS (F1Q23)'!AS9-'IS (F4Q2022)'!AS9</f>
        <v>77.905133281446979</v>
      </c>
      <c r="AT9" s="105">
        <f>'IS (F1Q23)'!AT9-'IS (F4Q2022)'!AT9</f>
        <v>-100.80066421697575</v>
      </c>
      <c r="AU9" s="105">
        <f>'IS (F1Q23)'!AU9-'IS (F4Q2022)'!AU9</f>
        <v>-167.92248696647857</v>
      </c>
      <c r="AV9" s="49">
        <f>'IS (F1Q23)'!AV9-'IS (F4Q2022)'!AV9</f>
        <v>-200.64606483269927</v>
      </c>
    </row>
    <row r="10" spans="1:48" outlineLevel="1" x14ac:dyDescent="0.3">
      <c r="B10" s="38" t="s">
        <v>32</v>
      </c>
      <c r="C10" s="18"/>
      <c r="D10" s="105">
        <f>'IS (F1Q23)'!D10-'IS (F4Q2022)'!D10</f>
        <v>0</v>
      </c>
      <c r="E10" s="105">
        <f>'IS (F1Q23)'!E10-'IS (F4Q2022)'!E10</f>
        <v>0</v>
      </c>
      <c r="F10" s="105">
        <f>'IS (F1Q23)'!F10-'IS (F4Q2022)'!F10</f>
        <v>0</v>
      </c>
      <c r="G10" s="105">
        <f>'IS (F1Q23)'!G10-'IS (F4Q2022)'!G10</f>
        <v>0</v>
      </c>
      <c r="H10" s="170">
        <f>'IS (F1Q23)'!H10-'IS (F4Q2022)'!H10</f>
        <v>0</v>
      </c>
      <c r="I10" s="105">
        <f>'IS (F1Q23)'!I10-'IS (F4Q2022)'!I10</f>
        <v>0</v>
      </c>
      <c r="J10" s="105">
        <f>'IS (F1Q23)'!J10-'IS (F4Q2022)'!J10</f>
        <v>0</v>
      </c>
      <c r="K10" s="105">
        <f>'IS (F1Q23)'!K10-'IS (F4Q2022)'!K10</f>
        <v>0</v>
      </c>
      <c r="L10" s="48">
        <f>'IS (F1Q23)'!L10-'IS (F4Q2022)'!L10</f>
        <v>0</v>
      </c>
      <c r="M10" s="49">
        <f>'IS (F1Q23)'!M10-'IS (F4Q2022)'!M10</f>
        <v>0</v>
      </c>
      <c r="N10" s="48">
        <f>'IS (F1Q23)'!N10-'IS (F4Q2022)'!N10</f>
        <v>0</v>
      </c>
      <c r="O10" s="105">
        <f>'IS (F1Q23)'!O10-'IS (F4Q2022)'!O10</f>
        <v>0</v>
      </c>
      <c r="P10" s="105">
        <f>'IS (F1Q23)'!P10-'IS (F4Q2022)'!P10</f>
        <v>0</v>
      </c>
      <c r="Q10" s="105">
        <f>'IS (F1Q23)'!Q10-'IS (F4Q2022)'!Q10</f>
        <v>0</v>
      </c>
      <c r="R10" s="170">
        <f>'IS (F1Q23)'!R10-'IS (F4Q2022)'!R10</f>
        <v>0</v>
      </c>
      <c r="S10" s="48">
        <f>'IS (F1Q23)'!S10-'IS (F4Q2022)'!S10</f>
        <v>0</v>
      </c>
      <c r="T10" s="48">
        <f>'IS (F1Q23)'!T10-'IS (F4Q2022)'!T10</f>
        <v>0</v>
      </c>
      <c r="U10" s="48">
        <f>'IS (F1Q23)'!U10-'IS (F4Q2022)'!U10</f>
        <v>0</v>
      </c>
      <c r="V10" s="48">
        <f>'IS (F1Q23)'!V10-'IS (F4Q2022)'!V10</f>
        <v>0</v>
      </c>
      <c r="W10" s="170">
        <f>'IS (F1Q23)'!W10-'IS (F4Q2022)'!W10</f>
        <v>0</v>
      </c>
      <c r="X10" s="48">
        <f>'IS (F1Q23)'!X10-'IS (F4Q2022)'!X10</f>
        <v>-46.73228192412671</v>
      </c>
      <c r="Y10" s="48">
        <f>'IS (F1Q23)'!Y10-'IS (F4Q2022)'!Y10</f>
        <v>24.324834072871454</v>
      </c>
      <c r="Z10" s="48">
        <f>'IS (F1Q23)'!Z10-'IS (F4Q2022)'!Z10</f>
        <v>-54.881275957495291</v>
      </c>
      <c r="AA10" s="48">
        <f>'IS (F1Q23)'!AA10-'IS (F4Q2022)'!AA10</f>
        <v>-85.573308910559263</v>
      </c>
      <c r="AB10" s="49">
        <f>'IS (F1Q23)'!AB10-'IS (F4Q2022)'!AB10</f>
        <v>-162.86203271931117</v>
      </c>
      <c r="AC10" s="48">
        <f>'IS (F1Q23)'!AC10-'IS (F4Q2022)'!AC10</f>
        <v>-63.81775582538512</v>
      </c>
      <c r="AD10" s="48">
        <f>'IS (F1Q23)'!AD10-'IS (F4Q2022)'!AD10</f>
        <v>40.356330368000272</v>
      </c>
      <c r="AE10" s="48">
        <f>'IS (F1Q23)'!AE10-'IS (F4Q2022)'!AE10</f>
        <v>-57.233389871514191</v>
      </c>
      <c r="AF10" s="48">
        <f>'IS (F1Q23)'!AF10-'IS (F4Q2022)'!AF10</f>
        <v>-97.164965353900698</v>
      </c>
      <c r="AG10" s="49">
        <f>'IS (F1Q23)'!AG10-'IS (F4Q2022)'!AG10</f>
        <v>-177.85978068279655</v>
      </c>
      <c r="AH10" s="48">
        <f>'IS (F1Q23)'!AH10-'IS (F4Q2022)'!AH10</f>
        <v>-73.442002017169216</v>
      </c>
      <c r="AI10" s="48">
        <f>'IS (F1Q23)'!AI10-'IS (F4Q2022)'!AI10</f>
        <v>48.416217424571187</v>
      </c>
      <c r="AJ10" s="48">
        <f>'IS (F1Q23)'!AJ10-'IS (F4Q2022)'!AJ10</f>
        <v>-65.125334252921675</v>
      </c>
      <c r="AK10" s="48">
        <f>'IS (F1Q23)'!AK10-'IS (F4Q2022)'!AK10</f>
        <v>-111.90967799164446</v>
      </c>
      <c r="AL10" s="49">
        <f>'IS (F1Q23)'!AL10-'IS (F4Q2022)'!AL10</f>
        <v>-202.06079683716598</v>
      </c>
      <c r="AM10" s="48">
        <f>'IS (F1Q23)'!AM10-'IS (F4Q2022)'!AM10</f>
        <v>-84.195009353850764</v>
      </c>
      <c r="AN10" s="48">
        <f>'IS (F1Q23)'!AN10-'IS (F4Q2022)'!AN10</f>
        <v>56.012797136742847</v>
      </c>
      <c r="AO10" s="48">
        <f>'IS (F1Q23)'!AO10-'IS (F4Q2022)'!AO10</f>
        <v>-72.274640286041176</v>
      </c>
      <c r="AP10" s="48">
        <f>'IS (F1Q23)'!AP10-'IS (F4Q2022)'!AP10</f>
        <v>-123.15617330092573</v>
      </c>
      <c r="AQ10" s="49">
        <f>'IS (F1Q23)'!AQ10-'IS (F4Q2022)'!AQ10</f>
        <v>-223.61302580407573</v>
      </c>
      <c r="AR10" s="48">
        <f>'IS (F1Q23)'!AR10-'IS (F4Q2022)'!AR10</f>
        <v>-90.272331141350151</v>
      </c>
      <c r="AS10" s="48">
        <f>'IS (F1Q23)'!AS10-'IS (F4Q2022)'!AS10</f>
        <v>60.836198954711108</v>
      </c>
      <c r="AT10" s="48">
        <f>'IS (F1Q23)'!AT10-'IS (F4Q2022)'!AT10</f>
        <v>-77.268234318529721</v>
      </c>
      <c r="AU10" s="48">
        <f>'IS (F1Q23)'!AU10-'IS (F4Q2022)'!AU10</f>
        <v>-131.95487487606533</v>
      </c>
      <c r="AV10" s="49">
        <f>'IS (F1Q23)'!AV10-'IS (F4Q2022)'!AV10</f>
        <v>-238.65924138123592</v>
      </c>
    </row>
    <row r="11" spans="1:48" outlineLevel="1" x14ac:dyDescent="0.3">
      <c r="B11" s="38" t="s">
        <v>33</v>
      </c>
      <c r="C11" s="18"/>
      <c r="D11" s="105">
        <f>'IS (F1Q23)'!D11-'IS (F4Q2022)'!D11</f>
        <v>0</v>
      </c>
      <c r="E11" s="105">
        <f>'IS (F1Q23)'!E11-'IS (F4Q2022)'!E11</f>
        <v>0</v>
      </c>
      <c r="F11" s="105">
        <f>'IS (F1Q23)'!F11-'IS (F4Q2022)'!F11</f>
        <v>0</v>
      </c>
      <c r="G11" s="105">
        <f>'IS (F1Q23)'!G11-'IS (F4Q2022)'!G11</f>
        <v>0</v>
      </c>
      <c r="H11" s="170">
        <f>'IS (F1Q23)'!H11-'IS (F4Q2022)'!H11</f>
        <v>0</v>
      </c>
      <c r="I11" s="105">
        <f>'IS (F1Q23)'!I11-'IS (F4Q2022)'!I11</f>
        <v>0</v>
      </c>
      <c r="J11" s="105">
        <f>'IS (F1Q23)'!J11-'IS (F4Q2022)'!J11</f>
        <v>0</v>
      </c>
      <c r="K11" s="105">
        <f>'IS (F1Q23)'!K11-'IS (F4Q2022)'!K11</f>
        <v>0</v>
      </c>
      <c r="L11" s="48">
        <f>'IS (F1Q23)'!L11-'IS (F4Q2022)'!L11</f>
        <v>0</v>
      </c>
      <c r="M11" s="49">
        <f>'IS (F1Q23)'!M11-'IS (F4Q2022)'!M11</f>
        <v>0</v>
      </c>
      <c r="N11" s="48">
        <f>'IS (F1Q23)'!N11-'IS (F4Q2022)'!N11</f>
        <v>0</v>
      </c>
      <c r="O11" s="105">
        <f>'IS (F1Q23)'!O11-'IS (F4Q2022)'!O11</f>
        <v>0</v>
      </c>
      <c r="P11" s="105">
        <f>'IS (F1Q23)'!P11-'IS (F4Q2022)'!P11</f>
        <v>0</v>
      </c>
      <c r="Q11" s="105">
        <f>'IS (F1Q23)'!Q11-'IS (F4Q2022)'!Q11</f>
        <v>0</v>
      </c>
      <c r="R11" s="170">
        <f>'IS (F1Q23)'!R11-'IS (F4Q2022)'!R11</f>
        <v>0</v>
      </c>
      <c r="S11" s="48">
        <f>'IS (F1Q23)'!S11-'IS (F4Q2022)'!S11</f>
        <v>0</v>
      </c>
      <c r="T11" s="48">
        <f>'IS (F1Q23)'!T11-'IS (F4Q2022)'!T11</f>
        <v>0</v>
      </c>
      <c r="U11" s="48">
        <f>'IS (F1Q23)'!U11-'IS (F4Q2022)'!U11</f>
        <v>0</v>
      </c>
      <c r="V11" s="48">
        <f>'IS (F1Q23)'!V11-'IS (F4Q2022)'!V11</f>
        <v>0</v>
      </c>
      <c r="W11" s="170">
        <f>'IS (F1Q23)'!W11-'IS (F4Q2022)'!W11</f>
        <v>0</v>
      </c>
      <c r="X11" s="48">
        <f>'IS (F1Q23)'!X11-'IS (F4Q2022)'!X11</f>
        <v>9.0037102734199408</v>
      </c>
      <c r="Y11" s="48">
        <f>'IS (F1Q23)'!Y11-'IS (F4Q2022)'!Y11</f>
        <v>6.1561493405244789</v>
      </c>
      <c r="Z11" s="48">
        <f>'IS (F1Q23)'!Z11-'IS (F4Q2022)'!Z11</f>
        <v>-3.488117765671177</v>
      </c>
      <c r="AA11" s="48">
        <f>'IS (F1Q23)'!AA11-'IS (F4Q2022)'!AA11</f>
        <v>-4.0227382460584238</v>
      </c>
      <c r="AB11" s="49">
        <f>'IS (F1Q23)'!AB11-'IS (F4Q2022)'!AB11</f>
        <v>7.6490036022148615</v>
      </c>
      <c r="AC11" s="48">
        <f>'IS (F1Q23)'!AC11-'IS (F4Q2022)'!AC11</f>
        <v>14.619488008388245</v>
      </c>
      <c r="AD11" s="48">
        <f>'IS (F1Q23)'!AD11-'IS (F4Q2022)'!AD11</f>
        <v>7.5057505582516768</v>
      </c>
      <c r="AE11" s="48">
        <f>'IS (F1Q23)'!AE11-'IS (F4Q2022)'!AE11</f>
        <v>-3.6596185236437009</v>
      </c>
      <c r="AF11" s="48">
        <f>'IS (F1Q23)'!AF11-'IS (F4Q2022)'!AF11</f>
        <v>-3.879897735623814</v>
      </c>
      <c r="AG11" s="49">
        <f>'IS (F1Q23)'!AG11-'IS (F4Q2022)'!AG11</f>
        <v>14.585722307372407</v>
      </c>
      <c r="AH11" s="48">
        <f>'IS (F1Q23)'!AH11-'IS (F4Q2022)'!AH11</f>
        <v>18.903873076206764</v>
      </c>
      <c r="AI11" s="48">
        <f>'IS (F1Q23)'!AI11-'IS (F4Q2022)'!AI11</f>
        <v>9.1470692987515179</v>
      </c>
      <c r="AJ11" s="48">
        <f>'IS (F1Q23)'!AJ11-'IS (F4Q2022)'!AJ11</f>
        <v>-3.6449692811315515</v>
      </c>
      <c r="AK11" s="48">
        <f>'IS (F1Q23)'!AK11-'IS (F4Q2022)'!AK11</f>
        <v>-3.8230159213449895</v>
      </c>
      <c r="AL11" s="49">
        <f>'IS (F1Q23)'!AL11-'IS (F4Q2022)'!AL11</f>
        <v>20.58295717248177</v>
      </c>
      <c r="AM11" s="48">
        <f>'IS (F1Q23)'!AM11-'IS (F4Q2022)'!AM11</f>
        <v>22.40654744216701</v>
      </c>
      <c r="AN11" s="48">
        <f>'IS (F1Q23)'!AN11-'IS (F4Q2022)'!AN11</f>
        <v>10.773547113430965</v>
      </c>
      <c r="AO11" s="48">
        <f>'IS (F1Q23)'!AO11-'IS (F4Q2022)'!AO11</f>
        <v>-3.6658313047918796</v>
      </c>
      <c r="AP11" s="48">
        <f>'IS (F1Q23)'!AP11-'IS (F4Q2022)'!AP11</f>
        <v>-3.8380732009134704</v>
      </c>
      <c r="AQ11" s="49">
        <f>'IS (F1Q23)'!AQ11-'IS (F4Q2022)'!AQ11</f>
        <v>25.676190049892512</v>
      </c>
      <c r="AR11" s="48">
        <f>'IS (F1Q23)'!AR11-'IS (F4Q2022)'!AR11</f>
        <v>24.379420713826391</v>
      </c>
      <c r="AS11" s="48">
        <f>'IS (F1Q23)'!AS11-'IS (F4Q2022)'!AS11</f>
        <v>11.77808558898937</v>
      </c>
      <c r="AT11" s="48">
        <f>'IS (F1Q23)'!AT11-'IS (F4Q2022)'!AT11</f>
        <v>-3.6761326394691309</v>
      </c>
      <c r="AU11" s="48">
        <f>'IS (F1Q23)'!AU11-'IS (F4Q2022)'!AU11</f>
        <v>-3.8525279581523364</v>
      </c>
      <c r="AV11" s="49">
        <f>'IS (F1Q23)'!AV11-'IS (F4Q2022)'!AV11</f>
        <v>28.628845705194294</v>
      </c>
    </row>
    <row r="12" spans="1:48" outlineLevel="1" x14ac:dyDescent="0.3">
      <c r="B12" s="38" t="s">
        <v>34</v>
      </c>
      <c r="C12" s="18"/>
      <c r="D12" s="105">
        <f>'IS (F1Q23)'!D12-'IS (F4Q2022)'!D12</f>
        <v>0</v>
      </c>
      <c r="E12" s="105">
        <f>'IS (F1Q23)'!E12-'IS (F4Q2022)'!E12</f>
        <v>0</v>
      </c>
      <c r="F12" s="105">
        <f>'IS (F1Q23)'!F12-'IS (F4Q2022)'!F12</f>
        <v>0</v>
      </c>
      <c r="G12" s="105">
        <f>'IS (F1Q23)'!G12-'IS (F4Q2022)'!G12</f>
        <v>0</v>
      </c>
      <c r="H12" s="170">
        <f>'IS (F1Q23)'!H12-'IS (F4Q2022)'!H12</f>
        <v>0</v>
      </c>
      <c r="I12" s="105">
        <f>'IS (F1Q23)'!I12-'IS (F4Q2022)'!I12</f>
        <v>0</v>
      </c>
      <c r="J12" s="105">
        <f>'IS (F1Q23)'!J12-'IS (F4Q2022)'!J12</f>
        <v>0</v>
      </c>
      <c r="K12" s="105">
        <f>'IS (F1Q23)'!K12-'IS (F4Q2022)'!K12</f>
        <v>0</v>
      </c>
      <c r="L12" s="48">
        <f>'IS (F1Q23)'!L12-'IS (F4Q2022)'!L12</f>
        <v>0</v>
      </c>
      <c r="M12" s="49">
        <f>'IS (F1Q23)'!M12-'IS (F4Q2022)'!M12</f>
        <v>0</v>
      </c>
      <c r="N12" s="48">
        <f>'IS (F1Q23)'!N12-'IS (F4Q2022)'!N12</f>
        <v>0</v>
      </c>
      <c r="O12" s="105">
        <f>'IS (F1Q23)'!O12-'IS (F4Q2022)'!O12</f>
        <v>0</v>
      </c>
      <c r="P12" s="105">
        <f>'IS (F1Q23)'!P12-'IS (F4Q2022)'!P12</f>
        <v>0</v>
      </c>
      <c r="Q12" s="105">
        <f>'IS (F1Q23)'!Q12-'IS (F4Q2022)'!Q12</f>
        <v>0</v>
      </c>
      <c r="R12" s="170">
        <f>'IS (F1Q23)'!R12-'IS (F4Q2022)'!R12</f>
        <v>0</v>
      </c>
      <c r="S12" s="48">
        <f>'IS (F1Q23)'!S12-'IS (F4Q2022)'!S12</f>
        <v>0</v>
      </c>
      <c r="T12" s="48">
        <f>'IS (F1Q23)'!T12-'IS (F4Q2022)'!T12</f>
        <v>0</v>
      </c>
      <c r="U12" s="48">
        <f>'IS (F1Q23)'!U12-'IS (F4Q2022)'!U12</f>
        <v>0</v>
      </c>
      <c r="V12" s="48">
        <f>'IS (F1Q23)'!V12-'IS (F4Q2022)'!V12</f>
        <v>0</v>
      </c>
      <c r="W12" s="170">
        <f>'IS (F1Q23)'!W12-'IS (F4Q2022)'!W12</f>
        <v>0</v>
      </c>
      <c r="X12" s="48">
        <f>'IS (F1Q23)'!X12-'IS (F4Q2022)'!X12</f>
        <v>-43.393387224673177</v>
      </c>
      <c r="Y12" s="48">
        <f>'IS (F1Q23)'!Y12-'IS (F4Q2022)'!Y12</f>
        <v>-39.707465265609528</v>
      </c>
      <c r="Z12" s="48">
        <f>'IS (F1Q23)'!Z12-'IS (F4Q2022)'!Z12</f>
        <v>-22.458744083179795</v>
      </c>
      <c r="AA12" s="48">
        <f>'IS (F1Q23)'!AA12-'IS (F4Q2022)'!AA12</f>
        <v>-26.061621570909097</v>
      </c>
      <c r="AB12" s="49">
        <f>'IS (F1Q23)'!AB12-'IS (F4Q2022)'!AB12</f>
        <v>-131.62121814437182</v>
      </c>
      <c r="AC12" s="48">
        <f>'IS (F1Q23)'!AC12-'IS (F4Q2022)'!AC12</f>
        <v>-31.336659275707746</v>
      </c>
      <c r="AD12" s="48">
        <f>'IS (F1Q23)'!AD12-'IS (F4Q2022)'!AD12</f>
        <v>-26.296823578428075</v>
      </c>
      <c r="AE12" s="48">
        <f>'IS (F1Q23)'!AE12-'IS (F4Q2022)'!AE12</f>
        <v>-23.881593667515631</v>
      </c>
      <c r="AF12" s="48">
        <f>'IS (F1Q23)'!AF12-'IS (F4Q2022)'!AF12</f>
        <v>-25.577098115327487</v>
      </c>
      <c r="AG12" s="49">
        <f>'IS (F1Q23)'!AG12-'IS (F4Q2022)'!AG12</f>
        <v>-107.09217463697883</v>
      </c>
      <c r="AH12" s="48">
        <f>'IS (F1Q23)'!AH12-'IS (F4Q2022)'!AH12</f>
        <v>-26.142231074142046</v>
      </c>
      <c r="AI12" s="48">
        <f>'IS (F1Q23)'!AI12-'IS (F4Q2022)'!AI12</f>
        <v>-24.697482247580183</v>
      </c>
      <c r="AJ12" s="48">
        <f>'IS (F1Q23)'!AJ12-'IS (F4Q2022)'!AJ12</f>
        <v>-23.932878346227767</v>
      </c>
      <c r="AK12" s="48">
        <f>'IS (F1Q23)'!AK12-'IS (F4Q2022)'!AK12</f>
        <v>-23.952406559831786</v>
      </c>
      <c r="AL12" s="49">
        <f>'IS (F1Q23)'!AL12-'IS (F4Q2022)'!AL12</f>
        <v>-98.724998227781725</v>
      </c>
      <c r="AM12" s="48">
        <f>'IS (F1Q23)'!AM12-'IS (F4Q2022)'!AM12</f>
        <v>-23.622606944155621</v>
      </c>
      <c r="AN12" s="48">
        <f>'IS (F1Q23)'!AN12-'IS (F4Q2022)'!AN12</f>
        <v>-23.408573479247707</v>
      </c>
      <c r="AO12" s="48">
        <f>'IS (F1Q23)'!AO12-'IS (F4Q2022)'!AO12</f>
        <v>-22.908276284446629</v>
      </c>
      <c r="AP12" s="48">
        <f>'IS (F1Q23)'!AP12-'IS (F4Q2022)'!AP12</f>
        <v>-22.712907931002519</v>
      </c>
      <c r="AQ12" s="49">
        <f>'IS (F1Q23)'!AQ12-'IS (F4Q2022)'!AQ12</f>
        <v>-92.652364638852305</v>
      </c>
      <c r="AR12" s="48">
        <f>'IS (F1Q23)'!AR12-'IS (F4Q2022)'!AR12</f>
        <v>-22.494347432162613</v>
      </c>
      <c r="AS12" s="48">
        <f>'IS (F1Q23)'!AS12-'IS (F4Q2022)'!AS12</f>
        <v>-22.574280128412624</v>
      </c>
      <c r="AT12" s="48">
        <f>'IS (F1Q23)'!AT12-'IS (F4Q2022)'!AT12</f>
        <v>-22.086271017715262</v>
      </c>
      <c r="AU12" s="48">
        <f>'IS (F1Q23)'!AU12-'IS (F4Q2022)'!AU12</f>
        <v>-21.8800020681756</v>
      </c>
      <c r="AV12" s="49">
        <f>'IS (F1Q23)'!AV12-'IS (F4Q2022)'!AV12</f>
        <v>-89.034900646466212</v>
      </c>
    </row>
    <row r="13" spans="1:48" ht="17.25" customHeight="1" outlineLevel="1" x14ac:dyDescent="0.3">
      <c r="B13" s="38" t="s">
        <v>83</v>
      </c>
      <c r="C13" s="18"/>
      <c r="D13" s="105">
        <f>'IS (F1Q23)'!D13-'IS (F4Q2022)'!D13</f>
        <v>0</v>
      </c>
      <c r="E13" s="105">
        <f>'IS (F1Q23)'!E13-'IS (F4Q2022)'!E13</f>
        <v>0</v>
      </c>
      <c r="F13" s="105">
        <f>'IS (F1Q23)'!F13-'IS (F4Q2022)'!F13</f>
        <v>0</v>
      </c>
      <c r="G13" s="105">
        <f>'IS (F1Q23)'!G13-'IS (F4Q2022)'!G13</f>
        <v>0</v>
      </c>
      <c r="H13" s="170">
        <f>'IS (F1Q23)'!H13-'IS (F4Q2022)'!H13</f>
        <v>0</v>
      </c>
      <c r="I13" s="105">
        <f>'IS (F1Q23)'!I13-'IS (F4Q2022)'!I13</f>
        <v>0</v>
      </c>
      <c r="J13" s="105">
        <f>'IS (F1Q23)'!J13-'IS (F4Q2022)'!J13</f>
        <v>0</v>
      </c>
      <c r="K13" s="105">
        <f>'IS (F1Q23)'!K13-'IS (F4Q2022)'!K13</f>
        <v>0</v>
      </c>
      <c r="L13" s="48">
        <f>'IS (F1Q23)'!L13-'IS (F4Q2022)'!L13</f>
        <v>0</v>
      </c>
      <c r="M13" s="170">
        <f>'IS (F1Q23)'!M13-'IS (F4Q2022)'!M13</f>
        <v>0</v>
      </c>
      <c r="N13" s="48">
        <f>'IS (F1Q23)'!N13-'IS (F4Q2022)'!N13</f>
        <v>0</v>
      </c>
      <c r="O13" s="105">
        <f>'IS (F1Q23)'!O13-'IS (F4Q2022)'!O13</f>
        <v>0</v>
      </c>
      <c r="P13" s="105">
        <f>'IS (F1Q23)'!P13-'IS (F4Q2022)'!P13</f>
        <v>0</v>
      </c>
      <c r="Q13" s="105">
        <f>'IS (F1Q23)'!Q13-'IS (F4Q2022)'!Q13</f>
        <v>0</v>
      </c>
      <c r="R13" s="170">
        <f>'IS (F1Q23)'!R13-'IS (F4Q2022)'!R13</f>
        <v>0</v>
      </c>
      <c r="S13" s="48">
        <f>'IS (F1Q23)'!S13-'IS (F4Q2022)'!S13</f>
        <v>0</v>
      </c>
      <c r="T13" s="48">
        <f>'IS (F1Q23)'!T13-'IS (F4Q2022)'!T13</f>
        <v>0</v>
      </c>
      <c r="U13" s="48">
        <f>'IS (F1Q23)'!U13-'IS (F4Q2022)'!U13</f>
        <v>0</v>
      </c>
      <c r="V13" s="48">
        <f>'IS (F1Q23)'!V13-'IS (F4Q2022)'!V13</f>
        <v>0</v>
      </c>
      <c r="W13" s="170">
        <f>'IS (F1Q23)'!W13-'IS (F4Q2022)'!W13</f>
        <v>0</v>
      </c>
      <c r="X13" s="48">
        <f>'IS (F1Q23)'!X13-'IS (F4Q2022)'!X13</f>
        <v>36.648744663871526</v>
      </c>
      <c r="Y13" s="48">
        <f>'IS (F1Q23)'!Y13-'IS (F4Q2022)'!Y13</f>
        <v>28.812851105968434</v>
      </c>
      <c r="Z13" s="48">
        <f>'IS (F1Q23)'!Z13-'IS (F4Q2022)'!Z13</f>
        <v>25.991112018570561</v>
      </c>
      <c r="AA13" s="48">
        <f>'IS (F1Q23)'!AA13-'IS (F4Q2022)'!AA13</f>
        <v>34.489117024009033</v>
      </c>
      <c r="AB13" s="49">
        <f>'IS (F1Q23)'!AB13-'IS (F4Q2022)'!AB13</f>
        <v>125.94182481241933</v>
      </c>
      <c r="AC13" s="48">
        <f>'IS (F1Q23)'!AC13-'IS (F4Q2022)'!AC13</f>
        <v>5.0141193593123035</v>
      </c>
      <c r="AD13" s="48">
        <f>'IS (F1Q23)'!AD13-'IS (F4Q2022)'!AD13</f>
        <v>40.22775849823995</v>
      </c>
      <c r="AE13" s="48">
        <f>'IS (F1Q23)'!AE13-'IS (F4Q2022)'!AE13</f>
        <v>31.572605033187642</v>
      </c>
      <c r="AF13" s="48">
        <f>'IS (F1Q23)'!AF13-'IS (F4Q2022)'!AF13</f>
        <v>32.759221636263703</v>
      </c>
      <c r="AG13" s="49">
        <f>'IS (F1Q23)'!AG13-'IS (F4Q2022)'!AG13</f>
        <v>109.57370452700343</v>
      </c>
      <c r="AH13" s="48">
        <f>'IS (F1Q23)'!AH13-'IS (F4Q2022)'!AH13</f>
        <v>-2.1545882701509527</v>
      </c>
      <c r="AI13" s="48">
        <f>'IS (F1Q23)'!AI13-'IS (F4Q2022)'!AI13</f>
        <v>44.285719105517956</v>
      </c>
      <c r="AJ13" s="48">
        <f>'IS (F1Q23)'!AJ13-'IS (F4Q2022)'!AJ13</f>
        <v>32.103415394790886</v>
      </c>
      <c r="AK13" s="48">
        <f>'IS (F1Q23)'!AK13-'IS (F4Q2022)'!AK13</f>
        <v>32.113672446799228</v>
      </c>
      <c r="AL13" s="49">
        <f>'IS (F1Q23)'!AL13-'IS (F4Q2022)'!AL13</f>
        <v>106.348218676957</v>
      </c>
      <c r="AM13" s="48">
        <f>'IS (F1Q23)'!AM13-'IS (F4Q2022)'!AM13</f>
        <v>-6.426810448862966</v>
      </c>
      <c r="AN13" s="48">
        <f>'IS (F1Q23)'!AN13-'IS (F4Q2022)'!AN13</f>
        <v>46.381403834373259</v>
      </c>
      <c r="AO13" s="48">
        <f>'IS (F1Q23)'!AO13-'IS (F4Q2022)'!AO13</f>
        <v>32.065342108722803</v>
      </c>
      <c r="AP13" s="48">
        <f>'IS (F1Q23)'!AP13-'IS (F4Q2022)'!AP13</f>
        <v>31.935343971944462</v>
      </c>
      <c r="AQ13" s="49">
        <f>'IS (F1Q23)'!AQ13-'IS (F4Q2022)'!AQ13</f>
        <v>103.95527946617767</v>
      </c>
      <c r="AR13" s="48">
        <f>'IS (F1Q23)'!AR13-'IS (F4Q2022)'!AR13</f>
        <v>-9.1301433057027452</v>
      </c>
      <c r="AS13" s="48">
        <f>'IS (F1Q23)'!AS13-'IS (F4Q2022)'!AS13</f>
        <v>47.456785618590288</v>
      </c>
      <c r="AT13" s="48">
        <f>'IS (F1Q23)'!AT13-'IS (F4Q2022)'!AT13</f>
        <v>32.024654420478214</v>
      </c>
      <c r="AU13" s="48">
        <f>'IS (F1Q23)'!AU13-'IS (F4Q2022)'!AU13</f>
        <v>31.886793261256003</v>
      </c>
      <c r="AV13" s="49">
        <f>'IS (F1Q23)'!AV13-'IS (F4Q2022)'!AV13</f>
        <v>102.23808999462153</v>
      </c>
    </row>
    <row r="14" spans="1:48" ht="17.25" customHeight="1" outlineLevel="1" x14ac:dyDescent="0.45">
      <c r="B14" s="38" t="s">
        <v>42</v>
      </c>
      <c r="C14" s="18"/>
      <c r="D14" s="104">
        <f>'IS (F1Q23)'!D14-'IS (F4Q2022)'!D14</f>
        <v>0</v>
      </c>
      <c r="E14" s="104">
        <f>'IS (F1Q23)'!E14-'IS (F4Q2022)'!E14</f>
        <v>0</v>
      </c>
      <c r="F14" s="104">
        <f>'IS (F1Q23)'!F14-'IS (F4Q2022)'!F14</f>
        <v>0</v>
      </c>
      <c r="G14" s="104">
        <f>'IS (F1Q23)'!G14-'IS (F4Q2022)'!G14</f>
        <v>0</v>
      </c>
      <c r="H14" s="173">
        <f>'IS (F1Q23)'!H14-'IS (F4Q2022)'!H14</f>
        <v>0</v>
      </c>
      <c r="I14" s="104">
        <f>'IS (F1Q23)'!I14-'IS (F4Q2022)'!I14</f>
        <v>0</v>
      </c>
      <c r="J14" s="104">
        <f>'IS (F1Q23)'!J14-'IS (F4Q2022)'!J14</f>
        <v>0</v>
      </c>
      <c r="K14" s="104">
        <f>'IS (F1Q23)'!K14-'IS (F4Q2022)'!K14</f>
        <v>0</v>
      </c>
      <c r="L14" s="104">
        <f>'IS (F1Q23)'!L14-'IS (F4Q2022)'!L14</f>
        <v>0</v>
      </c>
      <c r="M14" s="53">
        <f>'IS (F1Q23)'!M14-'IS (F4Q2022)'!M14</f>
        <v>0</v>
      </c>
      <c r="N14" s="52">
        <f>'IS (F1Q23)'!N14-'IS (F4Q2022)'!N14</f>
        <v>0</v>
      </c>
      <c r="O14" s="104">
        <f>'IS (F1Q23)'!O14-'IS (F4Q2022)'!O14</f>
        <v>0</v>
      </c>
      <c r="P14" s="104">
        <f>'IS (F1Q23)'!P14-'IS (F4Q2022)'!P14</f>
        <v>0</v>
      </c>
      <c r="Q14" s="104">
        <f>'IS (F1Q23)'!Q14-'IS (F4Q2022)'!Q14</f>
        <v>0</v>
      </c>
      <c r="R14" s="173">
        <f>'IS (F1Q23)'!R14-'IS (F4Q2022)'!R14</f>
        <v>0</v>
      </c>
      <c r="S14" s="52">
        <f>'IS (F1Q23)'!S14-'IS (F4Q2022)'!S14</f>
        <v>0</v>
      </c>
      <c r="T14" s="52">
        <f>'IS (F1Q23)'!T14-'IS (F4Q2022)'!T14</f>
        <v>0</v>
      </c>
      <c r="U14" s="52">
        <f>'IS (F1Q23)'!U14-'IS (F4Q2022)'!U14</f>
        <v>0</v>
      </c>
      <c r="V14" s="52">
        <f>'IS (F1Q23)'!V14-'IS (F4Q2022)'!V14</f>
        <v>0</v>
      </c>
      <c r="W14" s="173">
        <f>'IS (F1Q23)'!W14-'IS (F4Q2022)'!W14</f>
        <v>0</v>
      </c>
      <c r="X14" s="52">
        <f>'IS (F1Q23)'!X14-'IS (F4Q2022)'!X14</f>
        <v>-44.2</v>
      </c>
      <c r="Y14" s="52">
        <f>'IS (F1Q23)'!Y14-'IS (F4Q2022)'!Y14</f>
        <v>0</v>
      </c>
      <c r="Z14" s="52">
        <f>'IS (F1Q23)'!Z14-'IS (F4Q2022)'!Z14</f>
        <v>0</v>
      </c>
      <c r="AA14" s="52">
        <f>'IS (F1Q23)'!AA14-'IS (F4Q2022)'!AA14</f>
        <v>0</v>
      </c>
      <c r="AB14" s="53">
        <f>'IS (F1Q23)'!AB14-'IS (F4Q2022)'!AB14</f>
        <v>-44.2</v>
      </c>
      <c r="AC14" s="52">
        <f>'IS (F1Q23)'!AC14-'IS (F4Q2022)'!AC14</f>
        <v>0</v>
      </c>
      <c r="AD14" s="52">
        <f>'IS (F1Q23)'!AD14-'IS (F4Q2022)'!AD14</f>
        <v>0</v>
      </c>
      <c r="AE14" s="52">
        <f>'IS (F1Q23)'!AE14-'IS (F4Q2022)'!AE14</f>
        <v>0</v>
      </c>
      <c r="AF14" s="52">
        <f>'IS (F1Q23)'!AF14-'IS (F4Q2022)'!AF14</f>
        <v>0</v>
      </c>
      <c r="AG14" s="53">
        <f>'IS (F1Q23)'!AG14-'IS (F4Q2022)'!AG14</f>
        <v>0</v>
      </c>
      <c r="AH14" s="52">
        <f>'IS (F1Q23)'!AH14-'IS (F4Q2022)'!AH14</f>
        <v>0</v>
      </c>
      <c r="AI14" s="52">
        <f>'IS (F1Q23)'!AI14-'IS (F4Q2022)'!AI14</f>
        <v>0</v>
      </c>
      <c r="AJ14" s="52">
        <f>'IS (F1Q23)'!AJ14-'IS (F4Q2022)'!AJ14</f>
        <v>0</v>
      </c>
      <c r="AK14" s="52">
        <f>'IS (F1Q23)'!AK14-'IS (F4Q2022)'!AK14</f>
        <v>0</v>
      </c>
      <c r="AL14" s="53">
        <f>'IS (F1Q23)'!AL14-'IS (F4Q2022)'!AL14</f>
        <v>0</v>
      </c>
      <c r="AM14" s="52">
        <f>'IS (F1Q23)'!AM14-'IS (F4Q2022)'!AM14</f>
        <v>0</v>
      </c>
      <c r="AN14" s="52">
        <f>'IS (F1Q23)'!AN14-'IS (F4Q2022)'!AN14</f>
        <v>0</v>
      </c>
      <c r="AO14" s="52">
        <f>'IS (F1Q23)'!AO14-'IS (F4Q2022)'!AO14</f>
        <v>0</v>
      </c>
      <c r="AP14" s="52">
        <f>'IS (F1Q23)'!AP14-'IS (F4Q2022)'!AP14</f>
        <v>0</v>
      </c>
      <c r="AQ14" s="53">
        <f>'IS (F1Q23)'!AQ14-'IS (F4Q2022)'!AQ14</f>
        <v>0</v>
      </c>
      <c r="AR14" s="52">
        <f>'IS (F1Q23)'!AR14-'IS (F4Q2022)'!AR14</f>
        <v>0</v>
      </c>
      <c r="AS14" s="52">
        <f>'IS (F1Q23)'!AS14-'IS (F4Q2022)'!AS14</f>
        <v>0</v>
      </c>
      <c r="AT14" s="52">
        <f>'IS (F1Q23)'!AT14-'IS (F4Q2022)'!AT14</f>
        <v>0</v>
      </c>
      <c r="AU14" s="52">
        <f>'IS (F1Q23)'!AU14-'IS (F4Q2022)'!AU14</f>
        <v>0</v>
      </c>
      <c r="AV14" s="53">
        <f>'IS (F1Q23)'!AV14-'IS (F4Q2022)'!AV14</f>
        <v>0</v>
      </c>
    </row>
    <row r="15" spans="1:48" s="20" customFormat="1" ht="17.25" customHeight="1" x14ac:dyDescent="0.45">
      <c r="B15" s="46" t="s">
        <v>8</v>
      </c>
      <c r="C15" s="19"/>
      <c r="D15" s="106">
        <f>'IS (F1Q23)'!D15-'IS (F4Q2022)'!D15</f>
        <v>0</v>
      </c>
      <c r="E15" s="106">
        <f>'IS (F1Q23)'!E15-'IS (F4Q2022)'!E15</f>
        <v>0</v>
      </c>
      <c r="F15" s="106">
        <f>'IS (F1Q23)'!F15-'IS (F4Q2022)'!F15</f>
        <v>0</v>
      </c>
      <c r="G15" s="106">
        <f>'IS (F1Q23)'!G15-'IS (F4Q2022)'!G15</f>
        <v>0</v>
      </c>
      <c r="H15" s="175">
        <f>'IS (F1Q23)'!H15-'IS (F4Q2022)'!H15</f>
        <v>0</v>
      </c>
      <c r="I15" s="106">
        <f>'IS (F1Q23)'!I15-'IS (F4Q2022)'!I15</f>
        <v>0</v>
      </c>
      <c r="J15" s="106">
        <f>'IS (F1Q23)'!J15-'IS (F4Q2022)'!J15</f>
        <v>0</v>
      </c>
      <c r="K15" s="106">
        <f>'IS (F1Q23)'!K15-'IS (F4Q2022)'!K15</f>
        <v>0</v>
      </c>
      <c r="L15" s="54">
        <f>'IS (F1Q23)'!L15-'IS (F4Q2022)'!L15</f>
        <v>0</v>
      </c>
      <c r="M15" s="55">
        <f>'IS (F1Q23)'!M15-'IS (F4Q2022)'!M15</f>
        <v>0</v>
      </c>
      <c r="N15" s="54">
        <f>'IS (F1Q23)'!N15-'IS (F4Q2022)'!N15</f>
        <v>0</v>
      </c>
      <c r="O15" s="106">
        <f>'IS (F1Q23)'!O15-'IS (F4Q2022)'!O15</f>
        <v>0</v>
      </c>
      <c r="P15" s="106">
        <f>'IS (F1Q23)'!P15-'IS (F4Q2022)'!P15</f>
        <v>0</v>
      </c>
      <c r="Q15" s="106">
        <f>'IS (F1Q23)'!Q15-'IS (F4Q2022)'!Q15</f>
        <v>0</v>
      </c>
      <c r="R15" s="175">
        <f>'IS (F1Q23)'!R15-'IS (F4Q2022)'!R15</f>
        <v>0</v>
      </c>
      <c r="S15" s="54">
        <f>'IS (F1Q23)'!S15-'IS (F4Q2022)'!S15</f>
        <v>0</v>
      </c>
      <c r="T15" s="54">
        <f>'IS (F1Q23)'!T15-'IS (F4Q2022)'!T15</f>
        <v>0</v>
      </c>
      <c r="U15" s="54">
        <f>'IS (F1Q23)'!U15-'IS (F4Q2022)'!U15</f>
        <v>0</v>
      </c>
      <c r="V15" s="54">
        <f>'IS (F1Q23)'!V15-'IS (F4Q2022)'!V15</f>
        <v>0</v>
      </c>
      <c r="W15" s="175">
        <f>'IS (F1Q23)'!W15-'IS (F4Q2022)'!W15</f>
        <v>0</v>
      </c>
      <c r="X15" s="54">
        <f>'IS (F1Q23)'!X15-'IS (F4Q2022)'!X15</f>
        <v>-88.22933513964017</v>
      </c>
      <c r="Y15" s="54">
        <f>'IS (F1Q23)'!Y15-'IS (F4Q2022)'!Y15</f>
        <v>57.859319918162328</v>
      </c>
      <c r="Z15" s="54">
        <f>'IS (F1Q23)'!Z15-'IS (F4Q2022)'!Z15</f>
        <v>-124.02620318727986</v>
      </c>
      <c r="AA15" s="54">
        <f>'IS (F1Q23)'!AA15-'IS (F4Q2022)'!AA15</f>
        <v>-192.76031182077259</v>
      </c>
      <c r="AB15" s="55">
        <f>'IS (F1Q23)'!AB15-'IS (F4Q2022)'!AB15</f>
        <v>-347.15653022953484</v>
      </c>
      <c r="AC15" s="54">
        <f>'IS (F1Q23)'!AC15-'IS (F4Q2022)'!AC15</f>
        <v>-76.758865224617693</v>
      </c>
      <c r="AD15" s="54">
        <f>'IS (F1Q23)'!AD15-'IS (F4Q2022)'!AD15</f>
        <v>114.05907327246859</v>
      </c>
      <c r="AE15" s="54">
        <f>'IS (F1Q23)'!AE15-'IS (F4Q2022)'!AE15</f>
        <v>-129.40007186085859</v>
      </c>
      <c r="AF15" s="54">
        <f>'IS (F1Q23)'!AF15-'IS (F4Q2022)'!AF15</f>
        <v>-220.52250524978808</v>
      </c>
      <c r="AG15" s="55">
        <f>'IS (F1Q23)'!AG15-'IS (F4Q2022)'!AG15</f>
        <v>-312.62236906278122</v>
      </c>
      <c r="AH15" s="54">
        <f>'IS (F1Q23)'!AH15-'IS (F4Q2022)'!AH15</f>
        <v>-85.87342956834982</v>
      </c>
      <c r="AI15" s="54">
        <f>'IS (F1Q23)'!AI15-'IS (F4Q2022)'!AI15</f>
        <v>139.4082887965742</v>
      </c>
      <c r="AJ15" s="54">
        <f>'IS (F1Q23)'!AJ15-'IS (F4Q2022)'!AJ15</f>
        <v>-147.07493648221134</v>
      </c>
      <c r="AK15" s="54">
        <f>'IS (F1Q23)'!AK15-'IS (F4Q2022)'!AK15</f>
        <v>-252.13711344568037</v>
      </c>
      <c r="AL15" s="55">
        <f>'IS (F1Q23)'!AL15-'IS (F4Q2022)'!AL15</f>
        <v>-345.67719069966552</v>
      </c>
      <c r="AM15" s="54">
        <f>'IS (F1Q23)'!AM15-'IS (F4Q2022)'!AM15</f>
        <v>-99.655898435652489</v>
      </c>
      <c r="AN15" s="54">
        <f>'IS (F1Q23)'!AN15-'IS (F4Q2022)'!AN15</f>
        <v>161.71510674841556</v>
      </c>
      <c r="AO15" s="54">
        <f>'IS (F1Q23)'!AO15-'IS (F4Q2022)'!AO15</f>
        <v>-161.80890896460005</v>
      </c>
      <c r="AP15" s="54">
        <f>'IS (F1Q23)'!AP15-'IS (F4Q2022)'!AP15</f>
        <v>-275.53694080936839</v>
      </c>
      <c r="AQ15" s="55">
        <f>'IS (F1Q23)'!AQ15-'IS (F4Q2022)'!AQ15</f>
        <v>-375.28664146120718</v>
      </c>
      <c r="AR15" s="54">
        <f>'IS (F1Q23)'!AR15-'IS (F4Q2022)'!AR15</f>
        <v>-107.34544809608451</v>
      </c>
      <c r="AS15" s="54">
        <f>'IS (F1Q23)'!AS15-'IS (F4Q2022)'!AS15</f>
        <v>175.40192331532489</v>
      </c>
      <c r="AT15" s="54">
        <f>'IS (F1Q23)'!AT15-'IS (F4Q2022)'!AT15</f>
        <v>-171.80664777221136</v>
      </c>
      <c r="AU15" s="54">
        <f>'IS (F1Q23)'!AU15-'IS (F4Q2022)'!AU15</f>
        <v>-293.72309860761379</v>
      </c>
      <c r="AV15" s="55">
        <f>'IS (F1Q23)'!AV15-'IS (F4Q2022)'!AV15</f>
        <v>-397.47327116058295</v>
      </c>
    </row>
    <row r="16" spans="1:48" s="23" customFormat="1" ht="17.25" customHeight="1" x14ac:dyDescent="0.45">
      <c r="B16" s="591" t="s">
        <v>36</v>
      </c>
      <c r="C16" s="592"/>
      <c r="D16" s="104">
        <f>'IS (F1Q23)'!D16-'IS (F4Q2022)'!D16</f>
        <v>0</v>
      </c>
      <c r="E16" s="104">
        <f>'IS (F1Q23)'!E16-'IS (F4Q2022)'!E16</f>
        <v>0</v>
      </c>
      <c r="F16" s="104">
        <f>'IS (F1Q23)'!F16-'IS (F4Q2022)'!F16</f>
        <v>0</v>
      </c>
      <c r="G16" s="104">
        <f>'IS (F1Q23)'!G16-'IS (F4Q2022)'!G16</f>
        <v>0</v>
      </c>
      <c r="H16" s="173">
        <f>'IS (F1Q23)'!H16-'IS (F4Q2022)'!H16</f>
        <v>0</v>
      </c>
      <c r="I16" s="104">
        <f>'IS (F1Q23)'!I16-'IS (F4Q2022)'!I16</f>
        <v>0</v>
      </c>
      <c r="J16" s="104">
        <f>'IS (F1Q23)'!J16-'IS (F4Q2022)'!J16</f>
        <v>0</v>
      </c>
      <c r="K16" s="104">
        <f>'IS (F1Q23)'!K16-'IS (F4Q2022)'!K16</f>
        <v>0</v>
      </c>
      <c r="L16" s="52">
        <f>'IS (F1Q23)'!L16-'IS (F4Q2022)'!L16</f>
        <v>0</v>
      </c>
      <c r="M16" s="53">
        <f>'IS (F1Q23)'!M16-'IS (F4Q2022)'!M16</f>
        <v>0</v>
      </c>
      <c r="N16" s="52">
        <f>'IS (F1Q23)'!N16-'IS (F4Q2022)'!N16</f>
        <v>0</v>
      </c>
      <c r="O16" s="104">
        <f>'IS (F1Q23)'!O16-'IS (F4Q2022)'!O16</f>
        <v>0</v>
      </c>
      <c r="P16" s="104">
        <f>'IS (F1Q23)'!P16-'IS (F4Q2022)'!P16</f>
        <v>0</v>
      </c>
      <c r="Q16" s="104">
        <f>'IS (F1Q23)'!Q16-'IS (F4Q2022)'!Q16</f>
        <v>0</v>
      </c>
      <c r="R16" s="173">
        <f>'IS (F1Q23)'!R16-'IS (F4Q2022)'!R16</f>
        <v>0</v>
      </c>
      <c r="S16" s="52">
        <f>'IS (F1Q23)'!S16-'IS (F4Q2022)'!S16</f>
        <v>0</v>
      </c>
      <c r="T16" s="52">
        <f>'IS (F1Q23)'!T16-'IS (F4Q2022)'!T16</f>
        <v>0</v>
      </c>
      <c r="U16" s="52">
        <f>'IS (F1Q23)'!U16-'IS (F4Q2022)'!U16</f>
        <v>0</v>
      </c>
      <c r="V16" s="52">
        <f>'IS (F1Q23)'!V16-'IS (F4Q2022)'!V16</f>
        <v>0</v>
      </c>
      <c r="W16" s="173">
        <f>'IS (F1Q23)'!W16-'IS (F4Q2022)'!W16</f>
        <v>0</v>
      </c>
      <c r="X16" s="52">
        <f>'IS (F1Q23)'!X16-'IS (F4Q2022)'!X16</f>
        <v>-32.600000000000009</v>
      </c>
      <c r="Y16" s="52">
        <f>'IS (F1Q23)'!Y16-'IS (F4Q2022)'!Y16</f>
        <v>-32.700000000000003</v>
      </c>
      <c r="Z16" s="52">
        <f>'IS (F1Q23)'!Z16-'IS (F4Q2022)'!Z16</f>
        <v>-32.699999999999996</v>
      </c>
      <c r="AA16" s="52">
        <f>'IS (F1Q23)'!AA16-'IS (F4Q2022)'!AA16</f>
        <v>-32.700000000000003</v>
      </c>
      <c r="AB16" s="53">
        <f>'IS (F1Q23)'!AB16-'IS (F4Q2022)'!AB16</f>
        <v>-130.69999999999999</v>
      </c>
      <c r="AC16" s="52">
        <f>'IS (F1Q23)'!AC16-'IS (F4Q2022)'!AC16</f>
        <v>-32.700000000000003</v>
      </c>
      <c r="AD16" s="52">
        <f>'IS (F1Q23)'!AD16-'IS (F4Q2022)'!AD16</f>
        <v>-32.700000000000003</v>
      </c>
      <c r="AE16" s="52">
        <f>'IS (F1Q23)'!AE16-'IS (F4Q2022)'!AE16</f>
        <v>-32.700000000000003</v>
      </c>
      <c r="AF16" s="52">
        <f>'IS (F1Q23)'!AF16-'IS (F4Q2022)'!AF16</f>
        <v>-32.700000000000003</v>
      </c>
      <c r="AG16" s="53">
        <f>'IS (F1Q23)'!AG16-'IS (F4Q2022)'!AG16</f>
        <v>-130.80000000000001</v>
      </c>
      <c r="AH16" s="52">
        <f>'IS (F1Q23)'!AH16-'IS (F4Q2022)'!AH16</f>
        <v>-32.700000000000003</v>
      </c>
      <c r="AI16" s="52">
        <f>'IS (F1Q23)'!AI16-'IS (F4Q2022)'!AI16</f>
        <v>-32.700000000000003</v>
      </c>
      <c r="AJ16" s="52">
        <f>'IS (F1Q23)'!AJ16-'IS (F4Q2022)'!AJ16</f>
        <v>-32.700000000000003</v>
      </c>
      <c r="AK16" s="52">
        <f>'IS (F1Q23)'!AK16-'IS (F4Q2022)'!AK16</f>
        <v>-32.700000000000003</v>
      </c>
      <c r="AL16" s="53">
        <f>'IS (F1Q23)'!AL16-'IS (F4Q2022)'!AL16</f>
        <v>-130.80000000000001</v>
      </c>
      <c r="AM16" s="52">
        <f>'IS (F1Q23)'!AM16-'IS (F4Q2022)'!AM16</f>
        <v>-32.700000000000003</v>
      </c>
      <c r="AN16" s="52">
        <f>'IS (F1Q23)'!AN16-'IS (F4Q2022)'!AN16</f>
        <v>-32.700000000000003</v>
      </c>
      <c r="AO16" s="52">
        <f>'IS (F1Q23)'!AO16-'IS (F4Q2022)'!AO16</f>
        <v>-32.700000000000003</v>
      </c>
      <c r="AP16" s="52">
        <f>'IS (F1Q23)'!AP16-'IS (F4Q2022)'!AP16</f>
        <v>-32.700000000000003</v>
      </c>
      <c r="AQ16" s="53">
        <f>'IS (F1Q23)'!AQ16-'IS (F4Q2022)'!AQ16</f>
        <v>-130.80000000000001</v>
      </c>
      <c r="AR16" s="52">
        <f>'IS (F1Q23)'!AR16-'IS (F4Q2022)'!AR16</f>
        <v>-32.700000000000003</v>
      </c>
      <c r="AS16" s="52">
        <f>'IS (F1Q23)'!AS16-'IS (F4Q2022)'!AS16</f>
        <v>-32.700000000000003</v>
      </c>
      <c r="AT16" s="52">
        <f>'IS (F1Q23)'!AT16-'IS (F4Q2022)'!AT16</f>
        <v>-32.700000000000003</v>
      </c>
      <c r="AU16" s="52">
        <f>'IS (F1Q23)'!AU16-'IS (F4Q2022)'!AU16</f>
        <v>-32.700000000000003</v>
      </c>
      <c r="AV16" s="53">
        <f>'IS (F1Q23)'!AV16-'IS (F4Q2022)'!AV16</f>
        <v>-130.80000000000001</v>
      </c>
    </row>
    <row r="17" spans="1:48" x14ac:dyDescent="0.3">
      <c r="B17" s="135" t="s">
        <v>10</v>
      </c>
      <c r="C17" s="136"/>
      <c r="D17" s="103">
        <f>'IS (F1Q23)'!D17-'IS (F4Q2022)'!D17</f>
        <v>0</v>
      </c>
      <c r="E17" s="103">
        <f>'IS (F1Q23)'!E17-'IS (F4Q2022)'!E17</f>
        <v>0</v>
      </c>
      <c r="F17" s="103">
        <f>'IS (F1Q23)'!F17-'IS (F4Q2022)'!F17</f>
        <v>0</v>
      </c>
      <c r="G17" s="103">
        <f>'IS (F1Q23)'!G17-'IS (F4Q2022)'!G17</f>
        <v>0</v>
      </c>
      <c r="H17" s="171">
        <f>'IS (F1Q23)'!H17-'IS (F4Q2022)'!H17</f>
        <v>0</v>
      </c>
      <c r="I17" s="103">
        <f>'IS (F1Q23)'!I17-'IS (F4Q2022)'!I17</f>
        <v>0</v>
      </c>
      <c r="J17" s="103">
        <f>'IS (F1Q23)'!J17-'IS (F4Q2022)'!J17</f>
        <v>0</v>
      </c>
      <c r="K17" s="103">
        <f>'IS (F1Q23)'!K17-'IS (F4Q2022)'!K17</f>
        <v>0</v>
      </c>
      <c r="L17" s="50">
        <f>'IS (F1Q23)'!L17-'IS (F4Q2022)'!L17</f>
        <v>0</v>
      </c>
      <c r="M17" s="51">
        <f>'IS (F1Q23)'!M17-'IS (F4Q2022)'!M17</f>
        <v>0</v>
      </c>
      <c r="N17" s="50">
        <f>'IS (F1Q23)'!N17-'IS (F4Q2022)'!N17</f>
        <v>0</v>
      </c>
      <c r="O17" s="103">
        <f>'IS (F1Q23)'!O17-'IS (F4Q2022)'!O17</f>
        <v>0</v>
      </c>
      <c r="P17" s="103">
        <f>'IS (F1Q23)'!P17-'IS (F4Q2022)'!P17</f>
        <v>0</v>
      </c>
      <c r="Q17" s="103">
        <f>'IS (F1Q23)'!Q17-'IS (F4Q2022)'!Q17</f>
        <v>0</v>
      </c>
      <c r="R17" s="171">
        <f>'IS (F1Q23)'!R17-'IS (F4Q2022)'!R17</f>
        <v>0</v>
      </c>
      <c r="S17" s="50">
        <f>'IS (F1Q23)'!S17-'IS (F4Q2022)'!S17</f>
        <v>0</v>
      </c>
      <c r="T17" s="50">
        <f>'IS (F1Q23)'!T17-'IS (F4Q2022)'!T17</f>
        <v>0</v>
      </c>
      <c r="U17" s="50">
        <f>'IS (F1Q23)'!U17-'IS (F4Q2022)'!U17</f>
        <v>0</v>
      </c>
      <c r="V17" s="50">
        <f>'IS (F1Q23)'!V17-'IS (F4Q2022)'!V17</f>
        <v>0</v>
      </c>
      <c r="W17" s="171">
        <f>'IS (F1Q23)'!W17-'IS (F4Q2022)'!W17</f>
        <v>0</v>
      </c>
      <c r="X17" s="50">
        <f>'IS (F1Q23)'!X17-'IS (F4Q2022)'!X17</f>
        <v>43.429492743469609</v>
      </c>
      <c r="Y17" s="50">
        <f>'IS (F1Q23)'!Y17-'IS (F4Q2022)'!Y17</f>
        <v>-124.32336876903196</v>
      </c>
      <c r="Z17" s="50">
        <f>'IS (F1Q23)'!Z17-'IS (F4Q2022)'!Z17</f>
        <v>63.774048675979429</v>
      </c>
      <c r="AA17" s="50">
        <f>'IS (F1Q23)'!AA17-'IS (F4Q2022)'!AA17</f>
        <v>138.15229996231187</v>
      </c>
      <c r="AB17" s="51">
        <f>'IS (F1Q23)'!AB17-'IS (F4Q2022)'!AB17</f>
        <v>121.03247261273373</v>
      </c>
      <c r="AC17" s="50">
        <f>'IS (F1Q23)'!AC17-'IS (F4Q2022)'!AC17</f>
        <v>-17.425625927692863</v>
      </c>
      <c r="AD17" s="50">
        <f>'IS (F1Q23)'!AD17-'IS (F4Q2022)'!AD17</f>
        <v>-161.94681985505053</v>
      </c>
      <c r="AE17" s="50">
        <f>'IS (F1Q23)'!AE17-'IS (F4Q2022)'!AE17</f>
        <v>80.807169859874875</v>
      </c>
      <c r="AF17" s="50">
        <f>'IS (F1Q23)'!AF17-'IS (F4Q2022)'!AF17</f>
        <v>169.26784970123731</v>
      </c>
      <c r="AG17" s="51">
        <f>'IS (F1Q23)'!AG17-'IS (F4Q2022)'!AG17</f>
        <v>70.702573778357873</v>
      </c>
      <c r="AH17" s="50">
        <f>'IS (F1Q23)'!AH17-'IS (F4Q2022)'!AH17</f>
        <v>-30.728186641991897</v>
      </c>
      <c r="AI17" s="50">
        <f>'IS (F1Q23)'!AI17-'IS (F4Q2022)'!AI17</f>
        <v>-188.06995192840373</v>
      </c>
      <c r="AJ17" s="50">
        <f>'IS (F1Q23)'!AJ17-'IS (F4Q2022)'!AJ17</f>
        <v>97.671799875352917</v>
      </c>
      <c r="AK17" s="50">
        <f>'IS (F1Q23)'!AK17-'IS (F4Q2022)'!AK17</f>
        <v>199.93899211092048</v>
      </c>
      <c r="AL17" s="51">
        <f>'IS (F1Q23)'!AL17-'IS (F4Q2022)'!AL17</f>
        <v>78.812653415875502</v>
      </c>
      <c r="AM17" s="50">
        <f>'IS (F1Q23)'!AM17-'IS (F4Q2022)'!AM17</f>
        <v>-44.161290774024565</v>
      </c>
      <c r="AN17" s="50">
        <f>'IS (F1Q23)'!AN17-'IS (F4Q2022)'!AN17</f>
        <v>-211.17485303683429</v>
      </c>
      <c r="AO17" s="50">
        <f>'IS (F1Q23)'!AO17-'IS (F4Q2022)'!AO17</f>
        <v>111.57061552739742</v>
      </c>
      <c r="AP17" s="50">
        <f>'IS (F1Q23)'!AP17-'IS (F4Q2022)'!AP17</f>
        <v>222.36391340786849</v>
      </c>
      <c r="AQ17" s="51">
        <f>'IS (F1Q23)'!AQ17-'IS (F4Q2022)'!AQ17</f>
        <v>78.598385124427296</v>
      </c>
      <c r="AR17" s="50">
        <f>'IS (F1Q23)'!AR17-'IS (F4Q2022)'!AR17</f>
        <v>-52.114331982095791</v>
      </c>
      <c r="AS17" s="50">
        <f>'IS (F1Q23)'!AS17-'IS (F4Q2022)'!AS17</f>
        <v>-225.36446199240095</v>
      </c>
      <c r="AT17" s="50">
        <f>'IS (F1Q23)'!AT17-'IS (F4Q2022)'!AT17</f>
        <v>121.04220553189498</v>
      </c>
      <c r="AU17" s="50">
        <f>'IS (F1Q23)'!AU17-'IS (F4Q2022)'!AU17</f>
        <v>239.93588038407051</v>
      </c>
      <c r="AV17" s="51">
        <f>'IS (F1Q23)'!AV17-'IS (F4Q2022)'!AV17</f>
        <v>83.499291941468982</v>
      </c>
    </row>
    <row r="18" spans="1:48" ht="16.2" x14ac:dyDescent="0.45">
      <c r="B18" s="123" t="s">
        <v>70</v>
      </c>
      <c r="C18" s="88"/>
      <c r="D18" s="107">
        <f>'IS (F1Q23)'!D18-'IS (F4Q2022)'!D18</f>
        <v>0</v>
      </c>
      <c r="E18" s="107">
        <f>'IS (F1Q23)'!E18-'IS (F4Q2022)'!E18</f>
        <v>0</v>
      </c>
      <c r="F18" s="107">
        <f>'IS (F1Q23)'!F18-'IS (F4Q2022)'!F18</f>
        <v>0</v>
      </c>
      <c r="G18" s="107">
        <f>'IS (F1Q23)'!G18-'IS (F4Q2022)'!G18</f>
        <v>0</v>
      </c>
      <c r="H18" s="176">
        <f>'IS (F1Q23)'!H18-'IS (F4Q2022)'!H18</f>
        <v>0</v>
      </c>
      <c r="I18" s="107">
        <f>'IS (F1Q23)'!I18-'IS (F4Q2022)'!I18</f>
        <v>0</v>
      </c>
      <c r="J18" s="107">
        <f>'IS (F1Q23)'!J18-'IS (F4Q2022)'!J18</f>
        <v>0</v>
      </c>
      <c r="K18" s="107">
        <f>'IS (F1Q23)'!K18-'IS (F4Q2022)'!K18</f>
        <v>0</v>
      </c>
      <c r="L18" s="89">
        <f>'IS (F1Q23)'!L18-'IS (F4Q2022)'!L18</f>
        <v>0</v>
      </c>
      <c r="M18" s="90">
        <f>'IS (F1Q23)'!M18-'IS (F4Q2022)'!M18</f>
        <v>0</v>
      </c>
      <c r="N18" s="107">
        <f>'IS (F1Q23)'!N18-'IS (F4Q2022)'!N18</f>
        <v>0</v>
      </c>
      <c r="O18" s="107">
        <f>'IS (F1Q23)'!O18-'IS (F4Q2022)'!O18</f>
        <v>0</v>
      </c>
      <c r="P18" s="107">
        <f>'IS (F1Q23)'!P18-'IS (F4Q2022)'!P18</f>
        <v>0</v>
      </c>
      <c r="Q18" s="107">
        <f>'IS (F1Q23)'!Q18-'IS (F4Q2022)'!Q18</f>
        <v>0</v>
      </c>
      <c r="R18" s="176">
        <f>'IS (F1Q23)'!R18-'IS (F4Q2022)'!R18</f>
        <v>0</v>
      </c>
      <c r="S18" s="89">
        <f>'IS (F1Q23)'!S18-'IS (F4Q2022)'!S18</f>
        <v>0</v>
      </c>
      <c r="T18" s="89">
        <f>'IS (F1Q23)'!T18-'IS (F4Q2022)'!T18</f>
        <v>0</v>
      </c>
      <c r="U18" s="89">
        <f>'IS (F1Q23)'!U18-'IS (F4Q2022)'!U18</f>
        <v>0</v>
      </c>
      <c r="V18" s="89">
        <f>'IS (F1Q23)'!V18-'IS (F4Q2022)'!V18</f>
        <v>0</v>
      </c>
      <c r="W18" s="176">
        <f>'IS (F1Q23)'!W18-'IS (F4Q2022)'!W18</f>
        <v>0</v>
      </c>
      <c r="X18" s="89">
        <f>'IS (F1Q23)'!X18-'IS (F4Q2022)'!X18</f>
        <v>-54.101091631188126</v>
      </c>
      <c r="Y18" s="89">
        <f>'IS (F1Q23)'!Y18-'IS (F4Q2022)'!Y18</f>
        <v>-9.9010916311881267</v>
      </c>
      <c r="Z18" s="89">
        <f>'IS (F1Q23)'!Z18-'IS (F4Q2022)'!Z18</f>
        <v>-9.9010916311881267</v>
      </c>
      <c r="AA18" s="89">
        <f>'IS (F1Q23)'!AA18-'IS (F4Q2022)'!AA18</f>
        <v>-9.9010916311881267</v>
      </c>
      <c r="AB18" s="90">
        <f>'IS (F1Q23)'!AB18-'IS (F4Q2022)'!AB18</f>
        <v>-83.80436652475251</v>
      </c>
      <c r="AC18" s="89">
        <f>'IS (F1Q23)'!AC18-'IS (F4Q2022)'!AC18</f>
        <v>-9.9010916311881267</v>
      </c>
      <c r="AD18" s="89">
        <f>'IS (F1Q23)'!AD18-'IS (F4Q2022)'!AD18</f>
        <v>-41.7</v>
      </c>
      <c r="AE18" s="89">
        <f>'IS (F1Q23)'!AE18-'IS (F4Q2022)'!AE18</f>
        <v>-41.7</v>
      </c>
      <c r="AF18" s="89">
        <f>'IS (F1Q23)'!AF18-'IS (F4Q2022)'!AF18</f>
        <v>-41.7</v>
      </c>
      <c r="AG18" s="90">
        <f>'IS (F1Q23)'!AG18-'IS (F4Q2022)'!AG18</f>
        <v>-135.00109163118813</v>
      </c>
      <c r="AH18" s="89">
        <f>'IS (F1Q23)'!AH18-'IS (F4Q2022)'!AH18</f>
        <v>-41.7</v>
      </c>
      <c r="AI18" s="89">
        <f>'IS (F1Q23)'!AI18-'IS (F4Q2022)'!AI18</f>
        <v>-41.7</v>
      </c>
      <c r="AJ18" s="89">
        <f>'IS (F1Q23)'!AJ18-'IS (F4Q2022)'!AJ18</f>
        <v>-41.7</v>
      </c>
      <c r="AK18" s="89">
        <f>'IS (F1Q23)'!AK18-'IS (F4Q2022)'!AK18</f>
        <v>-41.7</v>
      </c>
      <c r="AL18" s="90">
        <f>'IS (F1Q23)'!AL18-'IS (F4Q2022)'!AL18</f>
        <v>-166.8</v>
      </c>
      <c r="AM18" s="89">
        <f>'IS (F1Q23)'!AM18-'IS (F4Q2022)'!AM18</f>
        <v>-41.7</v>
      </c>
      <c r="AN18" s="89">
        <f>'IS (F1Q23)'!AN18-'IS (F4Q2022)'!AN18</f>
        <v>-41.7</v>
      </c>
      <c r="AO18" s="89">
        <f>'IS (F1Q23)'!AO18-'IS (F4Q2022)'!AO18</f>
        <v>-41.7</v>
      </c>
      <c r="AP18" s="89">
        <f>'IS (F1Q23)'!AP18-'IS (F4Q2022)'!AP18</f>
        <v>-41.7</v>
      </c>
      <c r="AQ18" s="90">
        <f>'IS (F1Q23)'!AQ18-'IS (F4Q2022)'!AQ18</f>
        <v>-166.8</v>
      </c>
      <c r="AR18" s="89">
        <f>'IS (F1Q23)'!AR18-'IS (F4Q2022)'!AR18</f>
        <v>-41.7</v>
      </c>
      <c r="AS18" s="89">
        <f>'IS (F1Q23)'!AS18-'IS (F4Q2022)'!AS18</f>
        <v>-41.7</v>
      </c>
      <c r="AT18" s="89">
        <f>'IS (F1Q23)'!AT18-'IS (F4Q2022)'!AT18</f>
        <v>-41.7</v>
      </c>
      <c r="AU18" s="89">
        <f>'IS (F1Q23)'!AU18-'IS (F4Q2022)'!AU18</f>
        <v>-41.7</v>
      </c>
      <c r="AV18" s="90">
        <f>'IS (F1Q23)'!AV18-'IS (F4Q2022)'!AV18</f>
        <v>-166.8</v>
      </c>
    </row>
    <row r="19" spans="1:48" x14ac:dyDescent="0.3">
      <c r="B19" s="124" t="s">
        <v>71</v>
      </c>
      <c r="C19" s="79"/>
      <c r="D19" s="108">
        <f>'IS (F1Q23)'!D19-'IS (F4Q2022)'!D19</f>
        <v>0</v>
      </c>
      <c r="E19" s="108">
        <f>'IS (F1Q23)'!E19-'IS (F4Q2022)'!E19</f>
        <v>0</v>
      </c>
      <c r="F19" s="108">
        <f>'IS (F1Q23)'!F19-'IS (F4Q2022)'!F19</f>
        <v>0</v>
      </c>
      <c r="G19" s="108">
        <f>'IS (F1Q23)'!G19-'IS (F4Q2022)'!G19</f>
        <v>0</v>
      </c>
      <c r="H19" s="177">
        <f>'IS (F1Q23)'!H19-'IS (F4Q2022)'!H19</f>
        <v>0</v>
      </c>
      <c r="I19" s="108">
        <f>'IS (F1Q23)'!I19-'IS (F4Q2022)'!I19</f>
        <v>0</v>
      </c>
      <c r="J19" s="108">
        <f>'IS (F1Q23)'!J19-'IS (F4Q2022)'!J19</f>
        <v>0</v>
      </c>
      <c r="K19" s="108">
        <f>'IS (F1Q23)'!K19-'IS (F4Q2022)'!K19</f>
        <v>0</v>
      </c>
      <c r="L19" s="80">
        <f>'IS (F1Q23)'!L19-'IS (F4Q2022)'!L19</f>
        <v>0</v>
      </c>
      <c r="M19" s="81">
        <f>'IS (F1Q23)'!M19-'IS (F4Q2022)'!M19</f>
        <v>0</v>
      </c>
      <c r="N19" s="108">
        <f>'IS (F1Q23)'!N19-'IS (F4Q2022)'!N19</f>
        <v>0</v>
      </c>
      <c r="O19" s="108">
        <f>'IS (F1Q23)'!O19-'IS (F4Q2022)'!O19</f>
        <v>0</v>
      </c>
      <c r="P19" s="108">
        <f>'IS (F1Q23)'!P19-'IS (F4Q2022)'!P19</f>
        <v>0</v>
      </c>
      <c r="Q19" s="108">
        <f>'IS (F1Q23)'!Q19-'IS (F4Q2022)'!Q19</f>
        <v>0</v>
      </c>
      <c r="R19" s="177">
        <f>'IS (F1Q23)'!R19-'IS (F4Q2022)'!R19</f>
        <v>0</v>
      </c>
      <c r="S19" s="80">
        <f>'IS (F1Q23)'!S19-'IS (F4Q2022)'!S19</f>
        <v>0</v>
      </c>
      <c r="T19" s="80">
        <f>'IS (F1Q23)'!T19-'IS (F4Q2022)'!T19</f>
        <v>0</v>
      </c>
      <c r="U19" s="80">
        <f>'IS (F1Q23)'!U19-'IS (F4Q2022)'!U19</f>
        <v>0</v>
      </c>
      <c r="V19" s="80">
        <f>'IS (F1Q23)'!V19-'IS (F4Q2022)'!V19</f>
        <v>0</v>
      </c>
      <c r="W19" s="177">
        <f>'IS (F1Q23)'!W19-'IS (F4Q2022)'!W19</f>
        <v>0</v>
      </c>
      <c r="X19" s="80">
        <f>'IS (F1Q23)'!X19-'IS (F4Q2022)'!X19</f>
        <v>-10.671598887718574</v>
      </c>
      <c r="Y19" s="80">
        <f>'IS (F1Q23)'!Y19-'IS (F4Q2022)'!Y19</f>
        <v>-134.2244604002201</v>
      </c>
      <c r="Z19" s="80">
        <f>'IS (F1Q23)'!Z19-'IS (F4Q2022)'!Z19</f>
        <v>53.872957044791292</v>
      </c>
      <c r="AA19" s="80">
        <f>'IS (F1Q23)'!AA19-'IS (F4Q2022)'!AA19</f>
        <v>128.25120833112373</v>
      </c>
      <c r="AB19" s="81">
        <f>'IS (F1Q23)'!AB19-'IS (F4Q2022)'!AB19</f>
        <v>37.228106087981359</v>
      </c>
      <c r="AC19" s="80">
        <f>'IS (F1Q23)'!AC19-'IS (F4Q2022)'!AC19</f>
        <v>-27.326717558881001</v>
      </c>
      <c r="AD19" s="80">
        <f>'IS (F1Q23)'!AD19-'IS (F4Q2022)'!AD19</f>
        <v>-203.64681985505058</v>
      </c>
      <c r="AE19" s="80">
        <f>'IS (F1Q23)'!AE19-'IS (F4Q2022)'!AE19</f>
        <v>39.10716985987483</v>
      </c>
      <c r="AF19" s="80">
        <f>'IS (F1Q23)'!AF19-'IS (F4Q2022)'!AF19</f>
        <v>127.56784970123726</v>
      </c>
      <c r="AG19" s="81">
        <f>'IS (F1Q23)'!AG19-'IS (F4Q2022)'!AG19</f>
        <v>-64.298517852830628</v>
      </c>
      <c r="AH19" s="80">
        <f>'IS (F1Q23)'!AH19-'IS (F4Q2022)'!AH19</f>
        <v>-72.428186641991942</v>
      </c>
      <c r="AI19" s="80">
        <f>'IS (F1Q23)'!AI19-'IS (F4Q2022)'!AI19</f>
        <v>-229.76995192840377</v>
      </c>
      <c r="AJ19" s="80">
        <f>'IS (F1Q23)'!AJ19-'IS (F4Q2022)'!AJ19</f>
        <v>55.971799875353099</v>
      </c>
      <c r="AK19" s="80">
        <f>'IS (F1Q23)'!AK19-'IS (F4Q2022)'!AK19</f>
        <v>158.23899211092066</v>
      </c>
      <c r="AL19" s="81">
        <f>'IS (F1Q23)'!AL19-'IS (F4Q2022)'!AL19</f>
        <v>-87.98734658412468</v>
      </c>
      <c r="AM19" s="80">
        <f>'IS (F1Q23)'!AM19-'IS (F4Q2022)'!AM19</f>
        <v>-85.861290774024383</v>
      </c>
      <c r="AN19" s="80">
        <f>'IS (F1Q23)'!AN19-'IS (F4Q2022)'!AN19</f>
        <v>-252.87485303683434</v>
      </c>
      <c r="AO19" s="80">
        <f>'IS (F1Q23)'!AO19-'IS (F4Q2022)'!AO19</f>
        <v>69.870615527397604</v>
      </c>
      <c r="AP19" s="80">
        <f>'IS (F1Q23)'!AP19-'IS (F4Q2022)'!AP19</f>
        <v>180.66391340786868</v>
      </c>
      <c r="AQ19" s="81">
        <f>'IS (F1Q23)'!AQ19-'IS (F4Q2022)'!AQ19</f>
        <v>-88.201614875571977</v>
      </c>
      <c r="AR19" s="80">
        <f>'IS (F1Q23)'!AR19-'IS (F4Q2022)'!AR19</f>
        <v>-93.814331982095609</v>
      </c>
      <c r="AS19" s="80">
        <f>'IS (F1Q23)'!AS19-'IS (F4Q2022)'!AS19</f>
        <v>-267.06446199240099</v>
      </c>
      <c r="AT19" s="80">
        <f>'IS (F1Q23)'!AT19-'IS (F4Q2022)'!AT19</f>
        <v>79.342205531895161</v>
      </c>
      <c r="AU19" s="80">
        <f>'IS (F1Q23)'!AU19-'IS (F4Q2022)'!AU19</f>
        <v>198.2358803840707</v>
      </c>
      <c r="AV19" s="81">
        <f>'IS (F1Q23)'!AV19-'IS (F4Q2022)'!AV19</f>
        <v>-83.30070805853029</v>
      </c>
    </row>
    <row r="20" spans="1:48" x14ac:dyDescent="0.3">
      <c r="B20" s="38" t="s">
        <v>63</v>
      </c>
      <c r="C20" s="18"/>
      <c r="D20" s="105">
        <f>'IS (F1Q23)'!D20-'IS (F4Q2022)'!D20</f>
        <v>0</v>
      </c>
      <c r="E20" s="105">
        <f>'IS (F1Q23)'!E20-'IS (F4Q2022)'!E20</f>
        <v>0</v>
      </c>
      <c r="F20" s="105">
        <f>'IS (F1Q23)'!F20-'IS (F4Q2022)'!F20</f>
        <v>0</v>
      </c>
      <c r="G20" s="105">
        <f>'IS (F1Q23)'!G20-'IS (F4Q2022)'!G20</f>
        <v>0</v>
      </c>
      <c r="H20" s="170">
        <f>'IS (F1Q23)'!H20-'IS (F4Q2022)'!H20</f>
        <v>0</v>
      </c>
      <c r="I20" s="105">
        <f>'IS (F1Q23)'!I20-'IS (F4Q2022)'!I20</f>
        <v>0</v>
      </c>
      <c r="J20" s="105">
        <f>'IS (F1Q23)'!J20-'IS (F4Q2022)'!J20</f>
        <v>0</v>
      </c>
      <c r="K20" s="105">
        <f>'IS (F1Q23)'!K20-'IS (F4Q2022)'!K20</f>
        <v>0</v>
      </c>
      <c r="L20" s="105">
        <f>'IS (F1Q23)'!L20-'IS (F4Q2022)'!L20</f>
        <v>0</v>
      </c>
      <c r="M20" s="170">
        <f>'IS (F1Q23)'!M20-'IS (F4Q2022)'!M20</f>
        <v>0</v>
      </c>
      <c r="N20" s="105">
        <f>'IS (F1Q23)'!N20-'IS (F4Q2022)'!N20</f>
        <v>0</v>
      </c>
      <c r="O20" s="105">
        <f>'IS (F1Q23)'!O20-'IS (F4Q2022)'!O20</f>
        <v>0</v>
      </c>
      <c r="P20" s="105">
        <f>'IS (F1Q23)'!P20-'IS (F4Q2022)'!P20</f>
        <v>0</v>
      </c>
      <c r="Q20" s="105">
        <f>'IS (F1Q23)'!Q20-'IS (F4Q2022)'!Q20</f>
        <v>0</v>
      </c>
      <c r="R20" s="170">
        <f>'IS (F1Q23)'!R20-'IS (F4Q2022)'!R20</f>
        <v>0</v>
      </c>
      <c r="S20" s="105">
        <f>'IS (F1Q23)'!S20-'IS (F4Q2022)'!S20</f>
        <v>0</v>
      </c>
      <c r="T20" s="105">
        <f>'IS (F1Q23)'!T20-'IS (F4Q2022)'!T20</f>
        <v>0</v>
      </c>
      <c r="U20" s="105">
        <f>'IS (F1Q23)'!U20-'IS (F4Q2022)'!U20</f>
        <v>0</v>
      </c>
      <c r="V20" s="105">
        <f>'IS (F1Q23)'!V20-'IS (F4Q2022)'!V20</f>
        <v>0</v>
      </c>
      <c r="W20" s="170">
        <f>'IS (F1Q23)'!W20-'IS (F4Q2022)'!W20</f>
        <v>0</v>
      </c>
      <c r="X20" s="105">
        <f>'IS (F1Q23)'!X20-'IS (F4Q2022)'!X20</f>
        <v>0</v>
      </c>
      <c r="Y20" s="105">
        <f>'IS (F1Q23)'!Y20-'IS (F4Q2022)'!Y20</f>
        <v>0</v>
      </c>
      <c r="Z20" s="105">
        <f>'IS (F1Q23)'!Z20-'IS (F4Q2022)'!Z20</f>
        <v>0</v>
      </c>
      <c r="AA20" s="105">
        <f>'IS (F1Q23)'!AA20-'IS (F4Q2022)'!AA20</f>
        <v>0</v>
      </c>
      <c r="AB20" s="170">
        <f>'IS (F1Q23)'!AB20-'IS (F4Q2022)'!AB20</f>
        <v>0</v>
      </c>
      <c r="AC20" s="105">
        <f>'IS (F1Q23)'!AC20-'IS (F4Q2022)'!AC20</f>
        <v>0</v>
      </c>
      <c r="AD20" s="105">
        <f>'IS (F1Q23)'!AD20-'IS (F4Q2022)'!AD20</f>
        <v>0</v>
      </c>
      <c r="AE20" s="105">
        <f>'IS (F1Q23)'!AE20-'IS (F4Q2022)'!AE20</f>
        <v>0</v>
      </c>
      <c r="AF20" s="105">
        <f>'IS (F1Q23)'!AF20-'IS (F4Q2022)'!AF20</f>
        <v>0</v>
      </c>
      <c r="AG20" s="170">
        <f>'IS (F1Q23)'!AG20-'IS (F4Q2022)'!AG20</f>
        <v>0</v>
      </c>
      <c r="AH20" s="105">
        <f>'IS (F1Q23)'!AH20-'IS (F4Q2022)'!AH20</f>
        <v>0</v>
      </c>
      <c r="AI20" s="105">
        <f>'IS (F1Q23)'!AI20-'IS (F4Q2022)'!AI20</f>
        <v>0</v>
      </c>
      <c r="AJ20" s="105">
        <f>'IS (F1Q23)'!AJ20-'IS (F4Q2022)'!AJ20</f>
        <v>0</v>
      </c>
      <c r="AK20" s="105">
        <f>'IS (F1Q23)'!AK20-'IS (F4Q2022)'!AK20</f>
        <v>0</v>
      </c>
      <c r="AL20" s="170">
        <f>'IS (F1Q23)'!AL20-'IS (F4Q2022)'!AL20</f>
        <v>0</v>
      </c>
      <c r="AM20" s="105">
        <f>'IS (F1Q23)'!AM20-'IS (F4Q2022)'!AM20</f>
        <v>0</v>
      </c>
      <c r="AN20" s="105">
        <f>'IS (F1Q23)'!AN20-'IS (F4Q2022)'!AN20</f>
        <v>0</v>
      </c>
      <c r="AO20" s="105">
        <f>'IS (F1Q23)'!AO20-'IS (F4Q2022)'!AO20</f>
        <v>0</v>
      </c>
      <c r="AP20" s="105">
        <f>'IS (F1Q23)'!AP20-'IS (F4Q2022)'!AP20</f>
        <v>0</v>
      </c>
      <c r="AQ20" s="170">
        <f>'IS (F1Q23)'!AQ20-'IS (F4Q2022)'!AQ20</f>
        <v>0</v>
      </c>
      <c r="AR20" s="105">
        <f>'IS (F1Q23)'!AR20-'IS (F4Q2022)'!AR20</f>
        <v>0</v>
      </c>
      <c r="AS20" s="105">
        <f>'IS (F1Q23)'!AS20-'IS (F4Q2022)'!AS20</f>
        <v>0</v>
      </c>
      <c r="AT20" s="105">
        <f>'IS (F1Q23)'!AT20-'IS (F4Q2022)'!AT20</f>
        <v>0</v>
      </c>
      <c r="AU20" s="105">
        <f>'IS (F1Q23)'!AU20-'IS (F4Q2022)'!AU20</f>
        <v>0</v>
      </c>
      <c r="AV20" s="170">
        <f>'IS (F1Q23)'!AV20-'IS (F4Q2022)'!AV20</f>
        <v>0</v>
      </c>
    </row>
    <row r="21" spans="1:48" x14ac:dyDescent="0.3">
      <c r="B21" s="38" t="s">
        <v>37</v>
      </c>
      <c r="C21" s="18"/>
      <c r="D21" s="105">
        <f>'IS (F1Q23)'!D21-'IS (F4Q2022)'!D21</f>
        <v>0</v>
      </c>
      <c r="E21" s="105">
        <f>'IS (F1Q23)'!E21-'IS (F4Q2022)'!E21</f>
        <v>0</v>
      </c>
      <c r="F21" s="102">
        <f>'IS (F1Q23)'!F21-'IS (F4Q2022)'!F21</f>
        <v>0</v>
      </c>
      <c r="G21" s="105">
        <f>'IS (F1Q23)'!G21-'IS (F4Q2022)'!G21</f>
        <v>0</v>
      </c>
      <c r="H21" s="170">
        <f>'IS (F1Q23)'!H21-'IS (F4Q2022)'!H21</f>
        <v>0</v>
      </c>
      <c r="I21" s="105">
        <f>'IS (F1Q23)'!I21-'IS (F4Q2022)'!I21</f>
        <v>0</v>
      </c>
      <c r="J21" s="105">
        <f>'IS (F1Q23)'!J21-'IS (F4Q2022)'!J21</f>
        <v>0</v>
      </c>
      <c r="K21" s="105">
        <f>'IS (F1Q23)'!K21-'IS (F4Q2022)'!K21</f>
        <v>0</v>
      </c>
      <c r="L21" s="105">
        <f>'IS (F1Q23)'!L21-'IS (F4Q2022)'!L21</f>
        <v>0</v>
      </c>
      <c r="M21" s="170">
        <f>'IS (F1Q23)'!M21-'IS (F4Q2022)'!M21</f>
        <v>0</v>
      </c>
      <c r="N21" s="105">
        <f>'IS (F1Q23)'!N21-'IS (F4Q2022)'!N21</f>
        <v>0</v>
      </c>
      <c r="O21" s="105">
        <f>'IS (F1Q23)'!O21-'IS (F4Q2022)'!O21</f>
        <v>0</v>
      </c>
      <c r="P21" s="105">
        <f>'IS (F1Q23)'!P21-'IS (F4Q2022)'!P21</f>
        <v>0</v>
      </c>
      <c r="Q21" s="105">
        <f>'IS (F1Q23)'!Q21-'IS (F4Q2022)'!Q21</f>
        <v>0</v>
      </c>
      <c r="R21" s="170">
        <f>'IS (F1Q23)'!R21-'IS (F4Q2022)'!R21</f>
        <v>0</v>
      </c>
      <c r="S21" s="105">
        <f>'IS (F1Q23)'!S21-'IS (F4Q2022)'!S21</f>
        <v>0</v>
      </c>
      <c r="T21" s="105">
        <f>'IS (F1Q23)'!T21-'IS (F4Q2022)'!T21</f>
        <v>0</v>
      </c>
      <c r="U21" s="105">
        <f>'IS (F1Q23)'!U21-'IS (F4Q2022)'!U21</f>
        <v>0</v>
      </c>
      <c r="V21" s="105">
        <f>'IS (F1Q23)'!V21-'IS (F4Q2022)'!V21</f>
        <v>0</v>
      </c>
      <c r="W21" s="170">
        <f>'IS (F1Q23)'!W21-'IS (F4Q2022)'!W21</f>
        <v>0</v>
      </c>
      <c r="X21" s="105">
        <f>'IS (F1Q23)'!X21-'IS (F4Q2022)'!X21</f>
        <v>-17.553646921886802</v>
      </c>
      <c r="Y21" s="105">
        <f>'IS (F1Q23)'!Y21-'IS (F4Q2022)'!Y21</f>
        <v>-31.461644700546017</v>
      </c>
      <c r="Z21" s="105">
        <f>'IS (F1Q23)'!Z21-'IS (F4Q2022)'!Z21</f>
        <v>-25.652328613195543</v>
      </c>
      <c r="AA21" s="105">
        <f>'IS (F1Q23)'!AA21-'IS (F4Q2022)'!AA21</f>
        <v>-23.854845930348471</v>
      </c>
      <c r="AB21" s="170">
        <f>'IS (F1Q23)'!AB21-'IS (F4Q2022)'!AB21</f>
        <v>-98.522466165976823</v>
      </c>
      <c r="AC21" s="105">
        <f>'IS (F1Q23)'!AC21-'IS (F4Q2022)'!AC21</f>
        <v>-27.766646161080054</v>
      </c>
      <c r="AD21" s="105">
        <f>'IS (F1Q23)'!AD21-'IS (F4Q2022)'!AD21</f>
        <v>-34.269298285036655</v>
      </c>
      <c r="AE21" s="105">
        <f>'IS (F1Q23)'!AE21-'IS (F4Q2022)'!AE21</f>
        <v>-33.456531179268381</v>
      </c>
      <c r="AF21" s="105">
        <f>'IS (F1Q23)'!AF21-'IS (F4Q2022)'!AF21</f>
        <v>-33.871838972105181</v>
      </c>
      <c r="AG21" s="170">
        <f>'IS (F1Q23)'!AG21-'IS (F4Q2022)'!AG21</f>
        <v>-129.36431459749025</v>
      </c>
      <c r="AH21" s="105">
        <f>'IS (F1Q23)'!AH21-'IS (F4Q2022)'!AH21</f>
        <v>-36.283228635588237</v>
      </c>
      <c r="AI21" s="105">
        <f>'IS (F1Q23)'!AI21-'IS (F4Q2022)'!AI21</f>
        <v>-43.433430021372374</v>
      </c>
      <c r="AJ21" s="105">
        <f>'IS (F1Q23)'!AJ21-'IS (F4Q2022)'!AJ21</f>
        <v>-42.401571723003151</v>
      </c>
      <c r="AK21" s="105">
        <f>'IS (F1Q23)'!AK21-'IS (F4Q2022)'!AK21</f>
        <v>-41.327579167774957</v>
      </c>
      <c r="AL21" s="170">
        <f>'IS (F1Q23)'!AL21-'IS (F4Q2022)'!AL21</f>
        <v>-163.44580954773875</v>
      </c>
      <c r="AM21" s="105">
        <f>'IS (F1Q23)'!AM21-'IS (F4Q2022)'!AM21</f>
        <v>-11.739985139824988</v>
      </c>
      <c r="AN21" s="105">
        <f>'IS (F1Q23)'!AN21-'IS (F4Q2022)'!AN21</f>
        <v>-19.644369860240094</v>
      </c>
      <c r="AO21" s="105">
        <f>'IS (F1Q23)'!AO21-'IS (F4Q2022)'!AO21</f>
        <v>-19.706058330211867</v>
      </c>
      <c r="AP21" s="105">
        <f>'IS (F1Q23)'!AP21-'IS (F4Q2022)'!AP21</f>
        <v>-20.198148978643502</v>
      </c>
      <c r="AQ21" s="170">
        <f>'IS (F1Q23)'!AQ21-'IS (F4Q2022)'!AQ21</f>
        <v>-71.288562308920447</v>
      </c>
      <c r="AR21" s="105">
        <f>'IS (F1Q23)'!AR21-'IS (F4Q2022)'!AR21</f>
        <v>-23.606617679685137</v>
      </c>
      <c r="AS21" s="105">
        <f>'IS (F1Q23)'!AS21-'IS (F4Q2022)'!AS21</f>
        <v>-32.465882080776488</v>
      </c>
      <c r="AT21" s="105">
        <f>'IS (F1Q23)'!AT21-'IS (F4Q2022)'!AT21</f>
        <v>-31.098207624622006</v>
      </c>
      <c r="AU21" s="105">
        <f>'IS (F1Q23)'!AU21-'IS (F4Q2022)'!AU21</f>
        <v>-32.400519432493361</v>
      </c>
      <c r="AV21" s="170">
        <f>'IS (F1Q23)'!AV21-'IS (F4Q2022)'!AV21</f>
        <v>-119.571226817577</v>
      </c>
    </row>
    <row r="22" spans="1:48" ht="16.2" x14ac:dyDescent="0.45">
      <c r="B22" s="38" t="s">
        <v>38</v>
      </c>
      <c r="C22" s="356"/>
      <c r="D22" s="104">
        <f>'IS (F1Q23)'!D22-'IS (F4Q2022)'!D22</f>
        <v>0</v>
      </c>
      <c r="E22" s="104">
        <f>'IS (F1Q23)'!E22-'IS (F4Q2022)'!E22</f>
        <v>0</v>
      </c>
      <c r="F22" s="104">
        <f>'IS (F1Q23)'!F22-'IS (F4Q2022)'!F22</f>
        <v>0</v>
      </c>
      <c r="G22" s="104">
        <f>'IS (F1Q23)'!G22-'IS (F4Q2022)'!G22</f>
        <v>0</v>
      </c>
      <c r="H22" s="173">
        <f>'IS (F1Q23)'!H22-'IS (F4Q2022)'!H22</f>
        <v>0</v>
      </c>
      <c r="I22" s="104">
        <f>'IS (F1Q23)'!I22-'IS (F4Q2022)'!I22</f>
        <v>0</v>
      </c>
      <c r="J22" s="104">
        <f>'IS (F1Q23)'!J22-'IS (F4Q2022)'!J22</f>
        <v>0</v>
      </c>
      <c r="K22" s="104">
        <f>'IS (F1Q23)'!K22-'IS (F4Q2022)'!K22</f>
        <v>0</v>
      </c>
      <c r="L22" s="104">
        <f>'IS (F1Q23)'!L22-'IS (F4Q2022)'!L22</f>
        <v>0</v>
      </c>
      <c r="M22" s="173">
        <f>'IS (F1Q23)'!M22-'IS (F4Q2022)'!M22</f>
        <v>0</v>
      </c>
      <c r="N22" s="104">
        <f>'IS (F1Q23)'!N22-'IS (F4Q2022)'!N22</f>
        <v>0</v>
      </c>
      <c r="O22" s="104">
        <f>'IS (F1Q23)'!O22-'IS (F4Q2022)'!O22</f>
        <v>0</v>
      </c>
      <c r="P22" s="104">
        <f>'IS (F1Q23)'!P22-'IS (F4Q2022)'!P22</f>
        <v>0</v>
      </c>
      <c r="Q22" s="104">
        <f>'IS (F1Q23)'!Q22-'IS (F4Q2022)'!Q22</f>
        <v>0</v>
      </c>
      <c r="R22" s="173">
        <f>'IS (F1Q23)'!R22-'IS (F4Q2022)'!R22</f>
        <v>0</v>
      </c>
      <c r="S22" s="104">
        <f>'IS (F1Q23)'!S22-'IS (F4Q2022)'!S22</f>
        <v>0</v>
      </c>
      <c r="T22" s="104">
        <f>'IS (F1Q23)'!T22-'IS (F4Q2022)'!T22</f>
        <v>0</v>
      </c>
      <c r="U22" s="104">
        <f>'IS (F1Q23)'!U22-'IS (F4Q2022)'!U22</f>
        <v>0</v>
      </c>
      <c r="V22" s="104">
        <f>'IS (F1Q23)'!V22-'IS (F4Q2022)'!V22</f>
        <v>0</v>
      </c>
      <c r="W22" s="173">
        <f>'IS (F1Q23)'!W22-'IS (F4Q2022)'!W22</f>
        <v>0</v>
      </c>
      <c r="X22" s="104">
        <f>'IS (F1Q23)'!X22-'IS (F4Q2022)'!X22</f>
        <v>7.7999999999998977</v>
      </c>
      <c r="Y22" s="104">
        <f>'IS (F1Q23)'!Y22-'IS (F4Q2022)'!Y22</f>
        <v>-2.6000000000000796</v>
      </c>
      <c r="Z22" s="104">
        <f>'IS (F1Q23)'!Z22-'IS (F4Q2022)'!Z22</f>
        <v>-7.3025391933539652</v>
      </c>
      <c r="AA22" s="104">
        <f>'IS (F1Q23)'!AA22-'IS (F4Q2022)'!AA22</f>
        <v>-7.3025391933539368</v>
      </c>
      <c r="AB22" s="430">
        <f>'IS (F1Q23)'!AB22-'IS (F4Q2022)'!AB22</f>
        <v>-9.4050783867080554</v>
      </c>
      <c r="AC22" s="104">
        <f>'IS (F1Q23)'!AC22-'IS (F4Q2022)'!AC22</f>
        <v>-7.3408491933539324</v>
      </c>
      <c r="AD22" s="104">
        <f>'IS (F1Q23)'!AD22-'IS (F4Q2022)'!AD22</f>
        <v>-7.379159193353928</v>
      </c>
      <c r="AE22" s="104">
        <f>'IS (F1Q23)'!AE22-'IS (F4Q2022)'!AE22</f>
        <v>-7.4203011685066542</v>
      </c>
      <c r="AF22" s="104">
        <f>'IS (F1Q23)'!AF22-'IS (F4Q2022)'!AF22</f>
        <v>-7.4586411685066594</v>
      </c>
      <c r="AG22" s="173">
        <f>'IS (F1Q23)'!AG22-'IS (F4Q2022)'!AG22</f>
        <v>-29.598950723721259</v>
      </c>
      <c r="AH22" s="104">
        <f>'IS (F1Q23)'!AH22-'IS (F4Q2022)'!AH22</f>
        <v>-8.5102506059648988</v>
      </c>
      <c r="AI22" s="104">
        <f>'IS (F1Q23)'!AI22-'IS (F4Q2022)'!AI22</f>
        <v>-8.5585906059649233</v>
      </c>
      <c r="AJ22" s="104">
        <f>'IS (F1Q23)'!AJ22-'IS (F4Q2022)'!AJ22</f>
        <v>-8.6069306059649193</v>
      </c>
      <c r="AK22" s="104">
        <f>'IS (F1Q23)'!AK22-'IS (F4Q2022)'!AK22</f>
        <v>-26.956695102885362</v>
      </c>
      <c r="AL22" s="173">
        <f>'IS (F1Q23)'!AL22-'IS (F4Q2022)'!AL22</f>
        <v>-52.632466920780189</v>
      </c>
      <c r="AM22" s="104">
        <f>'IS (F1Q23)'!AM22-'IS (F4Q2022)'!AM22</f>
        <v>-26.956695102885362</v>
      </c>
      <c r="AN22" s="104">
        <f>'IS (F1Q23)'!AN22-'IS (F4Q2022)'!AN22</f>
        <v>-26.956695102885362</v>
      </c>
      <c r="AO22" s="104">
        <f>'IS (F1Q23)'!AO22-'IS (F4Q2022)'!AO22</f>
        <v>-16.770389327727912</v>
      </c>
      <c r="AP22" s="104">
        <f>'IS (F1Q23)'!AP22-'IS (F4Q2022)'!AP22</f>
        <v>-16.770389327727912</v>
      </c>
      <c r="AQ22" s="173">
        <f>'IS (F1Q23)'!AQ22-'IS (F4Q2022)'!AQ22</f>
        <v>-87.454168861226549</v>
      </c>
      <c r="AR22" s="104">
        <f>'IS (F1Q23)'!AR22-'IS (F4Q2022)'!AR22</f>
        <v>-16.770389327727912</v>
      </c>
      <c r="AS22" s="104">
        <f>'IS (F1Q23)'!AS22-'IS (F4Q2022)'!AS22</f>
        <v>-16.770389327727912</v>
      </c>
      <c r="AT22" s="104">
        <f>'IS (F1Q23)'!AT22-'IS (F4Q2022)'!AT22</f>
        <v>-16.770389327727912</v>
      </c>
      <c r="AU22" s="104">
        <f>'IS (F1Q23)'!AU22-'IS (F4Q2022)'!AU22</f>
        <v>-16.770389327727912</v>
      </c>
      <c r="AV22" s="173">
        <f>'IS (F1Q23)'!AV22-'IS (F4Q2022)'!AV22</f>
        <v>-67.081557310911649</v>
      </c>
    </row>
    <row r="23" spans="1:48" x14ac:dyDescent="0.3">
      <c r="B23" s="209" t="s">
        <v>11</v>
      </c>
      <c r="C23" s="479"/>
      <c r="D23" s="103">
        <f>'IS (F1Q23)'!D23-'IS (F4Q2022)'!D23</f>
        <v>0</v>
      </c>
      <c r="E23" s="103">
        <f>'IS (F1Q23)'!E23-'IS (F4Q2022)'!E23</f>
        <v>0</v>
      </c>
      <c r="F23" s="103">
        <f>'IS (F1Q23)'!F23-'IS (F4Q2022)'!F23</f>
        <v>0</v>
      </c>
      <c r="G23" s="103">
        <f>'IS (F1Q23)'!G23-'IS (F4Q2022)'!G23</f>
        <v>0</v>
      </c>
      <c r="H23" s="171">
        <f>'IS (F1Q23)'!H23-'IS (F4Q2022)'!H23</f>
        <v>0</v>
      </c>
      <c r="I23" s="103">
        <f>'IS (F1Q23)'!I23-'IS (F4Q2022)'!I23</f>
        <v>0</v>
      </c>
      <c r="J23" s="103">
        <f>'IS (F1Q23)'!J23-'IS (F4Q2022)'!J23</f>
        <v>0</v>
      </c>
      <c r="K23" s="103">
        <f>'IS (F1Q23)'!K23-'IS (F4Q2022)'!K23</f>
        <v>0</v>
      </c>
      <c r="L23" s="50">
        <f>'IS (F1Q23)'!L23-'IS (F4Q2022)'!L23</f>
        <v>0</v>
      </c>
      <c r="M23" s="51">
        <f>'IS (F1Q23)'!M23-'IS (F4Q2022)'!M23</f>
        <v>0</v>
      </c>
      <c r="N23" s="50">
        <f>'IS (F1Q23)'!N23-'IS (F4Q2022)'!N23</f>
        <v>0</v>
      </c>
      <c r="O23" s="103">
        <f>'IS (F1Q23)'!O23-'IS (F4Q2022)'!O23</f>
        <v>0</v>
      </c>
      <c r="P23" s="103">
        <f>'IS (F1Q23)'!P23-'IS (F4Q2022)'!P23</f>
        <v>0</v>
      </c>
      <c r="Q23" s="103">
        <f>'IS (F1Q23)'!Q23-'IS (F4Q2022)'!Q23</f>
        <v>0</v>
      </c>
      <c r="R23" s="171">
        <f>'IS (F1Q23)'!R23-'IS (F4Q2022)'!R23</f>
        <v>0</v>
      </c>
      <c r="S23" s="50">
        <f>'IS (F1Q23)'!S23-'IS (F4Q2022)'!S23</f>
        <v>0</v>
      </c>
      <c r="T23" s="50">
        <f>'IS (F1Q23)'!T23-'IS (F4Q2022)'!T23</f>
        <v>0</v>
      </c>
      <c r="U23" s="50">
        <f>'IS (F1Q23)'!U23-'IS (F4Q2022)'!U23</f>
        <v>0</v>
      </c>
      <c r="V23" s="50">
        <f>'IS (F1Q23)'!V23-'IS (F4Q2022)'!V23</f>
        <v>0</v>
      </c>
      <c r="W23" s="171">
        <f>'IS (F1Q23)'!W23-'IS (F4Q2022)'!W23</f>
        <v>0</v>
      </c>
      <c r="X23" s="50">
        <f>'IS (F1Q23)'!X23-'IS (F4Q2022)'!X23</f>
        <v>33.675845821582698</v>
      </c>
      <c r="Y23" s="50">
        <f>'IS (F1Q23)'!Y23-'IS (F4Q2022)'!Y23</f>
        <v>-158.3850134695781</v>
      </c>
      <c r="Z23" s="50">
        <f>'IS (F1Q23)'!Z23-'IS (F4Q2022)'!Z23</f>
        <v>30.819180869430056</v>
      </c>
      <c r="AA23" s="50">
        <f>'IS (F1Q23)'!AA23-'IS (F4Q2022)'!AA23</f>
        <v>106.99491483860947</v>
      </c>
      <c r="AB23" s="51">
        <f>'IS (F1Q23)'!AB23-'IS (F4Q2022)'!AB23</f>
        <v>13.104928060049133</v>
      </c>
      <c r="AC23" s="50">
        <f>'IS (F1Q23)'!AC23-'IS (F4Q2022)'!AC23</f>
        <v>-52.533121282127013</v>
      </c>
      <c r="AD23" s="50">
        <f>'IS (F1Q23)'!AD23-'IS (F4Q2022)'!AD23</f>
        <v>-203.59527733344089</v>
      </c>
      <c r="AE23" s="50">
        <f>'IS (F1Q23)'!AE23-'IS (F4Q2022)'!AE23</f>
        <v>39.930337512100095</v>
      </c>
      <c r="AF23" s="50">
        <f>'IS (F1Q23)'!AF23-'IS (F4Q2022)'!AF23</f>
        <v>127.93736956062548</v>
      </c>
      <c r="AG23" s="51">
        <f>'IS (F1Q23)'!AG23-'IS (F4Q2022)'!AG23</f>
        <v>-88.260691542853237</v>
      </c>
      <c r="AH23" s="50">
        <f>'IS (F1Q23)'!AH23-'IS (F4Q2022)'!AH23</f>
        <v>-75.521665883544983</v>
      </c>
      <c r="AI23" s="50">
        <f>'IS (F1Q23)'!AI23-'IS (F4Q2022)'!AI23</f>
        <v>-240.06197255574102</v>
      </c>
      <c r="AJ23" s="50">
        <f>'IS (F1Q23)'!AJ23-'IS (F4Q2022)'!AJ23</f>
        <v>46.663297546384683</v>
      </c>
      <c r="AK23" s="50">
        <f>'IS (F1Q23)'!AK23-'IS (F4Q2022)'!AK23</f>
        <v>131.65471784025999</v>
      </c>
      <c r="AL23" s="51">
        <f>'IS (F1Q23)'!AL23-'IS (F4Q2022)'!AL23</f>
        <v>-137.2656230526436</v>
      </c>
      <c r="AM23" s="50">
        <f>'IS (F1Q23)'!AM23-'IS (F4Q2022)'!AM23</f>
        <v>-82.857971016734837</v>
      </c>
      <c r="AN23" s="50">
        <f>'IS (F1Q23)'!AN23-'IS (F4Q2022)'!AN23</f>
        <v>-257.77591799995957</v>
      </c>
      <c r="AO23" s="50">
        <f>'IS (F1Q23)'!AO23-'IS (F4Q2022)'!AO23</f>
        <v>75.094167869457806</v>
      </c>
      <c r="AP23" s="50">
        <f>'IS (F1Q23)'!AP23-'IS (F4Q2022)'!AP23</f>
        <v>185.39537510149717</v>
      </c>
      <c r="AQ23" s="51">
        <f>'IS (F1Q23)'!AQ23-'IS (F4Q2022)'!AQ23</f>
        <v>-80.144346045719431</v>
      </c>
      <c r="AR23" s="50">
        <f>'IS (F1Q23)'!AR23-'IS (F4Q2022)'!AR23</f>
        <v>-92.491338989508677</v>
      </c>
      <c r="AS23" s="50">
        <f>'IS (F1Q23)'!AS23-'IS (F4Q2022)'!AS23</f>
        <v>-274.60073340090526</v>
      </c>
      <c r="AT23" s="50">
        <f>'IS (F1Q23)'!AT23-'IS (F4Q2022)'!AT23</f>
        <v>73.173608579544634</v>
      </c>
      <c r="AU23" s="50">
        <f>'IS (F1Q23)'!AU23-'IS (F4Q2022)'!AU23</f>
        <v>190.76497162384931</v>
      </c>
      <c r="AV23" s="51">
        <f>'IS (F1Q23)'!AV23-'IS (F4Q2022)'!AV23</f>
        <v>-103.15349218701976</v>
      </c>
    </row>
    <row r="24" spans="1:48" ht="16.2" x14ac:dyDescent="0.45">
      <c r="B24" s="595" t="s">
        <v>5</v>
      </c>
      <c r="C24" s="596"/>
      <c r="D24" s="104">
        <f>'IS (F1Q23)'!D24-'IS (F4Q2022)'!D24</f>
        <v>0</v>
      </c>
      <c r="E24" s="104">
        <f>'IS (F1Q23)'!E24-'IS (F4Q2022)'!E24</f>
        <v>0</v>
      </c>
      <c r="F24" s="104">
        <f>'IS (F1Q23)'!F24-'IS (F4Q2022)'!F24</f>
        <v>0</v>
      </c>
      <c r="G24" s="104">
        <f>'IS (F1Q23)'!G24-'IS (F4Q2022)'!G24</f>
        <v>0</v>
      </c>
      <c r="H24" s="173">
        <f>'IS (F1Q23)'!H24-'IS (F4Q2022)'!H24</f>
        <v>0</v>
      </c>
      <c r="I24" s="104">
        <f>'IS (F1Q23)'!I24-'IS (F4Q2022)'!I24</f>
        <v>0</v>
      </c>
      <c r="J24" s="104">
        <f>'IS (F1Q23)'!J24-'IS (F4Q2022)'!J24</f>
        <v>0</v>
      </c>
      <c r="K24" s="104">
        <f>'IS (F1Q23)'!K24-'IS (F4Q2022)'!K24</f>
        <v>0</v>
      </c>
      <c r="L24" s="52">
        <f>'IS (F1Q23)'!L24-'IS (F4Q2022)'!L24</f>
        <v>0</v>
      </c>
      <c r="M24" s="53">
        <f>'IS (F1Q23)'!M24-'IS (F4Q2022)'!M24</f>
        <v>0</v>
      </c>
      <c r="N24" s="52">
        <f>'IS (F1Q23)'!N24-'IS (F4Q2022)'!N24</f>
        <v>0</v>
      </c>
      <c r="O24" s="104">
        <f>'IS (F1Q23)'!O24-'IS (F4Q2022)'!O24</f>
        <v>0</v>
      </c>
      <c r="P24" s="104">
        <f>'IS (F1Q23)'!P24-'IS (F4Q2022)'!P24</f>
        <v>0</v>
      </c>
      <c r="Q24" s="104">
        <f>'IS (F1Q23)'!Q24-'IS (F4Q2022)'!Q24</f>
        <v>0</v>
      </c>
      <c r="R24" s="173">
        <f>'IS (F1Q23)'!R24-'IS (F4Q2022)'!R24</f>
        <v>0</v>
      </c>
      <c r="S24" s="52">
        <f>'IS (F1Q23)'!S24-'IS (F4Q2022)'!S24</f>
        <v>0</v>
      </c>
      <c r="T24" s="52">
        <f>'IS (F1Q23)'!T24-'IS (F4Q2022)'!T24</f>
        <v>0</v>
      </c>
      <c r="U24" s="52">
        <f>'IS (F1Q23)'!U24-'IS (F4Q2022)'!U24</f>
        <v>0</v>
      </c>
      <c r="V24" s="52">
        <f>'IS (F1Q23)'!V24-'IS (F4Q2022)'!V24</f>
        <v>0</v>
      </c>
      <c r="W24" s="173">
        <f>'IS (F1Q23)'!W24-'IS (F4Q2022)'!W24</f>
        <v>0</v>
      </c>
      <c r="X24" s="52">
        <f>'IS (F1Q23)'!X24-'IS (F4Q2022)'!X24</f>
        <v>9.9755822262879974</v>
      </c>
      <c r="Y24" s="52">
        <f>'IS (F1Q23)'!Y24-'IS (F4Q2022)'!Y24</f>
        <v>-38.80432830004662</v>
      </c>
      <c r="Z24" s="52">
        <f>'IS (F1Q23)'!Z24-'IS (F4Q2022)'!Z24</f>
        <v>7.550699313010341</v>
      </c>
      <c r="AA24" s="52">
        <f>'IS (F1Q23)'!AA24-'IS (F4Q2022)'!AA24</f>
        <v>26.21375413545934</v>
      </c>
      <c r="AB24" s="53">
        <f>'IS (F1Q23)'!AB24-'IS (F4Q2022)'!AB24</f>
        <v>4.9357073747110007</v>
      </c>
      <c r="AC24" s="52">
        <f>'IS (F1Q23)'!AC24-'IS (F4Q2022)'!AC24</f>
        <v>-12.309170942607068</v>
      </c>
      <c r="AD24" s="52">
        <f>'IS (F1Q23)'!AD24-'IS (F4Q2022)'!AD24</f>
        <v>-49.777972513083512</v>
      </c>
      <c r="AE24" s="52">
        <f>'IS (F1Q23)'!AE24-'IS (F4Q2022)'!AE24</f>
        <v>9.9763402382163804</v>
      </c>
      <c r="AF24" s="52">
        <f>'IS (F1Q23)'!AF24-'IS (F4Q2022)'!AF24</f>
        <v>31.601491709481991</v>
      </c>
      <c r="AG24" s="53">
        <f>'IS (F1Q23)'!AG24-'IS (F4Q2022)'!AG24</f>
        <v>-20.509311507992152</v>
      </c>
      <c r="AH24" s="52">
        <f>'IS (F1Q23)'!AH24-'IS (F4Q2022)'!AH24</f>
        <v>-18.184676427098339</v>
      </c>
      <c r="AI24" s="52">
        <f>'IS (F1Q23)'!AI24-'IS (F4Q2022)'!AI24</f>
        <v>-58.63979067686364</v>
      </c>
      <c r="AJ24" s="52">
        <f>'IS (F1Q23)'!AJ24-'IS (F4Q2022)'!AJ24</f>
        <v>11.724462763969655</v>
      </c>
      <c r="AK24" s="52">
        <f>'IS (F1Q23)'!AK24-'IS (F4Q2022)'!AK24</f>
        <v>32.559050173733851</v>
      </c>
      <c r="AL24" s="53">
        <f>'IS (F1Q23)'!AL24-'IS (F4Q2022)'!AL24</f>
        <v>-32.540954166258643</v>
      </c>
      <c r="AM24" s="52">
        <f>'IS (F1Q23)'!AM24-'IS (F4Q2022)'!AM24</f>
        <v>-20.01377131675099</v>
      </c>
      <c r="AN24" s="52">
        <f>'IS (F1Q23)'!AN24-'IS (F4Q2022)'!AN24</f>
        <v>-62.953788730867529</v>
      </c>
      <c r="AO24" s="52">
        <f>'IS (F1Q23)'!AO24-'IS (F4Q2022)'!AO24</f>
        <v>18.719140623063197</v>
      </c>
      <c r="AP24" s="52">
        <f>'IS (F1Q23)'!AP24-'IS (F4Q2022)'!AP24</f>
        <v>45.751939461996528</v>
      </c>
      <c r="AQ24" s="53">
        <f>'IS (F1Q23)'!AQ24-'IS (F4Q2022)'!AQ24</f>
        <v>-18.496479962558851</v>
      </c>
      <c r="AR24" s="52">
        <f>'IS (F1Q23)'!AR24-'IS (F4Q2022)'!AR24</f>
        <v>-22.3611463790985</v>
      </c>
      <c r="AS24" s="52">
        <f>'IS (F1Q23)'!AS24-'IS (F4Q2022)'!AS24</f>
        <v>-67.05671566707889</v>
      </c>
      <c r="AT24" s="52">
        <f>'IS (F1Q23)'!AT24-'IS (F4Q2022)'!AT24</f>
        <v>18.271249077015568</v>
      </c>
      <c r="AU24" s="52">
        <f>'IS (F1Q23)'!AU24-'IS (F4Q2022)'!AU24</f>
        <v>47.088406136480785</v>
      </c>
      <c r="AV24" s="53">
        <f>'IS (F1Q23)'!AV24-'IS (F4Q2022)'!AV24</f>
        <v>-24.058206832681208</v>
      </c>
    </row>
    <row r="25" spans="1:48" x14ac:dyDescent="0.3">
      <c r="A25" s="23"/>
      <c r="B25" s="593" t="s">
        <v>39</v>
      </c>
      <c r="C25" s="594"/>
      <c r="D25" s="103">
        <f>'IS (F1Q23)'!D25-'IS (F4Q2022)'!D25</f>
        <v>0</v>
      </c>
      <c r="E25" s="103">
        <f>'IS (F1Q23)'!E25-'IS (F4Q2022)'!E25</f>
        <v>0</v>
      </c>
      <c r="F25" s="103">
        <f>'IS (F1Q23)'!F25-'IS (F4Q2022)'!F25</f>
        <v>0</v>
      </c>
      <c r="G25" s="103">
        <f>'IS (F1Q23)'!G25-'IS (F4Q2022)'!G25</f>
        <v>0</v>
      </c>
      <c r="H25" s="171">
        <f>'IS (F1Q23)'!H25-'IS (F4Q2022)'!H25</f>
        <v>0</v>
      </c>
      <c r="I25" s="103">
        <f>'IS (F1Q23)'!I25-'IS (F4Q2022)'!I25</f>
        <v>0</v>
      </c>
      <c r="J25" s="103">
        <f>'IS (F1Q23)'!J25-'IS (F4Q2022)'!J25</f>
        <v>0</v>
      </c>
      <c r="K25" s="103">
        <f>'IS (F1Q23)'!K25-'IS (F4Q2022)'!K25</f>
        <v>0</v>
      </c>
      <c r="L25" s="50">
        <f>'IS (F1Q23)'!L25-'IS (F4Q2022)'!L25</f>
        <v>0</v>
      </c>
      <c r="M25" s="51">
        <f>'IS (F1Q23)'!M25-'IS (F4Q2022)'!M25</f>
        <v>0</v>
      </c>
      <c r="N25" s="50">
        <f>'IS (F1Q23)'!N25-'IS (F4Q2022)'!N25</f>
        <v>0</v>
      </c>
      <c r="O25" s="103">
        <f>'IS (F1Q23)'!O25-'IS (F4Q2022)'!O25</f>
        <v>0</v>
      </c>
      <c r="P25" s="103">
        <f>'IS (F1Q23)'!P25-'IS (F4Q2022)'!P25</f>
        <v>0</v>
      </c>
      <c r="Q25" s="103">
        <f>'IS (F1Q23)'!Q25-'IS (F4Q2022)'!Q25</f>
        <v>0</v>
      </c>
      <c r="R25" s="171">
        <f>'IS (F1Q23)'!R25-'IS (F4Q2022)'!R25</f>
        <v>0</v>
      </c>
      <c r="S25" s="50">
        <f>'IS (F1Q23)'!S25-'IS (F4Q2022)'!S25</f>
        <v>0</v>
      </c>
      <c r="T25" s="50">
        <f>'IS (F1Q23)'!T25-'IS (F4Q2022)'!T25</f>
        <v>0</v>
      </c>
      <c r="U25" s="50">
        <f>'IS (F1Q23)'!U25-'IS (F4Q2022)'!U25</f>
        <v>0</v>
      </c>
      <c r="V25" s="50">
        <f>'IS (F1Q23)'!V25-'IS (F4Q2022)'!V25</f>
        <v>0</v>
      </c>
      <c r="W25" s="171">
        <f>'IS (F1Q23)'!W25-'IS (F4Q2022)'!W25</f>
        <v>0</v>
      </c>
      <c r="X25" s="50">
        <f>'IS (F1Q23)'!X25-'IS (F4Q2022)'!X25</f>
        <v>23.7002635952947</v>
      </c>
      <c r="Y25" s="50">
        <f>'IS (F1Q23)'!Y25-'IS (F4Q2022)'!Y25</f>
        <v>-119.58068516953142</v>
      </c>
      <c r="Z25" s="50">
        <f>'IS (F1Q23)'!Z25-'IS (F4Q2022)'!Z25</f>
        <v>23.268481556419601</v>
      </c>
      <c r="AA25" s="50">
        <f>'IS (F1Q23)'!AA25-'IS (F4Q2022)'!AA25</f>
        <v>80.781160703150363</v>
      </c>
      <c r="AB25" s="51">
        <f>'IS (F1Q23)'!AB25-'IS (F4Q2022)'!AB25</f>
        <v>8.1692206853381322</v>
      </c>
      <c r="AC25" s="50">
        <f>'IS (F1Q23)'!AC25-'IS (F4Q2022)'!AC25</f>
        <v>-40.223950339519888</v>
      </c>
      <c r="AD25" s="50">
        <f>'IS (F1Q23)'!AD25-'IS (F4Q2022)'!AD25</f>
        <v>-153.81730482035744</v>
      </c>
      <c r="AE25" s="50">
        <f>'IS (F1Q23)'!AE25-'IS (F4Q2022)'!AE25</f>
        <v>29.953997273883942</v>
      </c>
      <c r="AF25" s="103">
        <f>'IS (F1Q23)'!AF25-'IS (F4Q2022)'!AF25</f>
        <v>96.335877851143323</v>
      </c>
      <c r="AG25" s="171">
        <f>'IS (F1Q23)'!AG25-'IS (F4Q2022)'!AG25</f>
        <v>-67.751380034860631</v>
      </c>
      <c r="AH25" s="103">
        <f>'IS (F1Q23)'!AH25-'IS (F4Q2022)'!AH25</f>
        <v>-57.336989456446645</v>
      </c>
      <c r="AI25" s="103">
        <f>'IS (F1Q23)'!AI25-'IS (F4Q2022)'!AI25</f>
        <v>-181.42218187887727</v>
      </c>
      <c r="AJ25" s="103">
        <f>'IS (F1Q23)'!AJ25-'IS (F4Q2022)'!AJ25</f>
        <v>34.938834782415142</v>
      </c>
      <c r="AK25" s="103">
        <f>'IS (F1Q23)'!AK25-'IS (F4Q2022)'!AK25</f>
        <v>99.095667666525969</v>
      </c>
      <c r="AL25" s="51">
        <f>'IS (F1Q23)'!AL25-'IS (F4Q2022)'!AL25</f>
        <v>-104.72466888638519</v>
      </c>
      <c r="AM25" s="103">
        <f>'IS (F1Q23)'!AM25-'IS (F4Q2022)'!AM25</f>
        <v>-62.844199699983847</v>
      </c>
      <c r="AN25" s="103">
        <f>'IS (F1Q23)'!AN25-'IS (F4Q2022)'!AN25</f>
        <v>-194.8221292690921</v>
      </c>
      <c r="AO25" s="103">
        <f>'IS (F1Q23)'!AO25-'IS (F4Q2022)'!AO25</f>
        <v>56.375027246394666</v>
      </c>
      <c r="AP25" s="103">
        <f>'IS (F1Q23)'!AP25-'IS (F4Q2022)'!AP25</f>
        <v>139.64343563950069</v>
      </c>
      <c r="AQ25" s="51">
        <f>'IS (F1Q23)'!AQ25-'IS (F4Q2022)'!AQ25</f>
        <v>-61.647866083160807</v>
      </c>
      <c r="AR25" s="103">
        <f>'IS (F1Q23)'!AR25-'IS (F4Q2022)'!AR25</f>
        <v>-70.130192610410177</v>
      </c>
      <c r="AS25" s="103">
        <f>'IS (F1Q23)'!AS25-'IS (F4Q2022)'!AS25</f>
        <v>-207.54401773382642</v>
      </c>
      <c r="AT25" s="103">
        <f>'IS (F1Q23)'!AT25-'IS (F4Q2022)'!AT25</f>
        <v>54.902359502528952</v>
      </c>
      <c r="AU25" s="103">
        <f>'IS (F1Q23)'!AU25-'IS (F4Q2022)'!AU25</f>
        <v>143.67656548736841</v>
      </c>
      <c r="AV25" s="51">
        <f>'IS (F1Q23)'!AV25-'IS (F4Q2022)'!AV25</f>
        <v>-79.095285354338557</v>
      </c>
    </row>
    <row r="26" spans="1:48" ht="16.2" x14ac:dyDescent="0.45">
      <c r="A26" s="23"/>
      <c r="B26" s="210" t="s">
        <v>40</v>
      </c>
      <c r="C26" s="201"/>
      <c r="D26" s="104">
        <f>'IS (F1Q23)'!D26-'IS (F4Q2022)'!D26</f>
        <v>0</v>
      </c>
      <c r="E26" s="104">
        <f>'IS (F1Q23)'!E26-'IS (F4Q2022)'!E26</f>
        <v>0</v>
      </c>
      <c r="F26" s="104">
        <f>'IS (F1Q23)'!F26-'IS (F4Q2022)'!F26</f>
        <v>0</v>
      </c>
      <c r="G26" s="104">
        <f>'IS (F1Q23)'!G26-'IS (F4Q2022)'!G26</f>
        <v>0</v>
      </c>
      <c r="H26" s="173">
        <f>'IS (F1Q23)'!H26-'IS (F4Q2022)'!H26</f>
        <v>0</v>
      </c>
      <c r="I26" s="104">
        <f>'IS (F1Q23)'!I26-'IS (F4Q2022)'!I26</f>
        <v>0</v>
      </c>
      <c r="J26" s="104">
        <f>'IS (F1Q23)'!J26-'IS (F4Q2022)'!J26</f>
        <v>0</v>
      </c>
      <c r="K26" s="104">
        <f>'IS (F1Q23)'!K26-'IS (F4Q2022)'!K26</f>
        <v>0</v>
      </c>
      <c r="L26" s="104">
        <f>'IS (F1Q23)'!L26-'IS (F4Q2022)'!L26</f>
        <v>0</v>
      </c>
      <c r="M26" s="173">
        <f>'IS (F1Q23)'!M26-'IS (F4Q2022)'!M26</f>
        <v>0</v>
      </c>
      <c r="N26" s="104">
        <f>'IS (F1Q23)'!N26-'IS (F4Q2022)'!N26</f>
        <v>0</v>
      </c>
      <c r="O26" s="104">
        <f>'IS (F1Q23)'!O26-'IS (F4Q2022)'!O26</f>
        <v>0</v>
      </c>
      <c r="P26" s="104">
        <f>'IS (F1Q23)'!P26-'IS (F4Q2022)'!P26</f>
        <v>0</v>
      </c>
      <c r="Q26" s="104">
        <f>'IS (F1Q23)'!Q26-'IS (F4Q2022)'!Q26</f>
        <v>0</v>
      </c>
      <c r="R26" s="173">
        <f>'IS (F1Q23)'!R26-'IS (F4Q2022)'!R26</f>
        <v>0</v>
      </c>
      <c r="S26" s="104">
        <f>'IS (F1Q23)'!S26-'IS (F4Q2022)'!S26</f>
        <v>0</v>
      </c>
      <c r="T26" s="104">
        <f>'IS (F1Q23)'!T26-'IS (F4Q2022)'!T26</f>
        <v>0</v>
      </c>
      <c r="U26" s="104">
        <f>'IS (F1Q23)'!U26-'IS (F4Q2022)'!U26</f>
        <v>0</v>
      </c>
      <c r="V26" s="104">
        <f>'IS (F1Q23)'!V26-'IS (F4Q2022)'!V26</f>
        <v>0</v>
      </c>
      <c r="W26" s="173">
        <f>'IS (F1Q23)'!W26-'IS (F4Q2022)'!W26</f>
        <v>0</v>
      </c>
      <c r="X26" s="104">
        <f>'IS (F1Q23)'!X26-'IS (F4Q2022)'!X26</f>
        <v>-0.44999999999999996</v>
      </c>
      <c r="Y26" s="104">
        <f>'IS (F1Q23)'!Y26-'IS (F4Q2022)'!Y26</f>
        <v>-0.11249999999999999</v>
      </c>
      <c r="Z26" s="104">
        <f>'IS (F1Q23)'!Z26-'IS (F4Q2022)'!Z26</f>
        <v>-0.140625</v>
      </c>
      <c r="AA26" s="104">
        <f>'IS (F1Q23)'!AA26-'IS (F4Q2022)'!AA26</f>
        <v>-0.17578125</v>
      </c>
      <c r="AB26" s="173">
        <f>'IS (F1Q23)'!AB26-'IS (F4Q2022)'!AB26</f>
        <v>-0.87890624999999956</v>
      </c>
      <c r="AC26" s="104">
        <f>'IS (F1Q23)'!AC26-'IS (F4Q2022)'!AC26</f>
        <v>-0.21972656250000006</v>
      </c>
      <c r="AD26" s="104">
        <f>'IS (F1Q23)'!AD26-'IS (F4Q2022)'!AD26</f>
        <v>-0.16215820312500007</v>
      </c>
      <c r="AE26" s="104">
        <f>'IS (F1Q23)'!AE26-'IS (F4Q2022)'!AE26</f>
        <v>-0.17457275390625004</v>
      </c>
      <c r="AF26" s="104">
        <f>'IS (F1Q23)'!AF26-'IS (F4Q2022)'!AF26</f>
        <v>-0.1830596923828125</v>
      </c>
      <c r="AG26" s="173">
        <f>'IS (F1Q23)'!AG26-'IS (F4Q2022)'!AG26</f>
        <v>-0.7395172119140625</v>
      </c>
      <c r="AH26" s="104">
        <f>'IS (F1Q23)'!AH26-'IS (F4Q2022)'!AH26</f>
        <v>-0.18487930297851574</v>
      </c>
      <c r="AI26" s="104">
        <f>'IS (F1Q23)'!AI26-'IS (F4Q2022)'!AI26</f>
        <v>-0.17616748809814464</v>
      </c>
      <c r="AJ26" s="104">
        <f>'IS (F1Q23)'!AJ26-'IS (F4Q2022)'!AJ26</f>
        <v>-0.17966980934143073</v>
      </c>
      <c r="AK26" s="104">
        <f>'IS (F1Q23)'!AK26-'IS (F4Q2022)'!AK26</f>
        <v>-0.18094407320022587</v>
      </c>
      <c r="AL26" s="53">
        <f>'IS (F1Q23)'!AL26-'IS (F4Q2022)'!AL26</f>
        <v>-0.72166067361831709</v>
      </c>
      <c r="AM26" s="104">
        <f>'IS (F1Q23)'!AM26-'IS (F4Q2022)'!AM26</f>
        <v>-0.18041516840457927</v>
      </c>
      <c r="AN26" s="104">
        <f>'IS (F1Q23)'!AN26-'IS (F4Q2022)'!AN26</f>
        <v>-0.17929913476109516</v>
      </c>
      <c r="AO26" s="104">
        <f>'IS (F1Q23)'!AO26-'IS (F4Q2022)'!AO26</f>
        <v>-0.18008204642683279</v>
      </c>
      <c r="AP26" s="104">
        <f>'IS (F1Q23)'!AP26-'IS (F4Q2022)'!AP26</f>
        <v>-0.18018510569818325</v>
      </c>
      <c r="AQ26" s="53">
        <f>'IS (F1Q23)'!AQ26-'IS (F4Q2022)'!AQ26</f>
        <v>-0.71998145529069024</v>
      </c>
      <c r="AR26" s="104">
        <f>'IS (F1Q23)'!AR26-'IS (F4Q2022)'!AR26</f>
        <v>-0.17999536382267256</v>
      </c>
      <c r="AS26" s="104">
        <f>'IS (F1Q23)'!AS26-'IS (F4Q2022)'!AS26</f>
        <v>-0.17989041267719597</v>
      </c>
      <c r="AT26" s="104">
        <f>'IS (F1Q23)'!AT26-'IS (F4Q2022)'!AT26</f>
        <v>-0.18003823215622117</v>
      </c>
      <c r="AU26" s="104">
        <f>'IS (F1Q23)'!AU26-'IS (F4Q2022)'!AU26</f>
        <v>-0.18002727858856826</v>
      </c>
      <c r="AV26" s="53">
        <f>'IS (F1Q23)'!AV26-'IS (F4Q2022)'!AV26</f>
        <v>-0.71995128724465784</v>
      </c>
    </row>
    <row r="27" spans="1:48" s="8" customFormat="1" x14ac:dyDescent="0.3">
      <c r="A27" s="20"/>
      <c r="B27" s="209" t="s">
        <v>16</v>
      </c>
      <c r="C27" s="202"/>
      <c r="D27" s="103">
        <f>'IS (F1Q23)'!D27-'IS (F4Q2022)'!D27</f>
        <v>0</v>
      </c>
      <c r="E27" s="103">
        <f>'IS (F1Q23)'!E27-'IS (F4Q2022)'!E27</f>
        <v>0</v>
      </c>
      <c r="F27" s="103">
        <f>'IS (F1Q23)'!F27-'IS (F4Q2022)'!F27</f>
        <v>0</v>
      </c>
      <c r="G27" s="103">
        <f>'IS (F1Q23)'!G27-'IS (F4Q2022)'!G27</f>
        <v>0</v>
      </c>
      <c r="H27" s="171">
        <f>'IS (F1Q23)'!H27-'IS (F4Q2022)'!H27</f>
        <v>0</v>
      </c>
      <c r="I27" s="103">
        <f>'IS (F1Q23)'!I27-'IS (F4Q2022)'!I27</f>
        <v>0</v>
      </c>
      <c r="J27" s="103">
        <f>'IS (F1Q23)'!J27-'IS (F4Q2022)'!J27</f>
        <v>0</v>
      </c>
      <c r="K27" s="103">
        <f>'IS (F1Q23)'!K27-'IS (F4Q2022)'!K27</f>
        <v>0</v>
      </c>
      <c r="L27" s="50">
        <f>'IS (F1Q23)'!L27-'IS (F4Q2022)'!L27</f>
        <v>0</v>
      </c>
      <c r="M27" s="51">
        <f>'IS (F1Q23)'!M27-'IS (F4Q2022)'!M27</f>
        <v>0</v>
      </c>
      <c r="N27" s="50">
        <f>'IS (F1Q23)'!N27-'IS (F4Q2022)'!N27</f>
        <v>0</v>
      </c>
      <c r="O27" s="103">
        <f>'IS (F1Q23)'!O27-'IS (F4Q2022)'!O27</f>
        <v>0</v>
      </c>
      <c r="P27" s="103">
        <f>'IS (F1Q23)'!P27-'IS (F4Q2022)'!P27</f>
        <v>0</v>
      </c>
      <c r="Q27" s="103">
        <f>'IS (F1Q23)'!Q27-'IS (F4Q2022)'!Q27</f>
        <v>0</v>
      </c>
      <c r="R27" s="171">
        <f>'IS (F1Q23)'!R27-'IS (F4Q2022)'!R27</f>
        <v>0</v>
      </c>
      <c r="S27" s="50">
        <f>'IS (F1Q23)'!S27-'IS (F4Q2022)'!S27</f>
        <v>0</v>
      </c>
      <c r="T27" s="50">
        <f>'IS (F1Q23)'!T27-'IS (F4Q2022)'!T27</f>
        <v>0</v>
      </c>
      <c r="U27" s="50">
        <f>'IS (F1Q23)'!U27-'IS (F4Q2022)'!U27</f>
        <v>0</v>
      </c>
      <c r="V27" s="103">
        <f>'IS (F1Q23)'!V27-'IS (F4Q2022)'!V27</f>
        <v>0</v>
      </c>
      <c r="W27" s="171">
        <f>'IS (F1Q23)'!W27-'IS (F4Q2022)'!W27</f>
        <v>0</v>
      </c>
      <c r="X27" s="50">
        <f>'IS (F1Q23)'!X27-'IS (F4Q2022)'!X27</f>
        <v>24.150263595294746</v>
      </c>
      <c r="Y27" s="50">
        <f>'IS (F1Q23)'!Y27-'IS (F4Q2022)'!Y27</f>
        <v>-119.46818516953135</v>
      </c>
      <c r="Z27" s="50">
        <f>'IS (F1Q23)'!Z27-'IS (F4Q2022)'!Z27</f>
        <v>23.409106556419601</v>
      </c>
      <c r="AA27" s="50">
        <f>'IS (F1Q23)'!AA27-'IS (F4Q2022)'!AA27</f>
        <v>80.956941953150363</v>
      </c>
      <c r="AB27" s="51">
        <f>'IS (F1Q23)'!AB27-'IS (F4Q2022)'!AB27</f>
        <v>9.0481269353381322</v>
      </c>
      <c r="AC27" s="50">
        <f>'IS (F1Q23)'!AC27-'IS (F4Q2022)'!AC27</f>
        <v>-40.004223777019888</v>
      </c>
      <c r="AD27" s="50">
        <f>'IS (F1Q23)'!AD27-'IS (F4Q2022)'!AD27</f>
        <v>-153.65514661723239</v>
      </c>
      <c r="AE27" s="50">
        <f>'IS (F1Q23)'!AE27-'IS (F4Q2022)'!AE27</f>
        <v>30.128570027790147</v>
      </c>
      <c r="AF27" s="50">
        <f>'IS (F1Q23)'!AF27-'IS (F4Q2022)'!AF27</f>
        <v>96.518937543526135</v>
      </c>
      <c r="AG27" s="51">
        <f>'IS (F1Q23)'!AG27-'IS (F4Q2022)'!AG27</f>
        <v>-67.011862822946568</v>
      </c>
      <c r="AH27" s="50">
        <f>'IS (F1Q23)'!AH27-'IS (F4Q2022)'!AH27</f>
        <v>-57.152110153468129</v>
      </c>
      <c r="AI27" s="50">
        <f>'IS (F1Q23)'!AI27-'IS (F4Q2022)'!AI27</f>
        <v>-181.24601439077912</v>
      </c>
      <c r="AJ27" s="50">
        <f>'IS (F1Q23)'!AJ27-'IS (F4Q2022)'!AJ27</f>
        <v>35.118504591756619</v>
      </c>
      <c r="AK27" s="50">
        <f>'IS (F1Q23)'!AK27-'IS (F4Q2022)'!AK27</f>
        <v>99.27661173972615</v>
      </c>
      <c r="AL27" s="51">
        <f>'IS (F1Q23)'!AL27-'IS (F4Q2022)'!AL27</f>
        <v>-104.00300821276687</v>
      </c>
      <c r="AM27" s="50">
        <f>'IS (F1Q23)'!AM27-'IS (F4Q2022)'!AM27</f>
        <v>-62.663784531579267</v>
      </c>
      <c r="AN27" s="50">
        <f>'IS (F1Q23)'!AN27-'IS (F4Q2022)'!AN27</f>
        <v>-194.64283013433101</v>
      </c>
      <c r="AO27" s="50">
        <f>'IS (F1Q23)'!AO27-'IS (F4Q2022)'!AO27</f>
        <v>56.555109292821498</v>
      </c>
      <c r="AP27" s="50">
        <f>'IS (F1Q23)'!AP27-'IS (F4Q2022)'!AP27</f>
        <v>139.82362074519892</v>
      </c>
      <c r="AQ27" s="51">
        <f>'IS (F1Q23)'!AQ27-'IS (F4Q2022)'!AQ27</f>
        <v>-60.927884627870299</v>
      </c>
      <c r="AR27" s="50">
        <f>'IS (F1Q23)'!AR27-'IS (F4Q2022)'!AR27</f>
        <v>-69.95019724658755</v>
      </c>
      <c r="AS27" s="50">
        <f>'IS (F1Q23)'!AS27-'IS (F4Q2022)'!AS27</f>
        <v>-207.36412732114923</v>
      </c>
      <c r="AT27" s="50">
        <f>'IS (F1Q23)'!AT27-'IS (F4Q2022)'!AT27</f>
        <v>55.082397734685173</v>
      </c>
      <c r="AU27" s="50">
        <f>'IS (F1Q23)'!AU27-'IS (F4Q2022)'!AU27</f>
        <v>143.85659276595698</v>
      </c>
      <c r="AV27" s="51">
        <f>'IS (F1Q23)'!AV27-'IS (F4Q2022)'!AV27</f>
        <v>-78.375334067093718</v>
      </c>
    </row>
    <row r="28" spans="1:48" s="8" customFormat="1" ht="16.2" x14ac:dyDescent="0.45">
      <c r="A28" s="20"/>
      <c r="B28" s="87" t="s">
        <v>72</v>
      </c>
      <c r="C28" s="84"/>
      <c r="D28" s="109">
        <f>'IS (F1Q23)'!D28-'IS (F4Q2022)'!D28</f>
        <v>0</v>
      </c>
      <c r="E28" s="109">
        <f>'IS (F1Q23)'!E28-'IS (F4Q2022)'!E28</f>
        <v>0</v>
      </c>
      <c r="F28" s="109">
        <f>'IS (F1Q23)'!F28-'IS (F4Q2022)'!F28</f>
        <v>0</v>
      </c>
      <c r="G28" s="109">
        <f>'IS (F1Q23)'!G28-'IS (F4Q2022)'!G28</f>
        <v>0</v>
      </c>
      <c r="H28" s="178">
        <f>'IS (F1Q23)'!H28-'IS (F4Q2022)'!H28</f>
        <v>0</v>
      </c>
      <c r="I28" s="109">
        <f>'IS (F1Q23)'!I28-'IS (F4Q2022)'!I28</f>
        <v>0</v>
      </c>
      <c r="J28" s="109">
        <f>'IS (F1Q23)'!J28-'IS (F4Q2022)'!J28</f>
        <v>0</v>
      </c>
      <c r="K28" s="109">
        <f>'IS (F1Q23)'!K28-'IS (F4Q2022)'!K28</f>
        <v>0</v>
      </c>
      <c r="L28" s="91">
        <f>'IS (F1Q23)'!L28-'IS (F4Q2022)'!L28</f>
        <v>0</v>
      </c>
      <c r="M28" s="92">
        <f>'IS (F1Q23)'!M28-'IS (F4Q2022)'!M28</f>
        <v>0</v>
      </c>
      <c r="N28" s="109">
        <f>'IS (F1Q23)'!N28-'IS (F4Q2022)'!N28</f>
        <v>0</v>
      </c>
      <c r="O28" s="109">
        <f>'IS (F1Q23)'!O28-'IS (F4Q2022)'!O28</f>
        <v>0</v>
      </c>
      <c r="P28" s="109">
        <f>'IS (F1Q23)'!P28-'IS (F4Q2022)'!P28</f>
        <v>0</v>
      </c>
      <c r="Q28" s="109">
        <f>'IS (F1Q23)'!Q28-'IS (F4Q2022)'!Q28</f>
        <v>0</v>
      </c>
      <c r="R28" s="178">
        <f>'IS (F1Q23)'!R28-'IS (F4Q2022)'!R28</f>
        <v>0</v>
      </c>
      <c r="S28" s="91">
        <f>'IS (F1Q23)'!S28-'IS (F4Q2022)'!S28</f>
        <v>0</v>
      </c>
      <c r="T28" s="91">
        <f>'IS (F1Q23)'!T28-'IS (F4Q2022)'!T28</f>
        <v>0</v>
      </c>
      <c r="U28" s="91">
        <f>'IS (F1Q23)'!U28-'IS (F4Q2022)'!U28</f>
        <v>0</v>
      </c>
      <c r="V28" s="109">
        <f>'IS (F1Q23)'!V28-'IS (F4Q2022)'!V28</f>
        <v>0</v>
      </c>
      <c r="W28" s="178">
        <f>'IS (F1Q23)'!W28-'IS (F4Q2022)'!W28</f>
        <v>0</v>
      </c>
      <c r="X28" s="91">
        <f>'IS (F1Q23)'!X28-'IS (F4Q2022)'!X28</f>
        <v>17.99786202462888</v>
      </c>
      <c r="Y28" s="91">
        <f>'IS (F1Q23)'!Y28-'IS (F4Q2022)'!Y28</f>
        <v>3.0497426990776444</v>
      </c>
      <c r="Z28" s="91">
        <f>'IS (F1Q23)'!Z28-'IS (F4Q2022)'!Z28</f>
        <v>3.0497426990776444</v>
      </c>
      <c r="AA28" s="91">
        <f>'IS (F1Q23)'!AA28-'IS (F4Q2022)'!AA28</f>
        <v>3.0497426990776444</v>
      </c>
      <c r="AB28" s="92">
        <f>'IS (F1Q23)'!AB28-'IS (F4Q2022)'!AB28</f>
        <v>27.147090121861812</v>
      </c>
      <c r="AC28" s="91">
        <f>'IS (F1Q23)'!AC28-'IS (F4Q2022)'!AC28</f>
        <v>3.0497426990776444</v>
      </c>
      <c r="AD28" s="91">
        <f>'IS (F1Q23)'!AD28-'IS (F4Q2022)'!AD28</f>
        <v>12.556420233463037</v>
      </c>
      <c r="AE28" s="91">
        <f>'IS (F1Q23)'!AE28-'IS (F4Q2022)'!AE28</f>
        <v>12.556420233463037</v>
      </c>
      <c r="AF28" s="91">
        <f>'IS (F1Q23)'!AF28-'IS (F4Q2022)'!AF28</f>
        <v>12.556420233463037</v>
      </c>
      <c r="AG28" s="92">
        <f>'IS (F1Q23)'!AG28-'IS (F4Q2022)'!AG28</f>
        <v>40.719003399466757</v>
      </c>
      <c r="AH28" s="91">
        <f>'IS (F1Q23)'!AH28-'IS (F4Q2022)'!AH28</f>
        <v>12.556420233463037</v>
      </c>
      <c r="AI28" s="91">
        <f>'IS (F1Q23)'!AI28-'IS (F4Q2022)'!AI28</f>
        <v>12.556420233463037</v>
      </c>
      <c r="AJ28" s="91">
        <f>'IS (F1Q23)'!AJ28-'IS (F4Q2022)'!AJ28</f>
        <v>12.556420233463037</v>
      </c>
      <c r="AK28" s="91">
        <f>'IS (F1Q23)'!AK28-'IS (F4Q2022)'!AK28</f>
        <v>12.556420233463037</v>
      </c>
      <c r="AL28" s="92">
        <f>'IS (F1Q23)'!AL28-'IS (F4Q2022)'!AL28</f>
        <v>50.225680933852146</v>
      </c>
      <c r="AM28" s="91">
        <f>'IS (F1Q23)'!AM28-'IS (F4Q2022)'!AM28</f>
        <v>12.556420233463037</v>
      </c>
      <c r="AN28" s="91">
        <f>'IS (F1Q23)'!AN28-'IS (F4Q2022)'!AN28</f>
        <v>12.556420233463037</v>
      </c>
      <c r="AO28" s="91">
        <f>'IS (F1Q23)'!AO28-'IS (F4Q2022)'!AO28</f>
        <v>12.556420233463037</v>
      </c>
      <c r="AP28" s="91">
        <f>'IS (F1Q23)'!AP28-'IS (F4Q2022)'!AP28</f>
        <v>12.556420233463037</v>
      </c>
      <c r="AQ28" s="92">
        <f>'IS (F1Q23)'!AQ28-'IS (F4Q2022)'!AQ28</f>
        <v>50.225680933852146</v>
      </c>
      <c r="AR28" s="91">
        <f>'IS (F1Q23)'!AR28-'IS (F4Q2022)'!AR28</f>
        <v>12.556420233463037</v>
      </c>
      <c r="AS28" s="91">
        <f>'IS (F1Q23)'!AS28-'IS (F4Q2022)'!AS28</f>
        <v>12.556420233463037</v>
      </c>
      <c r="AT28" s="91">
        <f>'IS (F1Q23)'!AT28-'IS (F4Q2022)'!AT28</f>
        <v>12.556420233463037</v>
      </c>
      <c r="AU28" s="91">
        <f>'IS (F1Q23)'!AU28-'IS (F4Q2022)'!AU28</f>
        <v>12.556420233463037</v>
      </c>
      <c r="AV28" s="92">
        <f>'IS (F1Q23)'!AV28-'IS (F4Q2022)'!AV28</f>
        <v>50.225680933852146</v>
      </c>
    </row>
    <row r="29" spans="1:48" s="8" customFormat="1" x14ac:dyDescent="0.3">
      <c r="A29" s="20"/>
      <c r="B29" s="85" t="s">
        <v>73</v>
      </c>
      <c r="C29" s="86"/>
      <c r="D29" s="108">
        <f>'IS (F1Q23)'!D29-'IS (F4Q2022)'!D29</f>
        <v>0</v>
      </c>
      <c r="E29" s="108">
        <f>'IS (F1Q23)'!E29-'IS (F4Q2022)'!E29</f>
        <v>0</v>
      </c>
      <c r="F29" s="108">
        <f>'IS (F1Q23)'!F29-'IS (F4Q2022)'!F29</f>
        <v>0</v>
      </c>
      <c r="G29" s="108">
        <f>'IS (F1Q23)'!G29-'IS (F4Q2022)'!G29</f>
        <v>0</v>
      </c>
      <c r="H29" s="177">
        <f>'IS (F1Q23)'!H29-'IS (F4Q2022)'!H29</f>
        <v>0</v>
      </c>
      <c r="I29" s="108">
        <f>'IS (F1Q23)'!I29-'IS (F4Q2022)'!I29</f>
        <v>0</v>
      </c>
      <c r="J29" s="108">
        <f>'IS (F1Q23)'!J29-'IS (F4Q2022)'!J29</f>
        <v>0</v>
      </c>
      <c r="K29" s="108">
        <f>'IS (F1Q23)'!K29-'IS (F4Q2022)'!K29</f>
        <v>0</v>
      </c>
      <c r="L29" s="80">
        <f>'IS (F1Q23)'!L29-'IS (F4Q2022)'!L29</f>
        <v>0</v>
      </c>
      <c r="M29" s="81">
        <f>'IS (F1Q23)'!M29-'IS (F4Q2022)'!M29</f>
        <v>0</v>
      </c>
      <c r="N29" s="108">
        <f>'IS (F1Q23)'!N29-'IS (F4Q2022)'!N29</f>
        <v>0</v>
      </c>
      <c r="O29" s="108">
        <f>'IS (F1Q23)'!O29-'IS (F4Q2022)'!O29</f>
        <v>0</v>
      </c>
      <c r="P29" s="108">
        <f>'IS (F1Q23)'!P29-'IS (F4Q2022)'!P29</f>
        <v>0</v>
      </c>
      <c r="Q29" s="108">
        <f>'IS (F1Q23)'!Q29-'IS (F4Q2022)'!Q29</f>
        <v>0</v>
      </c>
      <c r="R29" s="177">
        <f>'IS (F1Q23)'!R29-'IS (F4Q2022)'!R29</f>
        <v>0</v>
      </c>
      <c r="S29" s="80">
        <f>'IS (F1Q23)'!S29-'IS (F4Q2022)'!S29</f>
        <v>0</v>
      </c>
      <c r="T29" s="80">
        <f>'IS (F1Q23)'!T29-'IS (F4Q2022)'!T29</f>
        <v>0</v>
      </c>
      <c r="U29" s="80">
        <f>'IS (F1Q23)'!U29-'IS (F4Q2022)'!U29</f>
        <v>0</v>
      </c>
      <c r="V29" s="108">
        <f>'IS (F1Q23)'!V29-'IS (F4Q2022)'!V29</f>
        <v>0</v>
      </c>
      <c r="W29" s="177">
        <f>'IS (F1Q23)'!W29-'IS (F4Q2022)'!W29</f>
        <v>0</v>
      </c>
      <c r="X29" s="80">
        <f>'IS (F1Q23)'!X29-'IS (F4Q2022)'!X29</f>
        <v>-11.952966011264834</v>
      </c>
      <c r="Y29" s="80">
        <f>'IS (F1Q23)'!Y29-'IS (F4Q2022)'!Y29</f>
        <v>-126.31953410164203</v>
      </c>
      <c r="Z29" s="80">
        <f>'IS (F1Q23)'!Z29-'IS (F4Q2022)'!Z29</f>
        <v>16.557757624308806</v>
      </c>
      <c r="AA29" s="80">
        <f>'IS (F1Q23)'!AA29-'IS (F4Q2022)'!AA29</f>
        <v>74.10559302103934</v>
      </c>
      <c r="AB29" s="81">
        <f>'IS (F1Q23)'!AB29-'IS (F4Q2022)'!AB29</f>
        <v>-47.60914946755338</v>
      </c>
      <c r="AC29" s="80">
        <f>'IS (F1Q23)'!AC29-'IS (F4Q2022)'!AC29</f>
        <v>-46.855572709130456</v>
      </c>
      <c r="AD29" s="80">
        <f>'IS (F1Q23)'!AD29-'IS (F4Q2022)'!AD29</f>
        <v>-182.79872638376935</v>
      </c>
      <c r="AE29" s="80">
        <f>'IS (F1Q23)'!AE29-'IS (F4Q2022)'!AE29</f>
        <v>0.98499026125296041</v>
      </c>
      <c r="AF29" s="80">
        <f>'IS (F1Q23)'!AF29-'IS (F4Q2022)'!AF29</f>
        <v>67.375357776988949</v>
      </c>
      <c r="AG29" s="81">
        <f>'IS (F1Q23)'!AG29-'IS (F4Q2022)'!AG29</f>
        <v>-161.29395105466938</v>
      </c>
      <c r="AH29" s="80">
        <f>'IS (F1Q23)'!AH29-'IS (F4Q2022)'!AH29</f>
        <v>-86.295689920005316</v>
      </c>
      <c r="AI29" s="80">
        <f>'IS (F1Q23)'!AI29-'IS (F4Q2022)'!AI29</f>
        <v>-210.38959415731586</v>
      </c>
      <c r="AJ29" s="80">
        <f>'IS (F1Q23)'!AJ29-'IS (F4Q2022)'!AJ29</f>
        <v>5.9749248252198868</v>
      </c>
      <c r="AK29" s="80">
        <f>'IS (F1Q23)'!AK29-'IS (F4Q2022)'!AK29</f>
        <v>70.133031973189418</v>
      </c>
      <c r="AL29" s="81">
        <f>'IS (F1Q23)'!AL29-'IS (F4Q2022)'!AL29</f>
        <v>-220.57732727891471</v>
      </c>
      <c r="AM29" s="80">
        <f>'IS (F1Q23)'!AM29-'IS (F4Q2022)'!AM29</f>
        <v>-91.807364298115999</v>
      </c>
      <c r="AN29" s="80">
        <f>'IS (F1Q23)'!AN29-'IS (F4Q2022)'!AN29</f>
        <v>-223.78640990086797</v>
      </c>
      <c r="AO29" s="80">
        <f>'IS (F1Q23)'!AO29-'IS (F4Q2022)'!AO29</f>
        <v>27.411529526284539</v>
      </c>
      <c r="AP29" s="80">
        <f>'IS (F1Q23)'!AP29-'IS (F4Q2022)'!AP29</f>
        <v>110.68004097866219</v>
      </c>
      <c r="AQ29" s="81">
        <f>'IS (F1Q23)'!AQ29-'IS (F4Q2022)'!AQ29</f>
        <v>-177.50220369401723</v>
      </c>
      <c r="AR29" s="80">
        <f>'IS (F1Q23)'!AR29-'IS (F4Q2022)'!AR29</f>
        <v>-99.093777013124281</v>
      </c>
      <c r="AS29" s="80">
        <f>'IS (F1Q23)'!AS29-'IS (F4Q2022)'!AS29</f>
        <v>-236.50770708768619</v>
      </c>
      <c r="AT29" s="80">
        <f>'IS (F1Q23)'!AT29-'IS (F4Q2022)'!AT29</f>
        <v>25.938817968148442</v>
      </c>
      <c r="AU29" s="80">
        <f>'IS (F1Q23)'!AU29-'IS (F4Q2022)'!AU29</f>
        <v>114.71301299942024</v>
      </c>
      <c r="AV29" s="81">
        <f>'IS (F1Q23)'!AV29-'IS (F4Q2022)'!AV29</f>
        <v>-194.94965313324246</v>
      </c>
    </row>
    <row r="30" spans="1:48" x14ac:dyDescent="0.3">
      <c r="B30" s="580" t="s">
        <v>0</v>
      </c>
      <c r="C30" s="581"/>
      <c r="D30" s="101">
        <f>'IS (F1Q23)'!D30-'IS (F4Q2022)'!D30</f>
        <v>0</v>
      </c>
      <c r="E30" s="101">
        <f>'IS (F1Q23)'!E30-'IS (F4Q2022)'!E30</f>
        <v>0</v>
      </c>
      <c r="F30" s="101">
        <f>'IS (F1Q23)'!F30-'IS (F4Q2022)'!F30</f>
        <v>0</v>
      </c>
      <c r="G30" s="101">
        <f>'IS (F1Q23)'!G30-'IS (F4Q2022)'!G30</f>
        <v>0</v>
      </c>
      <c r="H30" s="169">
        <f>'IS (F1Q23)'!H30-'IS (F4Q2022)'!H30</f>
        <v>0</v>
      </c>
      <c r="I30" s="101">
        <f>'IS (F1Q23)'!I30-'IS (F4Q2022)'!I30</f>
        <v>0</v>
      </c>
      <c r="J30" s="101">
        <f>'IS (F1Q23)'!J30-'IS (F4Q2022)'!J30</f>
        <v>0</v>
      </c>
      <c r="K30" s="101">
        <f>'IS (F1Q23)'!K30-'IS (F4Q2022)'!K30</f>
        <v>0</v>
      </c>
      <c r="L30" s="101">
        <f>'IS (F1Q23)'!L30-'IS (F4Q2022)'!L30</f>
        <v>0</v>
      </c>
      <c r="M30" s="17">
        <f>'IS (F1Q23)'!M30-'IS (F4Q2022)'!M30</f>
        <v>0</v>
      </c>
      <c r="N30" s="101">
        <f>'IS (F1Q23)'!N30-'IS (F4Q2022)'!N30</f>
        <v>0</v>
      </c>
      <c r="O30" s="101">
        <f>'IS (F1Q23)'!O30-'IS (F4Q2022)'!O30</f>
        <v>0</v>
      </c>
      <c r="P30" s="101">
        <f>'IS (F1Q23)'!P30-'IS (F4Q2022)'!P30</f>
        <v>0</v>
      </c>
      <c r="Q30" s="101">
        <f>'IS (F1Q23)'!Q30-'IS (F4Q2022)'!Q30</f>
        <v>0</v>
      </c>
      <c r="R30" s="169">
        <f>'IS (F1Q23)'!R30-'IS (F4Q2022)'!R30</f>
        <v>0</v>
      </c>
      <c r="S30" s="16">
        <f>'IS (F1Q23)'!S30-'IS (F4Q2022)'!S30</f>
        <v>0</v>
      </c>
      <c r="T30" s="16">
        <f>'IS (F1Q23)'!T30-'IS (F4Q2022)'!T30</f>
        <v>0</v>
      </c>
      <c r="U30" s="16">
        <f>'IS (F1Q23)'!U30-'IS (F4Q2022)'!U30</f>
        <v>0</v>
      </c>
      <c r="V30" s="101">
        <f>'IS (F1Q23)'!V30-'IS (F4Q2022)'!V30</f>
        <v>0</v>
      </c>
      <c r="W30" s="169">
        <f>'IS (F1Q23)'!W30-'IS (F4Q2022)'!W30</f>
        <v>0</v>
      </c>
      <c r="X30" s="16">
        <f>'IS (F1Q23)'!X30-'IS (F4Q2022)'!X30</f>
        <v>-1.651523989521138</v>
      </c>
      <c r="Y30" s="16">
        <f>'IS (F1Q23)'!Y30-'IS (F4Q2022)'!Y30</f>
        <v>-2.6548270375001266</v>
      </c>
      <c r="Z30" s="16">
        <f>'IS (F1Q23)'!Z30-'IS (F4Q2022)'!Z30</f>
        <v>-3.6601366915749622</v>
      </c>
      <c r="AA30" s="16">
        <f>'IS (F1Q23)'!AA30-'IS (F4Q2022)'!AA30</f>
        <v>-4.6674569649580917</v>
      </c>
      <c r="AB30" s="17">
        <f>'IS (F1Q23)'!AB30-'IS (F4Q2022)'!AB30</f>
        <v>-3.2683973753273676</v>
      </c>
      <c r="AC30" s="16">
        <f>'IS (F1Q23)'!AC30-'IS (F4Q2022)'!AC30</f>
        <v>-5.5641722211948945</v>
      </c>
      <c r="AD30" s="16">
        <f>'IS (F1Q23)'!AD30-'IS (F4Q2022)'!AD30</f>
        <v>-6.4626809079441045</v>
      </c>
      <c r="AE30" s="16">
        <f>'IS (F1Q23)'!AE30-'IS (F4Q2022)'!AE30</f>
        <v>-6.4756062697599646</v>
      </c>
      <c r="AF30" s="16">
        <f>'IS (F1Q23)'!AF30-'IS (F4Q2022)'!AF30</f>
        <v>-6.488557482299484</v>
      </c>
      <c r="AG30" s="17">
        <f>'IS (F1Q23)'!AG30-'IS (F4Q2022)'!AG30</f>
        <v>-6.1486701289938992</v>
      </c>
      <c r="AH30" s="16">
        <f>'IS (F1Q23)'!AH30-'IS (F4Q2022)'!AH30</f>
        <v>-6.5015345972640262</v>
      </c>
      <c r="AI30" s="16">
        <f>'IS (F1Q23)'!AI30-'IS (F4Q2022)'!AI30</f>
        <v>-6.5145376664586365</v>
      </c>
      <c r="AJ30" s="16">
        <f>'IS (F1Q23)'!AJ30-'IS (F4Q2022)'!AJ30</f>
        <v>-6.5277256478191248</v>
      </c>
      <c r="AK30" s="16">
        <f>'IS (F1Q23)'!AK30-'IS (F4Q2022)'!AK30</f>
        <v>-6.5409400051423745</v>
      </c>
      <c r="AL30" s="17">
        <f>'IS (F1Q23)'!AL30-'IS (F4Q2022)'!AL30</f>
        <v>-9.1492386611998882</v>
      </c>
      <c r="AM30" s="16">
        <f>'IS (F1Q23)'!AM30-'IS (F4Q2022)'!AM30</f>
        <v>-6.5540218851526788</v>
      </c>
      <c r="AN30" s="16">
        <f>'IS (F1Q23)'!AN30-'IS (F4Q2022)'!AN30</f>
        <v>-6.5671299289231229</v>
      </c>
      <c r="AO30" s="16">
        <f>'IS (F1Q23)'!AO30-'IS (F4Q2022)'!AO30</f>
        <v>-6.5802641887810296</v>
      </c>
      <c r="AP30" s="16">
        <f>'IS (F1Q23)'!AP30-'IS (F4Q2022)'!AP30</f>
        <v>-6.5934247171587685</v>
      </c>
      <c r="AQ30" s="17">
        <f>'IS (F1Q23)'!AQ30-'IS (F4Q2022)'!AQ30</f>
        <v>-6.5649973093593417</v>
      </c>
      <c r="AR30" s="16">
        <f>'IS (F1Q23)'!AR30-'IS (F4Q2022)'!AR30</f>
        <v>-6.6066115665930738</v>
      </c>
      <c r="AS30" s="16">
        <f>'IS (F1Q23)'!AS30-'IS (F4Q2022)'!AS30</f>
        <v>-6.6198247897264082</v>
      </c>
      <c r="AT30" s="16">
        <f>'IS (F1Q23)'!AT30-'IS (F4Q2022)'!AT30</f>
        <v>-6.6330644393058265</v>
      </c>
      <c r="AU30" s="16">
        <f>'IS (F1Q23)'!AU30-'IS (F4Q2022)'!AU30</f>
        <v>-6.6463305681845668</v>
      </c>
      <c r="AV30" s="17">
        <f>'IS (F1Q23)'!AV30-'IS (F4Q2022)'!AV30</f>
        <v>-6.6147937335483675</v>
      </c>
    </row>
    <row r="31" spans="1:48" ht="15.75" customHeight="1" x14ac:dyDescent="0.3">
      <c r="B31" s="580" t="s">
        <v>1</v>
      </c>
      <c r="C31" s="581"/>
      <c r="D31" s="101">
        <f>'IS (F1Q23)'!D31-'IS (F4Q2022)'!D31</f>
        <v>0</v>
      </c>
      <c r="E31" s="101">
        <f>'IS (F1Q23)'!E31-'IS (F4Q2022)'!E31</f>
        <v>0</v>
      </c>
      <c r="F31" s="101">
        <f>'IS (F1Q23)'!F31-'IS (F4Q2022)'!F31</f>
        <v>0</v>
      </c>
      <c r="G31" s="101">
        <f>'IS (F1Q23)'!G31-'IS (F4Q2022)'!G31</f>
        <v>0</v>
      </c>
      <c r="H31" s="169">
        <f>'IS (F1Q23)'!H31-'IS (F4Q2022)'!H31</f>
        <v>0</v>
      </c>
      <c r="I31" s="101">
        <f>'IS (F1Q23)'!I31-'IS (F4Q2022)'!I31</f>
        <v>0</v>
      </c>
      <c r="J31" s="101">
        <f>'IS (F1Q23)'!J31-'IS (F4Q2022)'!J31</f>
        <v>0</v>
      </c>
      <c r="K31" s="101">
        <f>'IS (F1Q23)'!K31-'IS (F4Q2022)'!K31</f>
        <v>0</v>
      </c>
      <c r="L31" s="101">
        <f>'IS (F1Q23)'!L31-'IS (F4Q2022)'!L31</f>
        <v>0</v>
      </c>
      <c r="M31" s="17">
        <f>'IS (F1Q23)'!M31-'IS (F4Q2022)'!M31</f>
        <v>0</v>
      </c>
      <c r="N31" s="101">
        <f>'IS (F1Q23)'!N31-'IS (F4Q2022)'!N31</f>
        <v>0</v>
      </c>
      <c r="O31" s="101">
        <f>'IS (F1Q23)'!O31-'IS (F4Q2022)'!O31</f>
        <v>0</v>
      </c>
      <c r="P31" s="101">
        <f>'IS (F1Q23)'!P31-'IS (F4Q2022)'!P31</f>
        <v>0</v>
      </c>
      <c r="Q31" s="101">
        <f>'IS (F1Q23)'!Q31-'IS (F4Q2022)'!Q31</f>
        <v>0</v>
      </c>
      <c r="R31" s="169">
        <f>'IS (F1Q23)'!R31-'IS (F4Q2022)'!R31</f>
        <v>0</v>
      </c>
      <c r="S31" s="16">
        <f>'IS (F1Q23)'!S31-'IS (F4Q2022)'!S31</f>
        <v>0</v>
      </c>
      <c r="T31" s="16">
        <f>'IS (F1Q23)'!T31-'IS (F4Q2022)'!T31</f>
        <v>0</v>
      </c>
      <c r="U31" s="16">
        <f>'IS (F1Q23)'!U31-'IS (F4Q2022)'!U31</f>
        <v>0</v>
      </c>
      <c r="V31" s="16">
        <f>'IS (F1Q23)'!V31-'IS (F4Q2022)'!V31</f>
        <v>0</v>
      </c>
      <c r="W31" s="169">
        <f>'IS (F1Q23)'!W31-'IS (F4Q2022)'!W31</f>
        <v>0</v>
      </c>
      <c r="X31" s="16">
        <f>'IS (F1Q23)'!X31-'IS (F4Q2022)'!X31</f>
        <v>-0.7524999999998272</v>
      </c>
      <c r="Y31" s="16">
        <f>'IS (F1Q23)'!Y31-'IS (F4Q2022)'!Y31</f>
        <v>-1.7532524999999168</v>
      </c>
      <c r="Z31" s="16">
        <f>'IS (F1Q23)'!Z31-'IS (F4Q2022)'!Z31</f>
        <v>-2.7550057524997555</v>
      </c>
      <c r="AA31" s="16">
        <f>'IS (F1Q23)'!AA31-'IS (F4Q2022)'!AA31</f>
        <v>-3.7577607582522887</v>
      </c>
      <c r="AB31" s="17">
        <f>'IS (F1Q23)'!AB31-'IS (F4Q2022)'!AB31</f>
        <v>-2.4095733732269764</v>
      </c>
      <c r="AC31" s="16">
        <f>'IS (F1Q23)'!AC31-'IS (F4Q2022)'!AC31</f>
        <v>-4.6488988613175479</v>
      </c>
      <c r="AD31" s="16">
        <f>'IS (F1Q23)'!AD31-'IS (F4Q2022)'!AD31</f>
        <v>-5.5409281024858501</v>
      </c>
      <c r="AE31" s="16">
        <f>'IS (F1Q23)'!AE31-'IS (F4Q2022)'!AE31</f>
        <v>-5.5464690305882414</v>
      </c>
      <c r="AF31" s="16">
        <f>'IS (F1Q23)'!AF31-'IS (F4Q2022)'!AF31</f>
        <v>-5.5520154996188467</v>
      </c>
      <c r="AG31" s="17">
        <f>'IS (F1Q23)'!AG31-'IS (F4Q2022)'!AG31</f>
        <v>-5.3002852620602425</v>
      </c>
      <c r="AH31" s="16">
        <f>'IS (F1Q23)'!AH31-'IS (F4Q2022)'!AH31</f>
        <v>-5.5575675151185351</v>
      </c>
      <c r="AI31" s="16">
        <f>'IS (F1Q23)'!AI31-'IS (F4Q2022)'!AI31</f>
        <v>-5.5631250826336327</v>
      </c>
      <c r="AJ31" s="16">
        <f>'IS (F1Q23)'!AJ31-'IS (F4Q2022)'!AJ31</f>
        <v>-5.5688471137436864</v>
      </c>
      <c r="AK31" s="16">
        <f>'IS (F1Q23)'!AK31-'IS (F4Q2022)'!AK31</f>
        <v>-5.5745748668850865</v>
      </c>
      <c r="AL31" s="17">
        <f>'IS (F1Q23)'!AL31-'IS (F4Q2022)'!AL31</f>
        <v>-8.2700241711531817</v>
      </c>
      <c r="AM31" s="16">
        <f>'IS (F1Q23)'!AM31-'IS (F4Q2022)'!AM31</f>
        <v>-5.580149441751928</v>
      </c>
      <c r="AN31" s="16">
        <f>'IS (F1Q23)'!AN31-'IS (F4Q2022)'!AN31</f>
        <v>-5.5857295911937399</v>
      </c>
      <c r="AO31" s="16">
        <f>'IS (F1Q23)'!AO31-'IS (F4Q2022)'!AO31</f>
        <v>-5.5913153207850428</v>
      </c>
      <c r="AP31" s="16">
        <f>'IS (F1Q23)'!AP31-'IS (F4Q2022)'!AP31</f>
        <v>-5.596906636105814</v>
      </c>
      <c r="AQ31" s="17">
        <f>'IS (F1Q23)'!AQ31-'IS (F4Q2022)'!AQ31</f>
        <v>-5.6626329069022177</v>
      </c>
      <c r="AR31" s="16">
        <f>'IS (F1Q23)'!AR31-'IS (F4Q2022)'!AR31</f>
        <v>-5.6025035427419425</v>
      </c>
      <c r="AS31" s="16">
        <f>'IS (F1Q23)'!AS31-'IS (F4Q2022)'!AS31</f>
        <v>-5.6081060462847745</v>
      </c>
      <c r="AT31" s="16">
        <f>'IS (F1Q23)'!AT31-'IS (F4Q2022)'!AT31</f>
        <v>-5.6137141523311129</v>
      </c>
      <c r="AU31" s="16">
        <f>'IS (F1Q23)'!AU31-'IS (F4Q2022)'!AU31</f>
        <v>-5.6193278664834452</v>
      </c>
      <c r="AV31" s="17">
        <f>'IS (F1Q23)'!AV31-'IS (F4Q2022)'!AV31</f>
        <v>-5.6811816671138331</v>
      </c>
    </row>
    <row r="32" spans="1:48" ht="15.75" customHeight="1" x14ac:dyDescent="0.3">
      <c r="B32" s="587" t="s">
        <v>6</v>
      </c>
      <c r="C32" s="588"/>
      <c r="D32" s="110">
        <f>'IS (F1Q23)'!D32-'IS (F4Q2022)'!D32</f>
        <v>0</v>
      </c>
      <c r="E32" s="110">
        <f>'IS (F1Q23)'!E32-'IS (F4Q2022)'!E32</f>
        <v>0</v>
      </c>
      <c r="F32" s="110">
        <f>'IS (F1Q23)'!F32-'IS (F4Q2022)'!F32</f>
        <v>0</v>
      </c>
      <c r="G32" s="110">
        <f>'IS (F1Q23)'!G32-'IS (F4Q2022)'!G32</f>
        <v>0</v>
      </c>
      <c r="H32" s="174">
        <f>'IS (F1Q23)'!H32-'IS (F4Q2022)'!H32</f>
        <v>0</v>
      </c>
      <c r="I32" s="110">
        <f>'IS (F1Q23)'!I32-'IS (F4Q2022)'!I32</f>
        <v>0</v>
      </c>
      <c r="J32" s="110">
        <f>'IS (F1Q23)'!J32-'IS (F4Q2022)'!J32</f>
        <v>0</v>
      </c>
      <c r="K32" s="110">
        <f>'IS (F1Q23)'!K32-'IS (F4Q2022)'!K32</f>
        <v>0</v>
      </c>
      <c r="L32" s="110">
        <f>'IS (F1Q23)'!L32-'IS (F4Q2022)'!L32</f>
        <v>0</v>
      </c>
      <c r="M32" s="25">
        <f>'IS (F1Q23)'!M32-'IS (F4Q2022)'!M32</f>
        <v>0</v>
      </c>
      <c r="N32" s="110">
        <f>'IS (F1Q23)'!N32-'IS (F4Q2022)'!N32</f>
        <v>0</v>
      </c>
      <c r="O32" s="110">
        <f>'IS (F1Q23)'!O32-'IS (F4Q2022)'!O32</f>
        <v>0</v>
      </c>
      <c r="P32" s="110">
        <f>'IS (F1Q23)'!P32-'IS (F4Q2022)'!P32</f>
        <v>0</v>
      </c>
      <c r="Q32" s="110">
        <f>'IS (F1Q23)'!Q32-'IS (F4Q2022)'!Q32</f>
        <v>0</v>
      </c>
      <c r="R32" s="174">
        <f>'IS (F1Q23)'!R32-'IS (F4Q2022)'!R32</f>
        <v>0</v>
      </c>
      <c r="S32" s="24">
        <f>'IS (F1Q23)'!S32-'IS (F4Q2022)'!S32</f>
        <v>0</v>
      </c>
      <c r="T32" s="24">
        <f>'IS (F1Q23)'!T32-'IS (F4Q2022)'!T32</f>
        <v>0</v>
      </c>
      <c r="U32" s="24">
        <f>'IS (F1Q23)'!U32-'IS (F4Q2022)'!U32</f>
        <v>0</v>
      </c>
      <c r="V32" s="24">
        <f>'IS (F1Q23)'!V32-'IS (F4Q2022)'!V32</f>
        <v>0</v>
      </c>
      <c r="W32" s="174">
        <f>'IS (F1Q23)'!W32-'IS (F4Q2022)'!W32</f>
        <v>0</v>
      </c>
      <c r="X32" s="24">
        <f>'IS (F1Q23)'!X32-'IS (F4Q2022)'!X32</f>
        <v>2.2066681224410689E-2</v>
      </c>
      <c r="Y32" s="24">
        <f>'IS (F1Q23)'!Y32-'IS (F4Q2022)'!Y32</f>
        <v>-0.1022411691458015</v>
      </c>
      <c r="Z32" s="24">
        <f>'IS (F1Q23)'!Z32-'IS (F4Q2022)'!Z32</f>
        <v>2.3272361457046031E-2</v>
      </c>
      <c r="AA32" s="24">
        <f>'IS (F1Q23)'!AA32-'IS (F4Q2022)'!AA32</f>
        <v>7.4345641185668221E-2</v>
      </c>
      <c r="AB32" s="25">
        <f>'IS (F1Q23)'!AB32-'IS (F4Q2022)'!AB32</f>
        <v>1.7454800043342544E-2</v>
      </c>
      <c r="AC32" s="24">
        <f>'IS (F1Q23)'!AC32-'IS (F4Q2022)'!AC32</f>
        <v>-2.9867941361037542E-2</v>
      </c>
      <c r="AD32" s="24">
        <f>'IS (F1Q23)'!AD32-'IS (F4Q2022)'!AD32</f>
        <v>-0.12833240038881433</v>
      </c>
      <c r="AE32" s="24">
        <f>'IS (F1Q23)'!AE32-'IS (F4Q2022)'!AE32</f>
        <v>3.1819729468251179E-2</v>
      </c>
      <c r="AF32" s="24">
        <f>'IS (F1Q23)'!AF32-'IS (F4Q2022)'!AF32</f>
        <v>8.9161988182885121E-2</v>
      </c>
      <c r="AG32" s="25">
        <f>'IS (F1Q23)'!AG32-'IS (F4Q2022)'!AG32</f>
        <v>-3.7215354007013701E-2</v>
      </c>
      <c r="AH32" s="24">
        <f>'IS (F1Q23)'!AH32-'IS (F4Q2022)'!AH32</f>
        <v>-4.2791010324935819E-2</v>
      </c>
      <c r="AI32" s="24">
        <f>'IS (F1Q23)'!AI32-'IS (F4Q2022)'!AI32</f>
        <v>-0.15059136176007626</v>
      </c>
      <c r="AJ32" s="24">
        <f>'IS (F1Q23)'!AJ32-'IS (F4Q2022)'!AJ32</f>
        <v>3.9017419083980931E-2</v>
      </c>
      <c r="AK32" s="24">
        <f>'IS (F1Q23)'!AK32-'IS (F4Q2022)'!AK32</f>
        <v>0.10027273292907246</v>
      </c>
      <c r="AL32" s="25">
        <f>'IS (F1Q23)'!AL32-'IS (F4Q2022)'!AL32</f>
        <v>-5.4163359466522287E-2</v>
      </c>
      <c r="AM32" s="24">
        <f>'IS (F1Q23)'!AM32-'IS (F4Q2022)'!AM32</f>
        <v>-5.0182849361167126E-2</v>
      </c>
      <c r="AN32" s="24">
        <f>'IS (F1Q23)'!AN32-'IS (F4Q2022)'!AN32</f>
        <v>-0.17437549105824401</v>
      </c>
      <c r="AO32" s="24">
        <f>'IS (F1Q23)'!AO32-'IS (F4Q2022)'!AO32</f>
        <v>6.1396360908281267E-2</v>
      </c>
      <c r="AP32" s="24">
        <f>'IS (F1Q23)'!AP32-'IS (F4Q2022)'!AP32</f>
        <v>0.13864664460438969</v>
      </c>
      <c r="AQ32" s="25">
        <f>'IS (F1Q23)'!AQ32-'IS (F4Q2022)'!AQ32</f>
        <v>-2.4515318010768006E-2</v>
      </c>
      <c r="AR32" s="24">
        <f>'IS (F1Q23)'!AR32-'IS (F4Q2022)'!AR32</f>
        <v>-5.6282663899702268E-2</v>
      </c>
      <c r="AS32" s="24">
        <f>'IS (F1Q23)'!AS32-'IS (F4Q2022)'!AS32</f>
        <v>-0.18555809105542176</v>
      </c>
      <c r="AT32" s="24">
        <f>'IS (F1Q23)'!AT32-'IS (F4Q2022)'!AT32</f>
        <v>6.0685423663246141E-2</v>
      </c>
      <c r="AU32" s="24">
        <f>'IS (F1Q23)'!AU32-'IS (F4Q2022)'!AU32</f>
        <v>0.14298810136058138</v>
      </c>
      <c r="AV32" s="25">
        <f>'IS (F1Q23)'!AV32-'IS (F4Q2022)'!AV32</f>
        <v>-3.816720664433948E-2</v>
      </c>
    </row>
    <row r="33" spans="2:48" x14ac:dyDescent="0.3">
      <c r="B33" s="587" t="s">
        <v>7</v>
      </c>
      <c r="C33" s="588"/>
      <c r="D33" s="110">
        <f>'IS (F1Q23)'!D33-'IS (F4Q2022)'!D33</f>
        <v>0</v>
      </c>
      <c r="E33" s="110">
        <f>'IS (F1Q23)'!E33-'IS (F4Q2022)'!E33</f>
        <v>0</v>
      </c>
      <c r="F33" s="110">
        <f>'IS (F1Q23)'!F33-'IS (F4Q2022)'!F33</f>
        <v>0</v>
      </c>
      <c r="G33" s="110">
        <f>'IS (F1Q23)'!G33-'IS (F4Q2022)'!G33</f>
        <v>0</v>
      </c>
      <c r="H33" s="174">
        <f>'IS (F1Q23)'!H33-'IS (F4Q2022)'!H33</f>
        <v>0</v>
      </c>
      <c r="I33" s="110">
        <f>'IS (F1Q23)'!I33-'IS (F4Q2022)'!I33</f>
        <v>0</v>
      </c>
      <c r="J33" s="110">
        <f>'IS (F1Q23)'!J33-'IS (F4Q2022)'!J33</f>
        <v>0</v>
      </c>
      <c r="K33" s="110">
        <f>'IS (F1Q23)'!K33-'IS (F4Q2022)'!K33</f>
        <v>0</v>
      </c>
      <c r="L33" s="110">
        <f>'IS (F1Q23)'!L33-'IS (F4Q2022)'!L33</f>
        <v>0</v>
      </c>
      <c r="M33" s="174">
        <f>'IS (F1Q23)'!M33-'IS (F4Q2022)'!M33</f>
        <v>0</v>
      </c>
      <c r="N33" s="110">
        <f>'IS (F1Q23)'!N33-'IS (F4Q2022)'!N33</f>
        <v>0</v>
      </c>
      <c r="O33" s="110">
        <f>'IS (F1Q23)'!O33-'IS (F4Q2022)'!O33</f>
        <v>0</v>
      </c>
      <c r="P33" s="110">
        <f>'IS (F1Q23)'!P33-'IS (F4Q2022)'!P33</f>
        <v>0</v>
      </c>
      <c r="Q33" s="110">
        <f>'IS (F1Q23)'!Q33-'IS (F4Q2022)'!Q33</f>
        <v>0</v>
      </c>
      <c r="R33" s="174">
        <f>'IS (F1Q23)'!R33-'IS (F4Q2022)'!R33</f>
        <v>0</v>
      </c>
      <c r="S33" s="24">
        <f>'IS (F1Q23)'!S33-'IS (F4Q2022)'!S33</f>
        <v>0</v>
      </c>
      <c r="T33" s="24">
        <f>'IS (F1Q23)'!T33-'IS (F4Q2022)'!T33</f>
        <v>0</v>
      </c>
      <c r="U33" s="24">
        <f>'IS (F1Q23)'!U33-'IS (F4Q2022)'!U33</f>
        <v>0</v>
      </c>
      <c r="V33" s="24">
        <f>'IS (F1Q23)'!V33-'IS (F4Q2022)'!V33</f>
        <v>0</v>
      </c>
      <c r="W33" s="174">
        <f>'IS (F1Q23)'!W33-'IS (F4Q2022)'!W33</f>
        <v>0</v>
      </c>
      <c r="X33" s="24">
        <f>'IS (F1Q23)'!X33-'IS (F4Q2022)'!X33</f>
        <v>2.1417588264196263E-2</v>
      </c>
      <c r="Y33" s="24">
        <f>'IS (F1Q23)'!Y33-'IS (F4Q2022)'!Y33</f>
        <v>-0.10251770560536999</v>
      </c>
      <c r="Z33" s="24">
        <f>'IS (F1Q23)'!Z33-'IS (F4Q2022)'!Z33</f>
        <v>2.2502765234225786E-2</v>
      </c>
      <c r="AA33" s="24">
        <f>'IS (F1Q23)'!AA33-'IS (F4Q2022)'!AA33</f>
        <v>7.3486164405907495E-2</v>
      </c>
      <c r="AB33" s="25">
        <f>'IS (F1Q23)'!AB33-'IS (F4Q2022)'!AB33</f>
        <v>1.4892950161911944E-2</v>
      </c>
      <c r="AC33" s="24">
        <f>'IS (F1Q23)'!AC33-'IS (F4Q2022)'!AC33</f>
        <v>-3.0659297227956905E-2</v>
      </c>
      <c r="AD33" s="24">
        <f>'IS (F1Q23)'!AD33-'IS (F4Q2022)'!AD33</f>
        <v>-0.1291417265421092</v>
      </c>
      <c r="AE33" s="24">
        <f>'IS (F1Q23)'!AE33-'IS (F4Q2022)'!AE33</f>
        <v>3.1073405625279271E-2</v>
      </c>
      <c r="AF33" s="24">
        <f>'IS (F1Q23)'!AF33-'IS (F4Q2022)'!AF33</f>
        <v>8.8622041750155756E-2</v>
      </c>
      <c r="AG33" s="25">
        <f>'IS (F1Q23)'!AG33-'IS (F4Q2022)'!AG33</f>
        <v>-4.0104585101736312E-2</v>
      </c>
      <c r="AH33" s="24">
        <f>'IS (F1Q23)'!AH33-'IS (F4Q2022)'!AH33</f>
        <v>-4.3889236739872217E-2</v>
      </c>
      <c r="AI33" s="24">
        <f>'IS (F1Q23)'!AI33-'IS (F4Q2022)'!AI33</f>
        <v>-0.15215344744278103</v>
      </c>
      <c r="AJ33" s="24">
        <f>'IS (F1Q23)'!AJ33-'IS (F4Q2022)'!AJ33</f>
        <v>3.8194466456630938E-2</v>
      </c>
      <c r="AK33" s="24">
        <f>'IS (F1Q23)'!AK33-'IS (F4Q2022)'!AK33</f>
        <v>9.9948107471836023E-2</v>
      </c>
      <c r="AL33" s="25">
        <f>'IS (F1Q23)'!AL33-'IS (F4Q2022)'!AL33</f>
        <v>-5.7965899592836045E-2</v>
      </c>
      <c r="AM33" s="24">
        <f>'IS (F1Q23)'!AM33-'IS (F4Q2022)'!AM33</f>
        <v>-5.1782244097906105E-2</v>
      </c>
      <c r="AN33" s="24">
        <f>'IS (F1Q23)'!AN33-'IS (F4Q2022)'!AN33</f>
        <v>-0.1770634466251213</v>
      </c>
      <c r="AO33" s="24">
        <f>'IS (F1Q23)'!AO33-'IS (F4Q2022)'!AO33</f>
        <v>6.0823251425681901E-2</v>
      </c>
      <c r="AP33" s="24">
        <f>'IS (F1Q23)'!AP33-'IS (F4Q2022)'!AP33</f>
        <v>0.13909195772284377</v>
      </c>
      <c r="AQ33" s="25">
        <f>'IS (F1Q23)'!AQ33-'IS (F4Q2022)'!AQ33</f>
        <v>-2.8930689781437202E-2</v>
      </c>
      <c r="AR33" s="24">
        <f>'IS (F1Q23)'!AR33-'IS (F4Q2022)'!AR33</f>
        <v>-5.8264891920051909E-2</v>
      </c>
      <c r="AS33" s="24">
        <f>'IS (F1Q23)'!AS33-'IS (F4Q2022)'!AS33</f>
        <v>-0.1892065953983606</v>
      </c>
      <c r="AT33" s="24">
        <f>'IS (F1Q23)'!AT33-'IS (F4Q2022)'!AT33</f>
        <v>6.0253860559913885E-2</v>
      </c>
      <c r="AU33" s="24">
        <f>'IS (F1Q23)'!AU33-'IS (F4Q2022)'!AU33</f>
        <v>0.14398044162465462</v>
      </c>
      <c r="AV33" s="25">
        <f>'IS (F1Q23)'!AV33-'IS (F4Q2022)'!AV33</f>
        <v>-4.3237384198496542E-2</v>
      </c>
    </row>
    <row r="34" spans="2:48" x14ac:dyDescent="0.3">
      <c r="B34" s="93" t="s">
        <v>74</v>
      </c>
      <c r="C34" s="100"/>
      <c r="D34" s="111">
        <f>'IS (F1Q23)'!D34-'IS (F4Q2022)'!D34</f>
        <v>0</v>
      </c>
      <c r="E34" s="111">
        <f>'IS (F1Q23)'!E34-'IS (F4Q2022)'!E34</f>
        <v>0</v>
      </c>
      <c r="F34" s="111">
        <f>'IS (F1Q23)'!F34-'IS (F4Q2022)'!F34</f>
        <v>0</v>
      </c>
      <c r="G34" s="111">
        <f>'IS (F1Q23)'!G34-'IS (F4Q2022)'!G34</f>
        <v>0</v>
      </c>
      <c r="H34" s="172">
        <f>'IS (F1Q23)'!H34-'IS (F4Q2022)'!H34</f>
        <v>0</v>
      </c>
      <c r="I34" s="111">
        <f>'IS (F1Q23)'!I34-'IS (F4Q2022)'!I34</f>
        <v>0</v>
      </c>
      <c r="J34" s="111">
        <f>'IS (F1Q23)'!J34-'IS (F4Q2022)'!J34</f>
        <v>0</v>
      </c>
      <c r="K34" s="111">
        <f>'IS (F1Q23)'!K34-'IS (F4Q2022)'!K34</f>
        <v>0</v>
      </c>
      <c r="L34" s="111">
        <f>'IS (F1Q23)'!L34-'IS (F4Q2022)'!L34</f>
        <v>0</v>
      </c>
      <c r="M34" s="172">
        <f>'IS (F1Q23)'!M34-'IS (F4Q2022)'!M34</f>
        <v>0</v>
      </c>
      <c r="N34" s="111">
        <f>'IS (F1Q23)'!N34-'IS (F4Q2022)'!N34</f>
        <v>0</v>
      </c>
      <c r="O34" s="111">
        <f>'IS (F1Q23)'!O34-'IS (F4Q2022)'!O34</f>
        <v>0</v>
      </c>
      <c r="P34" s="111">
        <f>'IS (F1Q23)'!P34-'IS (F4Q2022)'!P34</f>
        <v>0</v>
      </c>
      <c r="Q34" s="111">
        <f>'IS (F1Q23)'!Q34-'IS (F4Q2022)'!Q34</f>
        <v>0</v>
      </c>
      <c r="R34" s="172">
        <f>'IS (F1Q23)'!R34-'IS (F4Q2022)'!R34</f>
        <v>0</v>
      </c>
      <c r="S34" s="111">
        <f>'IS (F1Q23)'!S34-'IS (F4Q2022)'!S34</f>
        <v>0</v>
      </c>
      <c r="T34" s="111">
        <f>'IS (F1Q23)'!T34-'IS (F4Q2022)'!T34</f>
        <v>0</v>
      </c>
      <c r="U34" s="111">
        <f>'IS (F1Q23)'!U34-'IS (F4Q2022)'!U34</f>
        <v>0</v>
      </c>
      <c r="V34" s="111">
        <f>'IS (F1Q23)'!V34-'IS (F4Q2022)'!V34</f>
        <v>0</v>
      </c>
      <c r="W34" s="172">
        <f>'IS (F1Q23)'!W34-'IS (F4Q2022)'!W34</f>
        <v>0</v>
      </c>
      <c r="X34" s="82">
        <f>'IS (F1Q23)'!X34-'IS (F4Q2022)'!X34</f>
        <v>-9.8736784951425349E-3</v>
      </c>
      <c r="Y34" s="82">
        <f>'IS (F1Q23)'!Y34-'IS (F4Q2022)'!Y34</f>
        <v>-0.10845021017163514</v>
      </c>
      <c r="Z34" s="82">
        <f>'IS (F1Q23)'!Z34-'IS (F4Q2022)'!Z34</f>
        <v>1.6576412634093818E-2</v>
      </c>
      <c r="AA34" s="82">
        <f>'IS (F1Q23)'!AA34-'IS (F4Q2022)'!AA34</f>
        <v>6.756595756623951E-2</v>
      </c>
      <c r="AB34" s="83">
        <f>'IS (F1Q23)'!AB34-'IS (F4Q2022)'!AB34</f>
        <v>-3.4124124691003122E-2</v>
      </c>
      <c r="AC34" s="82">
        <f>'IS (F1Q23)'!AC34-'IS (F4Q2022)'!AC34</f>
        <v>-3.6573389895831587E-2</v>
      </c>
      <c r="AD34" s="82">
        <f>'IS (F1Q23)'!AD34-'IS (F4Q2022)'!AD34</f>
        <v>-0.15427656099177167</v>
      </c>
      <c r="AE34" s="82">
        <f>'IS (F1Q23)'!AE34-'IS (F4Q2022)'!AE34</f>
        <v>5.9444684447877982E-3</v>
      </c>
      <c r="AF34" s="82">
        <f>'IS (F1Q23)'!AF34-'IS (F4Q2022)'!AF34</f>
        <v>6.3499004965313022E-2</v>
      </c>
      <c r="AG34" s="83">
        <f>'IS (F1Q23)'!AG34-'IS (F4Q2022)'!AG34</f>
        <v>-0.12142274947933629</v>
      </c>
      <c r="AH34" s="82">
        <f>'IS (F1Q23)'!AH34-'IS (F4Q2022)'!AH34</f>
        <v>-6.9005455317472819E-2</v>
      </c>
      <c r="AI34" s="82">
        <f>'IS (F1Q23)'!AI34-'IS (F4Q2022)'!AI34</f>
        <v>-0.1772628447002943</v>
      </c>
      <c r="AJ34" s="82">
        <f>'IS (F1Q23)'!AJ34-'IS (F4Q2022)'!AJ34</f>
        <v>1.2076249411605788E-2</v>
      </c>
      <c r="AK34" s="82">
        <f>'IS (F1Q23)'!AK34-'IS (F4Q2022)'!AK34</f>
        <v>7.2735475729423404E-2</v>
      </c>
      <c r="AL34" s="415">
        <f>'IS (F1Q23)'!AL34-'IS (F4Q2022)'!AL34</f>
        <v>-0.16157518839012575</v>
      </c>
      <c r="AM34" s="82">
        <f>'IS (F1Q23)'!AM34-'IS (F4Q2022)'!AM34</f>
        <v>-7.9019195718915247E-2</v>
      </c>
      <c r="AN34" s="82">
        <f>'IS (F1Q23)'!AN34-'IS (F4Q2022)'!AN34</f>
        <v>-0.20432478601801618</v>
      </c>
      <c r="AO34" s="82">
        <f>'IS (F1Q23)'!AO34-'IS (F4Q2022)'!AO34</f>
        <v>3.3537456095142693E-2</v>
      </c>
      <c r="AP34" s="82">
        <f>'IS (F1Q23)'!AP34-'IS (F4Q2022)'!AP34</f>
        <v>0.1117816380149772</v>
      </c>
      <c r="AQ34" s="83">
        <f>'IS (F1Q23)'!AQ34-'IS (F4Q2022)'!AQ34</f>
        <v>-0.1380288137015464</v>
      </c>
      <c r="AR34" s="82">
        <f>'IS (F1Q23)'!AR34-'IS (F4Q2022)'!AR34</f>
        <v>-8.5598785645245368E-2</v>
      </c>
      <c r="AS34" s="82">
        <f>'IS (F1Q23)'!AS34-'IS (F4Q2022)'!AS34</f>
        <v>-0.21656412750890897</v>
      </c>
      <c r="AT34" s="82">
        <f>'IS (F1Q23)'!AT34-'IS (F4Q2022)'!AT34</f>
        <v>3.2872625443846726E-2</v>
      </c>
      <c r="AU34" s="82">
        <f>'IS (F1Q23)'!AU34-'IS (F4Q2022)'!AU34</f>
        <v>0.11657543862945219</v>
      </c>
      <c r="AV34" s="83">
        <f>'IS (F1Q23)'!AV34-'IS (F4Q2022)'!AV34</f>
        <v>-0.15271859276202182</v>
      </c>
    </row>
    <row r="35" spans="2:48" x14ac:dyDescent="0.3">
      <c r="B35" s="38" t="s">
        <v>41</v>
      </c>
      <c r="C35" s="207"/>
      <c r="D35" s="239">
        <f>'IS (F1Q23)'!D35-'IS (F4Q2022)'!D35</f>
        <v>0</v>
      </c>
      <c r="E35" s="239">
        <f>'IS (F1Q23)'!E35-'IS (F4Q2022)'!E35</f>
        <v>0</v>
      </c>
      <c r="F35" s="239">
        <f>'IS (F1Q23)'!F35-'IS (F4Q2022)'!F35</f>
        <v>0</v>
      </c>
      <c r="G35" s="239">
        <f>'IS (F1Q23)'!G35-'IS (F4Q2022)'!G35</f>
        <v>0</v>
      </c>
      <c r="H35" s="174">
        <f>'IS (F1Q23)'!H35-'IS (F4Q2022)'!H35</f>
        <v>0</v>
      </c>
      <c r="I35" s="239">
        <f>'IS (F1Q23)'!I35-'IS (F4Q2022)'!I35</f>
        <v>0</v>
      </c>
      <c r="J35" s="239">
        <f>'IS (F1Q23)'!J35-'IS (F4Q2022)'!J35</f>
        <v>0</v>
      </c>
      <c r="K35" s="239">
        <f>'IS (F1Q23)'!K35-'IS (F4Q2022)'!K35</f>
        <v>0</v>
      </c>
      <c r="L35" s="239">
        <f>'IS (F1Q23)'!L35-'IS (F4Q2022)'!L35</f>
        <v>0</v>
      </c>
      <c r="M35" s="25">
        <f>'IS (F1Q23)'!M35-'IS (F4Q2022)'!M35</f>
        <v>0</v>
      </c>
      <c r="N35" s="239">
        <f>'IS (F1Q23)'!N35-'IS (F4Q2022)'!N35</f>
        <v>0</v>
      </c>
      <c r="O35" s="239">
        <f>'IS (F1Q23)'!O35-'IS (F4Q2022)'!O35</f>
        <v>0</v>
      </c>
      <c r="P35" s="239">
        <f>'IS (F1Q23)'!P35-'IS (F4Q2022)'!P35</f>
        <v>0</v>
      </c>
      <c r="Q35" s="239">
        <f>'IS (F1Q23)'!Q35-'IS (F4Q2022)'!Q35</f>
        <v>0</v>
      </c>
      <c r="R35" s="25">
        <f>'IS (F1Q23)'!R35-'IS (F4Q2022)'!R35</f>
        <v>0</v>
      </c>
      <c r="S35" s="239">
        <f>'IS (F1Q23)'!S35-'IS (F4Q2022)'!S35</f>
        <v>0</v>
      </c>
      <c r="T35" s="239">
        <f>'IS (F1Q23)'!T35-'IS (F4Q2022)'!T35</f>
        <v>0</v>
      </c>
      <c r="U35" s="239">
        <f>'IS (F1Q23)'!U35-'IS (F4Q2022)'!U35</f>
        <v>0</v>
      </c>
      <c r="V35" s="239">
        <f>'IS (F1Q23)'!V35-'IS (F4Q2022)'!V35</f>
        <v>0</v>
      </c>
      <c r="W35" s="25">
        <f>'IS (F1Q23)'!W35-'IS (F4Q2022)'!W35</f>
        <v>0</v>
      </c>
      <c r="X35" s="240">
        <f>'IS (F1Q23)'!X35-'IS (F4Q2022)'!X35</f>
        <v>0</v>
      </c>
      <c r="Y35" s="240">
        <f>'IS (F1Q23)'!Y35-'IS (F4Q2022)'!Y35</f>
        <v>0</v>
      </c>
      <c r="Z35" s="240">
        <f>'IS (F1Q23)'!Z35-'IS (F4Q2022)'!Z35</f>
        <v>0</v>
      </c>
      <c r="AA35" s="240">
        <f>'IS (F1Q23)'!AA35-'IS (F4Q2022)'!AA35</f>
        <v>0</v>
      </c>
      <c r="AB35" s="25">
        <f>'IS (F1Q23)'!AB35-'IS (F4Q2022)'!AB35</f>
        <v>0</v>
      </c>
      <c r="AC35" s="240">
        <f>'IS (F1Q23)'!AC35-'IS (F4Q2022)'!AC35</f>
        <v>0</v>
      </c>
      <c r="AD35" s="240">
        <f>'IS (F1Q23)'!AD35-'IS (F4Q2022)'!AD35</f>
        <v>0</v>
      </c>
      <c r="AE35" s="240">
        <f>'IS (F1Q23)'!AE35-'IS (F4Q2022)'!AE35</f>
        <v>0</v>
      </c>
      <c r="AF35" s="240">
        <f>'IS (F1Q23)'!AF35-'IS (F4Q2022)'!AF35</f>
        <v>0</v>
      </c>
      <c r="AG35" s="25">
        <f>'IS (F1Q23)'!AG35-'IS (F4Q2022)'!AG35</f>
        <v>0</v>
      </c>
      <c r="AH35" s="240">
        <f>'IS (F1Q23)'!AH35-'IS (F4Q2022)'!AH35</f>
        <v>0</v>
      </c>
      <c r="AI35" s="240">
        <f>'IS (F1Q23)'!AI35-'IS (F4Q2022)'!AI35</f>
        <v>0</v>
      </c>
      <c r="AJ35" s="240">
        <f>'IS (F1Q23)'!AJ35-'IS (F4Q2022)'!AJ35</f>
        <v>0</v>
      </c>
      <c r="AK35" s="240">
        <f>'IS (F1Q23)'!AK35-'IS (F4Q2022)'!AK35</f>
        <v>0</v>
      </c>
      <c r="AL35" s="25">
        <f>'IS (F1Q23)'!AL35-'IS (F4Q2022)'!AL35</f>
        <v>0</v>
      </c>
      <c r="AM35" s="240">
        <f>'IS (F1Q23)'!AM35-'IS (F4Q2022)'!AM35</f>
        <v>0</v>
      </c>
      <c r="AN35" s="240">
        <f>'IS (F1Q23)'!AN35-'IS (F4Q2022)'!AN35</f>
        <v>0</v>
      </c>
      <c r="AO35" s="240">
        <f>'IS (F1Q23)'!AO35-'IS (F4Q2022)'!AO35</f>
        <v>0</v>
      </c>
      <c r="AP35" s="240">
        <f>'IS (F1Q23)'!AP35-'IS (F4Q2022)'!AP35</f>
        <v>0</v>
      </c>
      <c r="AQ35" s="25">
        <f>'IS (F1Q23)'!AQ35-'IS (F4Q2022)'!AQ35</f>
        <v>0</v>
      </c>
      <c r="AR35" s="240">
        <f>'IS (F1Q23)'!AR35-'IS (F4Q2022)'!AR35</f>
        <v>0</v>
      </c>
      <c r="AS35" s="240">
        <f>'IS (F1Q23)'!AS35-'IS (F4Q2022)'!AS35</f>
        <v>0</v>
      </c>
      <c r="AT35" s="240">
        <f>'IS (F1Q23)'!AT35-'IS (F4Q2022)'!AT35</f>
        <v>0</v>
      </c>
      <c r="AU35" s="240">
        <f>'IS (F1Q23)'!AU35-'IS (F4Q2022)'!AU35</f>
        <v>0</v>
      </c>
      <c r="AV35" s="25">
        <f>'IS (F1Q23)'!AV35-'IS (F4Q2022)'!AV35</f>
        <v>0</v>
      </c>
    </row>
    <row r="36" spans="2:48" s="241" customFormat="1" x14ac:dyDescent="0.3">
      <c r="B36" s="242" t="s">
        <v>170</v>
      </c>
      <c r="C36" s="243"/>
      <c r="D36" s="211">
        <f>'IS (F1Q23)'!D36-'IS (F4Q2022)'!D36</f>
        <v>0</v>
      </c>
      <c r="E36" s="211">
        <f>'IS (F1Q23)'!E36-'IS (F4Q2022)'!E36</f>
        <v>0</v>
      </c>
      <c r="F36" s="211">
        <f>'IS (F1Q23)'!F36-'IS (F4Q2022)'!F36</f>
        <v>0</v>
      </c>
      <c r="G36" s="211">
        <f>'IS (F1Q23)'!G36-'IS (F4Q2022)'!G36</f>
        <v>0</v>
      </c>
      <c r="H36" s="244">
        <f>'IS (F1Q23)'!H36-'IS (F4Q2022)'!H36</f>
        <v>0</v>
      </c>
      <c r="I36" s="211">
        <f>'IS (F1Q23)'!I36-'IS (F4Q2022)'!I36</f>
        <v>0</v>
      </c>
      <c r="J36" s="211">
        <f>'IS (F1Q23)'!J36-'IS (F4Q2022)'!J36</f>
        <v>0</v>
      </c>
      <c r="K36" s="211">
        <f>'IS (F1Q23)'!K36-'IS (F4Q2022)'!K36</f>
        <v>0</v>
      </c>
      <c r="L36" s="211">
        <f>'IS (F1Q23)'!L36-'IS (F4Q2022)'!L36</f>
        <v>0</v>
      </c>
      <c r="M36" s="244">
        <f>'IS (F1Q23)'!M36-'IS (F4Q2022)'!M36</f>
        <v>0</v>
      </c>
      <c r="N36" s="211">
        <f>'IS (F1Q23)'!N36-'IS (F4Q2022)'!N36</f>
        <v>0</v>
      </c>
      <c r="O36" s="211">
        <f>'IS (F1Q23)'!O36-'IS (F4Q2022)'!O36</f>
        <v>0</v>
      </c>
      <c r="P36" s="211">
        <f>'IS (F1Q23)'!P36-'IS (F4Q2022)'!P36</f>
        <v>0</v>
      </c>
      <c r="Q36" s="211">
        <f>'IS (F1Q23)'!Q36-'IS (F4Q2022)'!Q36</f>
        <v>0</v>
      </c>
      <c r="R36" s="244">
        <f>'IS (F1Q23)'!R36-'IS (F4Q2022)'!R36</f>
        <v>0</v>
      </c>
      <c r="S36" s="211">
        <f>'IS (F1Q23)'!S36-'IS (F4Q2022)'!S36</f>
        <v>0</v>
      </c>
      <c r="T36" s="211">
        <f>'IS (F1Q23)'!T36-'IS (F4Q2022)'!T36</f>
        <v>0</v>
      </c>
      <c r="U36" s="211">
        <f>'IS (F1Q23)'!U36-'IS (F4Q2022)'!U36</f>
        <v>0</v>
      </c>
      <c r="V36" s="211">
        <f>'IS (F1Q23)'!V36-'IS (F4Q2022)'!V36</f>
        <v>0</v>
      </c>
      <c r="W36" s="244">
        <f>'IS (F1Q23)'!W36-'IS (F4Q2022)'!W36</f>
        <v>0</v>
      </c>
      <c r="X36" s="211">
        <f>'IS (F1Q23)'!X36-'IS (F4Q2022)'!X36</f>
        <v>0</v>
      </c>
      <c r="Y36" s="211">
        <f>'IS (F1Q23)'!Y36-'IS (F4Q2022)'!Y36</f>
        <v>0</v>
      </c>
      <c r="Z36" s="211">
        <f>'IS (F1Q23)'!Z36-'IS (F4Q2022)'!Z36</f>
        <v>0</v>
      </c>
      <c r="AA36" s="211">
        <f>'IS (F1Q23)'!AA36-'IS (F4Q2022)'!AA36</f>
        <v>0</v>
      </c>
      <c r="AB36" s="244">
        <f>'IS (F1Q23)'!AB36-'IS (F4Q2022)'!AB36</f>
        <v>-2.7986121389300678E-3</v>
      </c>
      <c r="AC36" s="211">
        <f>'IS (F1Q23)'!AC36-'IS (F4Q2022)'!AC36</f>
        <v>0</v>
      </c>
      <c r="AD36" s="211">
        <f>'IS (F1Q23)'!AD36-'IS (F4Q2022)'!AD36</f>
        <v>0</v>
      </c>
      <c r="AE36" s="211">
        <f>'IS (F1Q23)'!AE36-'IS (F4Q2022)'!AE36</f>
        <v>0</v>
      </c>
      <c r="AF36" s="211">
        <f>'IS (F1Q23)'!AF36-'IS (F4Q2022)'!AF36</f>
        <v>0</v>
      </c>
      <c r="AG36" s="244">
        <f>'IS (F1Q23)'!AG36-'IS (F4Q2022)'!AG36</f>
        <v>5.9708000096860836E-3</v>
      </c>
      <c r="AH36" s="211">
        <f>'IS (F1Q23)'!AH36-'IS (F4Q2022)'!AH36</f>
        <v>0</v>
      </c>
      <c r="AI36" s="211">
        <f>'IS (F1Q23)'!AI36-'IS (F4Q2022)'!AI36</f>
        <v>0</v>
      </c>
      <c r="AJ36" s="211">
        <f>'IS (F1Q23)'!AJ36-'IS (F4Q2022)'!AJ36</f>
        <v>0</v>
      </c>
      <c r="AK36" s="211">
        <f>'IS (F1Q23)'!AK36-'IS (F4Q2022)'!AK36</f>
        <v>0</v>
      </c>
      <c r="AL36" s="431">
        <f>'IS (F1Q23)'!AL36-'IS (F4Q2022)'!AL36</f>
        <v>6.1596117473693979E-3</v>
      </c>
      <c r="AM36" s="211">
        <f>'IS (F1Q23)'!AM36-'IS (F4Q2022)'!AM36</f>
        <v>0</v>
      </c>
      <c r="AN36" s="211">
        <f>'IS (F1Q23)'!AN36-'IS (F4Q2022)'!AN36</f>
        <v>0</v>
      </c>
      <c r="AO36" s="211">
        <f>'IS (F1Q23)'!AO36-'IS (F4Q2022)'!AO36</f>
        <v>0</v>
      </c>
      <c r="AP36" s="211">
        <f>'IS (F1Q23)'!AP36-'IS (F4Q2022)'!AP36</f>
        <v>0</v>
      </c>
      <c r="AQ36" s="244">
        <f>'IS (F1Q23)'!AQ36-'IS (F4Q2022)'!AQ36</f>
        <v>2.5257235948557E-3</v>
      </c>
      <c r="AR36" s="211">
        <f>'IS (F1Q23)'!AR36-'IS (F4Q2022)'!AR36</f>
        <v>0</v>
      </c>
      <c r="AS36" s="211">
        <f>'IS (F1Q23)'!AS36-'IS (F4Q2022)'!AS36</f>
        <v>0</v>
      </c>
      <c r="AT36" s="211">
        <f>'IS (F1Q23)'!AT36-'IS (F4Q2022)'!AT36</f>
        <v>0</v>
      </c>
      <c r="AU36" s="211">
        <f>'IS (F1Q23)'!AU36-'IS (F4Q2022)'!AU36</f>
        <v>0</v>
      </c>
      <c r="AV36" s="244">
        <f>'IS (F1Q23)'!AV36-'IS (F4Q2022)'!AV36</f>
        <v>3.3316669493548834E-3</v>
      </c>
    </row>
    <row r="37" spans="2:48" s="63" customFormat="1" x14ac:dyDescent="0.3">
      <c r="B37" s="198"/>
      <c r="C37" s="371"/>
      <c r="D37" s="372"/>
      <c r="E37" s="196"/>
      <c r="F37" s="196"/>
      <c r="G37" s="196"/>
      <c r="H37" s="196"/>
      <c r="I37" s="196"/>
      <c r="J37" s="196"/>
      <c r="K37" s="196"/>
      <c r="L37" s="196"/>
      <c r="M37" s="196"/>
      <c r="N37" s="196"/>
      <c r="O37" s="196"/>
      <c r="P37" s="196"/>
      <c r="Q37" s="196"/>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583" t="s">
        <v>13</v>
      </c>
      <c r="C38" s="584"/>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85"/>
      <c r="C39" s="586"/>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99" t="s">
        <v>174</v>
      </c>
      <c r="C40" s="600"/>
      <c r="D40" s="14"/>
      <c r="E40" s="14"/>
      <c r="F40" s="14"/>
      <c r="G40" s="14"/>
      <c r="H40" s="40"/>
      <c r="I40" s="14"/>
      <c r="J40" s="14"/>
      <c r="K40" s="14"/>
      <c r="L40" s="14"/>
      <c r="M40" s="40"/>
      <c r="N40" s="14"/>
      <c r="O40" s="14"/>
      <c r="P40" s="14"/>
      <c r="Q40" s="14"/>
      <c r="R40" s="40"/>
      <c r="S40" s="14"/>
      <c r="T40" s="14"/>
      <c r="U40" s="14"/>
      <c r="V40" s="14"/>
      <c r="W40" s="40"/>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601" t="s">
        <v>175</v>
      </c>
      <c r="C41" s="602"/>
      <c r="D41" s="21">
        <f>'IS (F1Q23)'!D41-'IS (F4Q2022)'!D41</f>
        <v>0</v>
      </c>
      <c r="E41" s="21">
        <f>'IS (F1Q23)'!E41-'IS (F4Q2022)'!E41</f>
        <v>0</v>
      </c>
      <c r="F41" s="116">
        <f>'IS (F1Q23)'!F41-'IS (F4Q2022)'!F41</f>
        <v>0</v>
      </c>
      <c r="G41" s="21">
        <f>'IS (F1Q23)'!G41-'IS (F4Q2022)'!G41</f>
        <v>0</v>
      </c>
      <c r="H41" s="57">
        <f>'IS (F1Q23)'!H41-'IS (F4Q2022)'!H41</f>
        <v>0</v>
      </c>
      <c r="I41" s="21">
        <f>'IS (F1Q23)'!I41-'IS (F4Q2022)'!I41</f>
        <v>0</v>
      </c>
      <c r="J41" s="21">
        <f>'IS (F1Q23)'!J41-'IS (F4Q2022)'!J41</f>
        <v>0</v>
      </c>
      <c r="K41" s="21">
        <f>'IS (F1Q23)'!K41-'IS (F4Q2022)'!K41</f>
        <v>0</v>
      </c>
      <c r="L41" s="21">
        <f>'IS (F1Q23)'!L41-'IS (F4Q2022)'!L41</f>
        <v>0</v>
      </c>
      <c r="M41" s="57">
        <f>'IS (F1Q23)'!M41-'IS (F4Q2022)'!M41</f>
        <v>0</v>
      </c>
      <c r="N41" s="21">
        <f>'IS (F1Q23)'!N41-'IS (F4Q2022)'!N41</f>
        <v>0</v>
      </c>
      <c r="O41" s="21">
        <f>'IS (F1Q23)'!O41-'IS (F4Q2022)'!O41</f>
        <v>0</v>
      </c>
      <c r="P41" s="21">
        <f>'IS (F1Q23)'!P41-'IS (F4Q2022)'!P41</f>
        <v>0</v>
      </c>
      <c r="Q41" s="21">
        <f>'IS (F1Q23)'!Q41-'IS (F4Q2022)'!Q41</f>
        <v>0</v>
      </c>
      <c r="R41" s="191">
        <f>'IS (F1Q23)'!R41-'IS (F4Q2022)'!R41</f>
        <v>0</v>
      </c>
      <c r="S41" s="21">
        <f>'IS (F1Q23)'!S41-'IS (F4Q2022)'!S41</f>
        <v>0</v>
      </c>
      <c r="T41" s="21">
        <f>'IS (F1Q23)'!T41-'IS (F4Q2022)'!T41</f>
        <v>0</v>
      </c>
      <c r="U41" s="21">
        <f>'IS (F1Q23)'!U41-'IS (F4Q2022)'!U41</f>
        <v>0</v>
      </c>
      <c r="V41" s="21">
        <f>'IS (F1Q23)'!V41-'IS (F4Q2022)'!V41</f>
        <v>0</v>
      </c>
      <c r="W41" s="191">
        <f>'IS (F1Q23)'!W41-'IS (F4Q2022)'!W41</f>
        <v>0</v>
      </c>
      <c r="X41" s="21">
        <f>'IS (F1Q23)'!X41-'IS (F4Q2022)'!X41</f>
        <v>-20.5</v>
      </c>
      <c r="Y41" s="21">
        <f>'IS (F1Q23)'!Y41-'IS (F4Q2022)'!Y41</f>
        <v>-14</v>
      </c>
      <c r="Z41" s="21">
        <f>'IS (F1Q23)'!Z41-'IS (F4Q2022)'!Z41</f>
        <v>-7.5</v>
      </c>
      <c r="AA41" s="21">
        <f>'IS (F1Q23)'!AA41-'IS (F4Q2022)'!AA41</f>
        <v>-1</v>
      </c>
      <c r="AB41" s="191">
        <f>'IS (F1Q23)'!AB41-'IS (F4Q2022)'!AB41</f>
        <v>-1</v>
      </c>
      <c r="AC41" s="21">
        <f>'IS (F1Q23)'!AC41-'IS (F4Q2022)'!AC41</f>
        <v>-1</v>
      </c>
      <c r="AD41" s="21">
        <f>'IS (F1Q23)'!AD41-'IS (F4Q2022)'!AD41</f>
        <v>-1</v>
      </c>
      <c r="AE41" s="21">
        <f>'IS (F1Q23)'!AE41-'IS (F4Q2022)'!AE41</f>
        <v>-1</v>
      </c>
      <c r="AF41" s="21">
        <f>'IS (F1Q23)'!AF41-'IS (F4Q2022)'!AF41</f>
        <v>-1</v>
      </c>
      <c r="AG41" s="191">
        <f>'IS (F1Q23)'!AG41-'IS (F4Q2022)'!AG41</f>
        <v>-1</v>
      </c>
      <c r="AH41" s="21">
        <f>'IS (F1Q23)'!AH41-'IS (F4Q2022)'!AH41</f>
        <v>-1</v>
      </c>
      <c r="AI41" s="21">
        <f>'IS (F1Q23)'!AI41-'IS (F4Q2022)'!AI41</f>
        <v>-1</v>
      </c>
      <c r="AJ41" s="21">
        <f>'IS (F1Q23)'!AJ41-'IS (F4Q2022)'!AJ41</f>
        <v>-1</v>
      </c>
      <c r="AK41" s="21">
        <f>'IS (F1Q23)'!AK41-'IS (F4Q2022)'!AK41</f>
        <v>-1</v>
      </c>
      <c r="AL41" s="191">
        <f>'IS (F1Q23)'!AL41-'IS (F4Q2022)'!AL41</f>
        <v>-1</v>
      </c>
      <c r="AM41" s="21">
        <f>'IS (F1Q23)'!AM41-'IS (F4Q2022)'!AM41</f>
        <v>-1</v>
      </c>
      <c r="AN41" s="21">
        <f>'IS (F1Q23)'!AN41-'IS (F4Q2022)'!AN41</f>
        <v>-1</v>
      </c>
      <c r="AO41" s="21">
        <f>'IS (F1Q23)'!AO41-'IS (F4Q2022)'!AO41</f>
        <v>-1</v>
      </c>
      <c r="AP41" s="21">
        <f>'IS (F1Q23)'!AP41-'IS (F4Q2022)'!AP41</f>
        <v>-1</v>
      </c>
      <c r="AQ41" s="191">
        <f>'IS (F1Q23)'!AQ41-'IS (F4Q2022)'!AQ41</f>
        <v>-1</v>
      </c>
      <c r="AR41" s="21">
        <f>'IS (F1Q23)'!AR41-'IS (F4Q2022)'!AR41</f>
        <v>-1</v>
      </c>
      <c r="AS41" s="21">
        <f>'IS (F1Q23)'!AS41-'IS (F4Q2022)'!AS41</f>
        <v>-1</v>
      </c>
      <c r="AT41" s="21">
        <f>'IS (F1Q23)'!AT41-'IS (F4Q2022)'!AT41</f>
        <v>-1</v>
      </c>
      <c r="AU41" s="21">
        <f>'IS (F1Q23)'!AU41-'IS (F4Q2022)'!AU41</f>
        <v>-1</v>
      </c>
      <c r="AV41" s="191">
        <f>'IS (F1Q23)'!AV41-'IS (F4Q2022)'!AV41</f>
        <v>-1</v>
      </c>
    </row>
    <row r="42" spans="2:48" outlineLevel="1" x14ac:dyDescent="0.3">
      <c r="B42" s="180" t="s">
        <v>46</v>
      </c>
      <c r="C42" s="201"/>
      <c r="D42" s="101">
        <f>'IS (F1Q23)'!D42-'IS (F4Q2022)'!D42</f>
        <v>0</v>
      </c>
      <c r="E42" s="101">
        <f>'IS (F1Q23)'!E42-'IS (F4Q2022)'!E42</f>
        <v>0</v>
      </c>
      <c r="F42" s="101">
        <f>'IS (F1Q23)'!F42-'IS (F4Q2022)'!F42</f>
        <v>0</v>
      </c>
      <c r="G42" s="101">
        <f>'IS (F1Q23)'!G42-'IS (F4Q2022)'!G42</f>
        <v>0</v>
      </c>
      <c r="H42" s="122">
        <f>'IS (F1Q23)'!H42-'IS (F4Q2022)'!H42</f>
        <v>0</v>
      </c>
      <c r="I42" s="101">
        <f>'IS (F1Q23)'!I42-'IS (F4Q2022)'!I42</f>
        <v>0</v>
      </c>
      <c r="J42" s="101">
        <f>'IS (F1Q23)'!J42-'IS (F4Q2022)'!J42</f>
        <v>0</v>
      </c>
      <c r="K42" s="101">
        <f>'IS (F1Q23)'!K42-'IS (F4Q2022)'!K42</f>
        <v>0</v>
      </c>
      <c r="L42" s="101">
        <f>'IS (F1Q23)'!L42-'IS (F4Q2022)'!L42</f>
        <v>0</v>
      </c>
      <c r="M42" s="122">
        <f>'IS (F1Q23)'!M42-'IS (F4Q2022)'!M42</f>
        <v>0</v>
      </c>
      <c r="N42" s="101">
        <f>'IS (F1Q23)'!N42-'IS (F4Q2022)'!N42</f>
        <v>0</v>
      </c>
      <c r="O42" s="101">
        <f>'IS (F1Q23)'!O42-'IS (F4Q2022)'!O42</f>
        <v>0</v>
      </c>
      <c r="P42" s="101">
        <f>'IS (F1Q23)'!P42-'IS (F4Q2022)'!P42</f>
        <v>0</v>
      </c>
      <c r="Q42" s="101">
        <f>'IS (F1Q23)'!Q42-'IS (F4Q2022)'!Q42</f>
        <v>0</v>
      </c>
      <c r="R42" s="26">
        <f>'IS (F1Q23)'!R42-'IS (F4Q2022)'!R42</f>
        <v>0</v>
      </c>
      <c r="S42" s="101">
        <f>'IS (F1Q23)'!S42-'IS (F4Q2022)'!S42</f>
        <v>0</v>
      </c>
      <c r="T42" s="101">
        <f>'IS (F1Q23)'!T42-'IS (F4Q2022)'!T42</f>
        <v>0</v>
      </c>
      <c r="U42" s="101">
        <f>'IS (F1Q23)'!U42-'IS (F4Q2022)'!U42</f>
        <v>0</v>
      </c>
      <c r="V42" s="101">
        <f>'IS (F1Q23)'!V42-'IS (F4Q2022)'!V42</f>
        <v>0</v>
      </c>
      <c r="W42" s="122">
        <f>'IS (F1Q23)'!W42-'IS (F4Q2022)'!W42</f>
        <v>0</v>
      </c>
      <c r="X42" s="33">
        <f>'IS (F1Q23)'!X42-'IS (F4Q2022)'!X42</f>
        <v>-20.5</v>
      </c>
      <c r="Y42" s="33">
        <f>'IS (F1Q23)'!Y42-'IS (F4Q2022)'!Y42</f>
        <v>6.5</v>
      </c>
      <c r="Z42" s="33">
        <f>'IS (F1Q23)'!Z42-'IS (F4Q2022)'!Z42</f>
        <v>6.5</v>
      </c>
      <c r="AA42" s="33">
        <f>'IS (F1Q23)'!AA42-'IS (F4Q2022)'!AA42</f>
        <v>6.5</v>
      </c>
      <c r="AB42" s="26">
        <f>'IS (F1Q23)'!AB42-'IS (F4Q2022)'!AB42</f>
        <v>-1</v>
      </c>
      <c r="AC42" s="33">
        <f>'IS (F1Q23)'!AC42-'IS (F4Q2022)'!AC42</f>
        <v>0</v>
      </c>
      <c r="AD42" s="33">
        <f>'IS (F1Q23)'!AD42-'IS (F4Q2022)'!AD42</f>
        <v>0</v>
      </c>
      <c r="AE42" s="33">
        <f>'IS (F1Q23)'!AE42-'IS (F4Q2022)'!AE42</f>
        <v>0</v>
      </c>
      <c r="AF42" s="33">
        <f>'IS (F1Q23)'!AF42-'IS (F4Q2022)'!AF42</f>
        <v>0</v>
      </c>
      <c r="AG42" s="26">
        <f>'IS (F1Q23)'!AG42-'IS (F4Q2022)'!AG42</f>
        <v>0</v>
      </c>
      <c r="AH42" s="33">
        <f>'IS (F1Q23)'!AH42-'IS (F4Q2022)'!AH42</f>
        <v>0</v>
      </c>
      <c r="AI42" s="33">
        <f>'IS (F1Q23)'!AI42-'IS (F4Q2022)'!AI42</f>
        <v>0</v>
      </c>
      <c r="AJ42" s="33">
        <f>'IS (F1Q23)'!AJ42-'IS (F4Q2022)'!AJ42</f>
        <v>0</v>
      </c>
      <c r="AK42" s="33">
        <f>'IS (F1Q23)'!AK42-'IS (F4Q2022)'!AK42</f>
        <v>0</v>
      </c>
      <c r="AL42" s="26">
        <f>'IS (F1Q23)'!AL42-'IS (F4Q2022)'!AL42</f>
        <v>0</v>
      </c>
      <c r="AM42" s="33">
        <f>'IS (F1Q23)'!AM42-'IS (F4Q2022)'!AM42</f>
        <v>0</v>
      </c>
      <c r="AN42" s="33">
        <f>'IS (F1Q23)'!AN42-'IS (F4Q2022)'!AN42</f>
        <v>0</v>
      </c>
      <c r="AO42" s="33">
        <f>'IS (F1Q23)'!AO42-'IS (F4Q2022)'!AO42</f>
        <v>0</v>
      </c>
      <c r="AP42" s="33">
        <f>'IS (F1Q23)'!AP42-'IS (F4Q2022)'!AP42</f>
        <v>0</v>
      </c>
      <c r="AQ42" s="26">
        <f>'IS (F1Q23)'!AQ42-'IS (F4Q2022)'!AQ42</f>
        <v>0</v>
      </c>
      <c r="AR42" s="33">
        <f>'IS (F1Q23)'!AR42-'IS (F4Q2022)'!AR42</f>
        <v>0</v>
      </c>
      <c r="AS42" s="33">
        <f>'IS (F1Q23)'!AS42-'IS (F4Q2022)'!AS42</f>
        <v>0</v>
      </c>
      <c r="AT42" s="33">
        <f>'IS (F1Q23)'!AT42-'IS (F4Q2022)'!AT42</f>
        <v>0</v>
      </c>
      <c r="AU42" s="33">
        <f>'IS (F1Q23)'!AU42-'IS (F4Q2022)'!AU42</f>
        <v>0</v>
      </c>
      <c r="AV42" s="26">
        <f>'IS (F1Q23)'!AV42-'IS (F4Q2022)'!AV42</f>
        <v>0</v>
      </c>
    </row>
    <row r="43" spans="2:48" outlineLevel="1" x14ac:dyDescent="0.3">
      <c r="B43" s="180" t="s">
        <v>201</v>
      </c>
      <c r="C43" s="201"/>
      <c r="D43" s="101">
        <f>'IS (F1Q23)'!D43-'IS (F4Q2022)'!D43</f>
        <v>0</v>
      </c>
      <c r="E43" s="101">
        <f>'IS (F1Q23)'!E43-'IS (F4Q2022)'!E43</f>
        <v>0</v>
      </c>
      <c r="F43" s="101">
        <f>'IS (F1Q23)'!F43-'IS (F4Q2022)'!F43</f>
        <v>0</v>
      </c>
      <c r="G43" s="101">
        <f>'IS (F1Q23)'!G43-'IS (F4Q2022)'!G43</f>
        <v>0</v>
      </c>
      <c r="H43" s="122">
        <f>'IS (F1Q23)'!H43-'IS (F4Q2022)'!H43</f>
        <v>0</v>
      </c>
      <c r="I43" s="101">
        <f>'IS (F1Q23)'!I43-'IS (F4Q2022)'!I43</f>
        <v>0</v>
      </c>
      <c r="J43" s="101">
        <f>'IS (F1Q23)'!J43-'IS (F4Q2022)'!J43</f>
        <v>0</v>
      </c>
      <c r="K43" s="101">
        <f>'IS (F1Q23)'!K43-'IS (F4Q2022)'!K43</f>
        <v>0</v>
      </c>
      <c r="L43" s="101">
        <f>'IS (F1Q23)'!L43-'IS (F4Q2022)'!L43</f>
        <v>0</v>
      </c>
      <c r="M43" s="122">
        <f>'IS (F1Q23)'!M43-'IS (F4Q2022)'!M43</f>
        <v>0</v>
      </c>
      <c r="N43" s="101">
        <f>'IS (F1Q23)'!N43-'IS (F4Q2022)'!N43</f>
        <v>0</v>
      </c>
      <c r="O43" s="101">
        <f>'IS (F1Q23)'!O43-'IS (F4Q2022)'!O43</f>
        <v>0</v>
      </c>
      <c r="P43" s="101">
        <f>'IS (F1Q23)'!P43-'IS (F4Q2022)'!P43</f>
        <v>0</v>
      </c>
      <c r="Q43" s="101">
        <f>'IS (F1Q23)'!Q43-'IS (F4Q2022)'!Q43</f>
        <v>0</v>
      </c>
      <c r="R43" s="122">
        <f>'IS (F1Q23)'!R43-'IS (F4Q2022)'!R43</f>
        <v>0</v>
      </c>
      <c r="S43" s="101">
        <f>'IS (F1Q23)'!S43-'IS (F4Q2022)'!S43</f>
        <v>0</v>
      </c>
      <c r="T43" s="101">
        <f>'IS (F1Q23)'!T43-'IS (F4Q2022)'!T43</f>
        <v>0</v>
      </c>
      <c r="U43" s="101">
        <f>'IS (F1Q23)'!U43-'IS (F4Q2022)'!U43</f>
        <v>0</v>
      </c>
      <c r="V43" s="101">
        <f>'IS (F1Q23)'!V43-'IS (F4Q2022)'!V43</f>
        <v>0</v>
      </c>
      <c r="W43" s="122">
        <f>'IS (F1Q23)'!W43-'IS (F4Q2022)'!W43</f>
        <v>0</v>
      </c>
      <c r="X43" s="101">
        <f>'IS (F1Q23)'!X43-'IS (F4Q2022)'!X43</f>
        <v>-10.25</v>
      </c>
      <c r="Y43" s="101">
        <f>'IS (F1Q23)'!Y43-'IS (F4Q2022)'!Y43</f>
        <v>-17.25</v>
      </c>
      <c r="Z43" s="101">
        <f>'IS (F1Q23)'!Z43-'IS (F4Q2022)'!Z43</f>
        <v>-10.75</v>
      </c>
      <c r="AA43" s="101">
        <f>'IS (F1Q23)'!AA43-'IS (F4Q2022)'!AA43</f>
        <v>-4.25</v>
      </c>
      <c r="AB43" s="122">
        <f>'IS (F1Q23)'!AB43-'IS (F4Q2022)'!AB43</f>
        <v>0</v>
      </c>
      <c r="AC43" s="101">
        <f>'IS (F1Q23)'!AC43-'IS (F4Q2022)'!AC43</f>
        <v>-1</v>
      </c>
      <c r="AD43" s="101">
        <f>'IS (F1Q23)'!AD43-'IS (F4Q2022)'!AD43</f>
        <v>-1</v>
      </c>
      <c r="AE43" s="101">
        <f>'IS (F1Q23)'!AE43-'IS (F4Q2022)'!AE43</f>
        <v>-1</v>
      </c>
      <c r="AF43" s="101">
        <f>'IS (F1Q23)'!AF43-'IS (F4Q2022)'!AF43</f>
        <v>-1</v>
      </c>
      <c r="AG43" s="122">
        <f>'IS (F1Q23)'!AG43-'IS (F4Q2022)'!AG43</f>
        <v>0</v>
      </c>
      <c r="AH43" s="101">
        <f>'IS (F1Q23)'!AH43-'IS (F4Q2022)'!AH43</f>
        <v>-1</v>
      </c>
      <c r="AI43" s="101">
        <f>'IS (F1Q23)'!AI43-'IS (F4Q2022)'!AI43</f>
        <v>-1</v>
      </c>
      <c r="AJ43" s="101">
        <f>'IS (F1Q23)'!AJ43-'IS (F4Q2022)'!AJ43</f>
        <v>-1</v>
      </c>
      <c r="AK43" s="101">
        <f>'IS (F1Q23)'!AK43-'IS (F4Q2022)'!AK43</f>
        <v>-1</v>
      </c>
      <c r="AL43" s="122">
        <f>'IS (F1Q23)'!AL43-'IS (F4Q2022)'!AL43</f>
        <v>0</v>
      </c>
      <c r="AM43" s="101">
        <f>'IS (F1Q23)'!AM43-'IS (F4Q2022)'!AM43</f>
        <v>-1</v>
      </c>
      <c r="AN43" s="101">
        <f>'IS (F1Q23)'!AN43-'IS (F4Q2022)'!AN43</f>
        <v>-1</v>
      </c>
      <c r="AO43" s="101">
        <f>'IS (F1Q23)'!AO43-'IS (F4Q2022)'!AO43</f>
        <v>-1</v>
      </c>
      <c r="AP43" s="101">
        <f>'IS (F1Q23)'!AP43-'IS (F4Q2022)'!AP43</f>
        <v>-1</v>
      </c>
      <c r="AQ43" s="122">
        <f>'IS (F1Q23)'!AQ43-'IS (F4Q2022)'!AQ43</f>
        <v>0</v>
      </c>
      <c r="AR43" s="101">
        <f>'IS (F1Q23)'!AR43-'IS (F4Q2022)'!AR43</f>
        <v>-1</v>
      </c>
      <c r="AS43" s="101">
        <f>'IS (F1Q23)'!AS43-'IS (F4Q2022)'!AS43</f>
        <v>-1</v>
      </c>
      <c r="AT43" s="101">
        <f>'IS (F1Q23)'!AT43-'IS (F4Q2022)'!AT43</f>
        <v>-1</v>
      </c>
      <c r="AU43" s="101">
        <f>'IS (F1Q23)'!AU43-'IS (F4Q2022)'!AU43</f>
        <v>-1</v>
      </c>
      <c r="AV43" s="122">
        <f>'IS (F1Q23)'!AV43-'IS (F4Q2022)'!AV43</f>
        <v>0</v>
      </c>
    </row>
    <row r="44" spans="2:48" s="8" customFormat="1" outlineLevel="1" x14ac:dyDescent="0.3">
      <c r="B44" s="180" t="s">
        <v>205</v>
      </c>
      <c r="C44" s="206"/>
      <c r="D44" s="472">
        <f>'IS (F1Q23)'!D44-'IS (F4Q2022)'!D44</f>
        <v>0</v>
      </c>
      <c r="E44" s="43">
        <f>'IS (F1Q23)'!E44-'IS (F4Q2022)'!E44</f>
        <v>0</v>
      </c>
      <c r="F44" s="43">
        <f>'IS (F1Q23)'!F44-'IS (F4Q2022)'!F44</f>
        <v>0</v>
      </c>
      <c r="G44" s="43">
        <f>'IS (F1Q23)'!G44-'IS (F4Q2022)'!G44</f>
        <v>0</v>
      </c>
      <c r="H44" s="471">
        <f>'IS (F1Q23)'!H44-'IS (F4Q2022)'!H44</f>
        <v>0</v>
      </c>
      <c r="I44" s="43">
        <f>'IS (F1Q23)'!I44-'IS (F4Q2022)'!I44</f>
        <v>0</v>
      </c>
      <c r="J44" s="43">
        <f>'IS (F1Q23)'!J44-'IS (F4Q2022)'!J44</f>
        <v>0</v>
      </c>
      <c r="K44" s="43">
        <f>'IS (F1Q23)'!K44-'IS (F4Q2022)'!K44</f>
        <v>0</v>
      </c>
      <c r="L44" s="43">
        <f>'IS (F1Q23)'!L44-'IS (F4Q2022)'!L44</f>
        <v>0</v>
      </c>
      <c r="M44" s="471">
        <f>'IS (F1Q23)'!M44-'IS (F4Q2022)'!M44</f>
        <v>0</v>
      </c>
      <c r="N44" s="43">
        <f>'IS (F1Q23)'!N44-'IS (F4Q2022)'!N44</f>
        <v>0</v>
      </c>
      <c r="O44" s="43">
        <f>'IS (F1Q23)'!O44-'IS (F4Q2022)'!O44</f>
        <v>0</v>
      </c>
      <c r="P44" s="43">
        <f>'IS (F1Q23)'!P44-'IS (F4Q2022)'!P44</f>
        <v>0</v>
      </c>
      <c r="Q44" s="43">
        <f>'IS (F1Q23)'!Q44-'IS (F4Q2022)'!Q44</f>
        <v>0</v>
      </c>
      <c r="R44" s="97">
        <f>'IS (F1Q23)'!R44-'IS (F4Q2022)'!R44</f>
        <v>0</v>
      </c>
      <c r="S44" s="43">
        <f>'IS (F1Q23)'!S44-'IS (F4Q2022)'!S44</f>
        <v>0</v>
      </c>
      <c r="T44" s="43">
        <f>'IS (F1Q23)'!T44-'IS (F4Q2022)'!T44</f>
        <v>0</v>
      </c>
      <c r="U44" s="43">
        <f>'IS (F1Q23)'!U44-'IS (F4Q2022)'!U44</f>
        <v>0</v>
      </c>
      <c r="V44" s="43">
        <f>'IS (F1Q23)'!V44-'IS (F4Q2022)'!V44</f>
        <v>0</v>
      </c>
      <c r="W44" s="132">
        <f>'IS (F1Q23)'!W44-'IS (F4Q2022)'!W44</f>
        <v>0</v>
      </c>
      <c r="X44" s="219">
        <f>'IS (F1Q23)'!X44-'IS (F4Q2022)'!X44</f>
        <v>8.8684710781529175E-3</v>
      </c>
      <c r="Y44" s="219">
        <f>'IS (F1Q23)'!Y44-'IS (F4Q2022)'!Y44</f>
        <v>0</v>
      </c>
      <c r="Z44" s="219">
        <f>'IS (F1Q23)'!Z44-'IS (F4Q2022)'!Z44</f>
        <v>0</v>
      </c>
      <c r="AA44" s="219">
        <f>'IS (F1Q23)'!AA44-'IS (F4Q2022)'!AA44</f>
        <v>0</v>
      </c>
      <c r="AB44" s="97">
        <f>'IS (F1Q23)'!AB44-'IS (F4Q2022)'!AB44</f>
        <v>0</v>
      </c>
      <c r="AC44" s="219">
        <f>'IS (F1Q23)'!AC44-'IS (F4Q2022)'!AC44</f>
        <v>9.3118946320605023E-3</v>
      </c>
      <c r="AD44" s="219">
        <f>'IS (F1Q23)'!AD44-'IS (F4Q2022)'!AD44</f>
        <v>0</v>
      </c>
      <c r="AE44" s="219">
        <f>'IS (F1Q23)'!AE44-'IS (F4Q2022)'!AE44</f>
        <v>0</v>
      </c>
      <c r="AF44" s="219">
        <f>'IS (F1Q23)'!AF44-'IS (F4Q2022)'!AF44</f>
        <v>0</v>
      </c>
      <c r="AG44" s="97">
        <f>'IS (F1Q23)'!AG44-'IS (F4Q2022)'!AG44</f>
        <v>0</v>
      </c>
      <c r="AH44" s="219">
        <f>'IS (F1Q23)'!AH44-'IS (F4Q2022)'!AH44</f>
        <v>9.9637272563047885E-3</v>
      </c>
      <c r="AI44" s="219">
        <f>'IS (F1Q23)'!AI44-'IS (F4Q2022)'!AI44</f>
        <v>0</v>
      </c>
      <c r="AJ44" s="219">
        <f>'IS (F1Q23)'!AJ44-'IS (F4Q2022)'!AJ44</f>
        <v>0</v>
      </c>
      <c r="AK44" s="219">
        <f>'IS (F1Q23)'!AK44-'IS (F4Q2022)'!AK44</f>
        <v>0</v>
      </c>
      <c r="AL44" s="97">
        <f>'IS (F1Q23)'!AL44-'IS (F4Q2022)'!AL44</f>
        <v>0</v>
      </c>
      <c r="AM44" s="477">
        <f>'IS (F1Q23)'!AM44-'IS (F4Q2022)'!AM44</f>
        <v>1.0461913619119967E-2</v>
      </c>
      <c r="AN44" s="477">
        <f>'IS (F1Q23)'!AN44-'IS (F4Q2022)'!AN44</f>
        <v>0</v>
      </c>
      <c r="AO44" s="477">
        <f>'IS (F1Q23)'!AO44-'IS (F4Q2022)'!AO44</f>
        <v>0</v>
      </c>
      <c r="AP44" s="477">
        <f>'IS (F1Q23)'!AP44-'IS (F4Q2022)'!AP44</f>
        <v>0</v>
      </c>
      <c r="AQ44" s="97">
        <f>'IS (F1Q23)'!AQ44-'IS (F4Q2022)'!AQ44</f>
        <v>0</v>
      </c>
      <c r="AR44" s="477">
        <f>'IS (F1Q23)'!AR44-'IS (F4Q2022)'!AR44</f>
        <v>1.0775771027693559E-2</v>
      </c>
      <c r="AS44" s="477">
        <f>'IS (F1Q23)'!AS44-'IS (F4Q2022)'!AS44</f>
        <v>0</v>
      </c>
      <c r="AT44" s="477">
        <f>'IS (F1Q23)'!AT44-'IS (F4Q2022)'!AT44</f>
        <v>0</v>
      </c>
      <c r="AU44" s="477">
        <f>'IS (F1Q23)'!AU44-'IS (F4Q2022)'!AU44</f>
        <v>0</v>
      </c>
      <c r="AV44" s="97">
        <f>'IS (F1Q23)'!AV44-'IS (F4Q2022)'!AV44</f>
        <v>0</v>
      </c>
    </row>
    <row r="45" spans="2:48" s="8" customFormat="1" outlineLevel="1" x14ac:dyDescent="0.3">
      <c r="B45" s="587" t="s">
        <v>176</v>
      </c>
      <c r="C45" s="588"/>
      <c r="D45" s="50">
        <f>'IS (F1Q23)'!D45-'IS (F4Q2022)'!D45</f>
        <v>0</v>
      </c>
      <c r="E45" s="50">
        <f>'IS (F1Q23)'!E45-'IS (F4Q2022)'!E45</f>
        <v>0</v>
      </c>
      <c r="F45" s="50">
        <f>'IS (F1Q23)'!F45-'IS (F4Q2022)'!F45</f>
        <v>0</v>
      </c>
      <c r="G45" s="50">
        <f>'IS (F1Q23)'!G45-'IS (F4Q2022)'!G45</f>
        <v>0</v>
      </c>
      <c r="H45" s="97">
        <f>'IS (F1Q23)'!H45-'IS (F4Q2022)'!H45</f>
        <v>0</v>
      </c>
      <c r="I45" s="50">
        <f>'IS (F1Q23)'!I45-'IS (F4Q2022)'!I45</f>
        <v>0</v>
      </c>
      <c r="J45" s="50">
        <f>'IS (F1Q23)'!J45-'IS (F4Q2022)'!J45</f>
        <v>0</v>
      </c>
      <c r="K45" s="103">
        <f>'IS (F1Q23)'!K45-'IS (F4Q2022)'!K45</f>
        <v>0</v>
      </c>
      <c r="L45" s="50">
        <f>'IS (F1Q23)'!L45-'IS (F4Q2022)'!L45</f>
        <v>0</v>
      </c>
      <c r="M45" s="132">
        <f>'IS (F1Q23)'!M45-'IS (F4Q2022)'!M45</f>
        <v>0</v>
      </c>
      <c r="N45" s="50">
        <f>'IS (F1Q23)'!N45-'IS (F4Q2022)'!N45</f>
        <v>0</v>
      </c>
      <c r="O45" s="50">
        <f>'IS (F1Q23)'!O45-'IS (F4Q2022)'!O45</f>
        <v>0</v>
      </c>
      <c r="P45" s="50">
        <f>'IS (F1Q23)'!P45-'IS (F4Q2022)'!P45</f>
        <v>0</v>
      </c>
      <c r="Q45" s="103">
        <f>'IS (F1Q23)'!Q45-'IS (F4Q2022)'!Q45</f>
        <v>0</v>
      </c>
      <c r="R45" s="132">
        <f>'IS (F1Q23)'!R45-'IS (F4Q2022)'!R45</f>
        <v>0</v>
      </c>
      <c r="S45" s="50">
        <f>'IS (F1Q23)'!S45-'IS (F4Q2022)'!S45</f>
        <v>0</v>
      </c>
      <c r="T45" s="50">
        <f>'IS (F1Q23)'!T45-'IS (F4Q2022)'!T45</f>
        <v>0</v>
      </c>
      <c r="U45" s="50">
        <f>'IS (F1Q23)'!U45-'IS (F4Q2022)'!U45</f>
        <v>0</v>
      </c>
      <c r="V45" s="50">
        <f>'IS (F1Q23)'!V45-'IS (F4Q2022)'!V45</f>
        <v>0</v>
      </c>
      <c r="W45" s="132">
        <f>'IS (F1Q23)'!W45-'IS (F4Q2022)'!W45</f>
        <v>0</v>
      </c>
      <c r="X45" s="50">
        <f>'IS (F1Q23)'!X45-'IS (F4Q2022)'!X45</f>
        <v>84.989942437123318</v>
      </c>
      <c r="Y45" s="50">
        <f>'IS (F1Q23)'!Y45-'IS (F4Q2022)'!Y45</f>
        <v>-9.1781764128136274</v>
      </c>
      <c r="Z45" s="50">
        <f>'IS (F1Q23)'!Z45-'IS (F4Q2022)'!Z45</f>
        <v>-6.2217801439710456</v>
      </c>
      <c r="AA45" s="50">
        <f>'IS (F1Q23)'!AA45-'IS (F4Q2022)'!AA45</f>
        <v>-2.4444001036217742</v>
      </c>
      <c r="AB45" s="97">
        <f>'IS (F1Q23)'!AB45-'IS (F4Q2022)'!AB45</f>
        <v>67.14558577671778</v>
      </c>
      <c r="AC45" s="50">
        <f>'IS (F1Q23)'!AC45-'IS (F4Q2022)'!AC45</f>
        <v>97.116821213743606</v>
      </c>
      <c r="AD45" s="50">
        <f>'IS (F1Q23)'!AD45-'IS (F4Q2022)'!AD45</f>
        <v>-0.55867160773686919</v>
      </c>
      <c r="AE45" s="50">
        <f>'IS (F1Q23)'!AE45-'IS (F4Q2022)'!AE45</f>
        <v>-0.60770875824891846</v>
      </c>
      <c r="AF45" s="50">
        <f>'IS (F1Q23)'!AF45-'IS (F4Q2022)'!AF45</f>
        <v>-0.60391061383597844</v>
      </c>
      <c r="AG45" s="97">
        <f>'IS (F1Q23)'!AG45-'IS (F4Q2022)'!AG45</f>
        <v>95.34653023392093</v>
      </c>
      <c r="AH45" s="50">
        <f>'IS (F1Q23)'!AH45-'IS (F4Q2022)'!AH45</f>
        <v>106.87422569382852</v>
      </c>
      <c r="AI45" s="50">
        <f>'IS (F1Q23)'!AI45-'IS (F4Q2022)'!AI45</f>
        <v>-0.59777862027749507</v>
      </c>
      <c r="AJ45" s="50">
        <f>'IS (F1Q23)'!AJ45-'IS (F4Q2022)'!AJ45</f>
        <v>-0.65024837132568791</v>
      </c>
      <c r="AK45" s="50">
        <f>'IS (F1Q23)'!AK45-'IS (F4Q2022)'!AK45</f>
        <v>-0.64618435680495168</v>
      </c>
      <c r="AL45" s="97">
        <f>'IS (F1Q23)'!AL45-'IS (F4Q2022)'!AL45</f>
        <v>104.98001434542311</v>
      </c>
      <c r="AM45" s="50">
        <f>'IS (F1Q23)'!AM45-'IS (F4Q2022)'!AM45</f>
        <v>115.86914483159217</v>
      </c>
      <c r="AN45" s="50">
        <f>'IS (F1Q23)'!AN45-'IS (F4Q2022)'!AN45</f>
        <v>-0.62766755129177909</v>
      </c>
      <c r="AO45" s="50">
        <f>'IS (F1Q23)'!AO45-'IS (F4Q2022)'!AO45</f>
        <v>-0.68276078989219968</v>
      </c>
      <c r="AP45" s="50">
        <f>'IS (F1Q23)'!AP45-'IS (F4Q2022)'!AP45</f>
        <v>-0.67849357464456261</v>
      </c>
      <c r="AQ45" s="97">
        <f>'IS (F1Q23)'!AQ45-'IS (F4Q2022)'!AQ45</f>
        <v>113.88022291576635</v>
      </c>
      <c r="AR45" s="50">
        <f>'IS (F1Q23)'!AR45-'IS (F4Q2022)'!AR45</f>
        <v>123.48311525117424</v>
      </c>
      <c r="AS45" s="50">
        <f>'IS (F1Q23)'!AS45-'IS (F4Q2022)'!AS45</f>
        <v>-0.64649757782990491</v>
      </c>
      <c r="AT45" s="50">
        <f>'IS (F1Q23)'!AT45-'IS (F4Q2022)'!AT45</f>
        <v>-0.70324361358871101</v>
      </c>
      <c r="AU45" s="50">
        <f>'IS (F1Q23)'!AU45-'IS (F4Q2022)'!AU45</f>
        <v>-0.69884838188409049</v>
      </c>
      <c r="AV45" s="97">
        <f>'IS (F1Q23)'!AV45-'IS (F4Q2022)'!AV45</f>
        <v>121.43452567786881</v>
      </c>
    </row>
    <row r="46" spans="2:48" s="8" customFormat="1" outlineLevel="1" x14ac:dyDescent="0.3">
      <c r="B46" s="38" t="s">
        <v>200</v>
      </c>
      <c r="C46" s="206"/>
      <c r="D46" s="43">
        <f>'IS (F1Q23)'!D46-'IS (F4Q2022)'!D46</f>
        <v>0</v>
      </c>
      <c r="E46" s="43">
        <f>'IS (F1Q23)'!E46-'IS (F4Q2022)'!E46</f>
        <v>0</v>
      </c>
      <c r="F46" s="43">
        <f>'IS (F1Q23)'!F46-'IS (F4Q2022)'!F46</f>
        <v>0</v>
      </c>
      <c r="G46" s="43">
        <f>'IS (F1Q23)'!G46-'IS (F4Q2022)'!G46</f>
        <v>0</v>
      </c>
      <c r="H46" s="97">
        <f>'IS (F1Q23)'!H46-'IS (F4Q2022)'!H46</f>
        <v>0</v>
      </c>
      <c r="I46" s="27">
        <f>'IS (F1Q23)'!I46-'IS (F4Q2022)'!I46</f>
        <v>0</v>
      </c>
      <c r="J46" s="27">
        <f>'IS (F1Q23)'!J46-'IS (F4Q2022)'!J46</f>
        <v>0</v>
      </c>
      <c r="K46" s="27">
        <f>'IS (F1Q23)'!K46-'IS (F4Q2022)'!K46</f>
        <v>0</v>
      </c>
      <c r="L46" s="27">
        <f>'IS (F1Q23)'!L46-'IS (F4Q2022)'!L46</f>
        <v>0</v>
      </c>
      <c r="M46" s="97">
        <f>'IS (F1Q23)'!M46-'IS (F4Q2022)'!M46</f>
        <v>0</v>
      </c>
      <c r="N46" s="27">
        <f>'IS (F1Q23)'!N46-'IS (F4Q2022)'!N46</f>
        <v>0</v>
      </c>
      <c r="O46" s="27">
        <f>'IS (F1Q23)'!O46-'IS (F4Q2022)'!O46</f>
        <v>0</v>
      </c>
      <c r="P46" s="27">
        <f>'IS (F1Q23)'!P46-'IS (F4Q2022)'!P46</f>
        <v>0</v>
      </c>
      <c r="Q46" s="27">
        <f>'IS (F1Q23)'!Q46-'IS (F4Q2022)'!Q46</f>
        <v>0</v>
      </c>
      <c r="R46" s="97">
        <f>'IS (F1Q23)'!R46-'IS (F4Q2022)'!R46</f>
        <v>0</v>
      </c>
      <c r="S46" s="27">
        <f>'IS (F1Q23)'!S46-'IS (F4Q2022)'!S46</f>
        <v>0</v>
      </c>
      <c r="T46" s="27">
        <f>'IS (F1Q23)'!T46-'IS (F4Q2022)'!T46</f>
        <v>0</v>
      </c>
      <c r="U46" s="27">
        <f>'IS (F1Q23)'!U46-'IS (F4Q2022)'!U46</f>
        <v>0</v>
      </c>
      <c r="V46" s="27">
        <f>'IS (F1Q23)'!V46-'IS (F4Q2022)'!V46</f>
        <v>0</v>
      </c>
      <c r="W46" s="98">
        <f>'IS (F1Q23)'!W46-'IS (F4Q2022)'!W46</f>
        <v>0</v>
      </c>
      <c r="X46" s="27">
        <f>'IS (F1Q23)'!X46-'IS (F4Q2022)'!X46</f>
        <v>1.6300021564052081E-2</v>
      </c>
      <c r="Y46" s="27">
        <f>'IS (F1Q23)'!Y46-'IS (F4Q2022)'!Y46</f>
        <v>-1.8593230583257014E-3</v>
      </c>
      <c r="Z46" s="27">
        <f>'IS (F1Q23)'!Z46-'IS (F4Q2022)'!Z46</f>
        <v>-1.1285242951408758E-3</v>
      </c>
      <c r="AA46" s="27">
        <f>'IS (F1Q23)'!AA46-'IS (F4Q2022)'!AA46</f>
        <v>-4.4039277607810234E-4</v>
      </c>
      <c r="AB46" s="98">
        <f>'IS (F1Q23)'!AB46-'IS (F4Q2022)'!AB46</f>
        <v>3.1651394957465939E-3</v>
      </c>
      <c r="AC46" s="27">
        <f>'IS (F1Q23)'!AC46-'IS (F4Q2022)'!AC46</f>
        <v>9.7428025665169393E-4</v>
      </c>
      <c r="AD46" s="27">
        <f>'IS (F1Q23)'!AD46-'IS (F4Q2022)'!AD46</f>
        <v>1.7025211428534082E-3</v>
      </c>
      <c r="AE46" s="27">
        <f>'IS (F1Q23)'!AE46-'IS (F4Q2022)'!AE46</f>
        <v>1.0170257841759511E-3</v>
      </c>
      <c r="AF46" s="27">
        <f>'IS (F1Q23)'!AF46-'IS (F4Q2022)'!AF46</f>
        <v>3.3903480589314583E-4</v>
      </c>
      <c r="AG46" s="98">
        <f>'IS (F1Q23)'!AG46-'IS (F4Q2022)'!AG46</f>
        <v>9.8702017283414101E-4</v>
      </c>
      <c r="AH46" s="27">
        <f>'IS (F1Q23)'!AH46-'IS (F4Q2022)'!AH46</f>
        <v>2.8860210490311289E-6</v>
      </c>
      <c r="AI46" s="27">
        <f>'IS (F1Q23)'!AI46-'IS (F4Q2022)'!AI46</f>
        <v>2.9810142976316456E-6</v>
      </c>
      <c r="AJ46" s="27">
        <f>'IS (F1Q23)'!AJ46-'IS (F4Q2022)'!AJ46</f>
        <v>3.0681635616591763E-6</v>
      </c>
      <c r="AK46" s="27">
        <f>'IS (F1Q23)'!AK46-'IS (F4Q2022)'!AK46</f>
        <v>3.1477303186200345E-6</v>
      </c>
      <c r="AL46" s="98">
        <f>'IS (F1Q23)'!AL46-'IS (F4Q2022)'!AL46</f>
        <v>-3.8850877115415017E-6</v>
      </c>
      <c r="AM46" s="27">
        <f>'IS (F1Q23)'!AM46-'IS (F4Q2022)'!AM46</f>
        <v>3.1472525114928374E-6</v>
      </c>
      <c r="AN46" s="27">
        <f>'IS (F1Q23)'!AN46-'IS (F4Q2022)'!AN46</f>
        <v>3.1864376153212248E-6</v>
      </c>
      <c r="AO46" s="27">
        <f>'IS (F1Q23)'!AO46-'IS (F4Q2022)'!AO46</f>
        <v>3.2240105432013166E-6</v>
      </c>
      <c r="AP46" s="27">
        <f>'IS (F1Q23)'!AP46-'IS (F4Q2022)'!AP46</f>
        <v>3.2600320514220016E-6</v>
      </c>
      <c r="AQ46" s="98">
        <f>'IS (F1Q23)'!AQ46-'IS (F4Q2022)'!AQ46</f>
        <v>-8.7815003158020488E-7</v>
      </c>
      <c r="AR46" s="27">
        <f>'IS (F1Q23)'!AR46-'IS (F4Q2022)'!AR46</f>
        <v>3.1874035668622014E-6</v>
      </c>
      <c r="AS46" s="27">
        <f>'IS (F1Q23)'!AS46-'IS (F4Q2022)'!AS46</f>
        <v>3.133167707725093E-6</v>
      </c>
      <c r="AT46" s="27">
        <f>'IS (F1Q23)'!AT46-'IS (F4Q2022)'!AT46</f>
        <v>3.0803044528404655E-6</v>
      </c>
      <c r="AU46" s="27">
        <f>'IS (F1Q23)'!AU46-'IS (F4Q2022)'!AU46</f>
        <v>3.0287678731699685E-6</v>
      </c>
      <c r="AV46" s="98">
        <f>'IS (F1Q23)'!AV46-'IS (F4Q2022)'!AV46</f>
        <v>4.8815113409261812E-6</v>
      </c>
    </row>
    <row r="47" spans="2:48" outlineLevel="1" x14ac:dyDescent="0.3">
      <c r="B47" s="220" t="s">
        <v>44</v>
      </c>
      <c r="C47" s="221"/>
      <c r="D47" s="222">
        <f>'IS (F1Q23)'!D47-'IS (F4Q2022)'!D47</f>
        <v>0</v>
      </c>
      <c r="E47" s="222">
        <f>'IS (F1Q23)'!E47-'IS (F4Q2022)'!E47</f>
        <v>0</v>
      </c>
      <c r="F47" s="222">
        <f>'IS (F1Q23)'!F47-'IS (F4Q2022)'!F47</f>
        <v>0</v>
      </c>
      <c r="G47" s="222">
        <f>'IS (F1Q23)'!G47-'IS (F4Q2022)'!G47</f>
        <v>0</v>
      </c>
      <c r="H47" s="223">
        <f>'IS (F1Q23)'!H47-'IS (F4Q2022)'!H47</f>
        <v>0</v>
      </c>
      <c r="I47" s="222">
        <f>'IS (F1Q23)'!I47-'IS (F4Q2022)'!I47</f>
        <v>0</v>
      </c>
      <c r="J47" s="222">
        <f>'IS (F1Q23)'!J47-'IS (F4Q2022)'!J47</f>
        <v>0</v>
      </c>
      <c r="K47" s="222">
        <f>'IS (F1Q23)'!K47-'IS (F4Q2022)'!K47</f>
        <v>0</v>
      </c>
      <c r="L47" s="224">
        <f>'IS (F1Q23)'!L47-'IS (F4Q2022)'!L47</f>
        <v>0</v>
      </c>
      <c r="M47" s="223">
        <f>'IS (F1Q23)'!M47-'IS (F4Q2022)'!M47</f>
        <v>0</v>
      </c>
      <c r="N47" s="222">
        <f>'IS (F1Q23)'!N47-'IS (F4Q2022)'!N47</f>
        <v>0</v>
      </c>
      <c r="O47" s="222">
        <f>'IS (F1Q23)'!O47-'IS (F4Q2022)'!O47</f>
        <v>0</v>
      </c>
      <c r="P47" s="222">
        <f>'IS (F1Q23)'!P47-'IS (F4Q2022)'!P47</f>
        <v>0</v>
      </c>
      <c r="Q47" s="222">
        <f>'IS (F1Q23)'!Q47-'IS (F4Q2022)'!Q47</f>
        <v>0</v>
      </c>
      <c r="R47" s="225">
        <f>'IS (F1Q23)'!R47-'IS (F4Q2022)'!R47</f>
        <v>0</v>
      </c>
      <c r="S47" s="224">
        <f>'IS (F1Q23)'!S47-'IS (F4Q2022)'!S47</f>
        <v>0</v>
      </c>
      <c r="T47" s="224">
        <f>'IS (F1Q23)'!T47-'IS (F4Q2022)'!T47</f>
        <v>0</v>
      </c>
      <c r="U47" s="224">
        <f>'IS (F1Q23)'!U47-'IS (F4Q2022)'!U47</f>
        <v>0</v>
      </c>
      <c r="V47" s="224">
        <f>'IS (F1Q23)'!V47-'IS (F4Q2022)'!V47</f>
        <v>0</v>
      </c>
      <c r="W47" s="223">
        <f>'IS (F1Q23)'!W47-'IS (F4Q2022)'!W47</f>
        <v>0</v>
      </c>
      <c r="X47" s="224">
        <f>'IS (F1Q23)'!X47-'IS (F4Q2022)'!X47</f>
        <v>0.01</v>
      </c>
      <c r="Y47" s="224">
        <f>'IS (F1Q23)'!Y47-'IS (F4Q2022)'!Y47</f>
        <v>0</v>
      </c>
      <c r="Z47" s="224">
        <f>'IS (F1Q23)'!Z47-'IS (F4Q2022)'!Z47</f>
        <v>0</v>
      </c>
      <c r="AA47" s="224">
        <f>'IS (F1Q23)'!AA47-'IS (F4Q2022)'!AA47</f>
        <v>0</v>
      </c>
      <c r="AB47" s="376">
        <f>'IS (F1Q23)'!AB47-'IS (F4Q2022)'!AB47</f>
        <v>-9.7768167244326243E-2</v>
      </c>
      <c r="AC47" s="224">
        <f>'IS (F1Q23)'!AC47-'IS (F4Q2022)'!AC47</f>
        <v>0</v>
      </c>
      <c r="AD47" s="224">
        <f>'IS (F1Q23)'!AD47-'IS (F4Q2022)'!AD47</f>
        <v>0</v>
      </c>
      <c r="AE47" s="224">
        <f>'IS (F1Q23)'!AE47-'IS (F4Q2022)'!AE47</f>
        <v>0</v>
      </c>
      <c r="AF47" s="224">
        <f>'IS (F1Q23)'!AF47-'IS (F4Q2022)'!AF47</f>
        <v>0</v>
      </c>
      <c r="AG47" s="225">
        <f>'IS (F1Q23)'!AG47-'IS (F4Q2022)'!AG47</f>
        <v>0</v>
      </c>
      <c r="AH47" s="224">
        <f>'IS (F1Q23)'!AH47-'IS (F4Q2022)'!AH47</f>
        <v>0</v>
      </c>
      <c r="AI47" s="224">
        <f>'IS (F1Q23)'!AI47-'IS (F4Q2022)'!AI47</f>
        <v>0</v>
      </c>
      <c r="AJ47" s="224">
        <f>'IS (F1Q23)'!AJ47-'IS (F4Q2022)'!AJ47</f>
        <v>0</v>
      </c>
      <c r="AK47" s="224">
        <f>'IS (F1Q23)'!AK47-'IS (F4Q2022)'!AK47</f>
        <v>0</v>
      </c>
      <c r="AL47" s="225">
        <f>'IS (F1Q23)'!AL47-'IS (F4Q2022)'!AL47</f>
        <v>0</v>
      </c>
      <c r="AM47" s="224">
        <f>'IS (F1Q23)'!AM47-'IS (F4Q2022)'!AM47</f>
        <v>0</v>
      </c>
      <c r="AN47" s="224">
        <f>'IS (F1Q23)'!AN47-'IS (F4Q2022)'!AN47</f>
        <v>0</v>
      </c>
      <c r="AO47" s="224">
        <f>'IS (F1Q23)'!AO47-'IS (F4Q2022)'!AO47</f>
        <v>0</v>
      </c>
      <c r="AP47" s="224">
        <f>'IS (F1Q23)'!AP47-'IS (F4Q2022)'!AP47</f>
        <v>0</v>
      </c>
      <c r="AQ47" s="225">
        <f>'IS (F1Q23)'!AQ47-'IS (F4Q2022)'!AQ47</f>
        <v>0</v>
      </c>
      <c r="AR47" s="224">
        <f>'IS (F1Q23)'!AR47-'IS (F4Q2022)'!AR47</f>
        <v>0</v>
      </c>
      <c r="AS47" s="224">
        <f>'IS (F1Q23)'!AS47-'IS (F4Q2022)'!AS47</f>
        <v>0</v>
      </c>
      <c r="AT47" s="224">
        <f>'IS (F1Q23)'!AT47-'IS (F4Q2022)'!AT47</f>
        <v>0</v>
      </c>
      <c r="AU47" s="224">
        <f>'IS (F1Q23)'!AU47-'IS (F4Q2022)'!AU47</f>
        <v>0</v>
      </c>
      <c r="AV47" s="225">
        <f>'IS (F1Q23)'!AV47-'IS (F4Q2022)'!AV47</f>
        <v>0</v>
      </c>
    </row>
    <row r="48" spans="2:48" outlineLevel="1" x14ac:dyDescent="0.3">
      <c r="B48" s="38" t="s">
        <v>43</v>
      </c>
      <c r="C48" s="207"/>
      <c r="D48" s="226">
        <f>'IS (F1Q23)'!D48-'IS (F4Q2022)'!D48</f>
        <v>0</v>
      </c>
      <c r="E48" s="226">
        <f>'IS (F1Q23)'!E48-'IS (F4Q2022)'!E48</f>
        <v>0</v>
      </c>
      <c r="F48" s="226">
        <f>'IS (F1Q23)'!F48-'IS (F4Q2022)'!F48</f>
        <v>0</v>
      </c>
      <c r="G48" s="226">
        <f>'IS (F1Q23)'!G48-'IS (F4Q2022)'!G48</f>
        <v>0</v>
      </c>
      <c r="H48" s="217">
        <f>'IS (F1Q23)'!H48-'IS (F4Q2022)'!H48</f>
        <v>0</v>
      </c>
      <c r="I48" s="226">
        <f>'IS (F1Q23)'!I48-'IS (F4Q2022)'!I48</f>
        <v>0</v>
      </c>
      <c r="J48" s="226">
        <f>'IS (F1Q23)'!J48-'IS (F4Q2022)'!J48</f>
        <v>0</v>
      </c>
      <c r="K48" s="226">
        <f>'IS (F1Q23)'!K48-'IS (F4Q2022)'!K48</f>
        <v>0</v>
      </c>
      <c r="L48" s="227">
        <f>'IS (F1Q23)'!L48-'IS (F4Q2022)'!L48</f>
        <v>0</v>
      </c>
      <c r="M48" s="217">
        <f>'IS (F1Q23)'!M48-'IS (F4Q2022)'!M48</f>
        <v>0</v>
      </c>
      <c r="N48" s="226">
        <f>'IS (F1Q23)'!N48-'IS (F4Q2022)'!N48</f>
        <v>0</v>
      </c>
      <c r="O48" s="226">
        <f>'IS (F1Q23)'!O48-'IS (F4Q2022)'!O48</f>
        <v>0</v>
      </c>
      <c r="P48" s="226">
        <f>'IS (F1Q23)'!P48-'IS (F4Q2022)'!P48</f>
        <v>0</v>
      </c>
      <c r="Q48" s="226">
        <f>'IS (F1Q23)'!Q48-'IS (F4Q2022)'!Q48</f>
        <v>0</v>
      </c>
      <c r="R48" s="218">
        <f>'IS (F1Q23)'!R48-'IS (F4Q2022)'!R48</f>
        <v>0</v>
      </c>
      <c r="S48" s="227">
        <f>'IS (F1Q23)'!S48-'IS (F4Q2022)'!S48</f>
        <v>0</v>
      </c>
      <c r="T48" s="227">
        <f>'IS (F1Q23)'!T48-'IS (F4Q2022)'!T48</f>
        <v>0</v>
      </c>
      <c r="U48" s="228">
        <f>'IS (F1Q23)'!U48-'IS (F4Q2022)'!U48</f>
        <v>0</v>
      </c>
      <c r="V48" s="228">
        <f>'IS (F1Q23)'!V48-'IS (F4Q2022)'!V48</f>
        <v>0</v>
      </c>
      <c r="W48" s="148">
        <f>'IS (F1Q23)'!W48-'IS (F4Q2022)'!W48</f>
        <v>0</v>
      </c>
      <c r="X48" s="228">
        <f>'IS (F1Q23)'!X48-'IS (F4Q2022)'!X48</f>
        <v>0.09</v>
      </c>
      <c r="Y48" s="228">
        <f>'IS (F1Q23)'!Y48-'IS (F4Q2022)'!Y48</f>
        <v>0</v>
      </c>
      <c r="Z48" s="228">
        <f>'IS (F1Q23)'!Z48-'IS (F4Q2022)'!Z48</f>
        <v>0</v>
      </c>
      <c r="AA48" s="228">
        <f>'IS (F1Q23)'!AA48-'IS (F4Q2022)'!AA48</f>
        <v>0</v>
      </c>
      <c r="AB48" s="362">
        <f>'IS (F1Q23)'!AB48-'IS (F4Q2022)'!AB48</f>
        <v>0</v>
      </c>
      <c r="AC48" s="228">
        <f>'IS (F1Q23)'!AC48-'IS (F4Q2022)'!AC48</f>
        <v>0</v>
      </c>
      <c r="AD48" s="228">
        <f>'IS (F1Q23)'!AD48-'IS (F4Q2022)'!AD48</f>
        <v>0</v>
      </c>
      <c r="AE48" s="228">
        <f>'IS (F1Q23)'!AE48-'IS (F4Q2022)'!AE48</f>
        <v>0</v>
      </c>
      <c r="AF48" s="228">
        <f>'IS (F1Q23)'!AF48-'IS (F4Q2022)'!AF48</f>
        <v>0</v>
      </c>
      <c r="AG48" s="60">
        <f>'IS (F1Q23)'!AG48-'IS (F4Q2022)'!AG48</f>
        <v>0</v>
      </c>
      <c r="AH48" s="228">
        <f>'IS (F1Q23)'!AH48-'IS (F4Q2022)'!AH48</f>
        <v>0</v>
      </c>
      <c r="AI48" s="228">
        <f>'IS (F1Q23)'!AI48-'IS (F4Q2022)'!AI48</f>
        <v>0</v>
      </c>
      <c r="AJ48" s="228">
        <f>'IS (F1Q23)'!AJ48-'IS (F4Q2022)'!AJ48</f>
        <v>0</v>
      </c>
      <c r="AK48" s="228">
        <f>'IS (F1Q23)'!AK48-'IS (F4Q2022)'!AK48</f>
        <v>0</v>
      </c>
      <c r="AL48" s="60">
        <f>'IS (F1Q23)'!AL48-'IS (F4Q2022)'!AL48</f>
        <v>0</v>
      </c>
      <c r="AM48" s="228">
        <f>'IS (F1Q23)'!AM48-'IS (F4Q2022)'!AM48</f>
        <v>0</v>
      </c>
      <c r="AN48" s="228">
        <f>'IS (F1Q23)'!AN48-'IS (F4Q2022)'!AN48</f>
        <v>0</v>
      </c>
      <c r="AO48" s="228">
        <f>'IS (F1Q23)'!AO48-'IS (F4Q2022)'!AO48</f>
        <v>0</v>
      </c>
      <c r="AP48" s="228">
        <f>'IS (F1Q23)'!AP48-'IS (F4Q2022)'!AP48</f>
        <v>0</v>
      </c>
      <c r="AQ48" s="60">
        <f>'IS (F1Q23)'!AQ48-'IS (F4Q2022)'!AQ48</f>
        <v>0</v>
      </c>
      <c r="AR48" s="228">
        <f>'IS (F1Q23)'!AR48-'IS (F4Q2022)'!AR48</f>
        <v>0</v>
      </c>
      <c r="AS48" s="228">
        <f>'IS (F1Q23)'!AS48-'IS (F4Q2022)'!AS48</f>
        <v>0</v>
      </c>
      <c r="AT48" s="228">
        <f>'IS (F1Q23)'!AT48-'IS (F4Q2022)'!AT48</f>
        <v>0</v>
      </c>
      <c r="AU48" s="228">
        <f>'IS (F1Q23)'!AU48-'IS (F4Q2022)'!AU48</f>
        <v>0</v>
      </c>
      <c r="AV48" s="60">
        <f>'IS (F1Q23)'!AV48-'IS (F4Q2022)'!AV48</f>
        <v>0</v>
      </c>
    </row>
    <row r="49" spans="2:48" s="8" customFormat="1" outlineLevel="1" x14ac:dyDescent="0.3">
      <c r="B49" s="229" t="s">
        <v>45</v>
      </c>
      <c r="C49" s="230"/>
      <c r="D49" s="231">
        <f>'IS (F1Q23)'!D49-'IS (F4Q2022)'!D49</f>
        <v>0</v>
      </c>
      <c r="E49" s="231">
        <f>'IS (F1Q23)'!E49-'IS (F4Q2022)'!E49</f>
        <v>0</v>
      </c>
      <c r="F49" s="231">
        <f>'IS (F1Q23)'!F49-'IS (F4Q2022)'!F49</f>
        <v>0</v>
      </c>
      <c r="G49" s="231">
        <f>'IS (F1Q23)'!G49-'IS (F4Q2022)'!G49</f>
        <v>0</v>
      </c>
      <c r="H49" s="232">
        <f>'IS (F1Q23)'!H49-'IS (F4Q2022)'!H49</f>
        <v>0</v>
      </c>
      <c r="I49" s="231">
        <f>'IS (F1Q23)'!I49-'IS (F4Q2022)'!I49</f>
        <v>0</v>
      </c>
      <c r="J49" s="231">
        <f>'IS (F1Q23)'!J49-'IS (F4Q2022)'!J49</f>
        <v>0</v>
      </c>
      <c r="K49" s="231">
        <f>'IS (F1Q23)'!K49-'IS (F4Q2022)'!K49</f>
        <v>0</v>
      </c>
      <c r="L49" s="233">
        <f>'IS (F1Q23)'!L49-'IS (F4Q2022)'!L49</f>
        <v>0</v>
      </c>
      <c r="M49" s="234">
        <f>'IS (F1Q23)'!M49-'IS (F4Q2022)'!M49</f>
        <v>0</v>
      </c>
      <c r="N49" s="233">
        <f>'IS (F1Q23)'!N49-'IS (F4Q2022)'!N49</f>
        <v>0</v>
      </c>
      <c r="O49" s="233">
        <f>'IS (F1Q23)'!O49-'IS (F4Q2022)'!O49</f>
        <v>0</v>
      </c>
      <c r="P49" s="231">
        <f>'IS (F1Q23)'!P49-'IS (F4Q2022)'!P49</f>
        <v>0</v>
      </c>
      <c r="Q49" s="231">
        <f>'IS (F1Q23)'!Q49-'IS (F4Q2022)'!Q49</f>
        <v>0</v>
      </c>
      <c r="R49" s="235">
        <f>'IS (F1Q23)'!R49-'IS (F4Q2022)'!R49</f>
        <v>0</v>
      </c>
      <c r="S49" s="233">
        <f>'IS (F1Q23)'!S49-'IS (F4Q2022)'!S49</f>
        <v>0</v>
      </c>
      <c r="T49" s="233">
        <f>'IS (F1Q23)'!T49-'IS (F4Q2022)'!T49</f>
        <v>0</v>
      </c>
      <c r="U49" s="231">
        <f>'IS (F1Q23)'!U49-'IS (F4Q2022)'!U49</f>
        <v>0</v>
      </c>
      <c r="V49" s="231">
        <f>'IS (F1Q23)'!V49-'IS (F4Q2022)'!V49</f>
        <v>0</v>
      </c>
      <c r="W49" s="232">
        <f>'IS (F1Q23)'!W49-'IS (F4Q2022)'!W49</f>
        <v>0</v>
      </c>
      <c r="X49" s="233">
        <f>'IS (F1Q23)'!X49-'IS (F4Q2022)'!X49</f>
        <v>0.1</v>
      </c>
      <c r="Y49" s="233">
        <f>'IS (F1Q23)'!Y49-'IS (F4Q2022)'!Y49</f>
        <v>0</v>
      </c>
      <c r="Z49" s="233">
        <f>'IS (F1Q23)'!Z49-'IS (F4Q2022)'!Z49</f>
        <v>0</v>
      </c>
      <c r="AA49" s="233">
        <f>'IS (F1Q23)'!AA49-'IS (F4Q2022)'!AA49</f>
        <v>0</v>
      </c>
      <c r="AB49" s="361">
        <f>'IS (F1Q23)'!AB49-'IS (F4Q2022)'!AB49</f>
        <v>0</v>
      </c>
      <c r="AC49" s="233">
        <f>'IS (F1Q23)'!AC49-'IS (F4Q2022)'!AC49</f>
        <v>0</v>
      </c>
      <c r="AD49" s="233">
        <f>'IS (F1Q23)'!AD49-'IS (F4Q2022)'!AD49</f>
        <v>0</v>
      </c>
      <c r="AE49" s="233">
        <f>'IS (F1Q23)'!AE49-'IS (F4Q2022)'!AE49</f>
        <v>0</v>
      </c>
      <c r="AF49" s="233">
        <f>'IS (F1Q23)'!AF49-'IS (F4Q2022)'!AF49</f>
        <v>0</v>
      </c>
      <c r="AG49" s="232">
        <f>'IS (F1Q23)'!AG49-'IS (F4Q2022)'!AG49</f>
        <v>0</v>
      </c>
      <c r="AH49" s="233">
        <f>'IS (F1Q23)'!AH49-'IS (F4Q2022)'!AH49</f>
        <v>0</v>
      </c>
      <c r="AI49" s="233">
        <f>'IS (F1Q23)'!AI49-'IS (F4Q2022)'!AI49</f>
        <v>0</v>
      </c>
      <c r="AJ49" s="233">
        <f>'IS (F1Q23)'!AJ49-'IS (F4Q2022)'!AJ49</f>
        <v>0</v>
      </c>
      <c r="AK49" s="233">
        <f>'IS (F1Q23)'!AK49-'IS (F4Q2022)'!AK49</f>
        <v>0</v>
      </c>
      <c r="AL49" s="232">
        <f>'IS (F1Q23)'!AL49-'IS (F4Q2022)'!AL49</f>
        <v>0</v>
      </c>
      <c r="AM49" s="233">
        <f>'IS (F1Q23)'!AM49-'IS (F4Q2022)'!AM49</f>
        <v>0</v>
      </c>
      <c r="AN49" s="233">
        <f>'IS (F1Q23)'!AN49-'IS (F4Q2022)'!AN49</f>
        <v>0</v>
      </c>
      <c r="AO49" s="233">
        <f>'IS (F1Q23)'!AO49-'IS (F4Q2022)'!AO49</f>
        <v>0</v>
      </c>
      <c r="AP49" s="233">
        <f>'IS (F1Q23)'!AP49-'IS (F4Q2022)'!AP49</f>
        <v>0</v>
      </c>
      <c r="AQ49" s="232">
        <f>'IS (F1Q23)'!AQ49-'IS (F4Q2022)'!AQ49</f>
        <v>0</v>
      </c>
      <c r="AR49" s="233">
        <f>'IS (F1Q23)'!AR49-'IS (F4Q2022)'!AR49</f>
        <v>0</v>
      </c>
      <c r="AS49" s="233">
        <f>'IS (F1Q23)'!AS49-'IS (F4Q2022)'!AS49</f>
        <v>0</v>
      </c>
      <c r="AT49" s="233">
        <f>'IS (F1Q23)'!AT49-'IS (F4Q2022)'!AT49</f>
        <v>0</v>
      </c>
      <c r="AU49" s="233">
        <f>'IS (F1Q23)'!AU49-'IS (F4Q2022)'!AU49</f>
        <v>0</v>
      </c>
      <c r="AV49" s="232">
        <f>'IS (F1Q23)'!AV49-'IS (F4Q2022)'!AV49</f>
        <v>0</v>
      </c>
    </row>
    <row r="50" spans="2:48" s="8" customFormat="1" outlineLevel="1" x14ac:dyDescent="0.3">
      <c r="B50" s="597" t="s">
        <v>177</v>
      </c>
      <c r="C50" s="598"/>
      <c r="D50" s="67">
        <f>'IS (F1Q23)'!D50-'IS (F4Q2022)'!D50</f>
        <v>0</v>
      </c>
      <c r="E50" s="67">
        <f>'IS (F1Q23)'!E50-'IS (F4Q2022)'!E50</f>
        <v>0</v>
      </c>
      <c r="F50" s="117">
        <f>'IS (F1Q23)'!F50-'IS (F4Q2022)'!F50</f>
        <v>0</v>
      </c>
      <c r="G50" s="67">
        <f>'IS (F1Q23)'!G50-'IS (F4Q2022)'!G50</f>
        <v>0</v>
      </c>
      <c r="H50" s="68">
        <f>'IS (F1Q23)'!H50-'IS (F4Q2022)'!H50</f>
        <v>0</v>
      </c>
      <c r="I50" s="67">
        <f>'IS (F1Q23)'!I50-'IS (F4Q2022)'!I50</f>
        <v>0</v>
      </c>
      <c r="J50" s="67">
        <f>'IS (F1Q23)'!J50-'IS (F4Q2022)'!J50</f>
        <v>0</v>
      </c>
      <c r="K50" s="67">
        <f>'IS (F1Q23)'!K50-'IS (F4Q2022)'!K50</f>
        <v>0</v>
      </c>
      <c r="L50" s="67">
        <f>'IS (F1Q23)'!L50-'IS (F4Q2022)'!L50</f>
        <v>0</v>
      </c>
      <c r="M50" s="68">
        <f>'IS (F1Q23)'!M50-'IS (F4Q2022)'!M50</f>
        <v>0</v>
      </c>
      <c r="N50" s="67">
        <f>'IS (F1Q23)'!N50-'IS (F4Q2022)'!N50</f>
        <v>0</v>
      </c>
      <c r="O50" s="67">
        <f>'IS (F1Q23)'!O50-'IS (F4Q2022)'!O50</f>
        <v>0</v>
      </c>
      <c r="P50" s="67">
        <f>'IS (F1Q23)'!P50-'IS (F4Q2022)'!P50</f>
        <v>0</v>
      </c>
      <c r="Q50" s="67">
        <f>'IS (F1Q23)'!Q50-'IS (F4Q2022)'!Q50</f>
        <v>0</v>
      </c>
      <c r="R50" s="192">
        <f>'IS (F1Q23)'!R50-'IS (F4Q2022)'!R50</f>
        <v>0</v>
      </c>
      <c r="S50" s="67">
        <f>'IS (F1Q23)'!S50-'IS (F4Q2022)'!S50</f>
        <v>0</v>
      </c>
      <c r="T50" s="67">
        <f>'IS (F1Q23)'!T50-'IS (F4Q2022)'!T50</f>
        <v>0</v>
      </c>
      <c r="U50" s="67">
        <f>'IS (F1Q23)'!U50-'IS (F4Q2022)'!U50</f>
        <v>0</v>
      </c>
      <c r="V50" s="67">
        <f>'IS (F1Q23)'!V50-'IS (F4Q2022)'!V50</f>
        <v>0</v>
      </c>
      <c r="W50" s="253">
        <f>'IS (F1Q23)'!W50-'IS (F4Q2022)'!W50</f>
        <v>0</v>
      </c>
      <c r="X50" s="67">
        <f>'IS (F1Q23)'!X50-'IS (F4Q2022)'!X50</f>
        <v>-22</v>
      </c>
      <c r="Y50" s="67">
        <f>'IS (F1Q23)'!Y50-'IS (F4Q2022)'!Y50</f>
        <v>-15</v>
      </c>
      <c r="Z50" s="67">
        <f>'IS (F1Q23)'!Z50-'IS (F4Q2022)'!Z50</f>
        <v>-8</v>
      </c>
      <c r="AA50" s="67">
        <f>'IS (F1Q23)'!AA50-'IS (F4Q2022)'!AA50</f>
        <v>-2</v>
      </c>
      <c r="AB50" s="192">
        <f>'IS (F1Q23)'!AB50-'IS (F4Q2022)'!AB50</f>
        <v>-2</v>
      </c>
      <c r="AC50" s="67">
        <f>'IS (F1Q23)'!AC50-'IS (F4Q2022)'!AC50</f>
        <v>-2</v>
      </c>
      <c r="AD50" s="67">
        <f>'IS (F1Q23)'!AD50-'IS (F4Q2022)'!AD50</f>
        <v>-2</v>
      </c>
      <c r="AE50" s="67">
        <f>'IS (F1Q23)'!AE50-'IS (F4Q2022)'!AE50</f>
        <v>-2</v>
      </c>
      <c r="AF50" s="67">
        <f>'IS (F1Q23)'!AF50-'IS (F4Q2022)'!AF50</f>
        <v>-2</v>
      </c>
      <c r="AG50" s="192">
        <f>'IS (F1Q23)'!AG50-'IS (F4Q2022)'!AG50</f>
        <v>-2</v>
      </c>
      <c r="AH50" s="67">
        <f>'IS (F1Q23)'!AH50-'IS (F4Q2022)'!AH50</f>
        <v>-2</v>
      </c>
      <c r="AI50" s="67">
        <f>'IS (F1Q23)'!AI50-'IS (F4Q2022)'!AI50</f>
        <v>-2</v>
      </c>
      <c r="AJ50" s="67">
        <f>'IS (F1Q23)'!AJ50-'IS (F4Q2022)'!AJ50</f>
        <v>-2</v>
      </c>
      <c r="AK50" s="67">
        <f>'IS (F1Q23)'!AK50-'IS (F4Q2022)'!AK50</f>
        <v>-2</v>
      </c>
      <c r="AL50" s="192">
        <f>'IS (F1Q23)'!AL50-'IS (F4Q2022)'!AL50</f>
        <v>-2</v>
      </c>
      <c r="AM50" s="67">
        <f>'IS (F1Q23)'!AM50-'IS (F4Q2022)'!AM50</f>
        <v>-2</v>
      </c>
      <c r="AN50" s="67">
        <f>'IS (F1Q23)'!AN50-'IS (F4Q2022)'!AN50</f>
        <v>-2</v>
      </c>
      <c r="AO50" s="67">
        <f>'IS (F1Q23)'!AO50-'IS (F4Q2022)'!AO50</f>
        <v>-2</v>
      </c>
      <c r="AP50" s="67">
        <f>'IS (F1Q23)'!AP50-'IS (F4Q2022)'!AP50</f>
        <v>-2</v>
      </c>
      <c r="AQ50" s="192">
        <f>'IS (F1Q23)'!AQ50-'IS (F4Q2022)'!AQ50</f>
        <v>-2</v>
      </c>
      <c r="AR50" s="67">
        <f>'IS (F1Q23)'!AR50-'IS (F4Q2022)'!AR50</f>
        <v>-2</v>
      </c>
      <c r="AS50" s="67">
        <f>'IS (F1Q23)'!AS50-'IS (F4Q2022)'!AS50</f>
        <v>-2</v>
      </c>
      <c r="AT50" s="67">
        <f>'IS (F1Q23)'!AT50-'IS (F4Q2022)'!AT50</f>
        <v>-2</v>
      </c>
      <c r="AU50" s="67">
        <f>'IS (F1Q23)'!AU50-'IS (F4Q2022)'!AU50</f>
        <v>-2</v>
      </c>
      <c r="AV50" s="192">
        <f>'IS (F1Q23)'!AV50-'IS (F4Q2022)'!AV50</f>
        <v>-2</v>
      </c>
    </row>
    <row r="51" spans="2:48" outlineLevel="1" x14ac:dyDescent="0.3">
      <c r="B51" s="180" t="s">
        <v>47</v>
      </c>
      <c r="C51" s="201"/>
      <c r="D51" s="101">
        <f>'IS (F1Q23)'!D51-'IS (F4Q2022)'!D51</f>
        <v>0</v>
      </c>
      <c r="E51" s="101">
        <f>'IS (F1Q23)'!E51-'IS (F4Q2022)'!E51</f>
        <v>0</v>
      </c>
      <c r="F51" s="101">
        <f>'IS (F1Q23)'!F51-'IS (F4Q2022)'!F51</f>
        <v>0</v>
      </c>
      <c r="G51" s="101">
        <f>'IS (F1Q23)'!G51-'IS (F4Q2022)'!G51</f>
        <v>0</v>
      </c>
      <c r="H51" s="122">
        <f>'IS (F1Q23)'!H51-'IS (F4Q2022)'!H51</f>
        <v>0</v>
      </c>
      <c r="I51" s="101">
        <f>'IS (F1Q23)'!I51-'IS (F4Q2022)'!I51</f>
        <v>0</v>
      </c>
      <c r="J51" s="101">
        <f>'IS (F1Q23)'!J51-'IS (F4Q2022)'!J51</f>
        <v>0</v>
      </c>
      <c r="K51" s="101">
        <f>'IS (F1Q23)'!K51-'IS (F4Q2022)'!K51</f>
        <v>0</v>
      </c>
      <c r="L51" s="101">
        <f>'IS (F1Q23)'!L51-'IS (F4Q2022)'!L51</f>
        <v>0</v>
      </c>
      <c r="M51" s="122">
        <f>'IS (F1Q23)'!M51-'IS (F4Q2022)'!M51</f>
        <v>0</v>
      </c>
      <c r="N51" s="101">
        <f>'IS (F1Q23)'!N51-'IS (F4Q2022)'!N51</f>
        <v>0</v>
      </c>
      <c r="O51" s="101">
        <f>'IS (F1Q23)'!O51-'IS (F4Q2022)'!O51</f>
        <v>0</v>
      </c>
      <c r="P51" s="101">
        <f>'IS (F1Q23)'!P51-'IS (F4Q2022)'!P51</f>
        <v>0</v>
      </c>
      <c r="Q51" s="101">
        <f>'IS (F1Q23)'!Q51-'IS (F4Q2022)'!Q51</f>
        <v>0</v>
      </c>
      <c r="R51" s="26">
        <f>'IS (F1Q23)'!R51-'IS (F4Q2022)'!R51</f>
        <v>0</v>
      </c>
      <c r="S51" s="101">
        <f>'IS (F1Q23)'!S51-'IS (F4Q2022)'!S51</f>
        <v>0</v>
      </c>
      <c r="T51" s="101">
        <f>'IS (F1Q23)'!T51-'IS (F4Q2022)'!T51</f>
        <v>0</v>
      </c>
      <c r="U51" s="101">
        <f>'IS (F1Q23)'!U51-'IS (F4Q2022)'!U51</f>
        <v>0</v>
      </c>
      <c r="V51" s="101">
        <f>'IS (F1Q23)'!V51-'IS (F4Q2022)'!V51</f>
        <v>0</v>
      </c>
      <c r="W51" s="122">
        <f>'IS (F1Q23)'!W51-'IS (F4Q2022)'!W51</f>
        <v>0</v>
      </c>
      <c r="X51" s="33">
        <f>'IS (F1Q23)'!X51-'IS (F4Q2022)'!X51</f>
        <v>-22</v>
      </c>
      <c r="Y51" s="33">
        <f>'IS (F1Q23)'!Y51-'IS (F4Q2022)'!Y51</f>
        <v>7</v>
      </c>
      <c r="Z51" s="33">
        <f>'IS (F1Q23)'!Z51-'IS (F4Q2022)'!Z51</f>
        <v>7</v>
      </c>
      <c r="AA51" s="33">
        <f>'IS (F1Q23)'!AA51-'IS (F4Q2022)'!AA51</f>
        <v>6</v>
      </c>
      <c r="AB51" s="26">
        <f>'IS (F1Q23)'!AB51-'IS (F4Q2022)'!AB51</f>
        <v>-2</v>
      </c>
      <c r="AC51" s="33">
        <f>'IS (F1Q23)'!AC51-'IS (F4Q2022)'!AC51</f>
        <v>0</v>
      </c>
      <c r="AD51" s="33">
        <f>'IS (F1Q23)'!AD51-'IS (F4Q2022)'!AD51</f>
        <v>0</v>
      </c>
      <c r="AE51" s="33">
        <f>'IS (F1Q23)'!AE51-'IS (F4Q2022)'!AE51</f>
        <v>0</v>
      </c>
      <c r="AF51" s="33">
        <f>'IS (F1Q23)'!AF51-'IS (F4Q2022)'!AF51</f>
        <v>0</v>
      </c>
      <c r="AG51" s="26">
        <f>'IS (F1Q23)'!AG51-'IS (F4Q2022)'!AG51</f>
        <v>0</v>
      </c>
      <c r="AH51" s="33">
        <f>'IS (F1Q23)'!AH51-'IS (F4Q2022)'!AH51</f>
        <v>0</v>
      </c>
      <c r="AI51" s="33">
        <f>'IS (F1Q23)'!AI51-'IS (F4Q2022)'!AI51</f>
        <v>0</v>
      </c>
      <c r="AJ51" s="33">
        <f>'IS (F1Q23)'!AJ51-'IS (F4Q2022)'!AJ51</f>
        <v>0</v>
      </c>
      <c r="AK51" s="33">
        <f>'IS (F1Q23)'!AK51-'IS (F4Q2022)'!AK51</f>
        <v>0</v>
      </c>
      <c r="AL51" s="26">
        <f>'IS (F1Q23)'!AL51-'IS (F4Q2022)'!AL51</f>
        <v>0</v>
      </c>
      <c r="AM51" s="33">
        <f>'IS (F1Q23)'!AM51-'IS (F4Q2022)'!AM51</f>
        <v>0</v>
      </c>
      <c r="AN51" s="33">
        <f>'IS (F1Q23)'!AN51-'IS (F4Q2022)'!AN51</f>
        <v>0</v>
      </c>
      <c r="AO51" s="33">
        <f>'IS (F1Q23)'!AO51-'IS (F4Q2022)'!AO51</f>
        <v>0</v>
      </c>
      <c r="AP51" s="33">
        <f>'IS (F1Q23)'!AP51-'IS (F4Q2022)'!AP51</f>
        <v>0</v>
      </c>
      <c r="AQ51" s="26">
        <f>'IS (F1Q23)'!AQ51-'IS (F4Q2022)'!AQ51</f>
        <v>0</v>
      </c>
      <c r="AR51" s="33">
        <f>'IS (F1Q23)'!AR51-'IS (F4Q2022)'!AR51</f>
        <v>0</v>
      </c>
      <c r="AS51" s="33">
        <f>'IS (F1Q23)'!AS51-'IS (F4Q2022)'!AS51</f>
        <v>0</v>
      </c>
      <c r="AT51" s="33">
        <f>'IS (F1Q23)'!AT51-'IS (F4Q2022)'!AT51</f>
        <v>0</v>
      </c>
      <c r="AU51" s="33">
        <f>'IS (F1Q23)'!AU51-'IS (F4Q2022)'!AU51</f>
        <v>0</v>
      </c>
      <c r="AV51" s="26">
        <f>'IS (F1Q23)'!AV51-'IS (F4Q2022)'!AV51</f>
        <v>0</v>
      </c>
    </row>
    <row r="52" spans="2:48" outlineLevel="1" x14ac:dyDescent="0.3">
      <c r="B52" s="180" t="s">
        <v>49</v>
      </c>
      <c r="C52" s="201"/>
      <c r="D52" s="16">
        <f>'IS (F1Q23)'!D52-'IS (F4Q2022)'!D52</f>
        <v>0</v>
      </c>
      <c r="E52" s="16">
        <f>'IS (F1Q23)'!E52-'IS (F4Q2022)'!E52</f>
        <v>0</v>
      </c>
      <c r="F52" s="16">
        <f>'IS (F1Q23)'!F52-'IS (F4Q2022)'!F52</f>
        <v>0</v>
      </c>
      <c r="G52" s="16">
        <f>'IS (F1Q23)'!G52-'IS (F4Q2022)'!G52</f>
        <v>0</v>
      </c>
      <c r="H52" s="26">
        <f>'IS (F1Q23)'!H52-'IS (F4Q2022)'!H52</f>
        <v>0</v>
      </c>
      <c r="I52" s="16">
        <f>'IS (F1Q23)'!I52-'IS (F4Q2022)'!I52</f>
        <v>0</v>
      </c>
      <c r="J52" s="16">
        <f>'IS (F1Q23)'!J52-'IS (F4Q2022)'!J52</f>
        <v>0</v>
      </c>
      <c r="K52" s="16">
        <f>'IS (F1Q23)'!K52-'IS (F4Q2022)'!K52</f>
        <v>0</v>
      </c>
      <c r="L52" s="16">
        <f>'IS (F1Q23)'!L52-'IS (F4Q2022)'!L52</f>
        <v>0</v>
      </c>
      <c r="M52" s="6">
        <f>'IS (F1Q23)'!M52-'IS (F4Q2022)'!M52</f>
        <v>0</v>
      </c>
      <c r="N52" s="16">
        <f>'IS (F1Q23)'!N52-'IS (F4Q2022)'!N52</f>
        <v>0</v>
      </c>
      <c r="O52" s="16">
        <f>'IS (F1Q23)'!O52-'IS (F4Q2022)'!O52</f>
        <v>0</v>
      </c>
      <c r="P52" s="16">
        <f>'IS (F1Q23)'!P52-'IS (F4Q2022)'!P52</f>
        <v>0</v>
      </c>
      <c r="Q52" s="16">
        <f>'IS (F1Q23)'!Q52-'IS (F4Q2022)'!Q52</f>
        <v>0</v>
      </c>
      <c r="R52" s="6">
        <f>'IS (F1Q23)'!R52-'IS (F4Q2022)'!R52</f>
        <v>0</v>
      </c>
      <c r="S52" s="16">
        <f>'IS (F1Q23)'!S52-'IS (F4Q2022)'!S52</f>
        <v>0</v>
      </c>
      <c r="T52" s="16">
        <f>'IS (F1Q23)'!T52-'IS (F4Q2022)'!T52</f>
        <v>0</v>
      </c>
      <c r="U52" s="16">
        <f>'IS (F1Q23)'!U52-'IS (F4Q2022)'!U52</f>
        <v>0</v>
      </c>
      <c r="V52" s="16">
        <f>'IS (F1Q23)'!V52-'IS (F4Q2022)'!V52</f>
        <v>0</v>
      </c>
      <c r="W52" s="130">
        <f>'IS (F1Q23)'!W52-'IS (F4Q2022)'!W52</f>
        <v>0</v>
      </c>
      <c r="X52" s="16">
        <f>'IS (F1Q23)'!X52-'IS (F4Q2022)'!X52</f>
        <v>-11</v>
      </c>
      <c r="Y52" s="16">
        <f>'IS (F1Q23)'!Y52-'IS (F4Q2022)'!Y52</f>
        <v>-18.5</v>
      </c>
      <c r="Z52" s="16">
        <f>'IS (F1Q23)'!Z52-'IS (F4Q2022)'!Z52</f>
        <v>-11.5</v>
      </c>
      <c r="AA52" s="16">
        <f>'IS (F1Q23)'!AA52-'IS (F4Q2022)'!AA52</f>
        <v>-5</v>
      </c>
      <c r="AB52" s="6">
        <f>'IS (F1Q23)'!AB52-'IS (F4Q2022)'!AB52</f>
        <v>0</v>
      </c>
      <c r="AC52" s="16">
        <f>'IS (F1Q23)'!AC52-'IS (F4Q2022)'!AC52</f>
        <v>-2</v>
      </c>
      <c r="AD52" s="16">
        <f>'IS (F1Q23)'!AD52-'IS (F4Q2022)'!AD52</f>
        <v>-2</v>
      </c>
      <c r="AE52" s="16">
        <f>'IS (F1Q23)'!AE52-'IS (F4Q2022)'!AE52</f>
        <v>-2</v>
      </c>
      <c r="AF52" s="16">
        <f>'IS (F1Q23)'!AF52-'IS (F4Q2022)'!AF52</f>
        <v>-2</v>
      </c>
      <c r="AG52" s="6">
        <f>'IS (F1Q23)'!AG52-'IS (F4Q2022)'!AG52</f>
        <v>0</v>
      </c>
      <c r="AH52" s="16">
        <f>'IS (F1Q23)'!AH52-'IS (F4Q2022)'!AH52</f>
        <v>-2</v>
      </c>
      <c r="AI52" s="16">
        <f>'IS (F1Q23)'!AI52-'IS (F4Q2022)'!AI52</f>
        <v>-2</v>
      </c>
      <c r="AJ52" s="16">
        <f>'IS (F1Q23)'!AJ52-'IS (F4Q2022)'!AJ52</f>
        <v>-2</v>
      </c>
      <c r="AK52" s="16">
        <f>'IS (F1Q23)'!AK52-'IS (F4Q2022)'!AK52</f>
        <v>-2</v>
      </c>
      <c r="AL52" s="6">
        <f>'IS (F1Q23)'!AL52-'IS (F4Q2022)'!AL52</f>
        <v>0</v>
      </c>
      <c r="AM52" s="16">
        <f>'IS (F1Q23)'!AM52-'IS (F4Q2022)'!AM52</f>
        <v>-2</v>
      </c>
      <c r="AN52" s="16">
        <f>'IS (F1Q23)'!AN52-'IS (F4Q2022)'!AN52</f>
        <v>-2</v>
      </c>
      <c r="AO52" s="16">
        <f>'IS (F1Q23)'!AO52-'IS (F4Q2022)'!AO52</f>
        <v>-2</v>
      </c>
      <c r="AP52" s="16">
        <f>'IS (F1Q23)'!AP52-'IS (F4Q2022)'!AP52</f>
        <v>-2</v>
      </c>
      <c r="AQ52" s="6">
        <f>'IS (F1Q23)'!AQ52-'IS (F4Q2022)'!AQ52</f>
        <v>0</v>
      </c>
      <c r="AR52" s="16">
        <f>'IS (F1Q23)'!AR52-'IS (F4Q2022)'!AR52</f>
        <v>-2</v>
      </c>
      <c r="AS52" s="16">
        <f>'IS (F1Q23)'!AS52-'IS (F4Q2022)'!AS52</f>
        <v>-2</v>
      </c>
      <c r="AT52" s="16">
        <f>'IS (F1Q23)'!AT52-'IS (F4Q2022)'!AT52</f>
        <v>-2</v>
      </c>
      <c r="AU52" s="16">
        <f>'IS (F1Q23)'!AU52-'IS (F4Q2022)'!AU52</f>
        <v>-2</v>
      </c>
      <c r="AV52" s="6">
        <f>'IS (F1Q23)'!AV52-'IS (F4Q2022)'!AV52</f>
        <v>0</v>
      </c>
    </row>
    <row r="53" spans="2:48" outlineLevel="1" x14ac:dyDescent="0.3">
      <c r="B53" s="180" t="s">
        <v>202</v>
      </c>
      <c r="C53" s="201"/>
      <c r="D53" s="43">
        <f>'IS (F1Q23)'!D53-'IS (F4Q2022)'!D53</f>
        <v>0</v>
      </c>
      <c r="E53" s="43">
        <f>'IS (F1Q23)'!E53-'IS (F4Q2022)'!E53</f>
        <v>0</v>
      </c>
      <c r="F53" s="43">
        <f>'IS (F1Q23)'!F53-'IS (F4Q2022)'!F53</f>
        <v>0</v>
      </c>
      <c r="G53" s="114">
        <f>'IS (F1Q23)'!G53-'IS (F4Q2022)'!G53</f>
        <v>0</v>
      </c>
      <c r="H53" s="127">
        <f>'IS (F1Q23)'!H53-'IS (F4Q2022)'!H53</f>
        <v>0</v>
      </c>
      <c r="I53" s="114">
        <f>'IS (F1Q23)'!I53-'IS (F4Q2022)'!I53</f>
        <v>0</v>
      </c>
      <c r="J53" s="114">
        <f>'IS (F1Q23)'!J53-'IS (F4Q2022)'!J53</f>
        <v>0</v>
      </c>
      <c r="K53" s="114">
        <f>'IS (F1Q23)'!K53-'IS (F4Q2022)'!K53</f>
        <v>0</v>
      </c>
      <c r="L53" s="114">
        <f>'IS (F1Q23)'!L53-'IS (F4Q2022)'!L53</f>
        <v>0</v>
      </c>
      <c r="M53" s="6">
        <f>'IS (F1Q23)'!M53-'IS (F4Q2022)'!M53</f>
        <v>0</v>
      </c>
      <c r="N53" s="114">
        <f>'IS (F1Q23)'!N53-'IS (F4Q2022)'!N53</f>
        <v>0</v>
      </c>
      <c r="O53" s="114">
        <f>'IS (F1Q23)'!O53-'IS (F4Q2022)'!O53</f>
        <v>0</v>
      </c>
      <c r="P53" s="114">
        <f>'IS (F1Q23)'!P53-'IS (F4Q2022)'!P53</f>
        <v>0</v>
      </c>
      <c r="Q53" s="114">
        <f>'IS (F1Q23)'!Q53-'IS (F4Q2022)'!Q53</f>
        <v>0</v>
      </c>
      <c r="R53" s="6">
        <f>'IS (F1Q23)'!R53-'IS (F4Q2022)'!R53</f>
        <v>0</v>
      </c>
      <c r="S53" s="114">
        <f>'IS (F1Q23)'!S53-'IS (F4Q2022)'!S53</f>
        <v>0</v>
      </c>
      <c r="T53" s="114">
        <f>'IS (F1Q23)'!T53-'IS (F4Q2022)'!T53</f>
        <v>0</v>
      </c>
      <c r="U53" s="114">
        <f>'IS (F1Q23)'!U53-'IS (F4Q2022)'!U53</f>
        <v>0</v>
      </c>
      <c r="V53" s="114">
        <f>'IS (F1Q23)'!V53-'IS (F4Q2022)'!V53</f>
        <v>0</v>
      </c>
      <c r="W53" s="130">
        <f>'IS (F1Q23)'!W53-'IS (F4Q2022)'!W53</f>
        <v>0</v>
      </c>
      <c r="X53" s="62">
        <f>'IS (F1Q23)'!X53-'IS (F4Q2022)'!X53</f>
        <v>1.4404596369640421E-2</v>
      </c>
      <c r="Y53" s="62">
        <f>'IS (F1Q23)'!Y53-'IS (F4Q2022)'!Y53</f>
        <v>0</v>
      </c>
      <c r="Z53" s="62">
        <f>'IS (F1Q23)'!Z53-'IS (F4Q2022)'!Z53</f>
        <v>0</v>
      </c>
      <c r="AA53" s="62">
        <f>'IS (F1Q23)'!AA53-'IS (F4Q2022)'!AA53</f>
        <v>0</v>
      </c>
      <c r="AB53" s="378">
        <f>'IS (F1Q23)'!AB53-'IS (F4Q2022)'!AB53</f>
        <v>0</v>
      </c>
      <c r="AC53" s="62">
        <f>'IS (F1Q23)'!AC53-'IS (F4Q2022)'!AC53</f>
        <v>1.5124826188122442E-2</v>
      </c>
      <c r="AD53" s="62">
        <f>'IS (F1Q23)'!AD53-'IS (F4Q2022)'!AD53</f>
        <v>0</v>
      </c>
      <c r="AE53" s="62">
        <f>'IS (F1Q23)'!AE53-'IS (F4Q2022)'!AE53</f>
        <v>0</v>
      </c>
      <c r="AF53" s="62">
        <f>'IS (F1Q23)'!AF53-'IS (F4Q2022)'!AF53</f>
        <v>0</v>
      </c>
      <c r="AG53" s="378">
        <f>'IS (F1Q23)'!AG53-'IS (F4Q2022)'!AG53</f>
        <v>0</v>
      </c>
      <c r="AH53" s="62">
        <f>'IS (F1Q23)'!AH53-'IS (F4Q2022)'!AH53</f>
        <v>1.6183564021291022E-2</v>
      </c>
      <c r="AI53" s="62">
        <f>'IS (F1Q23)'!AI53-'IS (F4Q2022)'!AI53</f>
        <v>0</v>
      </c>
      <c r="AJ53" s="62">
        <f>'IS (F1Q23)'!AJ53-'IS (F4Q2022)'!AJ53</f>
        <v>0</v>
      </c>
      <c r="AK53" s="62">
        <f>'IS (F1Q23)'!AK53-'IS (F4Q2022)'!AK53</f>
        <v>0</v>
      </c>
      <c r="AL53" s="379">
        <f>'IS (F1Q23)'!AL53-'IS (F4Q2022)'!AL53</f>
        <v>0</v>
      </c>
      <c r="AM53" s="477">
        <f>'IS (F1Q23)'!AM53-'IS (F4Q2022)'!AM53</f>
        <v>1.699274222235557E-2</v>
      </c>
      <c r="AN53" s="477">
        <f>'IS (F1Q23)'!AN53-'IS (F4Q2022)'!AN53</f>
        <v>0</v>
      </c>
      <c r="AO53" s="477">
        <f>'IS (F1Q23)'!AO53-'IS (F4Q2022)'!AO53</f>
        <v>0</v>
      </c>
      <c r="AP53" s="477">
        <f>'IS (F1Q23)'!AP53-'IS (F4Q2022)'!AP53</f>
        <v>0</v>
      </c>
      <c r="AQ53" s="97">
        <f>'IS (F1Q23)'!AQ53-'IS (F4Q2022)'!AQ53</f>
        <v>0</v>
      </c>
      <c r="AR53" s="477">
        <f>'IS (F1Q23)'!AR53-'IS (F4Q2022)'!AR53</f>
        <v>1.7502524489026242E-2</v>
      </c>
      <c r="AS53" s="477">
        <f>'IS (F1Q23)'!AS53-'IS (F4Q2022)'!AS53</f>
        <v>0</v>
      </c>
      <c r="AT53" s="477">
        <f>'IS (F1Q23)'!AT53-'IS (F4Q2022)'!AT53</f>
        <v>0</v>
      </c>
      <c r="AU53" s="477">
        <f>'IS (F1Q23)'!AU53-'IS (F4Q2022)'!AU53</f>
        <v>0</v>
      </c>
      <c r="AV53" s="6">
        <f>'IS (F1Q23)'!AV53-'IS (F4Q2022)'!AV53</f>
        <v>0</v>
      </c>
    </row>
    <row r="54" spans="2:48" s="8" customFormat="1" outlineLevel="1" x14ac:dyDescent="0.3">
      <c r="B54" s="603" t="s">
        <v>178</v>
      </c>
      <c r="C54" s="604"/>
      <c r="D54" s="115">
        <f>'IS (F1Q23)'!D54-'IS (F4Q2022)'!D54</f>
        <v>0</v>
      </c>
      <c r="E54" s="115">
        <f>'IS (F1Q23)'!E54-'IS (F4Q2022)'!E54</f>
        <v>0</v>
      </c>
      <c r="F54" s="115">
        <f>'IS (F1Q23)'!F54-'IS (F4Q2022)'!F54</f>
        <v>0</v>
      </c>
      <c r="G54" s="115">
        <f>'IS (F1Q23)'!G54-'IS (F4Q2022)'!G54</f>
        <v>0</v>
      </c>
      <c r="H54" s="153">
        <f>'IS (F1Q23)'!H54-'IS (F4Q2022)'!H54</f>
        <v>0</v>
      </c>
      <c r="I54" s="115">
        <f>'IS (F1Q23)'!I54-'IS (F4Q2022)'!I54</f>
        <v>0</v>
      </c>
      <c r="J54" s="115">
        <f>'IS (F1Q23)'!J54-'IS (F4Q2022)'!J54</f>
        <v>0</v>
      </c>
      <c r="K54" s="115">
        <f>'IS (F1Q23)'!K54-'IS (F4Q2022)'!K54</f>
        <v>0</v>
      </c>
      <c r="L54" s="72">
        <f>'IS (F1Q23)'!L54-'IS (F4Q2022)'!L54</f>
        <v>0</v>
      </c>
      <c r="M54" s="73">
        <f>'IS (F1Q23)'!M54-'IS (F4Q2022)'!M54</f>
        <v>0</v>
      </c>
      <c r="N54" s="72">
        <f>'IS (F1Q23)'!N54-'IS (F4Q2022)'!N54</f>
        <v>0</v>
      </c>
      <c r="O54" s="72">
        <f>'IS (F1Q23)'!O54-'IS (F4Q2022)'!O54</f>
        <v>0</v>
      </c>
      <c r="P54" s="72">
        <f>'IS (F1Q23)'!P54-'IS (F4Q2022)'!P54</f>
        <v>0</v>
      </c>
      <c r="Q54" s="115">
        <f>'IS (F1Q23)'!Q54-'IS (F4Q2022)'!Q54</f>
        <v>0</v>
      </c>
      <c r="R54" s="73">
        <f>'IS (F1Q23)'!R54-'IS (F4Q2022)'!R54</f>
        <v>0</v>
      </c>
      <c r="S54" s="72">
        <f>'IS (F1Q23)'!S54-'IS (F4Q2022)'!S54</f>
        <v>0</v>
      </c>
      <c r="T54" s="72">
        <f>'IS (F1Q23)'!T54-'IS (F4Q2022)'!T54</f>
        <v>0</v>
      </c>
      <c r="U54" s="72">
        <f>'IS (F1Q23)'!U54-'IS (F4Q2022)'!U54</f>
        <v>0</v>
      </c>
      <c r="V54" s="72">
        <f>'IS (F1Q23)'!V54-'IS (F4Q2022)'!V54</f>
        <v>0</v>
      </c>
      <c r="W54" s="213">
        <f>'IS (F1Q23)'!W54-'IS (F4Q2022)'!W54</f>
        <v>0</v>
      </c>
      <c r="X54" s="72">
        <f>'IS (F1Q23)'!X54-'IS (F4Q2022)'!X54</f>
        <v>101.40666953343361</v>
      </c>
      <c r="Y54" s="72">
        <f>'IS (F1Q23)'!Y54-'IS (F4Q2022)'!Y54</f>
        <v>-1.4781446991404437</v>
      </c>
      <c r="Z54" s="72">
        <f>'IS (F1Q23)'!Z54-'IS (F4Q2022)'!Z54</f>
        <v>-0.94062625250501242</v>
      </c>
      <c r="AA54" s="72">
        <f>'IS (F1Q23)'!AA54-'IS (F4Q2022)'!AA54</f>
        <v>-0.43509482207537076</v>
      </c>
      <c r="AB54" s="73">
        <f>'IS (F1Q23)'!AB54-'IS (F4Q2022)'!AB54</f>
        <v>98.552803759713242</v>
      </c>
      <c r="AC54" s="72">
        <f>'IS (F1Q23)'!AC54-'IS (F4Q2022)'!AC54</f>
        <v>111.61676988769659</v>
      </c>
      <c r="AD54" s="72">
        <f>'IS (F1Q23)'!AD54-'IS (F4Q2022)'!AD54</f>
        <v>-0.16778939828077455</v>
      </c>
      <c r="AE54" s="72">
        <f>'IS (F1Q23)'!AE54-'IS (F4Q2022)'!AE54</f>
        <v>-0.17176653306614753</v>
      </c>
      <c r="AF54" s="72">
        <f>'IS (F1Q23)'!AF54-'IS (F4Q2022)'!AF54</f>
        <v>-0.18273982527171029</v>
      </c>
      <c r="AG54" s="73">
        <f>'IS (F1Q23)'!AG54-'IS (F4Q2022)'!AG54</f>
        <v>111.09447413107819</v>
      </c>
      <c r="AH54" s="72">
        <f>'IS (F1Q23)'!AH54-'IS (F4Q2022)'!AH54</f>
        <v>124.87571307299982</v>
      </c>
      <c r="AI54" s="72">
        <f>'IS (F1Q23)'!AI54-'IS (F4Q2022)'!AI54</f>
        <v>-0.1795346561605129</v>
      </c>
      <c r="AJ54" s="72">
        <f>'IS (F1Q23)'!AJ54-'IS (F4Q2022)'!AJ54</f>
        <v>-0.18379019038081879</v>
      </c>
      <c r="AK54" s="72">
        <f>'IS (F1Q23)'!AK54-'IS (F4Q2022)'!AK54</f>
        <v>-0.19553161304077094</v>
      </c>
      <c r="AL54" s="73">
        <f>'IS (F1Q23)'!AL54-'IS (F4Q2022)'!AL54</f>
        <v>124.31685661341771</v>
      </c>
      <c r="AM54" s="72">
        <f>'IS (F1Q23)'!AM54-'IS (F4Q2022)'!AM54</f>
        <v>137.12643310225246</v>
      </c>
      <c r="AN54" s="72">
        <f>'IS (F1Q23)'!AN54-'IS (F4Q2022)'!AN54</f>
        <v>-0.18851138896843622</v>
      </c>
      <c r="AO54" s="72">
        <f>'IS (F1Q23)'!AO54-'IS (F4Q2022)'!AO54</f>
        <v>-0.19297969989986541</v>
      </c>
      <c r="AP54" s="72">
        <f>'IS (F1Q23)'!AP54-'IS (F4Q2022)'!AP54</f>
        <v>-0.20530819369275832</v>
      </c>
      <c r="AQ54" s="73">
        <f>'IS (F1Q23)'!AQ54-'IS (F4Q2022)'!AQ54</f>
        <v>136.53963381969106</v>
      </c>
      <c r="AR54" s="72">
        <f>'IS (F1Q23)'!AR54-'IS (F4Q2022)'!AR54</f>
        <v>143.20050883809097</v>
      </c>
      <c r="AS54" s="72">
        <f>'IS (F1Q23)'!AS54-'IS (F4Q2022)'!AS54</f>
        <v>-0.19416673063744838</v>
      </c>
      <c r="AT54" s="72">
        <f>'IS (F1Q23)'!AT54-'IS (F4Q2022)'!AT54</f>
        <v>-0.1987690908966897</v>
      </c>
      <c r="AU54" s="72">
        <f>'IS (F1Q23)'!AU54-'IS (F4Q2022)'!AU54</f>
        <v>-0.21146743950362179</v>
      </c>
      <c r="AV54" s="73">
        <f>'IS (F1Q23)'!AV54-'IS (F4Q2022)'!AV54</f>
        <v>142.59610557705309</v>
      </c>
    </row>
    <row r="55" spans="2:48" s="8" customFormat="1" outlineLevel="1" x14ac:dyDescent="0.3">
      <c r="B55" s="587" t="s">
        <v>179</v>
      </c>
      <c r="C55" s="588"/>
      <c r="D55" s="103">
        <f>'IS (F1Q23)'!D55-'IS (F4Q2022)'!D55</f>
        <v>0</v>
      </c>
      <c r="E55" s="103">
        <f>'IS (F1Q23)'!E55-'IS (F4Q2022)'!E55</f>
        <v>0</v>
      </c>
      <c r="F55" s="103">
        <f>'IS (F1Q23)'!F55-'IS (F4Q2022)'!F55</f>
        <v>0</v>
      </c>
      <c r="G55" s="103">
        <f>'IS (F1Q23)'!G55-'IS (F4Q2022)'!G55</f>
        <v>0</v>
      </c>
      <c r="H55" s="154">
        <f>'IS (F1Q23)'!H55-'IS (F4Q2022)'!H55</f>
        <v>0</v>
      </c>
      <c r="I55" s="103">
        <f>'IS (F1Q23)'!I55-'IS (F4Q2022)'!I55</f>
        <v>0</v>
      </c>
      <c r="J55" s="103">
        <f>'IS (F1Q23)'!J55-'IS (F4Q2022)'!J55</f>
        <v>0</v>
      </c>
      <c r="K55" s="103">
        <f>'IS (F1Q23)'!K55-'IS (F4Q2022)'!K55</f>
        <v>0</v>
      </c>
      <c r="L55" s="50">
        <f>'IS (F1Q23)'!L55-'IS (F4Q2022)'!L55</f>
        <v>0</v>
      </c>
      <c r="M55" s="97">
        <f>'IS (F1Q23)'!M55-'IS (F4Q2022)'!M55</f>
        <v>0</v>
      </c>
      <c r="N55" s="50">
        <f>'IS (F1Q23)'!N55-'IS (F4Q2022)'!N55</f>
        <v>0</v>
      </c>
      <c r="O55" s="50">
        <f>'IS (F1Q23)'!O55-'IS (F4Q2022)'!O55</f>
        <v>0</v>
      </c>
      <c r="P55" s="50">
        <f>'IS (F1Q23)'!P55-'IS (F4Q2022)'!P55</f>
        <v>0</v>
      </c>
      <c r="Q55" s="103">
        <f>'IS (F1Q23)'!Q55-'IS (F4Q2022)'!Q55</f>
        <v>0</v>
      </c>
      <c r="R55" s="191">
        <f>'IS (F1Q23)'!R55-'IS (F4Q2022)'!R55</f>
        <v>0</v>
      </c>
      <c r="S55" s="50">
        <f>'IS (F1Q23)'!S55-'IS (F4Q2022)'!S55</f>
        <v>0</v>
      </c>
      <c r="T55" s="50">
        <f>'IS (F1Q23)'!T55-'IS (F4Q2022)'!T55</f>
        <v>0</v>
      </c>
      <c r="U55" s="50">
        <f>'IS (F1Q23)'!U55-'IS (F4Q2022)'!U55</f>
        <v>0</v>
      </c>
      <c r="V55" s="50">
        <f>'IS (F1Q23)'!V55-'IS (F4Q2022)'!V55</f>
        <v>0</v>
      </c>
      <c r="W55" s="166">
        <f>'IS (F1Q23)'!W55-'IS (F4Q2022)'!W55</f>
        <v>0</v>
      </c>
      <c r="X55" s="50">
        <f>'IS (F1Q23)'!X55-'IS (F4Q2022)'!X55</f>
        <v>-1.2549999999999999</v>
      </c>
      <c r="Y55" s="50">
        <f>'IS (F1Q23)'!Y55-'IS (F4Q2022)'!Y55</f>
        <v>0</v>
      </c>
      <c r="Z55" s="50">
        <f>'IS (F1Q23)'!Z55-'IS (F4Q2022)'!Z55</f>
        <v>0</v>
      </c>
      <c r="AA55" s="50">
        <f>'IS (F1Q23)'!AA55-'IS (F4Q2022)'!AA55</f>
        <v>0</v>
      </c>
      <c r="AB55" s="191">
        <f>'IS (F1Q23)'!AB55-'IS (F4Q2022)'!AB55</f>
        <v>-1.2549999999999999</v>
      </c>
      <c r="AC55" s="50">
        <f>'IS (F1Q23)'!AC55-'IS (F4Q2022)'!AC55</f>
        <v>-1.2549999999999999</v>
      </c>
      <c r="AD55" s="50">
        <f>'IS (F1Q23)'!AD55-'IS (F4Q2022)'!AD55</f>
        <v>0</v>
      </c>
      <c r="AE55" s="50">
        <f>'IS (F1Q23)'!AE55-'IS (F4Q2022)'!AE55</f>
        <v>0</v>
      </c>
      <c r="AF55" s="50">
        <f>'IS (F1Q23)'!AF55-'IS (F4Q2022)'!AF55</f>
        <v>0</v>
      </c>
      <c r="AG55" s="191">
        <f>'IS (F1Q23)'!AG55-'IS (F4Q2022)'!AG55</f>
        <v>-1.2549999999999999</v>
      </c>
      <c r="AH55" s="50">
        <f>'IS (F1Q23)'!AH55-'IS (F4Q2022)'!AH55</f>
        <v>-1.2549999999999999</v>
      </c>
      <c r="AI55" s="50">
        <f>'IS (F1Q23)'!AI55-'IS (F4Q2022)'!AI55</f>
        <v>0</v>
      </c>
      <c r="AJ55" s="50">
        <f>'IS (F1Q23)'!AJ55-'IS (F4Q2022)'!AJ55</f>
        <v>0</v>
      </c>
      <c r="AK55" s="50">
        <f>'IS (F1Q23)'!AK55-'IS (F4Q2022)'!AK55</f>
        <v>0</v>
      </c>
      <c r="AL55" s="191">
        <f>'IS (F1Q23)'!AL55-'IS (F4Q2022)'!AL55</f>
        <v>-1.2549999999999999</v>
      </c>
      <c r="AM55" s="50">
        <f>'IS (F1Q23)'!AM55-'IS (F4Q2022)'!AM55</f>
        <v>-1.2549999999999999</v>
      </c>
      <c r="AN55" s="50">
        <f>'IS (F1Q23)'!AN55-'IS (F4Q2022)'!AN55</f>
        <v>0</v>
      </c>
      <c r="AO55" s="50">
        <f>'IS (F1Q23)'!AO55-'IS (F4Q2022)'!AO55</f>
        <v>0</v>
      </c>
      <c r="AP55" s="50">
        <f>'IS (F1Q23)'!AP55-'IS (F4Q2022)'!AP55</f>
        <v>0</v>
      </c>
      <c r="AQ55" s="191">
        <f>'IS (F1Q23)'!AQ55-'IS (F4Q2022)'!AQ55</f>
        <v>-1.2549999999999999</v>
      </c>
      <c r="AR55" s="50">
        <f>'IS (F1Q23)'!AR55-'IS (F4Q2022)'!AR55</f>
        <v>-1.2549999999999999</v>
      </c>
      <c r="AS55" s="50">
        <f>'IS (F1Q23)'!AS55-'IS (F4Q2022)'!AS55</f>
        <v>0</v>
      </c>
      <c r="AT55" s="50">
        <f>'IS (F1Q23)'!AT55-'IS (F4Q2022)'!AT55</f>
        <v>0</v>
      </c>
      <c r="AU55" s="50">
        <f>'IS (F1Q23)'!AU55-'IS (F4Q2022)'!AU55</f>
        <v>0</v>
      </c>
      <c r="AV55" s="191">
        <f>'IS (F1Q23)'!AV55-'IS (F4Q2022)'!AV55</f>
        <v>-1.2549999999999999</v>
      </c>
    </row>
    <row r="56" spans="2:48" outlineLevel="1" x14ac:dyDescent="0.3">
      <c r="B56" s="69" t="s">
        <v>50</v>
      </c>
      <c r="C56" s="70"/>
      <c r="D56" s="120">
        <f>'IS (F1Q23)'!D56-'IS (F4Q2022)'!D56</f>
        <v>0</v>
      </c>
      <c r="E56" s="120">
        <f>'IS (F1Q23)'!E56-'IS (F4Q2022)'!E56</f>
        <v>0</v>
      </c>
      <c r="F56" s="120">
        <f>'IS (F1Q23)'!F56-'IS (F4Q2022)'!F56</f>
        <v>0</v>
      </c>
      <c r="G56" s="120">
        <f>'IS (F1Q23)'!G56-'IS (F4Q2022)'!G56</f>
        <v>0</v>
      </c>
      <c r="H56" s="155">
        <f>'IS (F1Q23)'!H56-'IS (F4Q2022)'!H56</f>
        <v>0</v>
      </c>
      <c r="I56" s="120">
        <f>'IS (F1Q23)'!I56-'IS (F4Q2022)'!I56</f>
        <v>0</v>
      </c>
      <c r="J56" s="120">
        <f>'IS (F1Q23)'!J56-'IS (F4Q2022)'!J56</f>
        <v>0</v>
      </c>
      <c r="K56" s="120">
        <f>'IS (F1Q23)'!K56-'IS (F4Q2022)'!K56</f>
        <v>0</v>
      </c>
      <c r="L56" s="120">
        <f>'IS (F1Q23)'!L56-'IS (F4Q2022)'!L56</f>
        <v>0</v>
      </c>
      <c r="M56" s="58">
        <f>'IS (F1Q23)'!M56-'IS (F4Q2022)'!M56</f>
        <v>0</v>
      </c>
      <c r="N56" s="120">
        <f>'IS (F1Q23)'!N56-'IS (F4Q2022)'!N56</f>
        <v>0</v>
      </c>
      <c r="O56" s="120">
        <f>'IS (F1Q23)'!O56-'IS (F4Q2022)'!O56</f>
        <v>0</v>
      </c>
      <c r="P56" s="120">
        <f>'IS (F1Q23)'!P56-'IS (F4Q2022)'!P56</f>
        <v>0</v>
      </c>
      <c r="Q56" s="120">
        <f>'IS (F1Q23)'!Q56-'IS (F4Q2022)'!Q56</f>
        <v>0</v>
      </c>
      <c r="R56" s="58">
        <f>'IS (F1Q23)'!R56-'IS (F4Q2022)'!R56</f>
        <v>0</v>
      </c>
      <c r="S56" s="120">
        <f>'IS (F1Q23)'!S56-'IS (F4Q2022)'!S56</f>
        <v>0</v>
      </c>
      <c r="T56" s="120">
        <f>'IS (F1Q23)'!T56-'IS (F4Q2022)'!T56</f>
        <v>0</v>
      </c>
      <c r="U56" s="120">
        <f>'IS (F1Q23)'!U56-'IS (F4Q2022)'!U56</f>
        <v>0</v>
      </c>
      <c r="V56" s="120">
        <f>'IS (F1Q23)'!V56-'IS (F4Q2022)'!V56</f>
        <v>0</v>
      </c>
      <c r="W56" s="155">
        <f>'IS (F1Q23)'!W56-'IS (F4Q2022)'!W56</f>
        <v>0</v>
      </c>
      <c r="X56" s="71">
        <f>'IS (F1Q23)'!X56-'IS (F4Q2022)'!X56</f>
        <v>-0.54565217391304344</v>
      </c>
      <c r="Y56" s="71">
        <f>'IS (F1Q23)'!Y56-'IS (F4Q2022)'!Y56</f>
        <v>0</v>
      </c>
      <c r="Z56" s="71">
        <f>'IS (F1Q23)'!Z56-'IS (F4Q2022)'!Z56</f>
        <v>0</v>
      </c>
      <c r="AA56" s="71">
        <f>'IS (F1Q23)'!AA56-'IS (F4Q2022)'!AA56</f>
        <v>0</v>
      </c>
      <c r="AB56" s="374">
        <f>'IS (F1Q23)'!AB56-'IS (F4Q2022)'!AB56</f>
        <v>0</v>
      </c>
      <c r="AC56" s="71">
        <f>'IS (F1Q23)'!AC56-'IS (F4Q2022)'!AC56</f>
        <v>0</v>
      </c>
      <c r="AD56" s="71">
        <f>'IS (F1Q23)'!AD56-'IS (F4Q2022)'!AD56</f>
        <v>0</v>
      </c>
      <c r="AE56" s="71">
        <f>'IS (F1Q23)'!AE56-'IS (F4Q2022)'!AE56</f>
        <v>0</v>
      </c>
      <c r="AF56" s="71">
        <f>'IS (F1Q23)'!AF56-'IS (F4Q2022)'!AF56</f>
        <v>0</v>
      </c>
      <c r="AG56" s="58">
        <f>'IS (F1Q23)'!AG56-'IS (F4Q2022)'!AG56</f>
        <v>0</v>
      </c>
      <c r="AH56" s="71">
        <f>'IS (F1Q23)'!AH56-'IS (F4Q2022)'!AH56</f>
        <v>0</v>
      </c>
      <c r="AI56" s="71">
        <f>'IS (F1Q23)'!AI56-'IS (F4Q2022)'!AI56</f>
        <v>0</v>
      </c>
      <c r="AJ56" s="71">
        <f>'IS (F1Q23)'!AJ56-'IS (F4Q2022)'!AJ56</f>
        <v>0</v>
      </c>
      <c r="AK56" s="71">
        <f>'IS (F1Q23)'!AK56-'IS (F4Q2022)'!AK56</f>
        <v>0</v>
      </c>
      <c r="AL56" s="58">
        <f>'IS (F1Q23)'!AL56-'IS (F4Q2022)'!AL56</f>
        <v>0</v>
      </c>
      <c r="AM56" s="71">
        <f>'IS (F1Q23)'!AM56-'IS (F4Q2022)'!AM56</f>
        <v>0</v>
      </c>
      <c r="AN56" s="71">
        <f>'IS (F1Q23)'!AN56-'IS (F4Q2022)'!AN56</f>
        <v>0</v>
      </c>
      <c r="AO56" s="71">
        <f>'IS (F1Q23)'!AO56-'IS (F4Q2022)'!AO56</f>
        <v>0</v>
      </c>
      <c r="AP56" s="71">
        <f>'IS (F1Q23)'!AP56-'IS (F4Q2022)'!AP56</f>
        <v>0</v>
      </c>
      <c r="AQ56" s="58">
        <f>'IS (F1Q23)'!AQ56-'IS (F4Q2022)'!AQ56</f>
        <v>0</v>
      </c>
      <c r="AR56" s="71">
        <f>'IS (F1Q23)'!AR56-'IS (F4Q2022)'!AR56</f>
        <v>0</v>
      </c>
      <c r="AS56" s="71">
        <f>'IS (F1Q23)'!AS56-'IS (F4Q2022)'!AS56</f>
        <v>0</v>
      </c>
      <c r="AT56" s="71">
        <f>'IS (F1Q23)'!AT56-'IS (F4Q2022)'!AT56</f>
        <v>0</v>
      </c>
      <c r="AU56" s="71">
        <f>'IS (F1Q23)'!AU56-'IS (F4Q2022)'!AU56</f>
        <v>0</v>
      </c>
      <c r="AV56" s="58">
        <f>'IS (F1Q23)'!AV56-'IS (F4Q2022)'!AV56</f>
        <v>0</v>
      </c>
    </row>
    <row r="57" spans="2:48" outlineLevel="1" x14ac:dyDescent="0.3">
      <c r="B57" s="180" t="s">
        <v>180</v>
      </c>
      <c r="C57" s="207"/>
      <c r="D57" s="101">
        <f>'IS (F1Q23)'!D57-'IS (F4Q2022)'!D57</f>
        <v>0</v>
      </c>
      <c r="E57" s="101">
        <f>'IS (F1Q23)'!E57-'IS (F4Q2022)'!E57</f>
        <v>0</v>
      </c>
      <c r="F57" s="101">
        <f>'IS (F1Q23)'!F57-'IS (F4Q2022)'!F57</f>
        <v>0</v>
      </c>
      <c r="G57" s="101">
        <f>'IS (F1Q23)'!G57-'IS (F4Q2022)'!G57</f>
        <v>0</v>
      </c>
      <c r="H57" s="122">
        <f>'IS (F1Q23)'!H57-'IS (F4Q2022)'!H57</f>
        <v>0</v>
      </c>
      <c r="I57" s="101">
        <f>'IS (F1Q23)'!I57-'IS (F4Q2022)'!I57</f>
        <v>0</v>
      </c>
      <c r="J57" s="101">
        <f>'IS (F1Q23)'!J57-'IS (F4Q2022)'!J57</f>
        <v>0</v>
      </c>
      <c r="K57" s="101">
        <f>'IS (F1Q23)'!K57-'IS (F4Q2022)'!K57</f>
        <v>0</v>
      </c>
      <c r="L57" s="16">
        <f>'IS (F1Q23)'!L57-'IS (F4Q2022)'!L57</f>
        <v>0</v>
      </c>
      <c r="M57" s="6">
        <f>'IS (F1Q23)'!M57-'IS (F4Q2022)'!M57</f>
        <v>0</v>
      </c>
      <c r="N57" s="16">
        <f>'IS (F1Q23)'!N57-'IS (F4Q2022)'!N57</f>
        <v>0</v>
      </c>
      <c r="O57" s="16">
        <f>'IS (F1Q23)'!O57-'IS (F4Q2022)'!O57</f>
        <v>0</v>
      </c>
      <c r="P57" s="16">
        <f>'IS (F1Q23)'!P57-'IS (F4Q2022)'!P57</f>
        <v>0</v>
      </c>
      <c r="Q57" s="101">
        <f>'IS (F1Q23)'!Q57-'IS (F4Q2022)'!Q57</f>
        <v>0</v>
      </c>
      <c r="R57" s="6">
        <f>'IS (F1Q23)'!R57-'IS (F4Q2022)'!R57</f>
        <v>0</v>
      </c>
      <c r="S57" s="16">
        <f>'IS (F1Q23)'!S57-'IS (F4Q2022)'!S57</f>
        <v>0</v>
      </c>
      <c r="T57" s="16">
        <f>'IS (F1Q23)'!T57-'IS (F4Q2022)'!T57</f>
        <v>0</v>
      </c>
      <c r="U57" s="16">
        <f>'IS (F1Q23)'!U57-'IS (F4Q2022)'!U57</f>
        <v>0</v>
      </c>
      <c r="V57" s="16">
        <f>'IS (F1Q23)'!V57-'IS (F4Q2022)'!V57</f>
        <v>0</v>
      </c>
      <c r="W57" s="254">
        <f>'IS (F1Q23)'!W57-'IS (F4Q2022)'!W57</f>
        <v>0</v>
      </c>
      <c r="X57" s="16">
        <f>'IS (F1Q23)'!X57-'IS (F4Q2022)'!X57</f>
        <v>-42.5</v>
      </c>
      <c r="Y57" s="16">
        <f>'IS (F1Q23)'!Y57-'IS (F4Q2022)'!Y57</f>
        <v>-29</v>
      </c>
      <c r="Z57" s="16">
        <f>'IS (F1Q23)'!Z57-'IS (F4Q2022)'!Z57</f>
        <v>-15.5</v>
      </c>
      <c r="AA57" s="16">
        <f>'IS (F1Q23)'!AA57-'IS (F4Q2022)'!AA57</f>
        <v>-3</v>
      </c>
      <c r="AB57" s="254">
        <f>'IS (F1Q23)'!AB57-'IS (F4Q2022)'!AB57</f>
        <v>-1.7346053772766823E-4</v>
      </c>
      <c r="AC57" s="16">
        <f>'IS (F1Q23)'!AC57-'IS (F4Q2022)'!AC57</f>
        <v>-3</v>
      </c>
      <c r="AD57" s="16">
        <f>'IS (F1Q23)'!AD57-'IS (F4Q2022)'!AD57</f>
        <v>-3</v>
      </c>
      <c r="AE57" s="16">
        <f>'IS (F1Q23)'!AE57-'IS (F4Q2022)'!AE57</f>
        <v>-3</v>
      </c>
      <c r="AF57" s="16">
        <f>'IS (F1Q23)'!AF57-'IS (F4Q2022)'!AF57</f>
        <v>-3</v>
      </c>
      <c r="AG57" s="254">
        <f>'IS (F1Q23)'!AG57-'IS (F4Q2022)'!AG57</f>
        <v>5.8554088606249666E-6</v>
      </c>
      <c r="AH57" s="16">
        <f>'IS (F1Q23)'!AH57-'IS (F4Q2022)'!AH57</f>
        <v>-3</v>
      </c>
      <c r="AI57" s="16">
        <f>'IS (F1Q23)'!AI57-'IS (F4Q2022)'!AI57</f>
        <v>-3</v>
      </c>
      <c r="AJ57" s="16">
        <f>'IS (F1Q23)'!AJ57-'IS (F4Q2022)'!AJ57</f>
        <v>-3</v>
      </c>
      <c r="AK57" s="16">
        <f>'IS (F1Q23)'!AK57-'IS (F4Q2022)'!AK57</f>
        <v>-3</v>
      </c>
      <c r="AL57" s="254">
        <f>'IS (F1Q23)'!AL57-'IS (F4Q2022)'!AL57</f>
        <v>6.4669499367439598E-6</v>
      </c>
      <c r="AM57" s="16">
        <f>'IS (F1Q23)'!AM57-'IS (F4Q2022)'!AM57</f>
        <v>-3</v>
      </c>
      <c r="AN57" s="16">
        <f>'IS (F1Q23)'!AN57-'IS (F4Q2022)'!AN57</f>
        <v>-3</v>
      </c>
      <c r="AO57" s="16">
        <f>'IS (F1Q23)'!AO57-'IS (F4Q2022)'!AO57</f>
        <v>-3</v>
      </c>
      <c r="AP57" s="16">
        <f>'IS (F1Q23)'!AP57-'IS (F4Q2022)'!AP57</f>
        <v>-3</v>
      </c>
      <c r="AQ57" s="254">
        <f>'IS (F1Q23)'!AQ57-'IS (F4Q2022)'!AQ57</f>
        <v>4.0535411989263415E-6</v>
      </c>
      <c r="AR57" s="16">
        <f>'IS (F1Q23)'!AR57-'IS (F4Q2022)'!AR57</f>
        <v>-3</v>
      </c>
      <c r="AS57" s="16">
        <f>'IS (F1Q23)'!AS57-'IS (F4Q2022)'!AS57</f>
        <v>-3</v>
      </c>
      <c r="AT57" s="16">
        <f>'IS (F1Q23)'!AT57-'IS (F4Q2022)'!AT57</f>
        <v>-3</v>
      </c>
      <c r="AU57" s="16">
        <f>'IS (F1Q23)'!AU57-'IS (F4Q2022)'!AU57</f>
        <v>-3</v>
      </c>
      <c r="AV57" s="254">
        <f>'IS (F1Q23)'!AV57-'IS (F4Q2022)'!AV57</f>
        <v>3.8515429200691731E-6</v>
      </c>
    </row>
    <row r="58" spans="2:48" outlineLevel="1" x14ac:dyDescent="0.3">
      <c r="B58" s="180" t="s">
        <v>181</v>
      </c>
      <c r="C58" s="207"/>
      <c r="D58" s="101">
        <f>'IS (F1Q23)'!D58-'IS (F4Q2022)'!D58</f>
        <v>0</v>
      </c>
      <c r="E58" s="101">
        <f>'IS (F1Q23)'!E58-'IS (F4Q2022)'!E58</f>
        <v>0</v>
      </c>
      <c r="F58" s="101">
        <f>'IS (F1Q23)'!F58-'IS (F4Q2022)'!F58</f>
        <v>0</v>
      </c>
      <c r="G58" s="101">
        <f>'IS (F1Q23)'!G58-'IS (F4Q2022)'!G58</f>
        <v>0</v>
      </c>
      <c r="H58" s="122">
        <f>'IS (F1Q23)'!H58-'IS (F4Q2022)'!H58</f>
        <v>0</v>
      </c>
      <c r="I58" s="101">
        <f>'IS (F1Q23)'!I58-'IS (F4Q2022)'!I58</f>
        <v>0</v>
      </c>
      <c r="J58" s="101">
        <f>'IS (F1Q23)'!J58-'IS (F4Q2022)'!J58</f>
        <v>0</v>
      </c>
      <c r="K58" s="101">
        <f>'IS (F1Q23)'!K58-'IS (F4Q2022)'!K58</f>
        <v>0</v>
      </c>
      <c r="L58" s="16">
        <f>'IS (F1Q23)'!L58-'IS (F4Q2022)'!L58</f>
        <v>0</v>
      </c>
      <c r="M58" s="122">
        <f>'IS (F1Q23)'!M58-'IS (F4Q2022)'!M58</f>
        <v>0</v>
      </c>
      <c r="N58" s="16">
        <f>'IS (F1Q23)'!N58-'IS (F4Q2022)'!N58</f>
        <v>0</v>
      </c>
      <c r="O58" s="16">
        <f>'IS (F1Q23)'!O58-'IS (F4Q2022)'!O58</f>
        <v>0</v>
      </c>
      <c r="P58" s="16">
        <f>'IS (F1Q23)'!P58-'IS (F4Q2022)'!P58</f>
        <v>0</v>
      </c>
      <c r="Q58" s="101">
        <f>'IS (F1Q23)'!Q58-'IS (F4Q2022)'!Q58</f>
        <v>0</v>
      </c>
      <c r="R58" s="122">
        <f>'IS (F1Q23)'!R58-'IS (F4Q2022)'!R58</f>
        <v>0</v>
      </c>
      <c r="S58" s="16">
        <f>'IS (F1Q23)'!S58-'IS (F4Q2022)'!S58</f>
        <v>0</v>
      </c>
      <c r="T58" s="16">
        <f>'IS (F1Q23)'!T58-'IS (F4Q2022)'!T58</f>
        <v>0</v>
      </c>
      <c r="U58" s="16">
        <f>'IS (F1Q23)'!U58-'IS (F4Q2022)'!U58</f>
        <v>0</v>
      </c>
      <c r="V58" s="16">
        <f>'IS (F1Q23)'!V58-'IS (F4Q2022)'!V58</f>
        <v>0</v>
      </c>
      <c r="W58" s="122">
        <f>'IS (F1Q23)'!W58-'IS (F4Q2022)'!W58</f>
        <v>0</v>
      </c>
      <c r="X58" s="16">
        <f>'IS (F1Q23)'!X58-'IS (F4Q2022)'!X58</f>
        <v>-42.5</v>
      </c>
      <c r="Y58" s="16">
        <f>'IS (F1Q23)'!Y58-'IS (F4Q2022)'!Y58</f>
        <v>13.5</v>
      </c>
      <c r="Z58" s="16">
        <f>'IS (F1Q23)'!Z58-'IS (F4Q2022)'!Z58</f>
        <v>13.5</v>
      </c>
      <c r="AA58" s="16">
        <f>'IS (F1Q23)'!AA58-'IS (F4Q2022)'!AA58</f>
        <v>12.5</v>
      </c>
      <c r="AB58" s="122">
        <f>'IS (F1Q23)'!AB58-'IS (F4Q2022)'!AB58</f>
        <v>-3</v>
      </c>
      <c r="AC58" s="16">
        <f>'IS (F1Q23)'!AC58-'IS (F4Q2022)'!AC58</f>
        <v>0</v>
      </c>
      <c r="AD58" s="16">
        <f>'IS (F1Q23)'!AD58-'IS (F4Q2022)'!AD58</f>
        <v>0</v>
      </c>
      <c r="AE58" s="16">
        <f>'IS (F1Q23)'!AE58-'IS (F4Q2022)'!AE58</f>
        <v>0</v>
      </c>
      <c r="AF58" s="16">
        <f>'IS (F1Q23)'!AF58-'IS (F4Q2022)'!AF58</f>
        <v>0</v>
      </c>
      <c r="AG58" s="122">
        <f>'IS (F1Q23)'!AG58-'IS (F4Q2022)'!AG58</f>
        <v>0</v>
      </c>
      <c r="AH58" s="16">
        <f>'IS (F1Q23)'!AH58-'IS (F4Q2022)'!AH58</f>
        <v>0</v>
      </c>
      <c r="AI58" s="16">
        <f>'IS (F1Q23)'!AI58-'IS (F4Q2022)'!AI58</f>
        <v>0</v>
      </c>
      <c r="AJ58" s="16">
        <f>'IS (F1Q23)'!AJ58-'IS (F4Q2022)'!AJ58</f>
        <v>0</v>
      </c>
      <c r="AK58" s="16">
        <f>'IS (F1Q23)'!AK58-'IS (F4Q2022)'!AK58</f>
        <v>0</v>
      </c>
      <c r="AL58" s="122">
        <f>'IS (F1Q23)'!AL58-'IS (F4Q2022)'!AL58</f>
        <v>0</v>
      </c>
      <c r="AM58" s="16">
        <f>'IS (F1Q23)'!AM58-'IS (F4Q2022)'!AM58</f>
        <v>0</v>
      </c>
      <c r="AN58" s="16">
        <f>'IS (F1Q23)'!AN58-'IS (F4Q2022)'!AN58</f>
        <v>0</v>
      </c>
      <c r="AO58" s="16">
        <f>'IS (F1Q23)'!AO58-'IS (F4Q2022)'!AO58</f>
        <v>0</v>
      </c>
      <c r="AP58" s="16">
        <f>'IS (F1Q23)'!AP58-'IS (F4Q2022)'!AP58</f>
        <v>0</v>
      </c>
      <c r="AQ58" s="122">
        <f>'IS (F1Q23)'!AQ58-'IS (F4Q2022)'!AQ58</f>
        <v>0</v>
      </c>
      <c r="AR58" s="16">
        <f>'IS (F1Q23)'!AR58-'IS (F4Q2022)'!AR58</f>
        <v>0</v>
      </c>
      <c r="AS58" s="16">
        <f>'IS (F1Q23)'!AS58-'IS (F4Q2022)'!AS58</f>
        <v>0</v>
      </c>
      <c r="AT58" s="16">
        <f>'IS (F1Q23)'!AT58-'IS (F4Q2022)'!AT58</f>
        <v>0</v>
      </c>
      <c r="AU58" s="16">
        <f>'IS (F1Q23)'!AU58-'IS (F4Q2022)'!AU58</f>
        <v>0</v>
      </c>
      <c r="AV58" s="122">
        <f>'IS (F1Q23)'!AV58-'IS (F4Q2022)'!AV58</f>
        <v>0</v>
      </c>
    </row>
    <row r="59" spans="2:48" outlineLevel="1" x14ac:dyDescent="0.3">
      <c r="B59" s="605" t="s">
        <v>182</v>
      </c>
      <c r="C59" s="606"/>
      <c r="D59" s="115">
        <f>'IS (F1Q23)'!D59-'IS (F4Q2022)'!D59</f>
        <v>0</v>
      </c>
      <c r="E59" s="115">
        <f>'IS (F1Q23)'!E59-'IS (F4Q2022)'!E59</f>
        <v>0</v>
      </c>
      <c r="F59" s="115">
        <f>'IS (F1Q23)'!F59-'IS (F4Q2022)'!F59</f>
        <v>0</v>
      </c>
      <c r="G59" s="115">
        <f>'IS (F1Q23)'!G59-'IS (F4Q2022)'!G59</f>
        <v>0</v>
      </c>
      <c r="H59" s="132">
        <f>'IS (F1Q23)'!H59-'IS (F4Q2022)'!H59</f>
        <v>0</v>
      </c>
      <c r="I59" s="115">
        <f>'IS (F1Q23)'!I59-'IS (F4Q2022)'!I59</f>
        <v>0</v>
      </c>
      <c r="J59" s="115">
        <f>'IS (F1Q23)'!J59-'IS (F4Q2022)'!J59</f>
        <v>0</v>
      </c>
      <c r="K59" s="115">
        <f>'IS (F1Q23)'!K59-'IS (F4Q2022)'!K59</f>
        <v>0</v>
      </c>
      <c r="L59" s="72">
        <f>'IS (F1Q23)'!L59-'IS (F4Q2022)'!L59</f>
        <v>0</v>
      </c>
      <c r="M59" s="97">
        <f>'IS (F1Q23)'!M59-'IS (F4Q2022)'!M59</f>
        <v>0</v>
      </c>
      <c r="N59" s="72">
        <f>'IS (F1Q23)'!N59-'IS (F4Q2022)'!N59</f>
        <v>0</v>
      </c>
      <c r="O59" s="72">
        <f>'IS (F1Q23)'!O59-'IS (F4Q2022)'!O59</f>
        <v>0</v>
      </c>
      <c r="P59" s="72">
        <f>'IS (F1Q23)'!P59-'IS (F4Q2022)'!P59</f>
        <v>0</v>
      </c>
      <c r="Q59" s="115">
        <f>'IS (F1Q23)'!Q59-'IS (F4Q2022)'!Q59</f>
        <v>0</v>
      </c>
      <c r="R59" s="97">
        <f>'IS (F1Q23)'!R59-'IS (F4Q2022)'!R59</f>
        <v>0</v>
      </c>
      <c r="S59" s="72">
        <f>'IS (F1Q23)'!S59-'IS (F4Q2022)'!S59</f>
        <v>0</v>
      </c>
      <c r="T59" s="72">
        <f>'IS (F1Q23)'!T59-'IS (F4Q2022)'!T59</f>
        <v>0</v>
      </c>
      <c r="U59" s="72">
        <f>'IS (F1Q23)'!U59-'IS (F4Q2022)'!U59</f>
        <v>0</v>
      </c>
      <c r="V59" s="72">
        <f>'IS (F1Q23)'!V59-'IS (F4Q2022)'!V59</f>
        <v>0</v>
      </c>
      <c r="W59" s="97">
        <f>'IS (F1Q23)'!W59-'IS (F4Q2022)'!W59</f>
        <v>0</v>
      </c>
      <c r="X59" s="72">
        <f>'IS (F1Q23)'!X59-'IS (F4Q2022)'!X59</f>
        <v>185.14161197055637</v>
      </c>
      <c r="Y59" s="72">
        <f>'IS (F1Q23)'!Y59-'IS (F4Q2022)'!Y59</f>
        <v>-10.65632111195373</v>
      </c>
      <c r="Z59" s="72">
        <f>'IS (F1Q23)'!Z59-'IS (F4Q2022)'!Z59</f>
        <v>-7.1624063964754896</v>
      </c>
      <c r="AA59" s="72">
        <f>'IS (F1Q23)'!AA59-'IS (F4Q2022)'!AA59</f>
        <v>-2.8794949256971449</v>
      </c>
      <c r="AB59" s="97">
        <f>'IS (F1Q23)'!AB59-'IS (F4Q2022)'!AB59</f>
        <v>164.44338953642728</v>
      </c>
      <c r="AC59" s="72">
        <f>'IS (F1Q23)'!AC59-'IS (F4Q2022)'!AC59</f>
        <v>207.47859110144054</v>
      </c>
      <c r="AD59" s="72">
        <f>'IS (F1Q23)'!AD59-'IS (F4Q2022)'!AD59</f>
        <v>-0.72646100601741637</v>
      </c>
      <c r="AE59" s="72">
        <f>'IS (F1Q23)'!AE59-'IS (F4Q2022)'!AE59</f>
        <v>-0.77947529131597548</v>
      </c>
      <c r="AF59" s="72">
        <f>'IS (F1Q23)'!AF59-'IS (F4Q2022)'!AF59</f>
        <v>-0.78665043910768873</v>
      </c>
      <c r="AG59" s="97">
        <f>'IS (F1Q23)'!AG59-'IS (F4Q2022)'!AG59</f>
        <v>205.18600436499764</v>
      </c>
      <c r="AH59" s="72">
        <f>'IS (F1Q23)'!AH59-'IS (F4Q2022)'!AH59</f>
        <v>230.49493876682754</v>
      </c>
      <c r="AI59" s="72">
        <f>'IS (F1Q23)'!AI59-'IS (F4Q2022)'!AI59</f>
        <v>-0.77731327643778059</v>
      </c>
      <c r="AJ59" s="72">
        <f>'IS (F1Q23)'!AJ59-'IS (F4Q2022)'!AJ59</f>
        <v>-0.83403856170662038</v>
      </c>
      <c r="AK59" s="72">
        <f>'IS (F1Q23)'!AK59-'IS (F4Q2022)'!AK59</f>
        <v>-0.84171596984560892</v>
      </c>
      <c r="AL59" s="97">
        <f>'IS (F1Q23)'!AL59-'IS (F4Q2022)'!AL59</f>
        <v>228.0418709588339</v>
      </c>
      <c r="AM59" s="72">
        <f>'IS (F1Q23)'!AM59-'IS (F4Q2022)'!AM59</f>
        <v>251.74057793384418</v>
      </c>
      <c r="AN59" s="72">
        <f>'IS (F1Q23)'!AN59-'IS (F4Q2022)'!AN59</f>
        <v>-0.81617894026021531</v>
      </c>
      <c r="AO59" s="72">
        <f>'IS (F1Q23)'!AO59-'IS (F4Q2022)'!AO59</f>
        <v>-0.87574048979331565</v>
      </c>
      <c r="AP59" s="72">
        <f>'IS (F1Q23)'!AP59-'IS (F4Q2022)'!AP59</f>
        <v>-0.88380176833743462</v>
      </c>
      <c r="AQ59" s="97">
        <f>'IS (F1Q23)'!AQ59-'IS (F4Q2022)'!AQ59</f>
        <v>249.16485673544958</v>
      </c>
      <c r="AR59" s="72">
        <f>'IS (F1Q23)'!AR59-'IS (F4Q2022)'!AR59</f>
        <v>265.42862408926521</v>
      </c>
      <c r="AS59" s="72">
        <f>'IS (F1Q23)'!AS59-'IS (F4Q2022)'!AS59</f>
        <v>-0.84066430846723961</v>
      </c>
      <c r="AT59" s="72">
        <f>'IS (F1Q23)'!AT59-'IS (F4Q2022)'!AT59</f>
        <v>-0.90201270448596915</v>
      </c>
      <c r="AU59" s="72">
        <f>'IS (F1Q23)'!AU59-'IS (F4Q2022)'!AU59</f>
        <v>-0.9103158213874849</v>
      </c>
      <c r="AV59" s="97">
        <f>'IS (F1Q23)'!AV59-'IS (F4Q2022)'!AV59</f>
        <v>262.77563125492452</v>
      </c>
    </row>
    <row r="60" spans="2:48" outlineLevel="1" x14ac:dyDescent="0.3">
      <c r="B60" s="607" t="s">
        <v>100</v>
      </c>
      <c r="C60" s="608"/>
      <c r="D60" s="105">
        <f>'IS (F1Q23)'!D60-'IS (F4Q2022)'!D60</f>
        <v>0</v>
      </c>
      <c r="E60" s="105">
        <f>'IS (F1Q23)'!E60-'IS (F4Q2022)'!E60</f>
        <v>0</v>
      </c>
      <c r="F60" s="105">
        <f>'IS (F1Q23)'!F60-'IS (F4Q2022)'!F60</f>
        <v>0</v>
      </c>
      <c r="G60" s="105">
        <f>'IS (F1Q23)'!G60-'IS (F4Q2022)'!G60</f>
        <v>0</v>
      </c>
      <c r="H60" s="129">
        <f>'IS (F1Q23)'!H60-'IS (F4Q2022)'!H60</f>
        <v>0</v>
      </c>
      <c r="I60" s="105">
        <f>'IS (F1Q23)'!I60-'IS (F4Q2022)'!I60</f>
        <v>0</v>
      </c>
      <c r="J60" s="105">
        <f>'IS (F1Q23)'!J60-'IS (F4Q2022)'!J60</f>
        <v>0</v>
      </c>
      <c r="K60" s="105">
        <f>'IS (F1Q23)'!K60-'IS (F4Q2022)'!K60</f>
        <v>0</v>
      </c>
      <c r="L60" s="48">
        <f>'IS (F1Q23)'!L60-'IS (F4Q2022)'!L60</f>
        <v>0</v>
      </c>
      <c r="M60" s="76">
        <f>'IS (F1Q23)'!M60-'IS (F4Q2022)'!M60</f>
        <v>0</v>
      </c>
      <c r="N60" s="48">
        <f>'IS (F1Q23)'!N60-'IS (F4Q2022)'!N60</f>
        <v>0</v>
      </c>
      <c r="O60" s="48">
        <f>'IS (F1Q23)'!O60-'IS (F4Q2022)'!O60</f>
        <v>0</v>
      </c>
      <c r="P60" s="48">
        <f>'IS (F1Q23)'!P60-'IS (F4Q2022)'!P60</f>
        <v>0</v>
      </c>
      <c r="Q60" s="105">
        <f>'IS (F1Q23)'!Q60-'IS (F4Q2022)'!Q60</f>
        <v>0</v>
      </c>
      <c r="R60" s="76">
        <f>'IS (F1Q23)'!R60-'IS (F4Q2022)'!R60</f>
        <v>0</v>
      </c>
      <c r="S60" s="48">
        <f>'IS (F1Q23)'!S60-'IS (F4Q2022)'!S60</f>
        <v>0</v>
      </c>
      <c r="T60" s="48">
        <f>'IS (F1Q23)'!T60-'IS (F4Q2022)'!T60</f>
        <v>0</v>
      </c>
      <c r="U60" s="48">
        <f>'IS (F1Q23)'!U60-'IS (F4Q2022)'!U60</f>
        <v>0</v>
      </c>
      <c r="V60" s="48">
        <f>'IS (F1Q23)'!V60-'IS (F4Q2022)'!V60</f>
        <v>0</v>
      </c>
      <c r="W60" s="76">
        <f>'IS (F1Q23)'!W60-'IS (F4Q2022)'!W60</f>
        <v>0</v>
      </c>
      <c r="X60" s="48">
        <f>'IS (F1Q23)'!X60-'IS (F4Q2022)'!X60</f>
        <v>76.195655130805562</v>
      </c>
      <c r="Y60" s="48">
        <f>'IS (F1Q23)'!Y60-'IS (F4Q2022)'!Y60</f>
        <v>-3.060485560918778</v>
      </c>
      <c r="Z60" s="48">
        <f>'IS (F1Q23)'!Z60-'IS (F4Q2022)'!Z60</f>
        <v>-2.0253919580154616</v>
      </c>
      <c r="AA60" s="48">
        <f>'IS (F1Q23)'!AA60-'IS (F4Q2022)'!AA60</f>
        <v>-0.79512813715064112</v>
      </c>
      <c r="AB60" s="76">
        <f>'IS (F1Q23)'!AB60-'IS (F4Q2022)'!AB60</f>
        <v>70.314649474720682</v>
      </c>
      <c r="AC60" s="48">
        <f>'IS (F1Q23)'!AC60-'IS (F4Q2022)'!AC60</f>
        <v>82.349226348052525</v>
      </c>
      <c r="AD60" s="48">
        <f>'IS (F1Q23)'!AD60-'IS (F4Q2022)'!AD60</f>
        <v>-0.20791246758176385</v>
      </c>
      <c r="AE60" s="48">
        <f>'IS (F1Q23)'!AE60-'IS (F4Q2022)'!AE60</f>
        <v>-0.21964127426031155</v>
      </c>
      <c r="AF60" s="48">
        <f>'IS (F1Q23)'!AF60-'IS (F4Q2022)'!AF60</f>
        <v>-0.2250878971617567</v>
      </c>
      <c r="AG60" s="76">
        <f>'IS (F1Q23)'!AG60-'IS (F4Q2022)'!AG60</f>
        <v>81.696584709048693</v>
      </c>
      <c r="AH60" s="48">
        <f>'IS (F1Q23)'!AH60-'IS (F4Q2022)'!AH60</f>
        <v>91.041195216990218</v>
      </c>
      <c r="AI60" s="48">
        <f>'IS (F1Q23)'!AI60-'IS (F4Q2022)'!AI60</f>
        <v>-0.22168902703606364</v>
      </c>
      <c r="AJ60" s="48">
        <f>'IS (F1Q23)'!AJ60-'IS (F4Q2022)'!AJ60</f>
        <v>-0.23418212489605139</v>
      </c>
      <c r="AK60" s="48">
        <f>'IS (F1Q23)'!AK60-'IS (F4Q2022)'!AK60</f>
        <v>-0.24000233399328863</v>
      </c>
      <c r="AL60" s="76">
        <f>'IS (F1Q23)'!AL60-'IS (F4Q2022)'!AL60</f>
        <v>90.345321731065269</v>
      </c>
      <c r="AM60" s="48">
        <f>'IS (F1Q23)'!AM60-'IS (F4Q2022)'!AM60</f>
        <v>99.252097089025028</v>
      </c>
      <c r="AN60" s="48">
        <f>'IS (F1Q23)'!AN60-'IS (F4Q2022)'!AN60</f>
        <v>-0.23277347838802598</v>
      </c>
      <c r="AO60" s="48">
        <f>'IS (F1Q23)'!AO60-'IS (F4Q2022)'!AO60</f>
        <v>-0.24589123114128597</v>
      </c>
      <c r="AP60" s="48">
        <f>'IS (F1Q23)'!AP60-'IS (F4Q2022)'!AP60</f>
        <v>-0.25200245069299854</v>
      </c>
      <c r="AQ60" s="76">
        <f>'IS (F1Q23)'!AQ60-'IS (F4Q2022)'!AQ60</f>
        <v>98.521429928803627</v>
      </c>
      <c r="AR60" s="48">
        <f>'IS (F1Q23)'!AR60-'IS (F4Q2022)'!AR60</f>
        <v>104.90682678395342</v>
      </c>
      <c r="AS60" s="48">
        <f>'IS (F1Q23)'!AS60-'IS (F4Q2022)'!AS60</f>
        <v>-0.23975668273942574</v>
      </c>
      <c r="AT60" s="48">
        <f>'IS (F1Q23)'!AT60-'IS (F4Q2022)'!AT60</f>
        <v>-0.25326796807530627</v>
      </c>
      <c r="AU60" s="48">
        <f>'IS (F1Q23)'!AU60-'IS (F4Q2022)'!AU60</f>
        <v>-0.25956252421383397</v>
      </c>
      <c r="AV60" s="76">
        <f>'IS (F1Q23)'!AV60-'IS (F4Q2022)'!AV60</f>
        <v>104.1542396089244</v>
      </c>
    </row>
    <row r="61" spans="2:48" s="184" customFormat="1" outlineLevel="1" x14ac:dyDescent="0.3">
      <c r="B61" s="181" t="s">
        <v>151</v>
      </c>
      <c r="C61" s="185"/>
      <c r="D61" s="167">
        <f>'IS (F1Q23)'!D61-'IS (F4Q2022)'!D61</f>
        <v>0</v>
      </c>
      <c r="E61" s="167">
        <f>'IS (F1Q23)'!E61-'IS (F4Q2022)'!E61</f>
        <v>0</v>
      </c>
      <c r="F61" s="167">
        <f>'IS (F1Q23)'!F61-'IS (F4Q2022)'!F61</f>
        <v>0</v>
      </c>
      <c r="G61" s="167">
        <f>'IS (F1Q23)'!G61-'IS (F4Q2022)'!G61</f>
        <v>0</v>
      </c>
      <c r="H61" s="186">
        <f>'IS (F1Q23)'!H61-'IS (F4Q2022)'!H61</f>
        <v>0</v>
      </c>
      <c r="I61" s="167">
        <f>'IS (F1Q23)'!I61-'IS (F4Q2022)'!I61</f>
        <v>0</v>
      </c>
      <c r="J61" s="167">
        <f>'IS (F1Q23)'!J61-'IS (F4Q2022)'!J61</f>
        <v>0</v>
      </c>
      <c r="K61" s="167">
        <f>'IS (F1Q23)'!K61-'IS (F4Q2022)'!K61</f>
        <v>0</v>
      </c>
      <c r="L61" s="187">
        <f>'IS (F1Q23)'!L61-'IS (F4Q2022)'!L61</f>
        <v>0</v>
      </c>
      <c r="M61" s="188">
        <f>'IS (F1Q23)'!M61-'IS (F4Q2022)'!M61</f>
        <v>0</v>
      </c>
      <c r="N61" s="187">
        <f>'IS (F1Q23)'!N61-'IS (F4Q2022)'!N61</f>
        <v>0</v>
      </c>
      <c r="O61" s="167">
        <f>'IS (F1Q23)'!O61-'IS (F4Q2022)'!O61</f>
        <v>0</v>
      </c>
      <c r="P61" s="167">
        <f>'IS (F1Q23)'!P61-'IS (F4Q2022)'!P61</f>
        <v>0</v>
      </c>
      <c r="Q61" s="167">
        <f>'IS (F1Q23)'!Q61-'IS (F4Q2022)'!Q61</f>
        <v>0</v>
      </c>
      <c r="R61" s="188">
        <f>'IS (F1Q23)'!R61-'IS (F4Q2022)'!R61</f>
        <v>0</v>
      </c>
      <c r="S61" s="187">
        <f>'IS (F1Q23)'!S61-'IS (F4Q2022)'!S61</f>
        <v>0</v>
      </c>
      <c r="T61" s="167">
        <f>'IS (F1Q23)'!T61-'IS (F4Q2022)'!T61</f>
        <v>0</v>
      </c>
      <c r="U61" s="167">
        <f>'IS (F1Q23)'!U61-'IS (F4Q2022)'!U61</f>
        <v>0</v>
      </c>
      <c r="V61" s="167">
        <f>'IS (F1Q23)'!V61-'IS (F4Q2022)'!V61</f>
        <v>0</v>
      </c>
      <c r="W61" s="188">
        <f>'IS (F1Q23)'!W61-'IS (F4Q2022)'!W61</f>
        <v>0</v>
      </c>
      <c r="X61" s="189">
        <f>'IS (F1Q23)'!X61-'IS (F4Q2022)'!X61</f>
        <v>3.4563592780118002E-3</v>
      </c>
      <c r="Y61" s="189">
        <f>'IS (F1Q23)'!Y61-'IS (F4Q2022)'!Y61</f>
        <v>0</v>
      </c>
      <c r="Z61" s="189">
        <f>'IS (F1Q23)'!Z61-'IS (F4Q2022)'!Z61</f>
        <v>0</v>
      </c>
      <c r="AA61" s="189">
        <f>'IS (F1Q23)'!AA61-'IS (F4Q2022)'!AA61</f>
        <v>0</v>
      </c>
      <c r="AB61" s="188">
        <f>'IS (F1Q23)'!AB61-'IS (F4Q2022)'!AB61</f>
        <v>9.1635041619131385E-4</v>
      </c>
      <c r="AC61" s="189">
        <f>'IS (F1Q23)'!AC61-'IS (F4Q2022)'!AC61</f>
        <v>3.4563592780118002E-3</v>
      </c>
      <c r="AD61" s="189">
        <f>'IS (F1Q23)'!AD61-'IS (F4Q2022)'!AD61</f>
        <v>0</v>
      </c>
      <c r="AE61" s="189">
        <f>'IS (F1Q23)'!AE61-'IS (F4Q2022)'!AE61</f>
        <v>0</v>
      </c>
      <c r="AF61" s="189">
        <f>'IS (F1Q23)'!AF61-'IS (F4Q2022)'!AF61</f>
        <v>0</v>
      </c>
      <c r="AG61" s="188">
        <f>'IS (F1Q23)'!AG61-'IS (F4Q2022)'!AG61</f>
        <v>8.4526525151656928E-4</v>
      </c>
      <c r="AH61" s="189">
        <f>'IS (F1Q23)'!AH61-'IS (F4Q2022)'!AH61</f>
        <v>3.4563592780118002E-3</v>
      </c>
      <c r="AI61" s="189">
        <f>'IS (F1Q23)'!AI61-'IS (F4Q2022)'!AI61</f>
        <v>0</v>
      </c>
      <c r="AJ61" s="189">
        <f>'IS (F1Q23)'!AJ61-'IS (F4Q2022)'!AJ61</f>
        <v>0</v>
      </c>
      <c r="AK61" s="189">
        <f>'IS (F1Q23)'!AK61-'IS (F4Q2022)'!AK61</f>
        <v>0</v>
      </c>
      <c r="AL61" s="188">
        <f>'IS (F1Q23)'!AL61-'IS (F4Q2022)'!AL61</f>
        <v>8.4372910213065255E-4</v>
      </c>
      <c r="AM61" s="189">
        <f>'IS (F1Q23)'!AM61-'IS (F4Q2022)'!AM61</f>
        <v>3.4563592780118002E-3</v>
      </c>
      <c r="AN61" s="189">
        <f>'IS (F1Q23)'!AN61-'IS (F4Q2022)'!AN61</f>
        <v>0</v>
      </c>
      <c r="AO61" s="189">
        <f>'IS (F1Q23)'!AO61-'IS (F4Q2022)'!AO61</f>
        <v>0</v>
      </c>
      <c r="AP61" s="189">
        <f>'IS (F1Q23)'!AP61-'IS (F4Q2022)'!AP61</f>
        <v>0</v>
      </c>
      <c r="AQ61" s="188">
        <f>'IS (F1Q23)'!AQ61-'IS (F4Q2022)'!AQ61</f>
        <v>8.4400802826667398E-4</v>
      </c>
      <c r="AR61" s="189">
        <f>'IS (F1Q23)'!AR61-'IS (F4Q2022)'!AR61</f>
        <v>3.4563592780118002E-3</v>
      </c>
      <c r="AS61" s="189">
        <f>'IS (F1Q23)'!AS61-'IS (F4Q2022)'!AS61</f>
        <v>0</v>
      </c>
      <c r="AT61" s="189">
        <f>'IS (F1Q23)'!AT61-'IS (F4Q2022)'!AT61</f>
        <v>0</v>
      </c>
      <c r="AU61" s="189">
        <f>'IS (F1Q23)'!AU61-'IS (F4Q2022)'!AU61</f>
        <v>0</v>
      </c>
      <c r="AV61" s="188">
        <f>'IS (F1Q23)'!AV61-'IS (F4Q2022)'!AV61</f>
        <v>8.4445306783814678E-4</v>
      </c>
    </row>
    <row r="62" spans="2:48" outlineLevel="1" x14ac:dyDescent="0.3">
      <c r="B62" s="180" t="s">
        <v>32</v>
      </c>
      <c r="C62" s="18"/>
      <c r="D62" s="48">
        <f>'IS (F1Q23)'!D62-'IS (F4Q2022)'!D62</f>
        <v>0</v>
      </c>
      <c r="E62" s="48">
        <f>'IS (F1Q23)'!E62-'IS (F4Q2022)'!E62</f>
        <v>0</v>
      </c>
      <c r="F62" s="48">
        <f>'IS (F1Q23)'!F62-'IS (F4Q2022)'!F62</f>
        <v>0</v>
      </c>
      <c r="G62" s="48">
        <f>'IS (F1Q23)'!G62-'IS (F4Q2022)'!G62</f>
        <v>0</v>
      </c>
      <c r="H62" s="49">
        <f>'IS (F1Q23)'!H62-'IS (F4Q2022)'!H62</f>
        <v>0</v>
      </c>
      <c r="I62" s="48">
        <f>'IS (F1Q23)'!I62-'IS (F4Q2022)'!I62</f>
        <v>0</v>
      </c>
      <c r="J62" s="48">
        <f>'IS (F1Q23)'!J62-'IS (F4Q2022)'!J62</f>
        <v>0</v>
      </c>
      <c r="K62" s="48">
        <f>'IS (F1Q23)'!K62-'IS (F4Q2022)'!K62</f>
        <v>0</v>
      </c>
      <c r="L62" s="48">
        <f>'IS (F1Q23)'!L62-'IS (F4Q2022)'!L62</f>
        <v>0</v>
      </c>
      <c r="M62" s="165">
        <f>'IS (F1Q23)'!M62-'IS (F4Q2022)'!M62</f>
        <v>0</v>
      </c>
      <c r="N62" s="48">
        <f>'IS (F1Q23)'!N62-'IS (F4Q2022)'!N62</f>
        <v>0</v>
      </c>
      <c r="O62" s="48">
        <f>'IS (F1Q23)'!O62-'IS (F4Q2022)'!O62</f>
        <v>0</v>
      </c>
      <c r="P62" s="48">
        <f>'IS (F1Q23)'!P62-'IS (F4Q2022)'!P62</f>
        <v>0</v>
      </c>
      <c r="Q62" s="105">
        <f>'IS (F1Q23)'!Q62-'IS (F4Q2022)'!Q62</f>
        <v>0</v>
      </c>
      <c r="R62" s="49">
        <f>'IS (F1Q23)'!R62-'IS (F4Q2022)'!R62</f>
        <v>0</v>
      </c>
      <c r="S62" s="48">
        <f>'IS (F1Q23)'!S62-'IS (F4Q2022)'!S62</f>
        <v>0</v>
      </c>
      <c r="T62" s="48">
        <f>'IS (F1Q23)'!T62-'IS (F4Q2022)'!T62</f>
        <v>0</v>
      </c>
      <c r="U62" s="48">
        <f>'IS (F1Q23)'!U62-'IS (F4Q2022)'!U62</f>
        <v>0</v>
      </c>
      <c r="V62" s="48">
        <f>'IS (F1Q23)'!V62-'IS (F4Q2022)'!V62</f>
        <v>0</v>
      </c>
      <c r="W62" s="49">
        <f>'IS (F1Q23)'!W62-'IS (F4Q2022)'!W62</f>
        <v>0</v>
      </c>
      <c r="X62" s="48">
        <f>'IS (F1Q23)'!X62-'IS (F4Q2022)'!X62</f>
        <v>3.8657435485301903</v>
      </c>
      <c r="Y62" s="48">
        <f>'IS (F1Q23)'!Y62-'IS (F4Q2022)'!Y62</f>
        <v>-4.9044121983602054</v>
      </c>
      <c r="Z62" s="48">
        <f>'IS (F1Q23)'!Z62-'IS (F4Q2022)'!Z62</f>
        <v>-3.0753776694659791</v>
      </c>
      <c r="AA62" s="48">
        <f>'IS (F1Q23)'!AA62-'IS (F4Q2022)'!AA62</f>
        <v>-1.2604922036912285</v>
      </c>
      <c r="AB62" s="49">
        <f>'IS (F1Q23)'!AB62-'IS (F4Q2022)'!AB62</f>
        <v>-5.3745385229867679</v>
      </c>
      <c r="AC62" s="48">
        <f>'IS (F1Q23)'!AC62-'IS (F4Q2022)'!AC62</f>
        <v>6.1394413334469391</v>
      </c>
      <c r="AD62" s="48">
        <f>'IS (F1Q23)'!AD62-'IS (F4Q2022)'!AD62</f>
        <v>-0.29797076655358978</v>
      </c>
      <c r="AE62" s="48">
        <f>'IS (F1Q23)'!AE62-'IS (F4Q2022)'!AE62</f>
        <v>-0.29977801709674168</v>
      </c>
      <c r="AF62" s="48">
        <f>'IS (F1Q23)'!AF62-'IS (F4Q2022)'!AF62</f>
        <v>-0.3174548270503692</v>
      </c>
      <c r="AG62" s="49">
        <f>'IS (F1Q23)'!AG62-'IS (F4Q2022)'!AG62</f>
        <v>5.2242377227448742</v>
      </c>
      <c r="AH62" s="48">
        <f>'IS (F1Q23)'!AH62-'IS (F4Q2022)'!AH62</f>
        <v>6.6574832127298578</v>
      </c>
      <c r="AI62" s="48">
        <f>'IS (F1Q23)'!AI62-'IS (F4Q2022)'!AI62</f>
        <v>-0.31823094159153698</v>
      </c>
      <c r="AJ62" s="48">
        <f>'IS (F1Q23)'!AJ62-'IS (F4Q2022)'!AJ62</f>
        <v>-0.32011222992196053</v>
      </c>
      <c r="AK62" s="48">
        <f>'IS (F1Q23)'!AK62-'IS (F4Q2022)'!AK62</f>
        <v>-0.33903048058709828</v>
      </c>
      <c r="AL62" s="49">
        <f>'IS (F1Q23)'!AL62-'IS (F4Q2022)'!AL62</f>
        <v>5.6801095606297167</v>
      </c>
      <c r="AM62" s="48">
        <f>'IS (F1Q23)'!AM62-'IS (F4Q2022)'!AM62</f>
        <v>7.2274961564339719</v>
      </c>
      <c r="AN62" s="48">
        <f>'IS (F1Q23)'!AN62-'IS (F4Q2022)'!AN62</f>
        <v>-0.33414248867120477</v>
      </c>
      <c r="AO62" s="48">
        <f>'IS (F1Q23)'!AO62-'IS (F4Q2022)'!AO62</f>
        <v>-0.33611784141794487</v>
      </c>
      <c r="AP62" s="48">
        <f>'IS (F1Q23)'!AP62-'IS (F4Q2022)'!AP62</f>
        <v>-0.35598200461618035</v>
      </c>
      <c r="AQ62" s="49">
        <f>'IS (F1Q23)'!AQ62-'IS (F4Q2022)'!AQ62</f>
        <v>6.2012538217277324</v>
      </c>
      <c r="AR62" s="48">
        <f>'IS (F1Q23)'!AR62-'IS (F4Q2022)'!AR62</f>
        <v>7.7130692688606359</v>
      </c>
      <c r="AS62" s="48">
        <f>'IS (F1Q23)'!AS62-'IS (F4Q2022)'!AS62</f>
        <v>-0.34416676333103169</v>
      </c>
      <c r="AT62" s="48">
        <f>'IS (F1Q23)'!AT62-'IS (F4Q2022)'!AT62</f>
        <v>-0.34620137666024675</v>
      </c>
      <c r="AU62" s="48">
        <f>'IS (F1Q23)'!AU62-'IS (F4Q2022)'!AU62</f>
        <v>-0.36666146475454298</v>
      </c>
      <c r="AV62" s="49">
        <f>'IS (F1Q23)'!AV62-'IS (F4Q2022)'!AV62</f>
        <v>6.6560396641179977</v>
      </c>
    </row>
    <row r="63" spans="2:48" s="184" customFormat="1" outlineLevel="1" x14ac:dyDescent="0.3">
      <c r="B63" s="181" t="s">
        <v>150</v>
      </c>
      <c r="C63" s="190"/>
      <c r="D63" s="187">
        <f>'IS (F1Q23)'!D63-'IS (F4Q2022)'!D63</f>
        <v>0</v>
      </c>
      <c r="E63" s="187">
        <f>'IS (F1Q23)'!E63-'IS (F4Q2022)'!E63</f>
        <v>0</v>
      </c>
      <c r="F63" s="187">
        <f>'IS (F1Q23)'!F63-'IS (F4Q2022)'!F63</f>
        <v>0</v>
      </c>
      <c r="G63" s="187">
        <f>'IS (F1Q23)'!G63-'IS (F4Q2022)'!G63</f>
        <v>0</v>
      </c>
      <c r="H63" s="188">
        <f>'IS (F1Q23)'!H63-'IS (F4Q2022)'!H63</f>
        <v>0</v>
      </c>
      <c r="I63" s="187">
        <f>'IS (F1Q23)'!I63-'IS (F4Q2022)'!I63</f>
        <v>0</v>
      </c>
      <c r="J63" s="187">
        <f>'IS (F1Q23)'!J63-'IS (F4Q2022)'!J63</f>
        <v>0</v>
      </c>
      <c r="K63" s="187">
        <f>'IS (F1Q23)'!K63-'IS (F4Q2022)'!K63</f>
        <v>0</v>
      </c>
      <c r="L63" s="187">
        <f>'IS (F1Q23)'!L63-'IS (F4Q2022)'!L63</f>
        <v>0</v>
      </c>
      <c r="M63" s="188">
        <f>'IS (F1Q23)'!M63-'IS (F4Q2022)'!M63</f>
        <v>0</v>
      </c>
      <c r="N63" s="187">
        <f>'IS (F1Q23)'!N63-'IS (F4Q2022)'!N63</f>
        <v>0</v>
      </c>
      <c r="O63" s="187">
        <f>'IS (F1Q23)'!O63-'IS (F4Q2022)'!O63</f>
        <v>0</v>
      </c>
      <c r="P63" s="187">
        <f>'IS (F1Q23)'!P63-'IS (F4Q2022)'!P63</f>
        <v>0</v>
      </c>
      <c r="Q63" s="167">
        <f>'IS (F1Q23)'!Q63-'IS (F4Q2022)'!Q63</f>
        <v>0</v>
      </c>
      <c r="R63" s="188">
        <f>'IS (F1Q23)'!R63-'IS (F4Q2022)'!R63</f>
        <v>0</v>
      </c>
      <c r="S63" s="187">
        <f>'IS (F1Q23)'!S63-'IS (F4Q2022)'!S63</f>
        <v>0</v>
      </c>
      <c r="T63" s="187">
        <f>'IS (F1Q23)'!T63-'IS (F4Q2022)'!T63</f>
        <v>0</v>
      </c>
      <c r="U63" s="187">
        <f>'IS (F1Q23)'!U63-'IS (F4Q2022)'!U63</f>
        <v>0</v>
      </c>
      <c r="V63" s="187">
        <f>'IS (F1Q23)'!V63-'IS (F4Q2022)'!V63</f>
        <v>0</v>
      </c>
      <c r="W63" s="188">
        <f>'IS (F1Q23)'!W63-'IS (F4Q2022)'!W63</f>
        <v>0</v>
      </c>
      <c r="X63" s="189">
        <f>'IS (F1Q23)'!X63-'IS (F4Q2022)'!X63</f>
        <v>-6.9172460120514589E-3</v>
      </c>
      <c r="Y63" s="189">
        <f>'IS (F1Q23)'!Y63-'IS (F4Q2022)'!Y63</f>
        <v>0</v>
      </c>
      <c r="Z63" s="189">
        <f>'IS (F1Q23)'!Z63-'IS (F4Q2022)'!Z63</f>
        <v>0</v>
      </c>
      <c r="AA63" s="189">
        <f>'IS (F1Q23)'!AA63-'IS (F4Q2022)'!AA63</f>
        <v>0</v>
      </c>
      <c r="AB63" s="188">
        <f>'IS (F1Q23)'!AB63-'IS (F4Q2022)'!AB63</f>
        <v>-1.7164375937601672E-3</v>
      </c>
      <c r="AC63" s="189">
        <f>'IS (F1Q23)'!AC63-'IS (F4Q2022)'!AC63</f>
        <v>-6.9172460120514589E-3</v>
      </c>
      <c r="AD63" s="189">
        <f>'IS (F1Q23)'!AD63-'IS (F4Q2022)'!AD63</f>
        <v>0</v>
      </c>
      <c r="AE63" s="189">
        <f>'IS (F1Q23)'!AE63-'IS (F4Q2022)'!AE63</f>
        <v>0</v>
      </c>
      <c r="AF63" s="189">
        <f>'IS (F1Q23)'!AF63-'IS (F4Q2022)'!AF63</f>
        <v>0</v>
      </c>
      <c r="AG63" s="188">
        <f>'IS (F1Q23)'!AG63-'IS (F4Q2022)'!AG63</f>
        <v>-1.7484118269380788E-3</v>
      </c>
      <c r="AH63" s="189">
        <f>'IS (F1Q23)'!AH63-'IS (F4Q2022)'!AH63</f>
        <v>-6.9172460120514589E-3</v>
      </c>
      <c r="AI63" s="189">
        <f>'IS (F1Q23)'!AI63-'IS (F4Q2022)'!AI63</f>
        <v>0</v>
      </c>
      <c r="AJ63" s="189">
        <f>'IS (F1Q23)'!AJ63-'IS (F4Q2022)'!AJ63</f>
        <v>0</v>
      </c>
      <c r="AK63" s="189">
        <f>'IS (F1Q23)'!AK63-'IS (F4Q2022)'!AK63</f>
        <v>0</v>
      </c>
      <c r="AL63" s="188">
        <f>'IS (F1Q23)'!AL63-'IS (F4Q2022)'!AL63</f>
        <v>-1.7455997352482377E-3</v>
      </c>
      <c r="AM63" s="189">
        <f>'IS (F1Q23)'!AM63-'IS (F4Q2022)'!AM63</f>
        <v>-6.9172460120514589E-3</v>
      </c>
      <c r="AN63" s="189">
        <f>'IS (F1Q23)'!AN63-'IS (F4Q2022)'!AN63</f>
        <v>0</v>
      </c>
      <c r="AO63" s="189">
        <f>'IS (F1Q23)'!AO63-'IS (F4Q2022)'!AO63</f>
        <v>0</v>
      </c>
      <c r="AP63" s="189">
        <f>'IS (F1Q23)'!AP63-'IS (F4Q2022)'!AP63</f>
        <v>0</v>
      </c>
      <c r="AQ63" s="188">
        <f>'IS (F1Q23)'!AQ63-'IS (F4Q2022)'!AQ63</f>
        <v>-1.7439114232445929E-3</v>
      </c>
      <c r="AR63" s="189">
        <f>'IS (F1Q23)'!AR63-'IS (F4Q2022)'!AR63</f>
        <v>-6.9172460120514589E-3</v>
      </c>
      <c r="AS63" s="189">
        <f>'IS (F1Q23)'!AS63-'IS (F4Q2022)'!AS63</f>
        <v>0</v>
      </c>
      <c r="AT63" s="189">
        <f>'IS (F1Q23)'!AT63-'IS (F4Q2022)'!AT63</f>
        <v>0</v>
      </c>
      <c r="AU63" s="189">
        <f>'IS (F1Q23)'!AU63-'IS (F4Q2022)'!AU63</f>
        <v>0</v>
      </c>
      <c r="AV63" s="188">
        <f>'IS (F1Q23)'!AV63-'IS (F4Q2022)'!AV63</f>
        <v>-1.7446592701479968E-3</v>
      </c>
    </row>
    <row r="64" spans="2:48" outlineLevel="1" x14ac:dyDescent="0.3">
      <c r="B64" s="180" t="s">
        <v>33</v>
      </c>
      <c r="C64" s="18"/>
      <c r="D64" s="48">
        <f>'IS (F1Q23)'!D64-'IS (F4Q2022)'!D64</f>
        <v>0</v>
      </c>
      <c r="E64" s="48">
        <f>'IS (F1Q23)'!E64-'IS (F4Q2022)'!E64</f>
        <v>0</v>
      </c>
      <c r="F64" s="48">
        <f>'IS (F1Q23)'!F64-'IS (F4Q2022)'!F64</f>
        <v>0</v>
      </c>
      <c r="G64" s="48">
        <f>'IS (F1Q23)'!G64-'IS (F4Q2022)'!G64</f>
        <v>0</v>
      </c>
      <c r="H64" s="49">
        <f>'IS (F1Q23)'!H64-'IS (F4Q2022)'!H64</f>
        <v>0</v>
      </c>
      <c r="I64" s="48">
        <f>'IS (F1Q23)'!I64-'IS (F4Q2022)'!I64</f>
        <v>0</v>
      </c>
      <c r="J64" s="48">
        <f>'IS (F1Q23)'!J64-'IS (F4Q2022)'!J64</f>
        <v>0</v>
      </c>
      <c r="K64" s="48">
        <f>'IS (F1Q23)'!K64-'IS (F4Q2022)'!K64</f>
        <v>0</v>
      </c>
      <c r="L64" s="48">
        <f>'IS (F1Q23)'!L64-'IS (F4Q2022)'!L64</f>
        <v>0</v>
      </c>
      <c r="M64" s="49">
        <f>'IS (F1Q23)'!M64-'IS (F4Q2022)'!M64</f>
        <v>0</v>
      </c>
      <c r="N64" s="48">
        <f>'IS (F1Q23)'!N64-'IS (F4Q2022)'!N64</f>
        <v>0</v>
      </c>
      <c r="O64" s="48">
        <f>'IS (F1Q23)'!O64-'IS (F4Q2022)'!O64</f>
        <v>0</v>
      </c>
      <c r="P64" s="48">
        <f>'IS (F1Q23)'!P64-'IS (F4Q2022)'!P64</f>
        <v>0</v>
      </c>
      <c r="Q64" s="105">
        <f>'IS (F1Q23)'!Q64-'IS (F4Q2022)'!Q64</f>
        <v>0</v>
      </c>
      <c r="R64" s="49">
        <f>'IS (F1Q23)'!R64-'IS (F4Q2022)'!R64</f>
        <v>0</v>
      </c>
      <c r="S64" s="48">
        <f>'IS (F1Q23)'!S64-'IS (F4Q2022)'!S64</f>
        <v>0</v>
      </c>
      <c r="T64" s="48">
        <f>'IS (F1Q23)'!T64-'IS (F4Q2022)'!T64</f>
        <v>0</v>
      </c>
      <c r="U64" s="48">
        <f>'IS (F1Q23)'!U64-'IS (F4Q2022)'!U64</f>
        <v>0</v>
      </c>
      <c r="V64" s="48">
        <f>'IS (F1Q23)'!V64-'IS (F4Q2022)'!V64</f>
        <v>0</v>
      </c>
      <c r="W64" s="49">
        <f>'IS (F1Q23)'!W64-'IS (F4Q2022)'!W64</f>
        <v>0</v>
      </c>
      <c r="X64" s="48">
        <f>'IS (F1Q23)'!X64-'IS (F4Q2022)'!X64</f>
        <v>12.070206670443056</v>
      </c>
      <c r="Y64" s="48">
        <f>'IS (F1Q23)'!Y64-'IS (F4Q2022)'!Y64</f>
        <v>-9.2166796623573077E-2</v>
      </c>
      <c r="Z64" s="48">
        <f>'IS (F1Q23)'!Z64-'IS (F4Q2022)'!Z64</f>
        <v>-6.5495397194759164E-2</v>
      </c>
      <c r="AA64" s="48">
        <f>'IS (F1Q23)'!AA64-'IS (F4Q2022)'!AA64</f>
        <v>-2.4127223392802932E-2</v>
      </c>
      <c r="AB64" s="49">
        <f>'IS (F1Q23)'!AB64-'IS (F4Q2022)'!AB64</f>
        <v>11.88841725323195</v>
      </c>
      <c r="AC64" s="48">
        <f>'IS (F1Q23)'!AC64-'IS (F4Q2022)'!AC64</f>
        <v>13.078635601599949</v>
      </c>
      <c r="AD64" s="48">
        <f>'IS (F1Q23)'!AD64-'IS (F4Q2022)'!AD64</f>
        <v>-6.2831800105485058E-3</v>
      </c>
      <c r="AE64" s="48">
        <f>'IS (F1Q23)'!AE64-'IS (F4Q2022)'!AE64</f>
        <v>-7.127778149168762E-3</v>
      </c>
      <c r="AF64" s="48">
        <f>'IS (F1Q23)'!AF64-'IS (F4Q2022)'!AF64</f>
        <v>-6.5913263840187142E-3</v>
      </c>
      <c r="AG64" s="49">
        <f>'IS (F1Q23)'!AG64-'IS (F4Q2022)'!AG64</f>
        <v>13.058633317056177</v>
      </c>
      <c r="AH64" s="48">
        <f>'IS (F1Q23)'!AH64-'IS (F4Q2022)'!AH64</f>
        <v>14.430677607459067</v>
      </c>
      <c r="AI64" s="48">
        <f>'IS (F1Q23)'!AI64-'IS (F4Q2022)'!AI64</f>
        <v>-6.7230026112738983E-3</v>
      </c>
      <c r="AJ64" s="48">
        <f>'IS (F1Q23)'!AJ64-'IS (F4Q2022)'!AJ64</f>
        <v>-7.6267226195909643E-3</v>
      </c>
      <c r="AK64" s="48">
        <f>'IS (F1Q23)'!AK64-'IS (F4Q2022)'!AK64</f>
        <v>-7.052719230912885E-3</v>
      </c>
      <c r="AL64" s="49">
        <f>'IS (F1Q23)'!AL64-'IS (F4Q2022)'!AL64</f>
        <v>14.409275162997289</v>
      </c>
      <c r="AM64" s="48">
        <f>'IS (F1Q23)'!AM64-'IS (F4Q2022)'!AM64</f>
        <v>15.676898452810022</v>
      </c>
      <c r="AN64" s="48">
        <f>'IS (F1Q23)'!AN64-'IS (F4Q2022)'!AN64</f>
        <v>-7.0591527418457645E-3</v>
      </c>
      <c r="AO64" s="48">
        <f>'IS (F1Q23)'!AO64-'IS (F4Q2022)'!AO64</f>
        <v>-8.0080587505761969E-3</v>
      </c>
      <c r="AP64" s="48">
        <f>'IS (F1Q23)'!AP64-'IS (F4Q2022)'!AP64</f>
        <v>-7.40535519244645E-3</v>
      </c>
      <c r="AQ64" s="49">
        <f>'IS (F1Q23)'!AQ64-'IS (F4Q2022)'!AQ64</f>
        <v>15.654425886125182</v>
      </c>
      <c r="AR64" s="48">
        <f>'IS (F1Q23)'!AR64-'IS (F4Q2022)'!AR64</f>
        <v>16.649113346100208</v>
      </c>
      <c r="AS64" s="48">
        <f>'IS (F1Q23)'!AS64-'IS (F4Q2022)'!AS64</f>
        <v>-7.2709273241002847E-3</v>
      </c>
      <c r="AT64" s="48">
        <f>'IS (F1Q23)'!AT64-'IS (F4Q2022)'!AT64</f>
        <v>-8.2483005130882248E-3</v>
      </c>
      <c r="AU64" s="48">
        <f>'IS (F1Q23)'!AU64-'IS (F4Q2022)'!AU64</f>
        <v>-7.6275158482133065E-3</v>
      </c>
      <c r="AV64" s="49">
        <f>'IS (F1Q23)'!AV64-'IS (F4Q2022)'!AV64</f>
        <v>16.625966602414849</v>
      </c>
    </row>
    <row r="65" spans="2:48" s="184" customFormat="1" outlineLevel="1" x14ac:dyDescent="0.3">
      <c r="B65" s="181" t="s">
        <v>152</v>
      </c>
      <c r="C65" s="190"/>
      <c r="D65" s="187">
        <f>'IS (F1Q23)'!D65-'IS (F4Q2022)'!D65</f>
        <v>0</v>
      </c>
      <c r="E65" s="187">
        <f>'IS (F1Q23)'!E65-'IS (F4Q2022)'!E65</f>
        <v>0</v>
      </c>
      <c r="F65" s="187">
        <f>'IS (F1Q23)'!F65-'IS (F4Q2022)'!F65</f>
        <v>0</v>
      </c>
      <c r="G65" s="187">
        <f>'IS (F1Q23)'!G65-'IS (F4Q2022)'!G65</f>
        <v>0</v>
      </c>
      <c r="H65" s="188">
        <f>'IS (F1Q23)'!H65-'IS (F4Q2022)'!H65</f>
        <v>0</v>
      </c>
      <c r="I65" s="187">
        <f>'IS (F1Q23)'!I65-'IS (F4Q2022)'!I65</f>
        <v>0</v>
      </c>
      <c r="J65" s="187">
        <f>'IS (F1Q23)'!J65-'IS (F4Q2022)'!J65</f>
        <v>0</v>
      </c>
      <c r="K65" s="187">
        <f>'IS (F1Q23)'!K65-'IS (F4Q2022)'!K65</f>
        <v>0</v>
      </c>
      <c r="L65" s="187">
        <f>'IS (F1Q23)'!L65-'IS (F4Q2022)'!L65</f>
        <v>0</v>
      </c>
      <c r="M65" s="188">
        <f>'IS (F1Q23)'!M65-'IS (F4Q2022)'!M65</f>
        <v>0</v>
      </c>
      <c r="N65" s="187">
        <f>'IS (F1Q23)'!N65-'IS (F4Q2022)'!N65</f>
        <v>0</v>
      </c>
      <c r="O65" s="187">
        <f>'IS (F1Q23)'!O65-'IS (F4Q2022)'!O65</f>
        <v>0</v>
      </c>
      <c r="P65" s="187">
        <f>'IS (F1Q23)'!P65-'IS (F4Q2022)'!P65</f>
        <v>0</v>
      </c>
      <c r="Q65" s="167">
        <f>'IS (F1Q23)'!Q65-'IS (F4Q2022)'!Q65</f>
        <v>0</v>
      </c>
      <c r="R65" s="188">
        <f>'IS (F1Q23)'!R65-'IS (F4Q2022)'!R65</f>
        <v>0</v>
      </c>
      <c r="S65" s="187">
        <f>'IS (F1Q23)'!S65-'IS (F4Q2022)'!S65</f>
        <v>0</v>
      </c>
      <c r="T65" s="187">
        <f>'IS (F1Q23)'!T65-'IS (F4Q2022)'!T65</f>
        <v>0</v>
      </c>
      <c r="U65" s="187">
        <f>'IS (F1Q23)'!U65-'IS (F4Q2022)'!U65</f>
        <v>0</v>
      </c>
      <c r="V65" s="187">
        <f>'IS (F1Q23)'!V65-'IS (F4Q2022)'!V65</f>
        <v>0</v>
      </c>
      <c r="W65" s="188">
        <f>'IS (F1Q23)'!W65-'IS (F4Q2022)'!W65</f>
        <v>0</v>
      </c>
      <c r="X65" s="189">
        <f>'IS (F1Q23)'!X65-'IS (F4Q2022)'!X65</f>
        <v>1.6047875788107509E-3</v>
      </c>
      <c r="Y65" s="189">
        <f>'IS (F1Q23)'!Y65-'IS (F4Q2022)'!Y65</f>
        <v>0</v>
      </c>
      <c r="Z65" s="189">
        <f>'IS (F1Q23)'!Z65-'IS (F4Q2022)'!Z65</f>
        <v>0</v>
      </c>
      <c r="AA65" s="189">
        <f>'IS (F1Q23)'!AA65-'IS (F4Q2022)'!AA65</f>
        <v>0</v>
      </c>
      <c r="AB65" s="188">
        <f>'IS (F1Q23)'!AB65-'IS (F4Q2022)'!AB65</f>
        <v>4.0536163245254685E-4</v>
      </c>
      <c r="AC65" s="189">
        <f>'IS (F1Q23)'!AC65-'IS (F4Q2022)'!AC65</f>
        <v>1.6047875788107509E-3</v>
      </c>
      <c r="AD65" s="189">
        <f>'IS (F1Q23)'!AD65-'IS (F4Q2022)'!AD65</f>
        <v>0</v>
      </c>
      <c r="AE65" s="189">
        <f>'IS (F1Q23)'!AE65-'IS (F4Q2022)'!AE65</f>
        <v>0</v>
      </c>
      <c r="AF65" s="189">
        <f>'IS (F1Q23)'!AF65-'IS (F4Q2022)'!AF65</f>
        <v>0</v>
      </c>
      <c r="AG65" s="188">
        <f>'IS (F1Q23)'!AG65-'IS (F4Q2022)'!AG65</f>
        <v>4.0481125097088962E-4</v>
      </c>
      <c r="AH65" s="189">
        <f>'IS (F1Q23)'!AH65-'IS (F4Q2022)'!AH65</f>
        <v>1.6047875788107509E-3</v>
      </c>
      <c r="AI65" s="189">
        <f>'IS (F1Q23)'!AI65-'IS (F4Q2022)'!AI65</f>
        <v>0</v>
      </c>
      <c r="AJ65" s="189">
        <f>'IS (F1Q23)'!AJ65-'IS (F4Q2022)'!AJ65</f>
        <v>0</v>
      </c>
      <c r="AK65" s="189">
        <f>'IS (F1Q23)'!AK65-'IS (F4Q2022)'!AK65</f>
        <v>0</v>
      </c>
      <c r="AL65" s="188">
        <f>'IS (F1Q23)'!AL65-'IS (F4Q2022)'!AL65</f>
        <v>4.0418293899646685E-4</v>
      </c>
      <c r="AM65" s="189">
        <f>'IS (F1Q23)'!AM65-'IS (F4Q2022)'!AM65</f>
        <v>1.6047875788107509E-3</v>
      </c>
      <c r="AN65" s="189">
        <f>'IS (F1Q23)'!AN65-'IS (F4Q2022)'!AN65</f>
        <v>0</v>
      </c>
      <c r="AO65" s="189">
        <f>'IS (F1Q23)'!AO65-'IS (F4Q2022)'!AO65</f>
        <v>0</v>
      </c>
      <c r="AP65" s="189">
        <f>'IS (F1Q23)'!AP65-'IS (F4Q2022)'!AP65</f>
        <v>0</v>
      </c>
      <c r="AQ65" s="188">
        <f>'IS (F1Q23)'!AQ65-'IS (F4Q2022)'!AQ65</f>
        <v>4.0439261322134865E-4</v>
      </c>
      <c r="AR65" s="189">
        <f>'IS (F1Q23)'!AR65-'IS (F4Q2022)'!AR65</f>
        <v>1.6047875788107509E-3</v>
      </c>
      <c r="AS65" s="189">
        <f>'IS (F1Q23)'!AS65-'IS (F4Q2022)'!AS65</f>
        <v>0</v>
      </c>
      <c r="AT65" s="189">
        <f>'IS (F1Q23)'!AT65-'IS (F4Q2022)'!AT65</f>
        <v>0</v>
      </c>
      <c r="AU65" s="189">
        <f>'IS (F1Q23)'!AU65-'IS (F4Q2022)'!AU65</f>
        <v>0</v>
      </c>
      <c r="AV65" s="188">
        <f>'IS (F1Q23)'!AV65-'IS (F4Q2022)'!AV65</f>
        <v>4.0449476467381215E-4</v>
      </c>
    </row>
    <row r="66" spans="2:48" outlineLevel="1" x14ac:dyDescent="0.3">
      <c r="B66" s="180" t="s">
        <v>34</v>
      </c>
      <c r="C66" s="18"/>
      <c r="D66" s="358">
        <f>'IS (F1Q23)'!D66-'IS (F4Q2022)'!D66</f>
        <v>0</v>
      </c>
      <c r="E66" s="358">
        <f>'IS (F1Q23)'!E66-'IS (F4Q2022)'!E66</f>
        <v>0</v>
      </c>
      <c r="F66" s="358">
        <f>'IS (F1Q23)'!F66-'IS (F4Q2022)'!F66</f>
        <v>0</v>
      </c>
      <c r="G66" s="358">
        <f>'IS (F1Q23)'!G66-'IS (F4Q2022)'!G66</f>
        <v>0</v>
      </c>
      <c r="H66" s="130">
        <f>'IS (F1Q23)'!H66-'IS (F4Q2022)'!H66</f>
        <v>0</v>
      </c>
      <c r="I66" s="358">
        <f>'IS (F1Q23)'!I66-'IS (F4Q2022)'!I66</f>
        <v>0</v>
      </c>
      <c r="J66" s="358">
        <f>'IS (F1Q23)'!J66-'IS (F4Q2022)'!J66</f>
        <v>0</v>
      </c>
      <c r="K66" s="358">
        <f>'IS (F1Q23)'!K66-'IS (F4Q2022)'!K66</f>
        <v>0</v>
      </c>
      <c r="L66" s="358">
        <f>'IS (F1Q23)'!L66-'IS (F4Q2022)'!L66</f>
        <v>0</v>
      </c>
      <c r="M66" s="359">
        <f>'IS (F1Q23)'!M66-'IS (F4Q2022)'!M66</f>
        <v>0</v>
      </c>
      <c r="N66" s="358">
        <f>'IS (F1Q23)'!N66-'IS (F4Q2022)'!N66</f>
        <v>0</v>
      </c>
      <c r="O66" s="358">
        <f>'IS (F1Q23)'!O66-'IS (F4Q2022)'!O66</f>
        <v>0</v>
      </c>
      <c r="P66" s="358">
        <f>'IS (F1Q23)'!P66-'IS (F4Q2022)'!P66</f>
        <v>0</v>
      </c>
      <c r="Q66" s="358">
        <f>'IS (F1Q23)'!Q66-'IS (F4Q2022)'!Q66</f>
        <v>0</v>
      </c>
      <c r="R66" s="170">
        <f>'IS (F1Q23)'!R66-'IS (F4Q2022)'!R66</f>
        <v>0</v>
      </c>
      <c r="S66" s="358">
        <f>'IS (F1Q23)'!S66-'IS (F4Q2022)'!S66</f>
        <v>0</v>
      </c>
      <c r="T66" s="358">
        <f>'IS (F1Q23)'!T66-'IS (F4Q2022)'!T66</f>
        <v>0</v>
      </c>
      <c r="U66" s="358">
        <f>'IS (F1Q23)'!U66-'IS (F4Q2022)'!U66</f>
        <v>0</v>
      </c>
      <c r="V66" s="358">
        <f>'IS (F1Q23)'!V66-'IS (F4Q2022)'!V66</f>
        <v>0</v>
      </c>
      <c r="W66" s="170">
        <f>'IS (F1Q23)'!W66-'IS (F4Q2022)'!W66</f>
        <v>0</v>
      </c>
      <c r="X66" s="358">
        <f>'IS (F1Q23)'!X66-'IS (F4Q2022)'!X66</f>
        <v>4.1824760534333052</v>
      </c>
      <c r="Y66" s="358">
        <f>'IS (F1Q23)'!Y66-'IS (F4Q2022)'!Y66</f>
        <v>7.5585786287968517</v>
      </c>
      <c r="Z66" s="358">
        <f>'IS (F1Q23)'!Z66-'IS (F4Q2022)'!Z66</f>
        <v>19.678487416861969</v>
      </c>
      <c r="AA66" s="358">
        <f>'IS (F1Q23)'!AA66-'IS (F4Q2022)'!AA66</f>
        <v>18.136785225501455</v>
      </c>
      <c r="AB66" s="170">
        <f>'IS (F1Q23)'!AB66-'IS (F4Q2022)'!AB66</f>
        <v>49.556327324593667</v>
      </c>
      <c r="AC66" s="358">
        <f>'IS (F1Q23)'!AC66-'IS (F4Q2022)'!AC66</f>
        <v>16.260641658074746</v>
      </c>
      <c r="AD66" s="358">
        <f>'IS (F1Q23)'!AD66-'IS (F4Q2022)'!AD66</f>
        <v>20.709782476194249</v>
      </c>
      <c r="AE66" s="358">
        <f>'IS (F1Q23)'!AE66-'IS (F4Q2022)'!AE66</f>
        <v>23.186832809894526</v>
      </c>
      <c r="AF66" s="358">
        <f>'IS (F1Q23)'!AF66-'IS (F4Q2022)'!AF66</f>
        <v>23.242801215392944</v>
      </c>
      <c r="AG66" s="170">
        <f>'IS (F1Q23)'!AG66-'IS (F4Q2022)'!AG66</f>
        <v>83.400058159556352</v>
      </c>
      <c r="AH66" s="358">
        <f>'IS (F1Q23)'!AH66-'IS (F4Q2022)'!AH66</f>
        <v>24.186417567709498</v>
      </c>
      <c r="AI66" s="358">
        <f>'IS (F1Q23)'!AI66-'IS (F4Q2022)'!AI66</f>
        <v>26.044017298856147</v>
      </c>
      <c r="AJ66" s="358">
        <f>'IS (F1Q23)'!AJ66-'IS (F4Q2022)'!AJ66</f>
        <v>27.228015363610155</v>
      </c>
      <c r="AK66" s="358">
        <f>'IS (F1Q23)'!AK66-'IS (F4Q2022)'!AK66</f>
        <v>28.175174005614963</v>
      </c>
      <c r="AL66" s="170">
        <f>'IS (F1Q23)'!AL66-'IS (F4Q2022)'!AL66</f>
        <v>105.63362423579065</v>
      </c>
      <c r="AM66" s="358">
        <f>'IS (F1Q23)'!AM66-'IS (F4Q2022)'!AM66</f>
        <v>29.430235856384968</v>
      </c>
      <c r="AN66" s="358">
        <f>'IS (F1Q23)'!AN66-'IS (F4Q2022)'!AN66</f>
        <v>30.618791250473578</v>
      </c>
      <c r="AO66" s="358">
        <f>'IS (F1Q23)'!AO66-'IS (F4Q2022)'!AO66</f>
        <v>31.719050626379442</v>
      </c>
      <c r="AP66" s="358">
        <f>'IS (F1Q23)'!AP66-'IS (F4Q2022)'!AP66</f>
        <v>32.89709962660254</v>
      </c>
      <c r="AQ66" s="170">
        <f>'IS (F1Q23)'!AQ66-'IS (F4Q2022)'!AQ66</f>
        <v>124.66517735984053</v>
      </c>
      <c r="AR66" s="358">
        <f>'IS (F1Q23)'!AR66-'IS (F4Q2022)'!AR66</f>
        <v>34.153565677469544</v>
      </c>
      <c r="AS66" s="358">
        <f>'IS (F1Q23)'!AS66-'IS (F4Q2022)'!AS66</f>
        <v>35.15925683270234</v>
      </c>
      <c r="AT66" s="358">
        <f>'IS (F1Q23)'!AT66-'IS (F4Q2022)'!AT66</f>
        <v>36.241339500256743</v>
      </c>
      <c r="AU66" s="358">
        <f>'IS (F1Q23)'!AU66-'IS (F4Q2022)'!AU66</f>
        <v>37.43446951087509</v>
      </c>
      <c r="AV66" s="170">
        <f>'IS (F1Q23)'!AV66-'IS (F4Q2022)'!AV66</f>
        <v>142.98863152130366</v>
      </c>
    </row>
    <row r="67" spans="2:48" outlineLevel="1" x14ac:dyDescent="0.3">
      <c r="B67" s="180" t="s">
        <v>35</v>
      </c>
      <c r="C67" s="18"/>
      <c r="D67" s="48">
        <f>'IS (F1Q23)'!D67-'IS (F4Q2022)'!D67</f>
        <v>0</v>
      </c>
      <c r="E67" s="48">
        <f>'IS (F1Q23)'!E67-'IS (F4Q2022)'!E67</f>
        <v>0</v>
      </c>
      <c r="F67" s="48">
        <f>'IS (F1Q23)'!F67-'IS (F4Q2022)'!F67</f>
        <v>0</v>
      </c>
      <c r="G67" s="48">
        <f>'IS (F1Q23)'!G67-'IS (F4Q2022)'!G67</f>
        <v>0</v>
      </c>
      <c r="H67" s="49">
        <f>'IS (F1Q23)'!H67-'IS (F4Q2022)'!H67</f>
        <v>0</v>
      </c>
      <c r="I67" s="48">
        <f>'IS (F1Q23)'!I67-'IS (F4Q2022)'!I67</f>
        <v>0</v>
      </c>
      <c r="J67" s="48">
        <f>'IS (F1Q23)'!J67-'IS (F4Q2022)'!J67</f>
        <v>0</v>
      </c>
      <c r="K67" s="48">
        <f>'IS (F1Q23)'!K67-'IS (F4Q2022)'!K67</f>
        <v>0</v>
      </c>
      <c r="L67" s="48">
        <f>'IS (F1Q23)'!L67-'IS (F4Q2022)'!L67</f>
        <v>0</v>
      </c>
      <c r="M67" s="165">
        <f>'IS (F1Q23)'!M67-'IS (F4Q2022)'!M67</f>
        <v>0</v>
      </c>
      <c r="N67" s="48">
        <f>'IS (F1Q23)'!N67-'IS (F4Q2022)'!N67</f>
        <v>0</v>
      </c>
      <c r="O67" s="48">
        <f>'IS (F1Q23)'!O67-'IS (F4Q2022)'!O67</f>
        <v>0</v>
      </c>
      <c r="P67" s="48">
        <f>'IS (F1Q23)'!P67-'IS (F4Q2022)'!P67</f>
        <v>0</v>
      </c>
      <c r="Q67" s="105">
        <f>'IS (F1Q23)'!Q67-'IS (F4Q2022)'!Q67</f>
        <v>0</v>
      </c>
      <c r="R67" s="49">
        <f>'IS (F1Q23)'!R67-'IS (F4Q2022)'!R67</f>
        <v>0</v>
      </c>
      <c r="S67" s="48">
        <f>'IS (F1Q23)'!S67-'IS (F4Q2022)'!S67</f>
        <v>0</v>
      </c>
      <c r="T67" s="48">
        <f>'IS (F1Q23)'!T67-'IS (F4Q2022)'!T67</f>
        <v>0</v>
      </c>
      <c r="U67" s="48">
        <f>'IS (F1Q23)'!U67-'IS (F4Q2022)'!U67</f>
        <v>0</v>
      </c>
      <c r="V67" s="48">
        <f>'IS (F1Q23)'!V67-'IS (F4Q2022)'!V67</f>
        <v>0</v>
      </c>
      <c r="W67" s="49">
        <f>'IS (F1Q23)'!W67-'IS (F4Q2022)'!W67</f>
        <v>0</v>
      </c>
      <c r="X67" s="48">
        <f>'IS (F1Q23)'!X67-'IS (F4Q2022)'!X67</f>
        <v>-14.7120190848986</v>
      </c>
      <c r="Y67" s="48">
        <f>'IS (F1Q23)'!Y67-'IS (F4Q2022)'!Y67</f>
        <v>-0.16616293864530007</v>
      </c>
      <c r="Z67" s="48">
        <f>'IS (F1Q23)'!Z67-'IS (F4Q2022)'!Z67</f>
        <v>-0.10834641103448917</v>
      </c>
      <c r="AA67" s="48">
        <f>'IS (F1Q23)'!AA67-'IS (F4Q2022)'!AA67</f>
        <v>-8.1938679288882099E-3</v>
      </c>
      <c r="AB67" s="49">
        <f>'IS (F1Q23)'!AB67-'IS (F4Q2022)'!AB67</f>
        <v>-14.994722302507228</v>
      </c>
      <c r="AC67" s="48">
        <f>'IS (F1Q23)'!AC67-'IS (F4Q2022)'!AC67</f>
        <v>-16.337827328276546</v>
      </c>
      <c r="AD67" s="48">
        <f>'IS (F1Q23)'!AD67-'IS (F4Q2022)'!AD67</f>
        <v>-1.2780555095048385E-2</v>
      </c>
      <c r="AE67" s="48">
        <f>'IS (F1Q23)'!AE67-'IS (F4Q2022)'!AE67</f>
        <v>-1.1011722475089414E-2</v>
      </c>
      <c r="AF67" s="48">
        <f>'IS (F1Q23)'!AF67-'IS (F4Q2022)'!AF67</f>
        <v>-1.4518358130217734E-3</v>
      </c>
      <c r="AG67" s="49">
        <f>'IS (F1Q23)'!AG67-'IS (F4Q2022)'!AG67</f>
        <v>-16.363071441659656</v>
      </c>
      <c r="AH67" s="48">
        <f>'IS (F1Q23)'!AH67-'IS (F4Q2022)'!AH67</f>
        <v>-18.210469656959418</v>
      </c>
      <c r="AI67" s="48">
        <f>'IS (F1Q23)'!AI67-'IS (F4Q2022)'!AI67</f>
        <v>-1.2897880675254214E-2</v>
      </c>
      <c r="AJ67" s="48">
        <f>'IS (F1Q23)'!AJ67-'IS (F4Q2022)'!AJ67</f>
        <v>-1.0948504486606225E-2</v>
      </c>
      <c r="AK67" s="48">
        <f>'IS (F1Q23)'!AK67-'IS (F4Q2022)'!AK67</f>
        <v>-7.1174835008847026E-4</v>
      </c>
      <c r="AL67" s="49">
        <f>'IS (F1Q23)'!AL67-'IS (F4Q2022)'!AL67</f>
        <v>-18.235027790471349</v>
      </c>
      <c r="AM67" s="48">
        <f>'IS (F1Q23)'!AM67-'IS (F4Q2022)'!AM67</f>
        <v>-19.744417886863047</v>
      </c>
      <c r="AN67" s="48">
        <f>'IS (F1Q23)'!AN67-'IS (F4Q2022)'!AN67</f>
        <v>-1.3542774709037531E-2</v>
      </c>
      <c r="AO67" s="48">
        <f>'IS (F1Q23)'!AO67-'IS (F4Q2022)'!AO67</f>
        <v>-1.1495929710960695E-2</v>
      </c>
      <c r="AP67" s="48">
        <f>'IS (F1Q23)'!AP67-'IS (F4Q2022)'!AP67</f>
        <v>-7.4733576759289377E-4</v>
      </c>
      <c r="AQ67" s="49">
        <f>'IS (F1Q23)'!AQ67-'IS (F4Q2022)'!AQ67</f>
        <v>-19.770203927050659</v>
      </c>
      <c r="AR67" s="48">
        <f>'IS (F1Q23)'!AR67-'IS (F4Q2022)'!AR67</f>
        <v>-21.024421281611978</v>
      </c>
      <c r="AS67" s="48">
        <f>'IS (F1Q23)'!AS67-'IS (F4Q2022)'!AS67</f>
        <v>-1.3949057950270571E-2</v>
      </c>
      <c r="AT67" s="48">
        <f>'IS (F1Q23)'!AT67-'IS (F4Q2022)'!AT67</f>
        <v>-1.184080760226891E-2</v>
      </c>
      <c r="AU67" s="48">
        <f>'IS (F1Q23)'!AU67-'IS (F4Q2022)'!AU67</f>
        <v>-7.697558406203342E-4</v>
      </c>
      <c r="AV67" s="49">
        <f>'IS (F1Q23)'!AV67-'IS (F4Q2022)'!AV67</f>
        <v>-21.050980903005154</v>
      </c>
    </row>
    <row r="68" spans="2:48" s="184" customFormat="1" outlineLevel="1" x14ac:dyDescent="0.3">
      <c r="B68" s="181" t="s">
        <v>153</v>
      </c>
      <c r="C68" s="190"/>
      <c r="D68" s="187">
        <f>'IS (F1Q23)'!D68-'IS (F4Q2022)'!D68</f>
        <v>0</v>
      </c>
      <c r="E68" s="187">
        <f>'IS (F1Q23)'!E68-'IS (F4Q2022)'!E68</f>
        <v>0</v>
      </c>
      <c r="F68" s="187">
        <f>'IS (F1Q23)'!F68-'IS (F4Q2022)'!F68</f>
        <v>0</v>
      </c>
      <c r="G68" s="187">
        <f>'IS (F1Q23)'!G68-'IS (F4Q2022)'!G68</f>
        <v>0</v>
      </c>
      <c r="H68" s="188">
        <f>'IS (F1Q23)'!H68-'IS (F4Q2022)'!H68</f>
        <v>0</v>
      </c>
      <c r="I68" s="187">
        <f>'IS (F1Q23)'!I68-'IS (F4Q2022)'!I68</f>
        <v>0</v>
      </c>
      <c r="J68" s="187">
        <f>'IS (F1Q23)'!J68-'IS (F4Q2022)'!J68</f>
        <v>0</v>
      </c>
      <c r="K68" s="187">
        <f>'IS (F1Q23)'!K68-'IS (F4Q2022)'!K68</f>
        <v>0</v>
      </c>
      <c r="L68" s="187">
        <f>'IS (F1Q23)'!L68-'IS (F4Q2022)'!L68</f>
        <v>0</v>
      </c>
      <c r="M68" s="188">
        <f>'IS (F1Q23)'!M68-'IS (F4Q2022)'!M68</f>
        <v>0</v>
      </c>
      <c r="N68" s="187">
        <f>'IS (F1Q23)'!N68-'IS (F4Q2022)'!N68</f>
        <v>0</v>
      </c>
      <c r="O68" s="187">
        <f>'IS (F1Q23)'!O68-'IS (F4Q2022)'!O68</f>
        <v>0</v>
      </c>
      <c r="P68" s="187">
        <f>'IS (F1Q23)'!P68-'IS (F4Q2022)'!P68</f>
        <v>0</v>
      </c>
      <c r="Q68" s="167">
        <f>'IS (F1Q23)'!Q68-'IS (F4Q2022)'!Q68</f>
        <v>0</v>
      </c>
      <c r="R68" s="188">
        <f>'IS (F1Q23)'!R68-'IS (F4Q2022)'!R68</f>
        <v>0</v>
      </c>
      <c r="S68" s="187">
        <f>'IS (F1Q23)'!S68-'IS (F4Q2022)'!S68</f>
        <v>0</v>
      </c>
      <c r="T68" s="187">
        <f>'IS (F1Q23)'!T68-'IS (F4Q2022)'!T68</f>
        <v>0</v>
      </c>
      <c r="U68" s="187">
        <f>'IS (F1Q23)'!U68-'IS (F4Q2022)'!U68</f>
        <v>0</v>
      </c>
      <c r="V68" s="187">
        <f>'IS (F1Q23)'!V68-'IS (F4Q2022)'!V68</f>
        <v>0</v>
      </c>
      <c r="W68" s="188">
        <f>'IS (F1Q23)'!W68-'IS (F4Q2022)'!W68</f>
        <v>0</v>
      </c>
      <c r="X68" s="189">
        <f>'IS (F1Q23)'!X68-'IS (F4Q2022)'!X68</f>
        <v>-2.7650971393459976E-3</v>
      </c>
      <c r="Y68" s="189">
        <f>'IS (F1Q23)'!Y68-'IS (F4Q2022)'!Y68</f>
        <v>0</v>
      </c>
      <c r="Z68" s="189">
        <f>'IS (F1Q23)'!Z68-'IS (F4Q2022)'!Z68</f>
        <v>0</v>
      </c>
      <c r="AA68" s="189">
        <f>'IS (F1Q23)'!AA68-'IS (F4Q2022)'!AA68</f>
        <v>0</v>
      </c>
      <c r="AB68" s="188">
        <f>'IS (F1Q23)'!AB68-'IS (F4Q2022)'!AB68</f>
        <v>-6.6269218687627952E-4</v>
      </c>
      <c r="AC68" s="189">
        <f>'IS (F1Q23)'!AC68-'IS (F4Q2022)'!AC68</f>
        <v>-2.7650971393459976E-3</v>
      </c>
      <c r="AD68" s="189">
        <f>'IS (F1Q23)'!AD68-'IS (F4Q2022)'!AD68</f>
        <v>0</v>
      </c>
      <c r="AE68" s="189">
        <f>'IS (F1Q23)'!AE68-'IS (F4Q2022)'!AE68</f>
        <v>0</v>
      </c>
      <c r="AF68" s="189">
        <f>'IS (F1Q23)'!AF68-'IS (F4Q2022)'!AF68</f>
        <v>0</v>
      </c>
      <c r="AG68" s="188">
        <f>'IS (F1Q23)'!AG68-'IS (F4Q2022)'!AG68</f>
        <v>-6.7587761285286055E-4</v>
      </c>
      <c r="AH68" s="189">
        <f>'IS (F1Q23)'!AH68-'IS (F4Q2022)'!AH68</f>
        <v>-2.7650971393459976E-3</v>
      </c>
      <c r="AI68" s="189">
        <f>'IS (F1Q23)'!AI68-'IS (F4Q2022)'!AI68</f>
        <v>0</v>
      </c>
      <c r="AJ68" s="189">
        <f>'IS (F1Q23)'!AJ68-'IS (F4Q2022)'!AJ68</f>
        <v>0</v>
      </c>
      <c r="AK68" s="189">
        <f>'IS (F1Q23)'!AK68-'IS (F4Q2022)'!AK68</f>
        <v>0</v>
      </c>
      <c r="AL68" s="188">
        <f>'IS (F1Q23)'!AL68-'IS (F4Q2022)'!AL68</f>
        <v>-6.74615326402438E-4</v>
      </c>
      <c r="AM68" s="189">
        <f>'IS (F1Q23)'!AM68-'IS (F4Q2022)'!AM68</f>
        <v>-2.7650971393459976E-3</v>
      </c>
      <c r="AN68" s="189">
        <f>'IS (F1Q23)'!AN68-'IS (F4Q2022)'!AN68</f>
        <v>0</v>
      </c>
      <c r="AO68" s="189">
        <f>'IS (F1Q23)'!AO68-'IS (F4Q2022)'!AO68</f>
        <v>0</v>
      </c>
      <c r="AP68" s="189">
        <f>'IS (F1Q23)'!AP68-'IS (F4Q2022)'!AP68</f>
        <v>0</v>
      </c>
      <c r="AQ68" s="188">
        <f>'IS (F1Q23)'!AQ68-'IS (F4Q2022)'!AQ68</f>
        <v>-6.7484448548122376E-4</v>
      </c>
      <c r="AR68" s="189">
        <f>'IS (F1Q23)'!AR68-'IS (F4Q2022)'!AR68</f>
        <v>-2.7650971393459976E-3</v>
      </c>
      <c r="AS68" s="189">
        <f>'IS (F1Q23)'!AS68-'IS (F4Q2022)'!AS68</f>
        <v>0</v>
      </c>
      <c r="AT68" s="189">
        <f>'IS (F1Q23)'!AT68-'IS (F4Q2022)'!AT68</f>
        <v>0</v>
      </c>
      <c r="AU68" s="189">
        <f>'IS (F1Q23)'!AU68-'IS (F4Q2022)'!AU68</f>
        <v>0</v>
      </c>
      <c r="AV68" s="188">
        <f>'IS (F1Q23)'!AV68-'IS (F4Q2022)'!AV68</f>
        <v>-6.7521081659067603E-4</v>
      </c>
    </row>
    <row r="69" spans="2:48" ht="16.2" outlineLevel="1" x14ac:dyDescent="0.45">
      <c r="B69" s="180" t="s">
        <v>42</v>
      </c>
      <c r="C69" s="18"/>
      <c r="D69" s="119">
        <f>'IS (F1Q23)'!D69-'IS (F4Q2022)'!D69</f>
        <v>0</v>
      </c>
      <c r="E69" s="119">
        <f>'IS (F1Q23)'!E69-'IS (F4Q2022)'!E69</f>
        <v>0</v>
      </c>
      <c r="F69" s="119">
        <f>'IS (F1Q23)'!F69-'IS (F4Q2022)'!F69</f>
        <v>0</v>
      </c>
      <c r="G69" s="119">
        <f>'IS (F1Q23)'!G69-'IS (F4Q2022)'!G69</f>
        <v>0</v>
      </c>
      <c r="H69" s="131">
        <f>'IS (F1Q23)'!H69-'IS (F4Q2022)'!H69</f>
        <v>0</v>
      </c>
      <c r="I69" s="119">
        <f>'IS (F1Q23)'!I69-'IS (F4Q2022)'!I69</f>
        <v>0</v>
      </c>
      <c r="J69" s="119">
        <f>'IS (F1Q23)'!J69-'IS (F4Q2022)'!J69</f>
        <v>0</v>
      </c>
      <c r="K69" s="119">
        <f>'IS (F1Q23)'!K69-'IS (F4Q2022)'!K69</f>
        <v>0</v>
      </c>
      <c r="L69" s="119">
        <f>'IS (F1Q23)'!L69-'IS (F4Q2022)'!L69</f>
        <v>0</v>
      </c>
      <c r="M69" s="357">
        <f>'IS (F1Q23)'!M69-'IS (F4Q2022)'!M69</f>
        <v>0</v>
      </c>
      <c r="N69" s="119">
        <f>'IS (F1Q23)'!N69-'IS (F4Q2022)'!N69</f>
        <v>0</v>
      </c>
      <c r="O69" s="119">
        <f>'IS (F1Q23)'!O69-'IS (F4Q2022)'!O69</f>
        <v>0</v>
      </c>
      <c r="P69" s="119">
        <f>'IS (F1Q23)'!P69-'IS (F4Q2022)'!P69</f>
        <v>0</v>
      </c>
      <c r="Q69" s="119">
        <f>'IS (F1Q23)'!Q69-'IS (F4Q2022)'!Q69</f>
        <v>0</v>
      </c>
      <c r="R69" s="173">
        <f>'IS (F1Q23)'!R69-'IS (F4Q2022)'!R69</f>
        <v>0</v>
      </c>
      <c r="S69" s="119">
        <f>'IS (F1Q23)'!S69-'IS (F4Q2022)'!S69</f>
        <v>0</v>
      </c>
      <c r="T69" s="119">
        <f>'IS (F1Q23)'!T69-'IS (F4Q2022)'!T69</f>
        <v>0</v>
      </c>
      <c r="U69" s="119">
        <f>'IS (F1Q23)'!U69-'IS (F4Q2022)'!U69</f>
        <v>0</v>
      </c>
      <c r="V69" s="119">
        <f>'IS (F1Q23)'!V69-'IS (F4Q2022)'!V69</f>
        <v>0</v>
      </c>
      <c r="W69" s="173">
        <f>'IS (F1Q23)'!W69-'IS (F4Q2022)'!W69</f>
        <v>0</v>
      </c>
      <c r="X69" s="119">
        <f>'IS (F1Q23)'!X69-'IS (F4Q2022)'!X69</f>
        <v>-29.657834757834756</v>
      </c>
      <c r="Y69" s="119">
        <f>'IS (F1Q23)'!Y69-'IS (F4Q2022)'!Y69</f>
        <v>0</v>
      </c>
      <c r="Z69" s="119">
        <f>'IS (F1Q23)'!Z69-'IS (F4Q2022)'!Z69</f>
        <v>0</v>
      </c>
      <c r="AA69" s="119">
        <f>'IS (F1Q23)'!AA69-'IS (F4Q2022)'!AA69</f>
        <v>0</v>
      </c>
      <c r="AB69" s="173">
        <f>'IS (F1Q23)'!AB69-'IS (F4Q2022)'!AB69</f>
        <v>-29.657834757834756</v>
      </c>
      <c r="AC69" s="119">
        <f>'IS (F1Q23)'!AC69-'IS (F4Q2022)'!AC69</f>
        <v>0</v>
      </c>
      <c r="AD69" s="119">
        <f>'IS (F1Q23)'!AD69-'IS (F4Q2022)'!AD69</f>
        <v>0</v>
      </c>
      <c r="AE69" s="119">
        <f>'IS (F1Q23)'!AE69-'IS (F4Q2022)'!AE69</f>
        <v>0</v>
      </c>
      <c r="AF69" s="119">
        <f>'IS (F1Q23)'!AF69-'IS (F4Q2022)'!AF69</f>
        <v>0</v>
      </c>
      <c r="AG69" s="173">
        <f>'IS (F1Q23)'!AG69-'IS (F4Q2022)'!AG69</f>
        <v>0</v>
      </c>
      <c r="AH69" s="119">
        <f>'IS (F1Q23)'!AH69-'IS (F4Q2022)'!AH69</f>
        <v>0</v>
      </c>
      <c r="AI69" s="119">
        <f>'IS (F1Q23)'!AI69-'IS (F4Q2022)'!AI69</f>
        <v>0</v>
      </c>
      <c r="AJ69" s="119">
        <f>'IS (F1Q23)'!AJ69-'IS (F4Q2022)'!AJ69</f>
        <v>0</v>
      </c>
      <c r="AK69" s="119">
        <f>'IS (F1Q23)'!AK69-'IS (F4Q2022)'!AK69</f>
        <v>0</v>
      </c>
      <c r="AL69" s="173">
        <f>'IS (F1Q23)'!AL69-'IS (F4Q2022)'!AL69</f>
        <v>0</v>
      </c>
      <c r="AM69" s="119">
        <f>'IS (F1Q23)'!AM69-'IS (F4Q2022)'!AM69</f>
        <v>0</v>
      </c>
      <c r="AN69" s="119">
        <f>'IS (F1Q23)'!AN69-'IS (F4Q2022)'!AN69</f>
        <v>0</v>
      </c>
      <c r="AO69" s="119">
        <f>'IS (F1Q23)'!AO69-'IS (F4Q2022)'!AO69</f>
        <v>0</v>
      </c>
      <c r="AP69" s="119">
        <f>'IS (F1Q23)'!AP69-'IS (F4Q2022)'!AP69</f>
        <v>0</v>
      </c>
      <c r="AQ69" s="173">
        <f>'IS (F1Q23)'!AQ69-'IS (F4Q2022)'!AQ69</f>
        <v>0</v>
      </c>
      <c r="AR69" s="119">
        <f>'IS (F1Q23)'!AR69-'IS (F4Q2022)'!AR69</f>
        <v>0</v>
      </c>
      <c r="AS69" s="119">
        <f>'IS (F1Q23)'!AS69-'IS (F4Q2022)'!AS69</f>
        <v>0</v>
      </c>
      <c r="AT69" s="119">
        <f>'IS (F1Q23)'!AT69-'IS (F4Q2022)'!AT69</f>
        <v>0</v>
      </c>
      <c r="AU69" s="119">
        <f>'IS (F1Q23)'!AU69-'IS (F4Q2022)'!AU69</f>
        <v>0</v>
      </c>
      <c r="AV69" s="173">
        <f>'IS (F1Q23)'!AV69-'IS (F4Q2022)'!AV69</f>
        <v>0</v>
      </c>
    </row>
    <row r="70" spans="2:48" outlineLevel="1" x14ac:dyDescent="0.3">
      <c r="B70" s="46" t="s">
        <v>183</v>
      </c>
      <c r="C70" s="19"/>
      <c r="D70" s="103">
        <f>'IS (F1Q23)'!D70-'IS (F4Q2022)'!D70</f>
        <v>0</v>
      </c>
      <c r="E70" s="103">
        <f>'IS (F1Q23)'!E70-'IS (F4Q2022)'!E70</f>
        <v>0</v>
      </c>
      <c r="F70" s="103">
        <f>'IS (F1Q23)'!F70-'IS (F4Q2022)'!F70</f>
        <v>0</v>
      </c>
      <c r="G70" s="103">
        <f>'IS (F1Q23)'!G70-'IS (F4Q2022)'!G70</f>
        <v>0</v>
      </c>
      <c r="H70" s="166">
        <f>'IS (F1Q23)'!H70-'IS (F4Q2022)'!H70</f>
        <v>0</v>
      </c>
      <c r="I70" s="103">
        <f>'IS (F1Q23)'!I70-'IS (F4Q2022)'!I70</f>
        <v>0</v>
      </c>
      <c r="J70" s="103">
        <f>'IS (F1Q23)'!J70-'IS (F4Q2022)'!J70</f>
        <v>0</v>
      </c>
      <c r="K70" s="103">
        <f>'IS (F1Q23)'!K70-'IS (F4Q2022)'!K70</f>
        <v>0</v>
      </c>
      <c r="L70" s="50">
        <f>'IS (F1Q23)'!L70-'IS (F4Q2022)'!L70</f>
        <v>0</v>
      </c>
      <c r="M70" s="191">
        <f>'IS (F1Q23)'!M70-'IS (F4Q2022)'!M70</f>
        <v>0</v>
      </c>
      <c r="N70" s="50">
        <f>'IS (F1Q23)'!N70-'IS (F4Q2022)'!N70</f>
        <v>0</v>
      </c>
      <c r="O70" s="50">
        <f>'IS (F1Q23)'!O70-'IS (F4Q2022)'!O70</f>
        <v>0</v>
      </c>
      <c r="P70" s="50">
        <f>'IS (F1Q23)'!P70-'IS (F4Q2022)'!P70</f>
        <v>0</v>
      </c>
      <c r="Q70" s="103">
        <f>'IS (F1Q23)'!Q70-'IS (F4Q2022)'!Q70</f>
        <v>0</v>
      </c>
      <c r="R70" s="191">
        <f>'IS (F1Q23)'!R70-'IS (F4Q2022)'!R70</f>
        <v>0</v>
      </c>
      <c r="S70" s="50">
        <f>'IS (F1Q23)'!S70-'IS (F4Q2022)'!S70</f>
        <v>0</v>
      </c>
      <c r="T70" s="50">
        <f>'IS (F1Q23)'!T70-'IS (F4Q2022)'!T70</f>
        <v>0</v>
      </c>
      <c r="U70" s="50">
        <f>'IS (F1Q23)'!U70-'IS (F4Q2022)'!U70</f>
        <v>0</v>
      </c>
      <c r="V70" s="50">
        <f>'IS (F1Q23)'!V70-'IS (F4Q2022)'!V70</f>
        <v>0</v>
      </c>
      <c r="W70" s="191">
        <f>'IS (F1Q23)'!W70-'IS (F4Q2022)'!W70</f>
        <v>0</v>
      </c>
      <c r="X70" s="50">
        <f>'IS (F1Q23)'!X70-'IS (F4Q2022)'!X70</f>
        <v>51.944227560479703</v>
      </c>
      <c r="Y70" s="50">
        <f>'IS (F1Q23)'!Y70-'IS (F4Q2022)'!Y70</f>
        <v>-0.66464886575067794</v>
      </c>
      <c r="Z70" s="50">
        <f>'IS (F1Q23)'!Z70-'IS (F4Q2022)'!Z70</f>
        <v>14.403875981151941</v>
      </c>
      <c r="AA70" s="50">
        <f>'IS (F1Q23)'!AA70-'IS (F4Q2022)'!AA70</f>
        <v>16.048843793338165</v>
      </c>
      <c r="AB70" s="191">
        <f>'IS (F1Q23)'!AB70-'IS (F4Q2022)'!AB70</f>
        <v>81.732298469214584</v>
      </c>
      <c r="AC70" s="50">
        <f>'IS (F1Q23)'!AC70-'IS (F4Q2022)'!AC70</f>
        <v>101.49011761289785</v>
      </c>
      <c r="AD70" s="50">
        <f>'IS (F1Q23)'!AD70-'IS (F4Q2022)'!AD70</f>
        <v>20.184835506953277</v>
      </c>
      <c r="AE70" s="50">
        <f>'IS (F1Q23)'!AE70-'IS (F4Q2022)'!AE70</f>
        <v>22.64927401791283</v>
      </c>
      <c r="AF70" s="50">
        <f>'IS (F1Q23)'!AF70-'IS (F4Q2022)'!AF70</f>
        <v>22.692215328984275</v>
      </c>
      <c r="AG70" s="191">
        <f>'IS (F1Q23)'!AG70-'IS (F4Q2022)'!AG70</f>
        <v>167.01644246674914</v>
      </c>
      <c r="AH70" s="50">
        <f>'IS (F1Q23)'!AH70-'IS (F4Q2022)'!AH70</f>
        <v>118.10530394793022</v>
      </c>
      <c r="AI70" s="50">
        <f>'IS (F1Q23)'!AI70-'IS (F4Q2022)'!AI70</f>
        <v>25.484476446941699</v>
      </c>
      <c r="AJ70" s="50">
        <f>'IS (F1Q23)'!AJ70-'IS (F4Q2022)'!AJ70</f>
        <v>26.655145781684951</v>
      </c>
      <c r="AK70" s="50">
        <f>'IS (F1Q23)'!AK70-'IS (F4Q2022)'!AK70</f>
        <v>27.588376723453621</v>
      </c>
      <c r="AL70" s="191">
        <f>'IS (F1Q23)'!AL70-'IS (F4Q2022)'!AL70</f>
        <v>197.83330290000958</v>
      </c>
      <c r="AM70" s="50">
        <f>'IS (F1Q23)'!AM70-'IS (F4Q2022)'!AM70</f>
        <v>131.84230966779069</v>
      </c>
      <c r="AN70" s="50">
        <f>'IS (F1Q23)'!AN70-'IS (F4Q2022)'!AN70</f>
        <v>30.031273355964004</v>
      </c>
      <c r="AO70" s="50">
        <f>'IS (F1Q23)'!AO70-'IS (F4Q2022)'!AO70</f>
        <v>31.117537565357452</v>
      </c>
      <c r="AP70" s="50">
        <f>'IS (F1Q23)'!AP70-'IS (F4Q2022)'!AP70</f>
        <v>32.280962480333983</v>
      </c>
      <c r="AQ70" s="191">
        <f>'IS (F1Q23)'!AQ70-'IS (F4Q2022)'!AQ70</f>
        <v>225.27208306944522</v>
      </c>
      <c r="AR70" s="50">
        <f>'IS (F1Q23)'!AR70-'IS (F4Q2022)'!AR70</f>
        <v>142.39815379477295</v>
      </c>
      <c r="AS70" s="50">
        <f>'IS (F1Q23)'!AS70-'IS (F4Q2022)'!AS70</f>
        <v>34.554113401359245</v>
      </c>
      <c r="AT70" s="50">
        <f>'IS (F1Q23)'!AT70-'IS (F4Q2022)'!AT70</f>
        <v>35.62178104740633</v>
      </c>
      <c r="AU70" s="50">
        <f>'IS (F1Q23)'!AU70-'IS (F4Q2022)'!AU70</f>
        <v>36.799848250218929</v>
      </c>
      <c r="AV70" s="191">
        <f>'IS (F1Q23)'!AV70-'IS (F4Q2022)'!AV70</f>
        <v>249.37389649375837</v>
      </c>
    </row>
    <row r="71" spans="2:48" outlineLevel="1" x14ac:dyDescent="0.3">
      <c r="B71" s="46" t="s">
        <v>184</v>
      </c>
      <c r="C71" s="44"/>
      <c r="D71" s="156">
        <f>'IS (F1Q23)'!D71-'IS (F4Q2022)'!D71</f>
        <v>0</v>
      </c>
      <c r="E71" s="156">
        <f>'IS (F1Q23)'!E71-'IS (F4Q2022)'!E71</f>
        <v>0</v>
      </c>
      <c r="F71" s="156">
        <f>'IS (F1Q23)'!F71-'IS (F4Q2022)'!F71</f>
        <v>0</v>
      </c>
      <c r="G71" s="156">
        <f>'IS (F1Q23)'!G71-'IS (F4Q2022)'!G71</f>
        <v>0</v>
      </c>
      <c r="H71" s="132">
        <f>'IS (F1Q23)'!H71-'IS (F4Q2022)'!H71</f>
        <v>0</v>
      </c>
      <c r="I71" s="156">
        <f>'IS (F1Q23)'!I71-'IS (F4Q2022)'!I71</f>
        <v>0</v>
      </c>
      <c r="J71" s="156">
        <f>'IS (F1Q23)'!J71-'IS (F4Q2022)'!J71</f>
        <v>0</v>
      </c>
      <c r="K71" s="156">
        <f>'IS (F1Q23)'!K71-'IS (F4Q2022)'!K71</f>
        <v>0</v>
      </c>
      <c r="L71" s="74">
        <f>'IS (F1Q23)'!L71-'IS (F4Q2022)'!L71</f>
        <v>0</v>
      </c>
      <c r="M71" s="97">
        <f>'IS (F1Q23)'!M71-'IS (F4Q2022)'!M71</f>
        <v>0</v>
      </c>
      <c r="N71" s="74">
        <f>'IS (F1Q23)'!N71-'IS (F4Q2022)'!N71</f>
        <v>0</v>
      </c>
      <c r="O71" s="74">
        <f>'IS (F1Q23)'!O71-'IS (F4Q2022)'!O71</f>
        <v>0</v>
      </c>
      <c r="P71" s="74">
        <f>'IS (F1Q23)'!P71-'IS (F4Q2022)'!P71</f>
        <v>0</v>
      </c>
      <c r="Q71" s="74">
        <f>'IS (F1Q23)'!Q71-'IS (F4Q2022)'!Q71</f>
        <v>0</v>
      </c>
      <c r="R71" s="97">
        <f>'IS (F1Q23)'!R71-'IS (F4Q2022)'!R71</f>
        <v>0</v>
      </c>
      <c r="S71" s="74">
        <f>'IS (F1Q23)'!S71-'IS (F4Q2022)'!S71</f>
        <v>0</v>
      </c>
      <c r="T71" s="74">
        <f>'IS (F1Q23)'!T71-'IS (F4Q2022)'!T71</f>
        <v>0</v>
      </c>
      <c r="U71" s="74">
        <f>'IS (F1Q23)'!U71-'IS (F4Q2022)'!U71</f>
        <v>0</v>
      </c>
      <c r="V71" s="156">
        <f>'IS (F1Q23)'!V71-'IS (F4Q2022)'!V71</f>
        <v>0</v>
      </c>
      <c r="W71" s="97">
        <f>'IS (F1Q23)'!W71-'IS (F4Q2022)'!W71</f>
        <v>0</v>
      </c>
      <c r="X71" s="74">
        <f>'IS (F1Q23)'!X71-'IS (F4Q2022)'!X71</f>
        <v>133.19738441007667</v>
      </c>
      <c r="Y71" s="74">
        <f>'IS (F1Q23)'!Y71-'IS (F4Q2022)'!Y71</f>
        <v>-9.9916722462030521</v>
      </c>
      <c r="Z71" s="74">
        <f>'IS (F1Q23)'!Z71-'IS (F4Q2022)'!Z71</f>
        <v>-21.566282377627431</v>
      </c>
      <c r="AA71" s="74">
        <f>'IS (F1Q23)'!AA71-'IS (F4Q2022)'!AA71</f>
        <v>-18.92833871903531</v>
      </c>
      <c r="AB71" s="97">
        <f>'IS (F1Q23)'!AB71-'IS (F4Q2022)'!AB71</f>
        <v>82.711091067210873</v>
      </c>
      <c r="AC71" s="74">
        <f>'IS (F1Q23)'!AC71-'IS (F4Q2022)'!AC71</f>
        <v>105.9884734885427</v>
      </c>
      <c r="AD71" s="74">
        <f>'IS (F1Q23)'!AD71-'IS (F4Q2022)'!AD71</f>
        <v>-20.911296512970694</v>
      </c>
      <c r="AE71" s="74">
        <f>'IS (F1Q23)'!AE71-'IS (F4Q2022)'!AE71</f>
        <v>-23.428749309228806</v>
      </c>
      <c r="AF71" s="74">
        <f>'IS (F1Q23)'!AF71-'IS (F4Q2022)'!AF71</f>
        <v>-23.478865768091964</v>
      </c>
      <c r="AG71" s="97">
        <f>'IS (F1Q23)'!AG71-'IS (F4Q2022)'!AG71</f>
        <v>38.169561898251231</v>
      </c>
      <c r="AH71" s="74">
        <f>'IS (F1Q23)'!AH71-'IS (F4Q2022)'!AH71</f>
        <v>112.38963481889732</v>
      </c>
      <c r="AI71" s="74">
        <f>'IS (F1Q23)'!AI71-'IS (F4Q2022)'!AI71</f>
        <v>-26.261789723379479</v>
      </c>
      <c r="AJ71" s="74">
        <f>'IS (F1Q23)'!AJ71-'IS (F4Q2022)'!AJ71</f>
        <v>-27.489184343391571</v>
      </c>
      <c r="AK71" s="74">
        <f>'IS (F1Q23)'!AK71-'IS (F4Q2022)'!AK71</f>
        <v>-28.43009269329923</v>
      </c>
      <c r="AL71" s="97">
        <f>'IS (F1Q23)'!AL71-'IS (F4Q2022)'!AL71</f>
        <v>30.208568058827041</v>
      </c>
      <c r="AM71" s="74">
        <f>'IS (F1Q23)'!AM71-'IS (F4Q2022)'!AM71</f>
        <v>119.89826826605349</v>
      </c>
      <c r="AN71" s="74">
        <f>'IS (F1Q23)'!AN71-'IS (F4Q2022)'!AN71</f>
        <v>-30.847452296224219</v>
      </c>
      <c r="AO71" s="74">
        <f>'IS (F1Q23)'!AO71-'IS (F4Q2022)'!AO71</f>
        <v>-31.993278055150768</v>
      </c>
      <c r="AP71" s="74">
        <f>'IS (F1Q23)'!AP71-'IS (F4Q2022)'!AP71</f>
        <v>-33.164764248671418</v>
      </c>
      <c r="AQ71" s="97">
        <f>'IS (F1Q23)'!AQ71-'IS (F4Q2022)'!AQ71</f>
        <v>23.892773666007088</v>
      </c>
      <c r="AR71" s="74">
        <f>'IS (F1Q23)'!AR71-'IS (F4Q2022)'!AR71</f>
        <v>123.03047029449226</v>
      </c>
      <c r="AS71" s="74">
        <f>'IS (F1Q23)'!AS71-'IS (F4Q2022)'!AS71</f>
        <v>-35.394777709826485</v>
      </c>
      <c r="AT71" s="74">
        <f>'IS (F1Q23)'!AT71-'IS (F4Q2022)'!AT71</f>
        <v>-36.523793751892299</v>
      </c>
      <c r="AU71" s="74">
        <f>'IS (F1Q23)'!AU71-'IS (F4Q2022)'!AU71</f>
        <v>-37.710164071606414</v>
      </c>
      <c r="AV71" s="97">
        <f>'IS (F1Q23)'!AV71-'IS (F4Q2022)'!AV71</f>
        <v>13.401734761167063</v>
      </c>
    </row>
    <row r="72" spans="2:48" outlineLevel="1" x14ac:dyDescent="0.3">
      <c r="B72" s="46" t="s">
        <v>185</v>
      </c>
      <c r="C72" s="44"/>
      <c r="D72" s="157">
        <f>'IS (F1Q23)'!D72-'IS (F4Q2022)'!D72</f>
        <v>0</v>
      </c>
      <c r="E72" s="157">
        <f>'IS (F1Q23)'!E72-'IS (F4Q2022)'!E72</f>
        <v>0</v>
      </c>
      <c r="F72" s="157">
        <f>'IS (F1Q23)'!F72-'IS (F4Q2022)'!F72</f>
        <v>0</v>
      </c>
      <c r="G72" s="157">
        <f>'IS (F1Q23)'!G72-'IS (F4Q2022)'!G72</f>
        <v>0</v>
      </c>
      <c r="H72" s="133">
        <f>'IS (F1Q23)'!H72-'IS (F4Q2022)'!H72</f>
        <v>0</v>
      </c>
      <c r="I72" s="157">
        <f>'IS (F1Q23)'!I72-'IS (F4Q2022)'!I72</f>
        <v>0</v>
      </c>
      <c r="J72" s="157">
        <f>'IS (F1Q23)'!J72-'IS (F4Q2022)'!J72</f>
        <v>0</v>
      </c>
      <c r="K72" s="157">
        <f>'IS (F1Q23)'!K72-'IS (F4Q2022)'!K72</f>
        <v>0</v>
      </c>
      <c r="L72" s="75">
        <f>'IS (F1Q23)'!L72-'IS (F4Q2022)'!L72</f>
        <v>0</v>
      </c>
      <c r="M72" s="98">
        <f>'IS (F1Q23)'!M72-'IS (F4Q2022)'!M72</f>
        <v>0</v>
      </c>
      <c r="N72" s="75">
        <f>'IS (F1Q23)'!N72-'IS (F4Q2022)'!N72</f>
        <v>0</v>
      </c>
      <c r="O72" s="75">
        <f>'IS (F1Q23)'!O72-'IS (F4Q2022)'!O72</f>
        <v>0</v>
      </c>
      <c r="P72" s="75">
        <f>'IS (F1Q23)'!P72-'IS (F4Q2022)'!P72</f>
        <v>0</v>
      </c>
      <c r="Q72" s="75">
        <f>'IS (F1Q23)'!Q72-'IS (F4Q2022)'!Q72</f>
        <v>0</v>
      </c>
      <c r="R72" s="98">
        <f>'IS (F1Q23)'!R72-'IS (F4Q2022)'!R72</f>
        <v>0</v>
      </c>
      <c r="S72" s="75">
        <f>'IS (F1Q23)'!S72-'IS (F4Q2022)'!S72</f>
        <v>0</v>
      </c>
      <c r="T72" s="75">
        <f>'IS (F1Q23)'!T72-'IS (F4Q2022)'!T72</f>
        <v>0</v>
      </c>
      <c r="U72" s="75">
        <f>'IS (F1Q23)'!U72-'IS (F4Q2022)'!U72</f>
        <v>0</v>
      </c>
      <c r="V72" s="75">
        <f>'IS (F1Q23)'!V72-'IS (F4Q2022)'!V72</f>
        <v>0</v>
      </c>
      <c r="W72" s="98">
        <f>'IS (F1Q23)'!W72-'IS (F4Q2022)'!W72</f>
        <v>0</v>
      </c>
      <c r="X72" s="75">
        <f>'IS (F1Q23)'!X72-'IS (F4Q2022)'!X72</f>
        <v>1.5540708788273155E-2</v>
      </c>
      <c r="Y72" s="75">
        <f>'IS (F1Q23)'!Y72-'IS (F4Q2022)'!Y72</f>
        <v>-1.3542939893662898E-3</v>
      </c>
      <c r="Z72" s="75">
        <f>'IS (F1Q23)'!Z72-'IS (F4Q2022)'!Z72</f>
        <v>-3.0459221699844219E-3</v>
      </c>
      <c r="AA72" s="75">
        <f>'IS (F1Q23)'!AA72-'IS (F4Q2022)'!AA72</f>
        <v>-2.7620521986485014E-3</v>
      </c>
      <c r="AB72" s="98">
        <f>'IS (F1Q23)'!AB72-'IS (F4Q2022)'!AB72</f>
        <v>1.9893330833712919E-3</v>
      </c>
      <c r="AC72" s="75">
        <f>'IS (F1Q23)'!AC72-'IS (F4Q2022)'!AC72</f>
        <v>9.2423832876500356E-3</v>
      </c>
      <c r="AD72" s="75">
        <f>'IS (F1Q23)'!AD72-'IS (F4Q2022)'!AD72</f>
        <v>-3.1830431881323673E-3</v>
      </c>
      <c r="AE72" s="75">
        <f>'IS (F1Q23)'!AE72-'IS (F4Q2022)'!AE72</f>
        <v>-3.269571030314028E-3</v>
      </c>
      <c r="AF72" s="75">
        <f>'IS (F1Q23)'!AF72-'IS (F4Q2022)'!AF72</f>
        <v>-3.2550014557451989E-3</v>
      </c>
      <c r="AG72" s="98">
        <f>'IS (F1Q23)'!AG72-'IS (F4Q2022)'!AG72</f>
        <v>-4.8382063646656981E-5</v>
      </c>
      <c r="AH72" s="75">
        <f>'IS (F1Q23)'!AH72-'IS (F4Q2022)'!AH72</f>
        <v>8.5383036002480428E-3</v>
      </c>
      <c r="AI72" s="75">
        <f>'IS (F1Q23)'!AI72-'IS (F4Q2022)'!AI72</f>
        <v>-3.6260648628327341E-3</v>
      </c>
      <c r="AJ72" s="75">
        <f>'IS (F1Q23)'!AJ72-'IS (F4Q2022)'!AJ72</f>
        <v>-3.4754583024394214E-3</v>
      </c>
      <c r="AK72" s="75">
        <f>'IS (F1Q23)'!AK72-'IS (F4Q2022)'!AK72</f>
        <v>-3.5671499882375113E-3</v>
      </c>
      <c r="AL72" s="98">
        <f>'IS (F1Q23)'!AL72-'IS (F4Q2022)'!AL72</f>
        <v>-4.716838879092744E-4</v>
      </c>
      <c r="AM72" s="75">
        <f>'IS (F1Q23)'!AM72-'IS (F4Q2022)'!AM72</f>
        <v>8.2380623108146422E-3</v>
      </c>
      <c r="AN72" s="75">
        <f>'IS (F1Q23)'!AN72-'IS (F4Q2022)'!AN72</f>
        <v>-3.92774635128329E-3</v>
      </c>
      <c r="AO72" s="75">
        <f>'IS (F1Q23)'!AO72-'IS (F4Q2022)'!AO72</f>
        <v>-3.7315101271971907E-3</v>
      </c>
      <c r="AP72" s="75">
        <f>'IS (F1Q23)'!AP72-'IS (F4Q2022)'!AP72</f>
        <v>-3.839861485321644E-3</v>
      </c>
      <c r="AQ72" s="98">
        <f>'IS (F1Q23)'!AQ72-'IS (F4Q2022)'!AQ72</f>
        <v>-7.4668767730537433E-4</v>
      </c>
      <c r="AR72" s="75">
        <f>'IS (F1Q23)'!AR72-'IS (F4Q2022)'!AR72</f>
        <v>7.8430012522154868E-3</v>
      </c>
      <c r="AS72" s="75">
        <f>'IS (F1Q23)'!AS72-'IS (F4Q2022)'!AS72</f>
        <v>-4.2412580266672217E-3</v>
      </c>
      <c r="AT72" s="75">
        <f>'IS (F1Q23)'!AT72-'IS (F4Q2022)'!AT72</f>
        <v>-4.0099906445998645E-3</v>
      </c>
      <c r="AU72" s="75">
        <f>'IS (F1Q23)'!AU72-'IS (F4Q2022)'!AU72</f>
        <v>-4.1110658681789702E-3</v>
      </c>
      <c r="AV72" s="98">
        <f>'IS (F1Q23)'!AV72-'IS (F4Q2022)'!AV72</f>
        <v>-1.0610448386070837E-3</v>
      </c>
    </row>
    <row r="73" spans="2:48" ht="17.399999999999999" x14ac:dyDescent="0.45">
      <c r="B73" s="599" t="s">
        <v>114</v>
      </c>
      <c r="C73" s="600"/>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601" t="s">
        <v>115</v>
      </c>
      <c r="C74" s="602"/>
      <c r="D74" s="21">
        <f>'IS (F1Q23)'!D74-'IS (F4Q2022)'!D74</f>
        <v>0</v>
      </c>
      <c r="E74" s="21">
        <f>'IS (F1Q23)'!E74-'IS (F4Q2022)'!E74</f>
        <v>0</v>
      </c>
      <c r="F74" s="116">
        <f>'IS (F1Q23)'!F74-'IS (F4Q2022)'!F74</f>
        <v>0</v>
      </c>
      <c r="G74" s="21">
        <f>'IS (F1Q23)'!G74-'IS (F4Q2022)'!G74</f>
        <v>0</v>
      </c>
      <c r="H74" s="191">
        <f>'IS (F1Q23)'!H74-'IS (F4Q2022)'!H74</f>
        <v>0</v>
      </c>
      <c r="I74" s="21">
        <f>'IS (F1Q23)'!I74-'IS (F4Q2022)'!I74</f>
        <v>0</v>
      </c>
      <c r="J74" s="21">
        <f>'IS (F1Q23)'!J74-'IS (F4Q2022)'!J74</f>
        <v>0</v>
      </c>
      <c r="K74" s="21">
        <f>'IS (F1Q23)'!K74-'IS (F4Q2022)'!K74</f>
        <v>0</v>
      </c>
      <c r="L74" s="21">
        <f>'IS (F1Q23)'!L74-'IS (F4Q2022)'!L74</f>
        <v>0</v>
      </c>
      <c r="M74" s="191">
        <f>'IS (F1Q23)'!M74-'IS (F4Q2022)'!M74</f>
        <v>0</v>
      </c>
      <c r="N74" s="21">
        <f>'IS (F1Q23)'!N74-'IS (F4Q2022)'!N74</f>
        <v>0</v>
      </c>
      <c r="O74" s="21">
        <f>'IS (F1Q23)'!O74-'IS (F4Q2022)'!O74</f>
        <v>0</v>
      </c>
      <c r="P74" s="21">
        <f>'IS (F1Q23)'!P74-'IS (F4Q2022)'!P74</f>
        <v>0</v>
      </c>
      <c r="Q74" s="21">
        <f>'IS (F1Q23)'!Q74-'IS (F4Q2022)'!Q74</f>
        <v>0</v>
      </c>
      <c r="R74" s="191">
        <f>'IS (F1Q23)'!R74-'IS (F4Q2022)'!R74</f>
        <v>0</v>
      </c>
      <c r="S74" s="21">
        <f>'IS (F1Q23)'!S74-'IS (F4Q2022)'!S74</f>
        <v>0</v>
      </c>
      <c r="T74" s="21">
        <f>'IS (F1Q23)'!T74-'IS (F4Q2022)'!T74</f>
        <v>0</v>
      </c>
      <c r="U74" s="21">
        <f>'IS (F1Q23)'!U74-'IS (F4Q2022)'!U74</f>
        <v>0</v>
      </c>
      <c r="V74" s="21">
        <f>'IS (F1Q23)'!V74-'IS (F4Q2022)'!V74</f>
        <v>0</v>
      </c>
      <c r="W74" s="191">
        <f>'IS (F1Q23)'!W74-'IS (F4Q2022)'!W74</f>
        <v>0</v>
      </c>
      <c r="X74" s="21">
        <f>'IS (F1Q23)'!X74-'IS (F4Q2022)'!X74</f>
        <v>-158</v>
      </c>
      <c r="Y74" s="21">
        <f>'IS (F1Q23)'!Y74-'IS (F4Q2022)'!Y74</f>
        <v>-140</v>
      </c>
      <c r="Z74" s="21">
        <f>'IS (F1Q23)'!Z74-'IS (F4Q2022)'!Z74</f>
        <v>-122</v>
      </c>
      <c r="AA74" s="21">
        <f>'IS (F1Q23)'!AA74-'IS (F4Q2022)'!AA74</f>
        <v>-106</v>
      </c>
      <c r="AB74" s="191">
        <f>'IS (F1Q23)'!AB74-'IS (F4Q2022)'!AB74</f>
        <v>-106</v>
      </c>
      <c r="AC74" s="21">
        <f>'IS (F1Q23)'!AC74-'IS (F4Q2022)'!AC74</f>
        <v>-106</v>
      </c>
      <c r="AD74" s="21">
        <f>'IS (F1Q23)'!AD74-'IS (F4Q2022)'!AD74</f>
        <v>-106</v>
      </c>
      <c r="AE74" s="21">
        <f>'IS (F1Q23)'!AE74-'IS (F4Q2022)'!AE74</f>
        <v>-106</v>
      </c>
      <c r="AF74" s="21">
        <f>'IS (F1Q23)'!AF74-'IS (F4Q2022)'!AF74</f>
        <v>-106</v>
      </c>
      <c r="AG74" s="191">
        <f>'IS (F1Q23)'!AG74-'IS (F4Q2022)'!AG74</f>
        <v>-106</v>
      </c>
      <c r="AH74" s="21">
        <f>'IS (F1Q23)'!AH74-'IS (F4Q2022)'!AH74</f>
        <v>-106</v>
      </c>
      <c r="AI74" s="21">
        <f>'IS (F1Q23)'!AI74-'IS (F4Q2022)'!AI74</f>
        <v>-106</v>
      </c>
      <c r="AJ74" s="21">
        <f>'IS (F1Q23)'!AJ74-'IS (F4Q2022)'!AJ74</f>
        <v>-106</v>
      </c>
      <c r="AK74" s="21">
        <f>'IS (F1Q23)'!AK74-'IS (F4Q2022)'!AK74</f>
        <v>-106</v>
      </c>
      <c r="AL74" s="191">
        <f>'IS (F1Q23)'!AL74-'IS (F4Q2022)'!AL74</f>
        <v>-106</v>
      </c>
      <c r="AM74" s="21">
        <f>'IS (F1Q23)'!AM74-'IS (F4Q2022)'!AM74</f>
        <v>-106</v>
      </c>
      <c r="AN74" s="21">
        <f>'IS (F1Q23)'!AN74-'IS (F4Q2022)'!AN74</f>
        <v>-106</v>
      </c>
      <c r="AO74" s="21">
        <f>'IS (F1Q23)'!AO74-'IS (F4Q2022)'!AO74</f>
        <v>-106</v>
      </c>
      <c r="AP74" s="21">
        <f>'IS (F1Q23)'!AP74-'IS (F4Q2022)'!AP74</f>
        <v>-106</v>
      </c>
      <c r="AQ74" s="191">
        <f>'IS (F1Q23)'!AQ74-'IS (F4Q2022)'!AQ74</f>
        <v>-106</v>
      </c>
      <c r="AR74" s="21">
        <f>'IS (F1Q23)'!AR74-'IS (F4Q2022)'!AR74</f>
        <v>-106</v>
      </c>
      <c r="AS74" s="21">
        <f>'IS (F1Q23)'!AS74-'IS (F4Q2022)'!AS74</f>
        <v>-106</v>
      </c>
      <c r="AT74" s="21">
        <f>'IS (F1Q23)'!AT74-'IS (F4Q2022)'!AT74</f>
        <v>-106</v>
      </c>
      <c r="AU74" s="21">
        <f>'IS (F1Q23)'!AU74-'IS (F4Q2022)'!AU74</f>
        <v>-106</v>
      </c>
      <c r="AV74" s="191">
        <f>'IS (F1Q23)'!AV74-'IS (F4Q2022)'!AV74</f>
        <v>-106</v>
      </c>
    </row>
    <row r="75" spans="2:48" outlineLevel="1" x14ac:dyDescent="0.3">
      <c r="B75" s="180" t="s">
        <v>46</v>
      </c>
      <c r="C75" s="201"/>
      <c r="D75" s="101">
        <f>'IS (F1Q23)'!D75-'IS (F4Q2022)'!D75</f>
        <v>0</v>
      </c>
      <c r="E75" s="101">
        <f>'IS (F1Q23)'!E75-'IS (F4Q2022)'!E75</f>
        <v>0</v>
      </c>
      <c r="F75" s="101">
        <f>'IS (F1Q23)'!F75-'IS (F4Q2022)'!F75</f>
        <v>0</v>
      </c>
      <c r="G75" s="101">
        <f>'IS (F1Q23)'!G75-'IS (F4Q2022)'!G75</f>
        <v>0</v>
      </c>
      <c r="H75" s="26">
        <f>'IS (F1Q23)'!H75-'IS (F4Q2022)'!H75</f>
        <v>0</v>
      </c>
      <c r="I75" s="101">
        <f>'IS (F1Q23)'!I75-'IS (F4Q2022)'!I75</f>
        <v>0</v>
      </c>
      <c r="J75" s="101">
        <f>'IS (F1Q23)'!J75-'IS (F4Q2022)'!J75</f>
        <v>0</v>
      </c>
      <c r="K75" s="101">
        <f>'IS (F1Q23)'!K75-'IS (F4Q2022)'!K75</f>
        <v>0</v>
      </c>
      <c r="L75" s="101">
        <f>'IS (F1Q23)'!L75-'IS (F4Q2022)'!L75</f>
        <v>0</v>
      </c>
      <c r="M75" s="26">
        <f>'IS (F1Q23)'!M75-'IS (F4Q2022)'!M75</f>
        <v>0</v>
      </c>
      <c r="N75" s="101">
        <f>'IS (F1Q23)'!N75-'IS (F4Q2022)'!N75</f>
        <v>0</v>
      </c>
      <c r="O75" s="101">
        <f>'IS (F1Q23)'!O75-'IS (F4Q2022)'!O75</f>
        <v>0</v>
      </c>
      <c r="P75" s="101">
        <f>'IS (F1Q23)'!P75-'IS (F4Q2022)'!P75</f>
        <v>0</v>
      </c>
      <c r="Q75" s="101">
        <f>'IS (F1Q23)'!Q75-'IS (F4Q2022)'!Q75</f>
        <v>0</v>
      </c>
      <c r="R75" s="26">
        <f>'IS (F1Q23)'!R75-'IS (F4Q2022)'!R75</f>
        <v>0</v>
      </c>
      <c r="S75" s="101">
        <f>'IS (F1Q23)'!S75-'IS (F4Q2022)'!S75</f>
        <v>0</v>
      </c>
      <c r="T75" s="101">
        <f>'IS (F1Q23)'!T75-'IS (F4Q2022)'!T75</f>
        <v>0</v>
      </c>
      <c r="U75" s="101">
        <f>'IS (F1Q23)'!U75-'IS (F4Q2022)'!U75</f>
        <v>0</v>
      </c>
      <c r="V75" s="101">
        <f>'IS (F1Q23)'!V75-'IS (F4Q2022)'!V75</f>
        <v>0</v>
      </c>
      <c r="W75" s="122">
        <f>'IS (F1Q23)'!W75-'IS (F4Q2022)'!W75</f>
        <v>0</v>
      </c>
      <c r="X75" s="33">
        <f>'IS (F1Q23)'!X75-'IS (F4Q2022)'!X75</f>
        <v>-158</v>
      </c>
      <c r="Y75" s="33">
        <f>'IS (F1Q23)'!Y75-'IS (F4Q2022)'!Y75</f>
        <v>18</v>
      </c>
      <c r="Z75" s="33">
        <f>'IS (F1Q23)'!Z75-'IS (F4Q2022)'!Z75</f>
        <v>18</v>
      </c>
      <c r="AA75" s="33">
        <f>'IS (F1Q23)'!AA75-'IS (F4Q2022)'!AA75</f>
        <v>16</v>
      </c>
      <c r="AB75" s="26">
        <f>'IS (F1Q23)'!AB75-'IS (F4Q2022)'!AB75</f>
        <v>-106</v>
      </c>
      <c r="AC75" s="33">
        <f>'IS (F1Q23)'!AC75-'IS (F4Q2022)'!AC75</f>
        <v>0</v>
      </c>
      <c r="AD75" s="33">
        <f>'IS (F1Q23)'!AD75-'IS (F4Q2022)'!AD75</f>
        <v>0</v>
      </c>
      <c r="AE75" s="33">
        <f>'IS (F1Q23)'!AE75-'IS (F4Q2022)'!AE75</f>
        <v>0</v>
      </c>
      <c r="AF75" s="33">
        <f>'IS (F1Q23)'!AF75-'IS (F4Q2022)'!AF75</f>
        <v>0</v>
      </c>
      <c r="AG75" s="26">
        <f>'IS (F1Q23)'!AG75-'IS (F4Q2022)'!AG75</f>
        <v>0</v>
      </c>
      <c r="AH75" s="95">
        <f>'IS (F1Q23)'!AH75-'IS (F4Q2022)'!AH75</f>
        <v>0</v>
      </c>
      <c r="AI75" s="33">
        <f>'IS (F1Q23)'!AI75-'IS (F4Q2022)'!AI75</f>
        <v>0</v>
      </c>
      <c r="AJ75" s="33">
        <f>'IS (F1Q23)'!AJ75-'IS (F4Q2022)'!AJ75</f>
        <v>0</v>
      </c>
      <c r="AK75" s="33">
        <f>'IS (F1Q23)'!AK75-'IS (F4Q2022)'!AK75</f>
        <v>0</v>
      </c>
      <c r="AL75" s="26">
        <f>'IS (F1Q23)'!AL75-'IS (F4Q2022)'!AL75</f>
        <v>0</v>
      </c>
      <c r="AM75" s="33">
        <f>'IS (F1Q23)'!AM75-'IS (F4Q2022)'!AM75</f>
        <v>0</v>
      </c>
      <c r="AN75" s="33">
        <f>'IS (F1Q23)'!AN75-'IS (F4Q2022)'!AN75</f>
        <v>0</v>
      </c>
      <c r="AO75" s="33">
        <f>'IS (F1Q23)'!AO75-'IS (F4Q2022)'!AO75</f>
        <v>0</v>
      </c>
      <c r="AP75" s="33">
        <f>'IS (F1Q23)'!AP75-'IS (F4Q2022)'!AP75</f>
        <v>0</v>
      </c>
      <c r="AQ75" s="26">
        <f>'IS (F1Q23)'!AQ75-'IS (F4Q2022)'!AQ75</f>
        <v>0</v>
      </c>
      <c r="AR75" s="33">
        <f>'IS (F1Q23)'!AR75-'IS (F4Q2022)'!AR75</f>
        <v>0</v>
      </c>
      <c r="AS75" s="33">
        <f>'IS (F1Q23)'!AS75-'IS (F4Q2022)'!AS75</f>
        <v>0</v>
      </c>
      <c r="AT75" s="33">
        <f>'IS (F1Q23)'!AT75-'IS (F4Q2022)'!AT75</f>
        <v>0</v>
      </c>
      <c r="AU75" s="33">
        <f>'IS (F1Q23)'!AU75-'IS (F4Q2022)'!AU75</f>
        <v>0</v>
      </c>
      <c r="AV75" s="26">
        <f>'IS (F1Q23)'!AV75-'IS (F4Q2022)'!AV75</f>
        <v>0</v>
      </c>
    </row>
    <row r="76" spans="2:48" outlineLevel="1" x14ac:dyDescent="0.3">
      <c r="B76" s="180" t="s">
        <v>201</v>
      </c>
      <c r="C76" s="201"/>
      <c r="D76" s="101">
        <f>'IS (F1Q23)'!D76-'IS (F4Q2022)'!D76</f>
        <v>0</v>
      </c>
      <c r="E76" s="101">
        <f>'IS (F1Q23)'!E76-'IS (F4Q2022)'!E76</f>
        <v>0</v>
      </c>
      <c r="F76" s="101">
        <f>'IS (F1Q23)'!F76-'IS (F4Q2022)'!F76</f>
        <v>0</v>
      </c>
      <c r="G76" s="101">
        <f>'IS (F1Q23)'!G76-'IS (F4Q2022)'!G76</f>
        <v>0</v>
      </c>
      <c r="H76" s="26">
        <f>'IS (F1Q23)'!H76-'IS (F4Q2022)'!H76</f>
        <v>0</v>
      </c>
      <c r="I76" s="101">
        <f>'IS (F1Q23)'!I76-'IS (F4Q2022)'!I76</f>
        <v>0</v>
      </c>
      <c r="J76" s="101">
        <f>'IS (F1Q23)'!J76-'IS (F4Q2022)'!J76</f>
        <v>0</v>
      </c>
      <c r="K76" s="101">
        <f>'IS (F1Q23)'!K76-'IS (F4Q2022)'!K76</f>
        <v>0</v>
      </c>
      <c r="L76" s="101">
        <f>'IS (F1Q23)'!L76-'IS (F4Q2022)'!L76</f>
        <v>0</v>
      </c>
      <c r="M76" s="26">
        <f>'IS (F1Q23)'!M76-'IS (F4Q2022)'!M76</f>
        <v>0</v>
      </c>
      <c r="N76" s="101">
        <f>'IS (F1Q23)'!N76-'IS (F4Q2022)'!N76</f>
        <v>0</v>
      </c>
      <c r="O76" s="101">
        <f>'IS (F1Q23)'!O76-'IS (F4Q2022)'!O76</f>
        <v>0</v>
      </c>
      <c r="P76" s="101">
        <f>'IS (F1Q23)'!P76-'IS (F4Q2022)'!P76</f>
        <v>0</v>
      </c>
      <c r="Q76" s="101">
        <f>'IS (F1Q23)'!Q76-'IS (F4Q2022)'!Q76</f>
        <v>0</v>
      </c>
      <c r="R76" s="26">
        <f>'IS (F1Q23)'!R76-'IS (F4Q2022)'!R76</f>
        <v>0</v>
      </c>
      <c r="S76" s="101">
        <f>'IS (F1Q23)'!S76-'IS (F4Q2022)'!S76</f>
        <v>0</v>
      </c>
      <c r="T76" s="101">
        <f>'IS (F1Q23)'!T76-'IS (F4Q2022)'!T76</f>
        <v>0</v>
      </c>
      <c r="U76" s="101">
        <f>'IS (F1Q23)'!U76-'IS (F4Q2022)'!U76</f>
        <v>0</v>
      </c>
      <c r="V76" s="101">
        <f>'IS (F1Q23)'!V76-'IS (F4Q2022)'!V76</f>
        <v>0</v>
      </c>
      <c r="W76" s="122">
        <f>'IS (F1Q23)'!W76-'IS (F4Q2022)'!W76</f>
        <v>0</v>
      </c>
      <c r="X76" s="101">
        <f>'IS (F1Q23)'!X76-'IS (F4Q2022)'!X76</f>
        <v>-79</v>
      </c>
      <c r="Y76" s="101">
        <f>'IS (F1Q23)'!Y76-'IS (F4Q2022)'!Y76</f>
        <v>-149</v>
      </c>
      <c r="Z76" s="101">
        <f>'IS (F1Q23)'!Z76-'IS (F4Q2022)'!Z76</f>
        <v>-131</v>
      </c>
      <c r="AA76" s="101">
        <f>'IS (F1Q23)'!AA76-'IS (F4Q2022)'!AA76</f>
        <v>-114</v>
      </c>
      <c r="AB76" s="26">
        <f>'IS (F1Q23)'!AB76-'IS (F4Q2022)'!AB76</f>
        <v>0</v>
      </c>
      <c r="AC76" s="101">
        <f>'IS (F1Q23)'!AC76-'IS (F4Q2022)'!AC76</f>
        <v>-106</v>
      </c>
      <c r="AD76" s="101">
        <f>'IS (F1Q23)'!AD76-'IS (F4Q2022)'!AD76</f>
        <v>-106</v>
      </c>
      <c r="AE76" s="101">
        <f>'IS (F1Q23)'!AE76-'IS (F4Q2022)'!AE76</f>
        <v>-106</v>
      </c>
      <c r="AF76" s="101">
        <f>'IS (F1Q23)'!AF76-'IS (F4Q2022)'!AF76</f>
        <v>-106</v>
      </c>
      <c r="AG76" s="26">
        <f>'IS (F1Q23)'!AG76-'IS (F4Q2022)'!AG76</f>
        <v>0</v>
      </c>
      <c r="AH76" s="101">
        <f>'IS (F1Q23)'!AH76-'IS (F4Q2022)'!AH76</f>
        <v>-106</v>
      </c>
      <c r="AI76" s="101">
        <f>'IS (F1Q23)'!AI76-'IS (F4Q2022)'!AI76</f>
        <v>-106</v>
      </c>
      <c r="AJ76" s="101">
        <f>'IS (F1Q23)'!AJ76-'IS (F4Q2022)'!AJ76</f>
        <v>-106</v>
      </c>
      <c r="AK76" s="101">
        <f>'IS (F1Q23)'!AK76-'IS (F4Q2022)'!AK76</f>
        <v>-106</v>
      </c>
      <c r="AL76" s="26">
        <f>'IS (F1Q23)'!AL76-'IS (F4Q2022)'!AL76</f>
        <v>0</v>
      </c>
      <c r="AM76" s="101">
        <f>'IS (F1Q23)'!AM76-'IS (F4Q2022)'!AM76</f>
        <v>-106</v>
      </c>
      <c r="AN76" s="101">
        <f>'IS (F1Q23)'!AN76-'IS (F4Q2022)'!AN76</f>
        <v>-106</v>
      </c>
      <c r="AO76" s="101">
        <f>'IS (F1Q23)'!AO76-'IS (F4Q2022)'!AO76</f>
        <v>-106</v>
      </c>
      <c r="AP76" s="101">
        <f>'IS (F1Q23)'!AP76-'IS (F4Q2022)'!AP76</f>
        <v>-106</v>
      </c>
      <c r="AQ76" s="26">
        <f>'IS (F1Q23)'!AQ76-'IS (F4Q2022)'!AQ76</f>
        <v>0</v>
      </c>
      <c r="AR76" s="101">
        <f>'IS (F1Q23)'!AR76-'IS (F4Q2022)'!AR76</f>
        <v>-106</v>
      </c>
      <c r="AS76" s="101">
        <f>'IS (F1Q23)'!AS76-'IS (F4Q2022)'!AS76</f>
        <v>-106</v>
      </c>
      <c r="AT76" s="101">
        <f>'IS (F1Q23)'!AT76-'IS (F4Q2022)'!AT76</f>
        <v>-106</v>
      </c>
      <c r="AU76" s="101">
        <f>'IS (F1Q23)'!AU76-'IS (F4Q2022)'!AU76</f>
        <v>-106</v>
      </c>
      <c r="AV76" s="26">
        <f>'IS (F1Q23)'!AV76-'IS (F4Q2022)'!AV76</f>
        <v>0</v>
      </c>
    </row>
    <row r="77" spans="2:48" s="20" customFormat="1" outlineLevel="1" x14ac:dyDescent="0.3">
      <c r="B77" s="180" t="s">
        <v>206</v>
      </c>
      <c r="C77" s="206"/>
      <c r="D77" s="43">
        <f>'IS (F1Q23)'!D77-'IS (F4Q2022)'!D77</f>
        <v>0</v>
      </c>
      <c r="E77" s="43">
        <f>'IS (F1Q23)'!E77-'IS (F4Q2022)'!E77</f>
        <v>0</v>
      </c>
      <c r="F77" s="114">
        <f>'IS (F1Q23)'!F77-'IS (F4Q2022)'!F77</f>
        <v>0</v>
      </c>
      <c r="G77" s="43">
        <f>'IS (F1Q23)'!G77-'IS (F4Q2022)'!G77</f>
        <v>0</v>
      </c>
      <c r="H77" s="97">
        <f>'IS (F1Q23)'!H77-'IS (F4Q2022)'!H77</f>
        <v>0</v>
      </c>
      <c r="I77" s="43">
        <f>'IS (F1Q23)'!I77-'IS (F4Q2022)'!I77</f>
        <v>0</v>
      </c>
      <c r="J77" s="43">
        <f>'IS (F1Q23)'!J77-'IS (F4Q2022)'!J77</f>
        <v>0</v>
      </c>
      <c r="K77" s="43">
        <f>'IS (F1Q23)'!K77-'IS (F4Q2022)'!K77</f>
        <v>0</v>
      </c>
      <c r="L77" s="43">
        <f>'IS (F1Q23)'!L77-'IS (F4Q2022)'!L77</f>
        <v>0</v>
      </c>
      <c r="M77" s="97">
        <f>'IS (F1Q23)'!M77-'IS (F4Q2022)'!M77</f>
        <v>0</v>
      </c>
      <c r="N77" s="43">
        <f>'IS (F1Q23)'!N77-'IS (F4Q2022)'!N77</f>
        <v>0</v>
      </c>
      <c r="O77" s="43">
        <f>'IS (F1Q23)'!O77-'IS (F4Q2022)'!O77</f>
        <v>0</v>
      </c>
      <c r="P77" s="43">
        <f>'IS (F1Q23)'!P77-'IS (F4Q2022)'!P77</f>
        <v>0</v>
      </c>
      <c r="Q77" s="43">
        <f>'IS (F1Q23)'!Q77-'IS (F4Q2022)'!Q77</f>
        <v>0</v>
      </c>
      <c r="R77" s="97">
        <f>'IS (F1Q23)'!R77-'IS (F4Q2022)'!R77</f>
        <v>0</v>
      </c>
      <c r="S77" s="43">
        <f>'IS (F1Q23)'!S77-'IS (F4Q2022)'!S77</f>
        <v>0</v>
      </c>
      <c r="T77" s="43">
        <f>'IS (F1Q23)'!T77-'IS (F4Q2022)'!T77</f>
        <v>0</v>
      </c>
      <c r="U77" s="43">
        <f>'IS (F1Q23)'!U77-'IS (F4Q2022)'!U77</f>
        <v>0</v>
      </c>
      <c r="V77" s="43">
        <f>'IS (F1Q23)'!V77-'IS (F4Q2022)'!V77</f>
        <v>0</v>
      </c>
      <c r="W77" s="132">
        <f>'IS (F1Q23)'!W77-'IS (F4Q2022)'!W77</f>
        <v>0</v>
      </c>
      <c r="X77" s="62">
        <f>'IS (F1Q23)'!X77-'IS (F4Q2022)'!X77</f>
        <v>-2.3746229997423624E-2</v>
      </c>
      <c r="Y77" s="62">
        <f>'IS (F1Q23)'!Y77-'IS (F4Q2022)'!Y77</f>
        <v>0</v>
      </c>
      <c r="Z77" s="62">
        <f>'IS (F1Q23)'!Z77-'IS (F4Q2022)'!Z77</f>
        <v>0</v>
      </c>
      <c r="AA77" s="62">
        <f>'IS (F1Q23)'!AA77-'IS (F4Q2022)'!AA77</f>
        <v>0</v>
      </c>
      <c r="AB77" s="97">
        <f>'IS (F1Q23)'!AB77-'IS (F4Q2022)'!AB77</f>
        <v>0</v>
      </c>
      <c r="AC77" s="62">
        <f>'IS (F1Q23)'!AC77-'IS (F4Q2022)'!AC77</f>
        <v>-2.8495475996908354E-2</v>
      </c>
      <c r="AD77" s="62">
        <f>'IS (F1Q23)'!AD77-'IS (F4Q2022)'!AD77</f>
        <v>0</v>
      </c>
      <c r="AE77" s="62">
        <f>'IS (F1Q23)'!AE77-'IS (F4Q2022)'!AE77</f>
        <v>0</v>
      </c>
      <c r="AF77" s="62">
        <f>'IS (F1Q23)'!AF77-'IS (F4Q2022)'!AF77</f>
        <v>0</v>
      </c>
      <c r="AG77" s="97">
        <f>'IS (F1Q23)'!AG77-'IS (F4Q2022)'!AG77</f>
        <v>0</v>
      </c>
      <c r="AH77" s="62">
        <f>'IS (F1Q23)'!AH77-'IS (F4Q2022)'!AH77</f>
        <v>-2.9920249796753784E-2</v>
      </c>
      <c r="AI77" s="62">
        <f>'IS (F1Q23)'!AI77-'IS (F4Q2022)'!AI77</f>
        <v>0</v>
      </c>
      <c r="AJ77" s="62">
        <f>'IS (F1Q23)'!AJ77-'IS (F4Q2022)'!AJ77</f>
        <v>0</v>
      </c>
      <c r="AK77" s="62">
        <f>'IS (F1Q23)'!AK77-'IS (F4Q2022)'!AK77</f>
        <v>0</v>
      </c>
      <c r="AL77" s="97">
        <f>'IS (F1Q23)'!AL77-'IS (F4Q2022)'!AL77</f>
        <v>0</v>
      </c>
      <c r="AM77" s="477">
        <f>'IS (F1Q23)'!AM77-'IS (F4Q2022)'!AM77</f>
        <v>-3.1416262286591473E-2</v>
      </c>
      <c r="AN77" s="477">
        <f>'IS (F1Q23)'!AN77-'IS (F4Q2022)'!AN77</f>
        <v>0</v>
      </c>
      <c r="AO77" s="477">
        <f>'IS (F1Q23)'!AO77-'IS (F4Q2022)'!AO77</f>
        <v>0</v>
      </c>
      <c r="AP77" s="477">
        <f>'IS (F1Q23)'!AP77-'IS (F4Q2022)'!AP77</f>
        <v>0</v>
      </c>
      <c r="AQ77" s="97">
        <f>'IS (F1Q23)'!AQ77-'IS (F4Q2022)'!AQ77</f>
        <v>0</v>
      </c>
      <c r="AR77" s="477">
        <f>'IS (F1Q23)'!AR77-'IS (F4Q2022)'!AR77</f>
        <v>-3.2358750155189214E-2</v>
      </c>
      <c r="AS77" s="477">
        <f>'IS (F1Q23)'!AS77-'IS (F4Q2022)'!AS77</f>
        <v>0</v>
      </c>
      <c r="AT77" s="477">
        <f>'IS (F1Q23)'!AT77-'IS (F4Q2022)'!AT77</f>
        <v>0</v>
      </c>
      <c r="AU77" s="477">
        <f>'IS (F1Q23)'!AU77-'IS (F4Q2022)'!AU77</f>
        <v>0</v>
      </c>
      <c r="AV77" s="97">
        <f>'IS (F1Q23)'!AV77-'IS (F4Q2022)'!AV77</f>
        <v>0</v>
      </c>
    </row>
    <row r="78" spans="2:48" s="8" customFormat="1" outlineLevel="1" x14ac:dyDescent="0.3">
      <c r="B78" s="587" t="s">
        <v>116</v>
      </c>
      <c r="C78" s="588"/>
      <c r="D78" s="50">
        <f>'IS (F1Q23)'!D78-'IS (F4Q2022)'!D78</f>
        <v>0</v>
      </c>
      <c r="E78" s="50">
        <f>'IS (F1Q23)'!E78-'IS (F4Q2022)'!E78</f>
        <v>0</v>
      </c>
      <c r="F78" s="103">
        <f>'IS (F1Q23)'!F78-'IS (F4Q2022)'!F78</f>
        <v>0</v>
      </c>
      <c r="G78" s="50">
        <f>'IS (F1Q23)'!G78-'IS (F4Q2022)'!G78</f>
        <v>0</v>
      </c>
      <c r="H78" s="97">
        <f>'IS (F1Q23)'!H78-'IS (F4Q2022)'!H78</f>
        <v>0</v>
      </c>
      <c r="I78" s="50">
        <f>'IS (F1Q23)'!I78-'IS (F4Q2022)'!I78</f>
        <v>0</v>
      </c>
      <c r="J78" s="50">
        <f>'IS (F1Q23)'!J78-'IS (F4Q2022)'!J78</f>
        <v>0</v>
      </c>
      <c r="K78" s="103">
        <f>'IS (F1Q23)'!K78-'IS (F4Q2022)'!K78</f>
        <v>0</v>
      </c>
      <c r="L78" s="50">
        <f>'IS (F1Q23)'!L78-'IS (F4Q2022)'!L78</f>
        <v>0</v>
      </c>
      <c r="M78" s="97">
        <f>'IS (F1Q23)'!M78-'IS (F4Q2022)'!M78</f>
        <v>0</v>
      </c>
      <c r="N78" s="50">
        <f>'IS (F1Q23)'!N78-'IS (F4Q2022)'!N78</f>
        <v>0</v>
      </c>
      <c r="O78" s="50">
        <f>'IS (F1Q23)'!O78-'IS (F4Q2022)'!O78</f>
        <v>0</v>
      </c>
      <c r="P78" s="50">
        <f>'IS (F1Q23)'!P78-'IS (F4Q2022)'!P78</f>
        <v>0</v>
      </c>
      <c r="Q78" s="103">
        <f>'IS (F1Q23)'!Q78-'IS (F4Q2022)'!Q78</f>
        <v>0</v>
      </c>
      <c r="R78" s="97">
        <f>'IS (F1Q23)'!R78-'IS (F4Q2022)'!R78</f>
        <v>0</v>
      </c>
      <c r="S78" s="50">
        <f>'IS (F1Q23)'!S78-'IS (F4Q2022)'!S78</f>
        <v>0</v>
      </c>
      <c r="T78" s="50">
        <f>'IS (F1Q23)'!T78-'IS (F4Q2022)'!T78</f>
        <v>0</v>
      </c>
      <c r="U78" s="50">
        <f>'IS (F1Q23)'!U78-'IS (F4Q2022)'!U78</f>
        <v>0</v>
      </c>
      <c r="V78" s="50">
        <f>'IS (F1Q23)'!V78-'IS (F4Q2022)'!V78</f>
        <v>0</v>
      </c>
      <c r="W78" s="132">
        <f>'IS (F1Q23)'!W78-'IS (F4Q2022)'!W78</f>
        <v>0</v>
      </c>
      <c r="X78" s="50">
        <f>'IS (F1Q23)'!X78-'IS (F4Q2022)'!X78</f>
        <v>-205.72682760723706</v>
      </c>
      <c r="Y78" s="50">
        <f>'IS (F1Q23)'!Y78-'IS (F4Q2022)'!Y78</f>
        <v>-25.176966560509527</v>
      </c>
      <c r="Z78" s="50">
        <f>'IS (F1Q23)'!Z78-'IS (F4Q2022)'!Z78</f>
        <v>-23.877882906429704</v>
      </c>
      <c r="AA78" s="50">
        <f>'IS (F1Q23)'!AA78-'IS (F4Q2022)'!AA78</f>
        <v>-23.461104481401435</v>
      </c>
      <c r="AB78" s="97">
        <f>'IS (F1Q23)'!AB78-'IS (F4Q2022)'!AB78</f>
        <v>-278.24278155557749</v>
      </c>
      <c r="AC78" s="50">
        <f>'IS (F1Q23)'!AC78-'IS (F4Q2022)'!AC78</f>
        <v>-280.98309977751114</v>
      </c>
      <c r="AD78" s="50">
        <f>'IS (F1Q23)'!AD78-'IS (F4Q2022)'!AD78</f>
        <v>-18.806687101910939</v>
      </c>
      <c r="AE78" s="50">
        <f>'IS (F1Q23)'!AE78-'IS (F4Q2022)'!AE78</f>
        <v>-20.287086774699446</v>
      </c>
      <c r="AF78" s="50">
        <f>'IS (F1Q23)'!AF78-'IS (F4Q2022)'!AF78</f>
        <v>-22.905446743684024</v>
      </c>
      <c r="AG78" s="97">
        <f>'IS (F1Q23)'!AG78-'IS (F4Q2022)'!AG78</f>
        <v>-342.98232039780578</v>
      </c>
      <c r="AH78" s="50">
        <f>'IS (F1Q23)'!AH78-'IS (F4Q2022)'!AH78</f>
        <v>-326.8973207999295</v>
      </c>
      <c r="AI78" s="50">
        <f>'IS (F1Q23)'!AI78-'IS (F4Q2022)'!AI78</f>
        <v>-19.74702145700644</v>
      </c>
      <c r="AJ78" s="50">
        <f>'IS (F1Q23)'!AJ78-'IS (F4Q2022)'!AJ78</f>
        <v>-21.301441113434521</v>
      </c>
      <c r="AK78" s="50">
        <f>'IS (F1Q23)'!AK78-'IS (F4Q2022)'!AK78</f>
        <v>-24.050719080868021</v>
      </c>
      <c r="AL78" s="97">
        <f>'IS (F1Q23)'!AL78-'IS (F4Q2022)'!AL78</f>
        <v>-391.99650245123848</v>
      </c>
      <c r="AM78" s="50">
        <f>'IS (F1Q23)'!AM78-'IS (F4Q2022)'!AM78</f>
        <v>-375.47527194596887</v>
      </c>
      <c r="AN78" s="50">
        <f>'IS (F1Q23)'!AN78-'IS (F4Q2022)'!AN78</f>
        <v>-20.7343725298565</v>
      </c>
      <c r="AO78" s="50">
        <f>'IS (F1Q23)'!AO78-'IS (F4Q2022)'!AO78</f>
        <v>-22.366513169106383</v>
      </c>
      <c r="AP78" s="50">
        <f>'IS (F1Q23)'!AP78-'IS (F4Q2022)'!AP78</f>
        <v>-25.253255034911945</v>
      </c>
      <c r="AQ78" s="97">
        <f>'IS (F1Q23)'!AQ78-'IS (F4Q2022)'!AQ78</f>
        <v>-443.82941267984461</v>
      </c>
      <c r="AR78" s="50">
        <f>'IS (F1Q23)'!AR78-'IS (F4Q2022)'!AR78</f>
        <v>-403.5660801850463</v>
      </c>
      <c r="AS78" s="50">
        <f>'IS (F1Q23)'!AS78-'IS (F4Q2022)'!AS78</f>
        <v>-21.3564037057522</v>
      </c>
      <c r="AT78" s="50">
        <f>'IS (F1Q23)'!AT78-'IS (F4Q2022)'!AT78</f>
        <v>-23.037508564179006</v>
      </c>
      <c r="AU78" s="50">
        <f>'IS (F1Q23)'!AU78-'IS (F4Q2022)'!AU78</f>
        <v>-26.01085268595898</v>
      </c>
      <c r="AV78" s="97">
        <f>'IS (F1Q23)'!AV78-'IS (F4Q2022)'!AV78</f>
        <v>-473.97084514093694</v>
      </c>
    </row>
    <row r="79" spans="2:48" s="8" customFormat="1" outlineLevel="1" x14ac:dyDescent="0.3">
      <c r="B79" s="38" t="s">
        <v>200</v>
      </c>
      <c r="C79" s="206"/>
      <c r="D79" s="43">
        <f>'IS (F1Q23)'!D79-'IS (F4Q2022)'!D79</f>
        <v>0</v>
      </c>
      <c r="E79" s="43">
        <f>'IS (F1Q23)'!E79-'IS (F4Q2022)'!E79</f>
        <v>0</v>
      </c>
      <c r="F79" s="43">
        <f>'IS (F1Q23)'!F79-'IS (F4Q2022)'!F79</f>
        <v>0</v>
      </c>
      <c r="G79" s="43">
        <f>'IS (F1Q23)'!G79-'IS (F4Q2022)'!G79</f>
        <v>0</v>
      </c>
      <c r="H79" s="97">
        <f>'IS (F1Q23)'!H79-'IS (F4Q2022)'!H79</f>
        <v>0</v>
      </c>
      <c r="I79" s="27">
        <f>'IS (F1Q23)'!I79-'IS (F4Q2022)'!I79</f>
        <v>0</v>
      </c>
      <c r="J79" s="27">
        <f>'IS (F1Q23)'!J79-'IS (F4Q2022)'!J79</f>
        <v>0</v>
      </c>
      <c r="K79" s="27">
        <f>'IS (F1Q23)'!K79-'IS (F4Q2022)'!K79</f>
        <v>0</v>
      </c>
      <c r="L79" s="27">
        <f>'IS (F1Q23)'!L79-'IS (F4Q2022)'!L79</f>
        <v>0</v>
      </c>
      <c r="M79" s="97">
        <f>'IS (F1Q23)'!M79-'IS (F4Q2022)'!M79</f>
        <v>0</v>
      </c>
      <c r="N79" s="27">
        <f>'IS (F1Q23)'!N79-'IS (F4Q2022)'!N79</f>
        <v>0</v>
      </c>
      <c r="O79" s="27">
        <f>'IS (F1Q23)'!O79-'IS (F4Q2022)'!O79</f>
        <v>0</v>
      </c>
      <c r="P79" s="27">
        <f>'IS (F1Q23)'!P79-'IS (F4Q2022)'!P79</f>
        <v>0</v>
      </c>
      <c r="Q79" s="27">
        <f>'IS (F1Q23)'!Q79-'IS (F4Q2022)'!Q79</f>
        <v>0</v>
      </c>
      <c r="R79" s="97">
        <f>'IS (F1Q23)'!R79-'IS (F4Q2022)'!R79</f>
        <v>0</v>
      </c>
      <c r="S79" s="27">
        <f>'IS (F1Q23)'!S79-'IS (F4Q2022)'!S79</f>
        <v>0</v>
      </c>
      <c r="T79" s="27">
        <f>'IS (F1Q23)'!T79-'IS (F4Q2022)'!T79</f>
        <v>0</v>
      </c>
      <c r="U79" s="27">
        <f>'IS (F1Q23)'!U79-'IS (F4Q2022)'!U79</f>
        <v>0</v>
      </c>
      <c r="V79" s="27">
        <f>'IS (F1Q23)'!V79-'IS (F4Q2022)'!V79</f>
        <v>0</v>
      </c>
      <c r="W79" s="375">
        <f>'IS (F1Q23)'!W79-'IS (F4Q2022)'!W79</f>
        <v>0</v>
      </c>
      <c r="X79" s="27">
        <f>'IS (F1Q23)'!X79-'IS (F4Q2022)'!X79</f>
        <v>-0.13639649115377384</v>
      </c>
      <c r="Y79" s="27">
        <f>'IS (F1Q23)'!Y79-'IS (F4Q2022)'!Y79</f>
        <v>-1.8783174097664501E-2</v>
      </c>
      <c r="Z79" s="27">
        <f>'IS (F1Q23)'!Z79-'IS (F4Q2022)'!Z79</f>
        <v>-2.0543648719289154E-2</v>
      </c>
      <c r="AA79" s="27">
        <f>'IS (F1Q23)'!AA79-'IS (F4Q2022)'!AA79</f>
        <v>-1.7367017900215664E-2</v>
      </c>
      <c r="AB79" s="375">
        <f>'IS (F1Q23)'!AB79-'IS (F4Q2022)'!AB79</f>
        <v>-5.1892571953146893E-2</v>
      </c>
      <c r="AC79" s="27">
        <f>'IS (F1Q23)'!AC79-'IS (F4Q2022)'!AC79</f>
        <v>-2.5330601991147006E-3</v>
      </c>
      <c r="AD79" s="27">
        <f>'IS (F1Q23)'!AD79-'IS (F4Q2022)'!AD79</f>
        <v>7.7856864381165014E-3</v>
      </c>
      <c r="AE79" s="27">
        <f>'IS (F1Q23)'!AE79-'IS (F4Q2022)'!AE79</f>
        <v>5.0111137455750576E-3</v>
      </c>
      <c r="AF79" s="27">
        <f>'IS (F1Q23)'!AF79-'IS (F4Q2022)'!AF79</f>
        <v>2.5558890553953884E-3</v>
      </c>
      <c r="AG79" s="375">
        <f>'IS (F1Q23)'!AG79-'IS (F4Q2022)'!AG79</f>
        <v>-7.8216047626433749E-4</v>
      </c>
      <c r="AH79" s="27">
        <f>'IS (F1Q23)'!AH79-'IS (F4Q2022)'!AH79</f>
        <v>1.4195708551001385E-3</v>
      </c>
      <c r="AI79" s="27">
        <f>'IS (F1Q23)'!AI79-'IS (F4Q2022)'!AI79</f>
        <v>1.3535582044170713E-3</v>
      </c>
      <c r="AJ79" s="27">
        <f>'IS (F1Q23)'!AJ79-'IS (F4Q2022)'!AJ79</f>
        <v>1.2925411490318783E-3</v>
      </c>
      <c r="AK79" s="27">
        <f>'IS (F1Q23)'!AK79-'IS (F4Q2022)'!AK79</f>
        <v>1.2343872626432439E-3</v>
      </c>
      <c r="AL79" s="375">
        <f>'IS (F1Q23)'!AL79-'IS (F4Q2022)'!AL79</f>
        <v>1.1934766373622452E-3</v>
      </c>
      <c r="AM79" s="27">
        <f>'IS (F1Q23)'!AM79-'IS (F4Q2022)'!AM79</f>
        <v>1.0969793964172858E-3</v>
      </c>
      <c r="AN79" s="27">
        <f>'IS (F1Q23)'!AN79-'IS (F4Q2022)'!AN79</f>
        <v>8.9433654092152537E-4</v>
      </c>
      <c r="AO79" s="27">
        <f>'IS (F1Q23)'!AO79-'IS (F4Q2022)'!AO79</f>
        <v>7.1066406721254083E-4</v>
      </c>
      <c r="AP79" s="27">
        <f>'IS (F1Q23)'!AP79-'IS (F4Q2022)'!AP79</f>
        <v>5.429050934140367E-4</v>
      </c>
      <c r="AQ79" s="97">
        <f>'IS (F1Q23)'!AQ79-'IS (F4Q2022)'!AQ79</f>
        <v>0</v>
      </c>
      <c r="AR79" s="27">
        <f>'IS (F1Q23)'!AR79-'IS (F4Q2022)'!AR79</f>
        <v>4.5027096710015257E-4</v>
      </c>
      <c r="AS79" s="27">
        <f>'IS (F1Q23)'!AS79-'IS (F4Q2022)'!AS79</f>
        <v>4.4002331595915933E-4</v>
      </c>
      <c r="AT79" s="27">
        <f>'IS (F1Q23)'!AT79-'IS (F4Q2022)'!AT79</f>
        <v>4.3012156463251294E-4</v>
      </c>
      <c r="AU79" s="27">
        <f>'IS (F1Q23)'!AU79-'IS (F4Q2022)'!AU79</f>
        <v>4.2055031901444551E-4</v>
      </c>
      <c r="AV79" s="97">
        <f>'IS (F1Q23)'!AV79-'IS (F4Q2022)'!AV79</f>
        <v>0</v>
      </c>
    </row>
    <row r="80" spans="2:48" outlineLevel="1" x14ac:dyDescent="0.3">
      <c r="B80" s="236" t="s">
        <v>44</v>
      </c>
      <c r="C80" s="221"/>
      <c r="D80" s="222">
        <f>'IS (F1Q23)'!D80-'IS (F4Q2022)'!D80</f>
        <v>0</v>
      </c>
      <c r="E80" s="222">
        <f>'IS (F1Q23)'!E80-'IS (F4Q2022)'!E80</f>
        <v>0</v>
      </c>
      <c r="F80" s="222">
        <f>'IS (F1Q23)'!F80-'IS (F4Q2022)'!F80</f>
        <v>0</v>
      </c>
      <c r="G80" s="222">
        <f>'IS (F1Q23)'!G80-'IS (F4Q2022)'!G80</f>
        <v>0</v>
      </c>
      <c r="H80" s="223">
        <f>'IS (F1Q23)'!H80-'IS (F4Q2022)'!H80</f>
        <v>0</v>
      </c>
      <c r="I80" s="222">
        <f>'IS (F1Q23)'!I80-'IS (F4Q2022)'!I80</f>
        <v>0</v>
      </c>
      <c r="J80" s="222">
        <f>'IS (F1Q23)'!J80-'IS (F4Q2022)'!J80</f>
        <v>0</v>
      </c>
      <c r="K80" s="222">
        <f>'IS (F1Q23)'!K80-'IS (F4Q2022)'!K80</f>
        <v>0</v>
      </c>
      <c r="L80" s="224">
        <f>'IS (F1Q23)'!L80-'IS (F4Q2022)'!L80</f>
        <v>0</v>
      </c>
      <c r="M80" s="223">
        <f>'IS (F1Q23)'!M80-'IS (F4Q2022)'!M80</f>
        <v>0</v>
      </c>
      <c r="N80" s="222">
        <f>'IS (F1Q23)'!N80-'IS (F4Q2022)'!N80</f>
        <v>0</v>
      </c>
      <c r="O80" s="222">
        <f>'IS (F1Q23)'!O80-'IS (F4Q2022)'!O80</f>
        <v>0</v>
      </c>
      <c r="P80" s="222">
        <f>'IS (F1Q23)'!P80-'IS (F4Q2022)'!P80</f>
        <v>0</v>
      </c>
      <c r="Q80" s="222">
        <f>'IS (F1Q23)'!Q80-'IS (F4Q2022)'!Q80</f>
        <v>0</v>
      </c>
      <c r="R80" s="225">
        <f>'IS (F1Q23)'!R80-'IS (F4Q2022)'!R80</f>
        <v>0</v>
      </c>
      <c r="S80" s="224">
        <f>'IS (F1Q23)'!S80-'IS (F4Q2022)'!S80</f>
        <v>0</v>
      </c>
      <c r="T80" s="224">
        <f>'IS (F1Q23)'!T80-'IS (F4Q2022)'!T80</f>
        <v>0</v>
      </c>
      <c r="U80" s="224">
        <f>'IS (F1Q23)'!U80-'IS (F4Q2022)'!U80</f>
        <v>0</v>
      </c>
      <c r="V80" s="224">
        <f>'IS (F1Q23)'!V80-'IS (F4Q2022)'!V80</f>
        <v>0</v>
      </c>
      <c r="W80" s="223">
        <f>'IS (F1Q23)'!W80-'IS (F4Q2022)'!W80</f>
        <v>0</v>
      </c>
      <c r="X80" s="224">
        <f>'IS (F1Q23)'!X80-'IS (F4Q2022)'!X80</f>
        <v>-0.12</v>
      </c>
      <c r="Y80" s="224">
        <f>'IS (F1Q23)'!Y80-'IS (F4Q2022)'!Y80</f>
        <v>0</v>
      </c>
      <c r="Z80" s="224">
        <f>'IS (F1Q23)'!Z80-'IS (F4Q2022)'!Z80</f>
        <v>0</v>
      </c>
      <c r="AA80" s="224">
        <f>'IS (F1Q23)'!AA80-'IS (F4Q2022)'!AA80</f>
        <v>0</v>
      </c>
      <c r="AB80" s="225">
        <f>'IS (F1Q23)'!AB80-'IS (F4Q2022)'!AB80</f>
        <v>0</v>
      </c>
      <c r="AC80" s="224">
        <f>'IS (F1Q23)'!AC80-'IS (F4Q2022)'!AC80</f>
        <v>0</v>
      </c>
      <c r="AD80" s="224">
        <f>'IS (F1Q23)'!AD80-'IS (F4Q2022)'!AD80</f>
        <v>0</v>
      </c>
      <c r="AE80" s="224">
        <f>'IS (F1Q23)'!AE80-'IS (F4Q2022)'!AE80</f>
        <v>0</v>
      </c>
      <c r="AF80" s="224">
        <f>'IS (F1Q23)'!AF80-'IS (F4Q2022)'!AF80</f>
        <v>0</v>
      </c>
      <c r="AG80" s="225">
        <f>'IS (F1Q23)'!AG80-'IS (F4Q2022)'!AG80</f>
        <v>0</v>
      </c>
      <c r="AH80" s="224">
        <f>'IS (F1Q23)'!AH80-'IS (F4Q2022)'!AH80</f>
        <v>0</v>
      </c>
      <c r="AI80" s="224">
        <f>'IS (F1Q23)'!AI80-'IS (F4Q2022)'!AI80</f>
        <v>0</v>
      </c>
      <c r="AJ80" s="224">
        <f>'IS (F1Q23)'!AJ80-'IS (F4Q2022)'!AJ80</f>
        <v>0</v>
      </c>
      <c r="AK80" s="224">
        <f>'IS (F1Q23)'!AK80-'IS (F4Q2022)'!AK80</f>
        <v>0</v>
      </c>
      <c r="AL80" s="225">
        <f>'IS (F1Q23)'!AL80-'IS (F4Q2022)'!AL80</f>
        <v>0</v>
      </c>
      <c r="AM80" s="224">
        <f>'IS (F1Q23)'!AM80-'IS (F4Q2022)'!AM80</f>
        <v>0</v>
      </c>
      <c r="AN80" s="224">
        <f>'IS (F1Q23)'!AN80-'IS (F4Q2022)'!AN80</f>
        <v>0</v>
      </c>
      <c r="AO80" s="224">
        <f>'IS (F1Q23)'!AO80-'IS (F4Q2022)'!AO80</f>
        <v>0</v>
      </c>
      <c r="AP80" s="224">
        <f>'IS (F1Q23)'!AP80-'IS (F4Q2022)'!AP80</f>
        <v>0</v>
      </c>
      <c r="AQ80" s="225">
        <f>'IS (F1Q23)'!AQ80-'IS (F4Q2022)'!AQ80</f>
        <v>0</v>
      </c>
      <c r="AR80" s="224">
        <f>'IS (F1Q23)'!AR80-'IS (F4Q2022)'!AR80</f>
        <v>0</v>
      </c>
      <c r="AS80" s="224">
        <f>'IS (F1Q23)'!AS80-'IS (F4Q2022)'!AS80</f>
        <v>0</v>
      </c>
      <c r="AT80" s="224">
        <f>'IS (F1Q23)'!AT80-'IS (F4Q2022)'!AT80</f>
        <v>0</v>
      </c>
      <c r="AU80" s="224">
        <f>'IS (F1Q23)'!AU80-'IS (F4Q2022)'!AU80</f>
        <v>0</v>
      </c>
      <c r="AV80" s="225">
        <f>'IS (F1Q23)'!AV80-'IS (F4Q2022)'!AV80</f>
        <v>0</v>
      </c>
    </row>
    <row r="81" spans="1:48" outlineLevel="1" x14ac:dyDescent="0.3">
      <c r="B81" s="180" t="s">
        <v>43</v>
      </c>
      <c r="C81" s="207"/>
      <c r="D81" s="151">
        <f>'IS (F1Q23)'!D81-'IS (F4Q2022)'!D81</f>
        <v>0</v>
      </c>
      <c r="E81" s="151">
        <f>'IS (F1Q23)'!E81-'IS (F4Q2022)'!E81</f>
        <v>0</v>
      </c>
      <c r="F81" s="151">
        <f>'IS (F1Q23)'!F81-'IS (F4Q2022)'!F81</f>
        <v>0</v>
      </c>
      <c r="G81" s="151">
        <f>'IS (F1Q23)'!G81-'IS (F4Q2022)'!G81</f>
        <v>0</v>
      </c>
      <c r="H81" s="60">
        <f>'IS (F1Q23)'!H81-'IS (F4Q2022)'!H81</f>
        <v>0</v>
      </c>
      <c r="I81" s="151">
        <f>'IS (F1Q23)'!I81-'IS (F4Q2022)'!I81</f>
        <v>0</v>
      </c>
      <c r="J81" s="151">
        <f>'IS (F1Q23)'!J81-'IS (F4Q2022)'!J81</f>
        <v>0</v>
      </c>
      <c r="K81" s="151">
        <f>'IS (F1Q23)'!K81-'IS (F4Q2022)'!K81</f>
        <v>0</v>
      </c>
      <c r="L81" s="59">
        <f>'IS (F1Q23)'!L81-'IS (F4Q2022)'!L81</f>
        <v>0</v>
      </c>
      <c r="M81" s="60">
        <f>'IS (F1Q23)'!M81-'IS (F4Q2022)'!M81</f>
        <v>0</v>
      </c>
      <c r="N81" s="151">
        <f>'IS (F1Q23)'!N81-'IS (F4Q2022)'!N81</f>
        <v>0</v>
      </c>
      <c r="O81" s="59">
        <f>'IS (F1Q23)'!O81-'IS (F4Q2022)'!O81</f>
        <v>0</v>
      </c>
      <c r="P81" s="59">
        <f>'IS (F1Q23)'!P81-'IS (F4Q2022)'!P81</f>
        <v>0</v>
      </c>
      <c r="Q81" s="151">
        <f>'IS (F1Q23)'!Q81-'IS (F4Q2022)'!Q81</f>
        <v>0</v>
      </c>
      <c r="R81" s="60">
        <f>'IS (F1Q23)'!R81-'IS (F4Q2022)'!R81</f>
        <v>0</v>
      </c>
      <c r="S81" s="59">
        <f>'IS (F1Q23)'!S81-'IS (F4Q2022)'!S81</f>
        <v>0</v>
      </c>
      <c r="T81" s="59">
        <f>'IS (F1Q23)'!T81-'IS (F4Q2022)'!T81</f>
        <v>0</v>
      </c>
      <c r="U81" s="59">
        <f>'IS (F1Q23)'!U81-'IS (F4Q2022)'!U81</f>
        <v>0</v>
      </c>
      <c r="V81" s="59">
        <f>'IS (F1Q23)'!V81-'IS (F4Q2022)'!V81</f>
        <v>0</v>
      </c>
      <c r="W81" s="148">
        <f>'IS (F1Q23)'!W81-'IS (F4Q2022)'!W81</f>
        <v>0</v>
      </c>
      <c r="X81" s="59">
        <f>'IS (F1Q23)'!X81-'IS (F4Q2022)'!X81</f>
        <v>-0.01</v>
      </c>
      <c r="Y81" s="59">
        <f>'IS (F1Q23)'!Y81-'IS (F4Q2022)'!Y81</f>
        <v>0</v>
      </c>
      <c r="Z81" s="59">
        <f>'IS (F1Q23)'!Z81-'IS (F4Q2022)'!Z81</f>
        <v>0</v>
      </c>
      <c r="AA81" s="59">
        <f>'IS (F1Q23)'!AA81-'IS (F4Q2022)'!AA81</f>
        <v>0</v>
      </c>
      <c r="AB81" s="60">
        <f>'IS (F1Q23)'!AB81-'IS (F4Q2022)'!AB81</f>
        <v>0</v>
      </c>
      <c r="AC81" s="59">
        <f>'IS (F1Q23)'!AC81-'IS (F4Q2022)'!AC81</f>
        <v>0</v>
      </c>
      <c r="AD81" s="59">
        <f>'IS (F1Q23)'!AD81-'IS (F4Q2022)'!AD81</f>
        <v>0</v>
      </c>
      <c r="AE81" s="59">
        <f>'IS (F1Q23)'!AE81-'IS (F4Q2022)'!AE81</f>
        <v>0</v>
      </c>
      <c r="AF81" s="59">
        <f>'IS (F1Q23)'!AF81-'IS (F4Q2022)'!AF81</f>
        <v>0</v>
      </c>
      <c r="AG81" s="60">
        <f>'IS (F1Q23)'!AG81-'IS (F4Q2022)'!AG81</f>
        <v>0</v>
      </c>
      <c r="AH81" s="59">
        <f>'IS (F1Q23)'!AH81-'IS (F4Q2022)'!AH81</f>
        <v>0</v>
      </c>
      <c r="AI81" s="59">
        <f>'IS (F1Q23)'!AI81-'IS (F4Q2022)'!AI81</f>
        <v>0</v>
      </c>
      <c r="AJ81" s="59">
        <f>'IS (F1Q23)'!AJ81-'IS (F4Q2022)'!AJ81</f>
        <v>0</v>
      </c>
      <c r="AK81" s="59">
        <f>'IS (F1Q23)'!AK81-'IS (F4Q2022)'!AK81</f>
        <v>0</v>
      </c>
      <c r="AL81" s="60">
        <f>'IS (F1Q23)'!AL81-'IS (F4Q2022)'!AL81</f>
        <v>0</v>
      </c>
      <c r="AM81" s="59">
        <f>'IS (F1Q23)'!AM81-'IS (F4Q2022)'!AM81</f>
        <v>0</v>
      </c>
      <c r="AN81" s="59">
        <f>'IS (F1Q23)'!AN81-'IS (F4Q2022)'!AN81</f>
        <v>0</v>
      </c>
      <c r="AO81" s="59">
        <f>'IS (F1Q23)'!AO81-'IS (F4Q2022)'!AO81</f>
        <v>0</v>
      </c>
      <c r="AP81" s="59">
        <f>'IS (F1Q23)'!AP81-'IS (F4Q2022)'!AP81</f>
        <v>0</v>
      </c>
      <c r="AQ81" s="60">
        <f>'IS (F1Q23)'!AQ81-'IS (F4Q2022)'!AQ81</f>
        <v>0</v>
      </c>
      <c r="AR81" s="59">
        <f>'IS (F1Q23)'!AR81-'IS (F4Q2022)'!AR81</f>
        <v>0</v>
      </c>
      <c r="AS81" s="59">
        <f>'IS (F1Q23)'!AS81-'IS (F4Q2022)'!AS81</f>
        <v>0</v>
      </c>
      <c r="AT81" s="59">
        <f>'IS (F1Q23)'!AT81-'IS (F4Q2022)'!AT81</f>
        <v>0</v>
      </c>
      <c r="AU81" s="59">
        <f>'IS (F1Q23)'!AU81-'IS (F4Q2022)'!AU81</f>
        <v>0</v>
      </c>
      <c r="AV81" s="60">
        <f>'IS (F1Q23)'!AV81-'IS (F4Q2022)'!AV81</f>
        <v>0</v>
      </c>
    </row>
    <row r="82" spans="1:48" s="8" customFormat="1" outlineLevel="1" x14ac:dyDescent="0.3">
      <c r="B82" s="208" t="s">
        <v>45</v>
      </c>
      <c r="C82" s="206"/>
      <c r="D82" s="152">
        <f>'IS (F1Q23)'!D82-'IS (F4Q2022)'!D82</f>
        <v>0</v>
      </c>
      <c r="E82" s="152">
        <f>'IS (F1Q23)'!E82-'IS (F4Q2022)'!E82</f>
        <v>0</v>
      </c>
      <c r="F82" s="152">
        <f>'IS (F1Q23)'!F82-'IS (F4Q2022)'!F82</f>
        <v>0</v>
      </c>
      <c r="G82" s="152">
        <f>'IS (F1Q23)'!G82-'IS (F4Q2022)'!G82</f>
        <v>0</v>
      </c>
      <c r="H82" s="61">
        <f>'IS (F1Q23)'!H82-'IS (F4Q2022)'!H82</f>
        <v>0</v>
      </c>
      <c r="I82" s="152">
        <f>'IS (F1Q23)'!I82-'IS (F4Q2022)'!I82</f>
        <v>0</v>
      </c>
      <c r="J82" s="152">
        <f>'IS (F1Q23)'!J82-'IS (F4Q2022)'!J82</f>
        <v>0</v>
      </c>
      <c r="K82" s="152">
        <f>'IS (F1Q23)'!K82-'IS (F4Q2022)'!K82</f>
        <v>0</v>
      </c>
      <c r="L82" s="157">
        <f>'IS (F1Q23)'!L82-'IS (F4Q2022)'!L82</f>
        <v>0</v>
      </c>
      <c r="M82" s="61">
        <f>'IS (F1Q23)'!M82-'IS (F4Q2022)'!M82</f>
        <v>0</v>
      </c>
      <c r="N82" s="152">
        <f>'IS (F1Q23)'!N82-'IS (F4Q2022)'!N82</f>
        <v>0</v>
      </c>
      <c r="O82" s="152">
        <f>'IS (F1Q23)'!O82-'IS (F4Q2022)'!O82</f>
        <v>0</v>
      </c>
      <c r="P82" s="152">
        <f>'IS (F1Q23)'!P82-'IS (F4Q2022)'!P82</f>
        <v>0</v>
      </c>
      <c r="Q82" s="152">
        <f>'IS (F1Q23)'!Q82-'IS (F4Q2022)'!Q82</f>
        <v>0</v>
      </c>
      <c r="R82" s="377">
        <f>'IS (F1Q23)'!R82-'IS (F4Q2022)'!R82</f>
        <v>0</v>
      </c>
      <c r="S82" s="152">
        <f>'IS (F1Q23)'!S82-'IS (F4Q2022)'!S82</f>
        <v>0</v>
      </c>
      <c r="T82" s="152">
        <f>'IS (F1Q23)'!T82-'IS (F4Q2022)'!T82</f>
        <v>0</v>
      </c>
      <c r="U82" s="152">
        <f>'IS (F1Q23)'!U82-'IS (F4Q2022)'!U82</f>
        <v>0</v>
      </c>
      <c r="V82" s="152">
        <f>'IS (F1Q23)'!V82-'IS (F4Q2022)'!V82</f>
        <v>0</v>
      </c>
      <c r="W82" s="377">
        <f>'IS (F1Q23)'!W82-'IS (F4Q2022)'!W82</f>
        <v>0</v>
      </c>
      <c r="X82" s="157">
        <f>'IS (F1Q23)'!X82-'IS (F4Q2022)'!X82</f>
        <v>-0.13</v>
      </c>
      <c r="Y82" s="157">
        <f>'IS (F1Q23)'!Y82-'IS (F4Q2022)'!Y82</f>
        <v>0</v>
      </c>
      <c r="Z82" s="157">
        <f>'IS (F1Q23)'!Z82-'IS (F4Q2022)'!Z82</f>
        <v>0</v>
      </c>
      <c r="AA82" s="157">
        <f>'IS (F1Q23)'!AA82-'IS (F4Q2022)'!AA82</f>
        <v>0</v>
      </c>
      <c r="AB82" s="377">
        <f>'IS (F1Q23)'!AB82-'IS (F4Q2022)'!AB82</f>
        <v>-3.6880035612857354E-2</v>
      </c>
      <c r="AC82" s="157">
        <f>'IS (F1Q23)'!AC82-'IS (F4Q2022)'!AC82</f>
        <v>0</v>
      </c>
      <c r="AD82" s="157">
        <f>'IS (F1Q23)'!AD82-'IS (F4Q2022)'!AD82</f>
        <v>0</v>
      </c>
      <c r="AE82" s="157">
        <f>'IS (F1Q23)'!AE82-'IS (F4Q2022)'!AE82</f>
        <v>0</v>
      </c>
      <c r="AF82" s="157">
        <f>'IS (F1Q23)'!AF82-'IS (F4Q2022)'!AF82</f>
        <v>0</v>
      </c>
      <c r="AG82" s="377">
        <f>'IS (F1Q23)'!AG82-'IS (F4Q2022)'!AG82</f>
        <v>-5.1945696936539498E-4</v>
      </c>
      <c r="AH82" s="157">
        <f>'IS (F1Q23)'!AH82-'IS (F4Q2022)'!AH82</f>
        <v>0</v>
      </c>
      <c r="AI82" s="157">
        <f>'IS (F1Q23)'!AI82-'IS (F4Q2022)'!AI82</f>
        <v>0</v>
      </c>
      <c r="AJ82" s="157">
        <f>'IS (F1Q23)'!AJ82-'IS (F4Q2022)'!AJ82</f>
        <v>0</v>
      </c>
      <c r="AK82" s="157">
        <f>'IS (F1Q23)'!AK82-'IS (F4Q2022)'!AK82</f>
        <v>0</v>
      </c>
      <c r="AL82" s="377">
        <f>'IS (F1Q23)'!AL82-'IS (F4Q2022)'!AL82</f>
        <v>4.5351567135099025E-4</v>
      </c>
      <c r="AM82" s="157">
        <f>'IS (F1Q23)'!AM82-'IS (F4Q2022)'!AM82</f>
        <v>0</v>
      </c>
      <c r="AN82" s="157">
        <f>'IS (F1Q23)'!AN82-'IS (F4Q2022)'!AN82</f>
        <v>0</v>
      </c>
      <c r="AO82" s="157">
        <f>'IS (F1Q23)'!AO82-'IS (F4Q2022)'!AO82</f>
        <v>0</v>
      </c>
      <c r="AP82" s="157">
        <f>'IS (F1Q23)'!AP82-'IS (F4Q2022)'!AP82</f>
        <v>0</v>
      </c>
      <c r="AQ82" s="134">
        <f>'IS (F1Q23)'!AQ82-'IS (F4Q2022)'!AQ82</f>
        <v>0</v>
      </c>
      <c r="AR82" s="157">
        <f>'IS (F1Q23)'!AR82-'IS (F4Q2022)'!AR82</f>
        <v>0</v>
      </c>
      <c r="AS82" s="157">
        <f>'IS (F1Q23)'!AS82-'IS (F4Q2022)'!AS82</f>
        <v>0</v>
      </c>
      <c r="AT82" s="157">
        <f>'IS (F1Q23)'!AT82-'IS (F4Q2022)'!AT82</f>
        <v>0</v>
      </c>
      <c r="AU82" s="157">
        <f>'IS (F1Q23)'!AU82-'IS (F4Q2022)'!AU82</f>
        <v>0</v>
      </c>
      <c r="AV82" s="61">
        <f>'IS (F1Q23)'!AV82-'IS (F4Q2022)'!AV82</f>
        <v>0</v>
      </c>
    </row>
    <row r="83" spans="1:48" s="8" customFormat="1" outlineLevel="1" x14ac:dyDescent="0.3">
      <c r="B83" s="597" t="s">
        <v>117</v>
      </c>
      <c r="C83" s="598"/>
      <c r="D83" s="117">
        <f>'IS (F1Q23)'!D83-'IS (F4Q2022)'!D83</f>
        <v>0</v>
      </c>
      <c r="E83" s="117">
        <f>'IS (F1Q23)'!E83-'IS (F4Q2022)'!E83</f>
        <v>0</v>
      </c>
      <c r="F83" s="117">
        <f>'IS (F1Q23)'!F83-'IS (F4Q2022)'!F83</f>
        <v>0</v>
      </c>
      <c r="G83" s="117">
        <f>'IS (F1Q23)'!G83-'IS (F4Q2022)'!G83</f>
        <v>0</v>
      </c>
      <c r="H83" s="192">
        <f>'IS (F1Q23)'!H83-'IS (F4Q2022)'!H83</f>
        <v>0</v>
      </c>
      <c r="I83" s="117">
        <f>'IS (F1Q23)'!I83-'IS (F4Q2022)'!I83</f>
        <v>0</v>
      </c>
      <c r="J83" s="117">
        <f>'IS (F1Q23)'!J83-'IS (F4Q2022)'!J83</f>
        <v>0</v>
      </c>
      <c r="K83" s="117">
        <f>'IS (F1Q23)'!K83-'IS (F4Q2022)'!K83</f>
        <v>0</v>
      </c>
      <c r="L83" s="117">
        <f>'IS (F1Q23)'!L83-'IS (F4Q2022)'!L83</f>
        <v>0</v>
      </c>
      <c r="M83" s="192">
        <f>'IS (F1Q23)'!M83-'IS (F4Q2022)'!M83</f>
        <v>0</v>
      </c>
      <c r="N83" s="117">
        <f>'IS (F1Q23)'!N83-'IS (F4Q2022)'!N83</f>
        <v>0</v>
      </c>
      <c r="O83" s="67">
        <f>'IS (F1Q23)'!O83-'IS (F4Q2022)'!O83</f>
        <v>0</v>
      </c>
      <c r="P83" s="67">
        <f>'IS (F1Q23)'!P83-'IS (F4Q2022)'!P83</f>
        <v>0</v>
      </c>
      <c r="Q83" s="67">
        <f>'IS (F1Q23)'!Q83-'IS (F4Q2022)'!Q83</f>
        <v>0</v>
      </c>
      <c r="R83" s="192">
        <f>'IS (F1Q23)'!R83-'IS (F4Q2022)'!R83</f>
        <v>0</v>
      </c>
      <c r="S83" s="67">
        <f>'IS (F1Q23)'!S83-'IS (F4Q2022)'!S83</f>
        <v>0</v>
      </c>
      <c r="T83" s="67">
        <f>'IS (F1Q23)'!T83-'IS (F4Q2022)'!T83</f>
        <v>0</v>
      </c>
      <c r="U83" s="67">
        <f>'IS (F1Q23)'!U83-'IS (F4Q2022)'!U83</f>
        <v>0</v>
      </c>
      <c r="V83" s="67">
        <f>'IS (F1Q23)'!V83-'IS (F4Q2022)'!V83</f>
        <v>0</v>
      </c>
      <c r="W83" s="253">
        <f>'IS (F1Q23)'!W83-'IS (F4Q2022)'!W83</f>
        <v>0</v>
      </c>
      <c r="X83" s="67">
        <f>'IS (F1Q23)'!X83-'IS (F4Q2022)'!X83</f>
        <v>40</v>
      </c>
      <c r="Y83" s="67">
        <f>'IS (F1Q23)'!Y83-'IS (F4Q2022)'!Y83</f>
        <v>61</v>
      </c>
      <c r="Z83" s="67">
        <f>'IS (F1Q23)'!Z83-'IS (F4Q2022)'!Z83</f>
        <v>82</v>
      </c>
      <c r="AA83" s="67">
        <f>'IS (F1Q23)'!AA83-'IS (F4Q2022)'!AA83</f>
        <v>101</v>
      </c>
      <c r="AB83" s="192">
        <f>'IS (F1Q23)'!AB83-'IS (F4Q2022)'!AB83</f>
        <v>101</v>
      </c>
      <c r="AC83" s="67">
        <f>'IS (F1Q23)'!AC83-'IS (F4Q2022)'!AC83</f>
        <v>101</v>
      </c>
      <c r="AD83" s="67">
        <f>'IS (F1Q23)'!AD83-'IS (F4Q2022)'!AD83</f>
        <v>101</v>
      </c>
      <c r="AE83" s="67">
        <f>'IS (F1Q23)'!AE83-'IS (F4Q2022)'!AE83</f>
        <v>101</v>
      </c>
      <c r="AF83" s="67">
        <f>'IS (F1Q23)'!AF83-'IS (F4Q2022)'!AF83</f>
        <v>101</v>
      </c>
      <c r="AG83" s="192">
        <f>'IS (F1Q23)'!AG83-'IS (F4Q2022)'!AG83</f>
        <v>101</v>
      </c>
      <c r="AH83" s="67">
        <f>'IS (F1Q23)'!AH83-'IS (F4Q2022)'!AH83</f>
        <v>101</v>
      </c>
      <c r="AI83" s="67">
        <f>'IS (F1Q23)'!AI83-'IS (F4Q2022)'!AI83</f>
        <v>101</v>
      </c>
      <c r="AJ83" s="67">
        <f>'IS (F1Q23)'!AJ83-'IS (F4Q2022)'!AJ83</f>
        <v>101</v>
      </c>
      <c r="AK83" s="67">
        <f>'IS (F1Q23)'!AK83-'IS (F4Q2022)'!AK83</f>
        <v>101</v>
      </c>
      <c r="AL83" s="192">
        <f>'IS (F1Q23)'!AL83-'IS (F4Q2022)'!AL83</f>
        <v>101</v>
      </c>
      <c r="AM83" s="67">
        <f>'IS (F1Q23)'!AM83-'IS (F4Q2022)'!AM83</f>
        <v>101</v>
      </c>
      <c r="AN83" s="67">
        <f>'IS (F1Q23)'!AN83-'IS (F4Q2022)'!AN83</f>
        <v>101</v>
      </c>
      <c r="AO83" s="67">
        <f>'IS (F1Q23)'!AO83-'IS (F4Q2022)'!AO83</f>
        <v>101</v>
      </c>
      <c r="AP83" s="67">
        <f>'IS (F1Q23)'!AP83-'IS (F4Q2022)'!AP83</f>
        <v>101</v>
      </c>
      <c r="AQ83" s="192">
        <f>'IS (F1Q23)'!AQ83-'IS (F4Q2022)'!AQ83</f>
        <v>101</v>
      </c>
      <c r="AR83" s="67">
        <f>'IS (F1Q23)'!AR83-'IS (F4Q2022)'!AR83</f>
        <v>101</v>
      </c>
      <c r="AS83" s="67">
        <f>'IS (F1Q23)'!AS83-'IS (F4Q2022)'!AS83</f>
        <v>101</v>
      </c>
      <c r="AT83" s="67">
        <f>'IS (F1Q23)'!AT83-'IS (F4Q2022)'!AT83</f>
        <v>101</v>
      </c>
      <c r="AU83" s="67">
        <f>'IS (F1Q23)'!AU83-'IS (F4Q2022)'!AU83</f>
        <v>101</v>
      </c>
      <c r="AV83" s="192">
        <f>'IS (F1Q23)'!AV83-'IS (F4Q2022)'!AV83</f>
        <v>101</v>
      </c>
    </row>
    <row r="84" spans="1:48" outlineLevel="1" x14ac:dyDescent="0.3">
      <c r="B84" s="180" t="s">
        <v>47</v>
      </c>
      <c r="C84" s="201"/>
      <c r="D84" s="101">
        <f>'IS (F1Q23)'!D84-'IS (F4Q2022)'!D84</f>
        <v>0</v>
      </c>
      <c r="E84" s="101">
        <f>'IS (F1Q23)'!E84-'IS (F4Q2022)'!E84</f>
        <v>0</v>
      </c>
      <c r="F84" s="101">
        <f>'IS (F1Q23)'!F84-'IS (F4Q2022)'!F84</f>
        <v>0</v>
      </c>
      <c r="G84" s="101">
        <f>'IS (F1Q23)'!G84-'IS (F4Q2022)'!G84</f>
        <v>0</v>
      </c>
      <c r="H84" s="122">
        <f>'IS (F1Q23)'!H84-'IS (F4Q2022)'!H84</f>
        <v>0</v>
      </c>
      <c r="I84" s="101">
        <f>'IS (F1Q23)'!I84-'IS (F4Q2022)'!I84</f>
        <v>0</v>
      </c>
      <c r="J84" s="101">
        <f>'IS (F1Q23)'!J84-'IS (F4Q2022)'!J84</f>
        <v>0</v>
      </c>
      <c r="K84" s="101">
        <f>'IS (F1Q23)'!K84-'IS (F4Q2022)'!K84</f>
        <v>0</v>
      </c>
      <c r="L84" s="101">
        <f>'IS (F1Q23)'!L84-'IS (F4Q2022)'!L84</f>
        <v>0</v>
      </c>
      <c r="M84" s="122">
        <f>'IS (F1Q23)'!M84-'IS (F4Q2022)'!M84</f>
        <v>0</v>
      </c>
      <c r="N84" s="101">
        <f>'IS (F1Q23)'!N84-'IS (F4Q2022)'!N84</f>
        <v>0</v>
      </c>
      <c r="O84" s="101">
        <f>'IS (F1Q23)'!O84-'IS (F4Q2022)'!O84</f>
        <v>0</v>
      </c>
      <c r="P84" s="101">
        <f>'IS (F1Q23)'!P84-'IS (F4Q2022)'!P84</f>
        <v>0</v>
      </c>
      <c r="Q84" s="101">
        <f>'IS (F1Q23)'!Q84-'IS (F4Q2022)'!Q84</f>
        <v>0</v>
      </c>
      <c r="R84" s="122">
        <f>'IS (F1Q23)'!R84-'IS (F4Q2022)'!R84</f>
        <v>0</v>
      </c>
      <c r="S84" s="101">
        <f>'IS (F1Q23)'!S84-'IS (F4Q2022)'!S84</f>
        <v>0</v>
      </c>
      <c r="T84" s="101">
        <f>'IS (F1Q23)'!T84-'IS (F4Q2022)'!T84</f>
        <v>0</v>
      </c>
      <c r="U84" s="101">
        <f>'IS (F1Q23)'!U84-'IS (F4Q2022)'!U84</f>
        <v>0</v>
      </c>
      <c r="V84" s="101">
        <f>'IS (F1Q23)'!V84-'IS (F4Q2022)'!V84</f>
        <v>0</v>
      </c>
      <c r="W84" s="122">
        <f>'IS (F1Q23)'!W84-'IS (F4Q2022)'!W84</f>
        <v>0</v>
      </c>
      <c r="X84" s="33">
        <f>'IS (F1Q23)'!X84-'IS (F4Q2022)'!X84</f>
        <v>40</v>
      </c>
      <c r="Y84" s="33">
        <f>'IS (F1Q23)'!Y84-'IS (F4Q2022)'!Y84</f>
        <v>21</v>
      </c>
      <c r="Z84" s="33">
        <f>'IS (F1Q23)'!Z84-'IS (F4Q2022)'!Z84</f>
        <v>21</v>
      </c>
      <c r="AA84" s="33">
        <f>'IS (F1Q23)'!AA84-'IS (F4Q2022)'!AA84</f>
        <v>19</v>
      </c>
      <c r="AB84" s="122">
        <f>'IS (F1Q23)'!AB84-'IS (F4Q2022)'!AB84</f>
        <v>101</v>
      </c>
      <c r="AC84" s="33">
        <f>'IS (F1Q23)'!AC84-'IS (F4Q2022)'!AC84</f>
        <v>0</v>
      </c>
      <c r="AD84" s="33">
        <f>'IS (F1Q23)'!AD84-'IS (F4Q2022)'!AD84</f>
        <v>0</v>
      </c>
      <c r="AE84" s="33">
        <f>'IS (F1Q23)'!AE84-'IS (F4Q2022)'!AE84</f>
        <v>0</v>
      </c>
      <c r="AF84" s="33">
        <f>'IS (F1Q23)'!AF84-'IS (F4Q2022)'!AF84</f>
        <v>0</v>
      </c>
      <c r="AG84" s="122">
        <f>'IS (F1Q23)'!AG84-'IS (F4Q2022)'!AG84</f>
        <v>0</v>
      </c>
      <c r="AH84" s="33">
        <f>'IS (F1Q23)'!AH84-'IS (F4Q2022)'!AH84</f>
        <v>0</v>
      </c>
      <c r="AI84" s="33">
        <f>'IS (F1Q23)'!AI84-'IS (F4Q2022)'!AI84</f>
        <v>0</v>
      </c>
      <c r="AJ84" s="33">
        <f>'IS (F1Q23)'!AJ84-'IS (F4Q2022)'!AJ84</f>
        <v>0</v>
      </c>
      <c r="AK84" s="33">
        <f>'IS (F1Q23)'!AK84-'IS (F4Q2022)'!AK84</f>
        <v>0</v>
      </c>
      <c r="AL84" s="122">
        <f>'IS (F1Q23)'!AL84-'IS (F4Q2022)'!AL84</f>
        <v>0</v>
      </c>
      <c r="AM84" s="33">
        <f>'IS (F1Q23)'!AM84-'IS (F4Q2022)'!AM84</f>
        <v>0</v>
      </c>
      <c r="AN84" s="33">
        <f>'IS (F1Q23)'!AN84-'IS (F4Q2022)'!AN84</f>
        <v>0</v>
      </c>
      <c r="AO84" s="33">
        <f>'IS (F1Q23)'!AO84-'IS (F4Q2022)'!AO84</f>
        <v>0</v>
      </c>
      <c r="AP84" s="33">
        <f>'IS (F1Q23)'!AP84-'IS (F4Q2022)'!AP84</f>
        <v>0</v>
      </c>
      <c r="AQ84" s="122">
        <f>'IS (F1Q23)'!AQ84-'IS (F4Q2022)'!AQ84</f>
        <v>0</v>
      </c>
      <c r="AR84" s="33">
        <f>'IS (F1Q23)'!AR84-'IS (F4Q2022)'!AR84</f>
        <v>0</v>
      </c>
      <c r="AS84" s="33">
        <f>'IS (F1Q23)'!AS84-'IS (F4Q2022)'!AS84</f>
        <v>0</v>
      </c>
      <c r="AT84" s="33">
        <f>'IS (F1Q23)'!AT84-'IS (F4Q2022)'!AT84</f>
        <v>0</v>
      </c>
      <c r="AU84" s="33">
        <f>'IS (F1Q23)'!AU84-'IS (F4Q2022)'!AU84</f>
        <v>0</v>
      </c>
      <c r="AV84" s="122">
        <f>'IS (F1Q23)'!AV84-'IS (F4Q2022)'!AV84</f>
        <v>0</v>
      </c>
    </row>
    <row r="85" spans="1:48" outlineLevel="1" x14ac:dyDescent="0.3">
      <c r="B85" s="180" t="s">
        <v>49</v>
      </c>
      <c r="C85" s="201"/>
      <c r="D85" s="16">
        <f>'IS (F1Q23)'!D85-'IS (F4Q2022)'!D85</f>
        <v>0</v>
      </c>
      <c r="E85" s="16">
        <f>'IS (F1Q23)'!E85-'IS (F4Q2022)'!E85</f>
        <v>0</v>
      </c>
      <c r="F85" s="16">
        <f>'IS (F1Q23)'!F85-'IS (F4Q2022)'!F85</f>
        <v>0</v>
      </c>
      <c r="G85" s="16">
        <f>'IS (F1Q23)'!G85-'IS (F4Q2022)'!G85</f>
        <v>0</v>
      </c>
      <c r="H85" s="26">
        <f>'IS (F1Q23)'!H85-'IS (F4Q2022)'!H85</f>
        <v>0</v>
      </c>
      <c r="I85" s="16">
        <f>'IS (F1Q23)'!I85-'IS (F4Q2022)'!I85</f>
        <v>0</v>
      </c>
      <c r="J85" s="16">
        <f>'IS (F1Q23)'!J85-'IS (F4Q2022)'!J85</f>
        <v>0</v>
      </c>
      <c r="K85" s="16">
        <f>'IS (F1Q23)'!K85-'IS (F4Q2022)'!K85</f>
        <v>0</v>
      </c>
      <c r="L85" s="16">
        <f>'IS (F1Q23)'!L85-'IS (F4Q2022)'!L85</f>
        <v>0</v>
      </c>
      <c r="M85" s="6">
        <f>'IS (F1Q23)'!M85-'IS (F4Q2022)'!M85</f>
        <v>0</v>
      </c>
      <c r="N85" s="16">
        <f>'IS (F1Q23)'!N85-'IS (F4Q2022)'!N85</f>
        <v>0</v>
      </c>
      <c r="O85" s="16">
        <f>'IS (F1Q23)'!O85-'IS (F4Q2022)'!O85</f>
        <v>0</v>
      </c>
      <c r="P85" s="16">
        <f>'IS (F1Q23)'!P85-'IS (F4Q2022)'!P85</f>
        <v>0</v>
      </c>
      <c r="Q85" s="16">
        <f>'IS (F1Q23)'!Q85-'IS (F4Q2022)'!Q85</f>
        <v>0</v>
      </c>
      <c r="R85" s="6">
        <f>'IS (F1Q23)'!R85-'IS (F4Q2022)'!R85</f>
        <v>0</v>
      </c>
      <c r="S85" s="16">
        <f>'IS (F1Q23)'!S85-'IS (F4Q2022)'!S85</f>
        <v>0</v>
      </c>
      <c r="T85" s="16">
        <f>'IS (F1Q23)'!T85-'IS (F4Q2022)'!T85</f>
        <v>0</v>
      </c>
      <c r="U85" s="16">
        <f>'IS (F1Q23)'!U85-'IS (F4Q2022)'!U85</f>
        <v>0</v>
      </c>
      <c r="V85" s="16">
        <f>'IS (F1Q23)'!V85-'IS (F4Q2022)'!V85</f>
        <v>0</v>
      </c>
      <c r="W85" s="130">
        <f>'IS (F1Q23)'!W85-'IS (F4Q2022)'!W85</f>
        <v>0</v>
      </c>
      <c r="X85" s="16">
        <f>'IS (F1Q23)'!X85-'IS (F4Q2022)'!X85</f>
        <v>20</v>
      </c>
      <c r="Y85" s="16">
        <f>'IS (F1Q23)'!Y85-'IS (F4Q2022)'!Y85</f>
        <v>50.5</v>
      </c>
      <c r="Z85" s="16">
        <f>'IS (F1Q23)'!Z85-'IS (F4Q2022)'!Z85</f>
        <v>71.5</v>
      </c>
      <c r="AA85" s="16">
        <f>'IS (F1Q23)'!AA85-'IS (F4Q2022)'!AA85</f>
        <v>91.5</v>
      </c>
      <c r="AB85" s="6">
        <f>'IS (F1Q23)'!AB85-'IS (F4Q2022)'!AB85</f>
        <v>0</v>
      </c>
      <c r="AC85" s="16">
        <f>'IS (F1Q23)'!AC85-'IS (F4Q2022)'!AC85</f>
        <v>101</v>
      </c>
      <c r="AD85" s="16">
        <f>'IS (F1Q23)'!AD85-'IS (F4Q2022)'!AD85</f>
        <v>101</v>
      </c>
      <c r="AE85" s="16">
        <f>'IS (F1Q23)'!AE85-'IS (F4Q2022)'!AE85</f>
        <v>101</v>
      </c>
      <c r="AF85" s="16">
        <f>'IS (F1Q23)'!AF85-'IS (F4Q2022)'!AF85</f>
        <v>101</v>
      </c>
      <c r="AG85" s="6">
        <f>'IS (F1Q23)'!AG85-'IS (F4Q2022)'!AG85</f>
        <v>0</v>
      </c>
      <c r="AH85" s="16">
        <f>'IS (F1Q23)'!AH85-'IS (F4Q2022)'!AH85</f>
        <v>101</v>
      </c>
      <c r="AI85" s="16">
        <f>'IS (F1Q23)'!AI85-'IS (F4Q2022)'!AI85</f>
        <v>101</v>
      </c>
      <c r="AJ85" s="16">
        <f>'IS (F1Q23)'!AJ85-'IS (F4Q2022)'!AJ85</f>
        <v>101</v>
      </c>
      <c r="AK85" s="16">
        <f>'IS (F1Q23)'!AK85-'IS (F4Q2022)'!AK85</f>
        <v>101</v>
      </c>
      <c r="AL85" s="6">
        <f>'IS (F1Q23)'!AL85-'IS (F4Q2022)'!AL85</f>
        <v>0</v>
      </c>
      <c r="AM85" s="16">
        <f>'IS (F1Q23)'!AM85-'IS (F4Q2022)'!AM85</f>
        <v>101</v>
      </c>
      <c r="AN85" s="16">
        <f>'IS (F1Q23)'!AN85-'IS (F4Q2022)'!AN85</f>
        <v>101</v>
      </c>
      <c r="AO85" s="16">
        <f>'IS (F1Q23)'!AO85-'IS (F4Q2022)'!AO85</f>
        <v>101</v>
      </c>
      <c r="AP85" s="16">
        <f>'IS (F1Q23)'!AP85-'IS (F4Q2022)'!AP85</f>
        <v>101</v>
      </c>
      <c r="AQ85" s="6">
        <f>'IS (F1Q23)'!AQ85-'IS (F4Q2022)'!AQ85</f>
        <v>0</v>
      </c>
      <c r="AR85" s="16">
        <f>'IS (F1Q23)'!AR85-'IS (F4Q2022)'!AR85</f>
        <v>101</v>
      </c>
      <c r="AS85" s="16">
        <f>'IS (F1Q23)'!AS85-'IS (F4Q2022)'!AS85</f>
        <v>101</v>
      </c>
      <c r="AT85" s="16">
        <f>'IS (F1Q23)'!AT85-'IS (F4Q2022)'!AT85</f>
        <v>101</v>
      </c>
      <c r="AU85" s="16">
        <f>'IS (F1Q23)'!AU85-'IS (F4Q2022)'!AU85</f>
        <v>101</v>
      </c>
      <c r="AV85" s="6">
        <f>'IS (F1Q23)'!AV85-'IS (F4Q2022)'!AV85</f>
        <v>0</v>
      </c>
    </row>
    <row r="86" spans="1:48" outlineLevel="1" x14ac:dyDescent="0.3">
      <c r="B86" s="180" t="s">
        <v>48</v>
      </c>
      <c r="C86" s="201"/>
      <c r="D86" s="43">
        <f>'IS (F1Q23)'!D86-'IS (F4Q2022)'!D86</f>
        <v>0</v>
      </c>
      <c r="E86" s="114">
        <f>'IS (F1Q23)'!E86-'IS (F4Q2022)'!E86</f>
        <v>0</v>
      </c>
      <c r="F86" s="114">
        <f>'IS (F1Q23)'!F86-'IS (F4Q2022)'!F86</f>
        <v>0</v>
      </c>
      <c r="G86" s="114">
        <f>'IS (F1Q23)'!G86-'IS (F4Q2022)'!G86</f>
        <v>0</v>
      </c>
      <c r="H86" s="26">
        <f>'IS (F1Q23)'!H86-'IS (F4Q2022)'!H86</f>
        <v>0</v>
      </c>
      <c r="I86" s="114">
        <f>'IS (F1Q23)'!I86-'IS (F4Q2022)'!I86</f>
        <v>0</v>
      </c>
      <c r="J86" s="114">
        <f>'IS (F1Q23)'!J86-'IS (F4Q2022)'!J86</f>
        <v>0</v>
      </c>
      <c r="K86" s="114">
        <f>'IS (F1Q23)'!K86-'IS (F4Q2022)'!K86</f>
        <v>0</v>
      </c>
      <c r="L86" s="114">
        <f>'IS (F1Q23)'!L86-'IS (F4Q2022)'!L86</f>
        <v>0</v>
      </c>
      <c r="M86" s="6">
        <f>'IS (F1Q23)'!M86-'IS (F4Q2022)'!M86</f>
        <v>0</v>
      </c>
      <c r="N86" s="114">
        <f>'IS (F1Q23)'!N86-'IS (F4Q2022)'!N86</f>
        <v>0</v>
      </c>
      <c r="O86" s="114">
        <f>'IS (F1Q23)'!O86-'IS (F4Q2022)'!O86</f>
        <v>0</v>
      </c>
      <c r="P86" s="114">
        <f>'IS (F1Q23)'!P86-'IS (F4Q2022)'!P86</f>
        <v>0</v>
      </c>
      <c r="Q86" s="114">
        <f>'IS (F1Q23)'!Q86-'IS (F4Q2022)'!Q86</f>
        <v>0</v>
      </c>
      <c r="R86" s="6">
        <f>'IS (F1Q23)'!R86-'IS (F4Q2022)'!R86</f>
        <v>0</v>
      </c>
      <c r="S86" s="114">
        <f>'IS (F1Q23)'!S86-'IS (F4Q2022)'!S86</f>
        <v>0</v>
      </c>
      <c r="T86" s="114">
        <f>'IS (F1Q23)'!T86-'IS (F4Q2022)'!T86</f>
        <v>0</v>
      </c>
      <c r="U86" s="114">
        <f>'IS (F1Q23)'!U86-'IS (F4Q2022)'!U86</f>
        <v>0</v>
      </c>
      <c r="V86" s="114">
        <f>'IS (F1Q23)'!V86-'IS (F4Q2022)'!V86</f>
        <v>0</v>
      </c>
      <c r="W86" s="130">
        <f>'IS (F1Q23)'!W86-'IS (F4Q2022)'!W86</f>
        <v>0</v>
      </c>
      <c r="X86" s="62">
        <f>'IS (F1Q23)'!X86-'IS (F4Q2022)'!X86</f>
        <v>9.4594489536523746E-4</v>
      </c>
      <c r="Y86" s="62">
        <f>'IS (F1Q23)'!Y86-'IS (F4Q2022)'!Y86</f>
        <v>0</v>
      </c>
      <c r="Z86" s="62">
        <f>'IS (F1Q23)'!Z86-'IS (F4Q2022)'!Z86</f>
        <v>0</v>
      </c>
      <c r="AA86" s="62">
        <f>'IS (F1Q23)'!AA86-'IS (F4Q2022)'!AA86</f>
        <v>0</v>
      </c>
      <c r="AB86" s="6">
        <f>'IS (F1Q23)'!AB86-'IS (F4Q2022)'!AB86</f>
        <v>0</v>
      </c>
      <c r="AC86" s="62">
        <f>'IS (F1Q23)'!AC86-'IS (F4Q2022)'!AC86</f>
        <v>9.9324214013350037E-4</v>
      </c>
      <c r="AD86" s="62">
        <f>'IS (F1Q23)'!AD86-'IS (F4Q2022)'!AD86</f>
        <v>0</v>
      </c>
      <c r="AE86" s="62">
        <f>'IS (F1Q23)'!AE86-'IS (F4Q2022)'!AE86</f>
        <v>0</v>
      </c>
      <c r="AF86" s="62">
        <f>'IS (F1Q23)'!AF86-'IS (F4Q2022)'!AF86</f>
        <v>0</v>
      </c>
      <c r="AG86" s="6">
        <f>'IS (F1Q23)'!AG86-'IS (F4Q2022)'!AG86</f>
        <v>0</v>
      </c>
      <c r="AH86" s="62">
        <f>'IS (F1Q23)'!AH86-'IS (F4Q2022)'!AH86</f>
        <v>1.0429042471401737E-3</v>
      </c>
      <c r="AI86" s="62">
        <f>'IS (F1Q23)'!AI86-'IS (F4Q2022)'!AI86</f>
        <v>0</v>
      </c>
      <c r="AJ86" s="62">
        <f>'IS (F1Q23)'!AJ86-'IS (F4Q2022)'!AJ86</f>
        <v>0</v>
      </c>
      <c r="AK86" s="62">
        <f>'IS (F1Q23)'!AK86-'IS (F4Q2022)'!AK86</f>
        <v>0</v>
      </c>
      <c r="AL86" s="6">
        <f>'IS (F1Q23)'!AL86-'IS (F4Q2022)'!AL86</f>
        <v>0</v>
      </c>
      <c r="AM86" s="477">
        <f>'IS (F1Q23)'!AM86-'IS (F4Q2022)'!AM86</f>
        <v>1.0950494594971841E-3</v>
      </c>
      <c r="AN86" s="477">
        <f>'IS (F1Q23)'!AN86-'IS (F4Q2022)'!AN86</f>
        <v>0</v>
      </c>
      <c r="AO86" s="477">
        <f>'IS (F1Q23)'!AO86-'IS (F4Q2022)'!AO86</f>
        <v>0</v>
      </c>
      <c r="AP86" s="477">
        <f>'IS (F1Q23)'!AP86-'IS (F4Q2022)'!AP86</f>
        <v>0</v>
      </c>
      <c r="AQ86" s="97">
        <f>'IS (F1Q23)'!AQ86-'IS (F4Q2022)'!AQ86</f>
        <v>0</v>
      </c>
      <c r="AR86" s="477">
        <f>'IS (F1Q23)'!AR86-'IS (F4Q2022)'!AR86</f>
        <v>1.1279009432821063E-3</v>
      </c>
      <c r="AS86" s="477">
        <f>'IS (F1Q23)'!AS86-'IS (F4Q2022)'!AS86</f>
        <v>0</v>
      </c>
      <c r="AT86" s="477">
        <f>'IS (F1Q23)'!AT86-'IS (F4Q2022)'!AT86</f>
        <v>0</v>
      </c>
      <c r="AU86" s="477">
        <f>'IS (F1Q23)'!AU86-'IS (F4Q2022)'!AU86</f>
        <v>0</v>
      </c>
      <c r="AV86" s="6">
        <f>'IS (F1Q23)'!AV86-'IS (F4Q2022)'!AV86</f>
        <v>0</v>
      </c>
    </row>
    <row r="87" spans="1:48" s="8" customFormat="1" outlineLevel="1" x14ac:dyDescent="0.3">
      <c r="B87" s="603" t="s">
        <v>118</v>
      </c>
      <c r="C87" s="604"/>
      <c r="D87" s="115">
        <f>'IS (F1Q23)'!D87-'IS (F4Q2022)'!D87</f>
        <v>0</v>
      </c>
      <c r="E87" s="115">
        <f>'IS (F1Q23)'!E87-'IS (F4Q2022)'!E87</f>
        <v>0</v>
      </c>
      <c r="F87" s="115">
        <f>'IS (F1Q23)'!F87-'IS (F4Q2022)'!F87</f>
        <v>0</v>
      </c>
      <c r="G87" s="115">
        <f>'IS (F1Q23)'!G87-'IS (F4Q2022)'!G87</f>
        <v>0</v>
      </c>
      <c r="H87" s="73">
        <f>'IS (F1Q23)'!H87-'IS (F4Q2022)'!H87</f>
        <v>0</v>
      </c>
      <c r="I87" s="115">
        <f>'IS (F1Q23)'!I87-'IS (F4Q2022)'!I87</f>
        <v>0</v>
      </c>
      <c r="J87" s="115">
        <f>'IS (F1Q23)'!J87-'IS (F4Q2022)'!J87</f>
        <v>0</v>
      </c>
      <c r="K87" s="115">
        <f>'IS (F1Q23)'!K87-'IS (F4Q2022)'!K87</f>
        <v>0</v>
      </c>
      <c r="L87" s="72">
        <f>'IS (F1Q23)'!L87-'IS (F4Q2022)'!L87</f>
        <v>0</v>
      </c>
      <c r="M87" s="73">
        <f>'IS (F1Q23)'!M87-'IS (F4Q2022)'!M87</f>
        <v>0</v>
      </c>
      <c r="N87" s="72">
        <f>'IS (F1Q23)'!N87-'IS (F4Q2022)'!N87</f>
        <v>0</v>
      </c>
      <c r="O87" s="72">
        <f>'IS (F1Q23)'!O87-'IS (F4Q2022)'!O87</f>
        <v>0</v>
      </c>
      <c r="P87" s="72">
        <f>'IS (F1Q23)'!P87-'IS (F4Q2022)'!P87</f>
        <v>0</v>
      </c>
      <c r="Q87" s="115">
        <f>'IS (F1Q23)'!Q87-'IS (F4Q2022)'!Q87</f>
        <v>0</v>
      </c>
      <c r="R87" s="73">
        <f>'IS (F1Q23)'!R87-'IS (F4Q2022)'!R87</f>
        <v>0</v>
      </c>
      <c r="S87" s="72">
        <f>'IS (F1Q23)'!S87-'IS (F4Q2022)'!S87</f>
        <v>0</v>
      </c>
      <c r="T87" s="72">
        <f>'IS (F1Q23)'!T87-'IS (F4Q2022)'!T87</f>
        <v>0</v>
      </c>
      <c r="U87" s="72">
        <f>'IS (F1Q23)'!U87-'IS (F4Q2022)'!U87</f>
        <v>0</v>
      </c>
      <c r="V87" s="72">
        <f>'IS (F1Q23)'!V87-'IS (F4Q2022)'!V87</f>
        <v>0</v>
      </c>
      <c r="W87" s="213">
        <f>'IS (F1Q23)'!W87-'IS (F4Q2022)'!W87</f>
        <v>0</v>
      </c>
      <c r="X87" s="72">
        <f>'IS (F1Q23)'!X87-'IS (F4Q2022)'!X87</f>
        <v>10.765373240510257</v>
      </c>
      <c r="Y87" s="72">
        <f>'IS (F1Q23)'!Y87-'IS (F4Q2022)'!Y87</f>
        <v>2.0692388215941264</v>
      </c>
      <c r="Z87" s="72">
        <f>'IS (F1Q23)'!Z87-'IS (F4Q2022)'!Z87</f>
        <v>3.4881347916051482</v>
      </c>
      <c r="AA87" s="72">
        <f>'IS (F1Q23)'!AA87-'IS (F4Q2022)'!AA87</f>
        <v>4.4325875486381392</v>
      </c>
      <c r="AB87" s="73">
        <f>'IS (F1Q23)'!AB87-'IS (F4Q2022)'!AB87</f>
        <v>20.755334402347671</v>
      </c>
      <c r="AC87" s="72">
        <f>'IS (F1Q23)'!AC87-'IS (F4Q2022)'!AC87</f>
        <v>15.801417523758062</v>
      </c>
      <c r="AD87" s="72">
        <f>'IS (F1Q23)'!AD87-'IS (F4Q2022)'!AD87</f>
        <v>4.345401525347711</v>
      </c>
      <c r="AE87" s="72">
        <f>'IS (F1Q23)'!AE87-'IS (F4Q2022)'!AE87</f>
        <v>5.173660065031072</v>
      </c>
      <c r="AF87" s="72">
        <f>'IS (F1Q23)'!AF87-'IS (F4Q2022)'!AF87</f>
        <v>5.1374416342412133</v>
      </c>
      <c r="AG87" s="73">
        <f>'IS (F1Q23)'!AG87-'IS (F4Q2022)'!AG87</f>
        <v>30.457920748378456</v>
      </c>
      <c r="AH87" s="72">
        <f>'IS (F1Q23)'!AH87-'IS (F4Q2022)'!AH87</f>
        <v>17.616141822761165</v>
      </c>
      <c r="AI87" s="72">
        <f>'IS (F1Q23)'!AI87-'IS (F4Q2022)'!AI87</f>
        <v>4.5626716016150795</v>
      </c>
      <c r="AJ87" s="72">
        <f>'IS (F1Q23)'!AJ87-'IS (F4Q2022)'!AJ87</f>
        <v>5.4323430682826483</v>
      </c>
      <c r="AK87" s="72">
        <f>'IS (F1Q23)'!AK87-'IS (F4Q2022)'!AK87</f>
        <v>5.3943137159533308</v>
      </c>
      <c r="AL87" s="73">
        <f>'IS (F1Q23)'!AL87-'IS (F4Q2022)'!AL87</f>
        <v>33.005470208612223</v>
      </c>
      <c r="AM87" s="72">
        <f>'IS (F1Q23)'!AM87-'IS (F4Q2022)'!AM87</f>
        <v>19.502751842447424</v>
      </c>
      <c r="AN87" s="72">
        <f>'IS (F1Q23)'!AN87-'IS (F4Q2022)'!AN87</f>
        <v>4.7908051816957595</v>
      </c>
      <c r="AO87" s="72">
        <f>'IS (F1Q23)'!AO87-'IS (F4Q2022)'!AO87</f>
        <v>5.7039602216966614</v>
      </c>
      <c r="AP87" s="72">
        <f>'IS (F1Q23)'!AP87-'IS (F4Q2022)'!AP87</f>
        <v>5.6640294017510087</v>
      </c>
      <c r="AQ87" s="73">
        <f>'IS (F1Q23)'!AQ87-'IS (F4Q2022)'!AQ87</f>
        <v>35.661546647590512</v>
      </c>
      <c r="AR87" s="72">
        <f>'IS (F1Q23)'!AR87-'IS (F4Q2022)'!AR87</f>
        <v>20.376577039201152</v>
      </c>
      <c r="AS87" s="72">
        <f>'IS (F1Q23)'!AS87-'IS (F4Q2022)'!AS87</f>
        <v>4.9345293371467278</v>
      </c>
      <c r="AT87" s="72">
        <f>'IS (F1Q23)'!AT87-'IS (F4Q2022)'!AT87</f>
        <v>5.8750790283476135</v>
      </c>
      <c r="AU87" s="72">
        <f>'IS (F1Q23)'!AU87-'IS (F4Q2022)'!AU87</f>
        <v>5.8339502838034605</v>
      </c>
      <c r="AV87" s="73">
        <f>'IS (F1Q23)'!AV87-'IS (F4Q2022)'!AV87</f>
        <v>37.020135688498613</v>
      </c>
    </row>
    <row r="88" spans="1:48" s="8" customFormat="1" outlineLevel="1" x14ac:dyDescent="0.3">
      <c r="B88" s="587" t="s">
        <v>119</v>
      </c>
      <c r="C88" s="588"/>
      <c r="D88" s="103">
        <f>'IS (F1Q23)'!D88-'IS (F4Q2022)'!D88</f>
        <v>0</v>
      </c>
      <c r="E88" s="103">
        <f>'IS (F1Q23)'!E88-'IS (F4Q2022)'!E88</f>
        <v>0</v>
      </c>
      <c r="F88" s="103">
        <f>'IS (F1Q23)'!F88-'IS (F4Q2022)'!F88</f>
        <v>0</v>
      </c>
      <c r="G88" s="103">
        <f>'IS (F1Q23)'!G88-'IS (F4Q2022)'!G88</f>
        <v>0</v>
      </c>
      <c r="H88" s="97">
        <f>'IS (F1Q23)'!H88-'IS (F4Q2022)'!H88</f>
        <v>0</v>
      </c>
      <c r="I88" s="103">
        <f>'IS (F1Q23)'!I88-'IS (F4Q2022)'!I88</f>
        <v>0</v>
      </c>
      <c r="J88" s="103">
        <f>'IS (F1Q23)'!J88-'IS (F4Q2022)'!J88</f>
        <v>0</v>
      </c>
      <c r="K88" s="103">
        <f>'IS (F1Q23)'!K88-'IS (F4Q2022)'!K88</f>
        <v>0</v>
      </c>
      <c r="L88" s="50">
        <f>'IS (F1Q23)'!L88-'IS (F4Q2022)'!L88</f>
        <v>0</v>
      </c>
      <c r="M88" s="97">
        <f>'IS (F1Q23)'!M88-'IS (F4Q2022)'!M88</f>
        <v>0</v>
      </c>
      <c r="N88" s="50">
        <f>'IS (F1Q23)'!N88-'IS (F4Q2022)'!N88</f>
        <v>0</v>
      </c>
      <c r="O88" s="50">
        <f>'IS (F1Q23)'!O88-'IS (F4Q2022)'!O88</f>
        <v>0</v>
      </c>
      <c r="P88" s="50">
        <f>'IS (F1Q23)'!P88-'IS (F4Q2022)'!P88</f>
        <v>0</v>
      </c>
      <c r="Q88" s="103">
        <f>'IS (F1Q23)'!Q88-'IS (F4Q2022)'!Q88</f>
        <v>0</v>
      </c>
      <c r="R88" s="97">
        <f>'IS (F1Q23)'!R88-'IS (F4Q2022)'!R88</f>
        <v>0</v>
      </c>
      <c r="S88" s="50">
        <f>'IS (F1Q23)'!S88-'IS (F4Q2022)'!S88</f>
        <v>0</v>
      </c>
      <c r="T88" s="50">
        <f>'IS (F1Q23)'!T88-'IS (F4Q2022)'!T88</f>
        <v>0</v>
      </c>
      <c r="U88" s="50">
        <f>'IS (F1Q23)'!U88-'IS (F4Q2022)'!U88</f>
        <v>0</v>
      </c>
      <c r="V88" s="50">
        <f>'IS (F1Q23)'!V88-'IS (F4Q2022)'!V88</f>
        <v>0</v>
      </c>
      <c r="W88" s="132">
        <f>'IS (F1Q23)'!W88-'IS (F4Q2022)'!W88</f>
        <v>0</v>
      </c>
      <c r="X88" s="50">
        <f>'IS (F1Q23)'!X88-'IS (F4Q2022)'!X88</f>
        <v>1.5399999999999956</v>
      </c>
      <c r="Y88" s="50">
        <f>'IS (F1Q23)'!Y88-'IS (F4Q2022)'!Y88</f>
        <v>0</v>
      </c>
      <c r="Z88" s="50">
        <f>'IS (F1Q23)'!Z88-'IS (F4Q2022)'!Z88</f>
        <v>0</v>
      </c>
      <c r="AA88" s="50">
        <f>'IS (F1Q23)'!AA88-'IS (F4Q2022)'!AA88</f>
        <v>0</v>
      </c>
      <c r="AB88" s="97">
        <f>'IS (F1Q23)'!AB88-'IS (F4Q2022)'!AB88</f>
        <v>1.539999999999992</v>
      </c>
      <c r="AC88" s="50">
        <f>'IS (F1Q23)'!AC88-'IS (F4Q2022)'!AC88</f>
        <v>1.6939999999999955</v>
      </c>
      <c r="AD88" s="50">
        <f>'IS (F1Q23)'!AD88-'IS (F4Q2022)'!AD88</f>
        <v>0</v>
      </c>
      <c r="AE88" s="50">
        <f>'IS (F1Q23)'!AE88-'IS (F4Q2022)'!AE88</f>
        <v>0</v>
      </c>
      <c r="AF88" s="50">
        <f>'IS (F1Q23)'!AF88-'IS (F4Q2022)'!AF88</f>
        <v>0</v>
      </c>
      <c r="AG88" s="97">
        <f>'IS (F1Q23)'!AG88-'IS (F4Q2022)'!AG88</f>
        <v>1.6940000000000026</v>
      </c>
      <c r="AH88" s="50">
        <f>'IS (F1Q23)'!AH88-'IS (F4Q2022)'!AH88</f>
        <v>2.1174999999999997</v>
      </c>
      <c r="AI88" s="50">
        <f>'IS (F1Q23)'!AI88-'IS (F4Q2022)'!AI88</f>
        <v>0</v>
      </c>
      <c r="AJ88" s="50">
        <f>'IS (F1Q23)'!AJ88-'IS (F4Q2022)'!AJ88</f>
        <v>0</v>
      </c>
      <c r="AK88" s="50">
        <f>'IS (F1Q23)'!AK88-'IS (F4Q2022)'!AK88</f>
        <v>0</v>
      </c>
      <c r="AL88" s="97">
        <f>'IS (F1Q23)'!AL88-'IS (F4Q2022)'!AL88</f>
        <v>2.1175000000000068</v>
      </c>
      <c r="AM88" s="50">
        <f>'IS (F1Q23)'!AM88-'IS (F4Q2022)'!AM88</f>
        <v>2.3292500000000018</v>
      </c>
      <c r="AN88" s="50">
        <f>'IS (F1Q23)'!AN88-'IS (F4Q2022)'!AN88</f>
        <v>0</v>
      </c>
      <c r="AO88" s="50">
        <f>'IS (F1Q23)'!AO88-'IS (F4Q2022)'!AO88</f>
        <v>0</v>
      </c>
      <c r="AP88" s="50">
        <f>'IS (F1Q23)'!AP88-'IS (F4Q2022)'!AP88</f>
        <v>0</v>
      </c>
      <c r="AQ88" s="97">
        <f>'IS (F1Q23)'!AQ88-'IS (F4Q2022)'!AQ88</f>
        <v>2.3292500000000018</v>
      </c>
      <c r="AR88" s="50">
        <f>'IS (F1Q23)'!AR88-'IS (F4Q2022)'!AR88</f>
        <v>2.4457125000000062</v>
      </c>
      <c r="AS88" s="50">
        <f>'IS (F1Q23)'!AS88-'IS (F4Q2022)'!AS88</f>
        <v>0</v>
      </c>
      <c r="AT88" s="50">
        <f>'IS (F1Q23)'!AT88-'IS (F4Q2022)'!AT88</f>
        <v>0</v>
      </c>
      <c r="AU88" s="50">
        <f>'IS (F1Q23)'!AU88-'IS (F4Q2022)'!AU88</f>
        <v>0</v>
      </c>
      <c r="AV88" s="97">
        <f>'IS (F1Q23)'!AV88-'IS (F4Q2022)'!AV88</f>
        <v>2.4457124999999991</v>
      </c>
    </row>
    <row r="89" spans="1:48" outlineLevel="1" x14ac:dyDescent="0.3">
      <c r="B89" s="69" t="s">
        <v>50</v>
      </c>
      <c r="C89" s="70"/>
      <c r="D89" s="120">
        <f>'IS (F1Q23)'!D89-'IS (F4Q2022)'!D89</f>
        <v>0</v>
      </c>
      <c r="E89" s="120">
        <f>'IS (F1Q23)'!E89-'IS (F4Q2022)'!E89</f>
        <v>0</v>
      </c>
      <c r="F89" s="120">
        <f>'IS (F1Q23)'!F89-'IS (F4Q2022)'!F89</f>
        <v>0</v>
      </c>
      <c r="G89" s="120">
        <f>'IS (F1Q23)'!G89-'IS (F4Q2022)'!G89</f>
        <v>0</v>
      </c>
      <c r="H89" s="58">
        <f>'IS (F1Q23)'!H89-'IS (F4Q2022)'!H89</f>
        <v>0</v>
      </c>
      <c r="I89" s="120">
        <f>'IS (F1Q23)'!I89-'IS (F4Q2022)'!I89</f>
        <v>0</v>
      </c>
      <c r="J89" s="120">
        <f>'IS (F1Q23)'!J89-'IS (F4Q2022)'!J89</f>
        <v>0</v>
      </c>
      <c r="K89" s="120">
        <f>'IS (F1Q23)'!K89-'IS (F4Q2022)'!K89</f>
        <v>0</v>
      </c>
      <c r="L89" s="120">
        <f>'IS (F1Q23)'!L89-'IS (F4Q2022)'!L89</f>
        <v>0</v>
      </c>
      <c r="M89" s="58">
        <f>'IS (F1Q23)'!M89-'IS (F4Q2022)'!M89</f>
        <v>0</v>
      </c>
      <c r="N89" s="120">
        <f>'IS (F1Q23)'!N89-'IS (F4Q2022)'!N89</f>
        <v>0</v>
      </c>
      <c r="O89" s="120">
        <f>'IS (F1Q23)'!O89-'IS (F4Q2022)'!O89</f>
        <v>0</v>
      </c>
      <c r="P89" s="120">
        <f>'IS (F1Q23)'!P89-'IS (F4Q2022)'!P89</f>
        <v>0</v>
      </c>
      <c r="Q89" s="120">
        <f>'IS (F1Q23)'!Q89-'IS (F4Q2022)'!Q89</f>
        <v>0</v>
      </c>
      <c r="R89" s="58">
        <f>'IS (F1Q23)'!R89-'IS (F4Q2022)'!R89</f>
        <v>0</v>
      </c>
      <c r="S89" s="120">
        <f>'IS (F1Q23)'!S89-'IS (F4Q2022)'!S89</f>
        <v>0</v>
      </c>
      <c r="T89" s="120">
        <f>'IS (F1Q23)'!T89-'IS (F4Q2022)'!T89</f>
        <v>0</v>
      </c>
      <c r="U89" s="120">
        <f>'IS (F1Q23)'!U89-'IS (F4Q2022)'!U89</f>
        <v>0</v>
      </c>
      <c r="V89" s="120">
        <f>'IS (F1Q23)'!V89-'IS (F4Q2022)'!V89</f>
        <v>0</v>
      </c>
      <c r="W89" s="155">
        <f>'IS (F1Q23)'!W89-'IS (F4Q2022)'!W89</f>
        <v>0</v>
      </c>
      <c r="X89" s="71">
        <f>'IS (F1Q23)'!X89-'IS (F4Q2022)'!X89</f>
        <v>4.7094801223241556E-2</v>
      </c>
      <c r="Y89" s="71">
        <f>'IS (F1Q23)'!Y89-'IS (F4Q2022)'!Y89</f>
        <v>0</v>
      </c>
      <c r="Z89" s="71">
        <f>'IS (F1Q23)'!Z89-'IS (F4Q2022)'!Z89</f>
        <v>0</v>
      </c>
      <c r="AA89" s="71">
        <f>'IS (F1Q23)'!AA89-'IS (F4Q2022)'!AA89</f>
        <v>0</v>
      </c>
      <c r="AB89" s="58">
        <f>'IS (F1Q23)'!AB89-'IS (F4Q2022)'!AB89</f>
        <v>0</v>
      </c>
      <c r="AC89" s="71">
        <f>'IS (F1Q23)'!AC89-'IS (F4Q2022)'!AC89</f>
        <v>0</v>
      </c>
      <c r="AD89" s="71">
        <f>'IS (F1Q23)'!AD89-'IS (F4Q2022)'!AD89</f>
        <v>0</v>
      </c>
      <c r="AE89" s="71">
        <f>'IS (F1Q23)'!AE89-'IS (F4Q2022)'!AE89</f>
        <v>0</v>
      </c>
      <c r="AF89" s="71">
        <f>'IS (F1Q23)'!AF89-'IS (F4Q2022)'!AF89</f>
        <v>0</v>
      </c>
      <c r="AG89" s="58">
        <f>'IS (F1Q23)'!AG89-'IS (F4Q2022)'!AG89</f>
        <v>0</v>
      </c>
      <c r="AH89" s="71">
        <f>'IS (F1Q23)'!AH89-'IS (F4Q2022)'!AH89</f>
        <v>0</v>
      </c>
      <c r="AI89" s="71">
        <f>'IS (F1Q23)'!AI89-'IS (F4Q2022)'!AI89</f>
        <v>0</v>
      </c>
      <c r="AJ89" s="71">
        <f>'IS (F1Q23)'!AJ89-'IS (F4Q2022)'!AJ89</f>
        <v>0</v>
      </c>
      <c r="AK89" s="71">
        <f>'IS (F1Q23)'!AK89-'IS (F4Q2022)'!AK89</f>
        <v>0</v>
      </c>
      <c r="AL89" s="58">
        <f>'IS (F1Q23)'!AL89-'IS (F4Q2022)'!AL89</f>
        <v>0</v>
      </c>
      <c r="AM89" s="71">
        <f>'IS (F1Q23)'!AM89-'IS (F4Q2022)'!AM89</f>
        <v>0</v>
      </c>
      <c r="AN89" s="71">
        <f>'IS (F1Q23)'!AN89-'IS (F4Q2022)'!AN89</f>
        <v>0</v>
      </c>
      <c r="AO89" s="71">
        <f>'IS (F1Q23)'!AO89-'IS (F4Q2022)'!AO89</f>
        <v>0</v>
      </c>
      <c r="AP89" s="71">
        <f>'IS (F1Q23)'!AP89-'IS (F4Q2022)'!AP89</f>
        <v>0</v>
      </c>
      <c r="AQ89" s="58">
        <f>'IS (F1Q23)'!AQ89-'IS (F4Q2022)'!AQ89</f>
        <v>0</v>
      </c>
      <c r="AR89" s="71">
        <f>'IS (F1Q23)'!AR89-'IS (F4Q2022)'!AR89</f>
        <v>0</v>
      </c>
      <c r="AS89" s="71">
        <f>'IS (F1Q23)'!AS89-'IS (F4Q2022)'!AS89</f>
        <v>0</v>
      </c>
      <c r="AT89" s="71">
        <f>'IS (F1Q23)'!AT89-'IS (F4Q2022)'!AT89</f>
        <v>0</v>
      </c>
      <c r="AU89" s="71">
        <f>'IS (F1Q23)'!AU89-'IS (F4Q2022)'!AU89</f>
        <v>0</v>
      </c>
      <c r="AV89" s="58">
        <f>'IS (F1Q23)'!AV89-'IS (F4Q2022)'!AV89</f>
        <v>0</v>
      </c>
    </row>
    <row r="90" spans="1:48" outlineLevel="1" x14ac:dyDescent="0.3">
      <c r="B90" s="180" t="s">
        <v>120</v>
      </c>
      <c r="C90" s="207"/>
      <c r="D90" s="101">
        <f>'IS (F1Q23)'!D90-'IS (F4Q2022)'!D90</f>
        <v>0</v>
      </c>
      <c r="E90" s="101">
        <f>'IS (F1Q23)'!E90-'IS (F4Q2022)'!E90</f>
        <v>0</v>
      </c>
      <c r="F90" s="101">
        <f>'IS (F1Q23)'!F90-'IS (F4Q2022)'!F90</f>
        <v>0</v>
      </c>
      <c r="G90" s="101">
        <f>'IS (F1Q23)'!G90-'IS (F4Q2022)'!G90</f>
        <v>0</v>
      </c>
      <c r="H90" s="6">
        <f>'IS (F1Q23)'!H90-'IS (F4Q2022)'!H90</f>
        <v>0</v>
      </c>
      <c r="I90" s="101">
        <f>'IS (F1Q23)'!I90-'IS (F4Q2022)'!I90</f>
        <v>0</v>
      </c>
      <c r="J90" s="101">
        <f>'IS (F1Q23)'!J90-'IS (F4Q2022)'!J90</f>
        <v>0</v>
      </c>
      <c r="K90" s="101">
        <f>'IS (F1Q23)'!K90-'IS (F4Q2022)'!K90</f>
        <v>0</v>
      </c>
      <c r="L90" s="16">
        <f>'IS (F1Q23)'!L90-'IS (F4Q2022)'!L90</f>
        <v>0</v>
      </c>
      <c r="M90" s="6">
        <f>'IS (F1Q23)'!M90-'IS (F4Q2022)'!M90</f>
        <v>0</v>
      </c>
      <c r="N90" s="16">
        <f>'IS (F1Q23)'!N90-'IS (F4Q2022)'!N90</f>
        <v>0</v>
      </c>
      <c r="O90" s="16">
        <f>'IS (F1Q23)'!O90-'IS (F4Q2022)'!O90</f>
        <v>0</v>
      </c>
      <c r="P90" s="16">
        <f>'IS (F1Q23)'!P90-'IS (F4Q2022)'!P90</f>
        <v>0</v>
      </c>
      <c r="Q90" s="16">
        <f>'IS (F1Q23)'!Q90-'IS (F4Q2022)'!Q90</f>
        <v>0</v>
      </c>
      <c r="R90" s="6">
        <f>'IS (F1Q23)'!R90-'IS (F4Q2022)'!R90</f>
        <v>0</v>
      </c>
      <c r="S90" s="16">
        <f>'IS (F1Q23)'!S90-'IS (F4Q2022)'!S90</f>
        <v>0</v>
      </c>
      <c r="T90" s="16">
        <f>'IS (F1Q23)'!T90-'IS (F4Q2022)'!T90</f>
        <v>0</v>
      </c>
      <c r="U90" s="16">
        <f>'IS (F1Q23)'!U90-'IS (F4Q2022)'!U90</f>
        <v>0</v>
      </c>
      <c r="V90" s="16">
        <f>'IS (F1Q23)'!V90-'IS (F4Q2022)'!V90</f>
        <v>0</v>
      </c>
      <c r="W90" s="254">
        <f>'IS (F1Q23)'!W90-'IS (F4Q2022)'!W90</f>
        <v>0</v>
      </c>
      <c r="X90" s="16">
        <f>'IS (F1Q23)'!X90-'IS (F4Q2022)'!X90</f>
        <v>-118</v>
      </c>
      <c r="Y90" s="16">
        <f>'IS (F1Q23)'!Y90-'IS (F4Q2022)'!Y90</f>
        <v>-79</v>
      </c>
      <c r="Z90" s="16">
        <f>'IS (F1Q23)'!Z90-'IS (F4Q2022)'!Z90</f>
        <v>-40</v>
      </c>
      <c r="AA90" s="16">
        <f>'IS (F1Q23)'!AA90-'IS (F4Q2022)'!AA90</f>
        <v>-5</v>
      </c>
      <c r="AB90" s="254">
        <f>'IS (F1Q23)'!AB90-'IS (F4Q2022)'!AB90</f>
        <v>-2.7150304083406462E-4</v>
      </c>
      <c r="AC90" s="16">
        <f>'IS (F1Q23)'!AC90-'IS (F4Q2022)'!AC90</f>
        <v>-5</v>
      </c>
      <c r="AD90" s="16">
        <f>'IS (F1Q23)'!AD90-'IS (F4Q2022)'!AD90</f>
        <v>-5</v>
      </c>
      <c r="AE90" s="16">
        <f>'IS (F1Q23)'!AE90-'IS (F4Q2022)'!AE90</f>
        <v>-5</v>
      </c>
      <c r="AF90" s="16">
        <f>'IS (F1Q23)'!AF90-'IS (F4Q2022)'!AF90</f>
        <v>-5</v>
      </c>
      <c r="AG90" s="254">
        <f>'IS (F1Q23)'!AG90-'IS (F4Q2022)'!AG90</f>
        <v>2.4530246029275116E-5</v>
      </c>
      <c r="AH90" s="16">
        <f>'IS (F1Q23)'!AH90-'IS (F4Q2022)'!AH90</f>
        <v>-5</v>
      </c>
      <c r="AI90" s="16">
        <f>'IS (F1Q23)'!AI90-'IS (F4Q2022)'!AI90</f>
        <v>-5</v>
      </c>
      <c r="AJ90" s="16">
        <f>'IS (F1Q23)'!AJ90-'IS (F4Q2022)'!AJ90</f>
        <v>-5</v>
      </c>
      <c r="AK90" s="16">
        <f>'IS (F1Q23)'!AK90-'IS (F4Q2022)'!AK90</f>
        <v>-5</v>
      </c>
      <c r="AL90" s="254">
        <f>'IS (F1Q23)'!AL90-'IS (F4Q2022)'!AL90</f>
        <v>2.0999376377214829E-5</v>
      </c>
      <c r="AM90" s="16">
        <f>'IS (F1Q23)'!AM90-'IS (F4Q2022)'!AM90</f>
        <v>-5</v>
      </c>
      <c r="AN90" s="16">
        <f>'IS (F1Q23)'!AN90-'IS (F4Q2022)'!AN90</f>
        <v>-5</v>
      </c>
      <c r="AO90" s="16">
        <f>'IS (F1Q23)'!AO90-'IS (F4Q2022)'!AO90</f>
        <v>-5</v>
      </c>
      <c r="AP90" s="16">
        <f>'IS (F1Q23)'!AP90-'IS (F4Q2022)'!AP90</f>
        <v>-5</v>
      </c>
      <c r="AQ90" s="254">
        <f>'IS (F1Q23)'!AQ90-'IS (F4Q2022)'!AQ90</f>
        <v>6.4479094401895254E-6</v>
      </c>
      <c r="AR90" s="16">
        <f>'IS (F1Q23)'!AR90-'IS (F4Q2022)'!AR90</f>
        <v>-5</v>
      </c>
      <c r="AS90" s="16">
        <f>'IS (F1Q23)'!AS90-'IS (F4Q2022)'!AS90</f>
        <v>-5</v>
      </c>
      <c r="AT90" s="16">
        <f>'IS (F1Q23)'!AT90-'IS (F4Q2022)'!AT90</f>
        <v>-5</v>
      </c>
      <c r="AU90" s="16">
        <f>'IS (F1Q23)'!AU90-'IS (F4Q2022)'!AU90</f>
        <v>-5</v>
      </c>
      <c r="AV90" s="254">
        <f>'IS (F1Q23)'!AV90-'IS (F4Q2022)'!AV90</f>
        <v>6.0585341592686581E-6</v>
      </c>
    </row>
    <row r="91" spans="1:48" outlineLevel="1" x14ac:dyDescent="0.3">
      <c r="B91" s="180" t="s">
        <v>121</v>
      </c>
      <c r="C91" s="207"/>
      <c r="D91" s="101">
        <f>'IS (F1Q23)'!D91-'IS (F4Q2022)'!D91</f>
        <v>0</v>
      </c>
      <c r="E91" s="101">
        <f>'IS (F1Q23)'!E91-'IS (F4Q2022)'!E91</f>
        <v>0</v>
      </c>
      <c r="F91" s="101">
        <f>'IS (F1Q23)'!F91-'IS (F4Q2022)'!F91</f>
        <v>0</v>
      </c>
      <c r="G91" s="101">
        <f>'IS (F1Q23)'!G91-'IS (F4Q2022)'!G91</f>
        <v>0</v>
      </c>
      <c r="H91" s="122">
        <f>'IS (F1Q23)'!H91-'IS (F4Q2022)'!H91</f>
        <v>0</v>
      </c>
      <c r="I91" s="101">
        <f>'IS (F1Q23)'!I91-'IS (F4Q2022)'!I91</f>
        <v>0</v>
      </c>
      <c r="J91" s="101">
        <f>'IS (F1Q23)'!J91-'IS (F4Q2022)'!J91</f>
        <v>0</v>
      </c>
      <c r="K91" s="101">
        <f>'IS (F1Q23)'!K91-'IS (F4Q2022)'!K91</f>
        <v>0</v>
      </c>
      <c r="L91" s="101">
        <f>'IS (F1Q23)'!L91-'IS (F4Q2022)'!L91</f>
        <v>0</v>
      </c>
      <c r="M91" s="122">
        <f>'IS (F1Q23)'!M91-'IS (F4Q2022)'!M91</f>
        <v>0</v>
      </c>
      <c r="N91" s="101">
        <f>'IS (F1Q23)'!N91-'IS (F4Q2022)'!N91</f>
        <v>0</v>
      </c>
      <c r="O91" s="101">
        <f>'IS (F1Q23)'!O91-'IS (F4Q2022)'!O91</f>
        <v>0</v>
      </c>
      <c r="P91" s="101">
        <f>'IS (F1Q23)'!P91-'IS (F4Q2022)'!P91</f>
        <v>0</v>
      </c>
      <c r="Q91" s="101">
        <f>'IS (F1Q23)'!Q91-'IS (F4Q2022)'!Q91</f>
        <v>0</v>
      </c>
      <c r="R91" s="122">
        <f>'IS (F1Q23)'!R91-'IS (F4Q2022)'!R91</f>
        <v>0</v>
      </c>
      <c r="S91" s="16">
        <f>'IS (F1Q23)'!S91-'IS (F4Q2022)'!S91</f>
        <v>0</v>
      </c>
      <c r="T91" s="16">
        <f>'IS (F1Q23)'!T91-'IS (F4Q2022)'!T91</f>
        <v>0</v>
      </c>
      <c r="U91" s="16">
        <f>'IS (F1Q23)'!U91-'IS (F4Q2022)'!U91</f>
        <v>0</v>
      </c>
      <c r="V91" s="16">
        <f>'IS (F1Q23)'!V91-'IS (F4Q2022)'!V91</f>
        <v>0</v>
      </c>
      <c r="W91" s="122">
        <f>'IS (F1Q23)'!W91-'IS (F4Q2022)'!W91</f>
        <v>0</v>
      </c>
      <c r="X91" s="16">
        <f>'IS (F1Q23)'!X91-'IS (F4Q2022)'!X91</f>
        <v>-118</v>
      </c>
      <c r="Y91" s="16">
        <f>'IS (F1Q23)'!Y91-'IS (F4Q2022)'!Y91</f>
        <v>39</v>
      </c>
      <c r="Z91" s="16">
        <f>'IS (F1Q23)'!Z91-'IS (F4Q2022)'!Z91</f>
        <v>39</v>
      </c>
      <c r="AA91" s="16">
        <f>'IS (F1Q23)'!AA91-'IS (F4Q2022)'!AA91</f>
        <v>35</v>
      </c>
      <c r="AB91" s="26">
        <f>'IS (F1Q23)'!AB91-'IS (F4Q2022)'!AB91</f>
        <v>-5</v>
      </c>
      <c r="AC91" s="16">
        <f>'IS (F1Q23)'!AC91-'IS (F4Q2022)'!AC91</f>
        <v>0</v>
      </c>
      <c r="AD91" s="16">
        <f>'IS (F1Q23)'!AD91-'IS (F4Q2022)'!AD91</f>
        <v>0</v>
      </c>
      <c r="AE91" s="16">
        <f>'IS (F1Q23)'!AE91-'IS (F4Q2022)'!AE91</f>
        <v>0</v>
      </c>
      <c r="AF91" s="16">
        <f>'IS (F1Q23)'!AF91-'IS (F4Q2022)'!AF91</f>
        <v>0</v>
      </c>
      <c r="AG91" s="26">
        <f>'IS (F1Q23)'!AG91-'IS (F4Q2022)'!AG91</f>
        <v>0</v>
      </c>
      <c r="AH91" s="16">
        <f>'IS (F1Q23)'!AH91-'IS (F4Q2022)'!AH91</f>
        <v>0</v>
      </c>
      <c r="AI91" s="16">
        <f>'IS (F1Q23)'!AI91-'IS (F4Q2022)'!AI91</f>
        <v>0</v>
      </c>
      <c r="AJ91" s="16">
        <f>'IS (F1Q23)'!AJ91-'IS (F4Q2022)'!AJ91</f>
        <v>0</v>
      </c>
      <c r="AK91" s="16">
        <f>'IS (F1Q23)'!AK91-'IS (F4Q2022)'!AK91</f>
        <v>0</v>
      </c>
      <c r="AL91" s="26">
        <f>'IS (F1Q23)'!AL91-'IS (F4Q2022)'!AL91</f>
        <v>0</v>
      </c>
      <c r="AM91" s="16">
        <f>'IS (F1Q23)'!AM91-'IS (F4Q2022)'!AM91</f>
        <v>0</v>
      </c>
      <c r="AN91" s="16">
        <f>'IS (F1Q23)'!AN91-'IS (F4Q2022)'!AN91</f>
        <v>0</v>
      </c>
      <c r="AO91" s="16">
        <f>'IS (F1Q23)'!AO91-'IS (F4Q2022)'!AO91</f>
        <v>0</v>
      </c>
      <c r="AP91" s="16">
        <f>'IS (F1Q23)'!AP91-'IS (F4Q2022)'!AP91</f>
        <v>0</v>
      </c>
      <c r="AQ91" s="26">
        <f>'IS (F1Q23)'!AQ91-'IS (F4Q2022)'!AQ91</f>
        <v>0</v>
      </c>
      <c r="AR91" s="16">
        <f>'IS (F1Q23)'!AR91-'IS (F4Q2022)'!AR91</f>
        <v>0</v>
      </c>
      <c r="AS91" s="16">
        <f>'IS (F1Q23)'!AS91-'IS (F4Q2022)'!AS91</f>
        <v>0</v>
      </c>
      <c r="AT91" s="16">
        <f>'IS (F1Q23)'!AT91-'IS (F4Q2022)'!AT91</f>
        <v>0</v>
      </c>
      <c r="AU91" s="16">
        <f>'IS (F1Q23)'!AU91-'IS (F4Q2022)'!AU91</f>
        <v>0</v>
      </c>
      <c r="AV91" s="26">
        <f>'IS (F1Q23)'!AV91-'IS (F4Q2022)'!AV91</f>
        <v>0</v>
      </c>
    </row>
    <row r="92" spans="1:48" outlineLevel="1" x14ac:dyDescent="0.3">
      <c r="B92" s="605" t="s">
        <v>122</v>
      </c>
      <c r="C92" s="606"/>
      <c r="D92" s="115">
        <f>'IS (F1Q23)'!D92-'IS (F4Q2022)'!D92</f>
        <v>0</v>
      </c>
      <c r="E92" s="115">
        <f>'IS (F1Q23)'!E92-'IS (F4Q2022)'!E92</f>
        <v>0</v>
      </c>
      <c r="F92" s="115">
        <f>'IS (F1Q23)'!F92-'IS (F4Q2022)'!F92</f>
        <v>0</v>
      </c>
      <c r="G92" s="115">
        <f>'IS (F1Q23)'!G92-'IS (F4Q2022)'!G92</f>
        <v>0</v>
      </c>
      <c r="H92" s="213">
        <f>'IS (F1Q23)'!H92-'IS (F4Q2022)'!H92</f>
        <v>0</v>
      </c>
      <c r="I92" s="115">
        <f>'IS (F1Q23)'!I92-'IS (F4Q2022)'!I92</f>
        <v>0</v>
      </c>
      <c r="J92" s="115">
        <f>'IS (F1Q23)'!J92-'IS (F4Q2022)'!J92</f>
        <v>0</v>
      </c>
      <c r="K92" s="115">
        <f>'IS (F1Q23)'!K92-'IS (F4Q2022)'!K92</f>
        <v>0</v>
      </c>
      <c r="L92" s="115">
        <f>'IS (F1Q23)'!L92-'IS (F4Q2022)'!L92</f>
        <v>0</v>
      </c>
      <c r="M92" s="213">
        <f>'IS (F1Q23)'!M92-'IS (F4Q2022)'!M92</f>
        <v>0</v>
      </c>
      <c r="N92" s="115">
        <f>'IS (F1Q23)'!N92-'IS (F4Q2022)'!N92</f>
        <v>0</v>
      </c>
      <c r="O92" s="115">
        <f>'IS (F1Q23)'!O92-'IS (F4Q2022)'!O92</f>
        <v>0</v>
      </c>
      <c r="P92" s="115">
        <f>'IS (F1Q23)'!P92-'IS (F4Q2022)'!P92</f>
        <v>0</v>
      </c>
      <c r="Q92" s="115">
        <f>'IS (F1Q23)'!Q92-'IS (F4Q2022)'!Q92</f>
        <v>0</v>
      </c>
      <c r="R92" s="73">
        <f>'IS (F1Q23)'!R92-'IS (F4Q2022)'!R92</f>
        <v>0</v>
      </c>
      <c r="S92" s="72">
        <f>'IS (F1Q23)'!S92-'IS (F4Q2022)'!S92</f>
        <v>0</v>
      </c>
      <c r="T92" s="72">
        <f>'IS (F1Q23)'!T92-'IS (F4Q2022)'!T92</f>
        <v>0</v>
      </c>
      <c r="U92" s="72">
        <f>'IS (F1Q23)'!U92-'IS (F4Q2022)'!U92</f>
        <v>0</v>
      </c>
      <c r="V92" s="72">
        <f>'IS (F1Q23)'!V92-'IS (F4Q2022)'!V92</f>
        <v>0</v>
      </c>
      <c r="W92" s="213">
        <f>'IS (F1Q23)'!W92-'IS (F4Q2022)'!W92</f>
        <v>0</v>
      </c>
      <c r="X92" s="72">
        <f>'IS (F1Q23)'!X92-'IS (F4Q2022)'!X92</f>
        <v>-193.42145436672672</v>
      </c>
      <c r="Y92" s="72">
        <f>'IS (F1Q23)'!Y92-'IS (F4Q2022)'!Y92</f>
        <v>-23.107727738915401</v>
      </c>
      <c r="Z92" s="72">
        <f>'IS (F1Q23)'!Z92-'IS (F4Q2022)'!Z92</f>
        <v>-20.389748114824215</v>
      </c>
      <c r="AA92" s="72">
        <f>'IS (F1Q23)'!AA92-'IS (F4Q2022)'!AA92</f>
        <v>-19.028516932763068</v>
      </c>
      <c r="AB92" s="73">
        <f>'IS (F1Q23)'!AB92-'IS (F4Q2022)'!AB92</f>
        <v>-255.94744715323031</v>
      </c>
      <c r="AC92" s="72">
        <f>'IS (F1Q23)'!AC92-'IS (F4Q2022)'!AC92</f>
        <v>-263.48768225375352</v>
      </c>
      <c r="AD92" s="72">
        <f>'IS (F1Q23)'!AD92-'IS (F4Q2022)'!AD92</f>
        <v>-14.461285576563114</v>
      </c>
      <c r="AE92" s="72">
        <f>'IS (F1Q23)'!AE92-'IS (F4Q2022)'!AE92</f>
        <v>-15.113426709668602</v>
      </c>
      <c r="AF92" s="72">
        <f>'IS (F1Q23)'!AF92-'IS (F4Q2022)'!AF92</f>
        <v>-17.768005109442583</v>
      </c>
      <c r="AG92" s="73">
        <f>'IS (F1Q23)'!AG92-'IS (F4Q2022)'!AG92</f>
        <v>-310.83039964942691</v>
      </c>
      <c r="AH92" s="72">
        <f>'IS (F1Q23)'!AH92-'IS (F4Q2022)'!AH92</f>
        <v>-307.16367897716873</v>
      </c>
      <c r="AI92" s="72">
        <f>'IS (F1Q23)'!AI92-'IS (F4Q2022)'!AI92</f>
        <v>-15.184349855391247</v>
      </c>
      <c r="AJ92" s="72">
        <f>'IS (F1Q23)'!AJ92-'IS (F4Q2022)'!AJ92</f>
        <v>-15.869098045151532</v>
      </c>
      <c r="AK92" s="72">
        <f>'IS (F1Q23)'!AK92-'IS (F4Q2022)'!AK92</f>
        <v>-18.656405364914917</v>
      </c>
      <c r="AL92" s="73">
        <f>'IS (F1Q23)'!AL92-'IS (F4Q2022)'!AL92</f>
        <v>-356.87353224262733</v>
      </c>
      <c r="AM92" s="72">
        <f>'IS (F1Q23)'!AM92-'IS (F4Q2022)'!AM92</f>
        <v>-353.6432701035219</v>
      </c>
      <c r="AN92" s="72">
        <f>'IS (F1Q23)'!AN92-'IS (F4Q2022)'!AN92</f>
        <v>-15.943567348160286</v>
      </c>
      <c r="AO92" s="72">
        <f>'IS (F1Q23)'!AO92-'IS (F4Q2022)'!AO92</f>
        <v>-16.662552947409495</v>
      </c>
      <c r="AP92" s="72">
        <f>'IS (F1Q23)'!AP92-'IS (F4Q2022)'!AP92</f>
        <v>-19.589225633161277</v>
      </c>
      <c r="AQ92" s="73">
        <f>'IS (F1Q23)'!AQ92-'IS (F4Q2022)'!AQ92</f>
        <v>-405.83861603225159</v>
      </c>
      <c r="AR92" s="72">
        <f>'IS (F1Q23)'!AR92-'IS (F4Q2022)'!AR92</f>
        <v>-380.74379064584491</v>
      </c>
      <c r="AS92" s="72">
        <f>'IS (F1Q23)'!AS92-'IS (F4Q2022)'!AS92</f>
        <v>-16.421874368605586</v>
      </c>
      <c r="AT92" s="72">
        <f>'IS (F1Q23)'!AT92-'IS (F4Q2022)'!AT92</f>
        <v>-17.162429535831507</v>
      </c>
      <c r="AU92" s="72">
        <f>'IS (F1Q23)'!AU92-'IS (F4Q2022)'!AU92</f>
        <v>-20.17690240215552</v>
      </c>
      <c r="AV92" s="73">
        <f>'IS (F1Q23)'!AV92-'IS (F4Q2022)'!AV92</f>
        <v>-434.50499695243889</v>
      </c>
    </row>
    <row r="93" spans="1:48" outlineLevel="1" x14ac:dyDescent="0.3">
      <c r="B93" s="607" t="s">
        <v>100</v>
      </c>
      <c r="C93" s="608"/>
      <c r="D93" s="105">
        <f>'IS (F1Q23)'!D93-'IS (F4Q2022)'!D93</f>
        <v>0</v>
      </c>
      <c r="E93" s="105">
        <f>'IS (F1Q23)'!E93-'IS (F4Q2022)'!E93</f>
        <v>0</v>
      </c>
      <c r="F93" s="105">
        <f>'IS (F1Q23)'!F93-'IS (F4Q2022)'!F93</f>
        <v>0</v>
      </c>
      <c r="G93" s="105">
        <f>'IS (F1Q23)'!G93-'IS (F4Q2022)'!G93</f>
        <v>0</v>
      </c>
      <c r="H93" s="129">
        <f>'IS (F1Q23)'!H93-'IS (F4Q2022)'!H93</f>
        <v>0</v>
      </c>
      <c r="I93" s="105">
        <f>'IS (F1Q23)'!I93-'IS (F4Q2022)'!I93</f>
        <v>0</v>
      </c>
      <c r="J93" s="105">
        <f>'IS (F1Q23)'!J93-'IS (F4Q2022)'!J93</f>
        <v>0</v>
      </c>
      <c r="K93" s="105">
        <f>'IS (F1Q23)'!K93-'IS (F4Q2022)'!K93</f>
        <v>0</v>
      </c>
      <c r="L93" s="105">
        <f>'IS (F1Q23)'!L93-'IS (F4Q2022)'!L93</f>
        <v>0</v>
      </c>
      <c r="M93" s="129">
        <f>'IS (F1Q23)'!M93-'IS (F4Q2022)'!M93</f>
        <v>0</v>
      </c>
      <c r="N93" s="105">
        <f>'IS (F1Q23)'!N93-'IS (F4Q2022)'!N93</f>
        <v>0</v>
      </c>
      <c r="O93" s="105">
        <f>'IS (F1Q23)'!O93-'IS (F4Q2022)'!O93</f>
        <v>0</v>
      </c>
      <c r="P93" s="105">
        <f>'IS (F1Q23)'!P93-'IS (F4Q2022)'!P93</f>
        <v>0</v>
      </c>
      <c r="Q93" s="105">
        <f>'IS (F1Q23)'!Q93-'IS (F4Q2022)'!Q93</f>
        <v>0</v>
      </c>
      <c r="R93" s="76">
        <f>'IS (F1Q23)'!R93-'IS (F4Q2022)'!R93</f>
        <v>0</v>
      </c>
      <c r="S93" s="48">
        <f>'IS (F1Q23)'!S93-'IS (F4Q2022)'!S93</f>
        <v>0</v>
      </c>
      <c r="T93" s="48">
        <f>'IS (F1Q23)'!T93-'IS (F4Q2022)'!T93</f>
        <v>0</v>
      </c>
      <c r="U93" s="48">
        <f>'IS (F1Q23)'!U93-'IS (F4Q2022)'!U93</f>
        <v>0</v>
      </c>
      <c r="V93" s="48">
        <f>'IS (F1Q23)'!V93-'IS (F4Q2022)'!V93</f>
        <v>0</v>
      </c>
      <c r="W93" s="76">
        <f>'IS (F1Q23)'!W93-'IS (F4Q2022)'!W93</f>
        <v>0</v>
      </c>
      <c r="X93" s="48">
        <f>'IS (F1Q23)'!X93-'IS (F4Q2022)'!X93</f>
        <v>-58.889626058937665</v>
      </c>
      <c r="Y93" s="48">
        <f>'IS (F1Q23)'!Y93-'IS (F4Q2022)'!Y93</f>
        <v>48.058436225326091</v>
      </c>
      <c r="Z93" s="48">
        <f>'IS (F1Q23)'!Z93-'IS (F4Q2022)'!Z93</f>
        <v>-59.63253544148904</v>
      </c>
      <c r="AA93" s="48">
        <f>'IS (F1Q23)'!AA93-'IS (F4Q2022)'!AA93</f>
        <v>-101.38256948010303</v>
      </c>
      <c r="AB93" s="76">
        <f>'IS (F1Q23)'!AB93-'IS (F4Q2022)'!AB93</f>
        <v>-171.84629475520342</v>
      </c>
      <c r="AC93" s="48">
        <f>'IS (F1Q23)'!AC93-'IS (F4Q2022)'!AC93</f>
        <v>-75.538069714276844</v>
      </c>
      <c r="AD93" s="48">
        <f>'IS (F1Q23)'!AD93-'IS (F4Q2022)'!AD93</f>
        <v>61.089692550236578</v>
      </c>
      <c r="AE93" s="48">
        <f>'IS (F1Q23)'!AE93-'IS (F4Q2022)'!AE93</f>
        <v>-66.890030236798452</v>
      </c>
      <c r="AF93" s="48">
        <f>'IS (F1Q23)'!AF93-'IS (F4Q2022)'!AF93</f>
        <v>-116.95698613364675</v>
      </c>
      <c r="AG93" s="76">
        <f>'IS (F1Q23)'!AG93-'IS (F4Q2022)'!AG93</f>
        <v>-198.29539353448536</v>
      </c>
      <c r="AH93" s="48">
        <f>'IS (F1Q23)'!AH93-'IS (F4Q2022)'!AH93</f>
        <v>-87.439176122096683</v>
      </c>
      <c r="AI93" s="48">
        <f>'IS (F1Q23)'!AI93-'IS (F4Q2022)'!AI93</f>
        <v>71.647308383584686</v>
      </c>
      <c r="AJ93" s="48">
        <f>'IS (F1Q23)'!AJ93-'IS (F4Q2022)'!AJ93</f>
        <v>-76.933850859341874</v>
      </c>
      <c r="AK93" s="48">
        <f>'IS (F1Q23)'!AK93-'IS (F4Q2022)'!AK93</f>
        <v>-134.96386265013939</v>
      </c>
      <c r="AL93" s="76">
        <f>'IS (F1Q23)'!AL93-'IS (F4Q2022)'!AL93</f>
        <v>-227.68958124799383</v>
      </c>
      <c r="AM93" s="48">
        <f>'IS (F1Q23)'!AM93-'IS (F4Q2022)'!AM93</f>
        <v>-100.7044860905678</v>
      </c>
      <c r="AN93" s="48">
        <f>'IS (F1Q23)'!AN93-'IS (F4Q2022)'!AN93</f>
        <v>81.481371676766116</v>
      </c>
      <c r="AO93" s="48">
        <f>'IS (F1Q23)'!AO93-'IS (F4Q2022)'!AO93</f>
        <v>-85.455992933134098</v>
      </c>
      <c r="AP93" s="48">
        <f>'IS (F1Q23)'!AP93-'IS (F4Q2022)'!AP93</f>
        <v>-148.18538835868799</v>
      </c>
      <c r="AQ93" s="76">
        <f>'IS (F1Q23)'!AQ93-'IS (F4Q2022)'!AQ93</f>
        <v>-252.86449570562309</v>
      </c>
      <c r="AR93" s="48">
        <f>'IS (F1Q23)'!AR93-'IS (F4Q2022)'!AR93</f>
        <v>-108.50156580216094</v>
      </c>
      <c r="AS93" s="48">
        <f>'IS (F1Q23)'!AS93-'IS (F4Q2022)'!AS93</f>
        <v>87.460700949961847</v>
      </c>
      <c r="AT93" s="48">
        <f>'IS (F1Q23)'!AT93-'IS (F4Q2022)'!AT93</f>
        <v>-91.225799030496546</v>
      </c>
      <c r="AU93" s="48">
        <f>'IS (F1Q23)'!AU93-'IS (F4Q2022)'!AU93</f>
        <v>-158.34183267770118</v>
      </c>
      <c r="AV93" s="76">
        <f>'IS (F1Q23)'!AV93-'IS (F4Q2022)'!AV93</f>
        <v>-270.60849656039773</v>
      </c>
    </row>
    <row r="94" spans="1:48" s="183" customFormat="1" outlineLevel="1" x14ac:dyDescent="0.3">
      <c r="A94" s="238"/>
      <c r="B94" s="181" t="s">
        <v>151</v>
      </c>
      <c r="C94" s="182"/>
      <c r="D94" s="167">
        <f>'IS (F1Q23)'!D94-'IS (F4Q2022)'!D94</f>
        <v>0</v>
      </c>
      <c r="E94" s="167">
        <f>'IS (F1Q23)'!E94-'IS (F4Q2022)'!E94</f>
        <v>0</v>
      </c>
      <c r="F94" s="167">
        <f>'IS (F1Q23)'!F94-'IS (F4Q2022)'!F94</f>
        <v>0</v>
      </c>
      <c r="G94" s="167">
        <f>'IS (F1Q23)'!G94-'IS (F4Q2022)'!G94</f>
        <v>0</v>
      </c>
      <c r="H94" s="186">
        <f>'IS (F1Q23)'!H94-'IS (F4Q2022)'!H94</f>
        <v>0</v>
      </c>
      <c r="I94" s="167">
        <f>'IS (F1Q23)'!I94-'IS (F4Q2022)'!I94</f>
        <v>0</v>
      </c>
      <c r="J94" s="167">
        <f>'IS (F1Q23)'!J94-'IS (F4Q2022)'!J94</f>
        <v>0</v>
      </c>
      <c r="K94" s="167">
        <f>'IS (F1Q23)'!K94-'IS (F4Q2022)'!K94</f>
        <v>0</v>
      </c>
      <c r="L94" s="167">
        <f>'IS (F1Q23)'!L94-'IS (F4Q2022)'!L94</f>
        <v>0</v>
      </c>
      <c r="M94" s="186">
        <f>'IS (F1Q23)'!M94-'IS (F4Q2022)'!M94</f>
        <v>0</v>
      </c>
      <c r="N94" s="167">
        <f>'IS (F1Q23)'!N94-'IS (F4Q2022)'!N94</f>
        <v>0</v>
      </c>
      <c r="O94" s="167">
        <f>'IS (F1Q23)'!O94-'IS (F4Q2022)'!O94</f>
        <v>0</v>
      </c>
      <c r="P94" s="167">
        <f>'IS (F1Q23)'!P94-'IS (F4Q2022)'!P94</f>
        <v>0</v>
      </c>
      <c r="Q94" s="167">
        <f>'IS (F1Q23)'!Q94-'IS (F4Q2022)'!Q94</f>
        <v>0</v>
      </c>
      <c r="R94" s="188">
        <f>'IS (F1Q23)'!R94-'IS (F4Q2022)'!R94</f>
        <v>0</v>
      </c>
      <c r="S94" s="167">
        <f>'IS (F1Q23)'!S94-'IS (F4Q2022)'!S94</f>
        <v>0</v>
      </c>
      <c r="T94" s="167">
        <f>'IS (F1Q23)'!T94-'IS (F4Q2022)'!T94</f>
        <v>0</v>
      </c>
      <c r="U94" s="167">
        <f>'IS (F1Q23)'!U94-'IS (F4Q2022)'!U94</f>
        <v>0</v>
      </c>
      <c r="V94" s="167">
        <f>'IS (F1Q23)'!V94-'IS (F4Q2022)'!V94</f>
        <v>0</v>
      </c>
      <c r="W94" s="188">
        <f>'IS (F1Q23)'!W94-'IS (F4Q2022)'!W94</f>
        <v>0</v>
      </c>
      <c r="X94" s="189">
        <f>'IS (F1Q23)'!X94-'IS (F4Q2022)'!X94</f>
        <v>5.0432053392499565E-3</v>
      </c>
      <c r="Y94" s="189">
        <f>'IS (F1Q23)'!Y94-'IS (F4Q2022)'!Y94</f>
        <v>3.0000000000000027E-2</v>
      </c>
      <c r="Z94" s="189">
        <f>'IS (F1Q23)'!Z94-'IS (F4Q2022)'!Z94</f>
        <v>-2.5000000000000022E-2</v>
      </c>
      <c r="AA94" s="189">
        <f>'IS (F1Q23)'!AA94-'IS (F4Q2022)'!AA94</f>
        <v>-3.999999999999998E-2</v>
      </c>
      <c r="AB94" s="188">
        <f>'IS (F1Q23)'!AB94-'IS (F4Q2022)'!AB94</f>
        <v>-1.0578943839815891E-2</v>
      </c>
      <c r="AC94" s="189">
        <f>'IS (F1Q23)'!AC94-'IS (F4Q2022)'!AC94</f>
        <v>5.0432053392499565E-3</v>
      </c>
      <c r="AD94" s="189">
        <f>'IS (F1Q23)'!AD94-'IS (F4Q2022)'!AD94</f>
        <v>3.0000000000000027E-2</v>
      </c>
      <c r="AE94" s="189">
        <f>'IS (F1Q23)'!AE94-'IS (F4Q2022)'!AE94</f>
        <v>-2.5000000000000022E-2</v>
      </c>
      <c r="AF94" s="189">
        <f>'IS (F1Q23)'!AF94-'IS (F4Q2022)'!AF94</f>
        <v>-3.999999999999998E-2</v>
      </c>
      <c r="AG94" s="188">
        <f>'IS (F1Q23)'!AG94-'IS (F4Q2022)'!AG94</f>
        <v>-9.9404166777551928E-3</v>
      </c>
      <c r="AH94" s="189">
        <f>'IS (F1Q23)'!AH94-'IS (F4Q2022)'!AH94</f>
        <v>5.0432053392499565E-3</v>
      </c>
      <c r="AI94" s="189">
        <f>'IS (F1Q23)'!AI94-'IS (F4Q2022)'!AI94</f>
        <v>3.0000000000000027E-2</v>
      </c>
      <c r="AJ94" s="189">
        <f>'IS (F1Q23)'!AJ94-'IS (F4Q2022)'!AJ94</f>
        <v>-2.5000000000000022E-2</v>
      </c>
      <c r="AK94" s="189">
        <f>'IS (F1Q23)'!AK94-'IS (F4Q2022)'!AK94</f>
        <v>-3.999999999999998E-2</v>
      </c>
      <c r="AL94" s="188">
        <f>'IS (F1Q23)'!AL94-'IS (F4Q2022)'!AL94</f>
        <v>-9.947088374281543E-3</v>
      </c>
      <c r="AM94" s="189">
        <f>'IS (F1Q23)'!AM94-'IS (F4Q2022)'!AM94</f>
        <v>5.0432053392499565E-3</v>
      </c>
      <c r="AN94" s="189">
        <f>'IS (F1Q23)'!AN94-'IS (F4Q2022)'!AN94</f>
        <v>3.0000000000000027E-2</v>
      </c>
      <c r="AO94" s="189">
        <f>'IS (F1Q23)'!AO94-'IS (F4Q2022)'!AO94</f>
        <v>-2.5000000000000022E-2</v>
      </c>
      <c r="AP94" s="189">
        <f>'IS (F1Q23)'!AP94-'IS (F4Q2022)'!AP94</f>
        <v>-3.999999999999998E-2</v>
      </c>
      <c r="AQ94" s="188">
        <f>'IS (F1Q23)'!AQ94-'IS (F4Q2022)'!AQ94</f>
        <v>-9.5981157362907132E-3</v>
      </c>
      <c r="AR94" s="189">
        <f>'IS (F1Q23)'!AR94-'IS (F4Q2022)'!AR94</f>
        <v>5.0432053392499565E-3</v>
      </c>
      <c r="AS94" s="189">
        <f>'IS (F1Q23)'!AS94-'IS (F4Q2022)'!AS94</f>
        <v>3.0000000000000027E-2</v>
      </c>
      <c r="AT94" s="189">
        <f>'IS (F1Q23)'!AT94-'IS (F4Q2022)'!AT94</f>
        <v>-2.5000000000000022E-2</v>
      </c>
      <c r="AU94" s="189">
        <f>'IS (F1Q23)'!AU94-'IS (F4Q2022)'!AU94</f>
        <v>-3.999999999999998E-2</v>
      </c>
      <c r="AV94" s="188">
        <f>'IS (F1Q23)'!AV94-'IS (F4Q2022)'!AV94</f>
        <v>-9.589690950170815E-3</v>
      </c>
    </row>
    <row r="95" spans="1:48" outlineLevel="1" x14ac:dyDescent="0.3">
      <c r="B95" s="180" t="s">
        <v>32</v>
      </c>
      <c r="C95" s="18"/>
      <c r="D95" s="105">
        <f>'IS (F1Q23)'!D95-'IS (F4Q2022)'!D95</f>
        <v>0</v>
      </c>
      <c r="E95" s="105">
        <f>'IS (F1Q23)'!E95-'IS (F4Q2022)'!E95</f>
        <v>0</v>
      </c>
      <c r="F95" s="105">
        <f>'IS (F1Q23)'!F95-'IS (F4Q2022)'!F95</f>
        <v>0</v>
      </c>
      <c r="G95" s="105">
        <f>'IS (F1Q23)'!G95-'IS (F4Q2022)'!G95</f>
        <v>0</v>
      </c>
      <c r="H95" s="170">
        <f>'IS (F1Q23)'!H95-'IS (F4Q2022)'!H95</f>
        <v>0</v>
      </c>
      <c r="I95" s="105">
        <f>'IS (F1Q23)'!I95-'IS (F4Q2022)'!I95</f>
        <v>0</v>
      </c>
      <c r="J95" s="105">
        <f>'IS (F1Q23)'!J95-'IS (F4Q2022)'!J95</f>
        <v>0</v>
      </c>
      <c r="K95" s="105">
        <f>'IS (F1Q23)'!K95-'IS (F4Q2022)'!K95</f>
        <v>0</v>
      </c>
      <c r="L95" s="105">
        <f>'IS (F1Q23)'!L95-'IS (F4Q2022)'!L95</f>
        <v>0</v>
      </c>
      <c r="M95" s="170">
        <f>'IS (F1Q23)'!M95-'IS (F4Q2022)'!M95</f>
        <v>0</v>
      </c>
      <c r="N95" s="105">
        <f>'IS (F1Q23)'!N95-'IS (F4Q2022)'!N95</f>
        <v>0</v>
      </c>
      <c r="O95" s="105">
        <f>'IS (F1Q23)'!O95-'IS (F4Q2022)'!O95</f>
        <v>0</v>
      </c>
      <c r="P95" s="105">
        <f>'IS (F1Q23)'!P95-'IS (F4Q2022)'!P95</f>
        <v>0</v>
      </c>
      <c r="Q95" s="105">
        <f>'IS (F1Q23)'!Q95-'IS (F4Q2022)'!Q95</f>
        <v>0</v>
      </c>
      <c r="R95" s="49">
        <f>'IS (F1Q23)'!R95-'IS (F4Q2022)'!R95</f>
        <v>0</v>
      </c>
      <c r="S95" s="48">
        <f>'IS (F1Q23)'!S95-'IS (F4Q2022)'!S95</f>
        <v>0</v>
      </c>
      <c r="T95" s="48">
        <f>'IS (F1Q23)'!T95-'IS (F4Q2022)'!T95</f>
        <v>0</v>
      </c>
      <c r="U95" s="48">
        <f>'IS (F1Q23)'!U95-'IS (F4Q2022)'!U95</f>
        <v>0</v>
      </c>
      <c r="V95" s="48">
        <f>'IS (F1Q23)'!V95-'IS (F4Q2022)'!V95</f>
        <v>0</v>
      </c>
      <c r="W95" s="49">
        <f>'IS (F1Q23)'!W95-'IS (F4Q2022)'!W95</f>
        <v>0</v>
      </c>
      <c r="X95" s="48">
        <f>'IS (F1Q23)'!X95-'IS (F4Q2022)'!X95</f>
        <v>-50.598025472657127</v>
      </c>
      <c r="Y95" s="48">
        <f>'IS (F1Q23)'!Y95-'IS (F4Q2022)'!Y95</f>
        <v>29.229246271231546</v>
      </c>
      <c r="Z95" s="48">
        <f>'IS (F1Q23)'!Z95-'IS (F4Q2022)'!Z95</f>
        <v>-51.805898288029312</v>
      </c>
      <c r="AA95" s="48">
        <f>'IS (F1Q23)'!AA95-'IS (F4Q2022)'!AA95</f>
        <v>-84.312816706868034</v>
      </c>
      <c r="AB95" s="49">
        <f>'IS (F1Q23)'!AB95-'IS (F4Q2022)'!AB95</f>
        <v>-157.48749419632304</v>
      </c>
      <c r="AC95" s="48">
        <f>'IS (F1Q23)'!AC95-'IS (F4Q2022)'!AC95</f>
        <v>-69.957197158832287</v>
      </c>
      <c r="AD95" s="48">
        <f>'IS (F1Q23)'!AD95-'IS (F4Q2022)'!AD95</f>
        <v>40.654301134554089</v>
      </c>
      <c r="AE95" s="48">
        <f>'IS (F1Q23)'!AE95-'IS (F4Q2022)'!AE95</f>
        <v>-56.933611854417222</v>
      </c>
      <c r="AF95" s="48">
        <f>'IS (F1Q23)'!AF95-'IS (F4Q2022)'!AF95</f>
        <v>-96.847510526850101</v>
      </c>
      <c r="AG95" s="49">
        <f>'IS (F1Q23)'!AG95-'IS (F4Q2022)'!AG95</f>
        <v>-183.08401840554552</v>
      </c>
      <c r="AH95" s="48">
        <f>'IS (F1Q23)'!AH95-'IS (F4Q2022)'!AH95</f>
        <v>-80.099485229898619</v>
      </c>
      <c r="AI95" s="48">
        <f>'IS (F1Q23)'!AI95-'IS (F4Q2022)'!AI95</f>
        <v>48.734448366162496</v>
      </c>
      <c r="AJ95" s="48">
        <f>'IS (F1Q23)'!AJ95-'IS (F4Q2022)'!AJ95</f>
        <v>-64.805222023000624</v>
      </c>
      <c r="AK95" s="48">
        <f>'IS (F1Q23)'!AK95-'IS (F4Q2022)'!AK95</f>
        <v>-111.57064751105713</v>
      </c>
      <c r="AL95" s="49">
        <f>'IS (F1Q23)'!AL95-'IS (F4Q2022)'!AL95</f>
        <v>-207.74090639779388</v>
      </c>
      <c r="AM95" s="48">
        <f>'IS (F1Q23)'!AM95-'IS (F4Q2022)'!AM95</f>
        <v>-91.422505510284282</v>
      </c>
      <c r="AN95" s="48">
        <f>'IS (F1Q23)'!AN95-'IS (F4Q2022)'!AN95</f>
        <v>56.346939625414279</v>
      </c>
      <c r="AO95" s="48">
        <f>'IS (F1Q23)'!AO95-'IS (F4Q2022)'!AO95</f>
        <v>-71.938522444622549</v>
      </c>
      <c r="AP95" s="48">
        <f>'IS (F1Q23)'!AP95-'IS (F4Q2022)'!AP95</f>
        <v>-122.80019129630955</v>
      </c>
      <c r="AQ95" s="49">
        <f>'IS (F1Q23)'!AQ95-'IS (F4Q2022)'!AQ95</f>
        <v>-229.81427962580165</v>
      </c>
      <c r="AR95" s="48">
        <f>'IS (F1Q23)'!AR95-'IS (F4Q2022)'!AR95</f>
        <v>-97.985400410210559</v>
      </c>
      <c r="AS95" s="48">
        <f>'IS (F1Q23)'!AS95-'IS (F4Q2022)'!AS95</f>
        <v>61.180365718041912</v>
      </c>
      <c r="AT95" s="48">
        <f>'IS (F1Q23)'!AT95-'IS (F4Q2022)'!AT95</f>
        <v>-76.922032941869702</v>
      </c>
      <c r="AU95" s="48">
        <f>'IS (F1Q23)'!AU95-'IS (F4Q2022)'!AU95</f>
        <v>-131.58821341131124</v>
      </c>
      <c r="AV95" s="49">
        <f>'IS (F1Q23)'!AV95-'IS (F4Q2022)'!AV95</f>
        <v>-245.31528104534937</v>
      </c>
    </row>
    <row r="96" spans="1:48" s="184" customFormat="1" outlineLevel="1" x14ac:dyDescent="0.3">
      <c r="B96" s="181" t="s">
        <v>150</v>
      </c>
      <c r="C96" s="190"/>
      <c r="D96" s="167">
        <f>'IS (F1Q23)'!D96-'IS (F4Q2022)'!D96</f>
        <v>0</v>
      </c>
      <c r="E96" s="167">
        <f>'IS (F1Q23)'!E96-'IS (F4Q2022)'!E96</f>
        <v>0</v>
      </c>
      <c r="F96" s="167">
        <f>'IS (F1Q23)'!F96-'IS (F4Q2022)'!F96</f>
        <v>0</v>
      </c>
      <c r="G96" s="167">
        <f>'IS (F1Q23)'!G96-'IS (F4Q2022)'!G96</f>
        <v>0</v>
      </c>
      <c r="H96" s="186">
        <f>'IS (F1Q23)'!H96-'IS (F4Q2022)'!H96</f>
        <v>0</v>
      </c>
      <c r="I96" s="167">
        <f>'IS (F1Q23)'!I96-'IS (F4Q2022)'!I96</f>
        <v>0</v>
      </c>
      <c r="J96" s="167">
        <f>'IS (F1Q23)'!J96-'IS (F4Q2022)'!J96</f>
        <v>0</v>
      </c>
      <c r="K96" s="167">
        <f>'IS (F1Q23)'!K96-'IS (F4Q2022)'!K96</f>
        <v>0</v>
      </c>
      <c r="L96" s="167">
        <f>'IS (F1Q23)'!L96-'IS (F4Q2022)'!L96</f>
        <v>0</v>
      </c>
      <c r="M96" s="186">
        <f>'IS (F1Q23)'!M96-'IS (F4Q2022)'!M96</f>
        <v>0</v>
      </c>
      <c r="N96" s="167">
        <f>'IS (F1Q23)'!N96-'IS (F4Q2022)'!N96</f>
        <v>0</v>
      </c>
      <c r="O96" s="167">
        <f>'IS (F1Q23)'!O96-'IS (F4Q2022)'!O96</f>
        <v>0</v>
      </c>
      <c r="P96" s="167">
        <f>'IS (F1Q23)'!P96-'IS (F4Q2022)'!P96</f>
        <v>0</v>
      </c>
      <c r="Q96" s="167">
        <f>'IS (F1Q23)'!Q96-'IS (F4Q2022)'!Q96</f>
        <v>0</v>
      </c>
      <c r="R96" s="188">
        <f>'IS (F1Q23)'!R96-'IS (F4Q2022)'!R96</f>
        <v>0</v>
      </c>
      <c r="S96" s="167">
        <f>'IS (F1Q23)'!S96-'IS (F4Q2022)'!S96</f>
        <v>0</v>
      </c>
      <c r="T96" s="167">
        <f>'IS (F1Q23)'!T96-'IS (F4Q2022)'!T96</f>
        <v>0</v>
      </c>
      <c r="U96" s="167">
        <f>'IS (F1Q23)'!U96-'IS (F4Q2022)'!U96</f>
        <v>0</v>
      </c>
      <c r="V96" s="167">
        <f>'IS (F1Q23)'!V96-'IS (F4Q2022)'!V96</f>
        <v>0</v>
      </c>
      <c r="W96" s="188">
        <f>'IS (F1Q23)'!W96-'IS (F4Q2022)'!W96</f>
        <v>0</v>
      </c>
      <c r="X96" s="189">
        <f>'IS (F1Q23)'!X96-'IS (F4Q2022)'!X96</f>
        <v>4.0124250398516192E-2</v>
      </c>
      <c r="Y96" s="189">
        <f>'IS (F1Q23)'!Y96-'IS (F4Q2022)'!Y96</f>
        <v>3.0000000000000027E-2</v>
      </c>
      <c r="Z96" s="189">
        <f>'IS (F1Q23)'!Z96-'IS (F4Q2022)'!Z96</f>
        <v>-2.5000000000000022E-2</v>
      </c>
      <c r="AA96" s="189">
        <f>'IS (F1Q23)'!AA96-'IS (F4Q2022)'!AA96</f>
        <v>-3.999999999999998E-2</v>
      </c>
      <c r="AB96" s="188">
        <f>'IS (F1Q23)'!AB96-'IS (F4Q2022)'!AB96</f>
        <v>-2.7463953486844828E-3</v>
      </c>
      <c r="AC96" s="189">
        <f>'IS (F1Q23)'!AC96-'IS (F4Q2022)'!AC96</f>
        <v>4.0124250398516192E-2</v>
      </c>
      <c r="AD96" s="189">
        <f>'IS (F1Q23)'!AD96-'IS (F4Q2022)'!AD96</f>
        <v>3.0000000000000027E-2</v>
      </c>
      <c r="AE96" s="189">
        <f>'IS (F1Q23)'!AE96-'IS (F4Q2022)'!AE96</f>
        <v>-2.5000000000000022E-2</v>
      </c>
      <c r="AF96" s="189">
        <f>'IS (F1Q23)'!AF96-'IS (F4Q2022)'!AF96</f>
        <v>-3.999999999999998E-2</v>
      </c>
      <c r="AG96" s="188">
        <f>'IS (F1Q23)'!AG96-'IS (F4Q2022)'!AG96</f>
        <v>-1.5118034572458861E-3</v>
      </c>
      <c r="AH96" s="189">
        <f>'IS (F1Q23)'!AH96-'IS (F4Q2022)'!AH96</f>
        <v>4.0124250398516192E-2</v>
      </c>
      <c r="AI96" s="189">
        <f>'IS (F1Q23)'!AI96-'IS (F4Q2022)'!AI96</f>
        <v>3.0000000000000027E-2</v>
      </c>
      <c r="AJ96" s="189">
        <f>'IS (F1Q23)'!AJ96-'IS (F4Q2022)'!AJ96</f>
        <v>-2.5000000000000022E-2</v>
      </c>
      <c r="AK96" s="189">
        <f>'IS (F1Q23)'!AK96-'IS (F4Q2022)'!AK96</f>
        <v>-3.999999999999998E-2</v>
      </c>
      <c r="AL96" s="188">
        <f>'IS (F1Q23)'!AL96-'IS (F4Q2022)'!AL96</f>
        <v>-1.5963472233136433E-3</v>
      </c>
      <c r="AM96" s="189">
        <f>'IS (F1Q23)'!AM96-'IS (F4Q2022)'!AM96</f>
        <v>4.0124250398516192E-2</v>
      </c>
      <c r="AN96" s="189">
        <f>'IS (F1Q23)'!AN96-'IS (F4Q2022)'!AN96</f>
        <v>3.0000000000000027E-2</v>
      </c>
      <c r="AO96" s="189">
        <f>'IS (F1Q23)'!AO96-'IS (F4Q2022)'!AO96</f>
        <v>-2.5000000000000022E-2</v>
      </c>
      <c r="AP96" s="189">
        <f>'IS (F1Q23)'!AP96-'IS (F4Q2022)'!AP96</f>
        <v>-3.999999999999998E-2</v>
      </c>
      <c r="AQ96" s="188">
        <f>'IS (F1Q23)'!AQ96-'IS (F4Q2022)'!AQ96</f>
        <v>-1.0460073494017452E-3</v>
      </c>
      <c r="AR96" s="189">
        <f>'IS (F1Q23)'!AR96-'IS (F4Q2022)'!AR96</f>
        <v>4.0124250398516192E-2</v>
      </c>
      <c r="AS96" s="189">
        <f>'IS (F1Q23)'!AS96-'IS (F4Q2022)'!AS96</f>
        <v>3.0000000000000027E-2</v>
      </c>
      <c r="AT96" s="189">
        <f>'IS (F1Q23)'!AT96-'IS (F4Q2022)'!AT96</f>
        <v>-2.5000000000000022E-2</v>
      </c>
      <c r="AU96" s="189">
        <f>'IS (F1Q23)'!AU96-'IS (F4Q2022)'!AU96</f>
        <v>-3.999999999999998E-2</v>
      </c>
      <c r="AV96" s="188">
        <f>'IS (F1Q23)'!AV96-'IS (F4Q2022)'!AV96</f>
        <v>-1.027107400982108E-3</v>
      </c>
    </row>
    <row r="97" spans="1:48" outlineLevel="1" x14ac:dyDescent="0.3">
      <c r="B97" s="180" t="s">
        <v>33</v>
      </c>
      <c r="C97" s="18"/>
      <c r="D97" s="105">
        <f>'IS (F1Q23)'!D97-'IS (F4Q2022)'!D97</f>
        <v>0</v>
      </c>
      <c r="E97" s="105">
        <f>'IS (F1Q23)'!E97-'IS (F4Q2022)'!E97</f>
        <v>0</v>
      </c>
      <c r="F97" s="105">
        <f>'IS (F1Q23)'!F97-'IS (F4Q2022)'!F97</f>
        <v>0</v>
      </c>
      <c r="G97" s="105">
        <f>'IS (F1Q23)'!G97-'IS (F4Q2022)'!G97</f>
        <v>0</v>
      </c>
      <c r="H97" s="170">
        <f>'IS (F1Q23)'!H97-'IS (F4Q2022)'!H97</f>
        <v>0</v>
      </c>
      <c r="I97" s="105">
        <f>'IS (F1Q23)'!I97-'IS (F4Q2022)'!I97</f>
        <v>0</v>
      </c>
      <c r="J97" s="105">
        <f>'IS (F1Q23)'!J97-'IS (F4Q2022)'!J97</f>
        <v>0</v>
      </c>
      <c r="K97" s="105">
        <f>'IS (F1Q23)'!K97-'IS (F4Q2022)'!K97</f>
        <v>0</v>
      </c>
      <c r="L97" s="105">
        <f>'IS (F1Q23)'!L97-'IS (F4Q2022)'!L97</f>
        <v>0</v>
      </c>
      <c r="M97" s="170">
        <f>'IS (F1Q23)'!M97-'IS (F4Q2022)'!M97</f>
        <v>0</v>
      </c>
      <c r="N97" s="105">
        <f>'IS (F1Q23)'!N97-'IS (F4Q2022)'!N97</f>
        <v>0</v>
      </c>
      <c r="O97" s="105">
        <f>'IS (F1Q23)'!O97-'IS (F4Q2022)'!O97</f>
        <v>0</v>
      </c>
      <c r="P97" s="105">
        <f>'IS (F1Q23)'!P97-'IS (F4Q2022)'!P97</f>
        <v>0</v>
      </c>
      <c r="Q97" s="105">
        <f>'IS (F1Q23)'!Q97-'IS (F4Q2022)'!Q97</f>
        <v>0</v>
      </c>
      <c r="R97" s="49">
        <f>'IS (F1Q23)'!R97-'IS (F4Q2022)'!R97</f>
        <v>0</v>
      </c>
      <c r="S97" s="48">
        <f>'IS (F1Q23)'!S97-'IS (F4Q2022)'!S97</f>
        <v>0</v>
      </c>
      <c r="T97" s="48">
        <f>'IS (F1Q23)'!T97-'IS (F4Q2022)'!T97</f>
        <v>0</v>
      </c>
      <c r="U97" s="48">
        <f>'IS (F1Q23)'!U97-'IS (F4Q2022)'!U97</f>
        <v>0</v>
      </c>
      <c r="V97" s="48">
        <f>'IS (F1Q23)'!V97-'IS (F4Q2022)'!V97</f>
        <v>0</v>
      </c>
      <c r="W97" s="49">
        <f>'IS (F1Q23)'!W97-'IS (F4Q2022)'!W97</f>
        <v>0</v>
      </c>
      <c r="X97" s="48">
        <f>'IS (F1Q23)'!X97-'IS (F4Q2022)'!X97</f>
        <v>11.549703602976869</v>
      </c>
      <c r="Y97" s="48">
        <f>'IS (F1Q23)'!Y97-'IS (F4Q2022)'!Y97</f>
        <v>8.7483161371480591</v>
      </c>
      <c r="Z97" s="48">
        <f>'IS (F1Q23)'!Z97-'IS (F4Q2022)'!Z97</f>
        <v>-0.67262236847642498</v>
      </c>
      <c r="AA97" s="48">
        <f>'IS (F1Q23)'!AA97-'IS (F4Q2022)'!AA97</f>
        <v>-0.56111102266559953</v>
      </c>
      <c r="AB97" s="49">
        <f>'IS (F1Q23)'!AB97-'IS (F4Q2022)'!AB97</f>
        <v>19.064286348982932</v>
      </c>
      <c r="AC97" s="48">
        <f>'IS (F1Q23)'!AC97-'IS (F4Q2022)'!AC97</f>
        <v>14.655887406788288</v>
      </c>
      <c r="AD97" s="48">
        <f>'IS (F1Q23)'!AD97-'IS (F4Q2022)'!AD97</f>
        <v>10.595627488262245</v>
      </c>
      <c r="AE97" s="48">
        <f>'IS (F1Q23)'!AE97-'IS (F4Q2022)'!AE97</f>
        <v>-0.42299855799453212</v>
      </c>
      <c r="AF97" s="48">
        <f>'IS (F1Q23)'!AF97-'IS (F4Q2022)'!AF97</f>
        <v>-0.52394117486481662</v>
      </c>
      <c r="AG97" s="49">
        <f>'IS (F1Q23)'!AG97-'IS (F4Q2022)'!AG97</f>
        <v>24.304575162191185</v>
      </c>
      <c r="AH97" s="48">
        <f>'IS (F1Q23)'!AH97-'IS (F4Q2022)'!AH97</f>
        <v>17.710330083716457</v>
      </c>
      <c r="AI97" s="48">
        <f>'IS (F1Q23)'!AI97-'IS (F4Q2022)'!AI97</f>
        <v>12.401237980073716</v>
      </c>
      <c r="AJ97" s="48">
        <f>'IS (F1Q23)'!AJ97-'IS (F4Q2022)'!AJ97</f>
        <v>-0.34893389762333271</v>
      </c>
      <c r="AK97" s="48">
        <f>'IS (F1Q23)'!AK97-'IS (F4Q2022)'!AK97</f>
        <v>-0.51282542287825095</v>
      </c>
      <c r="AL97" s="49">
        <f>'IS (F1Q23)'!AL97-'IS (F4Q2022)'!AL97</f>
        <v>29.249808743288611</v>
      </c>
      <c r="AM97" s="48">
        <f>'IS (F1Q23)'!AM97-'IS (F4Q2022)'!AM97</f>
        <v>20.327425099688071</v>
      </c>
      <c r="AN97" s="48">
        <f>'IS (F1Q23)'!AN97-'IS (F4Q2022)'!AN97</f>
        <v>14.063249524744421</v>
      </c>
      <c r="AO97" s="48">
        <f>'IS (F1Q23)'!AO97-'IS (F4Q2022)'!AO97</f>
        <v>-0.36638059250451249</v>
      </c>
      <c r="AP97" s="48">
        <f>'IS (F1Q23)'!AP97-'IS (F4Q2022)'!AP97</f>
        <v>-0.53846669402217628</v>
      </c>
      <c r="AQ97" s="49">
        <f>'IS (F1Q23)'!AQ97-'IS (F4Q2022)'!AQ97</f>
        <v>33.485827337905789</v>
      </c>
      <c r="AR97" s="48">
        <f>'IS (F1Q23)'!AR97-'IS (F4Q2022)'!AR97</f>
        <v>21.738217365215945</v>
      </c>
      <c r="AS97" s="48">
        <f>'IS (F1Q23)'!AS97-'IS (F4Q2022)'!AS97</f>
        <v>15.074295030968912</v>
      </c>
      <c r="AT97" s="48">
        <f>'IS (F1Q23)'!AT97-'IS (F4Q2022)'!AT97</f>
        <v>-0.37737201027964318</v>
      </c>
      <c r="AU97" s="48">
        <f>'IS (F1Q23)'!AU97-'IS (F4Q2022)'!AU97</f>
        <v>-0.55462069484282495</v>
      </c>
      <c r="AV97" s="49">
        <f>'IS (F1Q23)'!AV97-'IS (F4Q2022)'!AV97</f>
        <v>35.880519691062432</v>
      </c>
    </row>
    <row r="98" spans="1:48" s="184" customFormat="1" outlineLevel="1" x14ac:dyDescent="0.3">
      <c r="B98" s="181" t="s">
        <v>152</v>
      </c>
      <c r="C98" s="190"/>
      <c r="D98" s="167">
        <f>'IS (F1Q23)'!D98-'IS (F4Q2022)'!D98</f>
        <v>0</v>
      </c>
      <c r="E98" s="167">
        <f>'IS (F1Q23)'!E98-'IS (F4Q2022)'!E98</f>
        <v>0</v>
      </c>
      <c r="F98" s="167">
        <f>'IS (F1Q23)'!F98-'IS (F4Q2022)'!F98</f>
        <v>0</v>
      </c>
      <c r="G98" s="167">
        <f>'IS (F1Q23)'!G98-'IS (F4Q2022)'!G98</f>
        <v>0</v>
      </c>
      <c r="H98" s="186">
        <f>'IS (F1Q23)'!H98-'IS (F4Q2022)'!H98</f>
        <v>0</v>
      </c>
      <c r="I98" s="167">
        <f>'IS (F1Q23)'!I98-'IS (F4Q2022)'!I98</f>
        <v>0</v>
      </c>
      <c r="J98" s="167">
        <f>'IS (F1Q23)'!J98-'IS (F4Q2022)'!J98</f>
        <v>0</v>
      </c>
      <c r="K98" s="167">
        <f>'IS (F1Q23)'!K98-'IS (F4Q2022)'!K98</f>
        <v>0</v>
      </c>
      <c r="L98" s="167">
        <f>'IS (F1Q23)'!L98-'IS (F4Q2022)'!L98</f>
        <v>0</v>
      </c>
      <c r="M98" s="186">
        <f>'IS (F1Q23)'!M98-'IS (F4Q2022)'!M98</f>
        <v>0</v>
      </c>
      <c r="N98" s="167">
        <f>'IS (F1Q23)'!N98-'IS (F4Q2022)'!N98</f>
        <v>0</v>
      </c>
      <c r="O98" s="167">
        <f>'IS (F1Q23)'!O98-'IS (F4Q2022)'!O98</f>
        <v>0</v>
      </c>
      <c r="P98" s="167">
        <f>'IS (F1Q23)'!P98-'IS (F4Q2022)'!P98</f>
        <v>0</v>
      </c>
      <c r="Q98" s="167">
        <f>'IS (F1Q23)'!Q98-'IS (F4Q2022)'!Q98</f>
        <v>0</v>
      </c>
      <c r="R98" s="188">
        <f>'IS (F1Q23)'!R98-'IS (F4Q2022)'!R98</f>
        <v>0</v>
      </c>
      <c r="S98" s="167">
        <f>'IS (F1Q23)'!S98-'IS (F4Q2022)'!S98</f>
        <v>0</v>
      </c>
      <c r="T98" s="167">
        <f>'IS (F1Q23)'!T98-'IS (F4Q2022)'!T98</f>
        <v>0</v>
      </c>
      <c r="U98" s="167">
        <f>'IS (F1Q23)'!U98-'IS (F4Q2022)'!U98</f>
        <v>0</v>
      </c>
      <c r="V98" s="167">
        <f>'IS (F1Q23)'!V98-'IS (F4Q2022)'!V98</f>
        <v>0</v>
      </c>
      <c r="W98" s="188">
        <f>'IS (F1Q23)'!W98-'IS (F4Q2022)'!W98</f>
        <v>0</v>
      </c>
      <c r="X98" s="189">
        <f>'IS (F1Q23)'!X98-'IS (F4Q2022)'!X98</f>
        <v>9.2801389107011918E-3</v>
      </c>
      <c r="Y98" s="189">
        <f>'IS (F1Q23)'!Y98-'IS (F4Q2022)'!Y98</f>
        <v>5.000000000000001E-3</v>
      </c>
      <c r="Z98" s="189">
        <f>'IS (F1Q23)'!Z98-'IS (F4Q2022)'!Z98</f>
        <v>0</v>
      </c>
      <c r="AA98" s="189">
        <f>'IS (F1Q23)'!AA98-'IS (F4Q2022)'!AA98</f>
        <v>0</v>
      </c>
      <c r="AB98" s="188">
        <f>'IS (F1Q23)'!AB98-'IS (F4Q2022)'!AB98</f>
        <v>3.2405977177049385E-3</v>
      </c>
      <c r="AC98" s="189">
        <f>'IS (F1Q23)'!AC98-'IS (F4Q2022)'!AC98</f>
        <v>9.2801389107011918E-3</v>
      </c>
      <c r="AD98" s="189">
        <f>'IS (F1Q23)'!AD98-'IS (F4Q2022)'!AD98</f>
        <v>5.000000000000001E-3</v>
      </c>
      <c r="AE98" s="189">
        <f>'IS (F1Q23)'!AE98-'IS (F4Q2022)'!AE98</f>
        <v>0</v>
      </c>
      <c r="AF98" s="189">
        <f>'IS (F1Q23)'!AF98-'IS (F4Q2022)'!AF98</f>
        <v>0</v>
      </c>
      <c r="AG98" s="188">
        <f>'IS (F1Q23)'!AG98-'IS (F4Q2022)'!AG98</f>
        <v>3.3604472479102782E-3</v>
      </c>
      <c r="AH98" s="189">
        <f>'IS (F1Q23)'!AH98-'IS (F4Q2022)'!AH98</f>
        <v>9.2801389107011883E-3</v>
      </c>
      <c r="AI98" s="189">
        <f>'IS (F1Q23)'!AI98-'IS (F4Q2022)'!AI98</f>
        <v>5.0000000000000044E-3</v>
      </c>
      <c r="AJ98" s="189">
        <f>'IS (F1Q23)'!AJ98-'IS (F4Q2022)'!AJ98</f>
        <v>0</v>
      </c>
      <c r="AK98" s="189">
        <f>'IS (F1Q23)'!AK98-'IS (F4Q2022)'!AK98</f>
        <v>0</v>
      </c>
      <c r="AL98" s="188">
        <f>'IS (F1Q23)'!AL98-'IS (F4Q2022)'!AL98</f>
        <v>3.3429386979938851E-3</v>
      </c>
      <c r="AM98" s="189">
        <f>'IS (F1Q23)'!AM98-'IS (F4Q2022)'!AM98</f>
        <v>9.2801389107011883E-3</v>
      </c>
      <c r="AN98" s="189">
        <f>'IS (F1Q23)'!AN98-'IS (F4Q2022)'!AN98</f>
        <v>5.0000000000000044E-3</v>
      </c>
      <c r="AO98" s="189">
        <f>'IS (F1Q23)'!AO98-'IS (F4Q2022)'!AO98</f>
        <v>0</v>
      </c>
      <c r="AP98" s="189">
        <f>'IS (F1Q23)'!AP98-'IS (F4Q2022)'!AP98</f>
        <v>0</v>
      </c>
      <c r="AQ98" s="188">
        <f>'IS (F1Q23)'!AQ98-'IS (F4Q2022)'!AQ98</f>
        <v>3.4034352707916771E-3</v>
      </c>
      <c r="AR98" s="189">
        <f>'IS (F1Q23)'!AR98-'IS (F4Q2022)'!AR98</f>
        <v>9.2801389107011883E-3</v>
      </c>
      <c r="AS98" s="189">
        <f>'IS (F1Q23)'!AS98-'IS (F4Q2022)'!AS98</f>
        <v>5.0000000000000044E-3</v>
      </c>
      <c r="AT98" s="189">
        <f>'IS (F1Q23)'!AT98-'IS (F4Q2022)'!AT98</f>
        <v>0</v>
      </c>
      <c r="AU98" s="189">
        <f>'IS (F1Q23)'!AU98-'IS (F4Q2022)'!AU98</f>
        <v>0</v>
      </c>
      <c r="AV98" s="188">
        <f>'IS (F1Q23)'!AV98-'IS (F4Q2022)'!AV98</f>
        <v>3.405656146568313E-3</v>
      </c>
    </row>
    <row r="99" spans="1:48" outlineLevel="1" x14ac:dyDescent="0.3">
      <c r="B99" s="180" t="s">
        <v>34</v>
      </c>
      <c r="C99" s="18"/>
      <c r="D99" s="358">
        <f>'IS (F1Q23)'!D99-'IS (F4Q2022)'!D99</f>
        <v>0</v>
      </c>
      <c r="E99" s="358">
        <f>'IS (F1Q23)'!E99-'IS (F4Q2022)'!E99</f>
        <v>0</v>
      </c>
      <c r="F99" s="358">
        <f>'IS (F1Q23)'!F99-'IS (F4Q2022)'!F99</f>
        <v>0</v>
      </c>
      <c r="G99" s="358">
        <f>'IS (F1Q23)'!G99-'IS (F4Q2022)'!G99</f>
        <v>0</v>
      </c>
      <c r="H99" s="126">
        <f>'IS (F1Q23)'!H99-'IS (F4Q2022)'!H99</f>
        <v>0</v>
      </c>
      <c r="I99" s="358">
        <f>'IS (F1Q23)'!I99-'IS (F4Q2022)'!I99</f>
        <v>0</v>
      </c>
      <c r="J99" s="358">
        <f>'IS (F1Q23)'!J99-'IS (F4Q2022)'!J99</f>
        <v>0</v>
      </c>
      <c r="K99" s="358">
        <f>'IS (F1Q23)'!K99-'IS (F4Q2022)'!K99</f>
        <v>0</v>
      </c>
      <c r="L99" s="358">
        <f>'IS (F1Q23)'!L99-'IS (F4Q2022)'!L99</f>
        <v>0</v>
      </c>
      <c r="M99" s="126">
        <f>'IS (F1Q23)'!M99-'IS (F4Q2022)'!M99</f>
        <v>0</v>
      </c>
      <c r="N99" s="358">
        <f>'IS (F1Q23)'!N99-'IS (F4Q2022)'!N99</f>
        <v>0</v>
      </c>
      <c r="O99" s="358">
        <f>'IS (F1Q23)'!O99-'IS (F4Q2022)'!O99</f>
        <v>0</v>
      </c>
      <c r="P99" s="358">
        <f>'IS (F1Q23)'!P99-'IS (F4Q2022)'!P99</f>
        <v>0</v>
      </c>
      <c r="Q99" s="358">
        <f>'IS (F1Q23)'!Q99-'IS (F4Q2022)'!Q99</f>
        <v>0</v>
      </c>
      <c r="R99" s="126">
        <f>'IS (F1Q23)'!R99-'IS (F4Q2022)'!R99</f>
        <v>0</v>
      </c>
      <c r="S99" s="358">
        <f>'IS (F1Q23)'!S99-'IS (F4Q2022)'!S99</f>
        <v>0</v>
      </c>
      <c r="T99" s="358">
        <f>'IS (F1Q23)'!T99-'IS (F4Q2022)'!T99</f>
        <v>0</v>
      </c>
      <c r="U99" s="358">
        <f>'IS (F1Q23)'!U99-'IS (F4Q2022)'!U99</f>
        <v>0</v>
      </c>
      <c r="V99" s="358">
        <f>'IS (F1Q23)'!V99-'IS (F4Q2022)'!V99</f>
        <v>0</v>
      </c>
      <c r="W99" s="126">
        <f>'IS (F1Q23)'!W99-'IS (F4Q2022)'!W99</f>
        <v>0</v>
      </c>
      <c r="X99" s="358">
        <f>'IS (F1Q23)'!X99-'IS (F4Q2022)'!X99</f>
        <v>-44.451165494677653</v>
      </c>
      <c r="Y99" s="358">
        <f>'IS (F1Q23)'!Y99-'IS (F4Q2022)'!Y99</f>
        <v>-44.48405665591055</v>
      </c>
      <c r="Z99" s="358">
        <f>'IS (F1Q23)'!Z99-'IS (F4Q2022)'!Z99</f>
        <v>-40.882792971037603</v>
      </c>
      <c r="AA99" s="358">
        <f>'IS (F1Q23)'!AA99-'IS (F4Q2022)'!AA99</f>
        <v>-42.645401601814683</v>
      </c>
      <c r="AB99" s="126">
        <f>'IS (F1Q23)'!AB99-'IS (F4Q2022)'!AB99</f>
        <v>-172.46341672344045</v>
      </c>
      <c r="AC99" s="358">
        <f>'IS (F1Q23)'!AC99-'IS (F4Q2022)'!AC99</f>
        <v>-45.61505290246204</v>
      </c>
      <c r="AD99" s="358">
        <f>'IS (F1Q23)'!AD99-'IS (F4Q2022)'!AD99</f>
        <v>-45.489492311127648</v>
      </c>
      <c r="AE99" s="358">
        <f>'IS (F1Q23)'!AE99-'IS (F4Q2022)'!AE99</f>
        <v>-45.781362353357196</v>
      </c>
      <c r="AF99" s="358">
        <f>'IS (F1Q23)'!AF99-'IS (F4Q2022)'!AF99</f>
        <v>-47.408518473383467</v>
      </c>
      <c r="AG99" s="126">
        <f>'IS (F1Q23)'!AG99-'IS (F4Q2022)'!AG99</f>
        <v>-184.29442604033034</v>
      </c>
      <c r="AH99" s="358">
        <f>'IS (F1Q23)'!AH99-'IS (F4Q2022)'!AH99</f>
        <v>-48.89499130056285</v>
      </c>
      <c r="AI99" s="358">
        <f>'IS (F1Q23)'!AI99-'IS (F4Q2022)'!AI99</f>
        <v>-49.453239786824625</v>
      </c>
      <c r="AJ99" s="358">
        <f>'IS (F1Q23)'!AJ99-'IS (F4Q2022)'!AJ99</f>
        <v>-49.953744170837737</v>
      </c>
      <c r="AK99" s="358">
        <f>'IS (F1Q23)'!AK99-'IS (F4Q2022)'!AK99</f>
        <v>-50.938605483677378</v>
      </c>
      <c r="AL99" s="126">
        <f>'IS (F1Q23)'!AL99-'IS (F4Q2022)'!AL99</f>
        <v>-199.24058074190253</v>
      </c>
      <c r="AM99" s="358">
        <f>'IS (F1Q23)'!AM99-'IS (F4Q2022)'!AM99</f>
        <v>-51.914272209863967</v>
      </c>
      <c r="AN99" s="358">
        <f>'IS (F1Q23)'!AN99-'IS (F4Q2022)'!AN99</f>
        <v>-52.929253708941744</v>
      </c>
      <c r="AO99" s="358">
        <f>'IS (F1Q23)'!AO99-'IS (F4Q2022)'!AO99</f>
        <v>-53.589031470018611</v>
      </c>
      <c r="AP99" s="358">
        <f>'IS (F1Q23)'!AP99-'IS (F4Q2022)'!AP99</f>
        <v>-54.610572740489914</v>
      </c>
      <c r="AQ99" s="126">
        <f>'IS (F1Q23)'!AQ99-'IS (F4Q2022)'!AQ99</f>
        <v>-213.04313012931425</v>
      </c>
      <c r="AR99" s="358">
        <f>'IS (F1Q23)'!AR99-'IS (F4Q2022)'!AR99</f>
        <v>-55.690679602079172</v>
      </c>
      <c r="AS99" s="358">
        <f>'IS (F1Q23)'!AS99-'IS (F4Q2022)'!AS99</f>
        <v>-56.791220122444457</v>
      </c>
      <c r="AT99" s="358">
        <f>'IS (F1Q23)'!AT99-'IS (F4Q2022)'!AT99</f>
        <v>-57.443823361459664</v>
      </c>
      <c r="AU99" s="358">
        <f>'IS (F1Q23)'!AU99-'IS (F4Q2022)'!AU99</f>
        <v>-58.470664137828663</v>
      </c>
      <c r="AV99" s="126">
        <f>'IS (F1Q23)'!AV99-'IS (F4Q2022)'!AV99</f>
        <v>-228.39638722381198</v>
      </c>
    </row>
    <row r="100" spans="1:48" outlineLevel="1" x14ac:dyDescent="0.3">
      <c r="B100" s="180" t="s">
        <v>35</v>
      </c>
      <c r="C100" s="18"/>
      <c r="D100" s="105">
        <f>'IS (F1Q23)'!D100-'IS (F4Q2022)'!D100</f>
        <v>0</v>
      </c>
      <c r="E100" s="105">
        <f>'IS (F1Q23)'!E100-'IS (F4Q2022)'!E100</f>
        <v>0</v>
      </c>
      <c r="F100" s="105">
        <f>'IS (F1Q23)'!F100-'IS (F4Q2022)'!F100</f>
        <v>0</v>
      </c>
      <c r="G100" s="105">
        <f>'IS (F1Q23)'!G100-'IS (F4Q2022)'!G100</f>
        <v>0</v>
      </c>
      <c r="H100" s="170">
        <f>'IS (F1Q23)'!H100-'IS (F4Q2022)'!H100</f>
        <v>0</v>
      </c>
      <c r="I100" s="105">
        <f>'IS (F1Q23)'!I100-'IS (F4Q2022)'!I100</f>
        <v>0</v>
      </c>
      <c r="J100" s="105">
        <f>'IS (F1Q23)'!J100-'IS (F4Q2022)'!J100</f>
        <v>0</v>
      </c>
      <c r="K100" s="105">
        <f>'IS (F1Q23)'!K100-'IS (F4Q2022)'!K100</f>
        <v>0</v>
      </c>
      <c r="L100" s="105">
        <f>'IS (F1Q23)'!L100-'IS (F4Q2022)'!L100</f>
        <v>0</v>
      </c>
      <c r="M100" s="170">
        <f>'IS (F1Q23)'!M100-'IS (F4Q2022)'!M100</f>
        <v>0</v>
      </c>
      <c r="N100" s="105">
        <f>'IS (F1Q23)'!N100-'IS (F4Q2022)'!N100</f>
        <v>0</v>
      </c>
      <c r="O100" s="105">
        <f>'IS (F1Q23)'!O100-'IS (F4Q2022)'!O100</f>
        <v>0</v>
      </c>
      <c r="P100" s="105">
        <f>'IS (F1Q23)'!P100-'IS (F4Q2022)'!P100</f>
        <v>0</v>
      </c>
      <c r="Q100" s="105">
        <f>'IS (F1Q23)'!Q100-'IS (F4Q2022)'!Q100</f>
        <v>0</v>
      </c>
      <c r="R100" s="49">
        <f>'IS (F1Q23)'!R100-'IS (F4Q2022)'!R100</f>
        <v>0</v>
      </c>
      <c r="S100" s="48">
        <f>'IS (F1Q23)'!S100-'IS (F4Q2022)'!S100</f>
        <v>0</v>
      </c>
      <c r="T100" s="48">
        <f>'IS (F1Q23)'!T100-'IS (F4Q2022)'!T100</f>
        <v>0</v>
      </c>
      <c r="U100" s="48">
        <f>'IS (F1Q23)'!U100-'IS (F4Q2022)'!U100</f>
        <v>0</v>
      </c>
      <c r="V100" s="48">
        <f>'IS (F1Q23)'!V100-'IS (F4Q2022)'!V100</f>
        <v>0</v>
      </c>
      <c r="W100" s="49">
        <f>'IS (F1Q23)'!W100-'IS (F4Q2022)'!W100</f>
        <v>0</v>
      </c>
      <c r="X100" s="48">
        <f>'IS (F1Q23)'!X100-'IS (F4Q2022)'!X100</f>
        <v>-10.684236251229891</v>
      </c>
      <c r="Y100" s="48">
        <f>'IS (F1Q23)'!Y100-'IS (F4Q2022)'!Y100</f>
        <v>8.204014044613686</v>
      </c>
      <c r="Z100" s="48">
        <f>'IS (F1Q23)'!Z100-'IS (F4Q2022)'!Z100</f>
        <v>-0.95054157039490406</v>
      </c>
      <c r="AA100" s="48">
        <f>'IS (F1Q23)'!AA100-'IS (F4Q2022)'!AA100</f>
        <v>-0.8964391080620544</v>
      </c>
      <c r="AB100" s="49">
        <f>'IS (F1Q23)'!AB100-'IS (F4Q2022)'!AB100</f>
        <v>-4.3272028850731203</v>
      </c>
      <c r="AC100" s="48">
        <f>'IS (F1Q23)'!AC100-'IS (F4Q2022)'!AC100</f>
        <v>-13.676290812411239</v>
      </c>
      <c r="AD100" s="48">
        <f>'IS (F1Q23)'!AD100-'IS (F4Q2022)'!AD100</f>
        <v>10.254992178334973</v>
      </c>
      <c r="AE100" s="48">
        <f>'IS (F1Q23)'!AE100-'IS (F4Q2022)'!AE100</f>
        <v>-0.70456683808723142</v>
      </c>
      <c r="AF100" s="48">
        <f>'IS (F1Q23)'!AF100-'IS (F4Q2022)'!AF100</f>
        <v>-0.83705602011085034</v>
      </c>
      <c r="AG100" s="49">
        <f>'IS (F1Q23)'!AG100-'IS (F4Q2022)'!AG100</f>
        <v>-4.9629214922743472</v>
      </c>
      <c r="AH100" s="48">
        <f>'IS (F1Q23)'!AH100-'IS (F4Q2022)'!AH100</f>
        <v>-15.329834978426049</v>
      </c>
      <c r="AI100" s="48">
        <f>'IS (F1Q23)'!AI100-'IS (F4Q2022)'!AI100</f>
        <v>12.043570904650068</v>
      </c>
      <c r="AJ100" s="48">
        <f>'IS (F1Q23)'!AJ100-'IS (F4Q2022)'!AJ100</f>
        <v>-0.70805698390125826</v>
      </c>
      <c r="AK100" s="48">
        <f>'IS (F1Q23)'!AK100-'IS (F4Q2022)'!AK100</f>
        <v>-0.84159601038658138</v>
      </c>
      <c r="AL100" s="49">
        <f>'IS (F1Q23)'!AL100-'IS (F4Q2022)'!AL100</f>
        <v>-4.8359170680637931</v>
      </c>
      <c r="AM100" s="48">
        <f>'IS (F1Q23)'!AM100-'IS (F4Q2022)'!AM100</f>
        <v>-17.644407125873059</v>
      </c>
      <c r="AN100" s="48">
        <f>'IS (F1Q23)'!AN100-'IS (F4Q2022)'!AN100</f>
        <v>13.68769909554959</v>
      </c>
      <c r="AO100" s="48">
        <f>'IS (F1Q23)'!AO100-'IS (F4Q2022)'!AO100</f>
        <v>-0.74345983309635244</v>
      </c>
      <c r="AP100" s="48">
        <f>'IS (F1Q23)'!AP100-'IS (F4Q2022)'!AP100</f>
        <v>-0.88367581090594172</v>
      </c>
      <c r="AQ100" s="49">
        <f>'IS (F1Q23)'!AQ100-'IS (F4Q2022)'!AQ100</f>
        <v>-5.5838436743257489</v>
      </c>
      <c r="AR100" s="48">
        <f>'IS (F1Q23)'!AR100-'IS (F4Q2022)'!AR100</f>
        <v>-18.984566418179242</v>
      </c>
      <c r="AS100" s="48">
        <f>'IS (F1Q23)'!AS100-'IS (F4Q2022)'!AS100</f>
        <v>14.687478088898246</v>
      </c>
      <c r="AT100" s="48">
        <f>'IS (F1Q23)'!AT100-'IS (F4Q2022)'!AT100</f>
        <v>-0.76576362808921772</v>
      </c>
      <c r="AU100" s="48">
        <f>'IS (F1Q23)'!AU100-'IS (F4Q2022)'!AU100</f>
        <v>-0.91018608523307876</v>
      </c>
      <c r="AV100" s="49">
        <f>'IS (F1Q23)'!AV100-'IS (F4Q2022)'!AV100</f>
        <v>-5.973038042603207</v>
      </c>
    </row>
    <row r="101" spans="1:48" s="184" customFormat="1" outlineLevel="1" x14ac:dyDescent="0.3">
      <c r="B101" s="181" t="s">
        <v>153</v>
      </c>
      <c r="C101" s="190"/>
      <c r="D101" s="167">
        <f>'IS (F1Q23)'!D101-'IS (F4Q2022)'!D101</f>
        <v>0</v>
      </c>
      <c r="E101" s="167">
        <f>'IS (F1Q23)'!E101-'IS (F4Q2022)'!E101</f>
        <v>0</v>
      </c>
      <c r="F101" s="167">
        <f>'IS (F1Q23)'!F101-'IS (F4Q2022)'!F101</f>
        <v>0</v>
      </c>
      <c r="G101" s="167">
        <f>'IS (F1Q23)'!G101-'IS (F4Q2022)'!G101</f>
        <v>0</v>
      </c>
      <c r="H101" s="186">
        <f>'IS (F1Q23)'!H101-'IS (F4Q2022)'!H101</f>
        <v>0</v>
      </c>
      <c r="I101" s="167">
        <f>'IS (F1Q23)'!I101-'IS (F4Q2022)'!I101</f>
        <v>0</v>
      </c>
      <c r="J101" s="167">
        <f>'IS (F1Q23)'!J101-'IS (F4Q2022)'!J101</f>
        <v>0</v>
      </c>
      <c r="K101" s="167">
        <f>'IS (F1Q23)'!K101-'IS (F4Q2022)'!K101</f>
        <v>0</v>
      </c>
      <c r="L101" s="167">
        <f>'IS (F1Q23)'!L101-'IS (F4Q2022)'!L101</f>
        <v>0</v>
      </c>
      <c r="M101" s="186">
        <f>'IS (F1Q23)'!M101-'IS (F4Q2022)'!M101</f>
        <v>0</v>
      </c>
      <c r="N101" s="167">
        <f>'IS (F1Q23)'!N101-'IS (F4Q2022)'!N101</f>
        <v>0</v>
      </c>
      <c r="O101" s="167">
        <f>'IS (F1Q23)'!O101-'IS (F4Q2022)'!O101</f>
        <v>0</v>
      </c>
      <c r="P101" s="167">
        <f>'IS (F1Q23)'!P101-'IS (F4Q2022)'!P101</f>
        <v>0</v>
      </c>
      <c r="Q101" s="167">
        <f>'IS (F1Q23)'!Q101-'IS (F4Q2022)'!Q101</f>
        <v>0</v>
      </c>
      <c r="R101" s="188">
        <f>'IS (F1Q23)'!R101-'IS (F4Q2022)'!R101</f>
        <v>0</v>
      </c>
      <c r="S101" s="167">
        <f>'IS (F1Q23)'!S101-'IS (F4Q2022)'!S101</f>
        <v>0</v>
      </c>
      <c r="T101" s="167">
        <f>'IS (F1Q23)'!T101-'IS (F4Q2022)'!T101</f>
        <v>0</v>
      </c>
      <c r="U101" s="167">
        <f>'IS (F1Q23)'!U101-'IS (F4Q2022)'!U101</f>
        <v>0</v>
      </c>
      <c r="V101" s="167">
        <f>'IS (F1Q23)'!V101-'IS (F4Q2022)'!V101</f>
        <v>0</v>
      </c>
      <c r="W101" s="188">
        <f>'IS (F1Q23)'!W101-'IS (F4Q2022)'!W101</f>
        <v>0</v>
      </c>
      <c r="X101" s="189">
        <f>'IS (F1Q23)'!X101-'IS (F4Q2022)'!X101</f>
        <v>-7.561570930051803E-4</v>
      </c>
      <c r="Y101" s="189">
        <f>'IS (F1Q23)'!Y101-'IS (F4Q2022)'!Y101</f>
        <v>4.9999999999999975E-3</v>
      </c>
      <c r="Z101" s="189">
        <f>'IS (F1Q23)'!Z101-'IS (F4Q2022)'!Z101</f>
        <v>0</v>
      </c>
      <c r="AA101" s="189">
        <f>'IS (F1Q23)'!AA101-'IS (F4Q2022)'!AA101</f>
        <v>0</v>
      </c>
      <c r="AB101" s="188">
        <f>'IS (F1Q23)'!AB101-'IS (F4Q2022)'!AB101</f>
        <v>9.6900982260247903E-4</v>
      </c>
      <c r="AC101" s="189">
        <f>'IS (F1Q23)'!AC101-'IS (F4Q2022)'!AC101</f>
        <v>-7.561570930051803E-4</v>
      </c>
      <c r="AD101" s="189">
        <f>'IS (F1Q23)'!AD101-'IS (F4Q2022)'!AD101</f>
        <v>4.9999999999999975E-3</v>
      </c>
      <c r="AE101" s="189">
        <f>'IS (F1Q23)'!AE101-'IS (F4Q2022)'!AE101</f>
        <v>0</v>
      </c>
      <c r="AF101" s="189">
        <f>'IS (F1Q23)'!AF101-'IS (F4Q2022)'!AF101</f>
        <v>0</v>
      </c>
      <c r="AG101" s="188">
        <f>'IS (F1Q23)'!AG101-'IS (F4Q2022)'!AG101</f>
        <v>9.902913324913859E-4</v>
      </c>
      <c r="AH101" s="189">
        <f>'IS (F1Q23)'!AH101-'IS (F4Q2022)'!AH101</f>
        <v>-7.561570930051803E-4</v>
      </c>
      <c r="AI101" s="189">
        <f>'IS (F1Q23)'!AI101-'IS (F4Q2022)'!AI101</f>
        <v>4.9999999999999975E-3</v>
      </c>
      <c r="AJ101" s="189">
        <f>'IS (F1Q23)'!AJ101-'IS (F4Q2022)'!AJ101</f>
        <v>0</v>
      </c>
      <c r="AK101" s="189">
        <f>'IS (F1Q23)'!AK101-'IS (F4Q2022)'!AK101</f>
        <v>0</v>
      </c>
      <c r="AL101" s="188">
        <f>'IS (F1Q23)'!AL101-'IS (F4Q2022)'!AL101</f>
        <v>9.912327215217398E-4</v>
      </c>
      <c r="AM101" s="189">
        <f>'IS (F1Q23)'!AM101-'IS (F4Q2022)'!AM101</f>
        <v>-7.561570930051803E-4</v>
      </c>
      <c r="AN101" s="189">
        <f>'IS (F1Q23)'!AN101-'IS (F4Q2022)'!AN101</f>
        <v>4.9999999999999975E-3</v>
      </c>
      <c r="AO101" s="189">
        <f>'IS (F1Q23)'!AO101-'IS (F4Q2022)'!AO101</f>
        <v>0</v>
      </c>
      <c r="AP101" s="189">
        <f>'IS (F1Q23)'!AP101-'IS (F4Q2022)'!AP101</f>
        <v>0</v>
      </c>
      <c r="AQ101" s="188">
        <f>'IS (F1Q23)'!AQ101-'IS (F4Q2022)'!AQ101</f>
        <v>9.9738438570168286E-4</v>
      </c>
      <c r="AR101" s="189">
        <f>'IS (F1Q23)'!AR101-'IS (F4Q2022)'!AR101</f>
        <v>-7.561570930051803E-4</v>
      </c>
      <c r="AS101" s="189">
        <f>'IS (F1Q23)'!AS101-'IS (F4Q2022)'!AS101</f>
        <v>4.9999999999999975E-3</v>
      </c>
      <c r="AT101" s="189">
        <f>'IS (F1Q23)'!AT101-'IS (F4Q2022)'!AT101</f>
        <v>0</v>
      </c>
      <c r="AU101" s="189">
        <f>'IS (F1Q23)'!AU101-'IS (F4Q2022)'!AU101</f>
        <v>0</v>
      </c>
      <c r="AV101" s="188">
        <f>'IS (F1Q23)'!AV101-'IS (F4Q2022)'!AV101</f>
        <v>9.9778596886000714E-4</v>
      </c>
    </row>
    <row r="102" spans="1:48" ht="16.2" outlineLevel="1" x14ac:dyDescent="0.45">
      <c r="B102" s="180" t="s">
        <v>42</v>
      </c>
      <c r="C102" s="18"/>
      <c r="D102" s="119">
        <f>'IS (F1Q23)'!D102-'IS (F4Q2022)'!D102</f>
        <v>0</v>
      </c>
      <c r="E102" s="119">
        <f>'IS (F1Q23)'!E102-'IS (F4Q2022)'!E102</f>
        <v>0</v>
      </c>
      <c r="F102" s="119">
        <f>'IS (F1Q23)'!F102-'IS (F4Q2022)'!F102</f>
        <v>0</v>
      </c>
      <c r="G102" s="119">
        <f>'IS (F1Q23)'!G102-'IS (F4Q2022)'!G102</f>
        <v>0</v>
      </c>
      <c r="H102" s="131">
        <f>'IS (F1Q23)'!H102-'IS (F4Q2022)'!H102</f>
        <v>0</v>
      </c>
      <c r="I102" s="119">
        <f>'IS (F1Q23)'!I102-'IS (F4Q2022)'!I102</f>
        <v>0</v>
      </c>
      <c r="J102" s="119">
        <f>'IS (F1Q23)'!J102-'IS (F4Q2022)'!J102</f>
        <v>0</v>
      </c>
      <c r="K102" s="119">
        <f>'IS (F1Q23)'!K102-'IS (F4Q2022)'!K102</f>
        <v>0</v>
      </c>
      <c r="L102" s="119">
        <f>'IS (F1Q23)'!L102-'IS (F4Q2022)'!L102</f>
        <v>0</v>
      </c>
      <c r="M102" s="131">
        <f>'IS (F1Q23)'!M102-'IS (F4Q2022)'!M102</f>
        <v>0</v>
      </c>
      <c r="N102" s="119">
        <f>'IS (F1Q23)'!N102-'IS (F4Q2022)'!N102</f>
        <v>0</v>
      </c>
      <c r="O102" s="119">
        <f>'IS (F1Q23)'!O102-'IS (F4Q2022)'!O102</f>
        <v>0</v>
      </c>
      <c r="P102" s="119">
        <f>'IS (F1Q23)'!P102-'IS (F4Q2022)'!P102</f>
        <v>0</v>
      </c>
      <c r="Q102" s="119">
        <f>'IS (F1Q23)'!Q102-'IS (F4Q2022)'!Q102</f>
        <v>0</v>
      </c>
      <c r="R102" s="131">
        <f>'IS (F1Q23)'!R102-'IS (F4Q2022)'!R102</f>
        <v>0</v>
      </c>
      <c r="S102" s="119">
        <f>'IS (F1Q23)'!S102-'IS (F4Q2022)'!S102</f>
        <v>0</v>
      </c>
      <c r="T102" s="119">
        <f>'IS (F1Q23)'!T102-'IS (F4Q2022)'!T102</f>
        <v>0</v>
      </c>
      <c r="U102" s="119">
        <f>'IS (F1Q23)'!U102-'IS (F4Q2022)'!U102</f>
        <v>0</v>
      </c>
      <c r="V102" s="119">
        <f>'IS (F1Q23)'!V102-'IS (F4Q2022)'!V102</f>
        <v>0</v>
      </c>
      <c r="W102" s="131">
        <f>'IS (F1Q23)'!W102-'IS (F4Q2022)'!W102</f>
        <v>0</v>
      </c>
      <c r="X102" s="119">
        <f>'IS (F1Q23)'!X102-'IS (F4Q2022)'!X102</f>
        <v>0</v>
      </c>
      <c r="Y102" s="119">
        <f>'IS (F1Q23)'!Y102-'IS (F4Q2022)'!Y102</f>
        <v>0</v>
      </c>
      <c r="Z102" s="119">
        <f>'IS (F1Q23)'!Z102-'IS (F4Q2022)'!Z102</f>
        <v>0</v>
      </c>
      <c r="AA102" s="119">
        <f>'IS (F1Q23)'!AA102-'IS (F4Q2022)'!AA102</f>
        <v>0</v>
      </c>
      <c r="AB102" s="131">
        <f>'IS (F1Q23)'!AB102-'IS (F4Q2022)'!AB102</f>
        <v>0</v>
      </c>
      <c r="AC102" s="119">
        <f>'IS (F1Q23)'!AC102-'IS (F4Q2022)'!AC102</f>
        <v>0</v>
      </c>
      <c r="AD102" s="119">
        <f>'IS (F1Q23)'!AD102-'IS (F4Q2022)'!AD102</f>
        <v>0</v>
      </c>
      <c r="AE102" s="119">
        <f>'IS (F1Q23)'!AE102-'IS (F4Q2022)'!AE102</f>
        <v>0</v>
      </c>
      <c r="AF102" s="119">
        <f>'IS (F1Q23)'!AF102-'IS (F4Q2022)'!AF102</f>
        <v>0</v>
      </c>
      <c r="AG102" s="131">
        <f>'IS (F1Q23)'!AG102-'IS (F4Q2022)'!AG102</f>
        <v>0</v>
      </c>
      <c r="AH102" s="119">
        <f>'IS (F1Q23)'!AH102-'IS (F4Q2022)'!AH102</f>
        <v>0</v>
      </c>
      <c r="AI102" s="119">
        <f>'IS (F1Q23)'!AI102-'IS (F4Q2022)'!AI102</f>
        <v>0</v>
      </c>
      <c r="AJ102" s="119">
        <f>'IS (F1Q23)'!AJ102-'IS (F4Q2022)'!AJ102</f>
        <v>0</v>
      </c>
      <c r="AK102" s="119">
        <f>'IS (F1Q23)'!AK102-'IS (F4Q2022)'!AK102</f>
        <v>0</v>
      </c>
      <c r="AL102" s="131">
        <f>'IS (F1Q23)'!AL102-'IS (F4Q2022)'!AL102</f>
        <v>0</v>
      </c>
      <c r="AM102" s="119">
        <f>'IS (F1Q23)'!AM102-'IS (F4Q2022)'!AM102</f>
        <v>0</v>
      </c>
      <c r="AN102" s="119">
        <f>'IS (F1Q23)'!AN102-'IS (F4Q2022)'!AN102</f>
        <v>0</v>
      </c>
      <c r="AO102" s="119">
        <f>'IS (F1Q23)'!AO102-'IS (F4Q2022)'!AO102</f>
        <v>0</v>
      </c>
      <c r="AP102" s="119">
        <f>'IS (F1Q23)'!AP102-'IS (F4Q2022)'!AP102</f>
        <v>0</v>
      </c>
      <c r="AQ102" s="131">
        <f>'IS (F1Q23)'!AQ102-'IS (F4Q2022)'!AQ102</f>
        <v>0</v>
      </c>
      <c r="AR102" s="119">
        <f>'IS (F1Q23)'!AR102-'IS (F4Q2022)'!AR102</f>
        <v>0</v>
      </c>
      <c r="AS102" s="119">
        <f>'IS (F1Q23)'!AS102-'IS (F4Q2022)'!AS102</f>
        <v>0</v>
      </c>
      <c r="AT102" s="119">
        <f>'IS (F1Q23)'!AT102-'IS (F4Q2022)'!AT102</f>
        <v>0</v>
      </c>
      <c r="AU102" s="119">
        <f>'IS (F1Q23)'!AU102-'IS (F4Q2022)'!AU102</f>
        <v>0</v>
      </c>
      <c r="AV102" s="131">
        <f>'IS (F1Q23)'!AV102-'IS (F4Q2022)'!AV102</f>
        <v>0</v>
      </c>
    </row>
    <row r="103" spans="1:48" outlineLevel="1" x14ac:dyDescent="0.3">
      <c r="B103" s="46" t="s">
        <v>123</v>
      </c>
      <c r="C103" s="19"/>
      <c r="D103" s="103">
        <f>'IS (F1Q23)'!D103-'IS (F4Q2022)'!D103</f>
        <v>0</v>
      </c>
      <c r="E103" s="103">
        <f>'IS (F1Q23)'!E103-'IS (F4Q2022)'!E103</f>
        <v>0</v>
      </c>
      <c r="F103" s="103">
        <f>'IS (F1Q23)'!F103-'IS (F4Q2022)'!F103</f>
        <v>0</v>
      </c>
      <c r="G103" s="103">
        <f>'IS (F1Q23)'!G103-'IS (F4Q2022)'!G103</f>
        <v>0</v>
      </c>
      <c r="H103" s="171">
        <f>'IS (F1Q23)'!H103-'IS (F4Q2022)'!H103</f>
        <v>0</v>
      </c>
      <c r="I103" s="103">
        <f>'IS (F1Q23)'!I103-'IS (F4Q2022)'!I103</f>
        <v>0</v>
      </c>
      <c r="J103" s="103">
        <f>'IS (F1Q23)'!J103-'IS (F4Q2022)'!J103</f>
        <v>0</v>
      </c>
      <c r="K103" s="103">
        <f>'IS (F1Q23)'!K103-'IS (F4Q2022)'!K103</f>
        <v>0</v>
      </c>
      <c r="L103" s="103">
        <f>'IS (F1Q23)'!L103-'IS (F4Q2022)'!L103</f>
        <v>0</v>
      </c>
      <c r="M103" s="171">
        <f>'IS (F1Q23)'!M103-'IS (F4Q2022)'!M103</f>
        <v>0</v>
      </c>
      <c r="N103" s="103">
        <f>'IS (F1Q23)'!N103-'IS (F4Q2022)'!N103</f>
        <v>0</v>
      </c>
      <c r="O103" s="103">
        <f>'IS (F1Q23)'!O103-'IS (F4Q2022)'!O103</f>
        <v>0</v>
      </c>
      <c r="P103" s="103">
        <f>'IS (F1Q23)'!P103-'IS (F4Q2022)'!P103</f>
        <v>0</v>
      </c>
      <c r="Q103" s="103">
        <f>'IS (F1Q23)'!Q103-'IS (F4Q2022)'!Q103</f>
        <v>0</v>
      </c>
      <c r="R103" s="171">
        <f>'IS (F1Q23)'!R103-'IS (F4Q2022)'!R103</f>
        <v>0</v>
      </c>
      <c r="S103" s="103">
        <f>'IS (F1Q23)'!S103-'IS (F4Q2022)'!S103</f>
        <v>0</v>
      </c>
      <c r="T103" s="103">
        <f>'IS (F1Q23)'!T103-'IS (F4Q2022)'!T103</f>
        <v>0</v>
      </c>
      <c r="U103" s="103">
        <f>'IS (F1Q23)'!U103-'IS (F4Q2022)'!U103</f>
        <v>0</v>
      </c>
      <c r="V103" s="103">
        <f>'IS (F1Q23)'!V103-'IS (F4Q2022)'!V103</f>
        <v>0</v>
      </c>
      <c r="W103" s="171">
        <f>'IS (F1Q23)'!W103-'IS (F4Q2022)'!W103</f>
        <v>0</v>
      </c>
      <c r="X103" s="103">
        <f>'IS (F1Q23)'!X103-'IS (F4Q2022)'!X103</f>
        <v>-153.07334967452539</v>
      </c>
      <c r="Y103" s="103">
        <f>'IS (F1Q23)'!Y103-'IS (F4Q2022)'!Y103</f>
        <v>49.755956022408782</v>
      </c>
      <c r="Z103" s="103">
        <f>'IS (F1Q23)'!Z103-'IS (F4Q2022)'!Z103</f>
        <v>-153.94439063942696</v>
      </c>
      <c r="AA103" s="103">
        <f>'IS (F1Q23)'!AA103-'IS (F4Q2022)'!AA103</f>
        <v>-229.79833791951341</v>
      </c>
      <c r="AB103" s="171">
        <f>'IS (F1Q23)'!AB103-'IS (F4Q2022)'!AB103</f>
        <v>-487.0601222110563</v>
      </c>
      <c r="AC103" s="103">
        <f>'IS (F1Q23)'!AC103-'IS (F4Q2022)'!AC103</f>
        <v>-190.13072318119384</v>
      </c>
      <c r="AD103" s="103">
        <f>'IS (F1Q23)'!AD103-'IS (F4Q2022)'!AD103</f>
        <v>77.105121040259974</v>
      </c>
      <c r="AE103" s="103">
        <f>'IS (F1Q23)'!AE103-'IS (F4Q2022)'!AE103</f>
        <v>-170.73256984065506</v>
      </c>
      <c r="AF103" s="103">
        <f>'IS (F1Q23)'!AF103-'IS (F4Q2022)'!AF103</f>
        <v>-262.57401232885559</v>
      </c>
      <c r="AG103" s="171">
        <f>'IS (F1Q23)'!AG103-'IS (F4Q2022)'!AG103</f>
        <v>-546.33218431044497</v>
      </c>
      <c r="AH103" s="103">
        <f>'IS (F1Q23)'!AH103-'IS (F4Q2022)'!AH103</f>
        <v>-214.0531575472678</v>
      </c>
      <c r="AI103" s="103">
        <f>'IS (F1Q23)'!AI103-'IS (F4Q2022)'!AI103</f>
        <v>95.373325847645901</v>
      </c>
      <c r="AJ103" s="103">
        <f>'IS (F1Q23)'!AJ103-'IS (F4Q2022)'!AJ103</f>
        <v>-192.74980793470513</v>
      </c>
      <c r="AK103" s="103">
        <f>'IS (F1Q23)'!AK103-'IS (F4Q2022)'!AK103</f>
        <v>-298.8275370781389</v>
      </c>
      <c r="AL103" s="171">
        <f>'IS (F1Q23)'!AL103-'IS (F4Q2022)'!AL103</f>
        <v>-610.25717671246639</v>
      </c>
      <c r="AM103" s="103">
        <f>'IS (F1Q23)'!AM103-'IS (F4Q2022)'!AM103</f>
        <v>-241.35824583690101</v>
      </c>
      <c r="AN103" s="103">
        <f>'IS (F1Q23)'!AN103-'IS (F4Q2022)'!AN103</f>
        <v>112.65000621353283</v>
      </c>
      <c r="AO103" s="103">
        <f>'IS (F1Q23)'!AO103-'IS (F4Q2022)'!AO103</f>
        <v>-212.09338727337627</v>
      </c>
      <c r="AP103" s="103">
        <f>'IS (F1Q23)'!AP103-'IS (F4Q2022)'!AP103</f>
        <v>-327.01829490041519</v>
      </c>
      <c r="AQ103" s="171">
        <f>'IS (F1Q23)'!AQ103-'IS (F4Q2022)'!AQ103</f>
        <v>-667.8199217971578</v>
      </c>
      <c r="AR103" s="103">
        <f>'IS (F1Q23)'!AR103-'IS (F4Q2022)'!AR103</f>
        <v>-259.42399486741351</v>
      </c>
      <c r="AS103" s="103">
        <f>'IS (F1Q23)'!AS103-'IS (F4Q2022)'!AS103</f>
        <v>121.61161966542659</v>
      </c>
      <c r="AT103" s="103">
        <f>'IS (F1Q23)'!AT103-'IS (F4Q2022)'!AT103</f>
        <v>-226.73479097219479</v>
      </c>
      <c r="AU103" s="103">
        <f>'IS (F1Q23)'!AU103-'IS (F4Q2022)'!AU103</f>
        <v>-349.86551700691734</v>
      </c>
      <c r="AV103" s="171">
        <f>'IS (F1Q23)'!AV103-'IS (F4Q2022)'!AV103</f>
        <v>-714.41268318110087</v>
      </c>
    </row>
    <row r="104" spans="1:48" ht="16.2" outlineLevel="1" x14ac:dyDescent="0.45">
      <c r="B104" s="180" t="s">
        <v>36</v>
      </c>
      <c r="C104" s="18"/>
      <c r="D104" s="119">
        <f>'IS (F1Q23)'!D104-'IS (F4Q2022)'!D104</f>
        <v>0</v>
      </c>
      <c r="E104" s="104">
        <f>'IS (F1Q23)'!E104-'IS (F4Q2022)'!E104</f>
        <v>0</v>
      </c>
      <c r="F104" s="104">
        <f>'IS (F1Q23)'!F104-'IS (F4Q2022)'!F104</f>
        <v>0</v>
      </c>
      <c r="G104" s="104">
        <f>'IS (F1Q23)'!G104-'IS (F4Q2022)'!G104</f>
        <v>0</v>
      </c>
      <c r="H104" s="214">
        <f>'IS (F1Q23)'!H104-'IS (F4Q2022)'!H104</f>
        <v>0</v>
      </c>
      <c r="I104" s="104">
        <f>'IS (F1Q23)'!I104-'IS (F4Q2022)'!I104</f>
        <v>0</v>
      </c>
      <c r="J104" s="104">
        <f>'IS (F1Q23)'!J104-'IS (F4Q2022)'!J104</f>
        <v>0</v>
      </c>
      <c r="K104" s="104">
        <f>'IS (F1Q23)'!K104-'IS (F4Q2022)'!K104</f>
        <v>0</v>
      </c>
      <c r="L104" s="104">
        <f>'IS (F1Q23)'!L104-'IS (F4Q2022)'!L104</f>
        <v>0</v>
      </c>
      <c r="M104" s="214">
        <f>'IS (F1Q23)'!M104-'IS (F4Q2022)'!M104</f>
        <v>0</v>
      </c>
      <c r="N104" s="104">
        <f>'IS (F1Q23)'!N104-'IS (F4Q2022)'!N104</f>
        <v>0</v>
      </c>
      <c r="O104" s="104">
        <f>'IS (F1Q23)'!O104-'IS (F4Q2022)'!O104</f>
        <v>0</v>
      </c>
      <c r="P104" s="104">
        <f>'IS (F1Q23)'!P104-'IS (F4Q2022)'!P104</f>
        <v>0</v>
      </c>
      <c r="Q104" s="104">
        <f>'IS (F1Q23)'!Q104-'IS (F4Q2022)'!Q104</f>
        <v>0</v>
      </c>
      <c r="R104" s="193">
        <f>'IS (F1Q23)'!R104-'IS (F4Q2022)'!R104</f>
        <v>0</v>
      </c>
      <c r="S104" s="104">
        <f>'IS (F1Q23)'!S104-'IS (F4Q2022)'!S104</f>
        <v>0</v>
      </c>
      <c r="T104" s="104">
        <f>'IS (F1Q23)'!T104-'IS (F4Q2022)'!T104</f>
        <v>0</v>
      </c>
      <c r="U104" s="104">
        <f>'IS (F1Q23)'!U104-'IS (F4Q2022)'!U104</f>
        <v>0</v>
      </c>
      <c r="V104" s="104">
        <f>'IS (F1Q23)'!V104-'IS (F4Q2022)'!V104</f>
        <v>0</v>
      </c>
      <c r="W104" s="193">
        <f>'IS (F1Q23)'!W104-'IS (F4Q2022)'!W104</f>
        <v>0</v>
      </c>
      <c r="X104" s="56">
        <f>'IS (F1Q23)'!X104-'IS (F4Q2022)'!X104</f>
        <v>9.9999999999999978E-2</v>
      </c>
      <c r="Y104" s="56">
        <f>'IS (F1Q23)'!Y104-'IS (F4Q2022)'!Y104</f>
        <v>0</v>
      </c>
      <c r="Z104" s="56">
        <f>'IS (F1Q23)'!Z104-'IS (F4Q2022)'!Z104</f>
        <v>0</v>
      </c>
      <c r="AA104" s="56">
        <f>'IS (F1Q23)'!AA104-'IS (F4Q2022)'!AA104</f>
        <v>0</v>
      </c>
      <c r="AB104" s="193">
        <f>'IS (F1Q23)'!AB104-'IS (F4Q2022)'!AB104</f>
        <v>9.9999999999999645E-2</v>
      </c>
      <c r="AC104" s="56">
        <f>'IS (F1Q23)'!AC104-'IS (F4Q2022)'!AC104</f>
        <v>0</v>
      </c>
      <c r="AD104" s="56">
        <f>'IS (F1Q23)'!AD104-'IS (F4Q2022)'!AD104</f>
        <v>0</v>
      </c>
      <c r="AE104" s="56">
        <f>'IS (F1Q23)'!AE104-'IS (F4Q2022)'!AE104</f>
        <v>0</v>
      </c>
      <c r="AF104" s="56">
        <f>'IS (F1Q23)'!AF104-'IS (F4Q2022)'!AF104</f>
        <v>0</v>
      </c>
      <c r="AG104" s="193">
        <f>'IS (F1Q23)'!AG104-'IS (F4Q2022)'!AG104</f>
        <v>0</v>
      </c>
      <c r="AH104" s="56">
        <f>'IS (F1Q23)'!AH104-'IS (F4Q2022)'!AH104</f>
        <v>0</v>
      </c>
      <c r="AI104" s="56">
        <f>'IS (F1Q23)'!AI104-'IS (F4Q2022)'!AI104</f>
        <v>0</v>
      </c>
      <c r="AJ104" s="56">
        <f>'IS (F1Q23)'!AJ104-'IS (F4Q2022)'!AJ104</f>
        <v>0</v>
      </c>
      <c r="AK104" s="56">
        <f>'IS (F1Q23)'!AK104-'IS (F4Q2022)'!AK104</f>
        <v>0</v>
      </c>
      <c r="AL104" s="193">
        <f>'IS (F1Q23)'!AL104-'IS (F4Q2022)'!AL104</f>
        <v>0</v>
      </c>
      <c r="AM104" s="56">
        <f>'IS (F1Q23)'!AM104-'IS (F4Q2022)'!AM104</f>
        <v>0</v>
      </c>
      <c r="AN104" s="56">
        <f>'IS (F1Q23)'!AN104-'IS (F4Q2022)'!AN104</f>
        <v>0</v>
      </c>
      <c r="AO104" s="56">
        <f>'IS (F1Q23)'!AO104-'IS (F4Q2022)'!AO104</f>
        <v>0</v>
      </c>
      <c r="AP104" s="56">
        <f>'IS (F1Q23)'!AP104-'IS (F4Q2022)'!AP104</f>
        <v>0</v>
      </c>
      <c r="AQ104" s="193">
        <f>'IS (F1Q23)'!AQ104-'IS (F4Q2022)'!AQ104</f>
        <v>0</v>
      </c>
      <c r="AR104" s="56">
        <f>'IS (F1Q23)'!AR104-'IS (F4Q2022)'!AR104</f>
        <v>0</v>
      </c>
      <c r="AS104" s="56">
        <f>'IS (F1Q23)'!AS104-'IS (F4Q2022)'!AS104</f>
        <v>0</v>
      </c>
      <c r="AT104" s="56">
        <f>'IS (F1Q23)'!AT104-'IS (F4Q2022)'!AT104</f>
        <v>0</v>
      </c>
      <c r="AU104" s="56">
        <f>'IS (F1Q23)'!AU104-'IS (F4Q2022)'!AU104</f>
        <v>0</v>
      </c>
      <c r="AV104" s="193">
        <f>'IS (F1Q23)'!AV104-'IS (F4Q2022)'!AV104</f>
        <v>0</v>
      </c>
    </row>
    <row r="105" spans="1:48" outlineLevel="1" x14ac:dyDescent="0.3">
      <c r="B105" s="46" t="s">
        <v>124</v>
      </c>
      <c r="C105" s="44"/>
      <c r="D105" s="156">
        <f>'IS (F1Q23)'!D105-'IS (F4Q2022)'!D105</f>
        <v>0</v>
      </c>
      <c r="E105" s="156">
        <f>'IS (F1Q23)'!E105-'IS (F4Q2022)'!E105</f>
        <v>0</v>
      </c>
      <c r="F105" s="156">
        <f>'IS (F1Q23)'!F105-'IS (F4Q2022)'!F105</f>
        <v>0</v>
      </c>
      <c r="G105" s="156">
        <f>'IS (F1Q23)'!G105-'IS (F4Q2022)'!G105</f>
        <v>0</v>
      </c>
      <c r="H105" s="132">
        <f>'IS (F1Q23)'!H105-'IS (F4Q2022)'!H105</f>
        <v>0</v>
      </c>
      <c r="I105" s="156">
        <f>'IS (F1Q23)'!I105-'IS (F4Q2022)'!I105</f>
        <v>0</v>
      </c>
      <c r="J105" s="156">
        <f>'IS (F1Q23)'!J105-'IS (F4Q2022)'!J105</f>
        <v>0</v>
      </c>
      <c r="K105" s="156">
        <f>'IS (F1Q23)'!K105-'IS (F4Q2022)'!K105</f>
        <v>0</v>
      </c>
      <c r="L105" s="156">
        <f>'IS (F1Q23)'!L105-'IS (F4Q2022)'!L105</f>
        <v>0</v>
      </c>
      <c r="M105" s="132">
        <f>'IS (F1Q23)'!M105-'IS (F4Q2022)'!M105</f>
        <v>0</v>
      </c>
      <c r="N105" s="156">
        <f>'IS (F1Q23)'!N105-'IS (F4Q2022)'!N105</f>
        <v>0</v>
      </c>
      <c r="O105" s="156">
        <f>'IS (F1Q23)'!O105-'IS (F4Q2022)'!O105</f>
        <v>0</v>
      </c>
      <c r="P105" s="156">
        <f>'IS (F1Q23)'!P105-'IS (F4Q2022)'!P105</f>
        <v>0</v>
      </c>
      <c r="Q105" s="156">
        <f>'IS (F1Q23)'!Q105-'IS (F4Q2022)'!Q105</f>
        <v>0</v>
      </c>
      <c r="R105" s="97">
        <f>'IS (F1Q23)'!R105-'IS (F4Q2022)'!R105</f>
        <v>0</v>
      </c>
      <c r="S105" s="74">
        <f>'IS (F1Q23)'!S105-'IS (F4Q2022)'!S105</f>
        <v>0</v>
      </c>
      <c r="T105" s="74">
        <f>'IS (F1Q23)'!T105-'IS (F4Q2022)'!T105</f>
        <v>0</v>
      </c>
      <c r="U105" s="74">
        <f>'IS (F1Q23)'!U105-'IS (F4Q2022)'!U105</f>
        <v>0</v>
      </c>
      <c r="V105" s="74">
        <f>'IS (F1Q23)'!V105-'IS (F4Q2022)'!V105</f>
        <v>0</v>
      </c>
      <c r="W105" s="97">
        <f>'IS (F1Q23)'!W105-'IS (F4Q2022)'!W105</f>
        <v>0</v>
      </c>
      <c r="X105" s="74">
        <f>'IS (F1Q23)'!X105-'IS (F4Q2022)'!X105</f>
        <v>-40.248104692201309</v>
      </c>
      <c r="Y105" s="74">
        <f>'IS (F1Q23)'!Y105-'IS (F4Q2022)'!Y105</f>
        <v>-72.863683761324182</v>
      </c>
      <c r="Z105" s="74">
        <f>'IS (F1Q23)'!Z105-'IS (F4Q2022)'!Z105</f>
        <v>133.55464252460277</v>
      </c>
      <c r="AA105" s="74">
        <f>'IS (F1Q23)'!AA105-'IS (F4Q2022)'!AA105</f>
        <v>210.7698209867504</v>
      </c>
      <c r="AB105" s="97">
        <f>'IS (F1Q23)'!AB105-'IS (F4Q2022)'!AB105</f>
        <v>231.21267505782771</v>
      </c>
      <c r="AC105" s="74">
        <f>'IS (F1Q23)'!AC105-'IS (F4Q2022)'!AC105</f>
        <v>-73.356959072559675</v>
      </c>
      <c r="AD105" s="74">
        <f>'IS (F1Q23)'!AD105-'IS (F4Q2022)'!AD105</f>
        <v>-91.566406616823087</v>
      </c>
      <c r="AE105" s="74">
        <f>'IS (F1Q23)'!AE105-'IS (F4Q2022)'!AE105</f>
        <v>155.61914313098646</v>
      </c>
      <c r="AF105" s="74">
        <f>'IS (F1Q23)'!AF105-'IS (F4Q2022)'!AF105</f>
        <v>244.806007219413</v>
      </c>
      <c r="AG105" s="97">
        <f>'IS (F1Q23)'!AG105-'IS (F4Q2022)'!AG105</f>
        <v>235.5017846610167</v>
      </c>
      <c r="AH105" s="74">
        <f>'IS (F1Q23)'!AH105-'IS (F4Q2022)'!AH105</f>
        <v>-93.110521429900928</v>
      </c>
      <c r="AI105" s="74">
        <f>'IS (F1Q23)'!AI105-'IS (F4Q2022)'!AI105</f>
        <v>-110.55767570303715</v>
      </c>
      <c r="AJ105" s="74">
        <f>'IS (F1Q23)'!AJ105-'IS (F4Q2022)'!AJ105</f>
        <v>176.8807098895536</v>
      </c>
      <c r="AK105" s="74">
        <f>'IS (F1Q23)'!AK105-'IS (F4Q2022)'!AK105</f>
        <v>280.17113171322399</v>
      </c>
      <c r="AL105" s="97">
        <f>'IS (F1Q23)'!AL105-'IS (F4Q2022)'!AL105</f>
        <v>253.38364446983951</v>
      </c>
      <c r="AM105" s="74">
        <f>'IS (F1Q23)'!AM105-'IS (F4Q2022)'!AM105</f>
        <v>-112.28502426662089</v>
      </c>
      <c r="AN105" s="74">
        <f>'IS (F1Q23)'!AN105-'IS (F4Q2022)'!AN105</f>
        <v>-128.59357356169312</v>
      </c>
      <c r="AO105" s="74">
        <f>'IS (F1Q23)'!AO105-'IS (F4Q2022)'!AO105</f>
        <v>195.43083432596677</v>
      </c>
      <c r="AP105" s="74">
        <f>'IS (F1Q23)'!AP105-'IS (F4Q2022)'!AP105</f>
        <v>307.42906926725391</v>
      </c>
      <c r="AQ105" s="97">
        <f>'IS (F1Q23)'!AQ105-'IS (F4Q2022)'!AQ105</f>
        <v>261.98130576490666</v>
      </c>
      <c r="AR105" s="74">
        <f>'IS (F1Q23)'!AR105-'IS (F4Q2022)'!AR105</f>
        <v>-121.3197957784314</v>
      </c>
      <c r="AS105" s="74">
        <f>'IS (F1Q23)'!AS105-'IS (F4Q2022)'!AS105</f>
        <v>-138.03349403403217</v>
      </c>
      <c r="AT105" s="74">
        <f>'IS (F1Q23)'!AT105-'IS (F4Q2022)'!AT105</f>
        <v>209.57236143636328</v>
      </c>
      <c r="AU105" s="74">
        <f>'IS (F1Q23)'!AU105-'IS (F4Q2022)'!AU105</f>
        <v>329.68861460476182</v>
      </c>
      <c r="AV105" s="97">
        <f>'IS (F1Q23)'!AV105-'IS (F4Q2022)'!AV105</f>
        <v>279.90768622866153</v>
      </c>
    </row>
    <row r="106" spans="1:48" outlineLevel="1" x14ac:dyDescent="0.3">
      <c r="B106" s="46" t="s">
        <v>125</v>
      </c>
      <c r="C106" s="44"/>
      <c r="D106" s="157">
        <f>'IS (F1Q23)'!D106-'IS (F4Q2022)'!D106</f>
        <v>0</v>
      </c>
      <c r="E106" s="157">
        <f>'IS (F1Q23)'!E106-'IS (F4Q2022)'!E106</f>
        <v>0</v>
      </c>
      <c r="F106" s="157">
        <f>'IS (F1Q23)'!F106-'IS (F4Q2022)'!F106</f>
        <v>0</v>
      </c>
      <c r="G106" s="157">
        <f>'IS (F1Q23)'!G106-'IS (F4Q2022)'!G106</f>
        <v>0</v>
      </c>
      <c r="H106" s="133">
        <f>'IS (F1Q23)'!H106-'IS (F4Q2022)'!H106</f>
        <v>0</v>
      </c>
      <c r="I106" s="157">
        <f>'IS (F1Q23)'!I106-'IS (F4Q2022)'!I106</f>
        <v>0</v>
      </c>
      <c r="J106" s="157">
        <f>'IS (F1Q23)'!J106-'IS (F4Q2022)'!J106</f>
        <v>0</v>
      </c>
      <c r="K106" s="157">
        <f>'IS (F1Q23)'!K106-'IS (F4Q2022)'!K106</f>
        <v>0</v>
      </c>
      <c r="L106" s="157">
        <f>'IS (F1Q23)'!L106-'IS (F4Q2022)'!L106</f>
        <v>0</v>
      </c>
      <c r="M106" s="133">
        <f>'IS (F1Q23)'!M106-'IS (F4Q2022)'!M106</f>
        <v>0</v>
      </c>
      <c r="N106" s="157">
        <f>'IS (F1Q23)'!N106-'IS (F4Q2022)'!N106</f>
        <v>0</v>
      </c>
      <c r="O106" s="157">
        <f>'IS (F1Q23)'!O106-'IS (F4Q2022)'!O106</f>
        <v>0</v>
      </c>
      <c r="P106" s="157">
        <f>'IS (F1Q23)'!P106-'IS (F4Q2022)'!P106</f>
        <v>0</v>
      </c>
      <c r="Q106" s="157">
        <f>'IS (F1Q23)'!Q106-'IS (F4Q2022)'!Q106</f>
        <v>0</v>
      </c>
      <c r="R106" s="98">
        <f>'IS (F1Q23)'!R106-'IS (F4Q2022)'!R106</f>
        <v>0</v>
      </c>
      <c r="S106" s="75">
        <f>'IS (F1Q23)'!S106-'IS (F4Q2022)'!S106</f>
        <v>0</v>
      </c>
      <c r="T106" s="75">
        <f>'IS (F1Q23)'!T106-'IS (F4Q2022)'!T106</f>
        <v>0</v>
      </c>
      <c r="U106" s="75">
        <f>'IS (F1Q23)'!U106-'IS (F4Q2022)'!U106</f>
        <v>0</v>
      </c>
      <c r="V106" s="75">
        <f>'IS (F1Q23)'!V106-'IS (F4Q2022)'!V106</f>
        <v>0</v>
      </c>
      <c r="W106" s="98">
        <f>'IS (F1Q23)'!W106-'IS (F4Q2022)'!W106</f>
        <v>0</v>
      </c>
      <c r="X106" s="75">
        <f>'IS (F1Q23)'!X106-'IS (F4Q2022)'!X106</f>
        <v>-6.7103918030926857E-3</v>
      </c>
      <c r="Y106" s="75">
        <f>'IS (F1Q23)'!Y106-'IS (F4Q2022)'!Y106</f>
        <v>-3.7387291232607131E-2</v>
      </c>
      <c r="Z106" s="75">
        <f>'IS (F1Q23)'!Z106-'IS (F4Q2022)'!Z106</f>
        <v>6.4528622175572661E-2</v>
      </c>
      <c r="AA106" s="75">
        <f>'IS (F1Q23)'!AA106-'IS (F4Q2022)'!AA106</f>
        <v>8.9960484748717123E-2</v>
      </c>
      <c r="AB106" s="98">
        <f>'IS (F1Q23)'!AB106-'IS (F4Q2022)'!AB106</f>
        <v>3.3281848419326188E-2</v>
      </c>
      <c r="AC106" s="75">
        <f>'IS (F1Q23)'!AC106-'IS (F4Q2022)'!AC106</f>
        <v>-1.3403101812279827E-2</v>
      </c>
      <c r="AD106" s="75">
        <f>'IS (F1Q23)'!AD106-'IS (F4Q2022)'!AD106</f>
        <v>-4.0665215408281136E-2</v>
      </c>
      <c r="AE106" s="75">
        <f>'IS (F1Q23)'!AE106-'IS (F4Q2022)'!AE106</f>
        <v>6.3769909798203017E-2</v>
      </c>
      <c r="AF106" s="75">
        <f>'IS (F1Q23)'!AF106-'IS (F4Q2022)'!AF106</f>
        <v>8.9186250382790405E-2</v>
      </c>
      <c r="AG106" s="98">
        <f>'IS (F1Q23)'!AG106-'IS (F4Q2022)'!AG106</f>
        <v>2.946524436721229E-2</v>
      </c>
      <c r="AH106" s="75">
        <f>'IS (F1Q23)'!AH106-'IS (F4Q2022)'!AH106</f>
        <v>-1.5423052512348212E-2</v>
      </c>
      <c r="AI106" s="75">
        <f>'IS (F1Q23)'!AI106-'IS (F4Q2022)'!AI106</f>
        <v>-4.2298359814352704E-2</v>
      </c>
      <c r="AJ106" s="75">
        <f>'IS (F1Q23)'!AJ106-'IS (F4Q2022)'!AJ106</f>
        <v>6.2555735983490873E-2</v>
      </c>
      <c r="AK106" s="75">
        <f>'IS (F1Q23)'!AK106-'IS (F4Q2022)'!AK106</f>
        <v>8.7971201830088996E-2</v>
      </c>
      <c r="AL106" s="98">
        <f>'IS (F1Q23)'!AL106-'IS (F4Q2022)'!AL106</f>
        <v>2.8045056629435849E-2</v>
      </c>
      <c r="AM106" s="75">
        <f>'IS (F1Q23)'!AM106-'IS (F4Q2022)'!AM106</f>
        <v>-1.7085347184922106E-2</v>
      </c>
      <c r="AN106" s="75">
        <f>'IS (F1Q23)'!AN106-'IS (F4Q2022)'!AN106</f>
        <v>-4.3579229139711434E-2</v>
      </c>
      <c r="AO106" s="75">
        <f>'IS (F1Q23)'!AO106-'IS (F4Q2022)'!AO106</f>
        <v>6.19266853261147E-2</v>
      </c>
      <c r="AP106" s="75">
        <f>'IS (F1Q23)'!AP106-'IS (F4Q2022)'!AP106</f>
        <v>8.7683090289561172E-2</v>
      </c>
      <c r="AQ106" s="98">
        <f>'IS (F1Q23)'!AQ106-'IS (F4Q2022)'!AQ106</f>
        <v>2.6321425840803547E-2</v>
      </c>
      <c r="AR106" s="75">
        <f>'IS (F1Q23)'!AR106-'IS (F4Q2022)'!AR106</f>
        <v>-1.7658696344671015E-2</v>
      </c>
      <c r="AS106" s="75">
        <f>'IS (F1Q23)'!AS106-'IS (F4Q2022)'!AS106</f>
        <v>-4.3740642476388064E-2</v>
      </c>
      <c r="AT106" s="75">
        <f>'IS (F1Q23)'!AT106-'IS (F4Q2022)'!AT106</f>
        <v>6.2009162855858002E-2</v>
      </c>
      <c r="AU106" s="75">
        <f>'IS (F1Q23)'!AU106-'IS (F4Q2022)'!AU106</f>
        <v>8.7805197392982454E-2</v>
      </c>
      <c r="AV106" s="98">
        <f>'IS (F1Q23)'!AV106-'IS (F4Q2022)'!AV106</f>
        <v>2.6183299273502159E-2</v>
      </c>
    </row>
    <row r="107" spans="1:48" ht="17.399999999999999" x14ac:dyDescent="0.45">
      <c r="B107" s="583" t="s">
        <v>51</v>
      </c>
      <c r="C107" s="584"/>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87" t="s">
        <v>126</v>
      </c>
      <c r="C108" s="588"/>
      <c r="D108" s="50">
        <f>'IS (F1Q23)'!D108-'IS (F4Q2022)'!D108</f>
        <v>0</v>
      </c>
      <c r="E108" s="50">
        <f>'IS (F1Q23)'!E108-'IS (F4Q2022)'!E108</f>
        <v>0</v>
      </c>
      <c r="F108" s="103">
        <f>'IS (F1Q23)'!F108-'IS (F4Q2022)'!F108</f>
        <v>0</v>
      </c>
      <c r="G108" s="50">
        <f>'IS (F1Q23)'!G108-'IS (F4Q2022)'!G108</f>
        <v>0</v>
      </c>
      <c r="H108" s="31">
        <f>'IS (F1Q23)'!H108-'IS (F4Q2022)'!H108</f>
        <v>0</v>
      </c>
      <c r="I108" s="50">
        <f>'IS (F1Q23)'!I108-'IS (F4Q2022)'!I108</f>
        <v>0</v>
      </c>
      <c r="J108" s="50">
        <f>'IS (F1Q23)'!J108-'IS (F4Q2022)'!J108</f>
        <v>0</v>
      </c>
      <c r="K108" s="50">
        <f>'IS (F1Q23)'!K108-'IS (F4Q2022)'!K108</f>
        <v>0</v>
      </c>
      <c r="L108" s="50">
        <f>'IS (F1Q23)'!L108-'IS (F4Q2022)'!L108</f>
        <v>0</v>
      </c>
      <c r="M108" s="31">
        <f>'IS (F1Q23)'!M108-'IS (F4Q2022)'!M108</f>
        <v>0</v>
      </c>
      <c r="N108" s="50">
        <f>'IS (F1Q23)'!N108-'IS (F4Q2022)'!N108</f>
        <v>0</v>
      </c>
      <c r="O108" s="50">
        <f>'IS (F1Q23)'!O108-'IS (F4Q2022)'!O108</f>
        <v>0</v>
      </c>
      <c r="P108" s="50">
        <f>'IS (F1Q23)'!P108-'IS (F4Q2022)'!P108</f>
        <v>0</v>
      </c>
      <c r="Q108" s="103">
        <f>'IS (F1Q23)'!Q108-'IS (F4Q2022)'!Q108</f>
        <v>0</v>
      </c>
      <c r="R108" s="126">
        <f>'IS (F1Q23)'!R108-'IS (F4Q2022)'!R108</f>
        <v>0</v>
      </c>
      <c r="S108" s="50">
        <f>'IS (F1Q23)'!S108-'IS (F4Q2022)'!S108</f>
        <v>0</v>
      </c>
      <c r="T108" s="50">
        <f>'IS (F1Q23)'!T108-'IS (F4Q2022)'!T108</f>
        <v>0</v>
      </c>
      <c r="U108" s="50">
        <f>'IS (F1Q23)'!U108-'IS (F4Q2022)'!U108</f>
        <v>0</v>
      </c>
      <c r="V108" s="50">
        <f>'IS (F1Q23)'!V108-'IS (F4Q2022)'!V108</f>
        <v>0</v>
      </c>
      <c r="W108" s="31">
        <f>'IS (F1Q23)'!W108-'IS (F4Q2022)'!W108</f>
        <v>0</v>
      </c>
      <c r="X108" s="50">
        <f>'IS (F1Q23)'!X108-'IS (F4Q2022)'!X108</f>
        <v>19.38999999999993</v>
      </c>
      <c r="Y108" s="50">
        <f>'IS (F1Q23)'!Y108-'IS (F4Q2022)'!Y108</f>
        <v>0</v>
      </c>
      <c r="Z108" s="50">
        <f>'IS (F1Q23)'!Z108-'IS (F4Q2022)'!Z108</f>
        <v>0</v>
      </c>
      <c r="AA108" s="50">
        <f>'IS (F1Q23)'!AA108-'IS (F4Q2022)'!AA108</f>
        <v>0</v>
      </c>
      <c r="AB108" s="31">
        <f>'IS (F1Q23)'!AB108-'IS (F4Q2022)'!AB108</f>
        <v>19.389999999999873</v>
      </c>
      <c r="AC108" s="50">
        <f>'IS (F1Q23)'!AC108-'IS (F4Q2022)'!AC108</f>
        <v>20.165599999999927</v>
      </c>
      <c r="AD108" s="50">
        <f>'IS (F1Q23)'!AD108-'IS (F4Q2022)'!AD108</f>
        <v>0</v>
      </c>
      <c r="AE108" s="50">
        <f>'IS (F1Q23)'!AE108-'IS (F4Q2022)'!AE108</f>
        <v>0</v>
      </c>
      <c r="AF108" s="50">
        <f>'IS (F1Q23)'!AF108-'IS (F4Q2022)'!AF108</f>
        <v>0</v>
      </c>
      <c r="AG108" s="31">
        <f>'IS (F1Q23)'!AG108-'IS (F4Q2022)'!AG108</f>
        <v>20.165599999999813</v>
      </c>
      <c r="AH108" s="50">
        <f>'IS (F1Q23)'!AH108-'IS (F4Q2022)'!AH108</f>
        <v>20.972223999999926</v>
      </c>
      <c r="AI108" s="50">
        <f>'IS (F1Q23)'!AI108-'IS (F4Q2022)'!AI108</f>
        <v>0</v>
      </c>
      <c r="AJ108" s="50">
        <f>'IS (F1Q23)'!AJ108-'IS (F4Q2022)'!AJ108</f>
        <v>0</v>
      </c>
      <c r="AK108" s="50">
        <f>'IS (F1Q23)'!AK108-'IS (F4Q2022)'!AK108</f>
        <v>0</v>
      </c>
      <c r="AL108" s="31">
        <f>'IS (F1Q23)'!AL108-'IS (F4Q2022)'!AL108</f>
        <v>20.972224000000097</v>
      </c>
      <c r="AM108" s="50">
        <f>'IS (F1Q23)'!AM108-'IS (F4Q2022)'!AM108</f>
        <v>21.811112959999832</v>
      </c>
      <c r="AN108" s="50">
        <f>'IS (F1Q23)'!AN108-'IS (F4Q2022)'!AN108</f>
        <v>0</v>
      </c>
      <c r="AO108" s="50">
        <f>'IS (F1Q23)'!AO108-'IS (F4Q2022)'!AO108</f>
        <v>0</v>
      </c>
      <c r="AP108" s="50">
        <f>'IS (F1Q23)'!AP108-'IS (F4Q2022)'!AP108</f>
        <v>0</v>
      </c>
      <c r="AQ108" s="31">
        <f>'IS (F1Q23)'!AQ108-'IS (F4Q2022)'!AQ108</f>
        <v>21.811112960000173</v>
      </c>
      <c r="AR108" s="50">
        <f>'IS (F1Q23)'!AR108-'IS (F4Q2022)'!AR108</f>
        <v>22.683557478399734</v>
      </c>
      <c r="AS108" s="50">
        <f>'IS (F1Q23)'!AS108-'IS (F4Q2022)'!AS108</f>
        <v>0</v>
      </c>
      <c r="AT108" s="50">
        <f>'IS (F1Q23)'!AT108-'IS (F4Q2022)'!AT108</f>
        <v>0</v>
      </c>
      <c r="AU108" s="50">
        <f>'IS (F1Q23)'!AU108-'IS (F4Q2022)'!AU108</f>
        <v>0</v>
      </c>
      <c r="AV108" s="31">
        <f>'IS (F1Q23)'!AV108-'IS (F4Q2022)'!AV108</f>
        <v>22.683557478399507</v>
      </c>
    </row>
    <row r="109" spans="1:48" outlineLevel="1" x14ac:dyDescent="0.3">
      <c r="B109" s="69" t="s">
        <v>58</v>
      </c>
      <c r="C109" s="70"/>
      <c r="D109" s="120">
        <f>'IS (F1Q23)'!D109-'IS (F4Q2022)'!D109</f>
        <v>0</v>
      </c>
      <c r="E109" s="120">
        <f>'IS (F1Q23)'!E109-'IS (F4Q2022)'!E109</f>
        <v>0</v>
      </c>
      <c r="F109" s="120">
        <f>'IS (F1Q23)'!F109-'IS (F4Q2022)'!F109</f>
        <v>0</v>
      </c>
      <c r="G109" s="120">
        <f>'IS (F1Q23)'!G109-'IS (F4Q2022)'!G109</f>
        <v>0</v>
      </c>
      <c r="H109" s="58">
        <f>'IS (F1Q23)'!H109-'IS (F4Q2022)'!H109</f>
        <v>0</v>
      </c>
      <c r="I109" s="120">
        <f>'IS (F1Q23)'!I109-'IS (F4Q2022)'!I109</f>
        <v>0</v>
      </c>
      <c r="J109" s="120">
        <f>'IS (F1Q23)'!J109-'IS (F4Q2022)'!J109</f>
        <v>0</v>
      </c>
      <c r="K109" s="120">
        <f>'IS (F1Q23)'!K109-'IS (F4Q2022)'!K109</f>
        <v>0</v>
      </c>
      <c r="L109" s="120">
        <f>'IS (F1Q23)'!L109-'IS (F4Q2022)'!L109</f>
        <v>0</v>
      </c>
      <c r="M109" s="168">
        <f>'IS (F1Q23)'!M109-'IS (F4Q2022)'!M109</f>
        <v>0</v>
      </c>
      <c r="N109" s="120">
        <f>'IS (F1Q23)'!N109-'IS (F4Q2022)'!N109</f>
        <v>0</v>
      </c>
      <c r="O109" s="120">
        <f>'IS (F1Q23)'!O109-'IS (F4Q2022)'!O109</f>
        <v>0</v>
      </c>
      <c r="P109" s="120">
        <f>'IS (F1Q23)'!P109-'IS (F4Q2022)'!P109</f>
        <v>0</v>
      </c>
      <c r="Q109" s="120">
        <f>'IS (F1Q23)'!Q109-'IS (F4Q2022)'!Q109</f>
        <v>0</v>
      </c>
      <c r="R109" s="168">
        <f>'IS (F1Q23)'!R109-'IS (F4Q2022)'!R109</f>
        <v>0</v>
      </c>
      <c r="S109" s="120">
        <f>'IS (F1Q23)'!S109-'IS (F4Q2022)'!S109</f>
        <v>0</v>
      </c>
      <c r="T109" s="120">
        <f>'IS (F1Q23)'!T109-'IS (F4Q2022)'!T109</f>
        <v>0</v>
      </c>
      <c r="U109" s="120">
        <f>'IS (F1Q23)'!U109-'IS (F4Q2022)'!U109</f>
        <v>0</v>
      </c>
      <c r="V109" s="120">
        <f>'IS (F1Q23)'!V109-'IS (F4Q2022)'!V109</f>
        <v>0</v>
      </c>
      <c r="W109" s="168">
        <f>'IS (F1Q23)'!W109-'IS (F4Q2022)'!W109</f>
        <v>0</v>
      </c>
      <c r="X109" s="197">
        <f>'IS (F1Q23)'!X109-'IS (F4Q2022)'!X109</f>
        <v>4.6487652841045252E-2</v>
      </c>
      <c r="Y109" s="197">
        <f>'IS (F1Q23)'!Y109-'IS (F4Q2022)'!Y109</f>
        <v>0</v>
      </c>
      <c r="Z109" s="197">
        <f>'IS (F1Q23)'!Z109-'IS (F4Q2022)'!Z109</f>
        <v>0</v>
      </c>
      <c r="AA109" s="197">
        <f>'IS (F1Q23)'!AA109-'IS (F4Q2022)'!AA109</f>
        <v>0</v>
      </c>
      <c r="AB109" s="168">
        <f>'IS (F1Q23)'!AB109-'IS (F4Q2022)'!AB109</f>
        <v>1.0517465827728278E-2</v>
      </c>
      <c r="AC109" s="197">
        <f>'IS (F1Q23)'!AC109-'IS (F4Q2022)'!AC109</f>
        <v>0</v>
      </c>
      <c r="AD109" s="197">
        <f>'IS (F1Q23)'!AD109-'IS (F4Q2022)'!AD109</f>
        <v>0</v>
      </c>
      <c r="AE109" s="197">
        <f>'IS (F1Q23)'!AE109-'IS (F4Q2022)'!AE109</f>
        <v>0</v>
      </c>
      <c r="AF109" s="197">
        <f>'IS (F1Q23)'!AF109-'IS (F4Q2022)'!AF109</f>
        <v>0</v>
      </c>
      <c r="AG109" s="168">
        <f>'IS (F1Q23)'!AG109-'IS (F4Q2022)'!AG109</f>
        <v>0</v>
      </c>
      <c r="AH109" s="197">
        <f>'IS (F1Q23)'!AH109-'IS (F4Q2022)'!AH109</f>
        <v>0</v>
      </c>
      <c r="AI109" s="197">
        <f>'IS (F1Q23)'!AI109-'IS (F4Q2022)'!AI109</f>
        <v>0</v>
      </c>
      <c r="AJ109" s="197">
        <f>'IS (F1Q23)'!AJ109-'IS (F4Q2022)'!AJ109</f>
        <v>0</v>
      </c>
      <c r="AK109" s="197">
        <f>'IS (F1Q23)'!AK109-'IS (F4Q2022)'!AK109</f>
        <v>0</v>
      </c>
      <c r="AL109" s="168">
        <f>'IS (F1Q23)'!AL109-'IS (F4Q2022)'!AL109</f>
        <v>2.2204460492503131E-16</v>
      </c>
      <c r="AM109" s="197">
        <f>'IS (F1Q23)'!AM109-'IS (F4Q2022)'!AM109</f>
        <v>0</v>
      </c>
      <c r="AN109" s="197">
        <f>'IS (F1Q23)'!AN109-'IS (F4Q2022)'!AN109</f>
        <v>0</v>
      </c>
      <c r="AO109" s="197">
        <f>'IS (F1Q23)'!AO109-'IS (F4Q2022)'!AO109</f>
        <v>0</v>
      </c>
      <c r="AP109" s="197">
        <f>'IS (F1Q23)'!AP109-'IS (F4Q2022)'!AP109</f>
        <v>0</v>
      </c>
      <c r="AQ109" s="168">
        <f>'IS (F1Q23)'!AQ109-'IS (F4Q2022)'!AQ109</f>
        <v>0</v>
      </c>
      <c r="AR109" s="197">
        <f>'IS (F1Q23)'!AR109-'IS (F4Q2022)'!AR109</f>
        <v>0</v>
      </c>
      <c r="AS109" s="197">
        <f>'IS (F1Q23)'!AS109-'IS (F4Q2022)'!AS109</f>
        <v>0</v>
      </c>
      <c r="AT109" s="197">
        <f>'IS (F1Q23)'!AT109-'IS (F4Q2022)'!AT109</f>
        <v>0</v>
      </c>
      <c r="AU109" s="197">
        <f>'IS (F1Q23)'!AU109-'IS (F4Q2022)'!AU109</f>
        <v>0</v>
      </c>
      <c r="AV109" s="168">
        <f>'IS (F1Q23)'!AV109-'IS (F4Q2022)'!AV109</f>
        <v>-2.2204460492503131E-16</v>
      </c>
    </row>
    <row r="110" spans="1:48" outlineLevel="1" x14ac:dyDescent="0.3">
      <c r="B110" s="607" t="s">
        <v>100</v>
      </c>
      <c r="C110" s="608"/>
      <c r="D110" s="48">
        <f>'IS (F1Q23)'!D110-'IS (F4Q2022)'!D110</f>
        <v>0</v>
      </c>
      <c r="E110" s="48">
        <f>'IS (F1Q23)'!E110-'IS (F4Q2022)'!E110</f>
        <v>0</v>
      </c>
      <c r="F110" s="48">
        <f>'IS (F1Q23)'!F110-'IS (F4Q2022)'!F110</f>
        <v>0</v>
      </c>
      <c r="G110" s="48">
        <f>'IS (F1Q23)'!G110-'IS (F4Q2022)'!G110</f>
        <v>0</v>
      </c>
      <c r="H110" s="76">
        <f>'IS (F1Q23)'!H110-'IS (F4Q2022)'!H110</f>
        <v>0</v>
      </c>
      <c r="I110" s="48">
        <f>'IS (F1Q23)'!I110-'IS (F4Q2022)'!I110</f>
        <v>0</v>
      </c>
      <c r="J110" s="48">
        <f>'IS (F1Q23)'!J110-'IS (F4Q2022)'!J110</f>
        <v>0</v>
      </c>
      <c r="K110" s="48">
        <f>'IS (F1Q23)'!K110-'IS (F4Q2022)'!K110</f>
        <v>0</v>
      </c>
      <c r="L110" s="48">
        <f>'IS (F1Q23)'!L110-'IS (F4Q2022)'!L110</f>
        <v>0</v>
      </c>
      <c r="M110" s="76">
        <f>'IS (F1Q23)'!M110-'IS (F4Q2022)'!M110</f>
        <v>0</v>
      </c>
      <c r="N110" s="48">
        <f>'IS (F1Q23)'!N110-'IS (F4Q2022)'!N110</f>
        <v>0</v>
      </c>
      <c r="O110" s="48">
        <f>'IS (F1Q23)'!O110-'IS (F4Q2022)'!O110</f>
        <v>0</v>
      </c>
      <c r="P110" s="48">
        <f>'IS (F1Q23)'!P110-'IS (F4Q2022)'!P110</f>
        <v>0</v>
      </c>
      <c r="Q110" s="105">
        <f>'IS (F1Q23)'!Q110-'IS (F4Q2022)'!Q110</f>
        <v>0</v>
      </c>
      <c r="R110" s="76">
        <f>'IS (F1Q23)'!R110-'IS (F4Q2022)'!R110</f>
        <v>0</v>
      </c>
      <c r="S110" s="48">
        <f>'IS (F1Q23)'!S110-'IS (F4Q2022)'!S110</f>
        <v>0</v>
      </c>
      <c r="T110" s="48">
        <f>'IS (F1Q23)'!T110-'IS (F4Q2022)'!T110</f>
        <v>0</v>
      </c>
      <c r="U110" s="48">
        <f>'IS (F1Q23)'!U110-'IS (F4Q2022)'!U110</f>
        <v>0</v>
      </c>
      <c r="V110" s="48">
        <f>'IS (F1Q23)'!V110-'IS (F4Q2022)'!V110</f>
        <v>0</v>
      </c>
      <c r="W110" s="76">
        <f>'IS (F1Q23)'!W110-'IS (F4Q2022)'!W110</f>
        <v>0</v>
      </c>
      <c r="X110" s="48">
        <f>'IS (F1Q23)'!X110-'IS (F4Q2022)'!X110</f>
        <v>2.6378499999999576</v>
      </c>
      <c r="Y110" s="48">
        <f>'IS (F1Q23)'!Y110-'IS (F4Q2022)'!Y110</f>
        <v>0</v>
      </c>
      <c r="Z110" s="48">
        <f>'IS (F1Q23)'!Z110-'IS (F4Q2022)'!Z110</f>
        <v>0</v>
      </c>
      <c r="AA110" s="48">
        <f>'IS (F1Q23)'!AA110-'IS (F4Q2022)'!AA110</f>
        <v>0</v>
      </c>
      <c r="AB110" s="76">
        <f>'IS (F1Q23)'!AB110-'IS (F4Q2022)'!AB110</f>
        <v>2.6378500000000713</v>
      </c>
      <c r="AC110" s="48">
        <f>'IS (F1Q23)'!AC110-'IS (F4Q2022)'!AC110</f>
        <v>2.7433639999998718</v>
      </c>
      <c r="AD110" s="48">
        <f>'IS (F1Q23)'!AD110-'IS (F4Q2022)'!AD110</f>
        <v>0</v>
      </c>
      <c r="AE110" s="48">
        <f>'IS (F1Q23)'!AE110-'IS (F4Q2022)'!AE110</f>
        <v>0</v>
      </c>
      <c r="AF110" s="48">
        <f>'IS (F1Q23)'!AF110-'IS (F4Q2022)'!AF110</f>
        <v>0</v>
      </c>
      <c r="AG110" s="76">
        <f>'IS (F1Q23)'!AG110-'IS (F4Q2022)'!AG110</f>
        <v>2.7433639999999286</v>
      </c>
      <c r="AH110" s="48">
        <f>'IS (F1Q23)'!AH110-'IS (F4Q2022)'!AH110</f>
        <v>2.8530985599999212</v>
      </c>
      <c r="AI110" s="48">
        <f>'IS (F1Q23)'!AI110-'IS (F4Q2022)'!AI110</f>
        <v>0</v>
      </c>
      <c r="AJ110" s="48">
        <f>'IS (F1Q23)'!AJ110-'IS (F4Q2022)'!AJ110</f>
        <v>0</v>
      </c>
      <c r="AK110" s="48">
        <f>'IS (F1Q23)'!AK110-'IS (F4Q2022)'!AK110</f>
        <v>0</v>
      </c>
      <c r="AL110" s="76">
        <f>'IS (F1Q23)'!AL110-'IS (F4Q2022)'!AL110</f>
        <v>2.8530985600000349</v>
      </c>
      <c r="AM110" s="48">
        <f>'IS (F1Q23)'!AM110-'IS (F4Q2022)'!AM110</f>
        <v>2.9672225023998635</v>
      </c>
      <c r="AN110" s="48">
        <f>'IS (F1Q23)'!AN110-'IS (F4Q2022)'!AN110</f>
        <v>0</v>
      </c>
      <c r="AO110" s="48">
        <f>'IS (F1Q23)'!AO110-'IS (F4Q2022)'!AO110</f>
        <v>0</v>
      </c>
      <c r="AP110" s="48">
        <f>'IS (F1Q23)'!AP110-'IS (F4Q2022)'!AP110</f>
        <v>0</v>
      </c>
      <c r="AQ110" s="76">
        <f>'IS (F1Q23)'!AQ110-'IS (F4Q2022)'!AQ110</f>
        <v>2.9672225023996361</v>
      </c>
      <c r="AR110" s="48">
        <f>'IS (F1Q23)'!AR110-'IS (F4Q2022)'!AR110</f>
        <v>3.0859114024957535</v>
      </c>
      <c r="AS110" s="48">
        <f>'IS (F1Q23)'!AS110-'IS (F4Q2022)'!AS110</f>
        <v>0</v>
      </c>
      <c r="AT110" s="48">
        <f>'IS (F1Q23)'!AT110-'IS (F4Q2022)'!AT110</f>
        <v>0</v>
      </c>
      <c r="AU110" s="48">
        <f>'IS (F1Q23)'!AU110-'IS (F4Q2022)'!AU110</f>
        <v>0</v>
      </c>
      <c r="AV110" s="76">
        <f>'IS (F1Q23)'!AV110-'IS (F4Q2022)'!AV110</f>
        <v>3.0859114024956398</v>
      </c>
    </row>
    <row r="111" spans="1:48" s="183" customFormat="1" outlineLevel="1" x14ac:dyDescent="0.3">
      <c r="A111" s="238"/>
      <c r="B111" s="181" t="s">
        <v>151</v>
      </c>
      <c r="C111" s="182"/>
      <c r="D111" s="167">
        <f>'IS (F1Q23)'!D111-'IS (F4Q2022)'!D111</f>
        <v>0</v>
      </c>
      <c r="E111" s="167">
        <f>'IS (F1Q23)'!E111-'IS (F4Q2022)'!E111</f>
        <v>0</v>
      </c>
      <c r="F111" s="167">
        <f>'IS (F1Q23)'!F111-'IS (F4Q2022)'!F111</f>
        <v>0</v>
      </c>
      <c r="G111" s="167">
        <f>'IS (F1Q23)'!G111-'IS (F4Q2022)'!G111</f>
        <v>0</v>
      </c>
      <c r="H111" s="188">
        <f>'IS (F1Q23)'!H111-'IS (F4Q2022)'!H111</f>
        <v>0</v>
      </c>
      <c r="I111" s="167">
        <f>'IS (F1Q23)'!I111-'IS (F4Q2022)'!I111</f>
        <v>0</v>
      </c>
      <c r="J111" s="167">
        <f>'IS (F1Q23)'!J111-'IS (F4Q2022)'!J111</f>
        <v>0</v>
      </c>
      <c r="K111" s="167">
        <f>'IS (F1Q23)'!K111-'IS (F4Q2022)'!K111</f>
        <v>0</v>
      </c>
      <c r="L111" s="187">
        <f>'IS (F1Q23)'!L111-'IS (F4Q2022)'!L111</f>
        <v>0</v>
      </c>
      <c r="M111" s="188">
        <f>'IS (F1Q23)'!M111-'IS (F4Q2022)'!M111</f>
        <v>0</v>
      </c>
      <c r="N111" s="187">
        <f>'IS (F1Q23)'!N111-'IS (F4Q2022)'!N111</f>
        <v>0</v>
      </c>
      <c r="O111" s="167">
        <f>'IS (F1Q23)'!O111-'IS (F4Q2022)'!O111</f>
        <v>0</v>
      </c>
      <c r="P111" s="167">
        <f>'IS (F1Q23)'!P111-'IS (F4Q2022)'!P111</f>
        <v>0</v>
      </c>
      <c r="Q111" s="167">
        <f>'IS (F1Q23)'!Q111-'IS (F4Q2022)'!Q111</f>
        <v>0</v>
      </c>
      <c r="R111" s="188">
        <f>'IS (F1Q23)'!R111-'IS (F4Q2022)'!R111</f>
        <v>0</v>
      </c>
      <c r="S111" s="187">
        <f>'IS (F1Q23)'!S111-'IS (F4Q2022)'!S111</f>
        <v>0</v>
      </c>
      <c r="T111" s="167">
        <f>'IS (F1Q23)'!T111-'IS (F4Q2022)'!T111</f>
        <v>0</v>
      </c>
      <c r="U111" s="167">
        <f>'IS (F1Q23)'!U111-'IS (F4Q2022)'!U111</f>
        <v>0</v>
      </c>
      <c r="V111" s="167">
        <f>'IS (F1Q23)'!V111-'IS (F4Q2022)'!V111</f>
        <v>0</v>
      </c>
      <c r="W111" s="188">
        <f>'IS (F1Q23)'!W111-'IS (F4Q2022)'!W111</f>
        <v>0</v>
      </c>
      <c r="X111" s="189">
        <f>'IS (F1Q23)'!X111-'IS (F4Q2022)'!X111</f>
        <v>-2.025095055471049E-2</v>
      </c>
      <c r="Y111" s="189">
        <f>'IS (F1Q23)'!Y111-'IS (F4Q2022)'!Y111</f>
        <v>0</v>
      </c>
      <c r="Z111" s="189">
        <f>'IS (F1Q23)'!Z111-'IS (F4Q2022)'!Z111</f>
        <v>0</v>
      </c>
      <c r="AA111" s="189">
        <f>'IS (F1Q23)'!AA111-'IS (F4Q2022)'!AA111</f>
        <v>0</v>
      </c>
      <c r="AB111" s="188">
        <f>'IS (F1Q23)'!AB111-'IS (F4Q2022)'!AB111</f>
        <v>-4.999287749375636E-3</v>
      </c>
      <c r="AC111" s="189">
        <f>'IS (F1Q23)'!AC111-'IS (F4Q2022)'!AC111</f>
        <v>-2.025095055471049E-2</v>
      </c>
      <c r="AD111" s="189">
        <f>'IS (F1Q23)'!AD111-'IS (F4Q2022)'!AD111</f>
        <v>0</v>
      </c>
      <c r="AE111" s="189">
        <f>'IS (F1Q23)'!AE111-'IS (F4Q2022)'!AE111</f>
        <v>0</v>
      </c>
      <c r="AF111" s="189">
        <f>'IS (F1Q23)'!AF111-'IS (F4Q2022)'!AF111</f>
        <v>0</v>
      </c>
      <c r="AG111" s="188">
        <f>'IS (F1Q23)'!AG111-'IS (F4Q2022)'!AG111</f>
        <v>-4.9485147259283879E-3</v>
      </c>
      <c r="AH111" s="189">
        <f>'IS (F1Q23)'!AH111-'IS (F4Q2022)'!AH111</f>
        <v>-2.025095055471049E-2</v>
      </c>
      <c r="AI111" s="189">
        <f>'IS (F1Q23)'!AI111-'IS (F4Q2022)'!AI111</f>
        <v>0</v>
      </c>
      <c r="AJ111" s="189">
        <f>'IS (F1Q23)'!AJ111-'IS (F4Q2022)'!AJ111</f>
        <v>0</v>
      </c>
      <c r="AK111" s="189">
        <f>'IS (F1Q23)'!AK111-'IS (F4Q2022)'!AK111</f>
        <v>0</v>
      </c>
      <c r="AL111" s="188">
        <f>'IS (F1Q23)'!AL111-'IS (F4Q2022)'!AL111</f>
        <v>-4.9231282142048194E-3</v>
      </c>
      <c r="AM111" s="189">
        <f>'IS (F1Q23)'!AM111-'IS (F4Q2022)'!AM111</f>
        <v>-2.025095055471049E-2</v>
      </c>
      <c r="AN111" s="189">
        <f>'IS (F1Q23)'!AN111-'IS (F4Q2022)'!AN111</f>
        <v>0</v>
      </c>
      <c r="AO111" s="189">
        <f>'IS (F1Q23)'!AO111-'IS (F4Q2022)'!AO111</f>
        <v>0</v>
      </c>
      <c r="AP111" s="189">
        <f>'IS (F1Q23)'!AP111-'IS (F4Q2022)'!AP111</f>
        <v>0</v>
      </c>
      <c r="AQ111" s="188">
        <f>'IS (F1Q23)'!AQ111-'IS (F4Q2022)'!AQ111</f>
        <v>-4.9231282142050414E-3</v>
      </c>
      <c r="AR111" s="189">
        <f>'IS (F1Q23)'!AR111-'IS (F4Q2022)'!AR111</f>
        <v>-2.025095055471049E-2</v>
      </c>
      <c r="AS111" s="189">
        <f>'IS (F1Q23)'!AS111-'IS (F4Q2022)'!AS111</f>
        <v>0</v>
      </c>
      <c r="AT111" s="189">
        <f>'IS (F1Q23)'!AT111-'IS (F4Q2022)'!AT111</f>
        <v>0</v>
      </c>
      <c r="AU111" s="189">
        <f>'IS (F1Q23)'!AU111-'IS (F4Q2022)'!AU111</f>
        <v>0</v>
      </c>
      <c r="AV111" s="188">
        <f>'IS (F1Q23)'!AV111-'IS (F4Q2022)'!AV111</f>
        <v>-4.9231282142048194E-3</v>
      </c>
    </row>
    <row r="112" spans="1:48" outlineLevel="1" x14ac:dyDescent="0.3">
      <c r="B112" s="180" t="s">
        <v>33</v>
      </c>
      <c r="C112" s="18"/>
      <c r="D112" s="48">
        <f>'IS (F1Q23)'!D112-'IS (F4Q2022)'!D112</f>
        <v>0</v>
      </c>
      <c r="E112" s="48">
        <f>'IS (F1Q23)'!E112-'IS (F4Q2022)'!E112</f>
        <v>0</v>
      </c>
      <c r="F112" s="48">
        <f>'IS (F1Q23)'!F112-'IS (F4Q2022)'!F112</f>
        <v>0</v>
      </c>
      <c r="G112" s="48">
        <f>'IS (F1Q23)'!G112-'IS (F4Q2022)'!G112</f>
        <v>0</v>
      </c>
      <c r="H112" s="49">
        <f>'IS (F1Q23)'!H112-'IS (F4Q2022)'!H112</f>
        <v>0</v>
      </c>
      <c r="I112" s="48">
        <f>'IS (F1Q23)'!I112-'IS (F4Q2022)'!I112</f>
        <v>0</v>
      </c>
      <c r="J112" s="48">
        <f>'IS (F1Q23)'!J112-'IS (F4Q2022)'!J112</f>
        <v>0</v>
      </c>
      <c r="K112" s="48">
        <f>'IS (F1Q23)'!K112-'IS (F4Q2022)'!K112</f>
        <v>0</v>
      </c>
      <c r="L112" s="48">
        <f>'IS (F1Q23)'!L112-'IS (F4Q2022)'!L112</f>
        <v>0</v>
      </c>
      <c r="M112" s="49">
        <f>'IS (F1Q23)'!M112-'IS (F4Q2022)'!M112</f>
        <v>0</v>
      </c>
      <c r="N112" s="48">
        <f>'IS (F1Q23)'!N112-'IS (F4Q2022)'!N112</f>
        <v>0</v>
      </c>
      <c r="O112" s="48">
        <f>'IS (F1Q23)'!O112-'IS (F4Q2022)'!O112</f>
        <v>0</v>
      </c>
      <c r="P112" s="48">
        <f>'IS (F1Q23)'!P112-'IS (F4Q2022)'!P112</f>
        <v>0</v>
      </c>
      <c r="Q112" s="105">
        <f>'IS (F1Q23)'!Q112-'IS (F4Q2022)'!Q112</f>
        <v>0</v>
      </c>
      <c r="R112" s="49">
        <f>'IS (F1Q23)'!R112-'IS (F4Q2022)'!R112</f>
        <v>0</v>
      </c>
      <c r="S112" s="48">
        <f>'IS (F1Q23)'!S112-'IS (F4Q2022)'!S112</f>
        <v>0</v>
      </c>
      <c r="T112" s="48">
        <f>'IS (F1Q23)'!T112-'IS (F4Q2022)'!T112</f>
        <v>0</v>
      </c>
      <c r="U112" s="48">
        <f>'IS (F1Q23)'!U112-'IS (F4Q2022)'!U112</f>
        <v>0</v>
      </c>
      <c r="V112" s="48">
        <f>'IS (F1Q23)'!V112-'IS (F4Q2022)'!V112</f>
        <v>0</v>
      </c>
      <c r="W112" s="49">
        <f>'IS (F1Q23)'!W112-'IS (F4Q2022)'!W112</f>
        <v>0</v>
      </c>
      <c r="X112" s="48">
        <f>'IS (F1Q23)'!X112-'IS (F4Q2022)'!X112</f>
        <v>-8.7162000000000042</v>
      </c>
      <c r="Y112" s="48">
        <f>'IS (F1Q23)'!Y112-'IS (F4Q2022)'!Y112</f>
        <v>0</v>
      </c>
      <c r="Z112" s="48">
        <f>'IS (F1Q23)'!Z112-'IS (F4Q2022)'!Z112</f>
        <v>0</v>
      </c>
      <c r="AA112" s="48">
        <f>'IS (F1Q23)'!AA112-'IS (F4Q2022)'!AA112</f>
        <v>0</v>
      </c>
      <c r="AB112" s="49">
        <f>'IS (F1Q23)'!AB112-'IS (F4Q2022)'!AB112</f>
        <v>-8.7162000000000006</v>
      </c>
      <c r="AC112" s="48">
        <f>'IS (F1Q23)'!AC112-'IS (F4Q2022)'!AC112</f>
        <v>-9.468160000000001</v>
      </c>
      <c r="AD112" s="48">
        <f>'IS (F1Q23)'!AD112-'IS (F4Q2022)'!AD112</f>
        <v>0</v>
      </c>
      <c r="AE112" s="48">
        <f>'IS (F1Q23)'!AE112-'IS (F4Q2022)'!AE112</f>
        <v>0</v>
      </c>
      <c r="AF112" s="48">
        <f>'IS (F1Q23)'!AF112-'IS (F4Q2022)'!AF112</f>
        <v>0</v>
      </c>
      <c r="AG112" s="49">
        <f>'IS (F1Q23)'!AG112-'IS (F4Q2022)'!AG112</f>
        <v>-9.4681599999999975</v>
      </c>
      <c r="AH112" s="48">
        <f>'IS (F1Q23)'!AH112-'IS (F4Q2022)'!AH112</f>
        <v>-9.9098030720000025</v>
      </c>
      <c r="AI112" s="48">
        <f>'IS (F1Q23)'!AI112-'IS (F4Q2022)'!AI112</f>
        <v>0</v>
      </c>
      <c r="AJ112" s="48">
        <f>'IS (F1Q23)'!AJ112-'IS (F4Q2022)'!AJ112</f>
        <v>0</v>
      </c>
      <c r="AK112" s="48">
        <f>'IS (F1Q23)'!AK112-'IS (F4Q2022)'!AK112</f>
        <v>0</v>
      </c>
      <c r="AL112" s="49">
        <f>'IS (F1Q23)'!AL112-'IS (F4Q2022)'!AL112</f>
        <v>-9.9098030720000025</v>
      </c>
      <c r="AM112" s="48">
        <f>'IS (F1Q23)'!AM112-'IS (F4Q2022)'!AM112</f>
        <v>-10.306195194880004</v>
      </c>
      <c r="AN112" s="48">
        <f>'IS (F1Q23)'!AN112-'IS (F4Q2022)'!AN112</f>
        <v>0</v>
      </c>
      <c r="AO112" s="48">
        <f>'IS (F1Q23)'!AO112-'IS (F4Q2022)'!AO112</f>
        <v>0</v>
      </c>
      <c r="AP112" s="48">
        <f>'IS (F1Q23)'!AP112-'IS (F4Q2022)'!AP112</f>
        <v>0</v>
      </c>
      <c r="AQ112" s="49">
        <f>'IS (F1Q23)'!AQ112-'IS (F4Q2022)'!AQ112</f>
        <v>-10.306195194880004</v>
      </c>
      <c r="AR112" s="48">
        <f>'IS (F1Q23)'!AR112-'IS (F4Q2022)'!AR112</f>
        <v>-10.718443002675205</v>
      </c>
      <c r="AS112" s="48">
        <f>'IS (F1Q23)'!AS112-'IS (F4Q2022)'!AS112</f>
        <v>0</v>
      </c>
      <c r="AT112" s="48">
        <f>'IS (F1Q23)'!AT112-'IS (F4Q2022)'!AT112</f>
        <v>0</v>
      </c>
      <c r="AU112" s="48">
        <f>'IS (F1Q23)'!AU112-'IS (F4Q2022)'!AU112</f>
        <v>0</v>
      </c>
      <c r="AV112" s="49">
        <f>'IS (F1Q23)'!AV112-'IS (F4Q2022)'!AV112</f>
        <v>-10.718443002675208</v>
      </c>
    </row>
    <row r="113" spans="2:48" s="184" customFormat="1" outlineLevel="1" x14ac:dyDescent="0.3">
      <c r="B113" s="181" t="s">
        <v>154</v>
      </c>
      <c r="C113" s="190"/>
      <c r="D113" s="187">
        <f>'IS (F1Q23)'!D113-'IS (F4Q2022)'!D113</f>
        <v>0</v>
      </c>
      <c r="E113" s="187">
        <f>'IS (F1Q23)'!E113-'IS (F4Q2022)'!E113</f>
        <v>0</v>
      </c>
      <c r="F113" s="187">
        <f>'IS (F1Q23)'!F113-'IS (F4Q2022)'!F113</f>
        <v>0</v>
      </c>
      <c r="G113" s="187">
        <f>'IS (F1Q23)'!G113-'IS (F4Q2022)'!G113</f>
        <v>0</v>
      </c>
      <c r="H113" s="188">
        <f>'IS (F1Q23)'!H113-'IS (F4Q2022)'!H113</f>
        <v>0</v>
      </c>
      <c r="I113" s="187">
        <f>'IS (F1Q23)'!I113-'IS (F4Q2022)'!I113</f>
        <v>0</v>
      </c>
      <c r="J113" s="187">
        <f>'IS (F1Q23)'!J113-'IS (F4Q2022)'!J113</f>
        <v>0</v>
      </c>
      <c r="K113" s="187">
        <f>'IS (F1Q23)'!K113-'IS (F4Q2022)'!K113</f>
        <v>0</v>
      </c>
      <c r="L113" s="187">
        <f>'IS (F1Q23)'!L113-'IS (F4Q2022)'!L113</f>
        <v>0</v>
      </c>
      <c r="M113" s="188">
        <f>'IS (F1Q23)'!M113-'IS (F4Q2022)'!M113</f>
        <v>0</v>
      </c>
      <c r="N113" s="187">
        <f>'IS (F1Q23)'!N113-'IS (F4Q2022)'!N113</f>
        <v>0</v>
      </c>
      <c r="O113" s="187">
        <f>'IS (F1Q23)'!O113-'IS (F4Q2022)'!O113</f>
        <v>0</v>
      </c>
      <c r="P113" s="187">
        <f>'IS (F1Q23)'!P113-'IS (F4Q2022)'!P113</f>
        <v>0</v>
      </c>
      <c r="Q113" s="167">
        <f>'IS (F1Q23)'!Q113-'IS (F4Q2022)'!Q113</f>
        <v>0</v>
      </c>
      <c r="R113" s="188">
        <f>'IS (F1Q23)'!R113-'IS (F4Q2022)'!R113</f>
        <v>0</v>
      </c>
      <c r="S113" s="187">
        <f>'IS (F1Q23)'!S113-'IS (F4Q2022)'!S113</f>
        <v>0</v>
      </c>
      <c r="T113" s="187">
        <f>'IS (F1Q23)'!T113-'IS (F4Q2022)'!T113</f>
        <v>0</v>
      </c>
      <c r="U113" s="187">
        <f>'IS (F1Q23)'!U113-'IS (F4Q2022)'!U113</f>
        <v>0</v>
      </c>
      <c r="V113" s="187">
        <f>'IS (F1Q23)'!V113-'IS (F4Q2022)'!V113</f>
        <v>0</v>
      </c>
      <c r="W113" s="188">
        <f>'IS (F1Q23)'!W113-'IS (F4Q2022)'!W113</f>
        <v>0</v>
      </c>
      <c r="X113" s="189">
        <f>'IS (F1Q23)'!X113-'IS (F4Q2022)'!X113</f>
        <v>-2.0146297035524709E-2</v>
      </c>
      <c r="Y113" s="189">
        <f>'IS (F1Q23)'!Y113-'IS (F4Q2022)'!Y113</f>
        <v>0</v>
      </c>
      <c r="Z113" s="189">
        <f>'IS (F1Q23)'!Z113-'IS (F4Q2022)'!Z113</f>
        <v>0</v>
      </c>
      <c r="AA113" s="189">
        <f>'IS (F1Q23)'!AA113-'IS (F4Q2022)'!AA113</f>
        <v>0</v>
      </c>
      <c r="AB113" s="188">
        <f>'IS (F1Q23)'!AB113-'IS (F4Q2022)'!AB113</f>
        <v>-4.6773429821082325E-3</v>
      </c>
      <c r="AC113" s="189">
        <f>'IS (F1Q23)'!AC113-'IS (F4Q2022)'!AC113</f>
        <v>-2.0146297035524709E-2</v>
      </c>
      <c r="AD113" s="189">
        <f>'IS (F1Q23)'!AD113-'IS (F4Q2022)'!AD113</f>
        <v>0</v>
      </c>
      <c r="AE113" s="189">
        <f>'IS (F1Q23)'!AE113-'IS (F4Q2022)'!AE113</f>
        <v>0</v>
      </c>
      <c r="AF113" s="189">
        <f>'IS (F1Q23)'!AF113-'IS (F4Q2022)'!AF113</f>
        <v>0</v>
      </c>
      <c r="AG113" s="188">
        <f>'IS (F1Q23)'!AG113-'IS (F4Q2022)'!AG113</f>
        <v>-4.7771320304844239E-3</v>
      </c>
      <c r="AH113" s="189">
        <f>'IS (F1Q23)'!AH113-'IS (F4Q2022)'!AH113</f>
        <v>-2.0146297035524709E-2</v>
      </c>
      <c r="AI113" s="189">
        <f>'IS (F1Q23)'!AI113-'IS (F4Q2022)'!AI113</f>
        <v>0</v>
      </c>
      <c r="AJ113" s="189">
        <f>'IS (F1Q23)'!AJ113-'IS (F4Q2022)'!AJ113</f>
        <v>0</v>
      </c>
      <c r="AK113" s="189">
        <f>'IS (F1Q23)'!AK113-'IS (F4Q2022)'!AK113</f>
        <v>0</v>
      </c>
      <c r="AL113" s="188">
        <f>'IS (F1Q23)'!AL113-'IS (F4Q2022)'!AL113</f>
        <v>-4.7895405679116466E-3</v>
      </c>
      <c r="AM113" s="189">
        <f>'IS (F1Q23)'!AM113-'IS (F4Q2022)'!AM113</f>
        <v>-2.0146297035524709E-2</v>
      </c>
      <c r="AN113" s="189">
        <f>'IS (F1Q23)'!AN113-'IS (F4Q2022)'!AN113</f>
        <v>0</v>
      </c>
      <c r="AO113" s="189">
        <f>'IS (F1Q23)'!AO113-'IS (F4Q2022)'!AO113</f>
        <v>0</v>
      </c>
      <c r="AP113" s="189">
        <f>'IS (F1Q23)'!AP113-'IS (F4Q2022)'!AP113</f>
        <v>0</v>
      </c>
      <c r="AQ113" s="188">
        <f>'IS (F1Q23)'!AQ113-'IS (F4Q2022)'!AQ113</f>
        <v>-4.7895405679116466E-3</v>
      </c>
      <c r="AR113" s="189">
        <f>'IS (F1Q23)'!AR113-'IS (F4Q2022)'!AR113</f>
        <v>-2.0146297035524709E-2</v>
      </c>
      <c r="AS113" s="189">
        <f>'IS (F1Q23)'!AS113-'IS (F4Q2022)'!AS113</f>
        <v>0</v>
      </c>
      <c r="AT113" s="189">
        <f>'IS (F1Q23)'!AT113-'IS (F4Q2022)'!AT113</f>
        <v>0</v>
      </c>
      <c r="AU113" s="189">
        <f>'IS (F1Q23)'!AU113-'IS (F4Q2022)'!AU113</f>
        <v>0</v>
      </c>
      <c r="AV113" s="188">
        <f>'IS (F1Q23)'!AV113-'IS (F4Q2022)'!AV113</f>
        <v>-4.7895405679116466E-3</v>
      </c>
    </row>
    <row r="114" spans="2:48" outlineLevel="1" x14ac:dyDescent="0.3">
      <c r="B114" s="180" t="s">
        <v>34</v>
      </c>
      <c r="C114" s="18"/>
      <c r="D114" s="358">
        <f>'IS (F1Q23)'!D114-'IS (F4Q2022)'!D114</f>
        <v>0</v>
      </c>
      <c r="E114" s="358">
        <f>'IS (F1Q23)'!E114-'IS (F4Q2022)'!E114</f>
        <v>0</v>
      </c>
      <c r="F114" s="358">
        <f>'IS (F1Q23)'!F114-'IS (F4Q2022)'!F114</f>
        <v>0</v>
      </c>
      <c r="G114" s="358">
        <f>'IS (F1Q23)'!G114-'IS (F4Q2022)'!G114</f>
        <v>0</v>
      </c>
      <c r="H114" s="126">
        <f>'IS (F1Q23)'!H114-'IS (F4Q2022)'!H114</f>
        <v>0</v>
      </c>
      <c r="I114" s="358">
        <f>'IS (F1Q23)'!I114-'IS (F4Q2022)'!I114</f>
        <v>0</v>
      </c>
      <c r="J114" s="358">
        <f>'IS (F1Q23)'!J114-'IS (F4Q2022)'!J114</f>
        <v>0</v>
      </c>
      <c r="K114" s="358">
        <f>'IS (F1Q23)'!K114-'IS (F4Q2022)'!K114</f>
        <v>0</v>
      </c>
      <c r="L114" s="358">
        <f>'IS (F1Q23)'!L114-'IS (F4Q2022)'!L114</f>
        <v>0</v>
      </c>
      <c r="M114" s="126">
        <f>'IS (F1Q23)'!M114-'IS (F4Q2022)'!M114</f>
        <v>0</v>
      </c>
      <c r="N114" s="358">
        <f>'IS (F1Q23)'!N114-'IS (F4Q2022)'!N114</f>
        <v>0</v>
      </c>
      <c r="O114" s="358">
        <f>'IS (F1Q23)'!O114-'IS (F4Q2022)'!O114</f>
        <v>0</v>
      </c>
      <c r="P114" s="358">
        <f>'IS (F1Q23)'!P114-'IS (F4Q2022)'!P114</f>
        <v>0</v>
      </c>
      <c r="Q114" s="358">
        <f>'IS (F1Q23)'!Q114-'IS (F4Q2022)'!Q114</f>
        <v>0</v>
      </c>
      <c r="R114" s="126">
        <f>'IS (F1Q23)'!R114-'IS (F4Q2022)'!R114</f>
        <v>0</v>
      </c>
      <c r="S114" s="358">
        <f>'IS (F1Q23)'!S114-'IS (F4Q2022)'!S114</f>
        <v>0</v>
      </c>
      <c r="T114" s="358">
        <f>'IS (F1Q23)'!T114-'IS (F4Q2022)'!T114</f>
        <v>0</v>
      </c>
      <c r="U114" s="358">
        <f>'IS (F1Q23)'!U114-'IS (F4Q2022)'!U114</f>
        <v>0</v>
      </c>
      <c r="V114" s="358">
        <f>'IS (F1Q23)'!V114-'IS (F4Q2022)'!V114</f>
        <v>0</v>
      </c>
      <c r="W114" s="126">
        <f>'IS (F1Q23)'!W114-'IS (F4Q2022)'!W114</f>
        <v>0</v>
      </c>
      <c r="X114" s="360">
        <f>'IS (F1Q23)'!X114-'IS (F4Q2022)'!X114</f>
        <v>0</v>
      </c>
      <c r="Y114" s="360">
        <f>'IS (F1Q23)'!Y114-'IS (F4Q2022)'!Y114</f>
        <v>0</v>
      </c>
      <c r="Z114" s="360">
        <f>'IS (F1Q23)'!Z114-'IS (F4Q2022)'!Z114</f>
        <v>0</v>
      </c>
      <c r="AA114" s="360">
        <f>'IS (F1Q23)'!AA114-'IS (F4Q2022)'!AA114</f>
        <v>0</v>
      </c>
      <c r="AB114" s="126">
        <f>'IS (F1Q23)'!AB114-'IS (F4Q2022)'!AB114</f>
        <v>0</v>
      </c>
      <c r="AC114" s="360">
        <f>'IS (F1Q23)'!AC114-'IS (F4Q2022)'!AC114</f>
        <v>0</v>
      </c>
      <c r="AD114" s="360">
        <f>'IS (F1Q23)'!AD114-'IS (F4Q2022)'!AD114</f>
        <v>0</v>
      </c>
      <c r="AE114" s="360">
        <f>'IS (F1Q23)'!AE114-'IS (F4Q2022)'!AE114</f>
        <v>0</v>
      </c>
      <c r="AF114" s="360">
        <f>'IS (F1Q23)'!AF114-'IS (F4Q2022)'!AF114</f>
        <v>0</v>
      </c>
      <c r="AG114" s="126">
        <f>'IS (F1Q23)'!AG114-'IS (F4Q2022)'!AG114</f>
        <v>0</v>
      </c>
      <c r="AH114" s="360">
        <f>'IS (F1Q23)'!AH114-'IS (F4Q2022)'!AH114</f>
        <v>0</v>
      </c>
      <c r="AI114" s="360">
        <f>'IS (F1Q23)'!AI114-'IS (F4Q2022)'!AI114</f>
        <v>0</v>
      </c>
      <c r="AJ114" s="360">
        <f>'IS (F1Q23)'!AJ114-'IS (F4Q2022)'!AJ114</f>
        <v>0</v>
      </c>
      <c r="AK114" s="360">
        <f>'IS (F1Q23)'!AK114-'IS (F4Q2022)'!AK114</f>
        <v>0</v>
      </c>
      <c r="AL114" s="126">
        <f>'IS (F1Q23)'!AL114-'IS (F4Q2022)'!AL114</f>
        <v>0</v>
      </c>
      <c r="AM114" s="360">
        <f>'IS (F1Q23)'!AM114-'IS (F4Q2022)'!AM114</f>
        <v>0</v>
      </c>
      <c r="AN114" s="360">
        <f>'IS (F1Q23)'!AN114-'IS (F4Q2022)'!AN114</f>
        <v>0</v>
      </c>
      <c r="AO114" s="360">
        <f>'IS (F1Q23)'!AO114-'IS (F4Q2022)'!AO114</f>
        <v>0</v>
      </c>
      <c r="AP114" s="360">
        <f>'IS (F1Q23)'!AP114-'IS (F4Q2022)'!AP114</f>
        <v>0</v>
      </c>
      <c r="AQ114" s="126">
        <f>'IS (F1Q23)'!AQ114-'IS (F4Q2022)'!AQ114</f>
        <v>0</v>
      </c>
      <c r="AR114" s="360">
        <f>'IS (F1Q23)'!AR114-'IS (F4Q2022)'!AR114</f>
        <v>0</v>
      </c>
      <c r="AS114" s="360">
        <f>'IS (F1Q23)'!AS114-'IS (F4Q2022)'!AS114</f>
        <v>0</v>
      </c>
      <c r="AT114" s="360">
        <f>'IS (F1Q23)'!AT114-'IS (F4Q2022)'!AT114</f>
        <v>0</v>
      </c>
      <c r="AU114" s="360">
        <f>'IS (F1Q23)'!AU114-'IS (F4Q2022)'!AU114</f>
        <v>0</v>
      </c>
      <c r="AV114" s="126">
        <f>'IS (F1Q23)'!AV114-'IS (F4Q2022)'!AV114</f>
        <v>0</v>
      </c>
    </row>
    <row r="115" spans="2:48" outlineLevel="1" x14ac:dyDescent="0.3">
      <c r="B115" s="180" t="s">
        <v>35</v>
      </c>
      <c r="C115" s="18"/>
      <c r="D115" s="48">
        <f>'IS (F1Q23)'!D115-'IS (F4Q2022)'!D115</f>
        <v>0</v>
      </c>
      <c r="E115" s="48">
        <f>'IS (F1Q23)'!E115-'IS (F4Q2022)'!E115</f>
        <v>0</v>
      </c>
      <c r="F115" s="48">
        <f>'IS (F1Q23)'!F115-'IS (F4Q2022)'!F115</f>
        <v>0</v>
      </c>
      <c r="G115" s="48">
        <f>'IS (F1Q23)'!G115-'IS (F4Q2022)'!G115</f>
        <v>0</v>
      </c>
      <c r="H115" s="49">
        <f>'IS (F1Q23)'!H115-'IS (F4Q2022)'!H115</f>
        <v>0</v>
      </c>
      <c r="I115" s="48">
        <f>'IS (F1Q23)'!I115-'IS (F4Q2022)'!I115</f>
        <v>0</v>
      </c>
      <c r="J115" s="48">
        <f>'IS (F1Q23)'!J115-'IS (F4Q2022)'!J115</f>
        <v>0</v>
      </c>
      <c r="K115" s="48">
        <f>'IS (F1Q23)'!K115-'IS (F4Q2022)'!K115</f>
        <v>0</v>
      </c>
      <c r="L115" s="48">
        <f>'IS (F1Q23)'!L115-'IS (F4Q2022)'!L115</f>
        <v>0</v>
      </c>
      <c r="M115" s="49">
        <f>'IS (F1Q23)'!M115-'IS (F4Q2022)'!M115</f>
        <v>0</v>
      </c>
      <c r="N115" s="48">
        <f>'IS (F1Q23)'!N115-'IS (F4Q2022)'!N115</f>
        <v>0</v>
      </c>
      <c r="O115" s="48">
        <f>'IS (F1Q23)'!O115-'IS (F4Q2022)'!O115</f>
        <v>0</v>
      </c>
      <c r="P115" s="48">
        <f>'IS (F1Q23)'!P115-'IS (F4Q2022)'!P115</f>
        <v>0</v>
      </c>
      <c r="Q115" s="105">
        <f>'IS (F1Q23)'!Q115-'IS (F4Q2022)'!Q115</f>
        <v>0</v>
      </c>
      <c r="R115" s="49">
        <f>'IS (F1Q23)'!R115-'IS (F4Q2022)'!R115</f>
        <v>0</v>
      </c>
      <c r="S115" s="48">
        <f>'IS (F1Q23)'!S115-'IS (F4Q2022)'!S115</f>
        <v>0</v>
      </c>
      <c r="T115" s="48">
        <f>'IS (F1Q23)'!T115-'IS (F4Q2022)'!T115</f>
        <v>0</v>
      </c>
      <c r="U115" s="48">
        <f>'IS (F1Q23)'!U115-'IS (F4Q2022)'!U115</f>
        <v>0</v>
      </c>
      <c r="V115" s="48">
        <f>'IS (F1Q23)'!V115-'IS (F4Q2022)'!V115</f>
        <v>0</v>
      </c>
      <c r="W115" s="49">
        <f>'IS (F1Q23)'!W115-'IS (F4Q2022)'!W115</f>
        <v>0</v>
      </c>
      <c r="X115" s="48">
        <f>'IS (F1Q23)'!X115-'IS (F4Q2022)'!X115</f>
        <v>-1.63</v>
      </c>
      <c r="Y115" s="48">
        <f>'IS (F1Q23)'!Y115-'IS (F4Q2022)'!Y115</f>
        <v>0</v>
      </c>
      <c r="Z115" s="48">
        <f>'IS (F1Q23)'!Z115-'IS (F4Q2022)'!Z115</f>
        <v>0</v>
      </c>
      <c r="AA115" s="48">
        <f>'IS (F1Q23)'!AA115-'IS (F4Q2022)'!AA115</f>
        <v>0</v>
      </c>
      <c r="AB115" s="49">
        <f>'IS (F1Q23)'!AB115-'IS (F4Q2022)'!AB115</f>
        <v>-1.629999999999999</v>
      </c>
      <c r="AC115" s="48">
        <f>'IS (F1Q23)'!AC115-'IS (F4Q2022)'!AC115</f>
        <v>-1.6951999999999994</v>
      </c>
      <c r="AD115" s="48">
        <f>'IS (F1Q23)'!AD115-'IS (F4Q2022)'!AD115</f>
        <v>0</v>
      </c>
      <c r="AE115" s="48">
        <f>'IS (F1Q23)'!AE115-'IS (F4Q2022)'!AE115</f>
        <v>0</v>
      </c>
      <c r="AF115" s="48">
        <f>'IS (F1Q23)'!AF115-'IS (F4Q2022)'!AF115</f>
        <v>0</v>
      </c>
      <c r="AG115" s="49">
        <f>'IS (F1Q23)'!AG115-'IS (F4Q2022)'!AG115</f>
        <v>-1.6951999999999998</v>
      </c>
      <c r="AH115" s="48">
        <f>'IS (F1Q23)'!AH115-'IS (F4Q2022)'!AH115</f>
        <v>-1.7630080000000001</v>
      </c>
      <c r="AI115" s="48">
        <f>'IS (F1Q23)'!AI115-'IS (F4Q2022)'!AI115</f>
        <v>0</v>
      </c>
      <c r="AJ115" s="48">
        <f>'IS (F1Q23)'!AJ115-'IS (F4Q2022)'!AJ115</f>
        <v>0</v>
      </c>
      <c r="AK115" s="48">
        <f>'IS (F1Q23)'!AK115-'IS (F4Q2022)'!AK115</f>
        <v>0</v>
      </c>
      <c r="AL115" s="49">
        <f>'IS (F1Q23)'!AL115-'IS (F4Q2022)'!AL115</f>
        <v>-1.763008000000001</v>
      </c>
      <c r="AM115" s="48">
        <f>'IS (F1Q23)'!AM115-'IS (F4Q2022)'!AM115</f>
        <v>-1.8335283200000001</v>
      </c>
      <c r="AN115" s="48">
        <f>'IS (F1Q23)'!AN115-'IS (F4Q2022)'!AN115</f>
        <v>0</v>
      </c>
      <c r="AO115" s="48">
        <f>'IS (F1Q23)'!AO115-'IS (F4Q2022)'!AO115</f>
        <v>0</v>
      </c>
      <c r="AP115" s="48">
        <f>'IS (F1Q23)'!AP115-'IS (F4Q2022)'!AP115</f>
        <v>0</v>
      </c>
      <c r="AQ115" s="49">
        <f>'IS (F1Q23)'!AQ115-'IS (F4Q2022)'!AQ115</f>
        <v>-1.8335283199999992</v>
      </c>
      <c r="AR115" s="48">
        <f>'IS (F1Q23)'!AR115-'IS (F4Q2022)'!AR115</f>
        <v>-1.906869452800001</v>
      </c>
      <c r="AS115" s="48">
        <f>'IS (F1Q23)'!AS115-'IS (F4Q2022)'!AS115</f>
        <v>0</v>
      </c>
      <c r="AT115" s="48">
        <f>'IS (F1Q23)'!AT115-'IS (F4Q2022)'!AT115</f>
        <v>0</v>
      </c>
      <c r="AU115" s="48">
        <f>'IS (F1Q23)'!AU115-'IS (F4Q2022)'!AU115</f>
        <v>0</v>
      </c>
      <c r="AV115" s="49">
        <f>'IS (F1Q23)'!AV115-'IS (F4Q2022)'!AV115</f>
        <v>-1.9068694528000023</v>
      </c>
    </row>
    <row r="116" spans="2:48" s="184" customFormat="1" outlineLevel="1" x14ac:dyDescent="0.3">
      <c r="B116" s="181" t="s">
        <v>153</v>
      </c>
      <c r="C116" s="190"/>
      <c r="D116" s="187">
        <f>'IS (F1Q23)'!D116-'IS (F4Q2022)'!D116</f>
        <v>0</v>
      </c>
      <c r="E116" s="187">
        <f>'IS (F1Q23)'!E116-'IS (F4Q2022)'!E116</f>
        <v>0</v>
      </c>
      <c r="F116" s="187">
        <f>'IS (F1Q23)'!F116-'IS (F4Q2022)'!F116</f>
        <v>0</v>
      </c>
      <c r="G116" s="187">
        <f>'IS (F1Q23)'!G116-'IS (F4Q2022)'!G116</f>
        <v>0</v>
      </c>
      <c r="H116" s="188">
        <f>'IS (F1Q23)'!H116-'IS (F4Q2022)'!H116</f>
        <v>0</v>
      </c>
      <c r="I116" s="187">
        <f>'IS (F1Q23)'!I116-'IS (F4Q2022)'!I116</f>
        <v>0</v>
      </c>
      <c r="J116" s="187">
        <f>'IS (F1Q23)'!J116-'IS (F4Q2022)'!J116</f>
        <v>0</v>
      </c>
      <c r="K116" s="187">
        <f>'IS (F1Q23)'!K116-'IS (F4Q2022)'!K116</f>
        <v>0</v>
      </c>
      <c r="L116" s="187">
        <f>'IS (F1Q23)'!L116-'IS (F4Q2022)'!L116</f>
        <v>0</v>
      </c>
      <c r="M116" s="188">
        <f>'IS (F1Q23)'!M116-'IS (F4Q2022)'!M116</f>
        <v>0</v>
      </c>
      <c r="N116" s="187">
        <f>'IS (F1Q23)'!N116-'IS (F4Q2022)'!N116</f>
        <v>0</v>
      </c>
      <c r="O116" s="187">
        <f>'IS (F1Q23)'!O116-'IS (F4Q2022)'!O116</f>
        <v>0</v>
      </c>
      <c r="P116" s="187">
        <f>'IS (F1Q23)'!P116-'IS (F4Q2022)'!P116</f>
        <v>0</v>
      </c>
      <c r="Q116" s="167">
        <f>'IS (F1Q23)'!Q116-'IS (F4Q2022)'!Q116</f>
        <v>0</v>
      </c>
      <c r="R116" s="188">
        <f>'IS (F1Q23)'!R116-'IS (F4Q2022)'!R116</f>
        <v>0</v>
      </c>
      <c r="S116" s="187">
        <f>'IS (F1Q23)'!S116-'IS (F4Q2022)'!S116</f>
        <v>0</v>
      </c>
      <c r="T116" s="187">
        <f>'IS (F1Q23)'!T116-'IS (F4Q2022)'!T116</f>
        <v>0</v>
      </c>
      <c r="U116" s="187">
        <f>'IS (F1Q23)'!U116-'IS (F4Q2022)'!U116</f>
        <v>0</v>
      </c>
      <c r="V116" s="187">
        <f>'IS (F1Q23)'!V116-'IS (F4Q2022)'!V116</f>
        <v>0</v>
      </c>
      <c r="W116" s="188">
        <f>'IS (F1Q23)'!W116-'IS (F4Q2022)'!W116</f>
        <v>0</v>
      </c>
      <c r="X116" s="189">
        <f>'IS (F1Q23)'!X116-'IS (F4Q2022)'!X116</f>
        <v>-3.7294212764020255E-3</v>
      </c>
      <c r="Y116" s="189">
        <f>'IS (F1Q23)'!Y116-'IS (F4Q2022)'!Y116</f>
        <v>0</v>
      </c>
      <c r="Z116" s="189">
        <f>'IS (F1Q23)'!Z116-'IS (F4Q2022)'!Z116</f>
        <v>0</v>
      </c>
      <c r="AA116" s="189">
        <f>'IS (F1Q23)'!AA116-'IS (F4Q2022)'!AA116</f>
        <v>0</v>
      </c>
      <c r="AB116" s="188">
        <f>'IS (F1Q23)'!AB116-'IS (F4Q2022)'!AB116</f>
        <v>-8.9645850088327858E-4</v>
      </c>
      <c r="AC116" s="189">
        <f>'IS (F1Q23)'!AC116-'IS (F4Q2022)'!AC116</f>
        <v>-3.7294212764020255E-3</v>
      </c>
      <c r="AD116" s="189">
        <f>'IS (F1Q23)'!AD116-'IS (F4Q2022)'!AD116</f>
        <v>0</v>
      </c>
      <c r="AE116" s="189">
        <f>'IS (F1Q23)'!AE116-'IS (F4Q2022)'!AE116</f>
        <v>0</v>
      </c>
      <c r="AF116" s="189">
        <f>'IS (F1Q23)'!AF116-'IS (F4Q2022)'!AF116</f>
        <v>0</v>
      </c>
      <c r="AG116" s="188">
        <f>'IS (F1Q23)'!AG116-'IS (F4Q2022)'!AG116</f>
        <v>-8.9645850088327945E-4</v>
      </c>
      <c r="AH116" s="189">
        <f>'IS (F1Q23)'!AH116-'IS (F4Q2022)'!AH116</f>
        <v>-3.7294212764020255E-3</v>
      </c>
      <c r="AI116" s="189">
        <f>'IS (F1Q23)'!AI116-'IS (F4Q2022)'!AI116</f>
        <v>0</v>
      </c>
      <c r="AJ116" s="189">
        <f>'IS (F1Q23)'!AJ116-'IS (F4Q2022)'!AJ116</f>
        <v>0</v>
      </c>
      <c r="AK116" s="189">
        <f>'IS (F1Q23)'!AK116-'IS (F4Q2022)'!AK116</f>
        <v>0</v>
      </c>
      <c r="AL116" s="188">
        <f>'IS (F1Q23)'!AL116-'IS (F4Q2022)'!AL116</f>
        <v>-8.9645850088328032E-4</v>
      </c>
      <c r="AM116" s="189">
        <f>'IS (F1Q23)'!AM116-'IS (F4Q2022)'!AM116</f>
        <v>-3.7294212764020255E-3</v>
      </c>
      <c r="AN116" s="189">
        <f>'IS (F1Q23)'!AN116-'IS (F4Q2022)'!AN116</f>
        <v>0</v>
      </c>
      <c r="AO116" s="189">
        <f>'IS (F1Q23)'!AO116-'IS (F4Q2022)'!AO116</f>
        <v>0</v>
      </c>
      <c r="AP116" s="189">
        <f>'IS (F1Q23)'!AP116-'IS (F4Q2022)'!AP116</f>
        <v>0</v>
      </c>
      <c r="AQ116" s="188">
        <f>'IS (F1Q23)'!AQ116-'IS (F4Q2022)'!AQ116</f>
        <v>-8.9645850088327945E-4</v>
      </c>
      <c r="AR116" s="189">
        <f>'IS (F1Q23)'!AR116-'IS (F4Q2022)'!AR116</f>
        <v>-3.7294212764020255E-3</v>
      </c>
      <c r="AS116" s="189">
        <f>'IS (F1Q23)'!AS116-'IS (F4Q2022)'!AS116</f>
        <v>0</v>
      </c>
      <c r="AT116" s="189">
        <f>'IS (F1Q23)'!AT116-'IS (F4Q2022)'!AT116</f>
        <v>0</v>
      </c>
      <c r="AU116" s="189">
        <f>'IS (F1Q23)'!AU116-'IS (F4Q2022)'!AU116</f>
        <v>0</v>
      </c>
      <c r="AV116" s="188">
        <f>'IS (F1Q23)'!AV116-'IS (F4Q2022)'!AV116</f>
        <v>-8.9645850088327945E-4</v>
      </c>
    </row>
    <row r="117" spans="2:48" ht="16.2" outlineLevel="1" x14ac:dyDescent="0.45">
      <c r="B117" s="180" t="s">
        <v>42</v>
      </c>
      <c r="C117" s="18"/>
      <c r="D117" s="119">
        <f>'IS (F1Q23)'!D117-'IS (F4Q2022)'!D117</f>
        <v>0</v>
      </c>
      <c r="E117" s="119">
        <f>'IS (F1Q23)'!E117-'IS (F4Q2022)'!E117</f>
        <v>0</v>
      </c>
      <c r="F117" s="119">
        <f>'IS (F1Q23)'!F117-'IS (F4Q2022)'!F117</f>
        <v>0</v>
      </c>
      <c r="G117" s="119">
        <f>'IS (F1Q23)'!G117-'IS (F4Q2022)'!G117</f>
        <v>0</v>
      </c>
      <c r="H117" s="131">
        <f>'IS (F1Q23)'!H117-'IS (F4Q2022)'!H117</f>
        <v>0</v>
      </c>
      <c r="I117" s="119">
        <f>'IS (F1Q23)'!I117-'IS (F4Q2022)'!I117</f>
        <v>0</v>
      </c>
      <c r="J117" s="119">
        <f>'IS (F1Q23)'!J117-'IS (F4Q2022)'!J117</f>
        <v>0</v>
      </c>
      <c r="K117" s="119">
        <f>'IS (F1Q23)'!K117-'IS (F4Q2022)'!K117</f>
        <v>0</v>
      </c>
      <c r="L117" s="119">
        <f>'IS (F1Q23)'!L117-'IS (F4Q2022)'!L117</f>
        <v>0</v>
      </c>
      <c r="M117" s="131">
        <f>'IS (F1Q23)'!M117-'IS (F4Q2022)'!M117</f>
        <v>0</v>
      </c>
      <c r="N117" s="119">
        <f>'IS (F1Q23)'!N117-'IS (F4Q2022)'!N117</f>
        <v>0</v>
      </c>
      <c r="O117" s="119">
        <f>'IS (F1Q23)'!O117-'IS (F4Q2022)'!O117</f>
        <v>0</v>
      </c>
      <c r="P117" s="119">
        <f>'IS (F1Q23)'!P117-'IS (F4Q2022)'!P117</f>
        <v>0</v>
      </c>
      <c r="Q117" s="119">
        <f>'IS (F1Q23)'!Q117-'IS (F4Q2022)'!Q117</f>
        <v>0</v>
      </c>
      <c r="R117" s="131">
        <f>'IS (F1Q23)'!R117-'IS (F4Q2022)'!R117</f>
        <v>0</v>
      </c>
      <c r="S117" s="119">
        <f>'IS (F1Q23)'!S117-'IS (F4Q2022)'!S117</f>
        <v>0</v>
      </c>
      <c r="T117" s="119">
        <f>'IS (F1Q23)'!T117-'IS (F4Q2022)'!T117</f>
        <v>0</v>
      </c>
      <c r="U117" s="119">
        <f>'IS (F1Q23)'!U117-'IS (F4Q2022)'!U117</f>
        <v>0</v>
      </c>
      <c r="V117" s="119">
        <f>'IS (F1Q23)'!V117-'IS (F4Q2022)'!V117</f>
        <v>0</v>
      </c>
      <c r="W117" s="131">
        <f>'IS (F1Q23)'!W117-'IS (F4Q2022)'!W117</f>
        <v>0</v>
      </c>
      <c r="X117" s="119">
        <f>'IS (F1Q23)'!X117-'IS (F4Q2022)'!X117</f>
        <v>0</v>
      </c>
      <c r="Y117" s="119">
        <f>'IS (F1Q23)'!Y117-'IS (F4Q2022)'!Y117</f>
        <v>0</v>
      </c>
      <c r="Z117" s="119">
        <f>'IS (F1Q23)'!Z117-'IS (F4Q2022)'!Z117</f>
        <v>0</v>
      </c>
      <c r="AA117" s="119">
        <f>'IS (F1Q23)'!AA117-'IS (F4Q2022)'!AA117</f>
        <v>0</v>
      </c>
      <c r="AB117" s="131">
        <f>'IS (F1Q23)'!AB117-'IS (F4Q2022)'!AB117</f>
        <v>0</v>
      </c>
      <c r="AC117" s="119">
        <f>'IS (F1Q23)'!AC117-'IS (F4Q2022)'!AC117</f>
        <v>0</v>
      </c>
      <c r="AD117" s="119">
        <f>'IS (F1Q23)'!AD117-'IS (F4Q2022)'!AD117</f>
        <v>0</v>
      </c>
      <c r="AE117" s="119">
        <f>'IS (F1Q23)'!AE117-'IS (F4Q2022)'!AE117</f>
        <v>0</v>
      </c>
      <c r="AF117" s="119">
        <f>'IS (F1Q23)'!AF117-'IS (F4Q2022)'!AF117</f>
        <v>0</v>
      </c>
      <c r="AG117" s="131">
        <f>'IS (F1Q23)'!AG117-'IS (F4Q2022)'!AG117</f>
        <v>0</v>
      </c>
      <c r="AH117" s="119">
        <f>'IS (F1Q23)'!AH117-'IS (F4Q2022)'!AH117</f>
        <v>0</v>
      </c>
      <c r="AI117" s="119">
        <f>'IS (F1Q23)'!AI117-'IS (F4Q2022)'!AI117</f>
        <v>0</v>
      </c>
      <c r="AJ117" s="119">
        <f>'IS (F1Q23)'!AJ117-'IS (F4Q2022)'!AJ117</f>
        <v>0</v>
      </c>
      <c r="AK117" s="119">
        <f>'IS (F1Q23)'!AK117-'IS (F4Q2022)'!AK117</f>
        <v>0</v>
      </c>
      <c r="AL117" s="131">
        <f>'IS (F1Q23)'!AL117-'IS (F4Q2022)'!AL117</f>
        <v>0</v>
      </c>
      <c r="AM117" s="119">
        <f>'IS (F1Q23)'!AM117-'IS (F4Q2022)'!AM117</f>
        <v>0</v>
      </c>
      <c r="AN117" s="119">
        <f>'IS (F1Q23)'!AN117-'IS (F4Q2022)'!AN117</f>
        <v>0</v>
      </c>
      <c r="AO117" s="119">
        <f>'IS (F1Q23)'!AO117-'IS (F4Q2022)'!AO117</f>
        <v>0</v>
      </c>
      <c r="AP117" s="119">
        <f>'IS (F1Q23)'!AP117-'IS (F4Q2022)'!AP117</f>
        <v>0</v>
      </c>
      <c r="AQ117" s="131">
        <f>'IS (F1Q23)'!AQ117-'IS (F4Q2022)'!AQ117</f>
        <v>0</v>
      </c>
      <c r="AR117" s="119">
        <f>'IS (F1Q23)'!AR117-'IS (F4Q2022)'!AR117</f>
        <v>0</v>
      </c>
      <c r="AS117" s="119">
        <f>'IS (F1Q23)'!AS117-'IS (F4Q2022)'!AS117</f>
        <v>0</v>
      </c>
      <c r="AT117" s="119">
        <f>'IS (F1Q23)'!AT117-'IS (F4Q2022)'!AT117</f>
        <v>0</v>
      </c>
      <c r="AU117" s="119">
        <f>'IS (F1Q23)'!AU117-'IS (F4Q2022)'!AU117</f>
        <v>0</v>
      </c>
      <c r="AV117" s="131">
        <f>'IS (F1Q23)'!AV117-'IS (F4Q2022)'!AV117</f>
        <v>0</v>
      </c>
    </row>
    <row r="118" spans="2:48" outlineLevel="1" x14ac:dyDescent="0.3">
      <c r="B118" s="46" t="s">
        <v>52</v>
      </c>
      <c r="C118" s="19"/>
      <c r="D118" s="50">
        <f>'IS (F1Q23)'!D118-'IS (F4Q2022)'!D118</f>
        <v>0</v>
      </c>
      <c r="E118" s="50">
        <f>'IS (F1Q23)'!E118-'IS (F4Q2022)'!E118</f>
        <v>0</v>
      </c>
      <c r="F118" s="50">
        <f>'IS (F1Q23)'!F118-'IS (F4Q2022)'!F118</f>
        <v>0</v>
      </c>
      <c r="G118" s="50">
        <f>'IS (F1Q23)'!G118-'IS (F4Q2022)'!G118</f>
        <v>0</v>
      </c>
      <c r="H118" s="26">
        <f>'IS (F1Q23)'!H118-'IS (F4Q2022)'!H118</f>
        <v>0</v>
      </c>
      <c r="I118" s="50">
        <f>'IS (F1Q23)'!I118-'IS (F4Q2022)'!I118</f>
        <v>0</v>
      </c>
      <c r="J118" s="50">
        <f>'IS (F1Q23)'!J118-'IS (F4Q2022)'!J118</f>
        <v>0</v>
      </c>
      <c r="K118" s="50">
        <f>'IS (F1Q23)'!K118-'IS (F4Q2022)'!K118</f>
        <v>0</v>
      </c>
      <c r="L118" s="50">
        <f>'IS (F1Q23)'!L118-'IS (F4Q2022)'!L118</f>
        <v>0</v>
      </c>
      <c r="M118" s="26">
        <f>'IS (F1Q23)'!M118-'IS (F4Q2022)'!M118</f>
        <v>0</v>
      </c>
      <c r="N118" s="50">
        <f>'IS (F1Q23)'!N118-'IS (F4Q2022)'!N118</f>
        <v>0</v>
      </c>
      <c r="O118" s="50">
        <f>'IS (F1Q23)'!O118-'IS (F4Q2022)'!O118</f>
        <v>0</v>
      </c>
      <c r="P118" s="50">
        <f>'IS (F1Q23)'!P118-'IS (F4Q2022)'!P118</f>
        <v>0</v>
      </c>
      <c r="Q118" s="103">
        <f>'IS (F1Q23)'!Q118-'IS (F4Q2022)'!Q118</f>
        <v>0</v>
      </c>
      <c r="R118" s="26">
        <f>'IS (F1Q23)'!R118-'IS (F4Q2022)'!R118</f>
        <v>0</v>
      </c>
      <c r="S118" s="50">
        <f>'IS (F1Q23)'!S118-'IS (F4Q2022)'!S118</f>
        <v>0</v>
      </c>
      <c r="T118" s="50">
        <f>'IS (F1Q23)'!T118-'IS (F4Q2022)'!T118</f>
        <v>0</v>
      </c>
      <c r="U118" s="50">
        <f>'IS (F1Q23)'!U118-'IS (F4Q2022)'!U118</f>
        <v>0</v>
      </c>
      <c r="V118" s="50">
        <f>'IS (F1Q23)'!V118-'IS (F4Q2022)'!V118</f>
        <v>0</v>
      </c>
      <c r="W118" s="26">
        <f>'IS (F1Q23)'!W118-'IS (F4Q2022)'!W118</f>
        <v>0</v>
      </c>
      <c r="X118" s="50">
        <f>'IS (F1Q23)'!X118-'IS (F4Q2022)'!X118</f>
        <v>-7.7083500000000527</v>
      </c>
      <c r="Y118" s="50">
        <f>'IS (F1Q23)'!Y118-'IS (F4Q2022)'!Y118</f>
        <v>0</v>
      </c>
      <c r="Z118" s="50">
        <f>'IS (F1Q23)'!Z118-'IS (F4Q2022)'!Z118</f>
        <v>0</v>
      </c>
      <c r="AA118" s="50">
        <f>'IS (F1Q23)'!AA118-'IS (F4Q2022)'!AA118</f>
        <v>0</v>
      </c>
      <c r="AB118" s="26">
        <f>'IS (F1Q23)'!AB118-'IS (F4Q2022)'!AB118</f>
        <v>-7.7083499999998821</v>
      </c>
      <c r="AC118" s="50">
        <f>'IS (F1Q23)'!AC118-'IS (F4Q2022)'!AC118</f>
        <v>-8.4199960000001397</v>
      </c>
      <c r="AD118" s="50">
        <f>'IS (F1Q23)'!AD118-'IS (F4Q2022)'!AD118</f>
        <v>0</v>
      </c>
      <c r="AE118" s="50">
        <f>'IS (F1Q23)'!AE118-'IS (F4Q2022)'!AE118</f>
        <v>0</v>
      </c>
      <c r="AF118" s="50">
        <f>'IS (F1Q23)'!AF118-'IS (F4Q2022)'!AF118</f>
        <v>0</v>
      </c>
      <c r="AG118" s="26">
        <f>'IS (F1Q23)'!AG118-'IS (F4Q2022)'!AG118</f>
        <v>-8.4199960000003102</v>
      </c>
      <c r="AH118" s="50">
        <f>'IS (F1Q23)'!AH118-'IS (F4Q2022)'!AH118</f>
        <v>-8.8197125120000237</v>
      </c>
      <c r="AI118" s="50">
        <f>'IS (F1Q23)'!AI118-'IS (F4Q2022)'!AI118</f>
        <v>0</v>
      </c>
      <c r="AJ118" s="50">
        <f>'IS (F1Q23)'!AJ118-'IS (F4Q2022)'!AJ118</f>
        <v>0</v>
      </c>
      <c r="AK118" s="50">
        <f>'IS (F1Q23)'!AK118-'IS (F4Q2022)'!AK118</f>
        <v>0</v>
      </c>
      <c r="AL118" s="26">
        <f>'IS (F1Q23)'!AL118-'IS (F4Q2022)'!AL118</f>
        <v>-8.8197125119997963</v>
      </c>
      <c r="AM118" s="50">
        <f>'IS (F1Q23)'!AM118-'IS (F4Q2022)'!AM118</f>
        <v>-9.1725010124800974</v>
      </c>
      <c r="AN118" s="50">
        <f>'IS (F1Q23)'!AN118-'IS (F4Q2022)'!AN118</f>
        <v>0</v>
      </c>
      <c r="AO118" s="50">
        <f>'IS (F1Q23)'!AO118-'IS (F4Q2022)'!AO118</f>
        <v>0</v>
      </c>
      <c r="AP118" s="50">
        <f>'IS (F1Q23)'!AP118-'IS (F4Q2022)'!AP118</f>
        <v>0</v>
      </c>
      <c r="AQ118" s="26">
        <f>'IS (F1Q23)'!AQ118-'IS (F4Q2022)'!AQ118</f>
        <v>-9.1725010124803248</v>
      </c>
      <c r="AR118" s="50">
        <f>'IS (F1Q23)'!AR118-'IS (F4Q2022)'!AR118</f>
        <v>-9.5394010529794855</v>
      </c>
      <c r="AS118" s="50">
        <f>'IS (F1Q23)'!AS118-'IS (F4Q2022)'!AS118</f>
        <v>0</v>
      </c>
      <c r="AT118" s="50">
        <f>'IS (F1Q23)'!AT118-'IS (F4Q2022)'!AT118</f>
        <v>0</v>
      </c>
      <c r="AU118" s="50">
        <f>'IS (F1Q23)'!AU118-'IS (F4Q2022)'!AU118</f>
        <v>0</v>
      </c>
      <c r="AV118" s="26">
        <f>'IS (F1Q23)'!AV118-'IS (F4Q2022)'!AV118</f>
        <v>-9.539401052979656</v>
      </c>
    </row>
    <row r="119" spans="2:48" ht="16.2" outlineLevel="1" x14ac:dyDescent="0.45">
      <c r="B119" s="47" t="s">
        <v>36</v>
      </c>
      <c r="C119" s="44"/>
      <c r="D119" s="52">
        <f>'IS (F1Q23)'!D119-'IS (F4Q2022)'!D119</f>
        <v>0</v>
      </c>
      <c r="E119" s="104">
        <f>'IS (F1Q23)'!E119-'IS (F4Q2022)'!E119</f>
        <v>0</v>
      </c>
      <c r="F119" s="104">
        <f>'IS (F1Q23)'!F119-'IS (F4Q2022)'!F119</f>
        <v>0</v>
      </c>
      <c r="G119" s="104">
        <f>'IS (F1Q23)'!G119-'IS (F4Q2022)'!G119</f>
        <v>0</v>
      </c>
      <c r="H119" s="193">
        <f>'IS (F1Q23)'!H119-'IS (F4Q2022)'!H119</f>
        <v>0</v>
      </c>
      <c r="I119" s="104">
        <f>'IS (F1Q23)'!I119-'IS (F4Q2022)'!I119</f>
        <v>0</v>
      </c>
      <c r="J119" s="104">
        <f>'IS (F1Q23)'!J119-'IS (F4Q2022)'!J119</f>
        <v>0</v>
      </c>
      <c r="K119" s="104">
        <f>'IS (F1Q23)'!K119-'IS (F4Q2022)'!K119</f>
        <v>0</v>
      </c>
      <c r="L119" s="104">
        <f>'IS (F1Q23)'!L119-'IS (F4Q2022)'!L119</f>
        <v>0</v>
      </c>
      <c r="M119" s="193">
        <f>'IS (F1Q23)'!M119-'IS (F4Q2022)'!M119</f>
        <v>0</v>
      </c>
      <c r="N119" s="104">
        <f>'IS (F1Q23)'!N119-'IS (F4Q2022)'!N119</f>
        <v>0</v>
      </c>
      <c r="O119" s="104">
        <f>'IS (F1Q23)'!O119-'IS (F4Q2022)'!O119</f>
        <v>0</v>
      </c>
      <c r="P119" s="104">
        <f>'IS (F1Q23)'!P119-'IS (F4Q2022)'!P119</f>
        <v>0</v>
      </c>
      <c r="Q119" s="104">
        <f>'IS (F1Q23)'!Q119-'IS (F4Q2022)'!Q119</f>
        <v>0</v>
      </c>
      <c r="R119" s="193">
        <f>'IS (F1Q23)'!R119-'IS (F4Q2022)'!R119</f>
        <v>0</v>
      </c>
      <c r="S119" s="104">
        <f>'IS (F1Q23)'!S119-'IS (F4Q2022)'!S119</f>
        <v>0</v>
      </c>
      <c r="T119" s="104">
        <f>'IS (F1Q23)'!T119-'IS (F4Q2022)'!T119</f>
        <v>0</v>
      </c>
      <c r="U119" s="104">
        <f>'IS (F1Q23)'!U119-'IS (F4Q2022)'!U119</f>
        <v>0</v>
      </c>
      <c r="V119" s="104">
        <f>'IS (F1Q23)'!V119-'IS (F4Q2022)'!V119</f>
        <v>0</v>
      </c>
      <c r="W119" s="193">
        <f>'IS (F1Q23)'!W119-'IS (F4Q2022)'!W119</f>
        <v>0</v>
      </c>
      <c r="X119" s="56">
        <f>'IS (F1Q23)'!X119-'IS (F4Q2022)'!X119</f>
        <v>-32.700000000000003</v>
      </c>
      <c r="Y119" s="56">
        <f>'IS (F1Q23)'!Y119-'IS (F4Q2022)'!Y119</f>
        <v>-32.700000000000003</v>
      </c>
      <c r="Z119" s="56">
        <f>'IS (F1Q23)'!Z119-'IS (F4Q2022)'!Z119</f>
        <v>-32.700000000000003</v>
      </c>
      <c r="AA119" s="56">
        <f>'IS (F1Q23)'!AA119-'IS (F4Q2022)'!AA119</f>
        <v>-32.700000000000003</v>
      </c>
      <c r="AB119" s="193">
        <f>'IS (F1Q23)'!AB119-'IS (F4Q2022)'!AB119</f>
        <v>-130.80000000000001</v>
      </c>
      <c r="AC119" s="56">
        <f>'IS (F1Q23)'!AC119-'IS (F4Q2022)'!AC119</f>
        <v>-32.700000000000003</v>
      </c>
      <c r="AD119" s="56">
        <f>'IS (F1Q23)'!AD119-'IS (F4Q2022)'!AD119</f>
        <v>-32.700000000000003</v>
      </c>
      <c r="AE119" s="56">
        <f>'IS (F1Q23)'!AE119-'IS (F4Q2022)'!AE119</f>
        <v>-32.700000000000003</v>
      </c>
      <c r="AF119" s="56">
        <f>'IS (F1Q23)'!AF119-'IS (F4Q2022)'!AF119</f>
        <v>-32.700000000000003</v>
      </c>
      <c r="AG119" s="193">
        <f>'IS (F1Q23)'!AG119-'IS (F4Q2022)'!AG119</f>
        <v>-130.80000000000001</v>
      </c>
      <c r="AH119" s="56">
        <f>'IS (F1Q23)'!AH119-'IS (F4Q2022)'!AH119</f>
        <v>-32.700000000000003</v>
      </c>
      <c r="AI119" s="56">
        <f>'IS (F1Q23)'!AI119-'IS (F4Q2022)'!AI119</f>
        <v>-32.700000000000003</v>
      </c>
      <c r="AJ119" s="56">
        <f>'IS (F1Q23)'!AJ119-'IS (F4Q2022)'!AJ119</f>
        <v>-32.700000000000003</v>
      </c>
      <c r="AK119" s="56">
        <f>'IS (F1Q23)'!AK119-'IS (F4Q2022)'!AK119</f>
        <v>-32.700000000000003</v>
      </c>
      <c r="AL119" s="193">
        <f>'IS (F1Q23)'!AL119-'IS (F4Q2022)'!AL119</f>
        <v>-130.80000000000001</v>
      </c>
      <c r="AM119" s="56">
        <f>'IS (F1Q23)'!AM119-'IS (F4Q2022)'!AM119</f>
        <v>-32.700000000000003</v>
      </c>
      <c r="AN119" s="56">
        <f>'IS (F1Q23)'!AN119-'IS (F4Q2022)'!AN119</f>
        <v>-32.700000000000003</v>
      </c>
      <c r="AO119" s="56">
        <f>'IS (F1Q23)'!AO119-'IS (F4Q2022)'!AO119</f>
        <v>-32.700000000000003</v>
      </c>
      <c r="AP119" s="56">
        <f>'IS (F1Q23)'!AP119-'IS (F4Q2022)'!AP119</f>
        <v>-32.700000000000003</v>
      </c>
      <c r="AQ119" s="193">
        <f>'IS (F1Q23)'!AQ119-'IS (F4Q2022)'!AQ119</f>
        <v>-130.80000000000001</v>
      </c>
      <c r="AR119" s="56">
        <f>'IS (F1Q23)'!AR119-'IS (F4Q2022)'!AR119</f>
        <v>-32.700000000000003</v>
      </c>
      <c r="AS119" s="56">
        <f>'IS (F1Q23)'!AS119-'IS (F4Q2022)'!AS119</f>
        <v>-32.700000000000003</v>
      </c>
      <c r="AT119" s="56">
        <f>'IS (F1Q23)'!AT119-'IS (F4Q2022)'!AT119</f>
        <v>-32.700000000000003</v>
      </c>
      <c r="AU119" s="56">
        <f>'IS (F1Q23)'!AU119-'IS (F4Q2022)'!AU119</f>
        <v>-32.700000000000003</v>
      </c>
      <c r="AV119" s="193">
        <f>'IS (F1Q23)'!AV119-'IS (F4Q2022)'!AV119</f>
        <v>-130.80000000000001</v>
      </c>
    </row>
    <row r="120" spans="2:48" outlineLevel="1" x14ac:dyDescent="0.3">
      <c r="B120" s="46" t="s">
        <v>53</v>
      </c>
      <c r="C120" s="44"/>
      <c r="D120" s="156">
        <f>'IS (F1Q23)'!D120-'IS (F4Q2022)'!D120</f>
        <v>0</v>
      </c>
      <c r="E120" s="156">
        <f>'IS (F1Q23)'!E120-'IS (F4Q2022)'!E120</f>
        <v>0</v>
      </c>
      <c r="F120" s="156">
        <f>'IS (F1Q23)'!F120-'IS (F4Q2022)'!F120</f>
        <v>0</v>
      </c>
      <c r="G120" s="156">
        <f>'IS (F1Q23)'!G120-'IS (F4Q2022)'!G120</f>
        <v>0</v>
      </c>
      <c r="H120" s="97">
        <f>'IS (F1Q23)'!H120-'IS (F4Q2022)'!H120</f>
        <v>0</v>
      </c>
      <c r="I120" s="156">
        <f>'IS (F1Q23)'!I120-'IS (F4Q2022)'!I120</f>
        <v>0</v>
      </c>
      <c r="J120" s="156">
        <f>'IS (F1Q23)'!J120-'IS (F4Q2022)'!J120</f>
        <v>0</v>
      </c>
      <c r="K120" s="156">
        <f>'IS (F1Q23)'!K120-'IS (F4Q2022)'!K120</f>
        <v>0</v>
      </c>
      <c r="L120" s="74">
        <f>'IS (F1Q23)'!L120-'IS (F4Q2022)'!L120</f>
        <v>0</v>
      </c>
      <c r="M120" s="97">
        <f>'IS (F1Q23)'!M120-'IS (F4Q2022)'!M120</f>
        <v>0</v>
      </c>
      <c r="N120" s="74">
        <f>'IS (F1Q23)'!N120-'IS (F4Q2022)'!N120</f>
        <v>0</v>
      </c>
      <c r="O120" s="74">
        <f>'IS (F1Q23)'!O120-'IS (F4Q2022)'!O120</f>
        <v>0</v>
      </c>
      <c r="P120" s="74">
        <f>'IS (F1Q23)'!P120-'IS (F4Q2022)'!P120</f>
        <v>0</v>
      </c>
      <c r="Q120" s="74">
        <f>'IS (F1Q23)'!Q120-'IS (F4Q2022)'!Q120</f>
        <v>0</v>
      </c>
      <c r="R120" s="97">
        <f>'IS (F1Q23)'!R120-'IS (F4Q2022)'!R120</f>
        <v>0</v>
      </c>
      <c r="S120" s="74">
        <f>'IS (F1Q23)'!S120-'IS (F4Q2022)'!S120</f>
        <v>0</v>
      </c>
      <c r="T120" s="74">
        <f>'IS (F1Q23)'!T120-'IS (F4Q2022)'!T120</f>
        <v>0</v>
      </c>
      <c r="U120" s="74">
        <f>'IS (F1Q23)'!U120-'IS (F4Q2022)'!U120</f>
        <v>0</v>
      </c>
      <c r="V120" s="74">
        <f>'IS (F1Q23)'!V120-'IS (F4Q2022)'!V120</f>
        <v>0</v>
      </c>
      <c r="W120" s="97">
        <f>'IS (F1Q23)'!W120-'IS (F4Q2022)'!W120</f>
        <v>0</v>
      </c>
      <c r="X120" s="74">
        <f>'IS (F1Q23)'!X120-'IS (F4Q2022)'!X120</f>
        <v>-5.6016500000000065</v>
      </c>
      <c r="Y120" s="74">
        <f>'IS (F1Q23)'!Y120-'IS (F4Q2022)'!Y120</f>
        <v>-32.699999999999989</v>
      </c>
      <c r="Z120" s="74">
        <f>'IS (F1Q23)'!Z120-'IS (F4Q2022)'!Z120</f>
        <v>-32.699999999999989</v>
      </c>
      <c r="AA120" s="74">
        <f>'IS (F1Q23)'!AA120-'IS (F4Q2022)'!AA120</f>
        <v>-32.699999999999989</v>
      </c>
      <c r="AB120" s="97">
        <f>'IS (F1Q23)'!AB120-'IS (F4Q2022)'!AB120</f>
        <v>-103.7016500000002</v>
      </c>
      <c r="AC120" s="74">
        <f>'IS (F1Q23)'!AC120-'IS (F4Q2022)'!AC120</f>
        <v>-4.1144039999999222</v>
      </c>
      <c r="AD120" s="74">
        <f>'IS (F1Q23)'!AD120-'IS (F4Q2022)'!AD120</f>
        <v>-32.699999999999989</v>
      </c>
      <c r="AE120" s="74">
        <f>'IS (F1Q23)'!AE120-'IS (F4Q2022)'!AE120</f>
        <v>-32.699999999999989</v>
      </c>
      <c r="AF120" s="74">
        <f>'IS (F1Q23)'!AF120-'IS (F4Q2022)'!AF120</f>
        <v>-32.699999999999989</v>
      </c>
      <c r="AG120" s="97">
        <f>'IS (F1Q23)'!AG120-'IS (F4Q2022)'!AG120</f>
        <v>-102.21440399999983</v>
      </c>
      <c r="AH120" s="74">
        <f>'IS (F1Q23)'!AH120-'IS (F4Q2022)'!AH120</f>
        <v>-2.9080634880000389</v>
      </c>
      <c r="AI120" s="74">
        <f>'IS (F1Q23)'!AI120-'IS (F4Q2022)'!AI120</f>
        <v>-32.699999999999989</v>
      </c>
      <c r="AJ120" s="74">
        <f>'IS (F1Q23)'!AJ120-'IS (F4Q2022)'!AJ120</f>
        <v>-32.699999999999989</v>
      </c>
      <c r="AK120" s="74">
        <f>'IS (F1Q23)'!AK120-'IS (F4Q2022)'!AK120</f>
        <v>-32.699999999999989</v>
      </c>
      <c r="AL120" s="97">
        <f>'IS (F1Q23)'!AL120-'IS (F4Q2022)'!AL120</f>
        <v>-101.00806348800006</v>
      </c>
      <c r="AM120" s="74">
        <f>'IS (F1Q23)'!AM120-'IS (F4Q2022)'!AM120</f>
        <v>-1.7163860275200591</v>
      </c>
      <c r="AN120" s="74">
        <f>'IS (F1Q23)'!AN120-'IS (F4Q2022)'!AN120</f>
        <v>-32.699999999999989</v>
      </c>
      <c r="AO120" s="74">
        <f>'IS (F1Q23)'!AO120-'IS (F4Q2022)'!AO120</f>
        <v>-32.699999999999989</v>
      </c>
      <c r="AP120" s="74">
        <f>'IS (F1Q23)'!AP120-'IS (F4Q2022)'!AP120</f>
        <v>-32.699999999999989</v>
      </c>
      <c r="AQ120" s="97">
        <f>'IS (F1Q23)'!AQ120-'IS (F4Q2022)'!AQ120</f>
        <v>-99.816386027519457</v>
      </c>
      <c r="AR120" s="74">
        <f>'IS (F1Q23)'!AR120-'IS (F4Q2022)'!AR120</f>
        <v>-0.47704146862076868</v>
      </c>
      <c r="AS120" s="74">
        <f>'IS (F1Q23)'!AS120-'IS (F4Q2022)'!AS120</f>
        <v>-32.699999999999989</v>
      </c>
      <c r="AT120" s="74">
        <f>'IS (F1Q23)'!AT120-'IS (F4Q2022)'!AT120</f>
        <v>-32.699999999999989</v>
      </c>
      <c r="AU120" s="74">
        <f>'IS (F1Q23)'!AU120-'IS (F4Q2022)'!AU120</f>
        <v>-32.699999999999989</v>
      </c>
      <c r="AV120" s="97">
        <f>'IS (F1Q23)'!AV120-'IS (F4Q2022)'!AV120</f>
        <v>-98.577041468620791</v>
      </c>
    </row>
    <row r="121" spans="2:48" outlineLevel="1" x14ac:dyDescent="0.3">
      <c r="B121" s="46" t="s">
        <v>54</v>
      </c>
      <c r="C121" s="44"/>
      <c r="D121" s="157">
        <f>'IS (F1Q23)'!D121-'IS (F4Q2022)'!D121</f>
        <v>0</v>
      </c>
      <c r="E121" s="157">
        <f>'IS (F1Q23)'!E121-'IS (F4Q2022)'!E121</f>
        <v>0</v>
      </c>
      <c r="F121" s="157">
        <f>'IS (F1Q23)'!F121-'IS (F4Q2022)'!F121</f>
        <v>0</v>
      </c>
      <c r="G121" s="157">
        <f>'IS (F1Q23)'!G121-'IS (F4Q2022)'!G121</f>
        <v>0</v>
      </c>
      <c r="H121" s="125">
        <f>'IS (F1Q23)'!H121-'IS (F4Q2022)'!H121</f>
        <v>0</v>
      </c>
      <c r="I121" s="157">
        <f>'IS (F1Q23)'!I121-'IS (F4Q2022)'!I121</f>
        <v>0</v>
      </c>
      <c r="J121" s="157">
        <f>'IS (F1Q23)'!J121-'IS (F4Q2022)'!J121</f>
        <v>0</v>
      </c>
      <c r="K121" s="157">
        <f>'IS (F1Q23)'!K121-'IS (F4Q2022)'!K121</f>
        <v>0</v>
      </c>
      <c r="L121" s="75">
        <f>'IS (F1Q23)'!L121-'IS (F4Q2022)'!L121</f>
        <v>0</v>
      </c>
      <c r="M121" s="98">
        <f>'IS (F1Q23)'!M121-'IS (F4Q2022)'!M121</f>
        <v>0</v>
      </c>
      <c r="N121" s="75">
        <f>'IS (F1Q23)'!N121-'IS (F4Q2022)'!N121</f>
        <v>0</v>
      </c>
      <c r="O121" s="75">
        <f>'IS (F1Q23)'!O121-'IS (F4Q2022)'!O121</f>
        <v>0</v>
      </c>
      <c r="P121" s="75">
        <f>'IS (F1Q23)'!P121-'IS (F4Q2022)'!P121</f>
        <v>0</v>
      </c>
      <c r="Q121" s="75">
        <f>'IS (F1Q23)'!Q121-'IS (F4Q2022)'!Q121</f>
        <v>0</v>
      </c>
      <c r="R121" s="98">
        <f>'IS (F1Q23)'!R121-'IS (F4Q2022)'!R121</f>
        <v>0</v>
      </c>
      <c r="S121" s="75">
        <f>'IS (F1Q23)'!S121-'IS (F4Q2022)'!S121</f>
        <v>0</v>
      </c>
      <c r="T121" s="75">
        <f>'IS (F1Q23)'!T121-'IS (F4Q2022)'!T121</f>
        <v>0</v>
      </c>
      <c r="U121" s="75">
        <f>'IS (F1Q23)'!U121-'IS (F4Q2022)'!U121</f>
        <v>0</v>
      </c>
      <c r="V121" s="75">
        <f>'IS (F1Q23)'!V121-'IS (F4Q2022)'!V121</f>
        <v>0</v>
      </c>
      <c r="W121" s="98">
        <f>'IS (F1Q23)'!W121-'IS (F4Q2022)'!W121</f>
        <v>0</v>
      </c>
      <c r="X121" s="75">
        <f>'IS (F1Q23)'!X121-'IS (F4Q2022)'!X121</f>
        <v>-3.2208620201637894E-2</v>
      </c>
      <c r="Y121" s="75">
        <f>'IS (F1Q23)'!Y121-'IS (F4Q2022)'!Y121</f>
        <v>-6.7895287610251931E-2</v>
      </c>
      <c r="Z121" s="75">
        <f>'IS (F1Q23)'!Z121-'IS (F4Q2022)'!Z121</f>
        <v>-6.5545773800933238E-2</v>
      </c>
      <c r="AA121" s="75">
        <f>'IS (F1Q23)'!AA121-'IS (F4Q2022)'!AA121</f>
        <v>-6.5003737217919466E-2</v>
      </c>
      <c r="AB121" s="98">
        <f>'IS (F1Q23)'!AB121-'IS (F4Q2022)'!AB121</f>
        <v>-5.7933636372267616E-2</v>
      </c>
      <c r="AC121" s="75">
        <f>'IS (F1Q23)'!AC121-'IS (F4Q2022)'!AC121</f>
        <v>-2.927264754516562E-2</v>
      </c>
      <c r="AD121" s="75">
        <f>'IS (F1Q23)'!AD121-'IS (F4Q2022)'!AD121</f>
        <v>-6.5283930394473055E-2</v>
      </c>
      <c r="AE121" s="75">
        <f>'IS (F1Q23)'!AE121-'IS (F4Q2022)'!AE121</f>
        <v>-6.3024782500897325E-2</v>
      </c>
      <c r="AF121" s="75">
        <f>'IS (F1Q23)'!AF121-'IS (F4Q2022)'!AF121</f>
        <v>-6.2503593478768771E-2</v>
      </c>
      <c r="AG121" s="98">
        <f>'IS (F1Q23)'!AG121-'IS (F4Q2022)'!AG121</f>
        <v>-5.5249746285621737E-2</v>
      </c>
      <c r="AH121" s="75">
        <f>'IS (F1Q23)'!AH121-'IS (F4Q2022)'!AH121</f>
        <v>-2.6449596913942608E-2</v>
      </c>
      <c r="AI121" s="75">
        <f>'IS (F1Q23)'!AI121-'IS (F4Q2022)'!AI121</f>
        <v>-6.2773009994685602E-2</v>
      </c>
      <c r="AJ121" s="75">
        <f>'IS (F1Q23)'!AJ121-'IS (F4Q2022)'!AJ121</f>
        <v>-6.0600752404708969E-2</v>
      </c>
      <c r="AK121" s="75">
        <f>'IS (F1Q23)'!AK121-'IS (F4Q2022)'!AK121</f>
        <v>-6.0099609114200758E-2</v>
      </c>
      <c r="AL121" s="98">
        <f>'IS (F1Q23)'!AL121-'IS (F4Q2022)'!AL121</f>
        <v>-5.2729191508267603E-2</v>
      </c>
      <c r="AM121" s="75">
        <f>'IS (F1Q23)'!AM121-'IS (F4Q2022)'!AM121</f>
        <v>-2.3735125153151015E-2</v>
      </c>
      <c r="AN121" s="75">
        <f>'IS (F1Q23)'!AN121-'IS (F4Q2022)'!AN121</f>
        <v>-6.0358663456428485E-2</v>
      </c>
      <c r="AO121" s="75">
        <f>'IS (F1Q23)'!AO121-'IS (F4Q2022)'!AO121</f>
        <v>-5.8269954235297128E-2</v>
      </c>
      <c r="AP121" s="75">
        <f>'IS (F1Q23)'!AP121-'IS (F4Q2022)'!AP121</f>
        <v>-5.778808568673155E-2</v>
      </c>
      <c r="AQ121" s="98">
        <f>'IS (F1Q23)'!AQ121-'IS (F4Q2022)'!AQ121</f>
        <v>-5.0293102323987871E-2</v>
      </c>
      <c r="AR121" s="75">
        <f>'IS (F1Q23)'!AR121-'IS (F4Q2022)'!AR121</f>
        <v>-2.1125056152389743E-2</v>
      </c>
      <c r="AS121" s="75">
        <f>'IS (F1Q23)'!AS121-'IS (F4Q2022)'!AS121</f>
        <v>-5.8037176400411949E-2</v>
      </c>
      <c r="AT121" s="75">
        <f>'IS (F1Q23)'!AT121-'IS (F4Q2022)'!AT121</f>
        <v>-5.6028802149324153E-2</v>
      </c>
      <c r="AU121" s="75">
        <f>'IS (F1Q23)'!AU121-'IS (F4Q2022)'!AU121</f>
        <v>-5.556546700647258E-2</v>
      </c>
      <c r="AV121" s="98">
        <f>'IS (F1Q23)'!AV121-'IS (F4Q2022)'!AV121</f>
        <v>-4.7950708877565307E-2</v>
      </c>
    </row>
    <row r="122" spans="2:48" ht="17.399999999999999" x14ac:dyDescent="0.45">
      <c r="B122" s="583" t="s">
        <v>55</v>
      </c>
      <c r="C122" s="584"/>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580" t="s">
        <v>127</v>
      </c>
      <c r="C123" s="581"/>
      <c r="D123" s="48">
        <f>'IS (F1Q23)'!D123-'IS (F4Q2022)'!D123</f>
        <v>0</v>
      </c>
      <c r="E123" s="48">
        <f>'IS (F1Q23)'!E123-'IS (F4Q2022)'!E123</f>
        <v>0</v>
      </c>
      <c r="F123" s="48">
        <f>'IS (F1Q23)'!F123-'IS (F4Q2022)'!F123</f>
        <v>0</v>
      </c>
      <c r="G123" s="48">
        <f>'IS (F1Q23)'!G123-'IS (F4Q2022)'!G123</f>
        <v>0</v>
      </c>
      <c r="H123" s="31">
        <f>'IS (F1Q23)'!H123-'IS (F4Q2022)'!H123</f>
        <v>0</v>
      </c>
      <c r="I123" s="48">
        <f>'IS (F1Q23)'!I123-'IS (F4Q2022)'!I123</f>
        <v>0</v>
      </c>
      <c r="J123" s="48">
        <f>'IS (F1Q23)'!J123-'IS (F4Q2022)'!J123</f>
        <v>0</v>
      </c>
      <c r="K123" s="48">
        <f>'IS (F1Q23)'!K123-'IS (F4Q2022)'!K123</f>
        <v>0</v>
      </c>
      <c r="L123" s="48">
        <f>'IS (F1Q23)'!L123-'IS (F4Q2022)'!L123</f>
        <v>0</v>
      </c>
      <c r="M123" s="31">
        <f>'IS (F1Q23)'!M123-'IS (F4Q2022)'!M123</f>
        <v>0</v>
      </c>
      <c r="N123" s="48">
        <f>'IS (F1Q23)'!N123-'IS (F4Q2022)'!N123</f>
        <v>0</v>
      </c>
      <c r="O123" s="48">
        <f>'IS (F1Q23)'!O123-'IS (F4Q2022)'!O123</f>
        <v>0</v>
      </c>
      <c r="P123" s="48">
        <f>'IS (F1Q23)'!P123-'IS (F4Q2022)'!P123</f>
        <v>0</v>
      </c>
      <c r="Q123" s="105">
        <f>'IS (F1Q23)'!Q123-'IS (F4Q2022)'!Q123</f>
        <v>0</v>
      </c>
      <c r="R123" s="31">
        <f>'IS (F1Q23)'!R123-'IS (F4Q2022)'!R123</f>
        <v>0</v>
      </c>
      <c r="S123" s="48">
        <f>'IS (F1Q23)'!S123-'IS (F4Q2022)'!S123</f>
        <v>0</v>
      </c>
      <c r="T123" s="48">
        <f>'IS (F1Q23)'!T123-'IS (F4Q2022)'!T123</f>
        <v>0</v>
      </c>
      <c r="U123" s="48">
        <f>'IS (F1Q23)'!U123-'IS (F4Q2022)'!U123</f>
        <v>0</v>
      </c>
      <c r="V123" s="48">
        <f>'IS (F1Q23)'!V123-'IS (F4Q2022)'!V123</f>
        <v>0</v>
      </c>
      <c r="W123" s="31">
        <f>'IS (F1Q23)'!W123-'IS (F4Q2022)'!W123</f>
        <v>0</v>
      </c>
      <c r="X123" s="48">
        <f>'IS (F1Q23)'!X123-'IS (F4Q2022)'!X123</f>
        <v>-23.310000000000002</v>
      </c>
      <c r="Y123" s="48">
        <f>'IS (F1Q23)'!Y123-'IS (F4Q2022)'!Y123</f>
        <v>0</v>
      </c>
      <c r="Z123" s="48">
        <f>'IS (F1Q23)'!Z123-'IS (F4Q2022)'!Z123</f>
        <v>0</v>
      </c>
      <c r="AA123" s="48">
        <f>'IS (F1Q23)'!AA123-'IS (F4Q2022)'!AA123</f>
        <v>0</v>
      </c>
      <c r="AB123" s="31">
        <f>'IS (F1Q23)'!AB123-'IS (F4Q2022)'!AB123</f>
        <v>-23.310000000000002</v>
      </c>
      <c r="AC123" s="48">
        <f>'IS (F1Q23)'!AC123-'IS (F4Q2022)'!AC123</f>
        <v>-25.641000000000005</v>
      </c>
      <c r="AD123" s="48">
        <f>'IS (F1Q23)'!AD123-'IS (F4Q2022)'!AD123</f>
        <v>0</v>
      </c>
      <c r="AE123" s="48">
        <f>'IS (F1Q23)'!AE123-'IS (F4Q2022)'!AE123</f>
        <v>0</v>
      </c>
      <c r="AF123" s="48">
        <f>'IS (F1Q23)'!AF123-'IS (F4Q2022)'!AF123</f>
        <v>0</v>
      </c>
      <c r="AG123" s="31">
        <f>'IS (F1Q23)'!AG123-'IS (F4Q2022)'!AG123</f>
        <v>-25.64100000000002</v>
      </c>
      <c r="AH123" s="48">
        <f>'IS (F1Q23)'!AH123-'IS (F4Q2022)'!AH123</f>
        <v>-28.205100000000009</v>
      </c>
      <c r="AI123" s="48">
        <f>'IS (F1Q23)'!AI123-'IS (F4Q2022)'!AI123</f>
        <v>0</v>
      </c>
      <c r="AJ123" s="48">
        <f>'IS (F1Q23)'!AJ123-'IS (F4Q2022)'!AJ123</f>
        <v>0</v>
      </c>
      <c r="AK123" s="48">
        <f>'IS (F1Q23)'!AK123-'IS (F4Q2022)'!AK123</f>
        <v>0</v>
      </c>
      <c r="AL123" s="31">
        <f>'IS (F1Q23)'!AL123-'IS (F4Q2022)'!AL123</f>
        <v>-28.205099999999987</v>
      </c>
      <c r="AM123" s="48">
        <f>'IS (F1Q23)'!AM123-'IS (F4Q2022)'!AM123</f>
        <v>-31.025610000000015</v>
      </c>
      <c r="AN123" s="48">
        <f>'IS (F1Q23)'!AN123-'IS (F4Q2022)'!AN123</f>
        <v>0</v>
      </c>
      <c r="AO123" s="48">
        <f>'IS (F1Q23)'!AO123-'IS (F4Q2022)'!AO123</f>
        <v>0</v>
      </c>
      <c r="AP123" s="48">
        <f>'IS (F1Q23)'!AP123-'IS (F4Q2022)'!AP123</f>
        <v>0</v>
      </c>
      <c r="AQ123" s="31">
        <f>'IS (F1Q23)'!AQ123-'IS (F4Q2022)'!AQ123</f>
        <v>-31.025610000000029</v>
      </c>
      <c r="AR123" s="48">
        <f>'IS (F1Q23)'!AR123-'IS (F4Q2022)'!AR123</f>
        <v>-34.128171000000016</v>
      </c>
      <c r="AS123" s="48">
        <f>'IS (F1Q23)'!AS123-'IS (F4Q2022)'!AS123</f>
        <v>0</v>
      </c>
      <c r="AT123" s="48">
        <f>'IS (F1Q23)'!AT123-'IS (F4Q2022)'!AT123</f>
        <v>0</v>
      </c>
      <c r="AU123" s="48">
        <f>'IS (F1Q23)'!AU123-'IS (F4Q2022)'!AU123</f>
        <v>0</v>
      </c>
      <c r="AV123" s="31">
        <f>'IS (F1Q23)'!AV123-'IS (F4Q2022)'!AV123</f>
        <v>-34.128171000000023</v>
      </c>
    </row>
    <row r="124" spans="2:48" s="8" customFormat="1" outlineLevel="1" x14ac:dyDescent="0.3">
      <c r="B124" s="38" t="s">
        <v>128</v>
      </c>
      <c r="C124" s="201"/>
      <c r="D124" s="30">
        <f>'IS (F1Q23)'!D124-'IS (F4Q2022)'!D124</f>
        <v>0</v>
      </c>
      <c r="E124" s="30">
        <f>'IS (F1Q23)'!E124-'IS (F4Q2022)'!E124</f>
        <v>0</v>
      </c>
      <c r="F124" s="30">
        <f>'IS (F1Q23)'!F124-'IS (F4Q2022)'!F124</f>
        <v>0</v>
      </c>
      <c r="G124" s="118">
        <f>'IS (F1Q23)'!G124-'IS (F4Q2022)'!G124</f>
        <v>0</v>
      </c>
      <c r="H124" s="130">
        <f>'IS (F1Q23)'!H124-'IS (F4Q2022)'!H124</f>
        <v>0</v>
      </c>
      <c r="I124" s="118">
        <f>'IS (F1Q23)'!I124-'IS (F4Q2022)'!I124</f>
        <v>0</v>
      </c>
      <c r="J124" s="118">
        <f>'IS (F1Q23)'!J124-'IS (F4Q2022)'!J124</f>
        <v>0</v>
      </c>
      <c r="K124" s="118">
        <f>'IS (F1Q23)'!K124-'IS (F4Q2022)'!K124</f>
        <v>0</v>
      </c>
      <c r="L124" s="118">
        <f>'IS (F1Q23)'!L124-'IS (F4Q2022)'!L124</f>
        <v>0</v>
      </c>
      <c r="M124" s="128">
        <f>'IS (F1Q23)'!M124-'IS (F4Q2022)'!M124</f>
        <v>0</v>
      </c>
      <c r="N124" s="118">
        <f>'IS (F1Q23)'!N124-'IS (F4Q2022)'!N124</f>
        <v>0</v>
      </c>
      <c r="O124" s="118">
        <f>'IS (F1Q23)'!O124-'IS (F4Q2022)'!O124</f>
        <v>0</v>
      </c>
      <c r="P124" s="118">
        <f>'IS (F1Q23)'!P124-'IS (F4Q2022)'!P124</f>
        <v>0</v>
      </c>
      <c r="Q124" s="118">
        <f>'IS (F1Q23)'!Q124-'IS (F4Q2022)'!Q124</f>
        <v>0</v>
      </c>
      <c r="R124" s="128">
        <f>'IS (F1Q23)'!R124-'IS (F4Q2022)'!R124</f>
        <v>0</v>
      </c>
      <c r="S124" s="118">
        <f>'IS (F1Q23)'!S124-'IS (F4Q2022)'!S124</f>
        <v>0</v>
      </c>
      <c r="T124" s="118">
        <f>'IS (F1Q23)'!T124-'IS (F4Q2022)'!T124</f>
        <v>0</v>
      </c>
      <c r="U124" s="118">
        <f>'IS (F1Q23)'!U124-'IS (F4Q2022)'!U124</f>
        <v>0</v>
      </c>
      <c r="V124" s="118">
        <f>'IS (F1Q23)'!V124-'IS (F4Q2022)'!V124</f>
        <v>0</v>
      </c>
      <c r="W124" s="128">
        <f>'IS (F1Q23)'!W124-'IS (F4Q2022)'!W124</f>
        <v>0</v>
      </c>
      <c r="X124" s="34">
        <f>'IS (F1Q23)'!X124-'IS (F4Q2022)'!X124</f>
        <v>-0.92868525896414345</v>
      </c>
      <c r="Y124" s="34">
        <f>'IS (F1Q23)'!Y124-'IS (F4Q2022)'!Y124</f>
        <v>0</v>
      </c>
      <c r="Z124" s="34">
        <f>'IS (F1Q23)'!Z124-'IS (F4Q2022)'!Z124</f>
        <v>0</v>
      </c>
      <c r="AA124" s="34">
        <f>'IS (F1Q23)'!AA124-'IS (F4Q2022)'!AA124</f>
        <v>0</v>
      </c>
      <c r="AB124" s="128">
        <f>'IS (F1Q23)'!AB124-'IS (F4Q2022)'!AB124</f>
        <v>-0.24306569343065698</v>
      </c>
      <c r="AC124" s="34">
        <f>'IS (F1Q23)'!AC124-'IS (F4Q2022)'!AC124</f>
        <v>0</v>
      </c>
      <c r="AD124" s="34">
        <f>'IS (F1Q23)'!AD124-'IS (F4Q2022)'!AD124</f>
        <v>0</v>
      </c>
      <c r="AE124" s="34">
        <f>'IS (F1Q23)'!AE124-'IS (F4Q2022)'!AE124</f>
        <v>0</v>
      </c>
      <c r="AF124" s="34">
        <f>'IS (F1Q23)'!AF124-'IS (F4Q2022)'!AF124</f>
        <v>0</v>
      </c>
      <c r="AG124" s="128">
        <f>'IS (F1Q23)'!AG124-'IS (F4Q2022)'!AG124</f>
        <v>0</v>
      </c>
      <c r="AH124" s="34">
        <f>'IS (F1Q23)'!AH124-'IS (F4Q2022)'!AH124</f>
        <v>0</v>
      </c>
      <c r="AI124" s="34">
        <f>'IS (F1Q23)'!AI124-'IS (F4Q2022)'!AI124</f>
        <v>0</v>
      </c>
      <c r="AJ124" s="34">
        <f>'IS (F1Q23)'!AJ124-'IS (F4Q2022)'!AJ124</f>
        <v>0</v>
      </c>
      <c r="AK124" s="34">
        <f>'IS (F1Q23)'!AK124-'IS (F4Q2022)'!AK124</f>
        <v>0</v>
      </c>
      <c r="AL124" s="128">
        <f>'IS (F1Q23)'!AL124-'IS (F4Q2022)'!AL124</f>
        <v>4.4408920985006262E-16</v>
      </c>
      <c r="AM124" s="34">
        <f>'IS (F1Q23)'!AM124-'IS (F4Q2022)'!AM124</f>
        <v>0</v>
      </c>
      <c r="AN124" s="34">
        <f>'IS (F1Q23)'!AN124-'IS (F4Q2022)'!AN124</f>
        <v>0</v>
      </c>
      <c r="AO124" s="34">
        <f>'IS (F1Q23)'!AO124-'IS (F4Q2022)'!AO124</f>
        <v>0</v>
      </c>
      <c r="AP124" s="34">
        <f>'IS (F1Q23)'!AP124-'IS (F4Q2022)'!AP124</f>
        <v>0</v>
      </c>
      <c r="AQ124" s="128">
        <f>'IS (F1Q23)'!AQ124-'IS (F4Q2022)'!AQ124</f>
        <v>-2.2204460492503131E-16</v>
      </c>
      <c r="AR124" s="34">
        <f>'IS (F1Q23)'!AR124-'IS (F4Q2022)'!AR124</f>
        <v>0</v>
      </c>
      <c r="AS124" s="34">
        <f>'IS (F1Q23)'!AS124-'IS (F4Q2022)'!AS124</f>
        <v>0</v>
      </c>
      <c r="AT124" s="34">
        <f>'IS (F1Q23)'!AT124-'IS (F4Q2022)'!AT124</f>
        <v>0</v>
      </c>
      <c r="AU124" s="34">
        <f>'IS (F1Q23)'!AU124-'IS (F4Q2022)'!AU124</f>
        <v>0</v>
      </c>
      <c r="AV124" s="128">
        <f>'IS (F1Q23)'!AV124-'IS (F4Q2022)'!AV124</f>
        <v>0</v>
      </c>
    </row>
    <row r="125" spans="2:48" outlineLevel="1" x14ac:dyDescent="0.3">
      <c r="B125" s="607" t="s">
        <v>100</v>
      </c>
      <c r="C125" s="608"/>
      <c r="D125" s="48">
        <f>'IS (F1Q23)'!D125-'IS (F4Q2022)'!D125</f>
        <v>0</v>
      </c>
      <c r="E125" s="48">
        <f>'IS (F1Q23)'!E125-'IS (F4Q2022)'!E125</f>
        <v>0</v>
      </c>
      <c r="F125" s="48">
        <f>'IS (F1Q23)'!F125-'IS (F4Q2022)'!F125</f>
        <v>0</v>
      </c>
      <c r="G125" s="105">
        <f>'IS (F1Q23)'!G125-'IS (F4Q2022)'!G125</f>
        <v>0</v>
      </c>
      <c r="H125" s="170">
        <f>'IS (F1Q23)'!H125-'IS (F4Q2022)'!H125</f>
        <v>0</v>
      </c>
      <c r="I125" s="105">
        <f>'IS (F1Q23)'!I125-'IS (F4Q2022)'!I125</f>
        <v>0</v>
      </c>
      <c r="J125" s="105">
        <f>'IS (F1Q23)'!J125-'IS (F4Q2022)'!J125</f>
        <v>0</v>
      </c>
      <c r="K125" s="105">
        <f>'IS (F1Q23)'!K125-'IS (F4Q2022)'!K125</f>
        <v>0</v>
      </c>
      <c r="L125" s="105">
        <f>'IS (F1Q23)'!L125-'IS (F4Q2022)'!L125</f>
        <v>0</v>
      </c>
      <c r="M125" s="31">
        <f>'IS (F1Q23)'!M125-'IS (F4Q2022)'!M125</f>
        <v>0</v>
      </c>
      <c r="N125" s="105">
        <f>'IS (F1Q23)'!N125-'IS (F4Q2022)'!N125</f>
        <v>0</v>
      </c>
      <c r="O125" s="105">
        <f>'IS (F1Q23)'!O125-'IS (F4Q2022)'!O125</f>
        <v>0</v>
      </c>
      <c r="P125" s="105">
        <f>'IS (F1Q23)'!P125-'IS (F4Q2022)'!P125</f>
        <v>0</v>
      </c>
      <c r="Q125" s="105">
        <f>'IS (F1Q23)'!Q125-'IS (F4Q2022)'!Q125</f>
        <v>0</v>
      </c>
      <c r="R125" s="31">
        <f>'IS (F1Q23)'!R125-'IS (F4Q2022)'!R125</f>
        <v>0</v>
      </c>
      <c r="S125" s="105">
        <f>'IS (F1Q23)'!S125-'IS (F4Q2022)'!S125</f>
        <v>0</v>
      </c>
      <c r="T125" s="105">
        <f>'IS (F1Q23)'!T125-'IS (F4Q2022)'!T125</f>
        <v>0</v>
      </c>
      <c r="U125" s="105">
        <f>'IS (F1Q23)'!U125-'IS (F4Q2022)'!U125</f>
        <v>0</v>
      </c>
      <c r="V125" s="105">
        <f>'IS (F1Q23)'!V125-'IS (F4Q2022)'!V125</f>
        <v>0</v>
      </c>
      <c r="W125" s="31">
        <f>'IS (F1Q23)'!W125-'IS (F4Q2022)'!W125</f>
        <v>0</v>
      </c>
      <c r="X125" s="95">
        <f>'IS (F1Q23)'!X125-'IS (F4Q2022)'!X125</f>
        <v>-19.5</v>
      </c>
      <c r="Y125" s="95">
        <f>'IS (F1Q23)'!Y125-'IS (F4Q2022)'!Y125</f>
        <v>-6.7250000000000014</v>
      </c>
      <c r="Z125" s="95">
        <f>'IS (F1Q23)'!Z125-'IS (F4Q2022)'!Z125</f>
        <v>-7.53125</v>
      </c>
      <c r="AA125" s="95">
        <f>'IS (F1Q23)'!AA125-'IS (F4Q2022)'!AA125</f>
        <v>-9.4140625000000018</v>
      </c>
      <c r="AB125" s="31">
        <f>'IS (F1Q23)'!AB125-'IS (F4Q2022)'!AB125</f>
        <v>-43.170312500000009</v>
      </c>
      <c r="AC125" s="95">
        <f>'IS (F1Q23)'!AC125-'IS (F4Q2022)'!AC125</f>
        <v>-10.792578125000002</v>
      </c>
      <c r="AD125" s="95">
        <f>'IS (F1Q23)'!AD125-'IS (F4Q2022)'!AD125</f>
        <v>-8.61572265625</v>
      </c>
      <c r="AE125" s="95">
        <f>'IS (F1Q23)'!AE125-'IS (F4Q2022)'!AE125</f>
        <v>-9.0884033203125014</v>
      </c>
      <c r="AF125" s="95">
        <f>'IS (F1Q23)'!AF125-'IS (F4Q2022)'!AF125</f>
        <v>-9.4776916503906268</v>
      </c>
      <c r="AG125" s="31">
        <f>'IS (F1Q23)'!AG125-'IS (F4Q2022)'!AG125</f>
        <v>-37.974395751953132</v>
      </c>
      <c r="AH125" s="95">
        <f>'IS (F1Q23)'!AH125-'IS (F4Q2022)'!AH125</f>
        <v>-9.4935989379882848</v>
      </c>
      <c r="AI125" s="95">
        <f>'IS (F1Q23)'!AI125-'IS (F4Q2022)'!AI125</f>
        <v>-9.1688541412353537</v>
      </c>
      <c r="AJ125" s="95">
        <f>'IS (F1Q23)'!AJ125-'IS (F4Q2022)'!AJ125</f>
        <v>-9.307137012481693</v>
      </c>
      <c r="AK125" s="95">
        <f>'IS (F1Q23)'!AK125-'IS (F4Q2022)'!AK125</f>
        <v>-9.36182043552399</v>
      </c>
      <c r="AL125" s="31">
        <f>'IS (F1Q23)'!AL125-'IS (F4Q2022)'!AL125</f>
        <v>-37.331410527229323</v>
      </c>
      <c r="AM125" s="95">
        <f>'IS (F1Q23)'!AM125-'IS (F4Q2022)'!AM125</f>
        <v>-9.3328526318073308</v>
      </c>
      <c r="AN125" s="95">
        <f>'IS (F1Q23)'!AN125-'IS (F4Q2022)'!AN125</f>
        <v>-9.2926660552620923</v>
      </c>
      <c r="AO125" s="95">
        <f>'IS (F1Q23)'!AO125-'IS (F4Q2022)'!AO125</f>
        <v>-9.323619033768777</v>
      </c>
      <c r="AP125" s="95">
        <f>'IS (F1Q23)'!AP125-'IS (F4Q2022)'!AP125</f>
        <v>-9.3277395390905475</v>
      </c>
      <c r="AQ125" s="31">
        <f>'IS (F1Q23)'!AQ125-'IS (F4Q2022)'!AQ125</f>
        <v>-37.276877259928746</v>
      </c>
      <c r="AR125" s="95">
        <f>'IS (F1Q23)'!AR125-'IS (F4Q2022)'!AR125</f>
        <v>-9.3192193149821865</v>
      </c>
      <c r="AS125" s="95">
        <f>'IS (F1Q23)'!AS125-'IS (F4Q2022)'!AS125</f>
        <v>-9.3158109857759008</v>
      </c>
      <c r="AT125" s="95">
        <f>'IS (F1Q23)'!AT125-'IS (F4Q2022)'!AT125</f>
        <v>-9.321597218404353</v>
      </c>
      <c r="AU125" s="95">
        <f>'IS (F1Q23)'!AU125-'IS (F4Q2022)'!AU125</f>
        <v>-9.3210917645632474</v>
      </c>
      <c r="AV125" s="31">
        <f>'IS (F1Q23)'!AV125-'IS (F4Q2022)'!AV125</f>
        <v>-37.277719283725688</v>
      </c>
    </row>
    <row r="126" spans="2:48" outlineLevel="1" x14ac:dyDescent="0.3">
      <c r="B126" s="180" t="s">
        <v>33</v>
      </c>
      <c r="C126" s="18"/>
      <c r="D126" s="48">
        <f>'IS (F1Q23)'!D126-'IS (F4Q2022)'!D126</f>
        <v>0</v>
      </c>
      <c r="E126" s="48">
        <f>'IS (F1Q23)'!E126-'IS (F4Q2022)'!E126</f>
        <v>0</v>
      </c>
      <c r="F126" s="48">
        <f>'IS (F1Q23)'!F126-'IS (F4Q2022)'!F126</f>
        <v>0</v>
      </c>
      <c r="G126" s="105">
        <f>'IS (F1Q23)'!G126-'IS (F4Q2022)'!G126</f>
        <v>0</v>
      </c>
      <c r="H126" s="170">
        <f>'IS (F1Q23)'!H126-'IS (F4Q2022)'!H126</f>
        <v>0</v>
      </c>
      <c r="I126" s="105">
        <f>'IS (F1Q23)'!I126-'IS (F4Q2022)'!I126</f>
        <v>0</v>
      </c>
      <c r="J126" s="105">
        <f>'IS (F1Q23)'!J126-'IS (F4Q2022)'!J126</f>
        <v>0</v>
      </c>
      <c r="K126" s="105">
        <f>'IS (F1Q23)'!K126-'IS (F4Q2022)'!K126</f>
        <v>0</v>
      </c>
      <c r="L126" s="105">
        <f>'IS (F1Q23)'!L126-'IS (F4Q2022)'!L126</f>
        <v>0</v>
      </c>
      <c r="M126" s="31">
        <f>'IS (F1Q23)'!M126-'IS (F4Q2022)'!M126</f>
        <v>0</v>
      </c>
      <c r="N126" s="105">
        <f>'IS (F1Q23)'!N126-'IS (F4Q2022)'!N126</f>
        <v>0</v>
      </c>
      <c r="O126" s="105">
        <f>'IS (F1Q23)'!O126-'IS (F4Q2022)'!O126</f>
        <v>0</v>
      </c>
      <c r="P126" s="105">
        <f>'IS (F1Q23)'!P126-'IS (F4Q2022)'!P126</f>
        <v>0</v>
      </c>
      <c r="Q126" s="105">
        <f>'IS (F1Q23)'!Q126-'IS (F4Q2022)'!Q126</f>
        <v>0</v>
      </c>
      <c r="R126" s="31">
        <f>'IS (F1Q23)'!R126-'IS (F4Q2022)'!R126</f>
        <v>0</v>
      </c>
      <c r="S126" s="105">
        <f>'IS (F1Q23)'!S126-'IS (F4Q2022)'!S126</f>
        <v>0</v>
      </c>
      <c r="T126" s="105">
        <f>'IS (F1Q23)'!T126-'IS (F4Q2022)'!T126</f>
        <v>0</v>
      </c>
      <c r="U126" s="105">
        <f>'IS (F1Q23)'!U126-'IS (F4Q2022)'!U126</f>
        <v>0</v>
      </c>
      <c r="V126" s="105">
        <f>'IS (F1Q23)'!V126-'IS (F4Q2022)'!V126</f>
        <v>0</v>
      </c>
      <c r="W126" s="31">
        <f>'IS (F1Q23)'!W126-'IS (F4Q2022)'!W126</f>
        <v>0</v>
      </c>
      <c r="X126" s="95">
        <f>'IS (F1Q23)'!X126-'IS (F4Q2022)'!X126</f>
        <v>-5.9</v>
      </c>
      <c r="Y126" s="95">
        <f>'IS (F1Q23)'!Y126-'IS (F4Q2022)'!Y126</f>
        <v>-2.5000000000000004</v>
      </c>
      <c r="Z126" s="95">
        <f>'IS (F1Q23)'!Z126-'IS (F4Q2022)'!Z126</f>
        <v>-2.7500000000000004</v>
      </c>
      <c r="AA126" s="95">
        <f>'IS (F1Q23)'!AA126-'IS (F4Q2022)'!AA126</f>
        <v>-3.4375000000000004</v>
      </c>
      <c r="AB126" s="31">
        <f>'IS (F1Q23)'!AB126-'IS (F4Q2022)'!AB126</f>
        <v>-14.587500000000002</v>
      </c>
      <c r="AC126" s="95">
        <f>'IS (F1Q23)'!AC126-'IS (F4Q2022)'!AC126</f>
        <v>-3.6468750000000005</v>
      </c>
      <c r="AD126" s="95">
        <f>'IS (F1Q23)'!AD126-'IS (F4Q2022)'!AD126</f>
        <v>-3.0835937500000004</v>
      </c>
      <c r="AE126" s="95">
        <f>'IS (F1Q23)'!AE126-'IS (F4Q2022)'!AE126</f>
        <v>-3.2294921875000004</v>
      </c>
      <c r="AF126" s="95">
        <f>'IS (F1Q23)'!AF126-'IS (F4Q2022)'!AF126</f>
        <v>-3.3493652343750004</v>
      </c>
      <c r="AG126" s="31">
        <f>'IS (F1Q23)'!AG126-'IS (F4Q2022)'!AG126</f>
        <v>-13.309326171875002</v>
      </c>
      <c r="AH126" s="95">
        <f>'IS (F1Q23)'!AH126-'IS (F4Q2022)'!AH126</f>
        <v>-3.3273315429687504</v>
      </c>
      <c r="AI126" s="95">
        <f>'IS (F1Q23)'!AI126-'IS (F4Q2022)'!AI126</f>
        <v>-3.247445678710938</v>
      </c>
      <c r="AJ126" s="95">
        <f>'IS (F1Q23)'!AJ126-'IS (F4Q2022)'!AJ126</f>
        <v>-3.2884086608886722</v>
      </c>
      <c r="AK126" s="95">
        <f>'IS (F1Q23)'!AK126-'IS (F4Q2022)'!AK126</f>
        <v>-3.3031377792358403</v>
      </c>
      <c r="AL126" s="31">
        <f>'IS (F1Q23)'!AL126-'IS (F4Q2022)'!AL126</f>
        <v>-13.166323661804201</v>
      </c>
      <c r="AM126" s="95">
        <f>'IS (F1Q23)'!AM126-'IS (F4Q2022)'!AM126</f>
        <v>-3.2915809154510502</v>
      </c>
      <c r="AN126" s="95">
        <f>'IS (F1Q23)'!AN126-'IS (F4Q2022)'!AN126</f>
        <v>-3.2826432585716252</v>
      </c>
      <c r="AO126" s="95">
        <f>'IS (F1Q23)'!AO126-'IS (F4Q2022)'!AO126</f>
        <v>-3.2914426535367971</v>
      </c>
      <c r="AP126" s="95">
        <f>'IS (F1Q23)'!AP126-'IS (F4Q2022)'!AP126</f>
        <v>-3.2922011516988281</v>
      </c>
      <c r="AQ126" s="31">
        <f>'IS (F1Q23)'!AQ126-'IS (F4Q2022)'!AQ126</f>
        <v>-13.157867979258301</v>
      </c>
      <c r="AR126" s="95">
        <f>'IS (F1Q23)'!AR126-'IS (F4Q2022)'!AR126</f>
        <v>-3.2894669948145752</v>
      </c>
      <c r="AS126" s="95">
        <f>'IS (F1Q23)'!AS126-'IS (F4Q2022)'!AS126</f>
        <v>-3.2889385146554564</v>
      </c>
      <c r="AT126" s="95">
        <f>'IS (F1Q23)'!AT126-'IS (F4Q2022)'!AT126</f>
        <v>-3.2905123286764142</v>
      </c>
      <c r="AU126" s="95">
        <f>'IS (F1Q23)'!AU126-'IS (F4Q2022)'!AU126</f>
        <v>-3.2902797474613186</v>
      </c>
      <c r="AV126" s="31">
        <f>'IS (F1Q23)'!AV126-'IS (F4Q2022)'!AV126</f>
        <v>-13.159197585607764</v>
      </c>
    </row>
    <row r="127" spans="2:48" outlineLevel="1" x14ac:dyDescent="0.3">
      <c r="B127" s="180" t="s">
        <v>34</v>
      </c>
      <c r="C127" s="18"/>
      <c r="D127" s="358">
        <f>'IS (F1Q23)'!D127-'IS (F4Q2022)'!D127</f>
        <v>0</v>
      </c>
      <c r="E127" s="358">
        <f>'IS (F1Q23)'!E127-'IS (F4Q2022)'!E127</f>
        <v>0</v>
      </c>
      <c r="F127" s="358">
        <f>'IS (F1Q23)'!F127-'IS (F4Q2022)'!F127</f>
        <v>0</v>
      </c>
      <c r="G127" s="358">
        <f>'IS (F1Q23)'!G127-'IS (F4Q2022)'!G127</f>
        <v>0</v>
      </c>
      <c r="H127" s="130">
        <f>'IS (F1Q23)'!H127-'IS (F4Q2022)'!H127</f>
        <v>0</v>
      </c>
      <c r="I127" s="358">
        <f>'IS (F1Q23)'!I127-'IS (F4Q2022)'!I127</f>
        <v>0</v>
      </c>
      <c r="J127" s="358">
        <f>'IS (F1Q23)'!J127-'IS (F4Q2022)'!J127</f>
        <v>0</v>
      </c>
      <c r="K127" s="358">
        <f>'IS (F1Q23)'!K127-'IS (F4Q2022)'!K127</f>
        <v>0</v>
      </c>
      <c r="L127" s="358">
        <f>'IS (F1Q23)'!L127-'IS (F4Q2022)'!L127</f>
        <v>0</v>
      </c>
      <c r="M127" s="126">
        <f>'IS (F1Q23)'!M127-'IS (F4Q2022)'!M127</f>
        <v>0</v>
      </c>
      <c r="N127" s="358">
        <f>'IS (F1Q23)'!N127-'IS (F4Q2022)'!N127</f>
        <v>0</v>
      </c>
      <c r="O127" s="358">
        <f>'IS (F1Q23)'!O127-'IS (F4Q2022)'!O127</f>
        <v>0</v>
      </c>
      <c r="P127" s="358">
        <f>'IS (F1Q23)'!P127-'IS (F4Q2022)'!P127</f>
        <v>0</v>
      </c>
      <c r="Q127" s="358">
        <f>'IS (F1Q23)'!Q127-'IS (F4Q2022)'!Q127</f>
        <v>0</v>
      </c>
      <c r="R127" s="126">
        <f>'IS (F1Q23)'!R127-'IS (F4Q2022)'!R127</f>
        <v>0</v>
      </c>
      <c r="S127" s="358">
        <f>'IS (F1Q23)'!S127-'IS (F4Q2022)'!S127</f>
        <v>0</v>
      </c>
      <c r="T127" s="358">
        <f>'IS (F1Q23)'!T127-'IS (F4Q2022)'!T127</f>
        <v>0</v>
      </c>
      <c r="U127" s="358">
        <f>'IS (F1Q23)'!U127-'IS (F4Q2022)'!U127</f>
        <v>0</v>
      </c>
      <c r="V127" s="358">
        <f>'IS (F1Q23)'!V127-'IS (F4Q2022)'!V127</f>
        <v>0</v>
      </c>
      <c r="W127" s="126">
        <f>'IS (F1Q23)'!W127-'IS (F4Q2022)'!W127</f>
        <v>0</v>
      </c>
      <c r="X127" s="358">
        <f>'IS (F1Q23)'!X127-'IS (F4Q2022)'!X127</f>
        <v>-3.1246977834288359</v>
      </c>
      <c r="Y127" s="358">
        <f>'IS (F1Q23)'!Y127-'IS (F4Q2022)'!Y127</f>
        <v>-2.7819872384958018</v>
      </c>
      <c r="Z127" s="358">
        <f>'IS (F1Q23)'!Z127-'IS (F4Q2022)'!Z127</f>
        <v>-1.2544385290041404</v>
      </c>
      <c r="AA127" s="358">
        <f>'IS (F1Q23)'!AA127-'IS (F4Q2022)'!AA127</f>
        <v>-1.5530051945959755</v>
      </c>
      <c r="AB127" s="126">
        <f>'IS (F1Q23)'!AB127-'IS (F4Q2022)'!AB127</f>
        <v>-8.7141287455247607</v>
      </c>
      <c r="AC127" s="358">
        <f>'IS (F1Q23)'!AC127-'IS (F4Q2022)'!AC127</f>
        <v>-1.9822480313204807</v>
      </c>
      <c r="AD127" s="358">
        <f>'IS (F1Q23)'!AD127-'IS (F4Q2022)'!AD127</f>
        <v>-1.51711374349469</v>
      </c>
      <c r="AE127" s="358">
        <f>'IS (F1Q23)'!AE127-'IS (F4Q2022)'!AE127</f>
        <v>-1.2870641240529395</v>
      </c>
      <c r="AF127" s="358">
        <f>'IS (F1Q23)'!AF127-'IS (F4Q2022)'!AF127</f>
        <v>-1.4113808573369511</v>
      </c>
      <c r="AG127" s="126">
        <f>'IS (F1Q23)'!AG127-'IS (F4Q2022)'!AG127</f>
        <v>-6.1978067562050967</v>
      </c>
      <c r="AH127" s="358">
        <f>'IS (F1Q23)'!AH127-'IS (F4Q2022)'!AH127</f>
        <v>-1.433657341288658</v>
      </c>
      <c r="AI127" s="358">
        <f>'IS (F1Q23)'!AI127-'IS (F4Q2022)'!AI127</f>
        <v>-1.2882597596117193</v>
      </c>
      <c r="AJ127" s="358">
        <f>'IS (F1Q23)'!AJ127-'IS (F4Q2022)'!AJ127</f>
        <v>-1.207149539000163</v>
      </c>
      <c r="AK127" s="358">
        <f>'IS (F1Q23)'!AK127-'IS (F4Q2022)'!AK127</f>
        <v>-1.1889750817694136</v>
      </c>
      <c r="AL127" s="126">
        <f>'IS (F1Q23)'!AL127-'IS (F4Q2022)'!AL127</f>
        <v>-5.1180417216699539</v>
      </c>
      <c r="AM127" s="358">
        <f>'IS (F1Q23)'!AM127-'IS (F4Q2022)'!AM127</f>
        <v>-1.138570590676629</v>
      </c>
      <c r="AN127" s="358">
        <f>'IS (F1Q23)'!AN127-'IS (F4Q2022)'!AN127</f>
        <v>-1.0981110207795908</v>
      </c>
      <c r="AO127" s="358">
        <f>'IS (F1Q23)'!AO127-'IS (F4Q2022)'!AO127</f>
        <v>-1.0382954408075165</v>
      </c>
      <c r="AP127" s="358">
        <f>'IS (F1Q23)'!AP127-'IS (F4Q2022)'!AP127</f>
        <v>-0.99943481711507332</v>
      </c>
      <c r="AQ127" s="126">
        <f>'IS (F1Q23)'!AQ127-'IS (F4Q2022)'!AQ127</f>
        <v>-4.2744118693788096</v>
      </c>
      <c r="AR127" s="358">
        <f>'IS (F1Q23)'!AR127-'IS (F4Q2022)'!AR127</f>
        <v>-0.95723350755299208</v>
      </c>
      <c r="AS127" s="358">
        <f>'IS (F1Q23)'!AS127-'IS (F4Q2022)'!AS127</f>
        <v>-0.94231683867059957</v>
      </c>
      <c r="AT127" s="358">
        <f>'IS (F1Q23)'!AT127-'IS (F4Q2022)'!AT127</f>
        <v>-0.88378715651229811</v>
      </c>
      <c r="AU127" s="358">
        <f>'IS (F1Q23)'!AU127-'IS (F4Q2022)'!AU127</f>
        <v>-0.84380744122204021</v>
      </c>
      <c r="AV127" s="126">
        <f>'IS (F1Q23)'!AV127-'IS (F4Q2022)'!AV127</f>
        <v>-3.6271449439579158</v>
      </c>
    </row>
    <row r="128" spans="2:48" outlineLevel="1" x14ac:dyDescent="0.3">
      <c r="B128" s="180" t="s">
        <v>35</v>
      </c>
      <c r="C128" s="18"/>
      <c r="D128" s="48">
        <f>'IS (F1Q23)'!D128-'IS (F4Q2022)'!D128</f>
        <v>0</v>
      </c>
      <c r="E128" s="48">
        <f>'IS (F1Q23)'!E128-'IS (F4Q2022)'!E128</f>
        <v>0</v>
      </c>
      <c r="F128" s="48">
        <f>'IS (F1Q23)'!F128-'IS (F4Q2022)'!F128</f>
        <v>0</v>
      </c>
      <c r="G128" s="105">
        <f>'IS (F1Q23)'!G128-'IS (F4Q2022)'!G128</f>
        <v>0</v>
      </c>
      <c r="H128" s="170">
        <f>'IS (F1Q23)'!H128-'IS (F4Q2022)'!H128</f>
        <v>0</v>
      </c>
      <c r="I128" s="105">
        <f>'IS (F1Q23)'!I128-'IS (F4Q2022)'!I128</f>
        <v>0</v>
      </c>
      <c r="J128" s="105">
        <f>'IS (F1Q23)'!J128-'IS (F4Q2022)'!J128</f>
        <v>0</v>
      </c>
      <c r="K128" s="105">
        <f>'IS (F1Q23)'!K128-'IS (F4Q2022)'!K128</f>
        <v>0</v>
      </c>
      <c r="L128" s="105">
        <f>'IS (F1Q23)'!L128-'IS (F4Q2022)'!L128</f>
        <v>0</v>
      </c>
      <c r="M128" s="31">
        <f>'IS (F1Q23)'!M128-'IS (F4Q2022)'!M128</f>
        <v>0</v>
      </c>
      <c r="N128" s="105">
        <f>'IS (F1Q23)'!N128-'IS (F4Q2022)'!N128</f>
        <v>0</v>
      </c>
      <c r="O128" s="105">
        <f>'IS (F1Q23)'!O128-'IS (F4Q2022)'!O128</f>
        <v>0</v>
      </c>
      <c r="P128" s="105">
        <f>'IS (F1Q23)'!P128-'IS (F4Q2022)'!P128</f>
        <v>0</v>
      </c>
      <c r="Q128" s="105">
        <f>'IS (F1Q23)'!Q128-'IS (F4Q2022)'!Q128</f>
        <v>0</v>
      </c>
      <c r="R128" s="31">
        <f>'IS (F1Q23)'!R128-'IS (F4Q2022)'!R128</f>
        <v>0</v>
      </c>
      <c r="S128" s="105">
        <f>'IS (F1Q23)'!S128-'IS (F4Q2022)'!S128</f>
        <v>0</v>
      </c>
      <c r="T128" s="105">
        <f>'IS (F1Q23)'!T128-'IS (F4Q2022)'!T128</f>
        <v>0</v>
      </c>
      <c r="U128" s="105">
        <f>'IS (F1Q23)'!U128-'IS (F4Q2022)'!U128</f>
        <v>0</v>
      </c>
      <c r="V128" s="105">
        <f>'IS (F1Q23)'!V128-'IS (F4Q2022)'!V128</f>
        <v>0</v>
      </c>
      <c r="W128" s="31">
        <f>'IS (F1Q23)'!W128-'IS (F4Q2022)'!W128</f>
        <v>0</v>
      </c>
      <c r="X128" s="95">
        <f>'IS (F1Q23)'!X128-'IS (F4Q2022)'!X128</f>
        <v>63.675000000000011</v>
      </c>
      <c r="Y128" s="95">
        <f>'IS (F1Q23)'!Y128-'IS (F4Q2022)'!Y128</f>
        <v>20.775000000000034</v>
      </c>
      <c r="Z128" s="95">
        <f>'IS (F1Q23)'!Z128-'IS (F4Q2022)'!Z128</f>
        <v>27.050000000000011</v>
      </c>
      <c r="AA128" s="95">
        <f>'IS (F1Q23)'!AA128-'IS (F4Q2022)'!AA128</f>
        <v>35.393750000000011</v>
      </c>
      <c r="AB128" s="31">
        <f>'IS (F1Q23)'!AB128-'IS (F4Q2022)'!AB128</f>
        <v>146.89374999999995</v>
      </c>
      <c r="AC128" s="95">
        <f>'IS (F1Q23)'!AC128-'IS (F4Q2022)'!AC128</f>
        <v>36.723437500000045</v>
      </c>
      <c r="AD128" s="95">
        <f>'IS (F1Q23)'!AD128-'IS (F4Q2022)'!AD128</f>
        <v>29.985546875000068</v>
      </c>
      <c r="AE128" s="95">
        <f>'IS (F1Q23)'!AE128-'IS (F4Q2022)'!AE128</f>
        <v>32.288183593750034</v>
      </c>
      <c r="AF128" s="95">
        <f>'IS (F1Q23)'!AF128-'IS (F4Q2022)'!AF128</f>
        <v>33.597729492187511</v>
      </c>
      <c r="AG128" s="31">
        <f>'IS (F1Q23)'!AG128-'IS (F4Q2022)'!AG128</f>
        <v>132.59489746093755</v>
      </c>
      <c r="AH128" s="95">
        <f>'IS (F1Q23)'!AH128-'IS (F4Q2022)'!AH128</f>
        <v>33.148724365234443</v>
      </c>
      <c r="AI128" s="95">
        <f>'IS (F1Q23)'!AI128-'IS (F4Q2022)'!AI128</f>
        <v>32.255046081543014</v>
      </c>
      <c r="AJ128" s="95">
        <f>'IS (F1Q23)'!AJ128-'IS (F4Q2022)'!AJ128</f>
        <v>32.822420883178779</v>
      </c>
      <c r="AK128" s="95">
        <f>'IS (F1Q23)'!AK128-'IS (F4Q2022)'!AK128</f>
        <v>32.955980205535923</v>
      </c>
      <c r="AL128" s="31">
        <f>'IS (F1Q23)'!AL128-'IS (F4Q2022)'!AL128</f>
        <v>131.18217153549222</v>
      </c>
      <c r="AM128" s="95">
        <f>'IS (F1Q23)'!AM128-'IS (F4Q2022)'!AM128</f>
        <v>32.795542883873054</v>
      </c>
      <c r="AN128" s="95">
        <f>'IS (F1Q23)'!AN128-'IS (F4Q2022)'!AN128</f>
        <v>32.707247513532707</v>
      </c>
      <c r="AO128" s="95">
        <f>'IS (F1Q23)'!AO128-'IS (F4Q2022)'!AO128</f>
        <v>32.820297871530101</v>
      </c>
      <c r="AP128" s="95">
        <f>'IS (F1Q23)'!AP128-'IS (F4Q2022)'!AP128</f>
        <v>32.81976711861796</v>
      </c>
      <c r="AQ128" s="31">
        <f>'IS (F1Q23)'!AQ128-'IS (F4Q2022)'!AQ128</f>
        <v>131.14285538755394</v>
      </c>
      <c r="AR128" s="95">
        <f>'IS (F1Q23)'!AR128-'IS (F4Q2022)'!AR128</f>
        <v>32.785713846888484</v>
      </c>
      <c r="AS128" s="95">
        <f>'IS (F1Q23)'!AS128-'IS (F4Q2022)'!AS128</f>
        <v>32.783256587642313</v>
      </c>
      <c r="AT128" s="95">
        <f>'IS (F1Q23)'!AT128-'IS (F4Q2022)'!AT128</f>
        <v>32.802258856169715</v>
      </c>
      <c r="AU128" s="95">
        <f>'IS (F1Q23)'!AU128-'IS (F4Q2022)'!AU128</f>
        <v>32.797749102329647</v>
      </c>
      <c r="AV128" s="31">
        <f>'IS (F1Q23)'!AV128-'IS (F4Q2022)'!AV128</f>
        <v>131.16897839303033</v>
      </c>
    </row>
    <row r="129" spans="2:48" ht="16.2" outlineLevel="1" x14ac:dyDescent="0.45">
      <c r="B129" s="180" t="s">
        <v>42</v>
      </c>
      <c r="C129" s="18"/>
      <c r="D129" s="119">
        <f>'IS (F1Q23)'!D129-'IS (F4Q2022)'!D129</f>
        <v>0</v>
      </c>
      <c r="E129" s="119">
        <f>'IS (F1Q23)'!E129-'IS (F4Q2022)'!E129</f>
        <v>0</v>
      </c>
      <c r="F129" s="119">
        <f>'IS (F1Q23)'!F129-'IS (F4Q2022)'!F129</f>
        <v>0</v>
      </c>
      <c r="G129" s="119">
        <f>'IS (F1Q23)'!G129-'IS (F4Q2022)'!G129</f>
        <v>0</v>
      </c>
      <c r="H129" s="131">
        <f>'IS (F1Q23)'!H129-'IS (F4Q2022)'!H129</f>
        <v>0</v>
      </c>
      <c r="I129" s="119">
        <f>'IS (F1Q23)'!I129-'IS (F4Q2022)'!I129</f>
        <v>0</v>
      </c>
      <c r="J129" s="119">
        <f>'IS (F1Q23)'!J129-'IS (F4Q2022)'!J129</f>
        <v>0</v>
      </c>
      <c r="K129" s="119">
        <f>'IS (F1Q23)'!K129-'IS (F4Q2022)'!K129</f>
        <v>0</v>
      </c>
      <c r="L129" s="119">
        <f>'IS (F1Q23)'!L129-'IS (F4Q2022)'!L129</f>
        <v>0</v>
      </c>
      <c r="M129" s="193">
        <f>'IS (F1Q23)'!M129-'IS (F4Q2022)'!M129</f>
        <v>0</v>
      </c>
      <c r="N129" s="119">
        <f>'IS (F1Q23)'!N129-'IS (F4Q2022)'!N129</f>
        <v>0</v>
      </c>
      <c r="O129" s="119">
        <f>'IS (F1Q23)'!O129-'IS (F4Q2022)'!O129</f>
        <v>0</v>
      </c>
      <c r="P129" s="119">
        <f>'IS (F1Q23)'!P129-'IS (F4Q2022)'!P129</f>
        <v>0</v>
      </c>
      <c r="Q129" s="119">
        <f>'IS (F1Q23)'!Q129-'IS (F4Q2022)'!Q129</f>
        <v>0</v>
      </c>
      <c r="R129" s="193">
        <f>'IS (F1Q23)'!R129-'IS (F4Q2022)'!R129</f>
        <v>0</v>
      </c>
      <c r="S129" s="119">
        <f>'IS (F1Q23)'!S129-'IS (F4Q2022)'!S129</f>
        <v>0</v>
      </c>
      <c r="T129" s="119">
        <f>'IS (F1Q23)'!T129-'IS (F4Q2022)'!T129</f>
        <v>0</v>
      </c>
      <c r="U129" s="119">
        <f>'IS (F1Q23)'!U129-'IS (F4Q2022)'!U129</f>
        <v>0</v>
      </c>
      <c r="V129" s="119">
        <f>'IS (F1Q23)'!V129-'IS (F4Q2022)'!V129</f>
        <v>0</v>
      </c>
      <c r="W129" s="193">
        <f>'IS (F1Q23)'!W129-'IS (F4Q2022)'!W129</f>
        <v>0</v>
      </c>
      <c r="X129" s="119">
        <f>'IS (F1Q23)'!X129-'IS (F4Q2022)'!X129</f>
        <v>-14.54216524216524</v>
      </c>
      <c r="Y129" s="119">
        <f>'IS (F1Q23)'!Y129-'IS (F4Q2022)'!Y129</f>
        <v>0</v>
      </c>
      <c r="Z129" s="119">
        <f>'IS (F1Q23)'!Z129-'IS (F4Q2022)'!Z129</f>
        <v>0</v>
      </c>
      <c r="AA129" s="119">
        <f>'IS (F1Q23)'!AA129-'IS (F4Q2022)'!AA129</f>
        <v>0</v>
      </c>
      <c r="AB129" s="193">
        <f>'IS (F1Q23)'!AB129-'IS (F4Q2022)'!AB129</f>
        <v>-14.54216524216524</v>
      </c>
      <c r="AC129" s="119">
        <f>'IS (F1Q23)'!AC129-'IS (F4Q2022)'!AC129</f>
        <v>0</v>
      </c>
      <c r="AD129" s="119">
        <f>'IS (F1Q23)'!AD129-'IS (F4Q2022)'!AD129</f>
        <v>0</v>
      </c>
      <c r="AE129" s="119">
        <f>'IS (F1Q23)'!AE129-'IS (F4Q2022)'!AE129</f>
        <v>0</v>
      </c>
      <c r="AF129" s="119">
        <f>'IS (F1Q23)'!AF129-'IS (F4Q2022)'!AF129</f>
        <v>0</v>
      </c>
      <c r="AG129" s="193">
        <f>'IS (F1Q23)'!AG129-'IS (F4Q2022)'!AG129</f>
        <v>0</v>
      </c>
      <c r="AH129" s="119">
        <f>'IS (F1Q23)'!AH129-'IS (F4Q2022)'!AH129</f>
        <v>0</v>
      </c>
      <c r="AI129" s="119">
        <f>'IS (F1Q23)'!AI129-'IS (F4Q2022)'!AI129</f>
        <v>0</v>
      </c>
      <c r="AJ129" s="119">
        <f>'IS (F1Q23)'!AJ129-'IS (F4Q2022)'!AJ129</f>
        <v>0</v>
      </c>
      <c r="AK129" s="119">
        <f>'IS (F1Q23)'!AK129-'IS (F4Q2022)'!AK129</f>
        <v>0</v>
      </c>
      <c r="AL129" s="193">
        <f>'IS (F1Q23)'!AL129-'IS (F4Q2022)'!AL129</f>
        <v>0</v>
      </c>
      <c r="AM129" s="119">
        <f>'IS (F1Q23)'!AM129-'IS (F4Q2022)'!AM129</f>
        <v>0</v>
      </c>
      <c r="AN129" s="119">
        <f>'IS (F1Q23)'!AN129-'IS (F4Q2022)'!AN129</f>
        <v>0</v>
      </c>
      <c r="AO129" s="119">
        <f>'IS (F1Q23)'!AO129-'IS (F4Q2022)'!AO129</f>
        <v>0</v>
      </c>
      <c r="AP129" s="119">
        <f>'IS (F1Q23)'!AP129-'IS (F4Q2022)'!AP129</f>
        <v>0</v>
      </c>
      <c r="AQ129" s="193">
        <f>'IS (F1Q23)'!AQ129-'IS (F4Q2022)'!AQ129</f>
        <v>0</v>
      </c>
      <c r="AR129" s="119">
        <f>'IS (F1Q23)'!AR129-'IS (F4Q2022)'!AR129</f>
        <v>0</v>
      </c>
      <c r="AS129" s="119">
        <f>'IS (F1Q23)'!AS129-'IS (F4Q2022)'!AS129</f>
        <v>0</v>
      </c>
      <c r="AT129" s="119">
        <f>'IS (F1Q23)'!AT129-'IS (F4Q2022)'!AT129</f>
        <v>0</v>
      </c>
      <c r="AU129" s="119">
        <f>'IS (F1Q23)'!AU129-'IS (F4Q2022)'!AU129</f>
        <v>0</v>
      </c>
      <c r="AV129" s="193">
        <f>'IS (F1Q23)'!AV129-'IS (F4Q2022)'!AV129</f>
        <v>0</v>
      </c>
    </row>
    <row r="130" spans="2:48" outlineLevel="1" x14ac:dyDescent="0.3">
      <c r="B130" s="46" t="s">
        <v>56</v>
      </c>
      <c r="C130" s="19"/>
      <c r="D130" s="103">
        <f>'IS (F1Q23)'!D130-'IS (F4Q2022)'!D130</f>
        <v>0</v>
      </c>
      <c r="E130" s="103">
        <f>'IS (F1Q23)'!E130-'IS (F4Q2022)'!E130</f>
        <v>0</v>
      </c>
      <c r="F130" s="103">
        <f>'IS (F1Q23)'!F130-'IS (F4Q2022)'!F130</f>
        <v>0</v>
      </c>
      <c r="G130" s="103">
        <f>'IS (F1Q23)'!G130-'IS (F4Q2022)'!G130</f>
        <v>0</v>
      </c>
      <c r="H130" s="130">
        <f>'IS (F1Q23)'!H130-'IS (F4Q2022)'!H130</f>
        <v>0</v>
      </c>
      <c r="I130" s="103">
        <f>'IS (F1Q23)'!I130-'IS (F4Q2022)'!I130</f>
        <v>0</v>
      </c>
      <c r="J130" s="103">
        <f>'IS (F1Q23)'!J130-'IS (F4Q2022)'!J130</f>
        <v>0</v>
      </c>
      <c r="K130" s="103">
        <f>'IS (F1Q23)'!K130-'IS (F4Q2022)'!K130</f>
        <v>0</v>
      </c>
      <c r="L130" s="50">
        <f>'IS (F1Q23)'!L130-'IS (F4Q2022)'!L130</f>
        <v>0</v>
      </c>
      <c r="M130" s="51">
        <f>'IS (F1Q23)'!M130-'IS (F4Q2022)'!M130</f>
        <v>0</v>
      </c>
      <c r="N130" s="50">
        <f>'IS (F1Q23)'!N130-'IS (F4Q2022)'!N130</f>
        <v>0</v>
      </c>
      <c r="O130" s="50">
        <f>'IS (F1Q23)'!O130-'IS (F4Q2022)'!O130</f>
        <v>0</v>
      </c>
      <c r="P130" s="50">
        <f>'IS (F1Q23)'!P130-'IS (F4Q2022)'!P130</f>
        <v>0</v>
      </c>
      <c r="Q130" s="50">
        <f>'IS (F1Q23)'!Q130-'IS (F4Q2022)'!Q130</f>
        <v>0</v>
      </c>
      <c r="R130" s="51">
        <f>'IS (F1Q23)'!R130-'IS (F4Q2022)'!R130</f>
        <v>0</v>
      </c>
      <c r="S130" s="50">
        <f>'IS (F1Q23)'!S130-'IS (F4Q2022)'!S130</f>
        <v>0</v>
      </c>
      <c r="T130" s="50">
        <f>'IS (F1Q23)'!T130-'IS (F4Q2022)'!T130</f>
        <v>0</v>
      </c>
      <c r="U130" s="50">
        <f>'IS (F1Q23)'!U130-'IS (F4Q2022)'!U130</f>
        <v>0</v>
      </c>
      <c r="V130" s="50">
        <f>'IS (F1Q23)'!V130-'IS (F4Q2022)'!V130</f>
        <v>0</v>
      </c>
      <c r="W130" s="51">
        <f>'IS (F1Q23)'!W130-'IS (F4Q2022)'!W130</f>
        <v>0</v>
      </c>
      <c r="X130" s="50">
        <f>'IS (F1Q23)'!X130-'IS (F4Q2022)'!X130</f>
        <v>20.608136974405909</v>
      </c>
      <c r="Y130" s="50">
        <f>'IS (F1Q23)'!Y130-'IS (F4Q2022)'!Y130</f>
        <v>8.7680127615042238</v>
      </c>
      <c r="Z130" s="50">
        <f>'IS (F1Q23)'!Z130-'IS (F4Q2022)'!Z130</f>
        <v>15.514311470995835</v>
      </c>
      <c r="AA130" s="50">
        <f>'IS (F1Q23)'!AA130-'IS (F4Q2022)'!AA130</f>
        <v>20.989182305404029</v>
      </c>
      <c r="AB130" s="51">
        <f>'IS (F1Q23)'!AB130-'IS (F4Q2022)'!AB130</f>
        <v>65.87964351230994</v>
      </c>
      <c r="AC130" s="50">
        <f>'IS (F1Q23)'!AC130-'IS (F4Q2022)'!AC130</f>
        <v>20.301736343679579</v>
      </c>
      <c r="AD130" s="50">
        <f>'IS (F1Q23)'!AD130-'IS (F4Q2022)'!AD130</f>
        <v>16.769116725255344</v>
      </c>
      <c r="AE130" s="50">
        <f>'IS (F1Q23)'!AE130-'IS (F4Q2022)'!AE130</f>
        <v>18.683223961884607</v>
      </c>
      <c r="AF130" s="50">
        <f>'IS (F1Q23)'!AF130-'IS (F4Q2022)'!AF130</f>
        <v>19.359291750084935</v>
      </c>
      <c r="AG130" s="51">
        <f>'IS (F1Q23)'!AG130-'IS (F4Q2022)'!AG130</f>
        <v>75.113368780904239</v>
      </c>
      <c r="AH130" s="50">
        <f>'IS (F1Q23)'!AH130-'IS (F4Q2022)'!AH130</f>
        <v>18.894136542988747</v>
      </c>
      <c r="AI130" s="50">
        <f>'IS (F1Q23)'!AI130-'IS (F4Q2022)'!AI130</f>
        <v>18.550486501985006</v>
      </c>
      <c r="AJ130" s="50">
        <f>'IS (F1Q23)'!AJ130-'IS (F4Q2022)'!AJ130</f>
        <v>19.01972567080827</v>
      </c>
      <c r="AK130" s="50">
        <f>'IS (F1Q23)'!AK130-'IS (F4Q2022)'!AK130</f>
        <v>19.102046909006674</v>
      </c>
      <c r="AL130" s="51">
        <f>'IS (F1Q23)'!AL130-'IS (F4Q2022)'!AL130</f>
        <v>75.566395624788811</v>
      </c>
      <c r="AM130" s="50">
        <f>'IS (F1Q23)'!AM130-'IS (F4Q2022)'!AM130</f>
        <v>19.032538745938041</v>
      </c>
      <c r="AN130" s="50">
        <f>'IS (F1Q23)'!AN130-'IS (F4Q2022)'!AN130</f>
        <v>19.03382717891941</v>
      </c>
      <c r="AO130" s="50">
        <f>'IS (F1Q23)'!AO130-'IS (F4Q2022)'!AO130</f>
        <v>19.166940743417001</v>
      </c>
      <c r="AP130" s="50">
        <f>'IS (F1Q23)'!AP130-'IS (F4Q2022)'!AP130</f>
        <v>19.200391610713496</v>
      </c>
      <c r="AQ130" s="51">
        <f>'IS (F1Q23)'!AQ130-'IS (F4Q2022)'!AQ130</f>
        <v>76.433698278988231</v>
      </c>
      <c r="AR130" s="50">
        <f>'IS (F1Q23)'!AR130-'IS (F4Q2022)'!AR130</f>
        <v>19.219794029538775</v>
      </c>
      <c r="AS130" s="50">
        <f>'IS (F1Q23)'!AS130-'IS (F4Q2022)'!AS130</f>
        <v>19.236190248540368</v>
      </c>
      <c r="AT130" s="50">
        <f>'IS (F1Q23)'!AT130-'IS (F4Q2022)'!AT130</f>
        <v>19.306362152576639</v>
      </c>
      <c r="AU130" s="50">
        <f>'IS (F1Q23)'!AU130-'IS (F4Q2022)'!AU130</f>
        <v>19.342570149083031</v>
      </c>
      <c r="AV130" s="51">
        <f>'IS (F1Q23)'!AV130-'IS (F4Q2022)'!AV130</f>
        <v>77.104916579738983</v>
      </c>
    </row>
    <row r="131" spans="2:48" outlineLevel="1" x14ac:dyDescent="0.3">
      <c r="B131" s="46" t="s">
        <v>57</v>
      </c>
      <c r="C131" s="44"/>
      <c r="D131" s="156">
        <f>'IS (F1Q23)'!D131-'IS (F4Q2022)'!D131</f>
        <v>0</v>
      </c>
      <c r="E131" s="156">
        <f>'IS (F1Q23)'!E131-'IS (F4Q2022)'!E131</f>
        <v>0</v>
      </c>
      <c r="F131" s="156">
        <f>'IS (F1Q23)'!F131-'IS (F4Q2022)'!F131</f>
        <v>0</v>
      </c>
      <c r="G131" s="156">
        <f>'IS (F1Q23)'!G131-'IS (F4Q2022)'!G131</f>
        <v>0</v>
      </c>
      <c r="H131" s="158">
        <f>'IS (F1Q23)'!H131-'IS (F4Q2022)'!H131</f>
        <v>0</v>
      </c>
      <c r="I131" s="156">
        <f>'IS (F1Q23)'!I131-'IS (F4Q2022)'!I131</f>
        <v>0</v>
      </c>
      <c r="J131" s="156">
        <f>'IS (F1Q23)'!J131-'IS (F4Q2022)'!J131</f>
        <v>0</v>
      </c>
      <c r="K131" s="156">
        <f>'IS (F1Q23)'!K131-'IS (F4Q2022)'!K131</f>
        <v>0</v>
      </c>
      <c r="L131" s="74">
        <f>'IS (F1Q23)'!L131-'IS (F4Q2022)'!L131</f>
        <v>0</v>
      </c>
      <c r="M131" s="194">
        <f>'IS (F1Q23)'!M131-'IS (F4Q2022)'!M131</f>
        <v>0</v>
      </c>
      <c r="N131" s="74">
        <f>'IS (F1Q23)'!N131-'IS (F4Q2022)'!N131</f>
        <v>0</v>
      </c>
      <c r="O131" s="74">
        <f>'IS (F1Q23)'!O131-'IS (F4Q2022)'!O131</f>
        <v>0</v>
      </c>
      <c r="P131" s="74">
        <f>'IS (F1Q23)'!P131-'IS (F4Q2022)'!P131</f>
        <v>0</v>
      </c>
      <c r="Q131" s="74">
        <f>'IS (F1Q23)'!Q131-'IS (F4Q2022)'!Q131</f>
        <v>0</v>
      </c>
      <c r="R131" s="194">
        <f>'IS (F1Q23)'!R131-'IS (F4Q2022)'!R131</f>
        <v>0</v>
      </c>
      <c r="S131" s="74">
        <f>'IS (F1Q23)'!S131-'IS (F4Q2022)'!S131</f>
        <v>0</v>
      </c>
      <c r="T131" s="74">
        <f>'IS (F1Q23)'!T131-'IS (F4Q2022)'!T131</f>
        <v>0</v>
      </c>
      <c r="U131" s="74">
        <f>'IS (F1Q23)'!U131-'IS (F4Q2022)'!U131</f>
        <v>0</v>
      </c>
      <c r="V131" s="74">
        <f>'IS (F1Q23)'!V131-'IS (F4Q2022)'!V131</f>
        <v>0</v>
      </c>
      <c r="W131" s="194">
        <f>'IS (F1Q23)'!W131-'IS (F4Q2022)'!W131</f>
        <v>0</v>
      </c>
      <c r="X131" s="74">
        <f>'IS (F1Q23)'!X131-'IS (F4Q2022)'!X131</f>
        <v>-43.918136974405911</v>
      </c>
      <c r="Y131" s="74">
        <f>'IS (F1Q23)'!Y131-'IS (F4Q2022)'!Y131</f>
        <v>-8.7680127615042238</v>
      </c>
      <c r="Z131" s="74">
        <f>'IS (F1Q23)'!Z131-'IS (F4Q2022)'!Z131</f>
        <v>-15.514311470995835</v>
      </c>
      <c r="AA131" s="74">
        <f>'IS (F1Q23)'!AA131-'IS (F4Q2022)'!AA131</f>
        <v>-20.989182305404029</v>
      </c>
      <c r="AB131" s="194">
        <f>'IS (F1Q23)'!AB131-'IS (F4Q2022)'!AB131</f>
        <v>-89.189643512309885</v>
      </c>
      <c r="AC131" s="74">
        <f>'IS (F1Q23)'!AC131-'IS (F4Q2022)'!AC131</f>
        <v>-45.942736343679542</v>
      </c>
      <c r="AD131" s="74">
        <f>'IS (F1Q23)'!AD131-'IS (F4Q2022)'!AD131</f>
        <v>-16.769116725255344</v>
      </c>
      <c r="AE131" s="74">
        <f>'IS (F1Q23)'!AE131-'IS (F4Q2022)'!AE131</f>
        <v>-18.683223961884607</v>
      </c>
      <c r="AF131" s="74">
        <f>'IS (F1Q23)'!AF131-'IS (F4Q2022)'!AF131</f>
        <v>-19.359291750084935</v>
      </c>
      <c r="AG131" s="194">
        <f>'IS (F1Q23)'!AG131-'IS (F4Q2022)'!AG131</f>
        <v>-100.75436878090431</v>
      </c>
      <c r="AH131" s="74">
        <f>'IS (F1Q23)'!AH131-'IS (F4Q2022)'!AH131</f>
        <v>-47.099236542988763</v>
      </c>
      <c r="AI131" s="74">
        <f>'IS (F1Q23)'!AI131-'IS (F4Q2022)'!AI131</f>
        <v>-18.550486501985006</v>
      </c>
      <c r="AJ131" s="74">
        <f>'IS (F1Q23)'!AJ131-'IS (F4Q2022)'!AJ131</f>
        <v>-19.01972567080827</v>
      </c>
      <c r="AK131" s="74">
        <f>'IS (F1Q23)'!AK131-'IS (F4Q2022)'!AK131</f>
        <v>-19.102046909006674</v>
      </c>
      <c r="AL131" s="194">
        <f>'IS (F1Q23)'!AL131-'IS (F4Q2022)'!AL131</f>
        <v>-103.77149562478894</v>
      </c>
      <c r="AM131" s="74">
        <f>'IS (F1Q23)'!AM131-'IS (F4Q2022)'!AM131</f>
        <v>-50.05814874593807</v>
      </c>
      <c r="AN131" s="74">
        <f>'IS (F1Q23)'!AN131-'IS (F4Q2022)'!AN131</f>
        <v>-19.03382717891941</v>
      </c>
      <c r="AO131" s="74">
        <f>'IS (F1Q23)'!AO131-'IS (F4Q2022)'!AO131</f>
        <v>-19.166940743417001</v>
      </c>
      <c r="AP131" s="74">
        <f>'IS (F1Q23)'!AP131-'IS (F4Q2022)'!AP131</f>
        <v>-19.200391610713496</v>
      </c>
      <c r="AQ131" s="194">
        <f>'IS (F1Q23)'!AQ131-'IS (F4Q2022)'!AQ131</f>
        <v>-107.45930827898837</v>
      </c>
      <c r="AR131" s="74">
        <f>'IS (F1Q23)'!AR131-'IS (F4Q2022)'!AR131</f>
        <v>-53.347965029538784</v>
      </c>
      <c r="AS131" s="74">
        <f>'IS (F1Q23)'!AS131-'IS (F4Q2022)'!AS131</f>
        <v>-19.236190248540368</v>
      </c>
      <c r="AT131" s="74">
        <f>'IS (F1Q23)'!AT131-'IS (F4Q2022)'!AT131</f>
        <v>-19.306362152576639</v>
      </c>
      <c r="AU131" s="74">
        <f>'IS (F1Q23)'!AU131-'IS (F4Q2022)'!AU131</f>
        <v>-19.342570149083031</v>
      </c>
      <c r="AV131" s="194">
        <f>'IS (F1Q23)'!AV131-'IS (F4Q2022)'!AV131</f>
        <v>-111.23308757973882</v>
      </c>
    </row>
    <row r="132" spans="2:48" ht="17.399999999999999" x14ac:dyDescent="0.45">
      <c r="B132" s="583" t="s">
        <v>14</v>
      </c>
      <c r="C132" s="584"/>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c r="E133" s="65"/>
      <c r="F133" s="121"/>
      <c r="G133" s="65"/>
      <c r="H133" s="66"/>
      <c r="I133" s="65"/>
      <c r="J133" s="65"/>
      <c r="K133" s="121"/>
      <c r="L133" s="65"/>
      <c r="M133" s="66"/>
      <c r="N133" s="65"/>
      <c r="O133" s="65"/>
      <c r="P133" s="121"/>
      <c r="Q133" s="65"/>
      <c r="R133" s="66"/>
      <c r="S133" s="65"/>
      <c r="T133" s="65"/>
      <c r="U133" s="121"/>
      <c r="V133" s="65"/>
      <c r="W133" s="66"/>
      <c r="X133" s="65"/>
      <c r="Y133" s="65"/>
      <c r="Z133" s="121"/>
      <c r="AA133" s="65"/>
      <c r="AB133" s="66"/>
      <c r="AC133" s="65"/>
      <c r="AD133" s="65"/>
      <c r="AE133" s="121"/>
      <c r="AF133" s="65"/>
      <c r="AG133" s="66"/>
      <c r="AH133" s="65"/>
      <c r="AI133" s="65"/>
      <c r="AJ133" s="121"/>
      <c r="AK133" s="65"/>
      <c r="AL133" s="66"/>
      <c r="AM133" s="65"/>
      <c r="AN133" s="65"/>
      <c r="AO133" s="121"/>
      <c r="AP133" s="65"/>
      <c r="AQ133" s="66"/>
      <c r="AR133" s="65"/>
      <c r="AS133" s="65"/>
      <c r="AT133" s="121"/>
      <c r="AU133" s="65"/>
      <c r="AV133" s="66"/>
    </row>
    <row r="134" spans="2:48" s="77" customFormat="1" ht="15.6" customHeight="1" outlineLevel="1" x14ac:dyDescent="0.3">
      <c r="B134" s="64" t="s">
        <v>60</v>
      </c>
      <c r="C134" s="78"/>
      <c r="D134" s="65"/>
      <c r="E134" s="65"/>
      <c r="F134" s="121"/>
      <c r="G134" s="65"/>
      <c r="H134" s="66"/>
      <c r="I134" s="65"/>
      <c r="J134" s="65"/>
      <c r="K134" s="121"/>
      <c r="L134" s="65"/>
      <c r="M134" s="66"/>
      <c r="N134" s="65"/>
      <c r="O134" s="65"/>
      <c r="P134" s="121"/>
      <c r="Q134" s="65"/>
      <c r="R134" s="66"/>
      <c r="S134" s="65"/>
      <c r="T134" s="65"/>
      <c r="U134" s="121"/>
      <c r="V134" s="65"/>
      <c r="W134" s="66"/>
      <c r="X134" s="65"/>
      <c r="Y134" s="65"/>
      <c r="Z134" s="121"/>
      <c r="AA134" s="65"/>
      <c r="AB134" s="66"/>
      <c r="AC134" s="65"/>
      <c r="AD134" s="65"/>
      <c r="AE134" s="121"/>
      <c r="AF134" s="65"/>
      <c r="AG134" s="66"/>
      <c r="AH134" s="65"/>
      <c r="AI134" s="65"/>
      <c r="AJ134" s="121"/>
      <c r="AK134" s="65"/>
      <c r="AL134" s="66"/>
      <c r="AM134" s="65"/>
      <c r="AN134" s="65"/>
      <c r="AO134" s="121"/>
      <c r="AP134" s="65"/>
      <c r="AQ134" s="66"/>
      <c r="AR134" s="65"/>
      <c r="AS134" s="65"/>
      <c r="AT134" s="121"/>
      <c r="AU134" s="65"/>
      <c r="AV134" s="66"/>
    </row>
    <row r="135" spans="2:48" s="77" customFormat="1" ht="15.6" customHeight="1" outlineLevel="1" x14ac:dyDescent="0.3">
      <c r="B135" s="64" t="s">
        <v>61</v>
      </c>
      <c r="C135" s="78"/>
      <c r="D135" s="65"/>
      <c r="E135" s="65"/>
      <c r="F135" s="121"/>
      <c r="G135" s="65"/>
      <c r="H135" s="66"/>
      <c r="I135" s="65"/>
      <c r="J135" s="65"/>
      <c r="K135" s="121"/>
      <c r="L135" s="65"/>
      <c r="M135" s="66"/>
      <c r="N135" s="65"/>
      <c r="O135" s="65"/>
      <c r="P135" s="121"/>
      <c r="Q135" s="65"/>
      <c r="R135" s="66"/>
      <c r="S135" s="65"/>
      <c r="T135" s="65"/>
      <c r="U135" s="121"/>
      <c r="V135" s="65"/>
      <c r="W135" s="66"/>
      <c r="X135" s="65"/>
      <c r="Y135" s="65"/>
      <c r="Z135" s="121"/>
      <c r="AA135" s="65"/>
      <c r="AB135" s="66"/>
      <c r="AC135" s="65"/>
      <c r="AD135" s="65"/>
      <c r="AE135" s="121"/>
      <c r="AF135" s="65"/>
      <c r="AG135" s="66"/>
      <c r="AH135" s="65"/>
      <c r="AI135" s="65"/>
      <c r="AJ135" s="121"/>
      <c r="AK135" s="65"/>
      <c r="AL135" s="66"/>
      <c r="AM135" s="65"/>
      <c r="AN135" s="65"/>
      <c r="AO135" s="121"/>
      <c r="AP135" s="65"/>
      <c r="AQ135" s="66"/>
      <c r="AR135" s="65"/>
      <c r="AS135" s="65"/>
      <c r="AT135" s="121"/>
      <c r="AU135" s="65"/>
      <c r="AV135" s="66"/>
    </row>
    <row r="136" spans="2:48" s="77" customFormat="1" ht="15.6" customHeight="1" outlineLevel="1" x14ac:dyDescent="0.3">
      <c r="B136" s="64" t="s">
        <v>36</v>
      </c>
      <c r="C136" s="78"/>
      <c r="D136" s="65"/>
      <c r="E136" s="65"/>
      <c r="F136" s="121"/>
      <c r="G136" s="65"/>
      <c r="H136" s="66"/>
      <c r="I136" s="65"/>
      <c r="J136" s="65"/>
      <c r="K136" s="121"/>
      <c r="L136" s="65"/>
      <c r="M136" s="66"/>
      <c r="N136" s="65"/>
      <c r="O136" s="65"/>
      <c r="P136" s="121"/>
      <c r="Q136" s="65"/>
      <c r="R136" s="66"/>
      <c r="S136" s="65"/>
      <c r="T136" s="65"/>
      <c r="U136" s="121"/>
      <c r="V136" s="65"/>
      <c r="W136" s="66"/>
      <c r="X136" s="65"/>
      <c r="Y136" s="65"/>
      <c r="Z136" s="121"/>
      <c r="AA136" s="65"/>
      <c r="AB136" s="66"/>
      <c r="AC136" s="65"/>
      <c r="AD136" s="65"/>
      <c r="AE136" s="121"/>
      <c r="AF136" s="65"/>
      <c r="AG136" s="66"/>
      <c r="AH136" s="65"/>
      <c r="AI136" s="65"/>
      <c r="AJ136" s="121"/>
      <c r="AK136" s="65"/>
      <c r="AL136" s="66"/>
      <c r="AM136" s="65"/>
      <c r="AN136" s="65"/>
      <c r="AO136" s="121"/>
      <c r="AP136" s="65"/>
      <c r="AQ136" s="66"/>
      <c r="AR136" s="65"/>
      <c r="AS136" s="65"/>
      <c r="AT136" s="121"/>
      <c r="AU136" s="65"/>
      <c r="AV136" s="66"/>
    </row>
    <row r="137" spans="2:48" s="77" customFormat="1" ht="15.6" customHeight="1" outlineLevel="1" x14ac:dyDescent="0.3">
      <c r="B137" s="64" t="s">
        <v>62</v>
      </c>
      <c r="C137" s="78"/>
      <c r="D137" s="65"/>
      <c r="E137" s="65"/>
      <c r="F137" s="121"/>
      <c r="G137" s="65"/>
      <c r="H137" s="66"/>
      <c r="I137" s="65"/>
      <c r="J137" s="65"/>
      <c r="K137" s="121"/>
      <c r="L137" s="65"/>
      <c r="M137" s="66"/>
      <c r="N137" s="65"/>
      <c r="O137" s="65"/>
      <c r="P137" s="121"/>
      <c r="Q137" s="65"/>
      <c r="R137" s="66"/>
      <c r="S137" s="65"/>
      <c r="T137" s="65"/>
      <c r="U137" s="121"/>
      <c r="V137" s="65"/>
      <c r="W137" s="66"/>
      <c r="X137" s="65"/>
      <c r="Y137" s="65"/>
      <c r="Z137" s="121"/>
      <c r="AA137" s="65"/>
      <c r="AB137" s="66"/>
      <c r="AC137" s="65"/>
      <c r="AD137" s="65"/>
      <c r="AE137" s="121"/>
      <c r="AF137" s="65"/>
      <c r="AG137" s="66"/>
      <c r="AH137" s="65"/>
      <c r="AI137" s="65"/>
      <c r="AJ137" s="121"/>
      <c r="AK137" s="65"/>
      <c r="AL137" s="66"/>
      <c r="AM137" s="65"/>
      <c r="AN137" s="65"/>
      <c r="AO137" s="121"/>
      <c r="AP137" s="65"/>
      <c r="AQ137" s="66"/>
      <c r="AR137" s="65"/>
      <c r="AS137" s="65"/>
      <c r="AT137" s="121"/>
      <c r="AU137" s="65"/>
      <c r="AV137" s="66"/>
    </row>
    <row r="138" spans="2:48" ht="15" customHeight="1" x14ac:dyDescent="0.45">
      <c r="B138" s="583" t="s">
        <v>9</v>
      </c>
      <c r="C138" s="584"/>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f>'IS (F1Q23)'!D139-'IS (F4Q2022)'!D139</f>
        <v>0</v>
      </c>
      <c r="E139" s="27">
        <f>'IS (F1Q23)'!E139-'IS (F4Q2022)'!E139</f>
        <v>0</v>
      </c>
      <c r="F139" s="27">
        <f>'IS (F1Q23)'!F139-'IS (F4Q2022)'!F139</f>
        <v>0</v>
      </c>
      <c r="G139" s="27">
        <f>'IS (F1Q23)'!G139-'IS (F4Q2022)'!G139</f>
        <v>0</v>
      </c>
      <c r="H139" s="29">
        <f>'IS (F1Q23)'!H139-'IS (F4Q2022)'!H139</f>
        <v>0</v>
      </c>
      <c r="I139" s="27">
        <f>'IS (F1Q23)'!I139-'IS (F4Q2022)'!I139</f>
        <v>0</v>
      </c>
      <c r="J139" s="27">
        <f>'IS (F1Q23)'!J139-'IS (F4Q2022)'!J139</f>
        <v>0</v>
      </c>
      <c r="K139" s="27">
        <f>'IS (F1Q23)'!K139-'IS (F4Q2022)'!K139</f>
        <v>0</v>
      </c>
      <c r="L139" s="113">
        <f>'IS (F1Q23)'!L139-'IS (F4Q2022)'!L139</f>
        <v>0</v>
      </c>
      <c r="M139" s="137">
        <f>'IS (F1Q23)'!M139-'IS (F4Q2022)'!M139</f>
        <v>0</v>
      </c>
      <c r="N139" s="113">
        <f>'IS (F1Q23)'!N139-'IS (F4Q2022)'!N139</f>
        <v>0</v>
      </c>
      <c r="O139" s="113">
        <f>'IS (F1Q23)'!O139-'IS (F4Q2022)'!O139</f>
        <v>0</v>
      </c>
      <c r="P139" s="113">
        <f>'IS (F1Q23)'!P139-'IS (F4Q2022)'!P139</f>
        <v>0</v>
      </c>
      <c r="Q139" s="113">
        <f>'IS (F1Q23)'!Q139-'IS (F4Q2022)'!Q139</f>
        <v>0</v>
      </c>
      <c r="R139" s="29">
        <f>'IS (F1Q23)'!R139-'IS (F4Q2022)'!R139</f>
        <v>0</v>
      </c>
      <c r="S139" s="113">
        <f>'IS (F1Q23)'!S139-'IS (F4Q2022)'!S139</f>
        <v>0</v>
      </c>
      <c r="T139" s="113">
        <f>'IS (F1Q23)'!T139-'IS (F4Q2022)'!T139</f>
        <v>0</v>
      </c>
      <c r="U139" s="113">
        <f>'IS (F1Q23)'!U139-'IS (F4Q2022)'!U139</f>
        <v>0</v>
      </c>
      <c r="V139" s="113">
        <f>'IS (F1Q23)'!V139-'IS (F4Q2022)'!V139</f>
        <v>0</v>
      </c>
      <c r="W139" s="137">
        <f>'IS (F1Q23)'!W139-'IS (F4Q2022)'!W139</f>
        <v>0</v>
      </c>
      <c r="X139" s="113">
        <f>'IS (F1Q23)'!X139-'IS (F4Q2022)'!X139</f>
        <v>0</v>
      </c>
      <c r="Y139" s="113">
        <f>'IS (F1Q23)'!Y139-'IS (F4Q2022)'!Y139</f>
        <v>0</v>
      </c>
      <c r="Z139" s="113">
        <f>'IS (F1Q23)'!Z139-'IS (F4Q2022)'!Z139</f>
        <v>0</v>
      </c>
      <c r="AA139" s="113">
        <f>'IS (F1Q23)'!AA139-'IS (F4Q2022)'!AA139</f>
        <v>0</v>
      </c>
      <c r="AB139" s="137">
        <f>'IS (F1Q23)'!AB139-'IS (F4Q2022)'!AB139</f>
        <v>-2.2402060989611117E-4</v>
      </c>
      <c r="AC139" s="113">
        <f>'IS (F1Q23)'!AC139-'IS (F4Q2022)'!AC139</f>
        <v>0</v>
      </c>
      <c r="AD139" s="113">
        <f>'IS (F1Q23)'!AD139-'IS (F4Q2022)'!AD139</f>
        <v>0</v>
      </c>
      <c r="AE139" s="113">
        <f>'IS (F1Q23)'!AE139-'IS (F4Q2022)'!AE139</f>
        <v>0</v>
      </c>
      <c r="AF139" s="113">
        <f>'IS (F1Q23)'!AF139-'IS (F4Q2022)'!AF139</f>
        <v>0</v>
      </c>
      <c r="AG139" s="137">
        <f>'IS (F1Q23)'!AG139-'IS (F4Q2022)'!AG139</f>
        <v>1.4574116252705216E-5</v>
      </c>
      <c r="AH139" s="113">
        <f>'IS (F1Q23)'!AH139-'IS (F4Q2022)'!AH139</f>
        <v>0</v>
      </c>
      <c r="AI139" s="113">
        <f>'IS (F1Q23)'!AI139-'IS (F4Q2022)'!AI139</f>
        <v>0</v>
      </c>
      <c r="AJ139" s="113">
        <f>'IS (F1Q23)'!AJ139-'IS (F4Q2022)'!AJ139</f>
        <v>0</v>
      </c>
      <c r="AK139" s="113">
        <f>'IS (F1Q23)'!AK139-'IS (F4Q2022)'!AK139</f>
        <v>0</v>
      </c>
      <c r="AL139" s="406">
        <f>'IS (F1Q23)'!AL139-'IS (F4Q2022)'!AL139</f>
        <v>1.3631590152454742E-5</v>
      </c>
      <c r="AM139" s="113">
        <f>'IS (F1Q23)'!AM139-'IS (F4Q2022)'!AM139</f>
        <v>0</v>
      </c>
      <c r="AN139" s="113">
        <f>'IS (F1Q23)'!AN139-'IS (F4Q2022)'!AN139</f>
        <v>0</v>
      </c>
      <c r="AO139" s="113">
        <f>'IS (F1Q23)'!AO139-'IS (F4Q2022)'!AO139</f>
        <v>0</v>
      </c>
      <c r="AP139" s="113">
        <f>'IS (F1Q23)'!AP139-'IS (F4Q2022)'!AP139</f>
        <v>0</v>
      </c>
      <c r="AQ139" s="137">
        <f>'IS (F1Q23)'!AQ139-'IS (F4Q2022)'!AQ139</f>
        <v>5.331053151372972E-6</v>
      </c>
      <c r="AR139" s="113">
        <f>'IS (F1Q23)'!AR139-'IS (F4Q2022)'!AR139</f>
        <v>0</v>
      </c>
      <c r="AS139" s="113">
        <f>'IS (F1Q23)'!AS139-'IS (F4Q2022)'!AS139</f>
        <v>0</v>
      </c>
      <c r="AT139" s="113">
        <f>'IS (F1Q23)'!AT139-'IS (F4Q2022)'!AT139</f>
        <v>0</v>
      </c>
      <c r="AU139" s="113">
        <f>'IS (F1Q23)'!AU139-'IS (F4Q2022)'!AU139</f>
        <v>0</v>
      </c>
      <c r="AV139" s="137">
        <f>'IS (F1Q23)'!AV139-'IS (F4Q2022)'!AV139</f>
        <v>5.0336829667367577E-6</v>
      </c>
    </row>
    <row r="140" spans="2:48" s="23" customFormat="1" outlineLevel="1" x14ac:dyDescent="0.3">
      <c r="B140" s="580" t="s">
        <v>17</v>
      </c>
      <c r="C140" s="581"/>
      <c r="D140" s="30">
        <f>'IS (F1Q23)'!D140-'IS (F4Q2022)'!D140</f>
        <v>0</v>
      </c>
      <c r="E140" s="30">
        <f>'IS (F1Q23)'!E140-'IS (F4Q2022)'!E140</f>
        <v>0</v>
      </c>
      <c r="F140" s="30">
        <f>'IS (F1Q23)'!F140-'IS (F4Q2022)'!F140</f>
        <v>0</v>
      </c>
      <c r="G140" s="30">
        <f>'IS (F1Q23)'!G140-'IS (F4Q2022)'!G140</f>
        <v>0</v>
      </c>
      <c r="H140" s="137">
        <f>'IS (F1Q23)'!H140-'IS (F4Q2022)'!H140</f>
        <v>0</v>
      </c>
      <c r="I140" s="30">
        <f>'IS (F1Q23)'!I140-'IS (F4Q2022)'!I140</f>
        <v>0</v>
      </c>
      <c r="J140" s="30">
        <f>'IS (F1Q23)'!J140-'IS (F4Q2022)'!J140</f>
        <v>0</v>
      </c>
      <c r="K140" s="30">
        <f>'IS (F1Q23)'!K140-'IS (F4Q2022)'!K140</f>
        <v>0</v>
      </c>
      <c r="L140" s="113">
        <f>'IS (F1Q23)'!L140-'IS (F4Q2022)'!L140</f>
        <v>0</v>
      </c>
      <c r="M140" s="128">
        <f>'IS (F1Q23)'!M140-'IS (F4Q2022)'!M140</f>
        <v>0</v>
      </c>
      <c r="N140" s="30">
        <f>'IS (F1Q23)'!N140-'IS (F4Q2022)'!N140</f>
        <v>0</v>
      </c>
      <c r="O140" s="30">
        <f>'IS (F1Q23)'!O140-'IS (F4Q2022)'!O140</f>
        <v>0</v>
      </c>
      <c r="P140" s="30">
        <f>'IS (F1Q23)'!P140-'IS (F4Q2022)'!P140</f>
        <v>0</v>
      </c>
      <c r="Q140" s="30">
        <f>'IS (F1Q23)'!Q140-'IS (F4Q2022)'!Q140</f>
        <v>0</v>
      </c>
      <c r="R140" s="128">
        <f>'IS (F1Q23)'!R140-'IS (F4Q2022)'!R140</f>
        <v>0</v>
      </c>
      <c r="S140" s="30">
        <f>'IS (F1Q23)'!S140-'IS (F4Q2022)'!S140</f>
        <v>0</v>
      </c>
      <c r="T140" s="30">
        <f>'IS (F1Q23)'!T140-'IS (F4Q2022)'!T140</f>
        <v>0</v>
      </c>
      <c r="U140" s="30">
        <f>'IS (F1Q23)'!U140-'IS (F4Q2022)'!U140</f>
        <v>0</v>
      </c>
      <c r="V140" s="30">
        <f>'IS (F1Q23)'!V140-'IS (F4Q2022)'!V140</f>
        <v>0</v>
      </c>
      <c r="W140" s="28">
        <f>'IS (F1Q23)'!W140-'IS (F4Q2022)'!W140</f>
        <v>0</v>
      </c>
      <c r="X140" s="30">
        <f>'IS (F1Q23)'!X140-'IS (F4Q2022)'!X140</f>
        <v>-1.5154330711728559E-3</v>
      </c>
      <c r="Y140" s="30">
        <f>'IS (F1Q23)'!Y140-'IS (F4Q2022)'!Y140</f>
        <v>-4.421924780091846E-3</v>
      </c>
      <c r="Z140" s="30">
        <f>'IS (F1Q23)'!Z140-'IS (F4Q2022)'!Z140</f>
        <v>-3.380590975730291E-3</v>
      </c>
      <c r="AA140" s="30">
        <f>'IS (F1Q23)'!AA140-'IS (F4Q2022)'!AA140</f>
        <v>-2.6036951651327023E-3</v>
      </c>
      <c r="AB140" s="137">
        <f>'IS (F1Q23)'!AB140-'IS (F4Q2022)'!AB140</f>
        <v>-2.9588579832373618E-3</v>
      </c>
      <c r="AC140" s="30">
        <f>'IS (F1Q23)'!AC140-'IS (F4Q2022)'!AC140</f>
        <v>-5.4837617746479328E-3</v>
      </c>
      <c r="AD140" s="30">
        <f>'IS (F1Q23)'!AD140-'IS (F4Q2022)'!AD140</f>
        <v>2.5948214063709063E-3</v>
      </c>
      <c r="AE140" s="30">
        <f>'IS (F1Q23)'!AE140-'IS (F4Q2022)'!AE140</f>
        <v>1.5551604603047942E-3</v>
      </c>
      <c r="AF140" s="30">
        <f>'IS (F1Q23)'!AF140-'IS (F4Q2022)'!AF140</f>
        <v>5.8140466392475609E-4</v>
      </c>
      <c r="AG140" s="137">
        <f>'IS (F1Q23)'!AG140-'IS (F4Q2022)'!AG140</f>
        <v>-1.6079314362271724E-4</v>
      </c>
      <c r="AH140" s="30">
        <f>'IS (F1Q23)'!AH140-'IS (F4Q2022)'!AH140</f>
        <v>-1.5766121061484561E-3</v>
      </c>
      <c r="AI140" s="30">
        <f>'IS (F1Q23)'!AI140-'IS (F4Q2022)'!AI140</f>
        <v>1.0365671674517074E-4</v>
      </c>
      <c r="AJ140" s="30">
        <f>'IS (F1Q23)'!AJ140-'IS (F4Q2022)'!AJ140</f>
        <v>1.0003957805926333E-4</v>
      </c>
      <c r="AK140" s="30">
        <f>'IS (F1Q23)'!AK140-'IS (F4Q2022)'!AK140</f>
        <v>1.1632059933419647E-4</v>
      </c>
      <c r="AL140" s="406">
        <f>'IS (F1Q23)'!AL140-'IS (F4Q2022)'!AL140</f>
        <v>-3.0681153401945771E-4</v>
      </c>
      <c r="AM140" s="30">
        <f>'IS (F1Q23)'!AM140-'IS (F4Q2022)'!AM140</f>
        <v>-1.7380488947982276E-3</v>
      </c>
      <c r="AN140" s="30">
        <f>'IS (F1Q23)'!AN140-'IS (F4Q2022)'!AN140</f>
        <v>6.8578247559347716E-5</v>
      </c>
      <c r="AO140" s="30">
        <f>'IS (F1Q23)'!AO140-'IS (F4Q2022)'!AO140</f>
        <v>5.9567783413649877E-5</v>
      </c>
      <c r="AP140" s="30">
        <f>'IS (F1Q23)'!AP140-'IS (F4Q2022)'!AP140</f>
        <v>6.1016903512900456E-5</v>
      </c>
      <c r="AQ140" s="28">
        <f>'IS (F1Q23)'!AQ140-'IS (F4Q2022)'!AQ140</f>
        <v>-3.9008089376690869E-4</v>
      </c>
      <c r="AR140" s="30">
        <f>'IS (F1Q23)'!AR140-'IS (F4Q2022)'!AR140</f>
        <v>-7.088336501170911E-4</v>
      </c>
      <c r="AS140" s="30">
        <f>'IS (F1Q23)'!AS140-'IS (F4Q2022)'!AS140</f>
        <v>5.0649636552435595E-5</v>
      </c>
      <c r="AT140" s="30">
        <f>'IS (F1Q23)'!AT140-'IS (F4Q2022)'!AT140</f>
        <v>4.8193713900968049E-5</v>
      </c>
      <c r="AU140" s="30">
        <f>'IS (F1Q23)'!AU140-'IS (F4Q2022)'!AU140</f>
        <v>5.4349262343711402E-5</v>
      </c>
      <c r="AV140" s="28">
        <f>'IS (F1Q23)'!AV140-'IS (F4Q2022)'!AV140</f>
        <v>-1.3782683860186218E-4</v>
      </c>
    </row>
    <row r="141" spans="2:48" s="23" customFormat="1" outlineLevel="1" x14ac:dyDescent="0.3">
      <c r="B141" s="580" t="s">
        <v>4</v>
      </c>
      <c r="C141" s="581"/>
      <c r="D141" s="27">
        <f>'IS (F1Q23)'!D141-'IS (F4Q2022)'!D141</f>
        <v>0</v>
      </c>
      <c r="E141" s="27">
        <f>'IS (F1Q23)'!E141-'IS (F4Q2022)'!E141</f>
        <v>0</v>
      </c>
      <c r="F141" s="27">
        <f>'IS (F1Q23)'!F141-'IS (F4Q2022)'!F141</f>
        <v>0</v>
      </c>
      <c r="G141" s="27">
        <f>'IS (F1Q23)'!G141-'IS (F4Q2022)'!G141</f>
        <v>0</v>
      </c>
      <c r="H141" s="29">
        <f>'IS (F1Q23)'!H141-'IS (F4Q2022)'!H141</f>
        <v>0</v>
      </c>
      <c r="I141" s="27">
        <f>'IS (F1Q23)'!I141-'IS (F4Q2022)'!I141</f>
        <v>0</v>
      </c>
      <c r="J141" s="27">
        <f>'IS (F1Q23)'!J141-'IS (F4Q2022)'!J141</f>
        <v>0</v>
      </c>
      <c r="K141" s="27">
        <f>'IS (F1Q23)'!K141-'IS (F4Q2022)'!K141</f>
        <v>0</v>
      </c>
      <c r="L141" s="113">
        <f>'IS (F1Q23)'!L141-'IS (F4Q2022)'!L141</f>
        <v>0</v>
      </c>
      <c r="M141" s="137">
        <f>'IS (F1Q23)'!M141-'IS (F4Q2022)'!M141</f>
        <v>0</v>
      </c>
      <c r="N141" s="27">
        <f>'IS (F1Q23)'!N141-'IS (F4Q2022)'!N141</f>
        <v>0</v>
      </c>
      <c r="O141" s="27">
        <f>'IS (F1Q23)'!O141-'IS (F4Q2022)'!O141</f>
        <v>0</v>
      </c>
      <c r="P141" s="27">
        <f>'IS (F1Q23)'!P141-'IS (F4Q2022)'!P141</f>
        <v>0</v>
      </c>
      <c r="Q141" s="27">
        <f>'IS (F1Q23)'!Q141-'IS (F4Q2022)'!Q141</f>
        <v>0</v>
      </c>
      <c r="R141" s="137">
        <f>'IS (F1Q23)'!R141-'IS (F4Q2022)'!R141</f>
        <v>0</v>
      </c>
      <c r="S141" s="27">
        <f>'IS (F1Q23)'!S141-'IS (F4Q2022)'!S141</f>
        <v>0</v>
      </c>
      <c r="T141" s="27">
        <f>'IS (F1Q23)'!T141-'IS (F4Q2022)'!T141</f>
        <v>0</v>
      </c>
      <c r="U141" s="27">
        <f>'IS (F1Q23)'!U141-'IS (F4Q2022)'!U141</f>
        <v>0</v>
      </c>
      <c r="V141" s="27">
        <f>'IS (F1Q23)'!V141-'IS (F4Q2022)'!V141</f>
        <v>0</v>
      </c>
      <c r="W141" s="137">
        <f>'IS (F1Q23)'!W141-'IS (F4Q2022)'!W141</f>
        <v>0</v>
      </c>
      <c r="X141" s="27">
        <f>'IS (F1Q23)'!X141-'IS (F4Q2022)'!X141</f>
        <v>5.1780163589600359E-3</v>
      </c>
      <c r="Y141" s="27">
        <f>'IS (F1Q23)'!Y141-'IS (F4Q2022)'!Y141</f>
        <v>-1.4214720175291407E-2</v>
      </c>
      <c r="Z141" s="27">
        <f>'IS (F1Q23)'!Z141-'IS (F4Q2022)'!Z141</f>
        <v>7.3987153387795601E-3</v>
      </c>
      <c r="AA141" s="27">
        <f>'IS (F1Q23)'!AA141-'IS (F4Q2022)'!AA141</f>
        <v>1.4896269176385368E-2</v>
      </c>
      <c r="AB141" s="137">
        <f>'IS (F1Q23)'!AB141-'IS (F4Q2022)'!AB141</f>
        <v>3.7831225789780598E-3</v>
      </c>
      <c r="AC141" s="27">
        <f>'IS (F1Q23)'!AC141-'IS (F4Q2022)'!AC141</f>
        <v>-7.3710210768565543E-4</v>
      </c>
      <c r="AD141" s="27">
        <f>'IS (F1Q23)'!AD141-'IS (F4Q2022)'!AD141</f>
        <v>-1.726642067707429E-2</v>
      </c>
      <c r="AE141" s="27">
        <f>'IS (F1Q23)'!AE141-'IS (F4Q2022)'!AE141</f>
        <v>8.2332898081302897E-3</v>
      </c>
      <c r="AF141" s="27">
        <f>'IS (F1Q23)'!AF141-'IS (F4Q2022)'!AF141</f>
        <v>1.64289140935579E-2</v>
      </c>
      <c r="AG141" s="137">
        <f>'IS (F1Q23)'!AG141-'IS (F4Q2022)'!AG141</f>
        <v>2.2378314243169661E-3</v>
      </c>
      <c r="AH141" s="27">
        <f>'IS (F1Q23)'!AH141-'IS (F4Q2022)'!AH141</f>
        <v>-1.4952983507035278E-3</v>
      </c>
      <c r="AI141" s="27">
        <f>'IS (F1Q23)'!AI141-'IS (F4Q2022)'!AI141</f>
        <v>-1.8010156336058597E-2</v>
      </c>
      <c r="AJ141" s="27">
        <f>'IS (F1Q23)'!AJ141-'IS (F4Q2022)'!AJ141</f>
        <v>8.9084592198827306E-3</v>
      </c>
      <c r="AK141" s="27">
        <f>'IS (F1Q23)'!AK141-'IS (F4Q2022)'!AK141</f>
        <v>1.7355631226150831E-2</v>
      </c>
      <c r="AL141" s="29">
        <f>'IS (F1Q23)'!AL141-'IS (F4Q2022)'!AL141</f>
        <v>2.3078945090060921E-3</v>
      </c>
      <c r="AM141" s="27">
        <f>'IS (F1Q23)'!AM141-'IS (F4Q2022)'!AM141</f>
        <v>-2.0727629650125479E-3</v>
      </c>
      <c r="AN141" s="27">
        <f>'IS (F1Q23)'!AN141-'IS (F4Q2022)'!AN141</f>
        <v>-1.8492272522063952E-2</v>
      </c>
      <c r="AO141" s="27">
        <f>'IS (F1Q23)'!AO141-'IS (F4Q2022)'!AO141</f>
        <v>9.3116271094365044E-3</v>
      </c>
      <c r="AP141" s="27">
        <f>'IS (F1Q23)'!AP141-'IS (F4Q2022)'!AP141</f>
        <v>1.7746449822124172E-2</v>
      </c>
      <c r="AQ141" s="29">
        <f>'IS (F1Q23)'!AQ141-'IS (F4Q2022)'!AQ141</f>
        <v>2.2183185801694927E-3</v>
      </c>
      <c r="AR141" s="27">
        <f>'IS (F1Q23)'!AR141-'IS (F4Q2022)'!AR141</f>
        <v>-2.3664603821794139E-3</v>
      </c>
      <c r="AS141" s="27">
        <f>'IS (F1Q23)'!AS141-'IS (F4Q2022)'!AS141</f>
        <v>-1.8554788757216251E-2</v>
      </c>
      <c r="AT141" s="27">
        <f>'IS (F1Q23)'!AT141-'IS (F4Q2022)'!AT141</f>
        <v>9.4810204709142309E-3</v>
      </c>
      <c r="AU141" s="27">
        <f>'IS (F1Q23)'!AU141-'IS (F4Q2022)'!AU141</f>
        <v>1.7985936237564365E-2</v>
      </c>
      <c r="AV141" s="29">
        <f>'IS (F1Q23)'!AV141-'IS (F4Q2022)'!AV141</f>
        <v>2.235332754117747E-3</v>
      </c>
    </row>
    <row r="142" spans="2:48" s="23" customFormat="1" outlineLevel="1" x14ac:dyDescent="0.3">
      <c r="B142" s="580" t="s">
        <v>77</v>
      </c>
      <c r="C142" s="581"/>
      <c r="D142" s="27">
        <f>'IS (F1Q23)'!D142-'IS (F4Q2022)'!D142</f>
        <v>0</v>
      </c>
      <c r="E142" s="27">
        <f>'IS (F1Q23)'!E142-'IS (F4Q2022)'!E142</f>
        <v>0</v>
      </c>
      <c r="F142" s="27">
        <f>'IS (F1Q23)'!F142-'IS (F4Q2022)'!F142</f>
        <v>0</v>
      </c>
      <c r="G142" s="27">
        <f>'IS (F1Q23)'!G142-'IS (F4Q2022)'!G142</f>
        <v>0</v>
      </c>
      <c r="H142" s="29">
        <f>'IS (F1Q23)'!H142-'IS (F4Q2022)'!H142</f>
        <v>0</v>
      </c>
      <c r="I142" s="27">
        <f>'IS (F1Q23)'!I142-'IS (F4Q2022)'!I142</f>
        <v>0</v>
      </c>
      <c r="J142" s="27">
        <f>'IS (F1Q23)'!J142-'IS (F4Q2022)'!J142</f>
        <v>0</v>
      </c>
      <c r="K142" s="27">
        <f>'IS (F1Q23)'!K142-'IS (F4Q2022)'!K142</f>
        <v>0</v>
      </c>
      <c r="L142" s="113">
        <f>'IS (F1Q23)'!L142-'IS (F4Q2022)'!L142</f>
        <v>0</v>
      </c>
      <c r="M142" s="137">
        <f>'IS (F1Q23)'!M142-'IS (F4Q2022)'!M142</f>
        <v>0</v>
      </c>
      <c r="N142" s="27">
        <f>'IS (F1Q23)'!N142-'IS (F4Q2022)'!N142</f>
        <v>0</v>
      </c>
      <c r="O142" s="27">
        <f>'IS (F1Q23)'!O142-'IS (F4Q2022)'!O142</f>
        <v>0</v>
      </c>
      <c r="P142" s="27">
        <f>'IS (F1Q23)'!P142-'IS (F4Q2022)'!P142</f>
        <v>0</v>
      </c>
      <c r="Q142" s="27">
        <f>'IS (F1Q23)'!Q142-'IS (F4Q2022)'!Q142</f>
        <v>0</v>
      </c>
      <c r="R142" s="137">
        <f>'IS (F1Q23)'!R142-'IS (F4Q2022)'!R142</f>
        <v>0</v>
      </c>
      <c r="S142" s="27">
        <f>'IS (F1Q23)'!S142-'IS (F4Q2022)'!S142</f>
        <v>0</v>
      </c>
      <c r="T142" s="27">
        <f>'IS (F1Q23)'!T142-'IS (F4Q2022)'!T142</f>
        <v>0</v>
      </c>
      <c r="U142" s="27">
        <f>'IS (F1Q23)'!U142-'IS (F4Q2022)'!U142</f>
        <v>0</v>
      </c>
      <c r="V142" s="27">
        <f>'IS (F1Q23)'!V142-'IS (F4Q2022)'!V142</f>
        <v>0</v>
      </c>
      <c r="W142" s="137">
        <f>'IS (F1Q23)'!W142-'IS (F4Q2022)'!W142</f>
        <v>0</v>
      </c>
      <c r="X142" s="27">
        <f>'IS (F1Q23)'!X142-'IS (F4Q2022)'!X142</f>
        <v>-1.0209215790048243E-3</v>
      </c>
      <c r="Y142" s="27">
        <f>'IS (F1Q23)'!Y142-'IS (F4Q2022)'!Y142</f>
        <v>-1.5386569651405585E-2</v>
      </c>
      <c r="Z142" s="27">
        <f>'IS (F1Q23)'!Z142-'IS (F4Q2022)'!Z142</f>
        <v>6.3284927131255497E-3</v>
      </c>
      <c r="AA142" s="27">
        <f>'IS (F1Q23)'!AA142-'IS (F4Q2022)'!AA142</f>
        <v>1.3859716130337346E-2</v>
      </c>
      <c r="AB142" s="137">
        <f>'IS (F1Q23)'!AB142-'IS (F4Q2022)'!AB142</f>
        <v>1.4541916535124599E-3</v>
      </c>
      <c r="AC142" s="27">
        <f>'IS (F1Q23)'!AC142-'IS (F4Q2022)'!AC142</f>
        <v>-1.747350243204604E-3</v>
      </c>
      <c r="AD142" s="27">
        <f>'IS (F1Q23)'!AD142-'IS (F4Q2022)'!AD142</f>
        <v>-2.1768094080470313E-2</v>
      </c>
      <c r="AE142" s="27">
        <f>'IS (F1Q23)'!AE142-'IS (F4Q2022)'!AE142</f>
        <v>4.1256751916285417E-3</v>
      </c>
      <c r="AF142" s="27">
        <f>'IS (F1Q23)'!AF142-'IS (F4Q2022)'!AF142</f>
        <v>1.245933966852264E-2</v>
      </c>
      <c r="AG142" s="137">
        <f>'IS (F1Q23)'!AG142-'IS (F4Q2022)'!AG142</f>
        <v>-1.1610376777828613E-3</v>
      </c>
      <c r="AH142" s="27">
        <f>'IS (F1Q23)'!AH142-'IS (F4Q2022)'!AH142</f>
        <v>-5.312104410131413E-3</v>
      </c>
      <c r="AI142" s="27">
        <f>'IS (F1Q23)'!AI142-'IS (F4Q2022)'!AI142</f>
        <v>-2.2050890317857674E-2</v>
      </c>
      <c r="AJ142" s="27">
        <f>'IS (F1Q23)'!AJ142-'IS (F4Q2022)'!AJ142</f>
        <v>5.2237778937683776E-3</v>
      </c>
      <c r="AK142" s="27">
        <f>'IS (F1Q23)'!AK142-'IS (F4Q2022)'!AK142</f>
        <v>1.3800531658110016E-2</v>
      </c>
      <c r="AL142" s="406">
        <f>'IS (F1Q23)'!AL142-'IS (F4Q2022)'!AL142</f>
        <v>-1.4580204866025126E-3</v>
      </c>
      <c r="AM142" s="27">
        <f>'IS (F1Q23)'!AM142-'IS (F4Q2022)'!AM142</f>
        <v>-5.5431682212533084E-3</v>
      </c>
      <c r="AN142" s="27">
        <f>'IS (F1Q23)'!AN142-'IS (F4Q2022)'!AN142</f>
        <v>-2.2184904846526188E-2</v>
      </c>
      <c r="AO142" s="27">
        <f>'IS (F1Q23)'!AO142-'IS (F4Q2022)'!AO142</f>
        <v>5.9321138764925618E-3</v>
      </c>
      <c r="AP142" s="27">
        <f>'IS (F1Q23)'!AP142-'IS (F4Q2022)'!AP142</f>
        <v>1.447481904815251E-2</v>
      </c>
      <c r="AQ142" s="29">
        <f>'IS (F1Q23)'!AQ142-'IS (F4Q2022)'!AQ142</f>
        <v>-1.2284158224980524E-3</v>
      </c>
      <c r="AR142" s="27">
        <f>'IS (F1Q23)'!AR142-'IS (F4Q2022)'!AR142</f>
        <v>-5.6255356237777943E-3</v>
      </c>
      <c r="AS142" s="27">
        <f>'IS (F1Q23)'!AS142-'IS (F4Q2022)'!AS142</f>
        <v>-2.2025058460436148E-2</v>
      </c>
      <c r="AT142" s="27">
        <f>'IS (F1Q23)'!AT142-'IS (F4Q2022)'!AT142</f>
        <v>6.3043615853284052E-3</v>
      </c>
      <c r="AU142" s="27">
        <f>'IS (F1Q23)'!AU142-'IS (F4Q2022)'!AU142</f>
        <v>1.4910462863330115E-2</v>
      </c>
      <c r="AV142" s="29">
        <f>'IS (F1Q23)'!AV142-'IS (F4Q2022)'!AV142</f>
        <v>-1.0036732305671869E-3</v>
      </c>
    </row>
    <row r="143" spans="2:48" s="23" customFormat="1" outlineLevel="1" x14ac:dyDescent="0.3">
      <c r="B143" s="580" t="s">
        <v>2</v>
      </c>
      <c r="C143" s="581"/>
      <c r="D143" s="27">
        <f>'IS (F1Q23)'!D143-'IS (F4Q2022)'!D143</f>
        <v>0</v>
      </c>
      <c r="E143" s="27">
        <f>'IS (F1Q23)'!E143-'IS (F4Q2022)'!E143</f>
        <v>0</v>
      </c>
      <c r="F143" s="27">
        <f>'IS (F1Q23)'!F143-'IS (F4Q2022)'!F143</f>
        <v>0</v>
      </c>
      <c r="G143" s="118">
        <f>'IS (F1Q23)'!G143-'IS (F4Q2022)'!G143</f>
        <v>0</v>
      </c>
      <c r="H143" s="137">
        <f>'IS (F1Q23)'!H143-'IS (F4Q2022)'!H143</f>
        <v>0</v>
      </c>
      <c r="I143" s="118">
        <f>'IS (F1Q23)'!I143-'IS (F4Q2022)'!I143</f>
        <v>0</v>
      </c>
      <c r="J143" s="118">
        <f>'IS (F1Q23)'!J143-'IS (F4Q2022)'!J143</f>
        <v>0</v>
      </c>
      <c r="K143" s="118">
        <f>'IS (F1Q23)'!K143-'IS (F4Q2022)'!K143</f>
        <v>0</v>
      </c>
      <c r="L143" s="118">
        <f>'IS (F1Q23)'!L143-'IS (F4Q2022)'!L143</f>
        <v>0</v>
      </c>
      <c r="M143" s="137">
        <f>'IS (F1Q23)'!M143-'IS (F4Q2022)'!M143</f>
        <v>0</v>
      </c>
      <c r="N143" s="118">
        <f>'IS (F1Q23)'!N143-'IS (F4Q2022)'!N143</f>
        <v>0</v>
      </c>
      <c r="O143" s="118">
        <f>'IS (F1Q23)'!O143-'IS (F4Q2022)'!O143</f>
        <v>0</v>
      </c>
      <c r="P143" s="118">
        <f>'IS (F1Q23)'!P143-'IS (F4Q2022)'!P143</f>
        <v>0</v>
      </c>
      <c r="Q143" s="118">
        <f>'IS (F1Q23)'!Q143-'IS (F4Q2022)'!Q143</f>
        <v>0</v>
      </c>
      <c r="R143" s="137">
        <f>'IS (F1Q23)'!R143-'IS (F4Q2022)'!R143</f>
        <v>0</v>
      </c>
      <c r="S143" s="118">
        <f>'IS (F1Q23)'!S143-'IS (F4Q2022)'!S143</f>
        <v>0</v>
      </c>
      <c r="T143" s="118">
        <f>'IS (F1Q23)'!T143-'IS (F4Q2022)'!T143</f>
        <v>0</v>
      </c>
      <c r="U143" s="118">
        <f>'IS (F1Q23)'!U143-'IS (F4Q2022)'!U143</f>
        <v>0</v>
      </c>
      <c r="V143" s="118">
        <f>'IS (F1Q23)'!V143-'IS (F4Q2022)'!V143</f>
        <v>0</v>
      </c>
      <c r="W143" s="137">
        <f>'IS (F1Q23)'!W143-'IS (F4Q2022)'!W143</f>
        <v>0</v>
      </c>
      <c r="X143" s="35">
        <f>'IS (F1Q23)'!X143-'IS (F4Q2022)'!X143</f>
        <v>1.5198237885464538E-3</v>
      </c>
      <c r="Y143" s="35">
        <f>'IS (F1Q23)'!Y143-'IS (F4Q2022)'!Y143</f>
        <v>0</v>
      </c>
      <c r="Z143" s="35">
        <f>'IS (F1Q23)'!Z143-'IS (F4Q2022)'!Z143</f>
        <v>0</v>
      </c>
      <c r="AA143" s="35">
        <f>'IS (F1Q23)'!AA143-'IS (F4Q2022)'!AA143</f>
        <v>0</v>
      </c>
      <c r="AB143" s="137">
        <f>'IS (F1Q23)'!AB143-'IS (F4Q2022)'!AB143</f>
        <v>3.331845456241711E-4</v>
      </c>
      <c r="AC143" s="34">
        <f>'IS (F1Q23)'!AC143-'IS (F4Q2022)'!AC143</f>
        <v>3.7995594713660652E-4</v>
      </c>
      <c r="AD143" s="34">
        <f>'IS (F1Q23)'!AD143-'IS (F4Q2022)'!AD143</f>
        <v>9.4988986784144691E-5</v>
      </c>
      <c r="AE143" s="34">
        <f>'IS (F1Q23)'!AE143-'IS (F4Q2022)'!AE143</f>
        <v>1.187362334801878E-4</v>
      </c>
      <c r="AF143" s="34">
        <f>'IS (F1Q23)'!AF143-'IS (F4Q2022)'!AF143</f>
        <v>1.4842029185024863E-4</v>
      </c>
      <c r="AG143" s="29">
        <f>'IS (F1Q23)'!AG143-'IS (F4Q2022)'!AG143</f>
        <v>1.8827066891288768E-4</v>
      </c>
      <c r="AH143" s="34">
        <f>'IS (F1Q23)'!AH143-'IS (F4Q2022)'!AH143</f>
        <v>1.8552536481278303E-4</v>
      </c>
      <c r="AI143" s="34">
        <f>'IS (F1Q23)'!AI143-'IS (F4Q2022)'!AI143</f>
        <v>1.3691771923182716E-4</v>
      </c>
      <c r="AJ143" s="34">
        <f>'IS (F1Q23)'!AJ143-'IS (F4Q2022)'!AJ143</f>
        <v>1.4739990234377554E-4</v>
      </c>
      <c r="AK143" s="34">
        <f>'IS (F1Q23)'!AK143-'IS (F4Q2022)'!AK143</f>
        <v>1.5456581955966553E-4</v>
      </c>
      <c r="AL143" s="29">
        <f>'IS (F1Q23)'!AL143-'IS (F4Q2022)'!AL143</f>
        <v>1.5691237443229977E-4</v>
      </c>
      <c r="AM143" s="34">
        <f>'IS (F1Q23)'!AM143-'IS (F4Q2022)'!AM143</f>
        <v>1.5610220148701281E-4</v>
      </c>
      <c r="AN143" s="34">
        <f>'IS (F1Q23)'!AN143-'IS (F4Q2022)'!AN143</f>
        <v>1.4874641065557026E-4</v>
      </c>
      <c r="AO143" s="34">
        <f>'IS (F1Q23)'!AO143-'IS (F4Q2022)'!AO143</f>
        <v>1.5170358351149216E-4</v>
      </c>
      <c r="AP143" s="34">
        <f>'IS (F1Q23)'!AP143-'IS (F4Q2022)'!AP143</f>
        <v>1.5277950380343519E-4</v>
      </c>
      <c r="AQ143" s="29">
        <f>'IS (F1Q23)'!AQ143-'IS (F4Q2022)'!AQ143</f>
        <v>1.5256000094382438E-4</v>
      </c>
      <c r="AR143" s="34">
        <f>'IS (F1Q23)'!AR143-'IS (F4Q2022)'!AR143</f>
        <v>1.5233292486438454E-4</v>
      </c>
      <c r="AS143" s="34">
        <f>'IS (F1Q23)'!AS143-'IS (F4Q2022)'!AS143</f>
        <v>1.5139060570873442E-4</v>
      </c>
      <c r="AT143" s="34">
        <f>'IS (F1Q23)'!AT143-'IS (F4Q2022)'!AT143</f>
        <v>1.5205165447201852E-4</v>
      </c>
      <c r="AU143" s="34">
        <f>'IS (F1Q23)'!AU143-'IS (F4Q2022)'!AU143</f>
        <v>1.5213867221214317E-4</v>
      </c>
      <c r="AV143" s="29">
        <f>'IS (F1Q23)'!AV143-'IS (F4Q2022)'!AV143</f>
        <v>1.5202544066644785E-4</v>
      </c>
    </row>
    <row r="144" spans="2:48" s="23" customFormat="1" outlineLevel="1" x14ac:dyDescent="0.3">
      <c r="B144" s="580" t="s">
        <v>78</v>
      </c>
      <c r="C144" s="581"/>
      <c r="D144" s="27">
        <f>'IS (F1Q23)'!D144-'IS (F4Q2022)'!D144</f>
        <v>0</v>
      </c>
      <c r="E144" s="27">
        <f>'IS (F1Q23)'!E144-'IS (F4Q2022)'!E144</f>
        <v>0</v>
      </c>
      <c r="F144" s="27">
        <f>'IS (F1Q23)'!F144-'IS (F4Q2022)'!F144</f>
        <v>0</v>
      </c>
      <c r="G144" s="27">
        <f>'IS (F1Q23)'!G144-'IS (F4Q2022)'!G144</f>
        <v>0</v>
      </c>
      <c r="H144" s="29">
        <f>'IS (F1Q23)'!H144-'IS (F4Q2022)'!H144</f>
        <v>0</v>
      </c>
      <c r="I144" s="27">
        <f>'IS (F1Q23)'!I144-'IS (F4Q2022)'!I144</f>
        <v>0</v>
      </c>
      <c r="J144" s="27">
        <f>'IS (F1Q23)'!J144-'IS (F4Q2022)'!J144</f>
        <v>0</v>
      </c>
      <c r="K144" s="27">
        <f>'IS (F1Q23)'!K144-'IS (F4Q2022)'!K144</f>
        <v>0</v>
      </c>
      <c r="L144" s="27">
        <f>'IS (F1Q23)'!L144-'IS (F4Q2022)'!L144</f>
        <v>0</v>
      </c>
      <c r="M144" s="29">
        <f>'IS (F1Q23)'!M144-'IS (F4Q2022)'!M144</f>
        <v>0</v>
      </c>
      <c r="N144" s="27">
        <f>'IS (F1Q23)'!N144-'IS (F4Q2022)'!N144</f>
        <v>0</v>
      </c>
      <c r="O144" s="27">
        <f>'IS (F1Q23)'!O144-'IS (F4Q2022)'!O144</f>
        <v>0</v>
      </c>
      <c r="P144" s="27">
        <f>'IS (F1Q23)'!P144-'IS (F4Q2022)'!P144</f>
        <v>0</v>
      </c>
      <c r="Q144" s="27">
        <f>'IS (F1Q23)'!Q144-'IS (F4Q2022)'!Q144</f>
        <v>0</v>
      </c>
      <c r="R144" s="137">
        <f>'IS (F1Q23)'!R144-'IS (F4Q2022)'!R144</f>
        <v>0</v>
      </c>
      <c r="S144" s="27">
        <f>'IS (F1Q23)'!S144-'IS (F4Q2022)'!S144</f>
        <v>0</v>
      </c>
      <c r="T144" s="27">
        <f>'IS (F1Q23)'!T144-'IS (F4Q2022)'!T144</f>
        <v>0</v>
      </c>
      <c r="U144" s="27">
        <f>'IS (F1Q23)'!U144-'IS (F4Q2022)'!U144</f>
        <v>0</v>
      </c>
      <c r="V144" s="27">
        <f>'IS (F1Q23)'!V144-'IS (F4Q2022)'!V144</f>
        <v>0</v>
      </c>
      <c r="W144" s="137">
        <f>'IS (F1Q23)'!W144-'IS (F4Q2022)'!W144</f>
        <v>0</v>
      </c>
      <c r="X144" s="35">
        <f>'IS (F1Q23)'!X144-'IS (F4Q2022)'!X144</f>
        <v>-6.2428199887948109E-3</v>
      </c>
      <c r="Y144" s="35">
        <f>'IS (F1Q23)'!Y144-'IS (F4Q2022)'!Y144</f>
        <v>-6.2428199887948101E-3</v>
      </c>
      <c r="Z144" s="35">
        <f>'IS (F1Q23)'!Z144-'IS (F4Q2022)'!Z144</f>
        <v>-6.2428199887948101E-3</v>
      </c>
      <c r="AA144" s="35">
        <f>'IS (F1Q23)'!AA144-'IS (F4Q2022)'!AA144</f>
        <v>-6.2428199887948092E-3</v>
      </c>
      <c r="AB144" s="137">
        <f>'IS (F1Q23)'!AB144-'IS (F4Q2022)'!AB144</f>
        <v>0</v>
      </c>
      <c r="AC144" s="35">
        <f>'IS (F1Q23)'!AC144-'IS (F4Q2022)'!AC144</f>
        <v>-6.2428199887948092E-3</v>
      </c>
      <c r="AD144" s="35">
        <f>'IS (F1Q23)'!AD144-'IS (F4Q2022)'!AD144</f>
        <v>-6.2428199887948092E-3</v>
      </c>
      <c r="AE144" s="35">
        <f>'IS (F1Q23)'!AE144-'IS (F4Q2022)'!AE144</f>
        <v>-6.2428199887948092E-3</v>
      </c>
      <c r="AF144" s="35">
        <f>'IS (F1Q23)'!AF144-'IS (F4Q2022)'!AF144</f>
        <v>-6.2428199887948092E-3</v>
      </c>
      <c r="AG144" s="29">
        <f>'IS (F1Q23)'!AG144-'IS (F4Q2022)'!AG144</f>
        <v>0</v>
      </c>
      <c r="AH144" s="35">
        <f>'IS (F1Q23)'!AH144-'IS (F4Q2022)'!AH144</f>
        <v>-6.2428199887948092E-3</v>
      </c>
      <c r="AI144" s="35">
        <f>'IS (F1Q23)'!AI144-'IS (F4Q2022)'!AI144</f>
        <v>-6.2428199887948092E-3</v>
      </c>
      <c r="AJ144" s="35">
        <f>'IS (F1Q23)'!AJ144-'IS (F4Q2022)'!AJ144</f>
        <v>-6.2428199887948092E-3</v>
      </c>
      <c r="AK144" s="35">
        <f>'IS (F1Q23)'!AK144-'IS (F4Q2022)'!AK144</f>
        <v>-6.2428199887948092E-3</v>
      </c>
      <c r="AL144" s="29">
        <f>'IS (F1Q23)'!AL144-'IS (F4Q2022)'!AL144</f>
        <v>0</v>
      </c>
      <c r="AM144" s="35">
        <f>'IS (F1Q23)'!AM144-'IS (F4Q2022)'!AM144</f>
        <v>-6.2428199887948092E-3</v>
      </c>
      <c r="AN144" s="35">
        <f>'IS (F1Q23)'!AN144-'IS (F4Q2022)'!AN144</f>
        <v>-6.2428199887948092E-3</v>
      </c>
      <c r="AO144" s="35">
        <f>'IS (F1Q23)'!AO144-'IS (F4Q2022)'!AO144</f>
        <v>-6.2428199887948092E-3</v>
      </c>
      <c r="AP144" s="35">
        <f>'IS (F1Q23)'!AP144-'IS (F4Q2022)'!AP144</f>
        <v>-6.2428199887948092E-3</v>
      </c>
      <c r="AQ144" s="29">
        <f>'IS (F1Q23)'!AQ144-'IS (F4Q2022)'!AQ144</f>
        <v>0</v>
      </c>
      <c r="AR144" s="35">
        <f>'IS (F1Q23)'!AR144-'IS (F4Q2022)'!AR144</f>
        <v>-6.2428199887948092E-3</v>
      </c>
      <c r="AS144" s="35">
        <f>'IS (F1Q23)'!AS144-'IS (F4Q2022)'!AS144</f>
        <v>-6.2428199887948092E-3</v>
      </c>
      <c r="AT144" s="35">
        <f>'IS (F1Q23)'!AT144-'IS (F4Q2022)'!AT144</f>
        <v>-6.2428199887948092E-3</v>
      </c>
      <c r="AU144" s="35">
        <f>'IS (F1Q23)'!AU144-'IS (F4Q2022)'!AU144</f>
        <v>-6.2428199887948092E-3</v>
      </c>
      <c r="AV144" s="29">
        <f>'IS (F1Q23)'!AV144-'IS (F4Q2022)'!AV144</f>
        <v>0</v>
      </c>
    </row>
    <row r="145" spans="2:48" s="23" customFormat="1" outlineLevel="1" x14ac:dyDescent="0.3">
      <c r="B145" s="580" t="s">
        <v>79</v>
      </c>
      <c r="C145" s="581"/>
      <c r="D145" s="27">
        <f>'IS (F1Q23)'!D145-'IS (F4Q2022)'!D145</f>
        <v>0</v>
      </c>
      <c r="E145" s="215">
        <f>'IS (F1Q23)'!E145-'IS (F4Q2022)'!E145</f>
        <v>0</v>
      </c>
      <c r="F145" s="215">
        <f>'IS (F1Q23)'!F145-'IS (F4Q2022)'!F145</f>
        <v>0</v>
      </c>
      <c r="G145" s="215">
        <f>'IS (F1Q23)'!G145-'IS (F4Q2022)'!G145</f>
        <v>0</v>
      </c>
      <c r="H145" s="29">
        <f>'IS (F1Q23)'!H145-'IS (F4Q2022)'!H145</f>
        <v>0</v>
      </c>
      <c r="I145" s="215">
        <f>'IS (F1Q23)'!I145-'IS (F4Q2022)'!I145</f>
        <v>0</v>
      </c>
      <c r="J145" s="215">
        <f>'IS (F1Q23)'!J145-'IS (F4Q2022)'!J145</f>
        <v>0</v>
      </c>
      <c r="K145" s="215">
        <f>'IS (F1Q23)'!K145-'IS (F4Q2022)'!K145</f>
        <v>0</v>
      </c>
      <c r="L145" s="215">
        <f>'IS (F1Q23)'!L145-'IS (F4Q2022)'!L145</f>
        <v>0</v>
      </c>
      <c r="M145" s="29">
        <f>'IS (F1Q23)'!M145-'IS (F4Q2022)'!M145</f>
        <v>0</v>
      </c>
      <c r="N145" s="215">
        <f>'IS (F1Q23)'!N145-'IS (F4Q2022)'!N145</f>
        <v>0</v>
      </c>
      <c r="O145" s="215">
        <f>'IS (F1Q23)'!O145-'IS (F4Q2022)'!O145</f>
        <v>0</v>
      </c>
      <c r="P145" s="215">
        <f>'IS (F1Q23)'!P145-'IS (F4Q2022)'!P145</f>
        <v>0</v>
      </c>
      <c r="Q145" s="215">
        <f>'IS (F1Q23)'!Q145-'IS (F4Q2022)'!Q145</f>
        <v>0</v>
      </c>
      <c r="R145" s="29">
        <f>'IS (F1Q23)'!R145-'IS (F4Q2022)'!R145</f>
        <v>0</v>
      </c>
      <c r="S145" s="215">
        <f>'IS (F1Q23)'!S145-'IS (F4Q2022)'!S145</f>
        <v>0</v>
      </c>
      <c r="T145" s="215">
        <f>'IS (F1Q23)'!T145-'IS (F4Q2022)'!T145</f>
        <v>0</v>
      </c>
      <c r="U145" s="215">
        <f>'IS (F1Q23)'!U145-'IS (F4Q2022)'!U145</f>
        <v>0</v>
      </c>
      <c r="V145" s="215">
        <f>'IS (F1Q23)'!V145-'IS (F4Q2022)'!V145</f>
        <v>0</v>
      </c>
      <c r="W145" s="137">
        <f>'IS (F1Q23)'!W145-'IS (F4Q2022)'!W145</f>
        <v>0</v>
      </c>
      <c r="X145" s="35">
        <f>'IS (F1Q23)'!X145-'IS (F4Q2022)'!X145</f>
        <v>-4.8456630702741615E-4</v>
      </c>
      <c r="Y145" s="35">
        <f>'IS (F1Q23)'!Y145-'IS (F4Q2022)'!Y145</f>
        <v>2.4638859942509132E-4</v>
      </c>
      <c r="Z145" s="35">
        <f>'IS (F1Q23)'!Z145-'IS (F4Q2022)'!Z145</f>
        <v>2.4638859942509132E-4</v>
      </c>
      <c r="AA145" s="35">
        <f>'IS (F1Q23)'!AA145-'IS (F4Q2022)'!AA145</f>
        <v>2.4638859942509132E-4</v>
      </c>
      <c r="AB145" s="137">
        <f>'IS (F1Q23)'!AB145-'IS (F4Q2022)'!AB145</f>
        <v>0</v>
      </c>
      <c r="AC145" s="35">
        <f>'IS (F1Q23)'!AC145-'IS (F4Q2022)'!AC145</f>
        <v>2.4638859942509132E-4</v>
      </c>
      <c r="AD145" s="35">
        <f>'IS (F1Q23)'!AD145-'IS (F4Q2022)'!AD145</f>
        <v>2.4638859942509132E-4</v>
      </c>
      <c r="AE145" s="35">
        <f>'IS (F1Q23)'!AE145-'IS (F4Q2022)'!AE145</f>
        <v>2.4638859942509132E-4</v>
      </c>
      <c r="AF145" s="35">
        <f>'IS (F1Q23)'!AF145-'IS (F4Q2022)'!AF145</f>
        <v>2.4638859942509132E-4</v>
      </c>
      <c r="AG145" s="29">
        <f>'IS (F1Q23)'!AG145-'IS (F4Q2022)'!AG145</f>
        <v>0</v>
      </c>
      <c r="AH145" s="35">
        <f>'IS (F1Q23)'!AH145-'IS (F4Q2022)'!AH145</f>
        <v>2.4638859942509132E-4</v>
      </c>
      <c r="AI145" s="35">
        <f>'IS (F1Q23)'!AI145-'IS (F4Q2022)'!AI145</f>
        <v>2.4638859942509132E-4</v>
      </c>
      <c r="AJ145" s="35">
        <f>'IS (F1Q23)'!AJ145-'IS (F4Q2022)'!AJ145</f>
        <v>2.4638859942509132E-4</v>
      </c>
      <c r="AK145" s="35">
        <f>'IS (F1Q23)'!AK145-'IS (F4Q2022)'!AK145</f>
        <v>2.4638859942509132E-4</v>
      </c>
      <c r="AL145" s="29">
        <f>'IS (F1Q23)'!AL145-'IS (F4Q2022)'!AL145</f>
        <v>0</v>
      </c>
      <c r="AM145" s="35">
        <f>'IS (F1Q23)'!AM145-'IS (F4Q2022)'!AM145</f>
        <v>2.4638859942509132E-4</v>
      </c>
      <c r="AN145" s="35">
        <f>'IS (F1Q23)'!AN145-'IS (F4Q2022)'!AN145</f>
        <v>2.4638859942509132E-4</v>
      </c>
      <c r="AO145" s="35">
        <f>'IS (F1Q23)'!AO145-'IS (F4Q2022)'!AO145</f>
        <v>2.4638859942509132E-4</v>
      </c>
      <c r="AP145" s="35">
        <f>'IS (F1Q23)'!AP145-'IS (F4Q2022)'!AP145</f>
        <v>2.4638859942509132E-4</v>
      </c>
      <c r="AQ145" s="29">
        <f>'IS (F1Q23)'!AQ145-'IS (F4Q2022)'!AQ145</f>
        <v>0</v>
      </c>
      <c r="AR145" s="35">
        <f>'IS (F1Q23)'!AR145-'IS (F4Q2022)'!AR145</f>
        <v>2.4638859942509132E-4</v>
      </c>
      <c r="AS145" s="35">
        <f>'IS (F1Q23)'!AS145-'IS (F4Q2022)'!AS145</f>
        <v>2.4638859942509132E-4</v>
      </c>
      <c r="AT145" s="35">
        <f>'IS (F1Q23)'!AT145-'IS (F4Q2022)'!AT145</f>
        <v>2.4638859942509132E-4</v>
      </c>
      <c r="AU145" s="35">
        <f>'IS (F1Q23)'!AU145-'IS (F4Q2022)'!AU145</f>
        <v>2.4638859942509132E-4</v>
      </c>
      <c r="AV145" s="29">
        <f>'IS (F1Q23)'!AV145-'IS (F4Q2022)'!AV145</f>
        <v>0</v>
      </c>
    </row>
    <row r="146" spans="2:48" s="23" customFormat="1" outlineLevel="1" x14ac:dyDescent="0.3">
      <c r="B146" s="200" t="s">
        <v>186</v>
      </c>
      <c r="C146" s="201"/>
      <c r="D146" s="113">
        <f>'IS (F1Q23)'!D146-'IS (F4Q2022)'!D146</f>
        <v>0</v>
      </c>
      <c r="E146" s="113">
        <f>'IS (F1Q23)'!E146-'IS (F4Q2022)'!E146</f>
        <v>0</v>
      </c>
      <c r="F146" s="113">
        <f>'IS (F1Q23)'!F146-'IS (F4Q2022)'!F146</f>
        <v>0</v>
      </c>
      <c r="G146" s="113">
        <f>'IS (F1Q23)'!G146-'IS (F4Q2022)'!G146</f>
        <v>0</v>
      </c>
      <c r="H146" s="137">
        <f>'IS (F1Q23)'!H146-'IS (F4Q2022)'!H146</f>
        <v>0</v>
      </c>
      <c r="I146" s="113">
        <f>'IS (F1Q23)'!I146-'IS (F4Q2022)'!I146</f>
        <v>0</v>
      </c>
      <c r="J146" s="113">
        <f>'IS (F1Q23)'!J146-'IS (F4Q2022)'!J146</f>
        <v>0</v>
      </c>
      <c r="K146" s="113">
        <f>'IS (F1Q23)'!K146-'IS (F4Q2022)'!K146</f>
        <v>0</v>
      </c>
      <c r="L146" s="113">
        <f>'IS (F1Q23)'!L146-'IS (F4Q2022)'!L146</f>
        <v>0</v>
      </c>
      <c r="M146" s="137">
        <f>'IS (F1Q23)'!M146-'IS (F4Q2022)'!M146</f>
        <v>0</v>
      </c>
      <c r="N146" s="113">
        <f>'IS (F1Q23)'!N146-'IS (F4Q2022)'!N146</f>
        <v>0</v>
      </c>
      <c r="O146" s="113">
        <f>'IS (F1Q23)'!O146-'IS (F4Q2022)'!O146</f>
        <v>0</v>
      </c>
      <c r="P146" s="113">
        <f>'IS (F1Q23)'!P146-'IS (F4Q2022)'!P146</f>
        <v>0</v>
      </c>
      <c r="Q146" s="113">
        <f>'IS (F1Q23)'!Q146-'IS (F4Q2022)'!Q146</f>
        <v>0</v>
      </c>
      <c r="R146" s="137">
        <f>'IS (F1Q23)'!R146-'IS (F4Q2022)'!R146</f>
        <v>0</v>
      </c>
      <c r="S146" s="113">
        <f>'IS (F1Q23)'!S146-'IS (F4Q2022)'!S146</f>
        <v>0</v>
      </c>
      <c r="T146" s="113">
        <f>'IS (F1Q23)'!T146-'IS (F4Q2022)'!T146</f>
        <v>0</v>
      </c>
      <c r="U146" s="113">
        <f>'IS (F1Q23)'!U146-'IS (F4Q2022)'!U146</f>
        <v>0</v>
      </c>
      <c r="V146" s="113">
        <f>'IS (F1Q23)'!V146-'IS (F4Q2022)'!V146</f>
        <v>0</v>
      </c>
      <c r="W146" s="137">
        <f>'IS (F1Q23)'!W146-'IS (F4Q2022)'!W146</f>
        <v>0</v>
      </c>
      <c r="X146" s="113">
        <f>'IS (F1Q23)'!X146-'IS (F4Q2022)'!X146</f>
        <v>3.0886057545842949E-2</v>
      </c>
      <c r="Y146" s="113">
        <f>'IS (F1Q23)'!Y146-'IS (F4Q2022)'!Y146</f>
        <v>-0.17533004372022587</v>
      </c>
      <c r="Z146" s="113">
        <f>'IS (F1Q23)'!Z146-'IS (F4Q2022)'!Z146</f>
        <v>2.8371872915537111E-2</v>
      </c>
      <c r="AA146" s="113">
        <f>'IS (F1Q23)'!AA146-'IS (F4Q2022)'!AA146</f>
        <v>9.6461052936000602E-2</v>
      </c>
      <c r="AB146" s="137">
        <f>'IS (F1Q23)'!AB146-'IS (F4Q2022)'!AB146</f>
        <v>5.2571805040795283E-3</v>
      </c>
      <c r="AC146" s="113">
        <f>'IS (F1Q23)'!AC146-'IS (F4Q2022)'!AC146</f>
        <v>-8.129253985381224E-2</v>
      </c>
      <c r="AD146" s="113">
        <f>'IS (F1Q23)'!AD146-'IS (F4Q2022)'!AD146</f>
        <v>-1.571427514760404E-2</v>
      </c>
      <c r="AE146" s="113">
        <f>'IS (F1Q23)'!AE146-'IS (F4Q2022)'!AE146</f>
        <v>6.1890633683265861E-3</v>
      </c>
      <c r="AF146" s="113">
        <f>'IS (F1Q23)'!AF146-'IS (F4Q2022)'!AF146</f>
        <v>1.183723087498123E-2</v>
      </c>
      <c r="AG146" s="137">
        <f>'IS (F1Q23)'!AG146-'IS (F4Q2022)'!AG146</f>
        <v>-1.6939096521312758E-2</v>
      </c>
      <c r="AH146" s="113">
        <f>'IS (F1Q23)'!AH146-'IS (F4Q2022)'!AH146</f>
        <v>-8.3604670296106853E-3</v>
      </c>
      <c r="AI146" s="113">
        <f>'IS (F1Q23)'!AI146-'IS (F4Q2022)'!AI146</f>
        <v>5.4411937991405424E-4</v>
      </c>
      <c r="AJ146" s="113">
        <f>'IS (F1Q23)'!AJ146-'IS (F4Q2022)'!AJ146</f>
        <v>-1.0512129737358933E-3</v>
      </c>
      <c r="AK146" s="113">
        <f>'IS (F1Q23)'!AK146-'IS (F4Q2022)'!AK146</f>
        <v>-8.7050289147321269E-3</v>
      </c>
      <c r="AL146" s="137">
        <f>'IS (F1Q23)'!AL146-'IS (F4Q2022)'!AL146</f>
        <v>-2.3961716288236623E-3</v>
      </c>
      <c r="AM146" s="113">
        <f>'IS (F1Q23)'!AM146-'IS (F4Q2022)'!AM146</f>
        <v>-7.1101545225249474E-4</v>
      </c>
      <c r="AN146" s="113">
        <f>'IS (F1Q23)'!AN146-'IS (F4Q2022)'!AN146</f>
        <v>-2.4858832208565218E-3</v>
      </c>
      <c r="AO146" s="113">
        <f>'IS (F1Q23)'!AO146-'IS (F4Q2022)'!AO146</f>
        <v>1.3893797219503901E-2</v>
      </c>
      <c r="AP146" s="113">
        <f>'IS (F1Q23)'!AP146-'IS (F4Q2022)'!AP146</f>
        <v>2.2275272978221849E-2</v>
      </c>
      <c r="AQ146" s="137">
        <f>'IS (F1Q23)'!AQ146-'IS (F4Q2022)'!AQ146</f>
        <v>7.7040129255947498E-3</v>
      </c>
      <c r="AR146" s="113">
        <f>'IS (F1Q23)'!AR146-'IS (F4Q2022)'!AR146</f>
        <v>-1.9436879479028946E-3</v>
      </c>
      <c r="AS146" s="113">
        <f>'IS (F1Q23)'!AS146-'IS (F4Q2022)'!AS146</f>
        <v>1.7581831783386459E-3</v>
      </c>
      <c r="AT146" s="113">
        <f>'IS (F1Q23)'!AT146-'IS (F4Q2022)'!AT146</f>
        <v>-3.4251637616353747E-3</v>
      </c>
      <c r="AU146" s="113">
        <f>'IS (F1Q23)'!AU146-'IS (F4Q2022)'!AU146</f>
        <v>-3.6302140438000396E-3</v>
      </c>
      <c r="AV146" s="137">
        <f>'IS (F1Q23)'!AV146-'IS (F4Q2022)'!AV146</f>
        <v>-2.283355299224521E-3</v>
      </c>
    </row>
    <row r="147" spans="2:48" s="23" customFormat="1" outlineLevel="1" x14ac:dyDescent="0.3">
      <c r="B147" s="200" t="s">
        <v>139</v>
      </c>
      <c r="C147" s="201"/>
      <c r="D147" s="27">
        <f>'IS (F1Q23)'!D147-'IS (F4Q2022)'!D147</f>
        <v>0</v>
      </c>
      <c r="E147" s="27">
        <f>'IS (F1Q23)'!E147-'IS (F4Q2022)'!E147</f>
        <v>0</v>
      </c>
      <c r="F147" s="27">
        <f>'IS (F1Q23)'!F147-'IS (F4Q2022)'!F147</f>
        <v>0</v>
      </c>
      <c r="G147" s="27">
        <f>'IS (F1Q23)'!G147-'IS (F4Q2022)'!G147</f>
        <v>0</v>
      </c>
      <c r="H147" s="29">
        <f>'IS (F1Q23)'!H147-'IS (F4Q2022)'!H147</f>
        <v>0</v>
      </c>
      <c r="I147" s="27">
        <f>'IS (F1Q23)'!I147-'IS (F4Q2022)'!I147</f>
        <v>0</v>
      </c>
      <c r="J147" s="27">
        <f>'IS (F1Q23)'!J147-'IS (F4Q2022)'!J147</f>
        <v>0</v>
      </c>
      <c r="K147" s="27">
        <f>'IS (F1Q23)'!K147-'IS (F4Q2022)'!K147</f>
        <v>0</v>
      </c>
      <c r="L147" s="113">
        <f>'IS (F1Q23)'!L147-'IS (F4Q2022)'!L147</f>
        <v>0</v>
      </c>
      <c r="M147" s="137">
        <f>'IS (F1Q23)'!M147-'IS (F4Q2022)'!M147</f>
        <v>0</v>
      </c>
      <c r="N147" s="113">
        <f>'IS (F1Q23)'!N147-'IS (F4Q2022)'!N147</f>
        <v>0</v>
      </c>
      <c r="O147" s="113">
        <f>'IS (F1Q23)'!O147-'IS (F4Q2022)'!O147</f>
        <v>0</v>
      </c>
      <c r="P147" s="113">
        <f>'IS (F1Q23)'!P147-'IS (F4Q2022)'!P147</f>
        <v>0</v>
      </c>
      <c r="Q147" s="113">
        <f>'IS (F1Q23)'!Q147-'IS (F4Q2022)'!Q147</f>
        <v>0</v>
      </c>
      <c r="R147" s="29">
        <f>'IS (F1Q23)'!R147-'IS (F4Q2022)'!R147</f>
        <v>0</v>
      </c>
      <c r="S147" s="113">
        <f>'IS (F1Q23)'!S147-'IS (F4Q2022)'!S147</f>
        <v>0</v>
      </c>
      <c r="T147" s="113">
        <f>'IS (F1Q23)'!T147-'IS (F4Q2022)'!T147</f>
        <v>0</v>
      </c>
      <c r="U147" s="113">
        <f>'IS (F1Q23)'!U147-'IS (F4Q2022)'!U147</f>
        <v>0</v>
      </c>
      <c r="V147" s="113">
        <f>'IS (F1Q23)'!V147-'IS (F4Q2022)'!V147</f>
        <v>0</v>
      </c>
      <c r="W147" s="137">
        <f>'IS (F1Q23)'!W147-'IS (F4Q2022)'!W147</f>
        <v>0</v>
      </c>
      <c r="X147" s="113">
        <f>'IS (F1Q23)'!X147-'IS (F4Q2022)'!X147</f>
        <v>-1.3713442354364558E-2</v>
      </c>
      <c r="Y147" s="113">
        <f>'IS (F1Q23)'!Y147-'IS (F4Q2022)'!Y147</f>
        <v>-0.18510732661934681</v>
      </c>
      <c r="Z147" s="113">
        <f>'IS (F1Q23)'!Z147-'IS (F4Q2022)'!Z147</f>
        <v>1.9722808970458416E-2</v>
      </c>
      <c r="AA147" s="113">
        <f>'IS (F1Q23)'!AA147-'IS (F4Q2022)'!AA147</f>
        <v>8.3546769052187164E-2</v>
      </c>
      <c r="AB147" s="137">
        <f>'IS (F1Q23)'!AB147-'IS (F4Q2022)'!AB147</f>
        <v>-1.1549059961479591E-2</v>
      </c>
      <c r="AC147" s="113">
        <f>'IS (F1Q23)'!AC147-'IS (F4Q2022)'!AC147</f>
        <v>-3.1440147312929545E-2</v>
      </c>
      <c r="AD147" s="113">
        <f>'IS (F1Q23)'!AD147-'IS (F4Q2022)'!AD147</f>
        <v>-4.0859711593160597E-2</v>
      </c>
      <c r="AE147" s="113">
        <f>'IS (F1Q23)'!AE147-'IS (F4Q2022)'!AE147</f>
        <v>-1.3719256068497332E-2</v>
      </c>
      <c r="AF147" s="113">
        <f>'IS (F1Q23)'!AF147-'IS (F4Q2022)'!AF147</f>
        <v>-6.8619881268474625E-3</v>
      </c>
      <c r="AG147" s="137">
        <f>'IS (F1Q23)'!AG147-'IS (F4Q2022)'!AG147</f>
        <v>-2.406659602203054E-2</v>
      </c>
      <c r="AH147" s="113">
        <f>'IS (F1Q23)'!AH147-'IS (F4Q2022)'!AH147</f>
        <v>-2.651102533876637E-2</v>
      </c>
      <c r="AI147" s="113">
        <f>'IS (F1Q23)'!AI147-'IS (F4Q2022)'!AI147</f>
        <v>5.8397633831019924E-3</v>
      </c>
      <c r="AJ147" s="113">
        <f>'IS (F1Q23)'!AJ147-'IS (F4Q2022)'!AJ147</f>
        <v>4.3061451701646991E-3</v>
      </c>
      <c r="AK147" s="113">
        <f>'IS (F1Q23)'!AK147-'IS (F4Q2022)'!AK147</f>
        <v>-5.0372306089387919E-3</v>
      </c>
      <c r="AL147" s="137">
        <f>'IS (F1Q23)'!AL147-'IS (F4Q2022)'!AL147</f>
        <v>-3.6193947715632557E-3</v>
      </c>
      <c r="AM147" s="113">
        <f>'IS (F1Q23)'!AM147-'IS (F4Q2022)'!AM147</f>
        <v>9.1871652713049201E-4</v>
      </c>
      <c r="AN147" s="113">
        <f>'IS (F1Q23)'!AN147-'IS (F4Q2022)'!AN147</f>
        <v>-8.95968561398508E-4</v>
      </c>
      <c r="AO147" s="113">
        <f>'IS (F1Q23)'!AO147-'IS (F4Q2022)'!AO147</f>
        <v>1.5025822201839789E-2</v>
      </c>
      <c r="AP147" s="113">
        <f>'IS (F1Q23)'!AP147-'IS (F4Q2022)'!AP147</f>
        <v>2.3878544612730535E-2</v>
      </c>
      <c r="AQ147" s="29">
        <f>'IS (F1Q23)'!AQ147-'IS (F4Q2022)'!AQ147</f>
        <v>9.1852208276328451E-3</v>
      </c>
      <c r="AR147" s="113">
        <f>'IS (F1Q23)'!AR147-'IS (F4Q2022)'!AR147</f>
        <v>-5.0766311672578723E-4</v>
      </c>
      <c r="AS147" s="113">
        <f>'IS (F1Q23)'!AS147-'IS (F4Q2022)'!AS147</f>
        <v>3.4992458493758871E-3</v>
      </c>
      <c r="AT147" s="113">
        <f>'IS (F1Q23)'!AT147-'IS (F4Q2022)'!AT147</f>
        <v>-2.0915691693130789E-3</v>
      </c>
      <c r="AU147" s="113">
        <f>'IS (F1Q23)'!AU147-'IS (F4Q2022)'!AU147</f>
        <v>-2.252618396848094E-3</v>
      </c>
      <c r="AV147" s="29">
        <f>'IS (F1Q23)'!AV147-'IS (F4Q2022)'!AV147</f>
        <v>-8.2644399002607116E-4</v>
      </c>
    </row>
    <row r="148" spans="2:48" s="23" customFormat="1" outlineLevel="1" x14ac:dyDescent="0.3">
      <c r="B148" s="200" t="s">
        <v>140</v>
      </c>
      <c r="C148" s="201"/>
      <c r="D148" s="27">
        <f>'IS (F1Q23)'!D148-'IS (F4Q2022)'!D148</f>
        <v>0</v>
      </c>
      <c r="E148" s="27">
        <f>'IS (F1Q23)'!E148-'IS (F4Q2022)'!E148</f>
        <v>0</v>
      </c>
      <c r="F148" s="27">
        <f>'IS (F1Q23)'!F148-'IS (F4Q2022)'!F148</f>
        <v>0</v>
      </c>
      <c r="G148" s="27">
        <f>'IS (F1Q23)'!G148-'IS (F4Q2022)'!G148</f>
        <v>0</v>
      </c>
      <c r="H148" s="29">
        <f>'IS (F1Q23)'!H148-'IS (F4Q2022)'!H148</f>
        <v>0</v>
      </c>
      <c r="I148" s="27">
        <f>'IS (F1Q23)'!I148-'IS (F4Q2022)'!I148</f>
        <v>0</v>
      </c>
      <c r="J148" s="27">
        <f>'IS (F1Q23)'!J148-'IS (F4Q2022)'!J148</f>
        <v>0</v>
      </c>
      <c r="K148" s="27">
        <f>'IS (F1Q23)'!K148-'IS (F4Q2022)'!K148</f>
        <v>0</v>
      </c>
      <c r="L148" s="113">
        <f>'IS (F1Q23)'!L148-'IS (F4Q2022)'!L148</f>
        <v>0</v>
      </c>
      <c r="M148" s="137">
        <f>'IS (F1Q23)'!M148-'IS (F4Q2022)'!M148</f>
        <v>0</v>
      </c>
      <c r="N148" s="113">
        <f>'IS (F1Q23)'!N148-'IS (F4Q2022)'!N148</f>
        <v>0</v>
      </c>
      <c r="O148" s="113">
        <f>'IS (F1Q23)'!O148-'IS (F4Q2022)'!O148</f>
        <v>0</v>
      </c>
      <c r="P148" s="113">
        <f>'IS (F1Q23)'!P148-'IS (F4Q2022)'!P148</f>
        <v>0</v>
      </c>
      <c r="Q148" s="113">
        <f>'IS (F1Q23)'!Q148-'IS (F4Q2022)'!Q148</f>
        <v>0</v>
      </c>
      <c r="R148" s="29">
        <f>'IS (F1Q23)'!R148-'IS (F4Q2022)'!R148</f>
        <v>0</v>
      </c>
      <c r="S148" s="113">
        <f>'IS (F1Q23)'!S148-'IS (F4Q2022)'!S148</f>
        <v>0</v>
      </c>
      <c r="T148" s="113">
        <f>'IS (F1Q23)'!T148-'IS (F4Q2022)'!T148</f>
        <v>0</v>
      </c>
      <c r="U148" s="113">
        <f>'IS (F1Q23)'!U148-'IS (F4Q2022)'!U148</f>
        <v>0</v>
      </c>
      <c r="V148" s="113">
        <f>'IS (F1Q23)'!V148-'IS (F4Q2022)'!V148</f>
        <v>0</v>
      </c>
      <c r="W148" s="137">
        <f>'IS (F1Q23)'!W148-'IS (F4Q2022)'!W148</f>
        <v>0</v>
      </c>
      <c r="X148" s="113">
        <f>'IS (F1Q23)'!X148-'IS (F4Q2022)'!X148</f>
        <v>-0.23014562548780781</v>
      </c>
      <c r="Y148" s="113">
        <f>'IS (F1Q23)'!Y148-'IS (F4Q2022)'!Y148</f>
        <v>0.78045988250167042</v>
      </c>
      <c r="Z148" s="113">
        <f>'IS (F1Q23)'!Z148-'IS (F4Q2022)'!Z148</f>
        <v>2.7965625225053747E-2</v>
      </c>
      <c r="AA148" s="113">
        <f>'IS (F1Q23)'!AA148-'IS (F4Q2022)'!AA148</f>
        <v>6.1224584441711194E-2</v>
      </c>
      <c r="AB148" s="137">
        <f>'IS (F1Q23)'!AB148-'IS (F4Q2022)'!AB148</f>
        <v>-4.5831329007406163E-2</v>
      </c>
      <c r="AC148" s="113">
        <f>'IS (F1Q23)'!AC148-'IS (F4Q2022)'!AC148</f>
        <v>0.17348292829276346</v>
      </c>
      <c r="AD148" s="113">
        <f>'IS (F1Q23)'!AD148-'IS (F4Q2022)'!AD148</f>
        <v>-0.29138322523497617</v>
      </c>
      <c r="AE148" s="113">
        <f>'IS (F1Q23)'!AE148-'IS (F4Q2022)'!AE148</f>
        <v>-3.924955102528882E-3</v>
      </c>
      <c r="AF148" s="113">
        <f>'IS (F1Q23)'!AF148-'IS (F4Q2022)'!AF148</f>
        <v>1.1214073123103407E-2</v>
      </c>
      <c r="AG148" s="137">
        <f>'IS (F1Q23)'!AG148-'IS (F4Q2022)'!AG148</f>
        <v>1.3467188989807255E-2</v>
      </c>
      <c r="AH148" s="113">
        <f>'IS (F1Q23)'!AH148-'IS (F4Q2022)'!AH148</f>
        <v>-2.1385413729049674E-2</v>
      </c>
      <c r="AI148" s="113">
        <f>'IS (F1Q23)'!AI148-'IS (F4Q2022)'!AI148</f>
        <v>4.0270500380260366E-2</v>
      </c>
      <c r="AJ148" s="113">
        <f>'IS (F1Q23)'!AJ148-'IS (F4Q2022)'!AJ148</f>
        <v>4.0966715931820552E-3</v>
      </c>
      <c r="AK148" s="113">
        <f>'IS (F1Q23)'!AK148-'IS (F4Q2022)'!AK148</f>
        <v>-1.4568627587829841E-3</v>
      </c>
      <c r="AL148" s="29">
        <f>'IS (F1Q23)'!AL148-'IS (F4Q2022)'!AL148</f>
        <v>-3.4077914631303052E-4</v>
      </c>
      <c r="AM148" s="113">
        <f>'IS (F1Q23)'!AM148-'IS (F4Q2022)'!AM148</f>
        <v>-2.3364137209355151E-2</v>
      </c>
      <c r="AN148" s="113">
        <f>'IS (F1Q23)'!AN148-'IS (F4Q2022)'!AN148</f>
        <v>6.2804136188399973E-2</v>
      </c>
      <c r="AO148" s="113">
        <f>'IS (F1Q23)'!AO148-'IS (F4Q2022)'!AO148</f>
        <v>1.4051895691444383E-2</v>
      </c>
      <c r="AP148" s="113">
        <f>'IS (F1Q23)'!AP148-'IS (F4Q2022)'!AP148</f>
        <v>1.385794875927493E-2</v>
      </c>
      <c r="AQ148" s="29">
        <f>'IS (F1Q23)'!AQ148-'IS (F4Q2022)'!AQ148</f>
        <v>9.111893967999718E-3</v>
      </c>
      <c r="AR148" s="113">
        <f>'IS (F1Q23)'!AR148-'IS (F4Q2022)'!AR148</f>
        <v>2.6905983838878544E-2</v>
      </c>
      <c r="AS148" s="113">
        <f>'IS (F1Q23)'!AS148-'IS (F4Q2022)'!AS148</f>
        <v>-4.8399618785284204E-2</v>
      </c>
      <c r="AT148" s="113">
        <f>'IS (F1Q23)'!AT148-'IS (F4Q2022)'!AT148</f>
        <v>-3.7007767075192266E-3</v>
      </c>
      <c r="AU148" s="113">
        <f>'IS (F1Q23)'!AU148-'IS (F4Q2022)'!AU148</f>
        <v>5.7844587998623354E-5</v>
      </c>
      <c r="AV148" s="29">
        <f>'IS (F1Q23)'!AV148-'IS (F4Q2022)'!AV148</f>
        <v>-1.7482068550522811E-4</v>
      </c>
    </row>
    <row r="149" spans="2:48" s="23" customFormat="1" outlineLevel="1" x14ac:dyDescent="0.3">
      <c r="B149" s="200" t="s">
        <v>334</v>
      </c>
      <c r="C149" s="201"/>
      <c r="D149" s="27">
        <f>'IS (F1Q23)'!D149-'IS (F4Q2022)'!D149</f>
        <v>0</v>
      </c>
      <c r="E149" s="27">
        <f>'IS (F1Q23)'!E149-'IS (F4Q2022)'!E149</f>
        <v>0</v>
      </c>
      <c r="F149" s="27">
        <f>'IS (F1Q23)'!F149-'IS (F4Q2022)'!F149</f>
        <v>0</v>
      </c>
      <c r="G149" s="27">
        <f>'IS (F1Q23)'!G149-'IS (F4Q2022)'!G149</f>
        <v>0</v>
      </c>
      <c r="H149" s="29">
        <f>'IS (F1Q23)'!H149-'IS (F4Q2022)'!H149</f>
        <v>0</v>
      </c>
      <c r="I149" s="27">
        <f>'IS (F1Q23)'!I149-'IS (F4Q2022)'!I149</f>
        <v>0</v>
      </c>
      <c r="J149" s="27">
        <f>'IS (F1Q23)'!J149-'IS (F4Q2022)'!J149</f>
        <v>0</v>
      </c>
      <c r="K149" s="27">
        <f>'IS (F1Q23)'!K149-'IS (F4Q2022)'!K149</f>
        <v>0</v>
      </c>
      <c r="L149" s="113">
        <f>'IS (F1Q23)'!L149-'IS (F4Q2022)'!L149</f>
        <v>0</v>
      </c>
      <c r="M149" s="137">
        <f>'IS (F1Q23)'!M149-'IS (F4Q2022)'!M149</f>
        <v>0</v>
      </c>
      <c r="N149" s="113">
        <f>'IS (F1Q23)'!N149-'IS (F4Q2022)'!N149</f>
        <v>0</v>
      </c>
      <c r="O149" s="113">
        <f>'IS (F1Q23)'!O149-'IS (F4Q2022)'!O149</f>
        <v>0</v>
      </c>
      <c r="P149" s="113">
        <f>'IS (F1Q23)'!P149-'IS (F4Q2022)'!P149</f>
        <v>0</v>
      </c>
      <c r="Q149" s="113">
        <f>'IS (F1Q23)'!Q149-'IS (F4Q2022)'!Q149</f>
        <v>0</v>
      </c>
      <c r="R149" s="29">
        <f>'IS (F1Q23)'!R149-'IS (F4Q2022)'!R149</f>
        <v>0</v>
      </c>
      <c r="S149" s="113">
        <f>'IS (F1Q23)'!S149-'IS (F4Q2022)'!S149</f>
        <v>0</v>
      </c>
      <c r="T149" s="113">
        <f>'IS (F1Q23)'!T149-'IS (F4Q2022)'!T149</f>
        <v>0</v>
      </c>
      <c r="U149" s="113">
        <f>'IS (F1Q23)'!U149-'IS (F4Q2022)'!U149</f>
        <v>0</v>
      </c>
      <c r="V149" s="113">
        <f>'IS (F1Q23)'!V149-'IS (F4Q2022)'!V149</f>
        <v>0</v>
      </c>
      <c r="W149" s="137">
        <f>'IS (F1Q23)'!W149-'IS (F4Q2022)'!W149</f>
        <v>0</v>
      </c>
      <c r="X149" s="113">
        <f>'IS (F1Q23)'!X149-'IS (F4Q2022)'!X149</f>
        <v>0</v>
      </c>
      <c r="Y149" s="113">
        <f>'IS (F1Q23)'!Y149-'IS (F4Q2022)'!Y149</f>
        <v>0</v>
      </c>
      <c r="Z149" s="113">
        <f>'IS (F1Q23)'!Z149-'IS (F4Q2022)'!Z149</f>
        <v>0</v>
      </c>
      <c r="AA149" s="113">
        <f>'IS (F1Q23)'!AA149-'IS (F4Q2022)'!AA149</f>
        <v>0</v>
      </c>
      <c r="AB149" s="137">
        <f>'IS (F1Q23)'!AB149-'IS (F4Q2022)'!AB149</f>
        <v>0</v>
      </c>
      <c r="AC149" s="113">
        <f>'IS (F1Q23)'!AC149-'IS (F4Q2022)'!AC149</f>
        <v>0</v>
      </c>
      <c r="AD149" s="113">
        <f>'IS (F1Q23)'!AD149-'IS (F4Q2022)'!AD149</f>
        <v>0</v>
      </c>
      <c r="AE149" s="113">
        <f>'IS (F1Q23)'!AE149-'IS (F4Q2022)'!AE149</f>
        <v>0</v>
      </c>
      <c r="AF149" s="113">
        <f>'IS (F1Q23)'!AF149-'IS (F4Q2022)'!AF149</f>
        <v>0</v>
      </c>
      <c r="AG149" s="137">
        <f>'IS (F1Q23)'!AG149-'IS (F4Q2022)'!AG149</f>
        <v>0</v>
      </c>
      <c r="AH149" s="113">
        <f>'IS (F1Q23)'!AH149-'IS (F4Q2022)'!AH149</f>
        <v>0</v>
      </c>
      <c r="AI149" s="113">
        <f>'IS (F1Q23)'!AI149-'IS (F4Q2022)'!AI149</f>
        <v>0</v>
      </c>
      <c r="AJ149" s="113">
        <f>'IS (F1Q23)'!AJ149-'IS (F4Q2022)'!AJ149</f>
        <v>0</v>
      </c>
      <c r="AK149" s="113">
        <f>'IS (F1Q23)'!AK149-'IS (F4Q2022)'!AK149</f>
        <v>0</v>
      </c>
      <c r="AL149" s="406">
        <f>'IS (F1Q23)'!AL149-'IS (F4Q2022)'!AL149</f>
        <v>-1.3242307309973E-2</v>
      </c>
      <c r="AM149" s="113">
        <f>'IS (F1Q23)'!AM149-'IS (F4Q2022)'!AM149</f>
        <v>0</v>
      </c>
      <c r="AN149" s="113">
        <f>'IS (F1Q23)'!AN149-'IS (F4Q2022)'!AN149</f>
        <v>0</v>
      </c>
      <c r="AO149" s="113">
        <f>'IS (F1Q23)'!AO149-'IS (F4Q2022)'!AO149</f>
        <v>0</v>
      </c>
      <c r="AP149" s="113">
        <f>'IS (F1Q23)'!AP149-'IS (F4Q2022)'!AP149</f>
        <v>0</v>
      </c>
      <c r="AQ149" s="29">
        <f>'IS (F1Q23)'!AQ149-'IS (F4Q2022)'!AQ149</f>
        <v>0</v>
      </c>
      <c r="AR149" s="113">
        <f>'IS (F1Q23)'!AR149-'IS (F4Q2022)'!AR149</f>
        <v>0</v>
      </c>
      <c r="AS149" s="113">
        <f>'IS (F1Q23)'!AS149-'IS (F4Q2022)'!AS149</f>
        <v>0</v>
      </c>
      <c r="AT149" s="113">
        <f>'IS (F1Q23)'!AT149-'IS (F4Q2022)'!AT149</f>
        <v>0</v>
      </c>
      <c r="AU149" s="113">
        <f>'IS (F1Q23)'!AU149-'IS (F4Q2022)'!AU149</f>
        <v>0</v>
      </c>
      <c r="AV149" s="29">
        <f>'IS (F1Q23)'!AV149-'IS (F4Q2022)'!AV149</f>
        <v>0</v>
      </c>
    </row>
    <row r="150" spans="2:48" ht="17.399999999999999" x14ac:dyDescent="0.45">
      <c r="B150" s="583" t="s">
        <v>130</v>
      </c>
      <c r="C150" s="584"/>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580" t="s">
        <v>208</v>
      </c>
      <c r="C151" s="581"/>
      <c r="D151" s="27">
        <f>'IS (F1Q23)'!D151-'IS (F4Q2022)'!D151</f>
        <v>0</v>
      </c>
      <c r="E151" s="27">
        <f>'IS (F1Q23)'!E151-'IS (F4Q2022)'!E151</f>
        <v>0</v>
      </c>
      <c r="F151" s="27">
        <f>'IS (F1Q23)'!F151-'IS (F4Q2022)'!F151</f>
        <v>0</v>
      </c>
      <c r="G151" s="27">
        <f>'IS (F1Q23)'!G151-'IS (F4Q2022)'!G151</f>
        <v>0</v>
      </c>
      <c r="H151" s="9">
        <f>'IS (F1Q23)'!H151-'IS (F4Q2022)'!H151</f>
        <v>0</v>
      </c>
      <c r="I151" s="27">
        <f>'IS (F1Q23)'!I151-'IS (F4Q2022)'!I151</f>
        <v>0</v>
      </c>
      <c r="J151" s="27">
        <f>'IS (F1Q23)'!J151-'IS (F4Q2022)'!J151</f>
        <v>0</v>
      </c>
      <c r="K151" s="27">
        <f>'IS (F1Q23)'!K151-'IS (F4Q2022)'!K151</f>
        <v>0</v>
      </c>
      <c r="L151" s="27">
        <f>'IS (F1Q23)'!L151-'IS (F4Q2022)'!L151</f>
        <v>0</v>
      </c>
      <c r="M151" s="9">
        <f>'IS (F1Q23)'!M151-'IS (F4Q2022)'!M151</f>
        <v>0</v>
      </c>
      <c r="N151" s="27">
        <f>'IS (F1Q23)'!N151-'IS (F4Q2022)'!N151</f>
        <v>0</v>
      </c>
      <c r="O151" s="27">
        <f>'IS (F1Q23)'!O151-'IS (F4Q2022)'!O151</f>
        <v>0</v>
      </c>
      <c r="P151" s="27">
        <f>'IS (F1Q23)'!P151-'IS (F4Q2022)'!P151</f>
        <v>0</v>
      </c>
      <c r="Q151" s="27">
        <f>'IS (F1Q23)'!Q151-'IS (F4Q2022)'!Q151</f>
        <v>0</v>
      </c>
      <c r="R151" s="9">
        <f>'IS (F1Q23)'!R151-'IS (F4Q2022)'!R151</f>
        <v>0</v>
      </c>
      <c r="S151" s="27">
        <f>'IS (F1Q23)'!S151-'IS (F4Q2022)'!S151</f>
        <v>0</v>
      </c>
      <c r="T151" s="27">
        <f>'IS (F1Q23)'!T151-'IS (F4Q2022)'!T151</f>
        <v>0</v>
      </c>
      <c r="U151" s="27">
        <f>'IS (F1Q23)'!U151-'IS (F4Q2022)'!U151</f>
        <v>0</v>
      </c>
      <c r="V151" s="27">
        <f>'IS (F1Q23)'!V151-'IS (F4Q2022)'!V151</f>
        <v>0</v>
      </c>
      <c r="W151" s="256">
        <f>'IS (F1Q23)'!W151-'IS (F4Q2022)'!W151</f>
        <v>0</v>
      </c>
      <c r="X151" s="35">
        <f>'IS (F1Q23)'!X151-'IS (F4Q2022)'!X151</f>
        <v>2.4601990680617365E-4</v>
      </c>
      <c r="Y151" s="35">
        <f>'IS (F1Q23)'!Y151-'IS (F4Q2022)'!Y151</f>
        <v>0</v>
      </c>
      <c r="Z151" s="35">
        <f>'IS (F1Q23)'!Z151-'IS (F4Q2022)'!Z151</f>
        <v>0</v>
      </c>
      <c r="AA151" s="35">
        <f>'IS (F1Q23)'!AA151-'IS (F4Q2022)'!AA151</f>
        <v>0</v>
      </c>
      <c r="AB151" s="9">
        <f>'IS (F1Q23)'!AB151-'IS (F4Q2022)'!AB151</f>
        <v>0</v>
      </c>
      <c r="AC151" s="35">
        <f>'IS (F1Q23)'!AC151-'IS (F4Q2022)'!AC151</f>
        <v>0</v>
      </c>
      <c r="AD151" s="35">
        <f>'IS (F1Q23)'!AD151-'IS (F4Q2022)'!AD151</f>
        <v>0</v>
      </c>
      <c r="AE151" s="35">
        <f>'IS (F1Q23)'!AE151-'IS (F4Q2022)'!AE151</f>
        <v>0</v>
      </c>
      <c r="AF151" s="35">
        <f>'IS (F1Q23)'!AF151-'IS (F4Q2022)'!AF151</f>
        <v>0</v>
      </c>
      <c r="AG151" s="9">
        <f>'IS (F1Q23)'!AG151-'IS (F4Q2022)'!AG151</f>
        <v>0</v>
      </c>
      <c r="AH151" s="35">
        <f>'IS (F1Q23)'!AH151-'IS (F4Q2022)'!AH151</f>
        <v>0</v>
      </c>
      <c r="AI151" s="35">
        <f>'IS (F1Q23)'!AI151-'IS (F4Q2022)'!AI151</f>
        <v>0</v>
      </c>
      <c r="AJ151" s="35">
        <f>'IS (F1Q23)'!AJ151-'IS (F4Q2022)'!AJ151</f>
        <v>0</v>
      </c>
      <c r="AK151" s="35">
        <f>'IS (F1Q23)'!AK151-'IS (F4Q2022)'!AK151</f>
        <v>0</v>
      </c>
      <c r="AL151" s="9">
        <f>'IS (F1Q23)'!AL151-'IS (F4Q2022)'!AL151</f>
        <v>0</v>
      </c>
      <c r="AM151" s="35">
        <f>'IS (F1Q23)'!AM151-'IS (F4Q2022)'!AM151</f>
        <v>0</v>
      </c>
      <c r="AN151" s="35">
        <f>'IS (F1Q23)'!AN151-'IS (F4Q2022)'!AN151</f>
        <v>0</v>
      </c>
      <c r="AO151" s="35">
        <f>'IS (F1Q23)'!AO151-'IS (F4Q2022)'!AO151</f>
        <v>0</v>
      </c>
      <c r="AP151" s="35">
        <f>'IS (F1Q23)'!AP151-'IS (F4Q2022)'!AP151</f>
        <v>0</v>
      </c>
      <c r="AQ151" s="9">
        <f>'IS (F1Q23)'!AQ151-'IS (F4Q2022)'!AQ151</f>
        <v>0</v>
      </c>
      <c r="AR151" s="35">
        <f>'IS (F1Q23)'!AR151-'IS (F4Q2022)'!AR151</f>
        <v>0</v>
      </c>
      <c r="AS151" s="35">
        <f>'IS (F1Q23)'!AS151-'IS (F4Q2022)'!AS151</f>
        <v>0</v>
      </c>
      <c r="AT151" s="35">
        <f>'IS (F1Q23)'!AT151-'IS (F4Q2022)'!AT151</f>
        <v>0</v>
      </c>
      <c r="AU151" s="35">
        <f>'IS (F1Q23)'!AU151-'IS (F4Q2022)'!AU151</f>
        <v>0</v>
      </c>
      <c r="AV151" s="9">
        <f>'IS (F1Q23)'!AV151-'IS (F4Q2022)'!AV151</f>
        <v>0</v>
      </c>
    </row>
    <row r="152" spans="2:48" outlineLevel="1" x14ac:dyDescent="0.3">
      <c r="B152" s="580" t="s">
        <v>209</v>
      </c>
      <c r="C152" s="581"/>
      <c r="D152" s="27">
        <f>'IS (F1Q23)'!D152-'IS (F4Q2022)'!D152</f>
        <v>0</v>
      </c>
      <c r="E152" s="27">
        <f>'IS (F1Q23)'!E152-'IS (F4Q2022)'!E152</f>
        <v>0</v>
      </c>
      <c r="F152" s="27">
        <f>'IS (F1Q23)'!F152-'IS (F4Q2022)'!F152</f>
        <v>0</v>
      </c>
      <c r="G152" s="27">
        <f>'IS (F1Q23)'!G152-'IS (F4Q2022)'!G152</f>
        <v>0</v>
      </c>
      <c r="H152" s="9">
        <f>'IS (F1Q23)'!H152-'IS (F4Q2022)'!H152</f>
        <v>0</v>
      </c>
      <c r="I152" s="27">
        <f>'IS (F1Q23)'!I152-'IS (F4Q2022)'!I152</f>
        <v>0</v>
      </c>
      <c r="J152" s="27">
        <f>'IS (F1Q23)'!J152-'IS (F4Q2022)'!J152</f>
        <v>0</v>
      </c>
      <c r="K152" s="27">
        <f>'IS (F1Q23)'!K152-'IS (F4Q2022)'!K152</f>
        <v>0</v>
      </c>
      <c r="L152" s="27">
        <f>'IS (F1Q23)'!L152-'IS (F4Q2022)'!L152</f>
        <v>0</v>
      </c>
      <c r="M152" s="9">
        <f>'IS (F1Q23)'!M152-'IS (F4Q2022)'!M152</f>
        <v>0</v>
      </c>
      <c r="N152" s="27">
        <f>'IS (F1Q23)'!N152-'IS (F4Q2022)'!N152</f>
        <v>0</v>
      </c>
      <c r="O152" s="27">
        <f>'IS (F1Q23)'!O152-'IS (F4Q2022)'!O152</f>
        <v>0</v>
      </c>
      <c r="P152" s="27">
        <f>'IS (F1Q23)'!P152-'IS (F4Q2022)'!P152</f>
        <v>0</v>
      </c>
      <c r="Q152" s="27">
        <f>'IS (F1Q23)'!Q152-'IS (F4Q2022)'!Q152</f>
        <v>0</v>
      </c>
      <c r="R152" s="9">
        <f>'IS (F1Q23)'!R152-'IS (F4Q2022)'!R152</f>
        <v>0</v>
      </c>
      <c r="S152" s="27">
        <f>'IS (F1Q23)'!S152-'IS (F4Q2022)'!S152</f>
        <v>0</v>
      </c>
      <c r="T152" s="27">
        <f>'IS (F1Q23)'!T152-'IS (F4Q2022)'!T152</f>
        <v>0</v>
      </c>
      <c r="U152" s="27">
        <f>'IS (F1Q23)'!U152-'IS (F4Q2022)'!U152</f>
        <v>0</v>
      </c>
      <c r="V152" s="27">
        <f>'IS (F1Q23)'!V152-'IS (F4Q2022)'!V152</f>
        <v>0</v>
      </c>
      <c r="W152" s="256">
        <f>'IS (F1Q23)'!W152-'IS (F4Q2022)'!W152</f>
        <v>0</v>
      </c>
      <c r="X152" s="35">
        <f>'IS (F1Q23)'!X152-'IS (F4Q2022)'!X152</f>
        <v>1.0250927284217734E-3</v>
      </c>
      <c r="Y152" s="35">
        <f>'IS (F1Q23)'!Y152-'IS (F4Q2022)'!Y152</f>
        <v>0</v>
      </c>
      <c r="Z152" s="35">
        <f>'IS (F1Q23)'!Z152-'IS (F4Q2022)'!Z152</f>
        <v>0</v>
      </c>
      <c r="AA152" s="35">
        <f>'IS (F1Q23)'!AA152-'IS (F4Q2022)'!AA152</f>
        <v>0</v>
      </c>
      <c r="AB152" s="9">
        <f>'IS (F1Q23)'!AB152-'IS (F4Q2022)'!AB152</f>
        <v>0</v>
      </c>
      <c r="AC152" s="35">
        <f>'IS (F1Q23)'!AC152-'IS (F4Q2022)'!AC152</f>
        <v>0</v>
      </c>
      <c r="AD152" s="35">
        <f>'IS (F1Q23)'!AD152-'IS (F4Q2022)'!AD152</f>
        <v>0</v>
      </c>
      <c r="AE152" s="35">
        <f>'IS (F1Q23)'!AE152-'IS (F4Q2022)'!AE152</f>
        <v>0</v>
      </c>
      <c r="AF152" s="35">
        <f>'IS (F1Q23)'!AF152-'IS (F4Q2022)'!AF152</f>
        <v>0</v>
      </c>
      <c r="AG152" s="9">
        <f>'IS (F1Q23)'!AG152-'IS (F4Q2022)'!AG152</f>
        <v>0</v>
      </c>
      <c r="AH152" s="35">
        <f>'IS (F1Q23)'!AH152-'IS (F4Q2022)'!AH152</f>
        <v>0</v>
      </c>
      <c r="AI152" s="35">
        <f>'IS (F1Q23)'!AI152-'IS (F4Q2022)'!AI152</f>
        <v>0</v>
      </c>
      <c r="AJ152" s="35">
        <f>'IS (F1Q23)'!AJ152-'IS (F4Q2022)'!AJ152</f>
        <v>0</v>
      </c>
      <c r="AK152" s="35">
        <f>'IS (F1Q23)'!AK152-'IS (F4Q2022)'!AK152</f>
        <v>0</v>
      </c>
      <c r="AL152" s="9">
        <f>'IS (F1Q23)'!AL152-'IS (F4Q2022)'!AL152</f>
        <v>0</v>
      </c>
      <c r="AM152" s="35">
        <f>'IS (F1Q23)'!AM152-'IS (F4Q2022)'!AM152</f>
        <v>0</v>
      </c>
      <c r="AN152" s="35">
        <f>'IS (F1Q23)'!AN152-'IS (F4Q2022)'!AN152</f>
        <v>0</v>
      </c>
      <c r="AO152" s="35">
        <f>'IS (F1Q23)'!AO152-'IS (F4Q2022)'!AO152</f>
        <v>0</v>
      </c>
      <c r="AP152" s="35">
        <f>'IS (F1Q23)'!AP152-'IS (F4Q2022)'!AP152</f>
        <v>0</v>
      </c>
      <c r="AQ152" s="9">
        <f>'IS (F1Q23)'!AQ152-'IS (F4Q2022)'!AQ152</f>
        <v>0</v>
      </c>
      <c r="AR152" s="35">
        <f>'IS (F1Q23)'!AR152-'IS (F4Q2022)'!AR152</f>
        <v>0</v>
      </c>
      <c r="AS152" s="35">
        <f>'IS (F1Q23)'!AS152-'IS (F4Q2022)'!AS152</f>
        <v>0</v>
      </c>
      <c r="AT152" s="35">
        <f>'IS (F1Q23)'!AT152-'IS (F4Q2022)'!AT152</f>
        <v>0</v>
      </c>
      <c r="AU152" s="35">
        <f>'IS (F1Q23)'!AU152-'IS (F4Q2022)'!AU152</f>
        <v>0</v>
      </c>
      <c r="AV152" s="9">
        <f>'IS (F1Q23)'!AV152-'IS (F4Q2022)'!AV152</f>
        <v>0</v>
      </c>
    </row>
    <row r="153" spans="2:48" outlineLevel="1" x14ac:dyDescent="0.3">
      <c r="B153" s="609" t="s">
        <v>137</v>
      </c>
      <c r="C153" s="610"/>
      <c r="D153" s="245">
        <f>'IS (F1Q23)'!D153-'IS (F4Q2022)'!D153</f>
        <v>0</v>
      </c>
      <c r="E153" s="144">
        <f>'IS (F1Q23)'!E153-'IS (F4Q2022)'!E153</f>
        <v>0</v>
      </c>
      <c r="F153" s="144">
        <f>'IS (F1Q23)'!F153-'IS (F4Q2022)'!F153</f>
        <v>0</v>
      </c>
      <c r="G153" s="144">
        <f>'IS (F1Q23)'!G153-'IS (F4Q2022)'!G153</f>
        <v>0</v>
      </c>
      <c r="H153" s="246">
        <f>'IS (F1Q23)'!H153-'IS (F4Q2022)'!H153</f>
        <v>0</v>
      </c>
      <c r="I153" s="144">
        <f>'IS (F1Q23)'!I153-'IS (F4Q2022)'!I153</f>
        <v>0</v>
      </c>
      <c r="J153" s="144">
        <f>'IS (F1Q23)'!J153-'IS (F4Q2022)'!J153</f>
        <v>0</v>
      </c>
      <c r="K153" s="144">
        <f>'IS (F1Q23)'!K153-'IS (F4Q2022)'!K153</f>
        <v>0</v>
      </c>
      <c r="L153" s="144">
        <f>'IS (F1Q23)'!L153-'IS (F4Q2022)'!L153</f>
        <v>0</v>
      </c>
      <c r="M153" s="246">
        <f>'IS (F1Q23)'!M153-'IS (F4Q2022)'!M153</f>
        <v>0</v>
      </c>
      <c r="N153" s="144">
        <f>'IS (F1Q23)'!N153-'IS (F4Q2022)'!N153</f>
        <v>0</v>
      </c>
      <c r="O153" s="144">
        <f>'IS (F1Q23)'!O153-'IS (F4Q2022)'!O153</f>
        <v>0</v>
      </c>
      <c r="P153" s="144">
        <f>'IS (F1Q23)'!P153-'IS (F4Q2022)'!P153</f>
        <v>0</v>
      </c>
      <c r="Q153" s="144">
        <f>'IS (F1Q23)'!Q153-'IS (F4Q2022)'!Q153</f>
        <v>0</v>
      </c>
      <c r="R153" s="246">
        <f>'IS (F1Q23)'!R153-'IS (F4Q2022)'!R153</f>
        <v>0</v>
      </c>
      <c r="S153" s="144">
        <f>'IS (F1Q23)'!S153-'IS (F4Q2022)'!S153</f>
        <v>0</v>
      </c>
      <c r="T153" s="144">
        <f>'IS (F1Q23)'!T153-'IS (F4Q2022)'!T153</f>
        <v>0</v>
      </c>
      <c r="U153" s="144">
        <f>'IS (F1Q23)'!U153-'IS (F4Q2022)'!U153</f>
        <v>0</v>
      </c>
      <c r="V153" s="144">
        <f>'IS (F1Q23)'!V153-'IS (F4Q2022)'!V153</f>
        <v>0</v>
      </c>
      <c r="W153" s="257">
        <f>'IS (F1Q23)'!W153-'IS (F4Q2022)'!W153</f>
        <v>0</v>
      </c>
      <c r="X153" s="247">
        <f>'IS (F1Q23)'!X153-'IS (F4Q2022)'!X153</f>
        <v>98.97</v>
      </c>
      <c r="Y153" s="247">
        <f>'IS (F1Q23)'!Y153-'IS (F4Q2022)'!Y153</f>
        <v>100</v>
      </c>
      <c r="Z153" s="247">
        <f>'IS (F1Q23)'!Z153-'IS (F4Q2022)'!Z153</f>
        <v>100</v>
      </c>
      <c r="AA153" s="247">
        <f>'IS (F1Q23)'!AA153-'IS (F4Q2022)'!AA153</f>
        <v>100</v>
      </c>
      <c r="AB153" s="246">
        <f>'IS (F1Q23)'!AB153-'IS (F4Q2022)'!AB153</f>
        <v>0</v>
      </c>
      <c r="AC153" s="393">
        <f>'IS (F1Q23)'!AC153-'IS (F4Q2022)'!AC153</f>
        <v>0</v>
      </c>
      <c r="AD153" s="247">
        <f>'IS (F1Q23)'!AD153-'IS (F4Q2022)'!AD153</f>
        <v>0</v>
      </c>
      <c r="AE153" s="247">
        <f>'IS (F1Q23)'!AE153-'IS (F4Q2022)'!AE153</f>
        <v>0</v>
      </c>
      <c r="AF153" s="247">
        <f>'IS (F1Q23)'!AF153-'IS (F4Q2022)'!AF153</f>
        <v>0</v>
      </c>
      <c r="AG153" s="390">
        <f>'IS (F1Q23)'!AG153-'IS (F4Q2022)'!AG153</f>
        <v>0</v>
      </c>
      <c r="AH153" s="393">
        <f>'IS (F1Q23)'!AH153-'IS (F4Q2022)'!AH153</f>
        <v>0</v>
      </c>
      <c r="AI153" s="247">
        <f>'IS (F1Q23)'!AI153-'IS (F4Q2022)'!AI153</f>
        <v>0</v>
      </c>
      <c r="AJ153" s="247">
        <f>'IS (F1Q23)'!AJ153-'IS (F4Q2022)'!AJ153</f>
        <v>0</v>
      </c>
      <c r="AK153" s="247">
        <f>'IS (F1Q23)'!AK153-'IS (F4Q2022)'!AK153</f>
        <v>0</v>
      </c>
      <c r="AL153" s="390">
        <f>'IS (F1Q23)'!AL153-'IS (F4Q2022)'!AL153</f>
        <v>0</v>
      </c>
      <c r="AM153" s="247">
        <f>'IS (F1Q23)'!AM153-'IS (F4Q2022)'!AM153</f>
        <v>0</v>
      </c>
      <c r="AN153" s="247">
        <f>'IS (F1Q23)'!AN153-'IS (F4Q2022)'!AN153</f>
        <v>0</v>
      </c>
      <c r="AO153" s="247">
        <f>'IS (F1Q23)'!AO153-'IS (F4Q2022)'!AO153</f>
        <v>0</v>
      </c>
      <c r="AP153" s="247">
        <f>'IS (F1Q23)'!AP153-'IS (F4Q2022)'!AP153</f>
        <v>0</v>
      </c>
      <c r="AQ153" s="246">
        <f>'IS (F1Q23)'!AQ153-'IS (F4Q2022)'!AQ153</f>
        <v>0</v>
      </c>
      <c r="AR153" s="247">
        <f>'IS (F1Q23)'!AR153-'IS (F4Q2022)'!AR153</f>
        <v>0</v>
      </c>
      <c r="AS153" s="247">
        <f>'IS (F1Q23)'!AS153-'IS (F4Q2022)'!AS153</f>
        <v>0</v>
      </c>
      <c r="AT153" s="247">
        <f>'IS (F1Q23)'!AT153-'IS (F4Q2022)'!AT153</f>
        <v>0</v>
      </c>
      <c r="AU153" s="247">
        <f>'IS (F1Q23)'!AU153-'IS (F4Q2022)'!AU153</f>
        <v>0</v>
      </c>
      <c r="AV153" s="246">
        <f>'IS (F1Q23)'!AV153-'IS (F4Q2022)'!AV153</f>
        <v>0</v>
      </c>
    </row>
    <row r="154" spans="2:48" outlineLevel="1" x14ac:dyDescent="0.3">
      <c r="B154" s="580" t="s">
        <v>138</v>
      </c>
      <c r="C154" s="581"/>
      <c r="D154" s="16">
        <f>'IS (F1Q23)'!D154-'IS (F4Q2022)'!D154</f>
        <v>0</v>
      </c>
      <c r="E154" s="105">
        <f>'IS (F1Q23)'!E154-'IS (F4Q2022)'!E154</f>
        <v>0</v>
      </c>
      <c r="F154" s="105">
        <f>'IS (F1Q23)'!F154-'IS (F4Q2022)'!F154</f>
        <v>0</v>
      </c>
      <c r="G154" s="101">
        <f>'IS (F1Q23)'!G154-'IS (F4Q2022)'!G154</f>
        <v>0</v>
      </c>
      <c r="H154" s="17">
        <f>'IS (F1Q23)'!H154-'IS (F4Q2022)'!H154</f>
        <v>0</v>
      </c>
      <c r="I154" s="101">
        <f>'IS (F1Q23)'!I154-'IS (F4Q2022)'!I154</f>
        <v>0</v>
      </c>
      <c r="J154" s="101">
        <f>'IS (F1Q23)'!J154-'IS (F4Q2022)'!J154</f>
        <v>0</v>
      </c>
      <c r="K154" s="101">
        <f>'IS (F1Q23)'!K154-'IS (F4Q2022)'!K154</f>
        <v>0</v>
      </c>
      <c r="L154" s="101">
        <f>'IS (F1Q23)'!L154-'IS (F4Q2022)'!L154</f>
        <v>0</v>
      </c>
      <c r="M154" s="17">
        <f>'IS (F1Q23)'!M154-'IS (F4Q2022)'!M154</f>
        <v>0</v>
      </c>
      <c r="N154" s="101">
        <f>'IS (F1Q23)'!N154-'IS (F4Q2022)'!N154</f>
        <v>0</v>
      </c>
      <c r="O154" s="101">
        <f>'IS (F1Q23)'!O154-'IS (F4Q2022)'!O154</f>
        <v>0</v>
      </c>
      <c r="P154" s="101">
        <f>'IS (F1Q23)'!P154-'IS (F4Q2022)'!P154</f>
        <v>0</v>
      </c>
      <c r="Q154" s="101">
        <f>'IS (F1Q23)'!Q154-'IS (F4Q2022)'!Q154</f>
        <v>0</v>
      </c>
      <c r="R154" s="17">
        <f>'IS (F1Q23)'!R154-'IS (F4Q2022)'!R154</f>
        <v>0</v>
      </c>
      <c r="S154" s="101">
        <f>'IS (F1Q23)'!S154-'IS (F4Q2022)'!S154</f>
        <v>0</v>
      </c>
      <c r="T154" s="101">
        <f>'IS (F1Q23)'!T154-'IS (F4Q2022)'!T154</f>
        <v>0</v>
      </c>
      <c r="U154" s="101">
        <f>'IS (F1Q23)'!U154-'IS (F4Q2022)'!U154</f>
        <v>0</v>
      </c>
      <c r="V154" s="101">
        <f>'IS (F1Q23)'!V154-'IS (F4Q2022)'!V154</f>
        <v>0</v>
      </c>
      <c r="W154" s="169">
        <f>'IS (F1Q23)'!W154-'IS (F4Q2022)'!W154</f>
        <v>0</v>
      </c>
      <c r="X154" s="33">
        <f>'IS (F1Q23)'!X154-'IS (F4Q2022)'!X154</f>
        <v>191.4</v>
      </c>
      <c r="Y154" s="33">
        <f>'IS (F1Q23)'!Y154-'IS (F4Q2022)'!Y154</f>
        <v>100</v>
      </c>
      <c r="Z154" s="33">
        <f>'IS (F1Q23)'!Z154-'IS (F4Q2022)'!Z154</f>
        <v>100</v>
      </c>
      <c r="AA154" s="33">
        <f>'IS (F1Q23)'!AA154-'IS (F4Q2022)'!AA154</f>
        <v>100</v>
      </c>
      <c r="AB154" s="17">
        <f>'IS (F1Q23)'!AB154-'IS (F4Q2022)'!AB154</f>
        <v>491.4</v>
      </c>
      <c r="AC154" s="33">
        <f>'IS (F1Q23)'!AC154-'IS (F4Q2022)'!AC154</f>
        <v>100</v>
      </c>
      <c r="AD154" s="33">
        <f>'IS (F1Q23)'!AD154-'IS (F4Q2022)'!AD154</f>
        <v>100</v>
      </c>
      <c r="AE154" s="33">
        <f>'IS (F1Q23)'!AE154-'IS (F4Q2022)'!AE154</f>
        <v>0</v>
      </c>
      <c r="AF154" s="33">
        <f>'IS (F1Q23)'!AF154-'IS (F4Q2022)'!AF154</f>
        <v>0</v>
      </c>
      <c r="AG154" s="17">
        <f>'IS (F1Q23)'!AG154-'IS (F4Q2022)'!AG154</f>
        <v>200</v>
      </c>
      <c r="AH154" s="33">
        <f>'IS (F1Q23)'!AH154-'IS (F4Q2022)'!AH154</f>
        <v>0</v>
      </c>
      <c r="AI154" s="33">
        <f>'IS (F1Q23)'!AI154-'IS (F4Q2022)'!AI154</f>
        <v>0</v>
      </c>
      <c r="AJ154" s="33">
        <f>'IS (F1Q23)'!AJ154-'IS (F4Q2022)'!AJ154</f>
        <v>1.8802684820002469E-2</v>
      </c>
      <c r="AK154" s="33">
        <f>'IS (F1Q23)'!AK154-'IS (F4Q2022)'!AK154</f>
        <v>1.8802684820002469E-2</v>
      </c>
      <c r="AL154" s="17">
        <f>'IS (F1Q23)'!AL154-'IS (F4Q2022)'!AL154</f>
        <v>3.7605369640004938E-2</v>
      </c>
      <c r="AM154" s="33">
        <f>'IS (F1Q23)'!AM154-'IS (F4Q2022)'!AM154</f>
        <v>0</v>
      </c>
      <c r="AN154" s="33">
        <f>'IS (F1Q23)'!AN154-'IS (F4Q2022)'!AN154</f>
        <v>0</v>
      </c>
      <c r="AO154" s="33">
        <f>'IS (F1Q23)'!AO154-'IS (F4Q2022)'!AO154</f>
        <v>0</v>
      </c>
      <c r="AP154" s="33">
        <f>'IS (F1Q23)'!AP154-'IS (F4Q2022)'!AP154</f>
        <v>0</v>
      </c>
      <c r="AQ154" s="17">
        <f>'IS (F1Q23)'!AQ154-'IS (F4Q2022)'!AQ154</f>
        <v>0</v>
      </c>
      <c r="AR154" s="33">
        <f>'IS (F1Q23)'!AR154-'IS (F4Q2022)'!AR154</f>
        <v>0</v>
      </c>
      <c r="AS154" s="33">
        <f>'IS (F1Q23)'!AS154-'IS (F4Q2022)'!AS154</f>
        <v>0</v>
      </c>
      <c r="AT154" s="33">
        <f>'IS (F1Q23)'!AT154-'IS (F4Q2022)'!AT154</f>
        <v>0</v>
      </c>
      <c r="AU154" s="33">
        <f>'IS (F1Q23)'!AU154-'IS (F4Q2022)'!AU154</f>
        <v>0</v>
      </c>
      <c r="AV154" s="17">
        <f>'IS (F1Q23)'!AV154-'IS (F4Q2022)'!AV154</f>
        <v>0</v>
      </c>
    </row>
    <row r="155" spans="2:48" outlineLevel="1" x14ac:dyDescent="0.3">
      <c r="B155" s="580" t="s">
        <v>207</v>
      </c>
      <c r="C155" s="581"/>
      <c r="D155" s="139">
        <f>'IS (F1Q23)'!D155-'IS (F4Q2022)'!D155</f>
        <v>0</v>
      </c>
      <c r="E155" s="139">
        <f>'IS (F1Q23)'!E155-'IS (F4Q2022)'!E155</f>
        <v>0</v>
      </c>
      <c r="F155" s="142">
        <f>'IS (F1Q23)'!F155-'IS (F4Q2022)'!F155</f>
        <v>0</v>
      </c>
      <c r="G155" s="142">
        <f>'IS (F1Q23)'!G155-'IS (F4Q2022)'!G155</f>
        <v>0</v>
      </c>
      <c r="H155" s="49">
        <f>'IS (F1Q23)'!H155-'IS (F4Q2022)'!H155</f>
        <v>0</v>
      </c>
      <c r="I155" s="139">
        <f>'IS (F1Q23)'!I155-'IS (F4Q2022)'!I155</f>
        <v>0</v>
      </c>
      <c r="J155" s="142">
        <f>'IS (F1Q23)'!J155-'IS (F4Q2022)'!J155</f>
        <v>0</v>
      </c>
      <c r="K155" s="139">
        <f>'IS (F1Q23)'!K155-'IS (F4Q2022)'!K155</f>
        <v>0</v>
      </c>
      <c r="L155" s="139">
        <f>'IS (F1Q23)'!L155-'IS (F4Q2022)'!L155</f>
        <v>0</v>
      </c>
      <c r="M155" s="49">
        <f>'IS (F1Q23)'!M155-'IS (F4Q2022)'!M155</f>
        <v>0</v>
      </c>
      <c r="N155" s="139">
        <f>'IS (F1Q23)'!N155-'IS (F4Q2022)'!N155</f>
        <v>0</v>
      </c>
      <c r="O155" s="139">
        <f>'IS (F1Q23)'!O155-'IS (F4Q2022)'!O155</f>
        <v>0</v>
      </c>
      <c r="P155" s="139">
        <f>'IS (F1Q23)'!P155-'IS (F4Q2022)'!P155</f>
        <v>0</v>
      </c>
      <c r="Q155" s="139">
        <f>'IS (F1Q23)'!Q155-'IS (F4Q2022)'!Q155</f>
        <v>0</v>
      </c>
      <c r="R155" s="49">
        <f>'IS (F1Q23)'!R155-'IS (F4Q2022)'!R155</f>
        <v>0</v>
      </c>
      <c r="S155" s="139">
        <f>'IS (F1Q23)'!S155-'IS (F4Q2022)'!S155</f>
        <v>0</v>
      </c>
      <c r="T155" s="142">
        <f>'IS (F1Q23)'!T155-'IS (F4Q2022)'!T155</f>
        <v>0</v>
      </c>
      <c r="U155" s="142">
        <f>'IS (F1Q23)'!U155-'IS (F4Q2022)'!U155</f>
        <v>0</v>
      </c>
      <c r="V155" s="139">
        <f>'IS (F1Q23)'!V155-'IS (F4Q2022)'!V155</f>
        <v>0</v>
      </c>
      <c r="W155" s="49">
        <f>'IS (F1Q23)'!W155-'IS (F4Q2022)'!W155</f>
        <v>0</v>
      </c>
      <c r="X155" s="139">
        <f>'IS (F1Q23)'!X155-'IS (F4Q2022)'!X155</f>
        <v>1.9339193695059109</v>
      </c>
      <c r="Y155" s="139">
        <f>'IS (F1Q23)'!Y155-'IS (F4Q2022)'!Y155</f>
        <v>1</v>
      </c>
      <c r="Z155" s="139">
        <f>'IS (F1Q23)'!Z155-'IS (F4Q2022)'!Z155</f>
        <v>1</v>
      </c>
      <c r="AA155" s="139">
        <f>'IS (F1Q23)'!AA155-'IS (F4Q2022)'!AA155</f>
        <v>1</v>
      </c>
      <c r="AB155" s="49">
        <f>'IS (F1Q23)'!AB155-'IS (F4Q2022)'!AB155</f>
        <v>4.9339193695059107</v>
      </c>
      <c r="AC155" s="139">
        <f>'IS (F1Q23)'!AC155-'IS (F4Q2022)'!AC155</f>
        <v>0.88738034230696683</v>
      </c>
      <c r="AD155" s="139">
        <f>'IS (F1Q23)'!AD155-'IS (F4Q2022)'!AD155</f>
        <v>0.88738034230696683</v>
      </c>
      <c r="AE155" s="139">
        <f>'IS (F1Q23)'!AE155-'IS (F4Q2022)'!AE155</f>
        <v>0</v>
      </c>
      <c r="AF155" s="139">
        <f>'IS (F1Q23)'!AF155-'IS (F4Q2022)'!AF155</f>
        <v>0</v>
      </c>
      <c r="AG155" s="49">
        <f>'IS (F1Q23)'!AG155-'IS (F4Q2022)'!AG155</f>
        <v>1.7747606846139337</v>
      </c>
      <c r="AH155" s="139">
        <f>'IS (F1Q23)'!AH155-'IS (F4Q2022)'!AH155</f>
        <v>0</v>
      </c>
      <c r="AI155" s="139">
        <f>'IS (F1Q23)'!AI155-'IS (F4Q2022)'!AI155</f>
        <v>0</v>
      </c>
      <c r="AJ155" s="139">
        <f>'IS (F1Q23)'!AJ155-'IS (F4Q2022)'!AJ155</f>
        <v>1.5890602754353722E-4</v>
      </c>
      <c r="AK155" s="139">
        <f>'IS (F1Q23)'!AK155-'IS (F4Q2022)'!AK155</f>
        <v>1.5890602754353722E-4</v>
      </c>
      <c r="AL155" s="49">
        <f>'IS (F1Q23)'!AL155-'IS (F4Q2022)'!AL155</f>
        <v>3.178120551012853E-4</v>
      </c>
      <c r="AM155" s="139">
        <f>'IS (F1Q23)'!AM155-'IS (F4Q2022)'!AM155</f>
        <v>0</v>
      </c>
      <c r="AN155" s="139">
        <f>'IS (F1Q23)'!AN155-'IS (F4Q2022)'!AN155</f>
        <v>0</v>
      </c>
      <c r="AO155" s="139">
        <f>'IS (F1Q23)'!AO155-'IS (F4Q2022)'!AO155</f>
        <v>0</v>
      </c>
      <c r="AP155" s="139">
        <f>'IS (F1Q23)'!AP155-'IS (F4Q2022)'!AP155</f>
        <v>0</v>
      </c>
      <c r="AQ155" s="49">
        <f>'IS (F1Q23)'!AQ155-'IS (F4Q2022)'!AQ155</f>
        <v>0</v>
      </c>
      <c r="AR155" s="139">
        <f>'IS (F1Q23)'!AR155-'IS (F4Q2022)'!AR155</f>
        <v>0</v>
      </c>
      <c r="AS155" s="139">
        <f>'IS (F1Q23)'!AS155-'IS (F4Q2022)'!AS155</f>
        <v>0</v>
      </c>
      <c r="AT155" s="139">
        <f>'IS (F1Q23)'!AT155-'IS (F4Q2022)'!AT155</f>
        <v>0</v>
      </c>
      <c r="AU155" s="139">
        <f>'IS (F1Q23)'!AU155-'IS (F4Q2022)'!AU155</f>
        <v>0</v>
      </c>
      <c r="AV155" s="49">
        <f>'IS (F1Q23)'!AV155-'IS (F4Q2022)'!AV155</f>
        <v>0</v>
      </c>
    </row>
    <row r="156" spans="2:48" outlineLevel="1" x14ac:dyDescent="0.3">
      <c r="B156" s="611" t="s">
        <v>131</v>
      </c>
      <c r="C156" s="612"/>
      <c r="D156" s="143">
        <f>'IS (F1Q23)'!D156-'IS (F4Q2022)'!D156</f>
        <v>0</v>
      </c>
      <c r="E156" s="144">
        <f>'IS (F1Q23)'!E156-'IS (F4Q2022)'!E156</f>
        <v>0</v>
      </c>
      <c r="F156" s="96">
        <f>'IS (F1Q23)'!F156-'IS (F4Q2022)'!F156</f>
        <v>0</v>
      </c>
      <c r="G156" s="96">
        <f>'IS (F1Q23)'!G156-'IS (F4Q2022)'!G156</f>
        <v>0</v>
      </c>
      <c r="H156" s="76">
        <f>'IS (F1Q23)'!H156-'IS (F4Q2022)'!H156</f>
        <v>0</v>
      </c>
      <c r="I156" s="96">
        <f>'IS (F1Q23)'!I156-'IS (F4Q2022)'!I156</f>
        <v>0</v>
      </c>
      <c r="J156" s="96">
        <f>'IS (F1Q23)'!J156-'IS (F4Q2022)'!J156</f>
        <v>0</v>
      </c>
      <c r="K156" s="96">
        <f>'IS (F1Q23)'!K156-'IS (F4Q2022)'!K156</f>
        <v>0</v>
      </c>
      <c r="L156" s="96">
        <f>'IS (F1Q23)'!L156-'IS (F4Q2022)'!L156</f>
        <v>0</v>
      </c>
      <c r="M156" s="76">
        <f>'IS (F1Q23)'!M156-'IS (F4Q2022)'!M156</f>
        <v>0</v>
      </c>
      <c r="N156" s="96">
        <f>'IS (F1Q23)'!N156-'IS (F4Q2022)'!N156</f>
        <v>0</v>
      </c>
      <c r="O156" s="96">
        <f>'IS (F1Q23)'!O156-'IS (F4Q2022)'!O156</f>
        <v>0</v>
      </c>
      <c r="P156" s="96">
        <f>'IS (F1Q23)'!P156-'IS (F4Q2022)'!P156</f>
        <v>0</v>
      </c>
      <c r="Q156" s="96">
        <f>'IS (F1Q23)'!Q156-'IS (F4Q2022)'!Q156</f>
        <v>0</v>
      </c>
      <c r="R156" s="76">
        <f>'IS (F1Q23)'!R156-'IS (F4Q2022)'!R156</f>
        <v>0</v>
      </c>
      <c r="S156" s="96">
        <f>'IS (F1Q23)'!S156-'IS (F4Q2022)'!S156</f>
        <v>0</v>
      </c>
      <c r="T156" s="96">
        <f>'IS (F1Q23)'!T156-'IS (F4Q2022)'!T156</f>
        <v>0</v>
      </c>
      <c r="U156" s="96">
        <f>'IS (F1Q23)'!U156-'IS (F4Q2022)'!U156</f>
        <v>0</v>
      </c>
      <c r="V156" s="96">
        <f>'IS (F1Q23)'!V156-'IS (F4Q2022)'!V156</f>
        <v>0</v>
      </c>
      <c r="W156" s="76">
        <f>'IS (F1Q23)'!W156-'IS (F4Q2022)'!W156</f>
        <v>0</v>
      </c>
      <c r="X156" s="96">
        <f>'IS (F1Q23)'!X156-'IS (F4Q2022)'!X156</f>
        <v>0</v>
      </c>
      <c r="Y156" s="96">
        <f>'IS (F1Q23)'!Y156-'IS (F4Q2022)'!Y156</f>
        <v>0</v>
      </c>
      <c r="Z156" s="96">
        <f>'IS (F1Q23)'!Z156-'IS (F4Q2022)'!Z156</f>
        <v>0</v>
      </c>
      <c r="AA156" s="96">
        <f>'IS (F1Q23)'!AA156-'IS (F4Q2022)'!AA156</f>
        <v>0</v>
      </c>
      <c r="AB156" s="76">
        <f>'IS (F1Q23)'!AB156-'IS (F4Q2022)'!AB156</f>
        <v>0</v>
      </c>
      <c r="AC156" s="96">
        <f>'IS (F1Q23)'!AC156-'IS (F4Q2022)'!AC156</f>
        <v>0</v>
      </c>
      <c r="AD156" s="96">
        <f>'IS (F1Q23)'!AD156-'IS (F4Q2022)'!AD156</f>
        <v>0</v>
      </c>
      <c r="AE156" s="96">
        <f>'IS (F1Q23)'!AE156-'IS (F4Q2022)'!AE156</f>
        <v>0</v>
      </c>
      <c r="AF156" s="96">
        <f>'IS (F1Q23)'!AF156-'IS (F4Q2022)'!AF156</f>
        <v>0</v>
      </c>
      <c r="AG156" s="76">
        <f>'IS (F1Q23)'!AG156-'IS (F4Q2022)'!AG156</f>
        <v>0</v>
      </c>
      <c r="AH156" s="96">
        <f>'IS (F1Q23)'!AH156-'IS (F4Q2022)'!AH156</f>
        <v>0</v>
      </c>
      <c r="AI156" s="96">
        <f>'IS (F1Q23)'!AI156-'IS (F4Q2022)'!AI156</f>
        <v>0</v>
      </c>
      <c r="AJ156" s="96">
        <f>'IS (F1Q23)'!AJ156-'IS (F4Q2022)'!AJ156</f>
        <v>0</v>
      </c>
      <c r="AK156" s="96">
        <f>'IS (F1Q23)'!AK156-'IS (F4Q2022)'!AK156</f>
        <v>0</v>
      </c>
      <c r="AL156" s="76">
        <f>'IS (F1Q23)'!AL156-'IS (F4Q2022)'!AL156</f>
        <v>0</v>
      </c>
      <c r="AM156" s="96">
        <f>'IS (F1Q23)'!AM156-'IS (F4Q2022)'!AM156</f>
        <v>0</v>
      </c>
      <c r="AN156" s="96">
        <f>'IS (F1Q23)'!AN156-'IS (F4Q2022)'!AN156</f>
        <v>0</v>
      </c>
      <c r="AO156" s="96">
        <f>'IS (F1Q23)'!AO156-'IS (F4Q2022)'!AO156</f>
        <v>0</v>
      </c>
      <c r="AP156" s="96">
        <f>'IS (F1Q23)'!AP156-'IS (F4Q2022)'!AP156</f>
        <v>0</v>
      </c>
      <c r="AQ156" s="76">
        <f>'IS (F1Q23)'!AQ156-'IS (F4Q2022)'!AQ156</f>
        <v>0</v>
      </c>
      <c r="AR156" s="96">
        <f>'IS (F1Q23)'!AR156-'IS (F4Q2022)'!AR156</f>
        <v>0</v>
      </c>
      <c r="AS156" s="96">
        <f>'IS (F1Q23)'!AS156-'IS (F4Q2022)'!AS156</f>
        <v>0</v>
      </c>
      <c r="AT156" s="96">
        <f>'IS (F1Q23)'!AT156-'IS (F4Q2022)'!AT156</f>
        <v>0</v>
      </c>
      <c r="AU156" s="96">
        <f>'IS (F1Q23)'!AU156-'IS (F4Q2022)'!AU156</f>
        <v>0</v>
      </c>
      <c r="AV156" s="76">
        <f>'IS (F1Q23)'!AV156-'IS (F4Q2022)'!AV156</f>
        <v>0</v>
      </c>
    </row>
    <row r="157" spans="2:48" outlineLevel="1" x14ac:dyDescent="0.3">
      <c r="B157" s="613" t="s">
        <v>132</v>
      </c>
      <c r="C157" s="614"/>
      <c r="D157" s="145">
        <f>'IS (F1Q23)'!D157-'IS (F4Q2022)'!D157</f>
        <v>0</v>
      </c>
      <c r="E157" s="146">
        <f>'IS (F1Q23)'!E157-'IS (F4Q2022)'!E157</f>
        <v>0</v>
      </c>
      <c r="F157" s="139">
        <f>'IS (F1Q23)'!F157-'IS (F4Q2022)'!F157</f>
        <v>0</v>
      </c>
      <c r="G157" s="139">
        <f>'IS (F1Q23)'!G157-'IS (F4Q2022)'!G157</f>
        <v>0</v>
      </c>
      <c r="H157" s="49">
        <f>'IS (F1Q23)'!H157-'IS (F4Q2022)'!H157</f>
        <v>0</v>
      </c>
      <c r="I157" s="139">
        <f>'IS (F1Q23)'!I157-'IS (F4Q2022)'!I157</f>
        <v>0</v>
      </c>
      <c r="J157" s="139">
        <f>'IS (F1Q23)'!J157-'IS (F4Q2022)'!J157</f>
        <v>0</v>
      </c>
      <c r="K157" s="139">
        <f>'IS (F1Q23)'!K157-'IS (F4Q2022)'!K157</f>
        <v>0</v>
      </c>
      <c r="L157" s="139">
        <f>'IS (F1Q23)'!L157-'IS (F4Q2022)'!L157</f>
        <v>0</v>
      </c>
      <c r="M157" s="49">
        <f>'IS (F1Q23)'!M157-'IS (F4Q2022)'!M157</f>
        <v>0</v>
      </c>
      <c r="N157" s="139">
        <f>'IS (F1Q23)'!N157-'IS (F4Q2022)'!N157</f>
        <v>0</v>
      </c>
      <c r="O157" s="139">
        <f>'IS (F1Q23)'!O157-'IS (F4Q2022)'!O157</f>
        <v>0</v>
      </c>
      <c r="P157" s="139">
        <f>'IS (F1Q23)'!P157-'IS (F4Q2022)'!P157</f>
        <v>0</v>
      </c>
      <c r="Q157" s="139">
        <f>'IS (F1Q23)'!Q157-'IS (F4Q2022)'!Q157</f>
        <v>0</v>
      </c>
      <c r="R157" s="49">
        <f>'IS (F1Q23)'!R157-'IS (F4Q2022)'!R157</f>
        <v>0</v>
      </c>
      <c r="S157" s="139">
        <f>'IS (F1Q23)'!S157-'IS (F4Q2022)'!S157</f>
        <v>0</v>
      </c>
      <c r="T157" s="139">
        <f>'IS (F1Q23)'!T157-'IS (F4Q2022)'!T157</f>
        <v>0</v>
      </c>
      <c r="U157" s="142">
        <f>'IS (F1Q23)'!U157-'IS (F4Q2022)'!U157</f>
        <v>0</v>
      </c>
      <c r="V157" s="139">
        <f>'IS (F1Q23)'!V157-'IS (F4Q2022)'!V157</f>
        <v>0</v>
      </c>
      <c r="W157" s="137">
        <f>'IS (F1Q23)'!W157-'IS (F4Q2022)'!W157</f>
        <v>0</v>
      </c>
      <c r="X157" s="139">
        <f>'IS (F1Q23)'!X157-'IS (F4Q2022)'!X157</f>
        <v>0</v>
      </c>
      <c r="Y157" s="139">
        <f>'IS (F1Q23)'!Y157-'IS (F4Q2022)'!Y157</f>
        <v>0</v>
      </c>
      <c r="Z157" s="139">
        <f>'IS (F1Q23)'!Z157-'IS (F4Q2022)'!Z157</f>
        <v>0</v>
      </c>
      <c r="AA157" s="139">
        <f>'IS (F1Q23)'!AA157-'IS (F4Q2022)'!AA157</f>
        <v>0</v>
      </c>
      <c r="AB157" s="49">
        <f>'IS (F1Q23)'!AB157-'IS (F4Q2022)'!AB157</f>
        <v>0</v>
      </c>
      <c r="AC157" s="139">
        <f>'IS (F1Q23)'!AC157-'IS (F4Q2022)'!AC157</f>
        <v>0</v>
      </c>
      <c r="AD157" s="139">
        <f>'IS (F1Q23)'!AD157-'IS (F4Q2022)'!AD157</f>
        <v>0</v>
      </c>
      <c r="AE157" s="139">
        <f>'IS (F1Q23)'!AE157-'IS (F4Q2022)'!AE157</f>
        <v>0</v>
      </c>
      <c r="AF157" s="139">
        <f>'IS (F1Q23)'!AF157-'IS (F4Q2022)'!AF157</f>
        <v>0</v>
      </c>
      <c r="AG157" s="49">
        <f>'IS (F1Q23)'!AG157-'IS (F4Q2022)'!AG157</f>
        <v>0</v>
      </c>
      <c r="AH157" s="139">
        <f>'IS (F1Q23)'!AH157-'IS (F4Q2022)'!AH157</f>
        <v>0</v>
      </c>
      <c r="AI157" s="139">
        <f>'IS (F1Q23)'!AI157-'IS (F4Q2022)'!AI157</f>
        <v>0</v>
      </c>
      <c r="AJ157" s="139">
        <f>'IS (F1Q23)'!AJ157-'IS (F4Q2022)'!AJ157</f>
        <v>0</v>
      </c>
      <c r="AK157" s="139">
        <f>'IS (F1Q23)'!AK157-'IS (F4Q2022)'!AK157</f>
        <v>0</v>
      </c>
      <c r="AL157" s="49">
        <f>'IS (F1Q23)'!AL157-'IS (F4Q2022)'!AL157</f>
        <v>0</v>
      </c>
      <c r="AM157" s="139">
        <f>'IS (F1Q23)'!AM157-'IS (F4Q2022)'!AM157</f>
        <v>0</v>
      </c>
      <c r="AN157" s="139">
        <f>'IS (F1Q23)'!AN157-'IS (F4Q2022)'!AN157</f>
        <v>0</v>
      </c>
      <c r="AO157" s="139">
        <f>'IS (F1Q23)'!AO157-'IS (F4Q2022)'!AO157</f>
        <v>0</v>
      </c>
      <c r="AP157" s="139">
        <f>'IS (F1Q23)'!AP157-'IS (F4Q2022)'!AP157</f>
        <v>0</v>
      </c>
      <c r="AQ157" s="49">
        <f>'IS (F1Q23)'!AQ157-'IS (F4Q2022)'!AQ157</f>
        <v>0</v>
      </c>
      <c r="AR157" s="139">
        <f>'IS (F1Q23)'!AR157-'IS (F4Q2022)'!AR157</f>
        <v>0</v>
      </c>
      <c r="AS157" s="139">
        <f>'IS (F1Q23)'!AS157-'IS (F4Q2022)'!AS157</f>
        <v>0</v>
      </c>
      <c r="AT157" s="139">
        <f>'IS (F1Q23)'!AT157-'IS (F4Q2022)'!AT157</f>
        <v>0</v>
      </c>
      <c r="AU157" s="139">
        <f>'IS (F1Q23)'!AU157-'IS (F4Q2022)'!AU157</f>
        <v>0</v>
      </c>
      <c r="AV157" s="49">
        <f>'IS (F1Q23)'!AV157-'IS (F4Q2022)'!AV157</f>
        <v>0</v>
      </c>
    </row>
    <row r="158" spans="2:48" outlineLevel="1" x14ac:dyDescent="0.3">
      <c r="B158" s="615" t="s">
        <v>133</v>
      </c>
      <c r="C158" s="616"/>
      <c r="D158" s="147">
        <f>'IS (F1Q23)'!D158-'IS (F4Q2022)'!D158</f>
        <v>0</v>
      </c>
      <c r="E158" s="140">
        <f>'IS (F1Q23)'!E158-'IS (F4Q2022)'!E158</f>
        <v>0</v>
      </c>
      <c r="F158" s="140">
        <f>'IS (F1Q23)'!F158-'IS (F4Q2022)'!F158</f>
        <v>0</v>
      </c>
      <c r="G158" s="140">
        <f>'IS (F1Q23)'!G158-'IS (F4Q2022)'!G158</f>
        <v>0</v>
      </c>
      <c r="H158" s="141">
        <f>'IS (F1Q23)'!H158-'IS (F4Q2022)'!H158</f>
        <v>0</v>
      </c>
      <c r="I158" s="140">
        <f>'IS (F1Q23)'!I158-'IS (F4Q2022)'!I158</f>
        <v>0</v>
      </c>
      <c r="J158" s="140">
        <f>'IS (F1Q23)'!J158-'IS (F4Q2022)'!J158</f>
        <v>0</v>
      </c>
      <c r="K158" s="140">
        <f>'IS (F1Q23)'!K158-'IS (F4Q2022)'!K158</f>
        <v>0</v>
      </c>
      <c r="L158" s="140">
        <f>'IS (F1Q23)'!L158-'IS (F4Q2022)'!L158</f>
        <v>0</v>
      </c>
      <c r="M158" s="141">
        <f>'IS (F1Q23)'!M158-'IS (F4Q2022)'!M158</f>
        <v>0</v>
      </c>
      <c r="N158" s="140">
        <f>'IS (F1Q23)'!N158-'IS (F4Q2022)'!N158</f>
        <v>0</v>
      </c>
      <c r="O158" s="140">
        <f>'IS (F1Q23)'!O158-'IS (F4Q2022)'!O158</f>
        <v>0</v>
      </c>
      <c r="P158" s="140">
        <f>'IS (F1Q23)'!P158-'IS (F4Q2022)'!P158</f>
        <v>0</v>
      </c>
      <c r="Q158" s="140">
        <f>'IS (F1Q23)'!Q158-'IS (F4Q2022)'!Q158</f>
        <v>0</v>
      </c>
      <c r="R158" s="141">
        <f>'IS (F1Q23)'!R158-'IS (F4Q2022)'!R158</f>
        <v>0</v>
      </c>
      <c r="S158" s="140">
        <f>'IS (F1Q23)'!S158-'IS (F4Q2022)'!S158</f>
        <v>0</v>
      </c>
      <c r="T158" s="140">
        <f>'IS (F1Q23)'!T158-'IS (F4Q2022)'!T158</f>
        <v>0</v>
      </c>
      <c r="U158" s="140">
        <f>'IS (F1Q23)'!U158-'IS (F4Q2022)'!U158</f>
        <v>0</v>
      </c>
      <c r="V158" s="140">
        <f>'IS (F1Q23)'!V158-'IS (F4Q2022)'!V158</f>
        <v>0</v>
      </c>
      <c r="W158" s="199">
        <f>'IS (F1Q23)'!W158-'IS (F4Q2022)'!W158</f>
        <v>0</v>
      </c>
      <c r="X158" s="140">
        <f>'IS (F1Q23)'!X158-'IS (F4Q2022)'!X158</f>
        <v>0</v>
      </c>
      <c r="Y158" s="140">
        <f>'IS (F1Q23)'!Y158-'IS (F4Q2022)'!Y158</f>
        <v>0</v>
      </c>
      <c r="Z158" s="140">
        <f>'IS (F1Q23)'!Z158-'IS (F4Q2022)'!Z158</f>
        <v>0</v>
      </c>
      <c r="AA158" s="140">
        <f>'IS (F1Q23)'!AA158-'IS (F4Q2022)'!AA158</f>
        <v>0</v>
      </c>
      <c r="AB158" s="141">
        <f>'IS (F1Q23)'!AB158-'IS (F4Q2022)'!AB158</f>
        <v>0</v>
      </c>
      <c r="AC158" s="140">
        <f>'IS (F1Q23)'!AC158-'IS (F4Q2022)'!AC158</f>
        <v>0</v>
      </c>
      <c r="AD158" s="140">
        <f>'IS (F1Q23)'!AD158-'IS (F4Q2022)'!AD158</f>
        <v>0</v>
      </c>
      <c r="AE158" s="140">
        <f>'IS (F1Q23)'!AE158-'IS (F4Q2022)'!AE158</f>
        <v>0</v>
      </c>
      <c r="AF158" s="140">
        <f>'IS (F1Q23)'!AF158-'IS (F4Q2022)'!AF158</f>
        <v>0</v>
      </c>
      <c r="AG158" s="141">
        <f>'IS (F1Q23)'!AG158-'IS (F4Q2022)'!AG158</f>
        <v>0</v>
      </c>
      <c r="AH158" s="140">
        <f>'IS (F1Q23)'!AH158-'IS (F4Q2022)'!AH158</f>
        <v>0</v>
      </c>
      <c r="AI158" s="140">
        <f>'IS (F1Q23)'!AI158-'IS (F4Q2022)'!AI158</f>
        <v>0</v>
      </c>
      <c r="AJ158" s="140">
        <f>'IS (F1Q23)'!AJ158-'IS (F4Q2022)'!AJ158</f>
        <v>0</v>
      </c>
      <c r="AK158" s="140">
        <f>'IS (F1Q23)'!AK158-'IS (F4Q2022)'!AK158</f>
        <v>0</v>
      </c>
      <c r="AL158" s="141">
        <f>'IS (F1Q23)'!AL158-'IS (F4Q2022)'!AL158</f>
        <v>0</v>
      </c>
      <c r="AM158" s="140">
        <f>'IS (F1Q23)'!AM158-'IS (F4Q2022)'!AM158</f>
        <v>0</v>
      </c>
      <c r="AN158" s="140">
        <f>'IS (F1Q23)'!AN158-'IS (F4Q2022)'!AN158</f>
        <v>0</v>
      </c>
      <c r="AO158" s="140">
        <f>'IS (F1Q23)'!AO158-'IS (F4Q2022)'!AO158</f>
        <v>0</v>
      </c>
      <c r="AP158" s="140">
        <f>'IS (F1Q23)'!AP158-'IS (F4Q2022)'!AP158</f>
        <v>0</v>
      </c>
      <c r="AQ158" s="141">
        <f>'IS (F1Q23)'!AQ158-'IS (F4Q2022)'!AQ158</f>
        <v>0</v>
      </c>
      <c r="AR158" s="140">
        <f>'IS (F1Q23)'!AR158-'IS (F4Q2022)'!AR158</f>
        <v>0</v>
      </c>
      <c r="AS158" s="140">
        <f>'IS (F1Q23)'!AS158-'IS (F4Q2022)'!AS158</f>
        <v>0</v>
      </c>
      <c r="AT158" s="140">
        <f>'IS (F1Q23)'!AT158-'IS (F4Q2022)'!AT158</f>
        <v>0</v>
      </c>
      <c r="AU158" s="140">
        <f>'IS (F1Q23)'!AU158-'IS (F4Q2022)'!AU158</f>
        <v>0</v>
      </c>
      <c r="AV158" s="141">
        <f>'IS (F1Q23)'!AV158-'IS (F4Q2022)'!AV158</f>
        <v>0</v>
      </c>
    </row>
    <row r="159" spans="2:48" outlineLevel="1" x14ac:dyDescent="0.3">
      <c r="B159" s="200" t="s">
        <v>134</v>
      </c>
      <c r="C159" s="201"/>
      <c r="D159" s="139">
        <f>'IS (F1Q23)'!D159-'IS (F4Q2022)'!D159</f>
        <v>0</v>
      </c>
      <c r="E159" s="36">
        <f>'IS (F1Q23)'!E159-'IS (F4Q2022)'!E159</f>
        <v>0</v>
      </c>
      <c r="F159" s="36">
        <f>'IS (F1Q23)'!F159-'IS (F4Q2022)'!F159</f>
        <v>0</v>
      </c>
      <c r="G159" s="139">
        <f>'IS (F1Q23)'!G159-'IS (F4Q2022)'!G159</f>
        <v>0</v>
      </c>
      <c r="H159" s="49">
        <f>'IS (F1Q23)'!H159-'IS (F4Q2022)'!H159</f>
        <v>0</v>
      </c>
      <c r="I159" s="139">
        <f>'IS (F1Q23)'!I159-'IS (F4Q2022)'!I159</f>
        <v>0</v>
      </c>
      <c r="J159" s="139">
        <f>'IS (F1Q23)'!J159-'IS (F4Q2022)'!J159</f>
        <v>0</v>
      </c>
      <c r="K159" s="139">
        <f>'IS (F1Q23)'!K159-'IS (F4Q2022)'!K159</f>
        <v>0</v>
      </c>
      <c r="L159" s="139">
        <f>'IS (F1Q23)'!L159-'IS (F4Q2022)'!L159</f>
        <v>0</v>
      </c>
      <c r="M159" s="49">
        <f>'IS (F1Q23)'!M159-'IS (F4Q2022)'!M159</f>
        <v>0</v>
      </c>
      <c r="N159" s="139">
        <f>'IS (F1Q23)'!N159-'IS (F4Q2022)'!N159</f>
        <v>0</v>
      </c>
      <c r="O159" s="139">
        <f>'IS (F1Q23)'!O159-'IS (F4Q2022)'!O159</f>
        <v>0</v>
      </c>
      <c r="P159" s="139">
        <f>'IS (F1Q23)'!P159-'IS (F4Q2022)'!P159</f>
        <v>0</v>
      </c>
      <c r="Q159" s="139">
        <f>'IS (F1Q23)'!Q159-'IS (F4Q2022)'!Q159</f>
        <v>0</v>
      </c>
      <c r="R159" s="49">
        <f>'IS (F1Q23)'!R159-'IS (F4Q2022)'!R159</f>
        <v>0</v>
      </c>
      <c r="S159" s="139">
        <f>'IS (F1Q23)'!S159-'IS (F4Q2022)'!S159</f>
        <v>0</v>
      </c>
      <c r="T159" s="139">
        <f>'IS (F1Q23)'!T159-'IS (F4Q2022)'!T159</f>
        <v>0</v>
      </c>
      <c r="U159" s="139">
        <f>'IS (F1Q23)'!U159-'IS (F4Q2022)'!U159</f>
        <v>0</v>
      </c>
      <c r="V159" s="139">
        <f>'IS (F1Q23)'!V159-'IS (F4Q2022)'!V159</f>
        <v>0</v>
      </c>
      <c r="W159" s="49">
        <f>'IS (F1Q23)'!W159-'IS (F4Q2022)'!W159</f>
        <v>0</v>
      </c>
      <c r="X159" s="139">
        <f>'IS (F1Q23)'!X159-'IS (F4Q2022)'!X159</f>
        <v>0</v>
      </c>
      <c r="Y159" s="139">
        <f>'IS (F1Q23)'!Y159-'IS (F4Q2022)'!Y159</f>
        <v>0</v>
      </c>
      <c r="Z159" s="139">
        <f>'IS (F1Q23)'!Z159-'IS (F4Q2022)'!Z159</f>
        <v>0</v>
      </c>
      <c r="AA159" s="139">
        <f>'IS (F1Q23)'!AA159-'IS (F4Q2022)'!AA159</f>
        <v>0</v>
      </c>
      <c r="AB159" s="49">
        <f>'IS (F1Q23)'!AB159-'IS (F4Q2022)'!AB159</f>
        <v>0</v>
      </c>
      <c r="AC159" s="139">
        <f>'IS (F1Q23)'!AC159-'IS (F4Q2022)'!AC159</f>
        <v>0</v>
      </c>
      <c r="AD159" s="139">
        <f>'IS (F1Q23)'!AD159-'IS (F4Q2022)'!AD159</f>
        <v>0</v>
      </c>
      <c r="AE159" s="139">
        <f>'IS (F1Q23)'!AE159-'IS (F4Q2022)'!AE159</f>
        <v>0</v>
      </c>
      <c r="AF159" s="139">
        <f>'IS (F1Q23)'!AF159-'IS (F4Q2022)'!AF159</f>
        <v>0</v>
      </c>
      <c r="AG159" s="49">
        <f>'IS (F1Q23)'!AG159-'IS (F4Q2022)'!AG159</f>
        <v>0</v>
      </c>
      <c r="AH159" s="139">
        <f>'IS (F1Q23)'!AH159-'IS (F4Q2022)'!AH159</f>
        <v>0</v>
      </c>
      <c r="AI159" s="139">
        <f>'IS (F1Q23)'!AI159-'IS (F4Q2022)'!AI159</f>
        <v>0</v>
      </c>
      <c r="AJ159" s="139">
        <f>'IS (F1Q23)'!AJ159-'IS (F4Q2022)'!AJ159</f>
        <v>0</v>
      </c>
      <c r="AK159" s="139">
        <f>'IS (F1Q23)'!AK159-'IS (F4Q2022)'!AK159</f>
        <v>0</v>
      </c>
      <c r="AL159" s="49">
        <f>'IS (F1Q23)'!AL159-'IS (F4Q2022)'!AL159</f>
        <v>0</v>
      </c>
      <c r="AM159" s="139">
        <f>'IS (F1Q23)'!AM159-'IS (F4Q2022)'!AM159</f>
        <v>0</v>
      </c>
      <c r="AN159" s="139">
        <f>'IS (F1Q23)'!AN159-'IS (F4Q2022)'!AN159</f>
        <v>0</v>
      </c>
      <c r="AO159" s="139">
        <f>'IS (F1Q23)'!AO159-'IS (F4Q2022)'!AO159</f>
        <v>0</v>
      </c>
      <c r="AP159" s="139">
        <f>'IS (F1Q23)'!AP159-'IS (F4Q2022)'!AP159</f>
        <v>0</v>
      </c>
      <c r="AQ159" s="49">
        <f>'IS (F1Q23)'!AQ159-'IS (F4Q2022)'!AQ159</f>
        <v>0</v>
      </c>
      <c r="AR159" s="139">
        <f>'IS (F1Q23)'!AR159-'IS (F4Q2022)'!AR159</f>
        <v>0</v>
      </c>
      <c r="AS159" s="139">
        <f>'IS (F1Q23)'!AS159-'IS (F4Q2022)'!AS159</f>
        <v>0</v>
      </c>
      <c r="AT159" s="139">
        <f>'IS (F1Q23)'!AT159-'IS (F4Q2022)'!AT159</f>
        <v>0</v>
      </c>
      <c r="AU159" s="139">
        <f>'IS (F1Q23)'!AU159-'IS (F4Q2022)'!AU159</f>
        <v>0</v>
      </c>
      <c r="AV159" s="49">
        <f>'IS (F1Q23)'!AV159-'IS (F4Q2022)'!AV159</f>
        <v>0</v>
      </c>
    </row>
    <row r="160" spans="2:48" outlineLevel="1" x14ac:dyDescent="0.3">
      <c r="B160" s="200" t="s">
        <v>135</v>
      </c>
      <c r="C160" s="201"/>
      <c r="D160" s="139">
        <f>'IS (F1Q23)'!D160-'IS (F4Q2022)'!D160</f>
        <v>0</v>
      </c>
      <c r="E160" s="16">
        <f>'IS (F1Q23)'!E160-'IS (F4Q2022)'!E160</f>
        <v>0</v>
      </c>
      <c r="F160" s="16">
        <f>'IS (F1Q23)'!F160-'IS (F4Q2022)'!F160</f>
        <v>0</v>
      </c>
      <c r="G160" s="139">
        <f>'IS (F1Q23)'!G160-'IS (F4Q2022)'!G160</f>
        <v>0</v>
      </c>
      <c r="H160" s="49">
        <f>'IS (F1Q23)'!H160-'IS (F4Q2022)'!H160</f>
        <v>0</v>
      </c>
      <c r="I160" s="139">
        <f>'IS (F1Q23)'!I160-'IS (F4Q2022)'!I160</f>
        <v>0</v>
      </c>
      <c r="J160" s="139">
        <f>'IS (F1Q23)'!J160-'IS (F4Q2022)'!J160</f>
        <v>0</v>
      </c>
      <c r="K160" s="139">
        <f>'IS (F1Q23)'!K160-'IS (F4Q2022)'!K160</f>
        <v>0</v>
      </c>
      <c r="L160" s="139">
        <f>'IS (F1Q23)'!L160-'IS (F4Q2022)'!L160</f>
        <v>0</v>
      </c>
      <c r="M160" s="49">
        <f>'IS (F1Q23)'!M160-'IS (F4Q2022)'!M160</f>
        <v>0</v>
      </c>
      <c r="N160" s="179">
        <f>'IS (F1Q23)'!N160-'IS (F4Q2022)'!N160</f>
        <v>0</v>
      </c>
      <c r="O160" s="139">
        <f>'IS (F1Q23)'!O160-'IS (F4Q2022)'!O160</f>
        <v>0</v>
      </c>
      <c r="P160" s="139">
        <f>'IS (F1Q23)'!P160-'IS (F4Q2022)'!P160</f>
        <v>0</v>
      </c>
      <c r="Q160" s="139">
        <f>'IS (F1Q23)'!Q160-'IS (F4Q2022)'!Q160</f>
        <v>0</v>
      </c>
      <c r="R160" s="49">
        <f>'IS (F1Q23)'!R160-'IS (F4Q2022)'!R160</f>
        <v>0</v>
      </c>
      <c r="S160" s="139">
        <f>'IS (F1Q23)'!S160-'IS (F4Q2022)'!S160</f>
        <v>0</v>
      </c>
      <c r="T160" s="139">
        <f>'IS (F1Q23)'!T160-'IS (F4Q2022)'!T160</f>
        <v>0</v>
      </c>
      <c r="U160" s="139">
        <f>'IS (F1Q23)'!U160-'IS (F4Q2022)'!U160</f>
        <v>0</v>
      </c>
      <c r="V160" s="139">
        <f>'IS (F1Q23)'!V160-'IS (F4Q2022)'!V160</f>
        <v>0</v>
      </c>
      <c r="W160" s="49">
        <f>'IS (F1Q23)'!W160-'IS (F4Q2022)'!W160</f>
        <v>0</v>
      </c>
      <c r="X160" s="139">
        <f>'IS (F1Q23)'!X160-'IS (F4Q2022)'!X160</f>
        <v>0</v>
      </c>
      <c r="Y160" s="139">
        <f>'IS (F1Q23)'!Y160-'IS (F4Q2022)'!Y160</f>
        <v>0</v>
      </c>
      <c r="Z160" s="139">
        <f>'IS (F1Q23)'!Z160-'IS (F4Q2022)'!Z160</f>
        <v>0</v>
      </c>
      <c r="AA160" s="139">
        <f>'IS (F1Q23)'!AA160-'IS (F4Q2022)'!AA160</f>
        <v>0</v>
      </c>
      <c r="AB160" s="49">
        <f>'IS (F1Q23)'!AB160-'IS (F4Q2022)'!AB160</f>
        <v>0</v>
      </c>
      <c r="AC160" s="139">
        <f>'IS (F1Q23)'!AC160-'IS (F4Q2022)'!AC160</f>
        <v>0</v>
      </c>
      <c r="AD160" s="139">
        <f>'IS (F1Q23)'!AD160-'IS (F4Q2022)'!AD160</f>
        <v>0</v>
      </c>
      <c r="AE160" s="139">
        <f>'IS (F1Q23)'!AE160-'IS (F4Q2022)'!AE160</f>
        <v>0</v>
      </c>
      <c r="AF160" s="139">
        <f>'IS (F1Q23)'!AF160-'IS (F4Q2022)'!AF160</f>
        <v>0</v>
      </c>
      <c r="AG160" s="49">
        <f>'IS (F1Q23)'!AG160-'IS (F4Q2022)'!AG160</f>
        <v>0</v>
      </c>
      <c r="AH160" s="139">
        <f>'IS (F1Q23)'!AH160-'IS (F4Q2022)'!AH160</f>
        <v>0</v>
      </c>
      <c r="AI160" s="139">
        <f>'IS (F1Q23)'!AI160-'IS (F4Q2022)'!AI160</f>
        <v>0</v>
      </c>
      <c r="AJ160" s="139">
        <f>'IS (F1Q23)'!AJ160-'IS (F4Q2022)'!AJ160</f>
        <v>0</v>
      </c>
      <c r="AK160" s="139">
        <f>'IS (F1Q23)'!AK160-'IS (F4Q2022)'!AK160</f>
        <v>0</v>
      </c>
      <c r="AL160" s="49">
        <f>'IS (F1Q23)'!AL160-'IS (F4Q2022)'!AL160</f>
        <v>0</v>
      </c>
      <c r="AM160" s="139">
        <f>'IS (F1Q23)'!AM160-'IS (F4Q2022)'!AM160</f>
        <v>0</v>
      </c>
      <c r="AN160" s="139">
        <f>'IS (F1Q23)'!AN160-'IS (F4Q2022)'!AN160</f>
        <v>0</v>
      </c>
      <c r="AO160" s="139">
        <f>'IS (F1Q23)'!AO160-'IS (F4Q2022)'!AO160</f>
        <v>0</v>
      </c>
      <c r="AP160" s="139">
        <f>'IS (F1Q23)'!AP160-'IS (F4Q2022)'!AP160</f>
        <v>0</v>
      </c>
      <c r="AQ160" s="49">
        <f>'IS (F1Q23)'!AQ160-'IS (F4Q2022)'!AQ160</f>
        <v>0</v>
      </c>
      <c r="AR160" s="139">
        <f>'IS (F1Q23)'!AR160-'IS (F4Q2022)'!AR160</f>
        <v>0</v>
      </c>
      <c r="AS160" s="139">
        <f>'IS (F1Q23)'!AS160-'IS (F4Q2022)'!AS160</f>
        <v>0</v>
      </c>
      <c r="AT160" s="139">
        <f>'IS (F1Q23)'!AT160-'IS (F4Q2022)'!AT160</f>
        <v>0</v>
      </c>
      <c r="AU160" s="139">
        <f>'IS (F1Q23)'!AU160-'IS (F4Q2022)'!AU160</f>
        <v>0</v>
      </c>
      <c r="AV160" s="49">
        <f>'IS (F1Q23)'!AV160-'IS (F4Q2022)'!AV160</f>
        <v>0</v>
      </c>
    </row>
    <row r="161" spans="2:48" outlineLevel="1" x14ac:dyDescent="0.3">
      <c r="B161" s="200" t="s">
        <v>136</v>
      </c>
      <c r="C161" s="201"/>
      <c r="D161" s="139">
        <f>'IS (F1Q23)'!D161-'IS (F4Q2022)'!D161</f>
        <v>0</v>
      </c>
      <c r="E161" s="139">
        <f>'IS (F1Q23)'!E161-'IS (F4Q2022)'!E161</f>
        <v>0</v>
      </c>
      <c r="F161" s="139">
        <f>'IS (F1Q23)'!F161-'IS (F4Q2022)'!F161</f>
        <v>0</v>
      </c>
      <c r="G161" s="139">
        <f>'IS (F1Q23)'!G161-'IS (F4Q2022)'!G161</f>
        <v>0</v>
      </c>
      <c r="H161" s="49">
        <f>'IS (F1Q23)'!H161-'IS (F4Q2022)'!H161</f>
        <v>0</v>
      </c>
      <c r="I161" s="139">
        <f>'IS (F1Q23)'!I161-'IS (F4Q2022)'!I161</f>
        <v>0</v>
      </c>
      <c r="J161" s="139">
        <f>'IS (F1Q23)'!J161-'IS (F4Q2022)'!J161</f>
        <v>0</v>
      </c>
      <c r="K161" s="139">
        <f>'IS (F1Q23)'!K161-'IS (F4Q2022)'!K161</f>
        <v>0</v>
      </c>
      <c r="L161" s="139">
        <f>'IS (F1Q23)'!L161-'IS (F4Q2022)'!L161</f>
        <v>0</v>
      </c>
      <c r="M161" s="49">
        <f>'IS (F1Q23)'!M161-'IS (F4Q2022)'!M161</f>
        <v>0</v>
      </c>
      <c r="N161" s="139">
        <f>'IS (F1Q23)'!N161-'IS (F4Q2022)'!N161</f>
        <v>0</v>
      </c>
      <c r="O161" s="139">
        <f>'IS (F1Q23)'!O161-'IS (F4Q2022)'!O161</f>
        <v>0</v>
      </c>
      <c r="P161" s="139">
        <f>'IS (F1Q23)'!P161-'IS (F4Q2022)'!P161</f>
        <v>0</v>
      </c>
      <c r="Q161" s="139">
        <f>'IS (F1Q23)'!Q161-'IS (F4Q2022)'!Q161</f>
        <v>0</v>
      </c>
      <c r="R161" s="49">
        <f>'IS (F1Q23)'!R161-'IS (F4Q2022)'!R161</f>
        <v>0</v>
      </c>
      <c r="S161" s="139">
        <f>'IS (F1Q23)'!S161-'IS (F4Q2022)'!S161</f>
        <v>0</v>
      </c>
      <c r="T161" s="139">
        <f>'IS (F1Q23)'!T161-'IS (F4Q2022)'!T161</f>
        <v>0</v>
      </c>
      <c r="U161" s="139">
        <f>'IS (F1Q23)'!U161-'IS (F4Q2022)'!U161</f>
        <v>0</v>
      </c>
      <c r="V161" s="139">
        <f>'IS (F1Q23)'!V161-'IS (F4Q2022)'!V161</f>
        <v>0</v>
      </c>
      <c r="W161" s="49">
        <f>'IS (F1Q23)'!W161-'IS (F4Q2022)'!W161</f>
        <v>0</v>
      </c>
      <c r="X161" s="139">
        <f>'IS (F1Q23)'!X161-'IS (F4Q2022)'!X161</f>
        <v>0</v>
      </c>
      <c r="Y161" s="139">
        <f>'IS (F1Q23)'!Y161-'IS (F4Q2022)'!Y161</f>
        <v>0</v>
      </c>
      <c r="Z161" s="139">
        <f>'IS (F1Q23)'!Z161-'IS (F4Q2022)'!Z161</f>
        <v>0</v>
      </c>
      <c r="AA161" s="139">
        <f>'IS (F1Q23)'!AA161-'IS (F4Q2022)'!AA161</f>
        <v>0</v>
      </c>
      <c r="AB161" s="49">
        <f>'IS (F1Q23)'!AB161-'IS (F4Q2022)'!AB161</f>
        <v>0</v>
      </c>
      <c r="AC161" s="139">
        <f>'IS (F1Q23)'!AC161-'IS (F4Q2022)'!AC161</f>
        <v>0</v>
      </c>
      <c r="AD161" s="139">
        <f>'IS (F1Q23)'!AD161-'IS (F4Q2022)'!AD161</f>
        <v>0</v>
      </c>
      <c r="AE161" s="139">
        <f>'IS (F1Q23)'!AE161-'IS (F4Q2022)'!AE161</f>
        <v>0</v>
      </c>
      <c r="AF161" s="139">
        <f>'IS (F1Q23)'!AF161-'IS (F4Q2022)'!AF161</f>
        <v>0</v>
      </c>
      <c r="AG161" s="49">
        <f>'IS (F1Q23)'!AG161-'IS (F4Q2022)'!AG161</f>
        <v>0</v>
      </c>
      <c r="AH161" s="139">
        <f>'IS (F1Q23)'!AH161-'IS (F4Q2022)'!AH161</f>
        <v>0</v>
      </c>
      <c r="AI161" s="139">
        <f>'IS (F1Q23)'!AI161-'IS (F4Q2022)'!AI161</f>
        <v>0</v>
      </c>
      <c r="AJ161" s="139">
        <f>'IS (F1Q23)'!AJ161-'IS (F4Q2022)'!AJ161</f>
        <v>0</v>
      </c>
      <c r="AK161" s="139">
        <f>'IS (F1Q23)'!AK161-'IS (F4Q2022)'!AK161</f>
        <v>0</v>
      </c>
      <c r="AL161" s="49">
        <f>'IS (F1Q23)'!AL161-'IS (F4Q2022)'!AL161</f>
        <v>0</v>
      </c>
      <c r="AM161" s="139">
        <f>'IS (F1Q23)'!AM161-'IS (F4Q2022)'!AM161</f>
        <v>0</v>
      </c>
      <c r="AN161" s="139">
        <f>'IS (F1Q23)'!AN161-'IS (F4Q2022)'!AN161</f>
        <v>0</v>
      </c>
      <c r="AO161" s="139">
        <f>'IS (F1Q23)'!AO161-'IS (F4Q2022)'!AO161</f>
        <v>0</v>
      </c>
      <c r="AP161" s="139">
        <f>'IS (F1Q23)'!AP161-'IS (F4Q2022)'!AP161</f>
        <v>0</v>
      </c>
      <c r="AQ161" s="49">
        <f>'IS (F1Q23)'!AQ161-'IS (F4Q2022)'!AQ161</f>
        <v>0</v>
      </c>
      <c r="AR161" s="139">
        <f>'IS (F1Q23)'!AR161-'IS (F4Q2022)'!AR161</f>
        <v>0</v>
      </c>
      <c r="AS161" s="139">
        <f>'IS (F1Q23)'!AS161-'IS (F4Q2022)'!AS161</f>
        <v>0</v>
      </c>
      <c r="AT161" s="139">
        <f>'IS (F1Q23)'!AT161-'IS (F4Q2022)'!AT161</f>
        <v>0</v>
      </c>
      <c r="AU161" s="139">
        <f>'IS (F1Q23)'!AU161-'IS (F4Q2022)'!AU161</f>
        <v>0</v>
      </c>
      <c r="AV161" s="49">
        <f>'IS (F1Q23)'!AV161-'IS (F4Q2022)'!AV161</f>
        <v>0</v>
      </c>
    </row>
    <row r="162" spans="2:48" ht="17.399999999999999" x14ac:dyDescent="0.45">
      <c r="B162" s="583" t="s">
        <v>12</v>
      </c>
      <c r="C162" s="584"/>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580" t="s">
        <v>65</v>
      </c>
      <c r="C163" s="581"/>
      <c r="D163" s="102">
        <f>'IS (F1Q23)'!D163-'IS (F4Q2022)'!D163</f>
        <v>0</v>
      </c>
      <c r="E163" s="102">
        <f>'IS (F1Q23)'!E163-'IS (F4Q2022)'!E163</f>
        <v>0</v>
      </c>
      <c r="F163" s="102">
        <f>'IS (F1Q23)'!F163-'IS (F4Q2022)'!F163</f>
        <v>0</v>
      </c>
      <c r="G163" s="102">
        <f>'IS (F1Q23)'!G163-'IS (F4Q2022)'!G163</f>
        <v>0</v>
      </c>
      <c r="H163" s="159">
        <f>'IS (F1Q23)'!H163-'IS (F4Q2022)'!H163</f>
        <v>0</v>
      </c>
      <c r="I163" s="102">
        <f>'IS (F1Q23)'!I163-'IS (F4Q2022)'!I163</f>
        <v>0</v>
      </c>
      <c r="J163" s="102">
        <f>'IS (F1Q23)'!J163-'IS (F4Q2022)'!J163</f>
        <v>0</v>
      </c>
      <c r="K163" s="105">
        <f>'IS (F1Q23)'!K163-'IS (F4Q2022)'!K163</f>
        <v>0</v>
      </c>
      <c r="L163" s="101">
        <f>'IS (F1Q23)'!L163-'IS (F4Q2022)'!L163</f>
        <v>0</v>
      </c>
      <c r="M163" s="169">
        <f>'IS (F1Q23)'!M163-'IS (F4Q2022)'!M163</f>
        <v>0</v>
      </c>
      <c r="N163" s="101">
        <f>'IS (F1Q23)'!N163-'IS (F4Q2022)'!N163</f>
        <v>0</v>
      </c>
      <c r="O163" s="101">
        <f>'IS (F1Q23)'!O163-'IS (F4Q2022)'!O163</f>
        <v>0</v>
      </c>
      <c r="P163" s="101">
        <f>'IS (F1Q23)'!P163-'IS (F4Q2022)'!P163</f>
        <v>0</v>
      </c>
      <c r="Q163" s="101">
        <f>'IS (F1Q23)'!Q163-'IS (F4Q2022)'!Q163</f>
        <v>0</v>
      </c>
      <c r="R163" s="17">
        <f>'IS (F1Q23)'!R163-'IS (F4Q2022)'!R163</f>
        <v>0</v>
      </c>
      <c r="S163" s="16">
        <f>'IS (F1Q23)'!S163-'IS (F4Q2022)'!S163</f>
        <v>0</v>
      </c>
      <c r="T163" s="16">
        <f>'IS (F1Q23)'!T163-'IS (F4Q2022)'!T163</f>
        <v>0</v>
      </c>
      <c r="U163" s="16">
        <f>'IS (F1Q23)'!U163-'IS (F4Q2022)'!U163</f>
        <v>0</v>
      </c>
      <c r="V163" s="101">
        <f>'IS (F1Q23)'!V163-'IS (F4Q2022)'!V163</f>
        <v>0</v>
      </c>
      <c r="W163" s="17">
        <f>'IS (F1Q23)'!W163-'IS (F4Q2022)'!W163</f>
        <v>0</v>
      </c>
      <c r="X163" s="33">
        <f>'IS (F1Q23)'!X163-'IS (F4Q2022)'!X163</f>
        <v>44.2</v>
      </c>
      <c r="Y163" s="33">
        <f>'IS (F1Q23)'!Y163-'IS (F4Q2022)'!Y163</f>
        <v>0</v>
      </c>
      <c r="Z163" s="33">
        <f>'IS (F1Q23)'!Z163-'IS (F4Q2022)'!Z163</f>
        <v>0</v>
      </c>
      <c r="AA163" s="33">
        <f>'IS (F1Q23)'!AA163-'IS (F4Q2022)'!AA163</f>
        <v>0</v>
      </c>
      <c r="AB163" s="17">
        <f>'IS (F1Q23)'!AB163-'IS (F4Q2022)'!AB163</f>
        <v>0</v>
      </c>
      <c r="AC163" s="33">
        <f>'IS (F1Q23)'!AC163-'IS (F4Q2022)'!AC163</f>
        <v>0</v>
      </c>
      <c r="AD163" s="33">
        <f>'IS (F1Q23)'!AD163-'IS (F4Q2022)'!AD163</f>
        <v>0</v>
      </c>
      <c r="AE163" s="33">
        <f>'IS (F1Q23)'!AE163-'IS (F4Q2022)'!AE163</f>
        <v>0</v>
      </c>
      <c r="AF163" s="33">
        <f>'IS (F1Q23)'!AF163-'IS (F4Q2022)'!AF163</f>
        <v>0</v>
      </c>
      <c r="AG163" s="17">
        <f>'IS (F1Q23)'!AG163-'IS (F4Q2022)'!AG163</f>
        <v>0</v>
      </c>
      <c r="AH163" s="33">
        <f>'IS (F1Q23)'!AH163-'IS (F4Q2022)'!AH163</f>
        <v>0</v>
      </c>
      <c r="AI163" s="33">
        <f>'IS (F1Q23)'!AI163-'IS (F4Q2022)'!AI163</f>
        <v>0</v>
      </c>
      <c r="AJ163" s="33">
        <f>'IS (F1Q23)'!AJ163-'IS (F4Q2022)'!AJ163</f>
        <v>0</v>
      </c>
      <c r="AK163" s="33">
        <f>'IS (F1Q23)'!AK163-'IS (F4Q2022)'!AK163</f>
        <v>0</v>
      </c>
      <c r="AL163" s="17">
        <f>'IS (F1Q23)'!AL163-'IS (F4Q2022)'!AL163</f>
        <v>0</v>
      </c>
      <c r="AM163" s="33">
        <f>'IS (F1Q23)'!AM163-'IS (F4Q2022)'!AM163</f>
        <v>0</v>
      </c>
      <c r="AN163" s="33">
        <f>'IS (F1Q23)'!AN163-'IS (F4Q2022)'!AN163</f>
        <v>0</v>
      </c>
      <c r="AO163" s="33">
        <f>'IS (F1Q23)'!AO163-'IS (F4Q2022)'!AO163</f>
        <v>0</v>
      </c>
      <c r="AP163" s="33">
        <f>'IS (F1Q23)'!AP163-'IS (F4Q2022)'!AP163</f>
        <v>0</v>
      </c>
      <c r="AQ163" s="17">
        <f>'IS (F1Q23)'!AQ163-'IS (F4Q2022)'!AQ163</f>
        <v>0</v>
      </c>
      <c r="AR163" s="33">
        <f>'IS (F1Q23)'!AR163-'IS (F4Q2022)'!AR163</f>
        <v>0</v>
      </c>
      <c r="AS163" s="33">
        <f>'IS (F1Q23)'!AS163-'IS (F4Q2022)'!AS163</f>
        <v>0</v>
      </c>
      <c r="AT163" s="33">
        <f>'IS (F1Q23)'!AT163-'IS (F4Q2022)'!AT163</f>
        <v>0</v>
      </c>
      <c r="AU163" s="33">
        <f>'IS (F1Q23)'!AU163-'IS (F4Q2022)'!AU163</f>
        <v>0</v>
      </c>
      <c r="AV163" s="17">
        <f>'IS (F1Q23)'!AV163-'IS (F4Q2022)'!AV163</f>
        <v>0</v>
      </c>
    </row>
    <row r="164" spans="2:48" outlineLevel="1" x14ac:dyDescent="0.3">
      <c r="B164" s="200" t="s">
        <v>64</v>
      </c>
      <c r="C164" s="201"/>
      <c r="D164" s="102">
        <f>'IS (F1Q23)'!D164-'IS (F4Q2022)'!D164</f>
        <v>0</v>
      </c>
      <c r="E164" s="102">
        <f>'IS (F1Q23)'!E164-'IS (F4Q2022)'!E164</f>
        <v>0</v>
      </c>
      <c r="F164" s="102">
        <f>'IS (F1Q23)'!F164-'IS (F4Q2022)'!F164</f>
        <v>0</v>
      </c>
      <c r="G164" s="102">
        <f>'IS (F1Q23)'!G164-'IS (F4Q2022)'!G164</f>
        <v>0</v>
      </c>
      <c r="H164" s="159">
        <f>'IS (F1Q23)'!H164-'IS (F4Q2022)'!H164</f>
        <v>0</v>
      </c>
      <c r="I164" s="102">
        <f>'IS (F1Q23)'!I164-'IS (F4Q2022)'!I164</f>
        <v>0</v>
      </c>
      <c r="J164" s="102">
        <f>'IS (F1Q23)'!J164-'IS (F4Q2022)'!J164</f>
        <v>0</v>
      </c>
      <c r="K164" s="105">
        <f>'IS (F1Q23)'!K164-'IS (F4Q2022)'!K164</f>
        <v>0</v>
      </c>
      <c r="L164" s="101">
        <f>'IS (F1Q23)'!L164-'IS (F4Q2022)'!L164</f>
        <v>0</v>
      </c>
      <c r="M164" s="169">
        <f>'IS (F1Q23)'!M164-'IS (F4Q2022)'!M164</f>
        <v>0</v>
      </c>
      <c r="N164" s="101">
        <f>'IS (F1Q23)'!N164-'IS (F4Q2022)'!N164</f>
        <v>0</v>
      </c>
      <c r="O164" s="101">
        <f>'IS (F1Q23)'!O164-'IS (F4Q2022)'!O164</f>
        <v>0</v>
      </c>
      <c r="P164" s="101">
        <f>'IS (F1Q23)'!P164-'IS (F4Q2022)'!P164</f>
        <v>0</v>
      </c>
      <c r="Q164" s="101">
        <f>'IS (F1Q23)'!Q164-'IS (F4Q2022)'!Q164</f>
        <v>0</v>
      </c>
      <c r="R164" s="17">
        <f>'IS (F1Q23)'!R164-'IS (F4Q2022)'!R164</f>
        <v>0</v>
      </c>
      <c r="S164" s="16">
        <f>'IS (F1Q23)'!S164-'IS (F4Q2022)'!S164</f>
        <v>0</v>
      </c>
      <c r="T164" s="16">
        <f>'IS (F1Q23)'!T164-'IS (F4Q2022)'!T164</f>
        <v>0</v>
      </c>
      <c r="U164" s="16">
        <f>'IS (F1Q23)'!U164-'IS (F4Q2022)'!U164</f>
        <v>0</v>
      </c>
      <c r="V164" s="101">
        <f>'IS (F1Q23)'!V164-'IS (F4Q2022)'!V164</f>
        <v>0</v>
      </c>
      <c r="W164" s="17">
        <f>'IS (F1Q23)'!W164-'IS (F4Q2022)'!W164</f>
        <v>0</v>
      </c>
      <c r="X164" s="33">
        <f>'IS (F1Q23)'!X164-'IS (F4Q2022)'!X164</f>
        <v>0</v>
      </c>
      <c r="Y164" s="33">
        <f>'IS (F1Q23)'!Y164-'IS (F4Q2022)'!Y164</f>
        <v>0</v>
      </c>
      <c r="Z164" s="33">
        <f>'IS (F1Q23)'!Z164-'IS (F4Q2022)'!Z164</f>
        <v>0</v>
      </c>
      <c r="AA164" s="33">
        <f>'IS (F1Q23)'!AA164-'IS (F4Q2022)'!AA164</f>
        <v>0</v>
      </c>
      <c r="AB164" s="17">
        <f>'IS (F1Q23)'!AB164-'IS (F4Q2022)'!AB164</f>
        <v>0</v>
      </c>
      <c r="AC164" s="33">
        <f>'IS (F1Q23)'!AC164-'IS (F4Q2022)'!AC164</f>
        <v>0</v>
      </c>
      <c r="AD164" s="33">
        <f>'IS (F1Q23)'!AD164-'IS (F4Q2022)'!AD164</f>
        <v>0</v>
      </c>
      <c r="AE164" s="33">
        <f>'IS (F1Q23)'!AE164-'IS (F4Q2022)'!AE164</f>
        <v>0</v>
      </c>
      <c r="AF164" s="33">
        <f>'IS (F1Q23)'!AF164-'IS (F4Q2022)'!AF164</f>
        <v>0</v>
      </c>
      <c r="AG164" s="17">
        <f>'IS (F1Q23)'!AG164-'IS (F4Q2022)'!AG164</f>
        <v>0</v>
      </c>
      <c r="AH164" s="33">
        <f>'IS (F1Q23)'!AH164-'IS (F4Q2022)'!AH164</f>
        <v>0</v>
      </c>
      <c r="AI164" s="33">
        <f>'IS (F1Q23)'!AI164-'IS (F4Q2022)'!AI164</f>
        <v>0</v>
      </c>
      <c r="AJ164" s="33">
        <f>'IS (F1Q23)'!AJ164-'IS (F4Q2022)'!AJ164</f>
        <v>0</v>
      </c>
      <c r="AK164" s="33">
        <f>'IS (F1Q23)'!AK164-'IS (F4Q2022)'!AK164</f>
        <v>0</v>
      </c>
      <c r="AL164" s="17">
        <f>'IS (F1Q23)'!AL164-'IS (F4Q2022)'!AL164</f>
        <v>0</v>
      </c>
      <c r="AM164" s="33">
        <f>'IS (F1Q23)'!AM164-'IS (F4Q2022)'!AM164</f>
        <v>0</v>
      </c>
      <c r="AN164" s="33">
        <f>'IS (F1Q23)'!AN164-'IS (F4Q2022)'!AN164</f>
        <v>0</v>
      </c>
      <c r="AO164" s="33">
        <f>'IS (F1Q23)'!AO164-'IS (F4Q2022)'!AO164</f>
        <v>0</v>
      </c>
      <c r="AP164" s="33">
        <f>'IS (F1Q23)'!AP164-'IS (F4Q2022)'!AP164</f>
        <v>0</v>
      </c>
      <c r="AQ164" s="17">
        <f>'IS (F1Q23)'!AQ164-'IS (F4Q2022)'!AQ164</f>
        <v>0</v>
      </c>
      <c r="AR164" s="33">
        <f>'IS (F1Q23)'!AR164-'IS (F4Q2022)'!AR164</f>
        <v>0</v>
      </c>
      <c r="AS164" s="33">
        <f>'IS (F1Q23)'!AS164-'IS (F4Q2022)'!AS164</f>
        <v>0</v>
      </c>
      <c r="AT164" s="33">
        <f>'IS (F1Q23)'!AT164-'IS (F4Q2022)'!AT164</f>
        <v>0</v>
      </c>
      <c r="AU164" s="33">
        <f>'IS (F1Q23)'!AU164-'IS (F4Q2022)'!AU164</f>
        <v>0</v>
      </c>
      <c r="AV164" s="17">
        <f>'IS (F1Q23)'!AV164-'IS (F4Q2022)'!AV164</f>
        <v>0</v>
      </c>
    </row>
    <row r="165" spans="2:48" outlineLevel="1" x14ac:dyDescent="0.3">
      <c r="B165" s="580" t="s">
        <v>129</v>
      </c>
      <c r="C165" s="581"/>
      <c r="D165" s="102">
        <f>'IS (F1Q23)'!D165-'IS (F4Q2022)'!D165</f>
        <v>0</v>
      </c>
      <c r="E165" s="102">
        <f>'IS (F1Q23)'!E165-'IS (F4Q2022)'!E165</f>
        <v>0</v>
      </c>
      <c r="F165" s="102">
        <f>'IS (F1Q23)'!F165-'IS (F4Q2022)'!F165</f>
        <v>0</v>
      </c>
      <c r="G165" s="102">
        <f>'IS (F1Q23)'!G165-'IS (F4Q2022)'!G165</f>
        <v>0</v>
      </c>
      <c r="H165" s="159">
        <f>'IS (F1Q23)'!H165-'IS (F4Q2022)'!H165</f>
        <v>0</v>
      </c>
      <c r="I165" s="102">
        <f>'IS (F1Q23)'!I165-'IS (F4Q2022)'!I165</f>
        <v>0</v>
      </c>
      <c r="J165" s="102">
        <f>'IS (F1Q23)'!J165-'IS (F4Q2022)'!J165</f>
        <v>0</v>
      </c>
      <c r="K165" s="105">
        <f>'IS (F1Q23)'!K165-'IS (F4Q2022)'!K165</f>
        <v>0</v>
      </c>
      <c r="L165" s="101">
        <f>'IS (F1Q23)'!L165-'IS (F4Q2022)'!L165</f>
        <v>0</v>
      </c>
      <c r="M165" s="169">
        <f>'IS (F1Q23)'!M165-'IS (F4Q2022)'!M165</f>
        <v>0</v>
      </c>
      <c r="N165" s="101">
        <f>'IS (F1Q23)'!N165-'IS (F4Q2022)'!N165</f>
        <v>0</v>
      </c>
      <c r="O165" s="101">
        <f>'IS (F1Q23)'!O165-'IS (F4Q2022)'!O165</f>
        <v>0</v>
      </c>
      <c r="P165" s="101">
        <f>'IS (F1Q23)'!P165-'IS (F4Q2022)'!P165</f>
        <v>0</v>
      </c>
      <c r="Q165" s="101">
        <f>'IS (F1Q23)'!Q165-'IS (F4Q2022)'!Q165</f>
        <v>0</v>
      </c>
      <c r="R165" s="17">
        <f>'IS (F1Q23)'!R165-'IS (F4Q2022)'!R165</f>
        <v>0</v>
      </c>
      <c r="S165" s="16">
        <f>'IS (F1Q23)'!S165-'IS (F4Q2022)'!S165</f>
        <v>0</v>
      </c>
      <c r="T165" s="16">
        <f>'IS (F1Q23)'!T165-'IS (F4Q2022)'!T165</f>
        <v>0</v>
      </c>
      <c r="U165" s="16">
        <f>'IS (F1Q23)'!U165-'IS (F4Q2022)'!U165</f>
        <v>0</v>
      </c>
      <c r="V165" s="101">
        <f>'IS (F1Q23)'!V165-'IS (F4Q2022)'!V165</f>
        <v>0</v>
      </c>
      <c r="W165" s="17">
        <f>'IS (F1Q23)'!W165-'IS (F4Q2022)'!W165</f>
        <v>0</v>
      </c>
      <c r="X165" s="33">
        <f>'IS (F1Q23)'!X165-'IS (F4Q2022)'!X165</f>
        <v>41.7</v>
      </c>
      <c r="Y165" s="33">
        <f>'IS (F1Q23)'!Y165-'IS (F4Q2022)'!Y165</f>
        <v>41.7</v>
      </c>
      <c r="Z165" s="33">
        <f>'IS (F1Q23)'!Z165-'IS (F4Q2022)'!Z165</f>
        <v>41.7</v>
      </c>
      <c r="AA165" s="33">
        <f>'IS (F1Q23)'!AA165-'IS (F4Q2022)'!AA165</f>
        <v>41.7</v>
      </c>
      <c r="AB165" s="17">
        <f>'IS (F1Q23)'!AB165-'IS (F4Q2022)'!AB165</f>
        <v>0</v>
      </c>
      <c r="AC165" s="33">
        <f>'IS (F1Q23)'!AC165-'IS (F4Q2022)'!AC165</f>
        <v>41.7</v>
      </c>
      <c r="AD165" s="33">
        <f>'IS (F1Q23)'!AD165-'IS (F4Q2022)'!AD165</f>
        <v>41.7</v>
      </c>
      <c r="AE165" s="33">
        <f>'IS (F1Q23)'!AE165-'IS (F4Q2022)'!AE165</f>
        <v>41.7</v>
      </c>
      <c r="AF165" s="33">
        <f>'IS (F1Q23)'!AF165-'IS (F4Q2022)'!AF165</f>
        <v>41.7</v>
      </c>
      <c r="AG165" s="17">
        <f>'IS (F1Q23)'!AG165-'IS (F4Q2022)'!AG165</f>
        <v>0</v>
      </c>
      <c r="AH165" s="33">
        <f>'IS (F1Q23)'!AH165-'IS (F4Q2022)'!AH165</f>
        <v>41.7</v>
      </c>
      <c r="AI165" s="33">
        <f>'IS (F1Q23)'!AI165-'IS (F4Q2022)'!AI165</f>
        <v>41.7</v>
      </c>
      <c r="AJ165" s="33">
        <f>'IS (F1Q23)'!AJ165-'IS (F4Q2022)'!AJ165</f>
        <v>41.7</v>
      </c>
      <c r="AK165" s="33">
        <f>'IS (F1Q23)'!AK165-'IS (F4Q2022)'!AK165</f>
        <v>41.7</v>
      </c>
      <c r="AL165" s="17">
        <f>'IS (F1Q23)'!AL165-'IS (F4Q2022)'!AL165</f>
        <v>0</v>
      </c>
      <c r="AM165" s="33">
        <f>'IS (F1Q23)'!AM165-'IS (F4Q2022)'!AM165</f>
        <v>41.7</v>
      </c>
      <c r="AN165" s="33">
        <f>'IS (F1Q23)'!AN165-'IS (F4Q2022)'!AN165</f>
        <v>41.7</v>
      </c>
      <c r="AO165" s="33">
        <f>'IS (F1Q23)'!AO165-'IS (F4Q2022)'!AO165</f>
        <v>41.7</v>
      </c>
      <c r="AP165" s="33">
        <f>'IS (F1Q23)'!AP165-'IS (F4Q2022)'!AP165</f>
        <v>41.7</v>
      </c>
      <c r="AQ165" s="17">
        <f>'IS (F1Q23)'!AQ165-'IS (F4Q2022)'!AQ165</f>
        <v>0</v>
      </c>
      <c r="AR165" s="33">
        <f>'IS (F1Q23)'!AR165-'IS (F4Q2022)'!AR165</f>
        <v>41.7</v>
      </c>
      <c r="AS165" s="33">
        <f>'IS (F1Q23)'!AS165-'IS (F4Q2022)'!AS165</f>
        <v>41.7</v>
      </c>
      <c r="AT165" s="33">
        <f>'IS (F1Q23)'!AT165-'IS (F4Q2022)'!AT165</f>
        <v>41.7</v>
      </c>
      <c r="AU165" s="33">
        <f>'IS (F1Q23)'!AU165-'IS (F4Q2022)'!AU165</f>
        <v>41.7</v>
      </c>
      <c r="AV165" s="17">
        <f>'IS (F1Q23)'!AV165-'IS (F4Q2022)'!AV165</f>
        <v>0</v>
      </c>
    </row>
    <row r="166" spans="2:48" outlineLevel="1" x14ac:dyDescent="0.3">
      <c r="B166" s="200" t="s">
        <v>66</v>
      </c>
      <c r="C166" s="201"/>
      <c r="D166" s="102">
        <f>'IS (F1Q23)'!D166-'IS (F4Q2022)'!D166</f>
        <v>0</v>
      </c>
      <c r="E166" s="102">
        <f>'IS (F1Q23)'!E166-'IS (F4Q2022)'!E166</f>
        <v>0</v>
      </c>
      <c r="F166" s="102">
        <f>'IS (F1Q23)'!F166-'IS (F4Q2022)'!F166</f>
        <v>0</v>
      </c>
      <c r="G166" s="102">
        <f>'IS (F1Q23)'!G166-'IS (F4Q2022)'!G166</f>
        <v>0</v>
      </c>
      <c r="H166" s="159">
        <f>'IS (F1Q23)'!H166-'IS (F4Q2022)'!H166</f>
        <v>0</v>
      </c>
      <c r="I166" s="102">
        <f>'IS (F1Q23)'!I166-'IS (F4Q2022)'!I166</f>
        <v>0</v>
      </c>
      <c r="J166" s="102">
        <f>'IS (F1Q23)'!J166-'IS (F4Q2022)'!J166</f>
        <v>0</v>
      </c>
      <c r="K166" s="101">
        <f>'IS (F1Q23)'!K166-'IS (F4Q2022)'!K166</f>
        <v>0</v>
      </c>
      <c r="L166" s="101">
        <f>'IS (F1Q23)'!L166-'IS (F4Q2022)'!L166</f>
        <v>0</v>
      </c>
      <c r="M166" s="169">
        <f>'IS (F1Q23)'!M166-'IS (F4Q2022)'!M166</f>
        <v>0</v>
      </c>
      <c r="N166" s="101">
        <f>'IS (F1Q23)'!N166-'IS (F4Q2022)'!N166</f>
        <v>0</v>
      </c>
      <c r="O166" s="101">
        <f>'IS (F1Q23)'!O166-'IS (F4Q2022)'!O166</f>
        <v>0</v>
      </c>
      <c r="P166" s="101">
        <f>'IS (F1Q23)'!P166-'IS (F4Q2022)'!P166</f>
        <v>0</v>
      </c>
      <c r="Q166" s="101">
        <f>'IS (F1Q23)'!Q166-'IS (F4Q2022)'!Q166</f>
        <v>0</v>
      </c>
      <c r="R166" s="17">
        <f>'IS (F1Q23)'!R166-'IS (F4Q2022)'!R166</f>
        <v>0</v>
      </c>
      <c r="S166" s="16">
        <f>'IS (F1Q23)'!S166-'IS (F4Q2022)'!S166</f>
        <v>0</v>
      </c>
      <c r="T166" s="16">
        <f>'IS (F1Q23)'!T166-'IS (F4Q2022)'!T166</f>
        <v>0</v>
      </c>
      <c r="U166" s="16">
        <f>'IS (F1Q23)'!U166-'IS (F4Q2022)'!U166</f>
        <v>0</v>
      </c>
      <c r="V166" s="101">
        <f>'IS (F1Q23)'!V166-'IS (F4Q2022)'!V166</f>
        <v>0</v>
      </c>
      <c r="W166" s="17">
        <f>'IS (F1Q23)'!W166-'IS (F4Q2022)'!W166</f>
        <v>0</v>
      </c>
      <c r="X166" s="33">
        <f>'IS (F1Q23)'!X166-'IS (F4Q2022)'!X166</f>
        <v>0</v>
      </c>
      <c r="Y166" s="33">
        <f>'IS (F1Q23)'!Y166-'IS (F4Q2022)'!Y166</f>
        <v>0</v>
      </c>
      <c r="Z166" s="33">
        <f>'IS (F1Q23)'!Z166-'IS (F4Q2022)'!Z166</f>
        <v>0</v>
      </c>
      <c r="AA166" s="33">
        <f>'IS (F1Q23)'!AA166-'IS (F4Q2022)'!AA166</f>
        <v>0</v>
      </c>
      <c r="AB166" s="17">
        <f>'IS (F1Q23)'!AB166-'IS (F4Q2022)'!AB166</f>
        <v>0</v>
      </c>
      <c r="AC166" s="33">
        <f>'IS (F1Q23)'!AC166-'IS (F4Q2022)'!AC166</f>
        <v>0</v>
      </c>
      <c r="AD166" s="33">
        <f>'IS (F1Q23)'!AD166-'IS (F4Q2022)'!AD166</f>
        <v>0</v>
      </c>
      <c r="AE166" s="33">
        <f>'IS (F1Q23)'!AE166-'IS (F4Q2022)'!AE166</f>
        <v>0</v>
      </c>
      <c r="AF166" s="33">
        <f>'IS (F1Q23)'!AF166-'IS (F4Q2022)'!AF166</f>
        <v>0</v>
      </c>
      <c r="AG166" s="17">
        <f>'IS (F1Q23)'!AG166-'IS (F4Q2022)'!AG166</f>
        <v>0</v>
      </c>
      <c r="AH166" s="33">
        <f>'IS (F1Q23)'!AH166-'IS (F4Q2022)'!AH166</f>
        <v>0</v>
      </c>
      <c r="AI166" s="33">
        <f>'IS (F1Q23)'!AI166-'IS (F4Q2022)'!AI166</f>
        <v>0</v>
      </c>
      <c r="AJ166" s="33">
        <f>'IS (F1Q23)'!AJ166-'IS (F4Q2022)'!AJ166</f>
        <v>0</v>
      </c>
      <c r="AK166" s="33">
        <f>'IS (F1Q23)'!AK166-'IS (F4Q2022)'!AK166</f>
        <v>0</v>
      </c>
      <c r="AL166" s="17">
        <f>'IS (F1Q23)'!AL166-'IS (F4Q2022)'!AL166</f>
        <v>0</v>
      </c>
      <c r="AM166" s="33">
        <f>'IS (F1Q23)'!AM166-'IS (F4Q2022)'!AM166</f>
        <v>0</v>
      </c>
      <c r="AN166" s="33">
        <f>'IS (F1Q23)'!AN166-'IS (F4Q2022)'!AN166</f>
        <v>0</v>
      </c>
      <c r="AO166" s="33">
        <f>'IS (F1Q23)'!AO166-'IS (F4Q2022)'!AO166</f>
        <v>0</v>
      </c>
      <c r="AP166" s="33">
        <f>'IS (F1Q23)'!AP166-'IS (F4Q2022)'!AP166</f>
        <v>0</v>
      </c>
      <c r="AQ166" s="17">
        <f>'IS (F1Q23)'!AQ166-'IS (F4Q2022)'!AQ166</f>
        <v>0</v>
      </c>
      <c r="AR166" s="33">
        <f>'IS (F1Q23)'!AR166-'IS (F4Q2022)'!AR166</f>
        <v>0</v>
      </c>
      <c r="AS166" s="33">
        <f>'IS (F1Q23)'!AS166-'IS (F4Q2022)'!AS166</f>
        <v>0</v>
      </c>
      <c r="AT166" s="33">
        <f>'IS (F1Q23)'!AT166-'IS (F4Q2022)'!AT166</f>
        <v>0</v>
      </c>
      <c r="AU166" s="33">
        <f>'IS (F1Q23)'!AU166-'IS (F4Q2022)'!AU166</f>
        <v>0</v>
      </c>
      <c r="AV166" s="17">
        <f>'IS (F1Q23)'!AV166-'IS (F4Q2022)'!AV166</f>
        <v>0</v>
      </c>
    </row>
    <row r="167" spans="2:48" ht="16.2" outlineLevel="1" x14ac:dyDescent="0.45">
      <c r="B167" s="200" t="s">
        <v>80</v>
      </c>
      <c r="C167" s="201"/>
      <c r="D167" s="138">
        <f>'IS (F1Q23)'!D167-'IS (F4Q2022)'!D167</f>
        <v>0</v>
      </c>
      <c r="E167" s="138">
        <f>'IS (F1Q23)'!E167-'IS (F4Q2022)'!E167</f>
        <v>0</v>
      </c>
      <c r="F167" s="138">
        <f>'IS (F1Q23)'!F167-'IS (F4Q2022)'!F167</f>
        <v>0</v>
      </c>
      <c r="G167" s="138">
        <f>'IS (F1Q23)'!G167-'IS (F4Q2022)'!G167</f>
        <v>0</v>
      </c>
      <c r="H167" s="160">
        <f>'IS (F1Q23)'!H167-'IS (F4Q2022)'!H167</f>
        <v>0</v>
      </c>
      <c r="I167" s="138">
        <f>'IS (F1Q23)'!I167-'IS (F4Q2022)'!I167</f>
        <v>0</v>
      </c>
      <c r="J167" s="138">
        <f>'IS (F1Q23)'!J167-'IS (F4Q2022)'!J167</f>
        <v>0</v>
      </c>
      <c r="K167" s="112">
        <f>'IS (F1Q23)'!K167-'IS (F4Q2022)'!K167</f>
        <v>0</v>
      </c>
      <c r="L167" s="112">
        <f>'IS (F1Q23)'!L167-'IS (F4Q2022)'!L167</f>
        <v>0</v>
      </c>
      <c r="M167" s="169">
        <f>'IS (F1Q23)'!M167-'IS (F4Q2022)'!M167</f>
        <v>0</v>
      </c>
      <c r="N167" s="112">
        <f>'IS (F1Q23)'!N167-'IS (F4Q2022)'!N167</f>
        <v>0</v>
      </c>
      <c r="O167" s="112">
        <f>'IS (F1Q23)'!O167-'IS (F4Q2022)'!O167</f>
        <v>0</v>
      </c>
      <c r="P167" s="112">
        <f>'IS (F1Q23)'!P167-'IS (F4Q2022)'!P167</f>
        <v>0</v>
      </c>
      <c r="Q167" s="112">
        <f>'IS (F1Q23)'!Q167-'IS (F4Q2022)'!Q167</f>
        <v>0</v>
      </c>
      <c r="R167" s="17">
        <f>'IS (F1Q23)'!R167-'IS (F4Q2022)'!R167</f>
        <v>0</v>
      </c>
      <c r="S167" s="112">
        <f>'IS (F1Q23)'!S167-'IS (F4Q2022)'!S167</f>
        <v>0</v>
      </c>
      <c r="T167" s="112">
        <f>'IS (F1Q23)'!T167-'IS (F4Q2022)'!T167</f>
        <v>0</v>
      </c>
      <c r="U167" s="112">
        <f>'IS (F1Q23)'!U167-'IS (F4Q2022)'!U167</f>
        <v>0</v>
      </c>
      <c r="V167" s="112">
        <f>'IS (F1Q23)'!V167-'IS (F4Q2022)'!V167</f>
        <v>0</v>
      </c>
      <c r="W167" s="17">
        <f>'IS (F1Q23)'!W167-'IS (F4Q2022)'!W167</f>
        <v>0</v>
      </c>
      <c r="X167" s="32">
        <f>'IS (F1Q23)'!X167-'IS (F4Q2022)'!X167</f>
        <v>-31.798908368811873</v>
      </c>
      <c r="Y167" s="32">
        <f>'IS (F1Q23)'!Y167-'IS (F4Q2022)'!Y167</f>
        <v>-31.798908368811873</v>
      </c>
      <c r="Z167" s="32">
        <f>'IS (F1Q23)'!Z167-'IS (F4Q2022)'!Z167</f>
        <v>-31.798908368811873</v>
      </c>
      <c r="AA167" s="32">
        <f>'IS (F1Q23)'!AA167-'IS (F4Q2022)'!AA167</f>
        <v>-31.798908368811873</v>
      </c>
      <c r="AB167" s="17">
        <f>'IS (F1Q23)'!AB167-'IS (F4Q2022)'!AB167</f>
        <v>0</v>
      </c>
      <c r="AC167" s="32">
        <f>'IS (F1Q23)'!AC167-'IS (F4Q2022)'!AC167</f>
        <v>-31.798908368811873</v>
      </c>
      <c r="AD167" s="32">
        <f>'IS (F1Q23)'!AD167-'IS (F4Q2022)'!AD167</f>
        <v>0</v>
      </c>
      <c r="AE167" s="32">
        <f>'IS (F1Q23)'!AE167-'IS (F4Q2022)'!AE167</f>
        <v>0</v>
      </c>
      <c r="AF167" s="32">
        <f>'IS (F1Q23)'!AF167-'IS (F4Q2022)'!AF167</f>
        <v>0</v>
      </c>
      <c r="AG167" s="17">
        <f>'IS (F1Q23)'!AG167-'IS (F4Q2022)'!AG167</f>
        <v>0</v>
      </c>
      <c r="AH167" s="32">
        <f>'IS (F1Q23)'!AH167-'IS (F4Q2022)'!AH167</f>
        <v>0</v>
      </c>
      <c r="AI167" s="32">
        <f>'IS (F1Q23)'!AI167-'IS (F4Q2022)'!AI167</f>
        <v>0</v>
      </c>
      <c r="AJ167" s="32">
        <f>'IS (F1Q23)'!AJ167-'IS (F4Q2022)'!AJ167</f>
        <v>0</v>
      </c>
      <c r="AK167" s="32">
        <f>'IS (F1Q23)'!AK167-'IS (F4Q2022)'!AK167</f>
        <v>0</v>
      </c>
      <c r="AL167" s="17">
        <f>'IS (F1Q23)'!AL167-'IS (F4Q2022)'!AL167</f>
        <v>0</v>
      </c>
      <c r="AM167" s="32">
        <f>'IS (F1Q23)'!AM167-'IS (F4Q2022)'!AM167</f>
        <v>0</v>
      </c>
      <c r="AN167" s="32">
        <f>'IS (F1Q23)'!AN167-'IS (F4Q2022)'!AN167</f>
        <v>0</v>
      </c>
      <c r="AO167" s="32">
        <f>'IS (F1Q23)'!AO167-'IS (F4Q2022)'!AO167</f>
        <v>0</v>
      </c>
      <c r="AP167" s="32">
        <f>'IS (F1Q23)'!AP167-'IS (F4Q2022)'!AP167</f>
        <v>0</v>
      </c>
      <c r="AQ167" s="17">
        <f>'IS (F1Q23)'!AQ167-'IS (F4Q2022)'!AQ167</f>
        <v>0</v>
      </c>
      <c r="AR167" s="32">
        <f>'IS (F1Q23)'!AR167-'IS (F4Q2022)'!AR167</f>
        <v>0</v>
      </c>
      <c r="AS167" s="32">
        <f>'IS (F1Q23)'!AS167-'IS (F4Q2022)'!AS167</f>
        <v>0</v>
      </c>
      <c r="AT167" s="32">
        <f>'IS (F1Q23)'!AT167-'IS (F4Q2022)'!AT167</f>
        <v>0</v>
      </c>
      <c r="AU167" s="32">
        <f>'IS (F1Q23)'!AU167-'IS (F4Q2022)'!AU167</f>
        <v>0</v>
      </c>
      <c r="AV167" s="17">
        <f>'IS (F1Q23)'!AV167-'IS (F4Q2022)'!AV167</f>
        <v>0</v>
      </c>
    </row>
    <row r="168" spans="2:48" s="8" customFormat="1" outlineLevel="1" x14ac:dyDescent="0.3">
      <c r="B168" s="205" t="s">
        <v>67</v>
      </c>
      <c r="C168" s="202"/>
      <c r="D168" s="103">
        <f>'IS (F1Q23)'!D168-'IS (F4Q2022)'!D168</f>
        <v>0</v>
      </c>
      <c r="E168" s="103">
        <f>'IS (F1Q23)'!E168-'IS (F4Q2022)'!E168</f>
        <v>0</v>
      </c>
      <c r="F168" s="103">
        <f>'IS (F1Q23)'!F168-'IS (F4Q2022)'!F168</f>
        <v>0</v>
      </c>
      <c r="G168" s="103">
        <f>'IS (F1Q23)'!G168-'IS (F4Q2022)'!G168</f>
        <v>0</v>
      </c>
      <c r="H168" s="171">
        <f>'IS (F1Q23)'!H168-'IS (F4Q2022)'!H168</f>
        <v>0</v>
      </c>
      <c r="I168" s="103">
        <f>'IS (F1Q23)'!I168-'IS (F4Q2022)'!I168</f>
        <v>0</v>
      </c>
      <c r="J168" s="103">
        <f>'IS (F1Q23)'!J168-'IS (F4Q2022)'!J168</f>
        <v>0</v>
      </c>
      <c r="K168" s="103">
        <f>'IS (F1Q23)'!K168-'IS (F4Q2022)'!K168</f>
        <v>0</v>
      </c>
      <c r="L168" s="103">
        <f>'IS (F1Q23)'!L168-'IS (F4Q2022)'!L168</f>
        <v>0</v>
      </c>
      <c r="M168" s="150">
        <f>'IS (F1Q23)'!M168-'IS (F4Q2022)'!M168</f>
        <v>0</v>
      </c>
      <c r="N168" s="103">
        <f>'IS (F1Q23)'!N168-'IS (F4Q2022)'!N168</f>
        <v>0</v>
      </c>
      <c r="O168" s="103">
        <f>'IS (F1Q23)'!O168-'IS (F4Q2022)'!O168</f>
        <v>0</v>
      </c>
      <c r="P168" s="103">
        <f>'IS (F1Q23)'!P168-'IS (F4Q2022)'!P168</f>
        <v>0</v>
      </c>
      <c r="Q168" s="103">
        <f>'IS (F1Q23)'!Q168-'IS (F4Q2022)'!Q168</f>
        <v>0</v>
      </c>
      <c r="R168" s="22">
        <f>'IS (F1Q23)'!R168-'IS (F4Q2022)'!R168</f>
        <v>0</v>
      </c>
      <c r="S168" s="103">
        <f>'IS (F1Q23)'!S168-'IS (F4Q2022)'!S168</f>
        <v>0</v>
      </c>
      <c r="T168" s="50">
        <f>'IS (F1Q23)'!T168-'IS (F4Q2022)'!T168</f>
        <v>0</v>
      </c>
      <c r="U168" s="50">
        <f>'IS (F1Q23)'!U168-'IS (F4Q2022)'!U168</f>
        <v>0</v>
      </c>
      <c r="V168" s="50">
        <f>'IS (F1Q23)'!V168-'IS (F4Q2022)'!V168</f>
        <v>0</v>
      </c>
      <c r="W168" s="22">
        <f>'IS (F1Q23)'!W168-'IS (F4Q2022)'!W168</f>
        <v>0</v>
      </c>
      <c r="X168" s="50">
        <f>'IS (F1Q23)'!X168-'IS (F4Q2022)'!X168</f>
        <v>54.101091631188126</v>
      </c>
      <c r="Y168" s="50">
        <f>'IS (F1Q23)'!Y168-'IS (F4Q2022)'!Y168</f>
        <v>9.9010916311881267</v>
      </c>
      <c r="Z168" s="50">
        <f>'IS (F1Q23)'!Z168-'IS (F4Q2022)'!Z168</f>
        <v>9.9010916311881267</v>
      </c>
      <c r="AA168" s="50">
        <f>'IS (F1Q23)'!AA168-'IS (F4Q2022)'!AA168</f>
        <v>9.9010916311881267</v>
      </c>
      <c r="AB168" s="22">
        <f>'IS (F1Q23)'!AB168-'IS (F4Q2022)'!AB168</f>
        <v>0</v>
      </c>
      <c r="AC168" s="50">
        <f>'IS (F1Q23)'!AC168-'IS (F4Q2022)'!AC168</f>
        <v>9.9010916311881267</v>
      </c>
      <c r="AD168" s="50">
        <f>'IS (F1Q23)'!AD168-'IS (F4Q2022)'!AD168</f>
        <v>41.7</v>
      </c>
      <c r="AE168" s="50">
        <f>'IS (F1Q23)'!AE168-'IS (F4Q2022)'!AE168</f>
        <v>41.7</v>
      </c>
      <c r="AF168" s="50">
        <f>'IS (F1Q23)'!AF168-'IS (F4Q2022)'!AF168</f>
        <v>41.7</v>
      </c>
      <c r="AG168" s="22">
        <f>'IS (F1Q23)'!AG168-'IS (F4Q2022)'!AG168</f>
        <v>0</v>
      </c>
      <c r="AH168" s="50">
        <f>'IS (F1Q23)'!AH168-'IS (F4Q2022)'!AH168</f>
        <v>41.7</v>
      </c>
      <c r="AI168" s="50">
        <f>'IS (F1Q23)'!AI168-'IS (F4Q2022)'!AI168</f>
        <v>41.7</v>
      </c>
      <c r="AJ168" s="50">
        <f>'IS (F1Q23)'!AJ168-'IS (F4Q2022)'!AJ168</f>
        <v>41.7</v>
      </c>
      <c r="AK168" s="50">
        <f>'IS (F1Q23)'!AK168-'IS (F4Q2022)'!AK168</f>
        <v>41.7</v>
      </c>
      <c r="AL168" s="22">
        <f>'IS (F1Q23)'!AL168-'IS (F4Q2022)'!AL168</f>
        <v>0</v>
      </c>
      <c r="AM168" s="50">
        <f>'IS (F1Q23)'!AM168-'IS (F4Q2022)'!AM168</f>
        <v>41.7</v>
      </c>
      <c r="AN168" s="50">
        <f>'IS (F1Q23)'!AN168-'IS (F4Q2022)'!AN168</f>
        <v>41.7</v>
      </c>
      <c r="AO168" s="50">
        <f>'IS (F1Q23)'!AO168-'IS (F4Q2022)'!AO168</f>
        <v>41.7</v>
      </c>
      <c r="AP168" s="50">
        <f>'IS (F1Q23)'!AP168-'IS (F4Q2022)'!AP168</f>
        <v>41.7</v>
      </c>
      <c r="AQ168" s="22">
        <f>'IS (F1Q23)'!AQ168-'IS (F4Q2022)'!AQ168</f>
        <v>0</v>
      </c>
      <c r="AR168" s="50">
        <f>'IS (F1Q23)'!AR168-'IS (F4Q2022)'!AR168</f>
        <v>41.7</v>
      </c>
      <c r="AS168" s="50">
        <f>'IS (F1Q23)'!AS168-'IS (F4Q2022)'!AS168</f>
        <v>41.7</v>
      </c>
      <c r="AT168" s="50">
        <f>'IS (F1Q23)'!AT168-'IS (F4Q2022)'!AT168</f>
        <v>41.7</v>
      </c>
      <c r="AU168" s="50">
        <f>'IS (F1Q23)'!AU168-'IS (F4Q2022)'!AU168</f>
        <v>41.7</v>
      </c>
      <c r="AV168" s="22">
        <f>'IS (F1Q23)'!AV168-'IS (F4Q2022)'!AV168</f>
        <v>0</v>
      </c>
    </row>
    <row r="169" spans="2:48" ht="16.2" outlineLevel="1" x14ac:dyDescent="0.45">
      <c r="B169" s="200" t="s">
        <v>155</v>
      </c>
      <c r="C169" s="201"/>
      <c r="D169" s="104">
        <f>'IS (F1Q23)'!D169-'IS (F4Q2022)'!D169</f>
        <v>0</v>
      </c>
      <c r="E169" s="104">
        <f>'IS (F1Q23)'!E169-'IS (F4Q2022)'!E169</f>
        <v>0</v>
      </c>
      <c r="F169" s="104">
        <f>'IS (F1Q23)'!F169-'IS (F4Q2022)'!F169</f>
        <v>0</v>
      </c>
      <c r="G169" s="104">
        <f>'IS (F1Q23)'!G169-'IS (F4Q2022)'!G169</f>
        <v>0</v>
      </c>
      <c r="H169" s="169">
        <f>'IS (F1Q23)'!H169-'IS (F4Q2022)'!H169</f>
        <v>0</v>
      </c>
      <c r="I169" s="104">
        <f>'IS (F1Q23)'!I169-'IS (F4Q2022)'!I169</f>
        <v>0</v>
      </c>
      <c r="J169" s="104">
        <f>'IS (F1Q23)'!J169-'IS (F4Q2022)'!J169</f>
        <v>0</v>
      </c>
      <c r="K169" s="104">
        <f>'IS (F1Q23)'!K169-'IS (F4Q2022)'!K169</f>
        <v>0</v>
      </c>
      <c r="L169" s="104">
        <f>'IS (F1Q23)'!L169-'IS (F4Q2022)'!L169</f>
        <v>0</v>
      </c>
      <c r="M169" s="169">
        <f>'IS (F1Q23)'!M169-'IS (F4Q2022)'!M169</f>
        <v>0</v>
      </c>
      <c r="N169" s="104">
        <f>'IS (F1Q23)'!N169-'IS (F4Q2022)'!N169</f>
        <v>0</v>
      </c>
      <c r="O169" s="104">
        <f>'IS (F1Q23)'!O169-'IS (F4Q2022)'!O169</f>
        <v>0</v>
      </c>
      <c r="P169" s="104">
        <f>'IS (F1Q23)'!P169-'IS (F4Q2022)'!P169</f>
        <v>0</v>
      </c>
      <c r="Q169" s="104">
        <f>'IS (F1Q23)'!Q169-'IS (F4Q2022)'!Q169</f>
        <v>0</v>
      </c>
      <c r="R169" s="17">
        <f>'IS (F1Q23)'!R169-'IS (F4Q2022)'!R169</f>
        <v>0</v>
      </c>
      <c r="S169" s="104">
        <f>'IS (F1Q23)'!S169-'IS (F4Q2022)'!S169</f>
        <v>0</v>
      </c>
      <c r="T169" s="52">
        <f>'IS (F1Q23)'!T169-'IS (F4Q2022)'!T169</f>
        <v>0</v>
      </c>
      <c r="U169" s="52">
        <f>'IS (F1Q23)'!U169-'IS (F4Q2022)'!U169</f>
        <v>0</v>
      </c>
      <c r="V169" s="52">
        <f>'IS (F1Q23)'!V169-'IS (F4Q2022)'!V169</f>
        <v>0</v>
      </c>
      <c r="W169" s="17">
        <f>'IS (F1Q23)'!W169-'IS (F4Q2022)'!W169</f>
        <v>0</v>
      </c>
      <c r="X169" s="52">
        <f>'IS (F1Q23)'!X169-'IS (F4Q2022)'!X169</f>
        <v>0</v>
      </c>
      <c r="Y169" s="52">
        <f>'IS (F1Q23)'!Y169-'IS (F4Q2022)'!Y169</f>
        <v>0</v>
      </c>
      <c r="Z169" s="52">
        <f>'IS (F1Q23)'!Z169-'IS (F4Q2022)'!Z169</f>
        <v>0</v>
      </c>
      <c r="AA169" s="52">
        <f>'IS (F1Q23)'!AA169-'IS (F4Q2022)'!AA169</f>
        <v>0</v>
      </c>
      <c r="AB169" s="17">
        <f>'IS (F1Q23)'!AB169-'IS (F4Q2022)'!AB169</f>
        <v>0</v>
      </c>
      <c r="AC169" s="52">
        <f>'IS (F1Q23)'!AC169-'IS (F4Q2022)'!AC169</f>
        <v>0</v>
      </c>
      <c r="AD169" s="52">
        <f>'IS (F1Q23)'!AD169-'IS (F4Q2022)'!AD169</f>
        <v>0</v>
      </c>
      <c r="AE169" s="52">
        <f>'IS (F1Q23)'!AE169-'IS (F4Q2022)'!AE169</f>
        <v>0</v>
      </c>
      <c r="AF169" s="52">
        <f>'IS (F1Q23)'!AF169-'IS (F4Q2022)'!AF169</f>
        <v>0</v>
      </c>
      <c r="AG169" s="17">
        <f>'IS (F1Q23)'!AG169-'IS (F4Q2022)'!AG169</f>
        <v>0</v>
      </c>
      <c r="AH169" s="52">
        <f>'IS (F1Q23)'!AH169-'IS (F4Q2022)'!AH169</f>
        <v>0</v>
      </c>
      <c r="AI169" s="52">
        <f>'IS (F1Q23)'!AI169-'IS (F4Q2022)'!AI169</f>
        <v>0</v>
      </c>
      <c r="AJ169" s="52">
        <f>'IS (F1Q23)'!AJ169-'IS (F4Q2022)'!AJ169</f>
        <v>0</v>
      </c>
      <c r="AK169" s="52">
        <f>'IS (F1Q23)'!AK169-'IS (F4Q2022)'!AK169</f>
        <v>0</v>
      </c>
      <c r="AL169" s="17">
        <f>'IS (F1Q23)'!AL169-'IS (F4Q2022)'!AL169</f>
        <v>0</v>
      </c>
      <c r="AM169" s="52">
        <f>'IS (F1Q23)'!AM169-'IS (F4Q2022)'!AM169</f>
        <v>0</v>
      </c>
      <c r="AN169" s="52">
        <f>'IS (F1Q23)'!AN169-'IS (F4Q2022)'!AN169</f>
        <v>0</v>
      </c>
      <c r="AO169" s="52">
        <f>'IS (F1Q23)'!AO169-'IS (F4Q2022)'!AO169</f>
        <v>0</v>
      </c>
      <c r="AP169" s="52">
        <f>'IS (F1Q23)'!AP169-'IS (F4Q2022)'!AP169</f>
        <v>0</v>
      </c>
      <c r="AQ169" s="17">
        <f>'IS (F1Q23)'!AQ169-'IS (F4Q2022)'!AQ169</f>
        <v>0</v>
      </c>
      <c r="AR169" s="52">
        <f>'IS (F1Q23)'!AR169-'IS (F4Q2022)'!AR169</f>
        <v>0</v>
      </c>
      <c r="AS169" s="52">
        <f>'IS (F1Q23)'!AS169-'IS (F4Q2022)'!AS169</f>
        <v>0</v>
      </c>
      <c r="AT169" s="52">
        <f>'IS (F1Q23)'!AT169-'IS (F4Q2022)'!AT169</f>
        <v>0</v>
      </c>
      <c r="AU169" s="52">
        <f>'IS (F1Q23)'!AU169-'IS (F4Q2022)'!AU169</f>
        <v>0</v>
      </c>
      <c r="AV169" s="17">
        <f>'IS (F1Q23)'!AV169-'IS (F4Q2022)'!AV169</f>
        <v>0</v>
      </c>
    </row>
    <row r="170" spans="2:48" s="8" customFormat="1" outlineLevel="1" x14ac:dyDescent="0.3">
      <c r="B170" s="205" t="s">
        <v>68</v>
      </c>
      <c r="C170" s="202"/>
      <c r="D170" s="103">
        <f>'IS (F1Q23)'!D170-'IS (F4Q2022)'!D170</f>
        <v>0</v>
      </c>
      <c r="E170" s="103">
        <f>'IS (F1Q23)'!E170-'IS (F4Q2022)'!E170</f>
        <v>0</v>
      </c>
      <c r="F170" s="103">
        <f>'IS (F1Q23)'!F170-'IS (F4Q2022)'!F170</f>
        <v>0</v>
      </c>
      <c r="G170" s="103">
        <f>'IS (F1Q23)'!G170-'IS (F4Q2022)'!G170</f>
        <v>0</v>
      </c>
      <c r="H170" s="150">
        <f>'IS (F1Q23)'!H170-'IS (F4Q2022)'!H170</f>
        <v>0</v>
      </c>
      <c r="I170" s="103">
        <f>'IS (F1Q23)'!I170-'IS (F4Q2022)'!I170</f>
        <v>0</v>
      </c>
      <c r="J170" s="103">
        <f>'IS (F1Q23)'!J170-'IS (F4Q2022)'!J170</f>
        <v>0</v>
      </c>
      <c r="K170" s="103">
        <f>'IS (F1Q23)'!K170-'IS (F4Q2022)'!K170</f>
        <v>0</v>
      </c>
      <c r="L170" s="103">
        <f>'IS (F1Q23)'!L170-'IS (F4Q2022)'!L170</f>
        <v>0</v>
      </c>
      <c r="M170" s="150">
        <f>'IS (F1Q23)'!M170-'IS (F4Q2022)'!M170</f>
        <v>0</v>
      </c>
      <c r="N170" s="103">
        <f>'IS (F1Q23)'!N170-'IS (F4Q2022)'!N170</f>
        <v>0</v>
      </c>
      <c r="O170" s="103">
        <f>'IS (F1Q23)'!O170-'IS (F4Q2022)'!O170</f>
        <v>0</v>
      </c>
      <c r="P170" s="103">
        <f>'IS (F1Q23)'!P170-'IS (F4Q2022)'!P170</f>
        <v>0</v>
      </c>
      <c r="Q170" s="103">
        <f>'IS (F1Q23)'!Q170-'IS (F4Q2022)'!Q170</f>
        <v>0</v>
      </c>
      <c r="R170" s="22">
        <f>'IS (F1Q23)'!R170-'IS (F4Q2022)'!R170</f>
        <v>0</v>
      </c>
      <c r="S170" s="103">
        <f>'IS (F1Q23)'!S170-'IS (F4Q2022)'!S170</f>
        <v>0</v>
      </c>
      <c r="T170" s="50">
        <f>'IS (F1Q23)'!T170-'IS (F4Q2022)'!T170</f>
        <v>0</v>
      </c>
      <c r="U170" s="50">
        <f>'IS (F1Q23)'!U170-'IS (F4Q2022)'!U170</f>
        <v>0</v>
      </c>
      <c r="V170" s="50">
        <f>'IS (F1Q23)'!V170-'IS (F4Q2022)'!V170</f>
        <v>0</v>
      </c>
      <c r="W170" s="22">
        <f>'IS (F1Q23)'!W170-'IS (F4Q2022)'!W170</f>
        <v>0</v>
      </c>
      <c r="X170" s="50">
        <f>'IS (F1Q23)'!X170-'IS (F4Q2022)'!X170</f>
        <v>-54.101091631188126</v>
      </c>
      <c r="Y170" s="50">
        <f>'IS (F1Q23)'!Y170-'IS (F4Q2022)'!Y170</f>
        <v>-9.9010916311881267</v>
      </c>
      <c r="Z170" s="50">
        <f>'IS (F1Q23)'!Z170-'IS (F4Q2022)'!Z170</f>
        <v>-9.9010916311881267</v>
      </c>
      <c r="AA170" s="50">
        <f>'IS (F1Q23)'!AA170-'IS (F4Q2022)'!AA170</f>
        <v>-9.9010916311881267</v>
      </c>
      <c r="AB170" s="22">
        <f>'IS (F1Q23)'!AB170-'IS (F4Q2022)'!AB170</f>
        <v>0</v>
      </c>
      <c r="AC170" s="50">
        <f>'IS (F1Q23)'!AC170-'IS (F4Q2022)'!AC170</f>
        <v>-9.9010916311881267</v>
      </c>
      <c r="AD170" s="50">
        <f>'IS (F1Q23)'!AD170-'IS (F4Q2022)'!AD170</f>
        <v>-41.7</v>
      </c>
      <c r="AE170" s="50">
        <f>'IS (F1Q23)'!AE170-'IS (F4Q2022)'!AE170</f>
        <v>-41.7</v>
      </c>
      <c r="AF170" s="50">
        <f>'IS (F1Q23)'!AF170-'IS (F4Q2022)'!AF170</f>
        <v>-41.7</v>
      </c>
      <c r="AG170" s="22">
        <f>'IS (F1Q23)'!AG170-'IS (F4Q2022)'!AG170</f>
        <v>0</v>
      </c>
      <c r="AH170" s="50">
        <f>'IS (F1Q23)'!AH170-'IS (F4Q2022)'!AH170</f>
        <v>-41.7</v>
      </c>
      <c r="AI170" s="50">
        <f>'IS (F1Q23)'!AI170-'IS (F4Q2022)'!AI170</f>
        <v>-41.7</v>
      </c>
      <c r="AJ170" s="50">
        <f>'IS (F1Q23)'!AJ170-'IS (F4Q2022)'!AJ170</f>
        <v>-41.7</v>
      </c>
      <c r="AK170" s="50">
        <f>'IS (F1Q23)'!AK170-'IS (F4Q2022)'!AK170</f>
        <v>-41.7</v>
      </c>
      <c r="AL170" s="22">
        <f>'IS (F1Q23)'!AL170-'IS (F4Q2022)'!AL170</f>
        <v>0</v>
      </c>
      <c r="AM170" s="50">
        <f>'IS (F1Q23)'!AM170-'IS (F4Q2022)'!AM170</f>
        <v>-41.7</v>
      </c>
      <c r="AN170" s="50">
        <f>'IS (F1Q23)'!AN170-'IS (F4Q2022)'!AN170</f>
        <v>-41.7</v>
      </c>
      <c r="AO170" s="50">
        <f>'IS (F1Q23)'!AO170-'IS (F4Q2022)'!AO170</f>
        <v>-41.7</v>
      </c>
      <c r="AP170" s="50">
        <f>'IS (F1Q23)'!AP170-'IS (F4Q2022)'!AP170</f>
        <v>-41.7</v>
      </c>
      <c r="AQ170" s="22">
        <f>'IS (F1Q23)'!AQ170-'IS (F4Q2022)'!AQ170</f>
        <v>0</v>
      </c>
      <c r="AR170" s="50">
        <f>'IS (F1Q23)'!AR170-'IS (F4Q2022)'!AR170</f>
        <v>-41.7</v>
      </c>
      <c r="AS170" s="50">
        <f>'IS (F1Q23)'!AS170-'IS (F4Q2022)'!AS170</f>
        <v>-41.7</v>
      </c>
      <c r="AT170" s="50">
        <f>'IS (F1Q23)'!AT170-'IS (F4Q2022)'!AT170</f>
        <v>-41.7</v>
      </c>
      <c r="AU170" s="50">
        <f>'IS (F1Q23)'!AU170-'IS (F4Q2022)'!AU170</f>
        <v>-41.7</v>
      </c>
      <c r="AV170" s="22">
        <f>'IS (F1Q23)'!AV170-'IS (F4Q2022)'!AV170</f>
        <v>0</v>
      </c>
    </row>
    <row r="171" spans="2:48" outlineLevel="1" x14ac:dyDescent="0.3">
      <c r="B171" s="200" t="s">
        <v>69</v>
      </c>
      <c r="C171" s="201"/>
      <c r="D171" s="105">
        <f>'IS (F1Q23)'!D171-'IS (F4Q2022)'!D171</f>
        <v>0</v>
      </c>
      <c r="E171" s="101">
        <f>'IS (F1Q23)'!E171-'IS (F4Q2022)'!E171</f>
        <v>0</v>
      </c>
      <c r="F171" s="101">
        <f>'IS (F1Q23)'!F171-'IS (F4Q2022)'!F171</f>
        <v>0</v>
      </c>
      <c r="G171" s="101">
        <f>'IS (F1Q23)'!G171-'IS (F4Q2022)'!G171</f>
        <v>0</v>
      </c>
      <c r="H171" s="169">
        <f>'IS (F1Q23)'!H171-'IS (F4Q2022)'!H171</f>
        <v>0</v>
      </c>
      <c r="I171" s="101">
        <f>'IS (F1Q23)'!I171-'IS (F4Q2022)'!I171</f>
        <v>0</v>
      </c>
      <c r="J171" s="101">
        <f>'IS (F1Q23)'!J171-'IS (F4Q2022)'!J171</f>
        <v>0</v>
      </c>
      <c r="K171" s="101">
        <f>'IS (F1Q23)'!K171-'IS (F4Q2022)'!K171</f>
        <v>0</v>
      </c>
      <c r="L171" s="101">
        <f>'IS (F1Q23)'!L171-'IS (F4Q2022)'!L171</f>
        <v>0</v>
      </c>
      <c r="M171" s="169">
        <f>'IS (F1Q23)'!M171-'IS (F4Q2022)'!M171</f>
        <v>0</v>
      </c>
      <c r="N171" s="101">
        <f>'IS (F1Q23)'!N171-'IS (F4Q2022)'!N171</f>
        <v>0</v>
      </c>
      <c r="O171" s="101">
        <f>'IS (F1Q23)'!O171-'IS (F4Q2022)'!O171</f>
        <v>0</v>
      </c>
      <c r="P171" s="101">
        <f>'IS (F1Q23)'!P171-'IS (F4Q2022)'!P171</f>
        <v>0</v>
      </c>
      <c r="Q171" s="101">
        <f>'IS (F1Q23)'!Q171-'IS (F4Q2022)'!Q171</f>
        <v>0</v>
      </c>
      <c r="R171" s="17">
        <f>'IS (F1Q23)'!R171-'IS (F4Q2022)'!R171</f>
        <v>0</v>
      </c>
      <c r="S171" s="101">
        <f>'IS (F1Q23)'!S171-'IS (F4Q2022)'!S171</f>
        <v>0</v>
      </c>
      <c r="T171" s="101">
        <f>'IS (F1Q23)'!T171-'IS (F4Q2022)'!T171</f>
        <v>0</v>
      </c>
      <c r="U171" s="101">
        <f>'IS (F1Q23)'!U171-'IS (F4Q2022)'!U171</f>
        <v>0</v>
      </c>
      <c r="V171" s="101">
        <f>'IS (F1Q23)'!V171-'IS (F4Q2022)'!V171</f>
        <v>0</v>
      </c>
      <c r="W171" s="17">
        <f>'IS (F1Q23)'!W171-'IS (F4Q2022)'!W171</f>
        <v>0</v>
      </c>
      <c r="X171" s="33">
        <f>'IS (F1Q23)'!X171-'IS (F4Q2022)'!X171</f>
        <v>0</v>
      </c>
      <c r="Y171" s="33">
        <f>'IS (F1Q23)'!Y171-'IS (F4Q2022)'!Y171</f>
        <v>0</v>
      </c>
      <c r="Z171" s="33">
        <f>'IS (F1Q23)'!Z171-'IS (F4Q2022)'!Z171</f>
        <v>0</v>
      </c>
      <c r="AA171" s="33">
        <f>'IS (F1Q23)'!AA171-'IS (F4Q2022)'!AA171</f>
        <v>0</v>
      </c>
      <c r="AB171" s="17">
        <f>'IS (F1Q23)'!AB171-'IS (F4Q2022)'!AB171</f>
        <v>0</v>
      </c>
      <c r="AC171" s="33">
        <f>'IS (F1Q23)'!AC171-'IS (F4Q2022)'!AC171</f>
        <v>0</v>
      </c>
      <c r="AD171" s="33">
        <f>'IS (F1Q23)'!AD171-'IS (F4Q2022)'!AD171</f>
        <v>0</v>
      </c>
      <c r="AE171" s="33">
        <f>'IS (F1Q23)'!AE171-'IS (F4Q2022)'!AE171</f>
        <v>0</v>
      </c>
      <c r="AF171" s="33">
        <f>'IS (F1Q23)'!AF171-'IS (F4Q2022)'!AF171</f>
        <v>0</v>
      </c>
      <c r="AG171" s="17">
        <f>'IS (F1Q23)'!AG171-'IS (F4Q2022)'!AG171</f>
        <v>0</v>
      </c>
      <c r="AH171" s="33">
        <f>'IS (F1Q23)'!AH171-'IS (F4Q2022)'!AH171</f>
        <v>0</v>
      </c>
      <c r="AI171" s="33">
        <f>'IS (F1Q23)'!AI171-'IS (F4Q2022)'!AI171</f>
        <v>0</v>
      </c>
      <c r="AJ171" s="33">
        <f>'IS (F1Q23)'!AJ171-'IS (F4Q2022)'!AJ171</f>
        <v>0</v>
      </c>
      <c r="AK171" s="33">
        <f>'IS (F1Q23)'!AK171-'IS (F4Q2022)'!AK171</f>
        <v>0</v>
      </c>
      <c r="AL171" s="17">
        <f>'IS (F1Q23)'!AL171-'IS (F4Q2022)'!AL171</f>
        <v>0</v>
      </c>
      <c r="AM171" s="33">
        <f>'IS (F1Q23)'!AM171-'IS (F4Q2022)'!AM171</f>
        <v>0</v>
      </c>
      <c r="AN171" s="33">
        <f>'IS (F1Q23)'!AN171-'IS (F4Q2022)'!AN171</f>
        <v>0</v>
      </c>
      <c r="AO171" s="33">
        <f>'IS (F1Q23)'!AO171-'IS (F4Q2022)'!AO171</f>
        <v>0</v>
      </c>
      <c r="AP171" s="33">
        <f>'IS (F1Q23)'!AP171-'IS (F4Q2022)'!AP171</f>
        <v>0</v>
      </c>
      <c r="AQ171" s="17">
        <f>'IS (F1Q23)'!AQ171-'IS (F4Q2022)'!AQ171</f>
        <v>0</v>
      </c>
      <c r="AR171" s="33">
        <f>'IS (F1Q23)'!AR171-'IS (F4Q2022)'!AR171</f>
        <v>0</v>
      </c>
      <c r="AS171" s="33">
        <f>'IS (F1Q23)'!AS171-'IS (F4Q2022)'!AS171</f>
        <v>0</v>
      </c>
      <c r="AT171" s="33">
        <f>'IS (F1Q23)'!AT171-'IS (F4Q2022)'!AT171</f>
        <v>0</v>
      </c>
      <c r="AU171" s="33">
        <f>'IS (F1Q23)'!AU171-'IS (F4Q2022)'!AU171</f>
        <v>0</v>
      </c>
      <c r="AV171" s="17">
        <f>'IS (F1Q23)'!AV171-'IS (F4Q2022)'!AV171</f>
        <v>0</v>
      </c>
    </row>
    <row r="172" spans="2:48" outlineLevel="1" x14ac:dyDescent="0.3">
      <c r="B172" s="580" t="s">
        <v>75</v>
      </c>
      <c r="C172" s="581"/>
      <c r="D172" s="105">
        <f>'IS (F1Q23)'!D172-'IS (F4Q2022)'!D172</f>
        <v>0</v>
      </c>
      <c r="E172" s="101">
        <f>'IS (F1Q23)'!E172-'IS (F4Q2022)'!E172</f>
        <v>0</v>
      </c>
      <c r="F172" s="101">
        <f>'IS (F1Q23)'!F172-'IS (F4Q2022)'!F172</f>
        <v>0</v>
      </c>
      <c r="G172" s="101">
        <f>'IS (F1Q23)'!G172-'IS (F4Q2022)'!G172</f>
        <v>0</v>
      </c>
      <c r="H172" s="169">
        <f>'IS (F1Q23)'!H172-'IS (F4Q2022)'!H172</f>
        <v>0</v>
      </c>
      <c r="I172" s="101">
        <f>'IS (F1Q23)'!I172-'IS (F4Q2022)'!I172</f>
        <v>0</v>
      </c>
      <c r="J172" s="101">
        <f>'IS (F1Q23)'!J172-'IS (F4Q2022)'!J172</f>
        <v>0</v>
      </c>
      <c r="K172" s="101">
        <f>'IS (F1Q23)'!K172-'IS (F4Q2022)'!K172</f>
        <v>0</v>
      </c>
      <c r="L172" s="101">
        <f>'IS (F1Q23)'!L172-'IS (F4Q2022)'!L172</f>
        <v>0</v>
      </c>
      <c r="M172" s="169">
        <f>'IS (F1Q23)'!M172-'IS (F4Q2022)'!M172</f>
        <v>0</v>
      </c>
      <c r="N172" s="101">
        <f>'IS (F1Q23)'!N172-'IS (F4Q2022)'!N172</f>
        <v>0</v>
      </c>
      <c r="O172" s="101">
        <f>'IS (F1Q23)'!O172-'IS (F4Q2022)'!O172</f>
        <v>0</v>
      </c>
      <c r="P172" s="101">
        <f>'IS (F1Q23)'!P172-'IS (F4Q2022)'!P172</f>
        <v>0</v>
      </c>
      <c r="Q172" s="101">
        <f>'IS (F1Q23)'!Q172-'IS (F4Q2022)'!Q172</f>
        <v>0</v>
      </c>
      <c r="R172" s="17">
        <f>'IS (F1Q23)'!R172-'IS (F4Q2022)'!R172</f>
        <v>0</v>
      </c>
      <c r="S172" s="101">
        <f>'IS (F1Q23)'!S172-'IS (F4Q2022)'!S172</f>
        <v>0</v>
      </c>
      <c r="T172" s="16">
        <f>'IS (F1Q23)'!T172-'IS (F4Q2022)'!T172</f>
        <v>0</v>
      </c>
      <c r="U172" s="16">
        <f>'IS (F1Q23)'!U172-'IS (F4Q2022)'!U172</f>
        <v>0</v>
      </c>
      <c r="V172" s="16">
        <f>'IS (F1Q23)'!V172-'IS (F4Q2022)'!V172</f>
        <v>0</v>
      </c>
      <c r="W172" s="17">
        <f>'IS (F1Q23)'!W172-'IS (F4Q2022)'!W172</f>
        <v>0</v>
      </c>
      <c r="X172" s="16">
        <f>'IS (F1Q23)'!X172-'IS (F4Q2022)'!X172</f>
        <v>-17.99786202462888</v>
      </c>
      <c r="Y172" s="16">
        <f>'IS (F1Q23)'!Y172-'IS (F4Q2022)'!Y172</f>
        <v>-3.0497426990776444</v>
      </c>
      <c r="Z172" s="16">
        <f>'IS (F1Q23)'!Z172-'IS (F4Q2022)'!Z172</f>
        <v>-3.0497426990776444</v>
      </c>
      <c r="AA172" s="16">
        <f>'IS (F1Q23)'!AA172-'IS (F4Q2022)'!AA172</f>
        <v>-3.0497426990776444</v>
      </c>
      <c r="AB172" s="17">
        <f>'IS (F1Q23)'!AB172-'IS (F4Q2022)'!AB172</f>
        <v>0</v>
      </c>
      <c r="AC172" s="16">
        <f>'IS (F1Q23)'!AC172-'IS (F4Q2022)'!AC172</f>
        <v>-3.0497426990776444</v>
      </c>
      <c r="AD172" s="16">
        <f>'IS (F1Q23)'!AD172-'IS (F4Q2022)'!AD172</f>
        <v>-12.556420233463037</v>
      </c>
      <c r="AE172" s="16">
        <f>'IS (F1Q23)'!AE172-'IS (F4Q2022)'!AE172</f>
        <v>-12.556420233463037</v>
      </c>
      <c r="AF172" s="16">
        <f>'IS (F1Q23)'!AF172-'IS (F4Q2022)'!AF172</f>
        <v>-12.556420233463037</v>
      </c>
      <c r="AG172" s="17">
        <f>'IS (F1Q23)'!AG172-'IS (F4Q2022)'!AG172</f>
        <v>0</v>
      </c>
      <c r="AH172" s="16">
        <f>'IS (F1Q23)'!AH172-'IS (F4Q2022)'!AH172</f>
        <v>-12.556420233463037</v>
      </c>
      <c r="AI172" s="16">
        <f>'IS (F1Q23)'!AI172-'IS (F4Q2022)'!AI172</f>
        <v>-12.556420233463037</v>
      </c>
      <c r="AJ172" s="16">
        <f>'IS (F1Q23)'!AJ172-'IS (F4Q2022)'!AJ172</f>
        <v>-12.556420233463037</v>
      </c>
      <c r="AK172" s="16">
        <f>'IS (F1Q23)'!AK172-'IS (F4Q2022)'!AK172</f>
        <v>-12.556420233463037</v>
      </c>
      <c r="AL172" s="17">
        <f>'IS (F1Q23)'!AL172-'IS (F4Q2022)'!AL172</f>
        <v>0</v>
      </c>
      <c r="AM172" s="16">
        <f>'IS (F1Q23)'!AM172-'IS (F4Q2022)'!AM172</f>
        <v>-12.556420233463037</v>
      </c>
      <c r="AN172" s="16">
        <f>'IS (F1Q23)'!AN172-'IS (F4Q2022)'!AN172</f>
        <v>-12.556420233463037</v>
      </c>
      <c r="AO172" s="16">
        <f>'IS (F1Q23)'!AO172-'IS (F4Q2022)'!AO172</f>
        <v>-12.556420233463037</v>
      </c>
      <c r="AP172" s="16">
        <f>'IS (F1Q23)'!AP172-'IS (F4Q2022)'!AP172</f>
        <v>-12.556420233463037</v>
      </c>
      <c r="AQ172" s="17">
        <f>'IS (F1Q23)'!AQ172-'IS (F4Q2022)'!AQ172</f>
        <v>0</v>
      </c>
      <c r="AR172" s="16">
        <f>'IS (F1Q23)'!AR172-'IS (F4Q2022)'!AR172</f>
        <v>-12.556420233463037</v>
      </c>
      <c r="AS172" s="16">
        <f>'IS (F1Q23)'!AS172-'IS (F4Q2022)'!AS172</f>
        <v>-12.556420233463037</v>
      </c>
      <c r="AT172" s="16">
        <f>'IS (F1Q23)'!AT172-'IS (F4Q2022)'!AT172</f>
        <v>-12.556420233463037</v>
      </c>
      <c r="AU172" s="16">
        <f>'IS (F1Q23)'!AU172-'IS (F4Q2022)'!AU172</f>
        <v>-12.556420233463037</v>
      </c>
      <c r="AV172" s="17">
        <f>'IS (F1Q23)'!AV172-'IS (F4Q2022)'!AV172</f>
        <v>0</v>
      </c>
    </row>
    <row r="173" spans="2:48" outlineLevel="1" x14ac:dyDescent="0.3">
      <c r="B173" s="203" t="s">
        <v>76</v>
      </c>
      <c r="C173" s="204"/>
      <c r="D173" s="211">
        <f>'IS (F1Q23)'!D173-'IS (F4Q2022)'!D173</f>
        <v>0</v>
      </c>
      <c r="E173" s="211">
        <f>'IS (F1Q23)'!E173-'IS (F4Q2022)'!E173</f>
        <v>0</v>
      </c>
      <c r="F173" s="211">
        <f>'IS (F1Q23)'!F173-'IS (F4Q2022)'!F173</f>
        <v>0</v>
      </c>
      <c r="G173" s="211">
        <f>'IS (F1Q23)'!G173-'IS (F4Q2022)'!G173</f>
        <v>0</v>
      </c>
      <c r="H173" s="212">
        <f>'IS (F1Q23)'!H173-'IS (F4Q2022)'!H173</f>
        <v>0</v>
      </c>
      <c r="I173" s="211">
        <f>'IS (F1Q23)'!I173-'IS (F4Q2022)'!I173</f>
        <v>0</v>
      </c>
      <c r="J173" s="211">
        <f>'IS (F1Q23)'!J173-'IS (F4Q2022)'!J173</f>
        <v>0</v>
      </c>
      <c r="K173" s="211">
        <f>'IS (F1Q23)'!K173-'IS (F4Q2022)'!K173</f>
        <v>0</v>
      </c>
      <c r="L173" s="211">
        <f>'IS (F1Q23)'!L173-'IS (F4Q2022)'!L173</f>
        <v>0</v>
      </c>
      <c r="M173" s="212">
        <f>'IS (F1Q23)'!M173-'IS (F4Q2022)'!M173</f>
        <v>0</v>
      </c>
      <c r="N173" s="211">
        <f>'IS (F1Q23)'!N173-'IS (F4Q2022)'!N173</f>
        <v>0</v>
      </c>
      <c r="O173" s="211">
        <f>'IS (F1Q23)'!O173-'IS (F4Q2022)'!O173</f>
        <v>0</v>
      </c>
      <c r="P173" s="211">
        <f>'IS (F1Q23)'!P173-'IS (F4Q2022)'!P173</f>
        <v>0</v>
      </c>
      <c r="Q173" s="211">
        <f>'IS (F1Q23)'!Q173-'IS (F4Q2022)'!Q173</f>
        <v>0</v>
      </c>
      <c r="R173" s="37">
        <f>'IS (F1Q23)'!R173-'IS (F4Q2022)'!R173</f>
        <v>0</v>
      </c>
      <c r="S173" s="211">
        <f>'IS (F1Q23)'!S173-'IS (F4Q2022)'!S173</f>
        <v>0</v>
      </c>
      <c r="T173" s="211">
        <f>'IS (F1Q23)'!T173-'IS (F4Q2022)'!T173</f>
        <v>0</v>
      </c>
      <c r="U173" s="211">
        <f>'IS (F1Q23)'!U173-'IS (F4Q2022)'!U173</f>
        <v>0</v>
      </c>
      <c r="V173" s="211">
        <f>'IS (F1Q23)'!V173-'IS (F4Q2022)'!V173</f>
        <v>0</v>
      </c>
      <c r="W173" s="37">
        <f>'IS (F1Q23)'!W173-'IS (F4Q2022)'!W173</f>
        <v>0</v>
      </c>
      <c r="X173" s="94">
        <f>'IS (F1Q23)'!X173-'IS (F4Q2022)'!X173</f>
        <v>-0.29896238651102469</v>
      </c>
      <c r="Y173" s="94">
        <f>'IS (F1Q23)'!Y173-'IS (F4Q2022)'!Y173</f>
        <v>-0.29896238651102469</v>
      </c>
      <c r="Z173" s="94">
        <f>'IS (F1Q23)'!Z173-'IS (F4Q2022)'!Z173</f>
        <v>-0.29896238651102469</v>
      </c>
      <c r="AA173" s="94">
        <f>'IS (F1Q23)'!AA173-'IS (F4Q2022)'!AA173</f>
        <v>-0.29896238651102469</v>
      </c>
      <c r="AB173" s="37">
        <f>'IS (F1Q23)'!AB173-'IS (F4Q2022)'!AB173</f>
        <v>0</v>
      </c>
      <c r="AC173" s="94">
        <f>'IS (F1Q23)'!AC173-'IS (F4Q2022)'!AC173</f>
        <v>-0.29896238651102469</v>
      </c>
      <c r="AD173" s="94">
        <f>'IS (F1Q23)'!AD173-'IS (F4Q2022)'!AD173</f>
        <v>-0.29896238651102469</v>
      </c>
      <c r="AE173" s="94">
        <f>'IS (F1Q23)'!AE173-'IS (F4Q2022)'!AE173</f>
        <v>-0.29896238651102469</v>
      </c>
      <c r="AF173" s="94">
        <f>'IS (F1Q23)'!AF173-'IS (F4Q2022)'!AF173</f>
        <v>-0.29896238651102469</v>
      </c>
      <c r="AG173" s="37">
        <f>'IS (F1Q23)'!AG173-'IS (F4Q2022)'!AG173</f>
        <v>0</v>
      </c>
      <c r="AH173" s="94">
        <f>'IS (F1Q23)'!AH173-'IS (F4Q2022)'!AH173</f>
        <v>-0.29896238651102469</v>
      </c>
      <c r="AI173" s="94">
        <f>'IS (F1Q23)'!AI173-'IS (F4Q2022)'!AI173</f>
        <v>-0.29896238651102469</v>
      </c>
      <c r="AJ173" s="94">
        <f>'IS (F1Q23)'!AJ173-'IS (F4Q2022)'!AJ173</f>
        <v>-0.29896238651102469</v>
      </c>
      <c r="AK173" s="94">
        <f>'IS (F1Q23)'!AK173-'IS (F4Q2022)'!AK173</f>
        <v>-0.29896238651102469</v>
      </c>
      <c r="AL173" s="37">
        <f>'IS (F1Q23)'!AL173-'IS (F4Q2022)'!AL173</f>
        <v>0</v>
      </c>
      <c r="AM173" s="94">
        <f>'IS (F1Q23)'!AM173-'IS (F4Q2022)'!AM173</f>
        <v>-0.29896238651102469</v>
      </c>
      <c r="AN173" s="94">
        <f>'IS (F1Q23)'!AN173-'IS (F4Q2022)'!AN173</f>
        <v>-0.29896238651102469</v>
      </c>
      <c r="AO173" s="94">
        <f>'IS (F1Q23)'!AO173-'IS (F4Q2022)'!AO173</f>
        <v>-0.29896238651102469</v>
      </c>
      <c r="AP173" s="94">
        <f>'IS (F1Q23)'!AP173-'IS (F4Q2022)'!AP173</f>
        <v>-0.29896238651102469</v>
      </c>
      <c r="AQ173" s="37">
        <f>'IS (F1Q23)'!AQ173-'IS (F4Q2022)'!AQ173</f>
        <v>0</v>
      </c>
      <c r="AR173" s="94">
        <f>'IS (F1Q23)'!AR173-'IS (F4Q2022)'!AR173</f>
        <v>-0.29896238651102469</v>
      </c>
      <c r="AS173" s="94">
        <f>'IS (F1Q23)'!AS173-'IS (F4Q2022)'!AS173</f>
        <v>-0.29896238651102469</v>
      </c>
      <c r="AT173" s="94">
        <f>'IS (F1Q23)'!AT173-'IS (F4Q2022)'!AT173</f>
        <v>-0.29896238651102469</v>
      </c>
      <c r="AU173" s="94">
        <f>'IS (F1Q23)'!AU173-'IS (F4Q2022)'!AU173</f>
        <v>-0.29896238651102469</v>
      </c>
      <c r="AV173" s="37">
        <f>'IS (F1Q23)'!AV173-'IS (F4Q2022)'!AV173</f>
        <v>0</v>
      </c>
    </row>
    <row r="175" spans="2:48" x14ac:dyDescent="0.3">
      <c r="B175" s="382"/>
      <c r="Q175" s="383"/>
      <c r="R175" s="383"/>
      <c r="S175" s="383"/>
      <c r="T175" s="383"/>
      <c r="U175" s="383"/>
      <c r="V175" s="383"/>
      <c r="W175" s="383"/>
      <c r="X175" s="383"/>
      <c r="Y175" s="383"/>
      <c r="Z175" s="383"/>
      <c r="AA175" s="383"/>
      <c r="AB175" s="383"/>
      <c r="AC175" s="383"/>
      <c r="AD175" s="383"/>
      <c r="AE175" s="383"/>
      <c r="AF175" s="383"/>
      <c r="AH175" s="383"/>
      <c r="AI175" s="383"/>
      <c r="AJ175" s="383"/>
      <c r="AK175" s="383"/>
    </row>
    <row r="176" spans="2:48" ht="14.55" customHeight="1" x14ac:dyDescent="0.3">
      <c r="B176" s="382"/>
      <c r="Q176" s="383"/>
      <c r="R176" s="383"/>
      <c r="S176" s="383"/>
      <c r="T176" s="383"/>
      <c r="U176" s="383"/>
      <c r="V176" s="383"/>
      <c r="W176" s="383"/>
      <c r="X176" s="383"/>
      <c r="Y176" s="383"/>
      <c r="Z176" s="383"/>
      <c r="AA176" s="383"/>
      <c r="AB176" s="383"/>
      <c r="AC176" s="383"/>
      <c r="AD176" s="383"/>
      <c r="AE176" s="383"/>
      <c r="AF176" s="383"/>
      <c r="AH176" s="383"/>
      <c r="AI176" s="383"/>
      <c r="AJ176" s="383"/>
      <c r="AK176" s="383"/>
    </row>
    <row r="177" spans="1:48" ht="14.55" customHeight="1" x14ac:dyDescent="0.3">
      <c r="B177" s="382"/>
      <c r="Q177" s="383"/>
      <c r="R177" s="383"/>
      <c r="S177" s="383"/>
      <c r="T177" s="383"/>
      <c r="U177" s="383"/>
      <c r="V177" s="383"/>
      <c r="W177" s="383"/>
      <c r="X177" s="383"/>
      <c r="Y177" s="383"/>
      <c r="Z177" s="383"/>
      <c r="AA177" s="383"/>
      <c r="AB177" s="383"/>
      <c r="AC177" s="383"/>
      <c r="AD177" s="383"/>
      <c r="AE177" s="383"/>
      <c r="AF177" s="383"/>
      <c r="AH177" s="383"/>
      <c r="AI177" s="383"/>
      <c r="AJ177" s="383"/>
      <c r="AK177" s="383"/>
    </row>
    <row r="178" spans="1:48" ht="14.55" customHeight="1" x14ac:dyDescent="0.3">
      <c r="A178" s="161"/>
      <c r="B178" s="382"/>
      <c r="Q178" s="383"/>
      <c r="R178" s="383"/>
      <c r="S178" s="383"/>
      <c r="T178" s="383"/>
      <c r="U178" s="383"/>
      <c r="V178" s="383"/>
      <c r="W178" s="383"/>
      <c r="X178" s="383"/>
      <c r="Y178" s="383"/>
      <c r="Z178" s="383"/>
      <c r="AA178" s="383"/>
      <c r="AB178" s="383"/>
      <c r="AC178" s="383"/>
      <c r="AD178" s="383"/>
      <c r="AE178" s="383"/>
      <c r="AF178" s="383"/>
      <c r="AH178" s="383"/>
      <c r="AI178" s="383"/>
      <c r="AJ178" s="383"/>
      <c r="AK178" s="383"/>
    </row>
    <row r="179" spans="1:48" s="23" customFormat="1" ht="14.55" customHeight="1" x14ac:dyDescent="0.3">
      <c r="A179" s="161"/>
    </row>
    <row r="180" spans="1:48" s="23" customFormat="1" ht="14.55" customHeight="1" x14ac:dyDescent="0.3">
      <c r="A180" s="161"/>
      <c r="B180" s="382"/>
      <c r="Q180" s="384"/>
      <c r="R180" s="384"/>
      <c r="S180" s="384"/>
      <c r="T180" s="384"/>
      <c r="U180" s="384"/>
      <c r="V180" s="384"/>
      <c r="W180" s="384"/>
      <c r="X180" s="384"/>
      <c r="Y180" s="384"/>
      <c r="Z180" s="384"/>
      <c r="AA180" s="384"/>
      <c r="AB180" s="384"/>
      <c r="AC180" s="384"/>
      <c r="AD180" s="384"/>
      <c r="AE180" s="384"/>
      <c r="AF180" s="384"/>
      <c r="AG180" s="384"/>
      <c r="AH180" s="384"/>
      <c r="AI180" s="384"/>
      <c r="AJ180" s="384"/>
      <c r="AK180" s="384"/>
      <c r="AL180" s="384"/>
      <c r="AM180" s="384"/>
      <c r="AN180" s="384"/>
      <c r="AO180" s="384"/>
      <c r="AP180" s="384"/>
      <c r="AQ180" s="384"/>
      <c r="AR180" s="384"/>
      <c r="AS180" s="384"/>
      <c r="AT180" s="384"/>
      <c r="AU180" s="384"/>
    </row>
    <row r="181" spans="1:48" ht="16.2" customHeight="1" x14ac:dyDescent="0.3">
      <c r="A181" s="161"/>
      <c r="B181" s="382"/>
      <c r="Q181" s="384"/>
      <c r="R181" s="384"/>
      <c r="S181" s="384"/>
      <c r="T181" s="384"/>
      <c r="U181" s="384"/>
      <c r="V181" s="384"/>
      <c r="W181" s="384"/>
      <c r="X181" s="384"/>
      <c r="Y181" s="384"/>
      <c r="Z181" s="384"/>
      <c r="AA181" s="384"/>
      <c r="AB181" s="384"/>
      <c r="AC181" s="384"/>
      <c r="AD181" s="384"/>
      <c r="AE181" s="384"/>
      <c r="AF181" s="384"/>
      <c r="AG181" s="384"/>
      <c r="AH181" s="384"/>
      <c r="AI181" s="384"/>
      <c r="AJ181" s="384"/>
      <c r="AK181" s="384"/>
      <c r="AL181" s="384"/>
      <c r="AM181" s="384"/>
      <c r="AN181" s="384"/>
      <c r="AO181" s="384"/>
      <c r="AP181" s="384"/>
      <c r="AQ181" s="384"/>
      <c r="AR181" s="384"/>
      <c r="AS181" s="384"/>
      <c r="AT181" s="384"/>
      <c r="AU181" s="384"/>
    </row>
    <row r="182" spans="1:48" ht="14.55" customHeight="1" x14ac:dyDescent="0.3">
      <c r="A182" s="161"/>
      <c r="B182" s="382"/>
      <c r="Q182" s="384"/>
      <c r="R182" s="384"/>
      <c r="S182" s="384"/>
      <c r="T182" s="384"/>
      <c r="U182" s="384"/>
      <c r="V182" s="384"/>
      <c r="W182" s="384"/>
      <c r="X182" s="384"/>
      <c r="Y182" s="384"/>
      <c r="Z182" s="384"/>
      <c r="AA182" s="384"/>
      <c r="AB182" s="384"/>
      <c r="AC182" s="384"/>
      <c r="AD182" s="384"/>
      <c r="AE182" s="384"/>
      <c r="AF182" s="384"/>
      <c r="AG182" s="384"/>
      <c r="AH182" s="384"/>
      <c r="AI182" s="384"/>
      <c r="AJ182" s="384"/>
      <c r="AK182" s="384"/>
      <c r="AL182" s="384"/>
      <c r="AM182" s="384"/>
      <c r="AN182" s="384"/>
      <c r="AO182" s="384"/>
      <c r="AP182" s="384"/>
      <c r="AQ182" s="384"/>
      <c r="AR182" s="384"/>
      <c r="AS182" s="384"/>
      <c r="AT182" s="384"/>
      <c r="AU182" s="384"/>
    </row>
    <row r="183" spans="1:48" ht="14.55" customHeight="1" x14ac:dyDescent="0.3">
      <c r="A183" s="161"/>
      <c r="B183" s="382"/>
      <c r="Q183" s="384"/>
      <c r="R183" s="384"/>
      <c r="S183" s="384"/>
      <c r="T183" s="384"/>
      <c r="U183" s="384"/>
      <c r="V183" s="384"/>
      <c r="W183" s="384"/>
      <c r="X183" s="384"/>
      <c r="Y183" s="384"/>
      <c r="Z183" s="384"/>
      <c r="AA183" s="384"/>
      <c r="AB183" s="384"/>
      <c r="AC183" s="384"/>
      <c r="AD183" s="384"/>
      <c r="AE183" s="384"/>
      <c r="AF183" s="384"/>
      <c r="AG183" s="384"/>
      <c r="AH183" s="384"/>
      <c r="AI183" s="384"/>
      <c r="AJ183" s="384"/>
      <c r="AK183" s="384"/>
      <c r="AL183" s="384"/>
      <c r="AM183" s="384"/>
      <c r="AN183" s="384"/>
      <c r="AO183" s="384"/>
      <c r="AP183" s="384"/>
      <c r="AQ183" s="384"/>
      <c r="AR183" s="384"/>
      <c r="AS183" s="384"/>
      <c r="AT183" s="384"/>
      <c r="AU183" s="384"/>
    </row>
    <row r="184" spans="1:48" ht="14.55" customHeight="1" x14ac:dyDescent="0.3">
      <c r="A184" s="161"/>
    </row>
    <row r="185" spans="1:48" s="8" customFormat="1" x14ac:dyDescent="0.3">
      <c r="A185" s="161"/>
      <c r="B185" s="382"/>
      <c r="Q185" s="384"/>
      <c r="R185" s="384"/>
      <c r="S185" s="384"/>
      <c r="T185" s="384"/>
      <c r="U185" s="384"/>
      <c r="V185" s="384"/>
      <c r="W185" s="384"/>
      <c r="X185" s="384"/>
      <c r="Y185" s="384"/>
      <c r="Z185" s="384"/>
      <c r="AA185" s="384"/>
      <c r="AB185" s="384"/>
      <c r="AC185" s="384"/>
      <c r="AD185" s="384"/>
      <c r="AE185" s="384"/>
      <c r="AF185" s="384"/>
      <c r="AG185" s="384"/>
      <c r="AH185" s="384"/>
      <c r="AI185" s="384"/>
      <c r="AJ185" s="384"/>
      <c r="AK185" s="384"/>
      <c r="AL185" s="384"/>
      <c r="AM185" s="384"/>
      <c r="AN185" s="384"/>
      <c r="AO185" s="384"/>
      <c r="AP185" s="384"/>
      <c r="AQ185" s="384"/>
      <c r="AR185" s="384"/>
      <c r="AS185" s="384"/>
      <c r="AT185" s="384"/>
      <c r="AU185" s="384"/>
    </row>
    <row r="186" spans="1:48" s="8" customFormat="1" x14ac:dyDescent="0.3">
      <c r="A186" s="161"/>
      <c r="B186" s="382"/>
      <c r="Q186" s="384"/>
      <c r="R186" s="384"/>
      <c r="S186" s="384"/>
      <c r="T186" s="384"/>
      <c r="U186" s="384"/>
      <c r="V186" s="384"/>
      <c r="W186" s="384"/>
      <c r="X186" s="384"/>
      <c r="Y186" s="384"/>
      <c r="Z186" s="384"/>
      <c r="AA186" s="384"/>
      <c r="AB186" s="384"/>
      <c r="AC186" s="384"/>
      <c r="AD186" s="384"/>
      <c r="AE186" s="384"/>
      <c r="AF186" s="384"/>
      <c r="AG186" s="384"/>
      <c r="AH186" s="384"/>
      <c r="AI186" s="384"/>
      <c r="AJ186" s="384"/>
      <c r="AK186" s="384"/>
      <c r="AL186" s="384"/>
      <c r="AM186" s="384"/>
      <c r="AN186" s="384"/>
      <c r="AO186" s="384"/>
      <c r="AP186" s="384"/>
      <c r="AQ186" s="384"/>
      <c r="AR186" s="384"/>
      <c r="AS186" s="384"/>
      <c r="AT186" s="384"/>
      <c r="AU186" s="384"/>
    </row>
    <row r="187" spans="1:48" s="8" customFormat="1" x14ac:dyDescent="0.3">
      <c r="A187" s="161"/>
      <c r="B187" s="382"/>
      <c r="Q187" s="384"/>
      <c r="R187" s="384"/>
      <c r="S187" s="384"/>
      <c r="T187" s="384"/>
      <c r="U187" s="384"/>
      <c r="V187" s="384"/>
      <c r="W187" s="384"/>
      <c r="X187" s="384"/>
      <c r="Y187" s="384"/>
      <c r="Z187" s="384"/>
      <c r="AA187" s="384"/>
      <c r="AB187" s="384"/>
      <c r="AC187" s="384"/>
      <c r="AD187" s="384"/>
      <c r="AE187" s="384"/>
      <c r="AF187" s="384"/>
      <c r="AG187" s="384"/>
      <c r="AH187" s="384"/>
      <c r="AI187" s="384"/>
      <c r="AJ187" s="384"/>
      <c r="AK187" s="384"/>
      <c r="AL187" s="384"/>
      <c r="AM187" s="384"/>
      <c r="AN187" s="384"/>
      <c r="AO187" s="384"/>
      <c r="AP187" s="384"/>
      <c r="AQ187" s="384"/>
      <c r="AR187" s="384"/>
      <c r="AS187" s="384"/>
      <c r="AT187" s="384"/>
      <c r="AU187" s="384"/>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0">
    <mergeCell ref="B172:C172"/>
    <mergeCell ref="B151:C151"/>
    <mergeCell ref="B152:C152"/>
    <mergeCell ref="B153:C153"/>
    <mergeCell ref="B154:C154"/>
    <mergeCell ref="B155:C155"/>
    <mergeCell ref="B156:C156"/>
    <mergeCell ref="B157:C157"/>
    <mergeCell ref="B158:C158"/>
    <mergeCell ref="B162:C162"/>
    <mergeCell ref="B163:C163"/>
    <mergeCell ref="B165:C165"/>
    <mergeCell ref="B150:C150"/>
    <mergeCell ref="B122:C122"/>
    <mergeCell ref="B123:C123"/>
    <mergeCell ref="B125:C125"/>
    <mergeCell ref="B132:C132"/>
    <mergeCell ref="B138:C138"/>
    <mergeCell ref="B140:C140"/>
    <mergeCell ref="B141:C141"/>
    <mergeCell ref="B142:C142"/>
    <mergeCell ref="B143:C143"/>
    <mergeCell ref="B144:C144"/>
    <mergeCell ref="B145:C145"/>
    <mergeCell ref="B110:C110"/>
    <mergeCell ref="B60:C60"/>
    <mergeCell ref="B73:C73"/>
    <mergeCell ref="B74:C74"/>
    <mergeCell ref="B78:C78"/>
    <mergeCell ref="B83:C83"/>
    <mergeCell ref="B87:C87"/>
    <mergeCell ref="B88:C88"/>
    <mergeCell ref="B92:C92"/>
    <mergeCell ref="B93:C93"/>
    <mergeCell ref="B107:C107"/>
    <mergeCell ref="B108:C108"/>
    <mergeCell ref="B59:C59"/>
    <mergeCell ref="B31:C31"/>
    <mergeCell ref="B32:C32"/>
    <mergeCell ref="B33:C33"/>
    <mergeCell ref="B38:C38"/>
    <mergeCell ref="B39:C39"/>
    <mergeCell ref="B40:C40"/>
    <mergeCell ref="B41:C41"/>
    <mergeCell ref="B45:C45"/>
    <mergeCell ref="B50:C50"/>
    <mergeCell ref="B54:C54"/>
    <mergeCell ref="B55:C55"/>
    <mergeCell ref="B30:C30"/>
    <mergeCell ref="A3:A4"/>
    <mergeCell ref="B3:C3"/>
    <mergeCell ref="B4:C4"/>
    <mergeCell ref="B5:C5"/>
    <mergeCell ref="B6:C6"/>
    <mergeCell ref="B7:C7"/>
    <mergeCell ref="B8:C8"/>
    <mergeCell ref="B9:C9"/>
    <mergeCell ref="B16:C16"/>
    <mergeCell ref="B24:C24"/>
    <mergeCell ref="B25:C2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FFBEF-E759-4238-9538-24D193BE3EE4}">
  <sheetPr>
    <tabColor theme="8" tint="0.39997558519241921"/>
    <pageSetUpPr fitToPage="1"/>
  </sheetPr>
  <dimension ref="A1:AV67"/>
  <sheetViews>
    <sheetView showGridLines="0" zoomScaleNormal="100" workbookViewId="0">
      <pane xSplit="3" ySplit="5" topLeftCell="V6" activePane="bottomRight" state="frozen"/>
      <selection activeCell="AG31" sqref="AG31"/>
      <selection pane="topRight" activeCell="AG31" sqref="AG31"/>
      <selection pane="bottomLeft" activeCell="AG31" sqref="AG31"/>
      <selection pane="bottomRight" activeCell="AG31" sqref="AG31"/>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583" t="s">
        <v>249</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583" t="s">
        <v>211</v>
      </c>
      <c r="C5" s="584"/>
      <c r="D5" s="13"/>
      <c r="E5" s="13"/>
      <c r="F5" s="13"/>
      <c r="G5" s="258"/>
      <c r="H5" s="259"/>
      <c r="I5" s="258"/>
      <c r="J5" s="13"/>
      <c r="K5" s="13"/>
      <c r="L5" s="258"/>
      <c r="M5" s="259"/>
      <c r="N5" s="258"/>
      <c r="O5" s="13"/>
      <c r="P5" s="13"/>
      <c r="Q5" s="258"/>
      <c r="R5" s="259"/>
      <c r="S5" s="258"/>
      <c r="T5" s="13"/>
      <c r="U5" s="13"/>
      <c r="V5" s="258"/>
      <c r="W5" s="259"/>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580" t="s">
        <v>212</v>
      </c>
      <c r="C6" s="581"/>
      <c r="D6" s="16">
        <f>'BS (F1Q23)'!D6-'BS (F4Q2022)'!D6</f>
        <v>0</v>
      </c>
      <c r="E6" s="16">
        <f>'BS (F1Q23)'!E6-'BS (F4Q2022)'!E6</f>
        <v>0</v>
      </c>
      <c r="F6" s="16">
        <f>'BS (F1Q23)'!F6-'BS (F4Q2022)'!F6</f>
        <v>0</v>
      </c>
      <c r="G6" s="101">
        <f>'BS (F1Q23)'!G6-'BS (F4Q2022)'!G6</f>
        <v>0</v>
      </c>
      <c r="H6" s="17">
        <f>'BS (F1Q23)'!H6-'BS (F4Q2022)'!H6</f>
        <v>0</v>
      </c>
      <c r="I6" s="16">
        <f>'BS (F1Q23)'!I6-'BS (F4Q2022)'!I6</f>
        <v>0</v>
      </c>
      <c r="J6" s="16">
        <f>'BS (F1Q23)'!J6-'BS (F4Q2022)'!J6</f>
        <v>0</v>
      </c>
      <c r="K6" s="16">
        <f>'BS (F1Q23)'!K6-'BS (F4Q2022)'!K6</f>
        <v>0</v>
      </c>
      <c r="L6" s="101">
        <f>'BS (F1Q23)'!L6-'BS (F4Q2022)'!L6</f>
        <v>0</v>
      </c>
      <c r="M6" s="17">
        <f>'BS (F1Q23)'!M6-'BS (F4Q2022)'!M6</f>
        <v>0</v>
      </c>
      <c r="N6" s="16">
        <f>'BS (F1Q23)'!N6-'BS (F4Q2022)'!N6</f>
        <v>0</v>
      </c>
      <c r="O6" s="16">
        <f>'BS (F1Q23)'!O6-'BS (F4Q2022)'!O6</f>
        <v>0</v>
      </c>
      <c r="P6" s="16">
        <f>'BS (F1Q23)'!P6-'BS (F4Q2022)'!P6</f>
        <v>0</v>
      </c>
      <c r="Q6" s="16">
        <f>'BS (F1Q23)'!Q6-'BS (F4Q2022)'!Q6</f>
        <v>0</v>
      </c>
      <c r="R6" s="17">
        <f>'BS (F1Q23)'!R6-'BS (F4Q2022)'!R6</f>
        <v>0</v>
      </c>
      <c r="S6" s="16">
        <f>'BS (F1Q23)'!S6-'BS (F4Q2022)'!S6</f>
        <v>0</v>
      </c>
      <c r="T6" s="16">
        <f>'BS (F1Q23)'!T6-'BS (F4Q2022)'!T6</f>
        <v>0</v>
      </c>
      <c r="U6" s="16">
        <f>'BS (F1Q23)'!U6-'BS (F4Q2022)'!U6</f>
        <v>0</v>
      </c>
      <c r="V6" s="16">
        <f>'BS (F1Q23)'!V6-'BS (F4Q2022)'!V6</f>
        <v>0</v>
      </c>
      <c r="W6" s="17">
        <f>'BS (F1Q23)'!W6-'BS (F4Q2022)'!W6</f>
        <v>0</v>
      </c>
      <c r="X6" s="16">
        <f>'BS (F1Q23)'!X6-'BS (F4Q2022)'!X6</f>
        <v>-634.1170959622209</v>
      </c>
      <c r="Y6" s="16">
        <f>'BS (F1Q23)'!Y6-'BS (F4Q2022)'!Y6</f>
        <v>-225.28653552943069</v>
      </c>
      <c r="Z6" s="16">
        <f>'BS (F1Q23)'!Z6-'BS (F4Q2022)'!Z6</f>
        <v>-374.10732426688583</v>
      </c>
      <c r="AA6" s="16">
        <f>'BS (F1Q23)'!AA6-'BS (F4Q2022)'!AA6</f>
        <v>-499.17773206439961</v>
      </c>
      <c r="AB6" s="17">
        <f>'BS (F1Q23)'!AB6-'BS (F4Q2022)'!AB6</f>
        <v>-499.17773206439961</v>
      </c>
      <c r="AC6" s="16">
        <f>'BS (F1Q23)'!AC6-'BS (F4Q2022)'!AC6</f>
        <v>-851.51625082494365</v>
      </c>
      <c r="AD6" s="16">
        <f>'BS (F1Q23)'!AD6-'BS (F4Q2022)'!AD6</f>
        <v>-1095.6772912462602</v>
      </c>
      <c r="AE6" s="16">
        <f>'BS (F1Q23)'!AE6-'BS (F4Q2022)'!AE6</f>
        <v>-1116.9271283155131</v>
      </c>
      <c r="AF6" s="16">
        <f>'BS (F1Q23)'!AF6-'BS (F4Q2022)'!AF6</f>
        <v>-1005.2687481937564</v>
      </c>
      <c r="AG6" s="17">
        <f>'BS (F1Q23)'!AG6-'BS (F4Q2022)'!AG6</f>
        <v>-1005.2687481937564</v>
      </c>
      <c r="AH6" s="16">
        <f>'BS (F1Q23)'!AH6-'BS (F4Q2022)'!AH6</f>
        <v>-1332.0168260104283</v>
      </c>
      <c r="AI6" s="16">
        <f>'BS (F1Q23)'!AI6-'BS (F4Q2022)'!AI6</f>
        <v>-1456.1793331897361</v>
      </c>
      <c r="AJ6" s="16">
        <f>'BS (F1Q23)'!AJ6-'BS (F4Q2022)'!AJ6</f>
        <v>131.22161064279589</v>
      </c>
      <c r="AK6" s="16">
        <f>'BS (F1Q23)'!AK6-'BS (F4Q2022)'!AK6</f>
        <v>137.46789476809681</v>
      </c>
      <c r="AL6" s="17">
        <f>'BS (F1Q23)'!AL6-'BS (F4Q2022)'!AL6</f>
        <v>137.46789476809681</v>
      </c>
      <c r="AM6" s="16">
        <f>'BS (F1Q23)'!AM6-'BS (F4Q2022)'!AM6</f>
        <v>-281.92798308028296</v>
      </c>
      <c r="AN6" s="16">
        <f>'BS (F1Q23)'!AN6-'BS (F4Q2022)'!AN6</f>
        <v>-1312.7313876807254</v>
      </c>
      <c r="AO6" s="16">
        <f>'BS (F1Q23)'!AO6-'BS (F4Q2022)'!AO6</f>
        <v>-1309.7987815092417</v>
      </c>
      <c r="AP6" s="16">
        <f>'BS (F1Q23)'!AP6-'BS (F4Q2022)'!AP6</f>
        <v>-1262.1551283479273</v>
      </c>
      <c r="AQ6" s="17">
        <f>'BS (F1Q23)'!AQ6-'BS (F4Q2022)'!AQ6</f>
        <v>-1262.1551283479273</v>
      </c>
      <c r="AR6" s="16">
        <f>'BS (F1Q23)'!AR6-'BS (F4Q2022)'!AR6</f>
        <v>-1644.2570714022031</v>
      </c>
      <c r="AS6" s="16">
        <f>'BS (F1Q23)'!AS6-'BS (F4Q2022)'!AS6</f>
        <v>-1775.8010105502483</v>
      </c>
      <c r="AT6" s="16">
        <f>'BS (F1Q23)'!AT6-'BS (F4Q2022)'!AT6</f>
        <v>-1775.9707321788255</v>
      </c>
      <c r="AU6" s="16">
        <f>'BS (F1Q23)'!AU6-'BS (F4Q2022)'!AU6</f>
        <v>-1726.9503712036253</v>
      </c>
      <c r="AV6" s="17">
        <f>'BS (F1Q23)'!AV6-'BS (F4Q2022)'!AV6</f>
        <v>-1726.9503712036253</v>
      </c>
    </row>
    <row r="7" spans="1:48" ht="14.55" customHeight="1" outlineLevel="1" x14ac:dyDescent="0.3">
      <c r="A7" s="161"/>
      <c r="B7" s="200" t="s">
        <v>213</v>
      </c>
      <c r="C7" s="201"/>
      <c r="D7" s="16">
        <f>'BS (F1Q23)'!D7-'BS (F4Q2022)'!D7</f>
        <v>0</v>
      </c>
      <c r="E7" s="16">
        <f>'BS (F1Q23)'!E7-'BS (F4Q2022)'!E7</f>
        <v>0</v>
      </c>
      <c r="F7" s="16">
        <f>'BS (F1Q23)'!F7-'BS (F4Q2022)'!F7</f>
        <v>0</v>
      </c>
      <c r="G7" s="16">
        <f>'BS (F1Q23)'!G7-'BS (F4Q2022)'!G7</f>
        <v>0</v>
      </c>
      <c r="H7" s="17">
        <f>'BS (F1Q23)'!H7-'BS (F4Q2022)'!H7</f>
        <v>0</v>
      </c>
      <c r="I7" s="16">
        <f>'BS (F1Q23)'!I7-'BS (F4Q2022)'!I7</f>
        <v>0</v>
      </c>
      <c r="J7" s="16">
        <f>'BS (F1Q23)'!J7-'BS (F4Q2022)'!J7</f>
        <v>0</v>
      </c>
      <c r="K7" s="16">
        <f>'BS (F1Q23)'!K7-'BS (F4Q2022)'!K7</f>
        <v>0</v>
      </c>
      <c r="L7" s="16">
        <f>'BS (F1Q23)'!L7-'BS (F4Q2022)'!L7</f>
        <v>0</v>
      </c>
      <c r="M7" s="17">
        <f>'BS (F1Q23)'!M7-'BS (F4Q2022)'!M7</f>
        <v>0</v>
      </c>
      <c r="N7" s="16">
        <f>'BS (F1Q23)'!N7-'BS (F4Q2022)'!N7</f>
        <v>0</v>
      </c>
      <c r="O7" s="16">
        <f>'BS (F1Q23)'!O7-'BS (F4Q2022)'!O7</f>
        <v>0</v>
      </c>
      <c r="P7" s="16">
        <f>'BS (F1Q23)'!P7-'BS (F4Q2022)'!P7</f>
        <v>0</v>
      </c>
      <c r="Q7" s="101">
        <f>'BS (F1Q23)'!Q7-'BS (F4Q2022)'!Q7</f>
        <v>0</v>
      </c>
      <c r="R7" s="17">
        <f>'BS (F1Q23)'!R7-'BS (F4Q2022)'!R7</f>
        <v>0</v>
      </c>
      <c r="S7" s="16">
        <f>'BS (F1Q23)'!S7-'BS (F4Q2022)'!S7</f>
        <v>0</v>
      </c>
      <c r="T7" s="16">
        <f>'BS (F1Q23)'!T7-'BS (F4Q2022)'!T7</f>
        <v>0</v>
      </c>
      <c r="U7" s="16">
        <f>'BS (F1Q23)'!U7-'BS (F4Q2022)'!U7</f>
        <v>0</v>
      </c>
      <c r="V7" s="16">
        <f>'BS (F1Q23)'!V7-'BS (F4Q2022)'!V7</f>
        <v>0</v>
      </c>
      <c r="W7" s="17">
        <f>'BS (F1Q23)'!W7-'BS (F4Q2022)'!W7</f>
        <v>0</v>
      </c>
      <c r="X7" s="16">
        <f>'BS (F1Q23)'!X7-'BS (F4Q2022)'!X7</f>
        <v>-12.49463094252215</v>
      </c>
      <c r="Y7" s="16">
        <f>'BS (F1Q23)'!Y7-'BS (F4Q2022)'!Y7</f>
        <v>-3.3577090789194983</v>
      </c>
      <c r="Z7" s="16">
        <f>'BS (F1Q23)'!Z7-'BS (F4Q2022)'!Z7</f>
        <v>-5.6340711870749089</v>
      </c>
      <c r="AA7" s="16">
        <f>'BS (F1Q23)'!AA7-'BS (F4Q2022)'!AA7</f>
        <v>-8.1188103291216294</v>
      </c>
      <c r="AB7" s="17">
        <f>'BS (F1Q23)'!AB7-'BS (F4Q2022)'!AB7</f>
        <v>-8.1188103291216294</v>
      </c>
      <c r="AC7" s="16">
        <f>'BS (F1Q23)'!AC7-'BS (F4Q2022)'!AC7</f>
        <v>-9.4015875657509866</v>
      </c>
      <c r="AD7" s="16">
        <f>'BS (F1Q23)'!AD7-'BS (F4Q2022)'!AD7</f>
        <v>-9.5718426154835754</v>
      </c>
      <c r="AE7" s="16">
        <f>'BS (F1Q23)'!AE7-'BS (F4Q2022)'!AE7</f>
        <v>-10.915712648864542</v>
      </c>
      <c r="AF7" s="16">
        <f>'BS (F1Q23)'!AF7-'BS (F4Q2022)'!AF7</f>
        <v>-10.696275214097085</v>
      </c>
      <c r="AG7" s="17">
        <f>'BS (F1Q23)'!AG7-'BS (F4Q2022)'!AG7</f>
        <v>-10.696275214097085</v>
      </c>
      <c r="AH7" s="16">
        <f>'BS (F1Q23)'!AH7-'BS (F4Q2022)'!AH7</f>
        <v>-11.292529289362307</v>
      </c>
      <c r="AI7" s="16">
        <f>'BS (F1Q23)'!AI7-'BS (F4Q2022)'!AI7</f>
        <v>-12.18582672706151</v>
      </c>
      <c r="AJ7" s="16">
        <f>'BS (F1Q23)'!AJ7-'BS (F4Q2022)'!AJ7</f>
        <v>-3.4285997665050161</v>
      </c>
      <c r="AK7" s="16">
        <f>'BS (F1Q23)'!AK7-'BS (F4Q2022)'!AK7</f>
        <v>-2.6532157998781543</v>
      </c>
      <c r="AL7" s="17">
        <f>'BS (F1Q23)'!AL7-'BS (F4Q2022)'!AL7</f>
        <v>-2.6532157998781543</v>
      </c>
      <c r="AM7" s="16">
        <f>'BS (F1Q23)'!AM7-'BS (F4Q2022)'!AM7</f>
        <v>-3.5416228418615958</v>
      </c>
      <c r="AN7" s="16">
        <f>'BS (F1Q23)'!AN7-'BS (F4Q2022)'!AN7</f>
        <v>-10.409404826465732</v>
      </c>
      <c r="AO7" s="16">
        <f>'BS (F1Q23)'!AO7-'BS (F4Q2022)'!AO7</f>
        <v>-11.264517404183209</v>
      </c>
      <c r="AP7" s="16">
        <f>'BS (F1Q23)'!AP7-'BS (F4Q2022)'!AP7</f>
        <v>-11.182112274126951</v>
      </c>
      <c r="AQ7" s="17">
        <f>'BS (F1Q23)'!AQ7-'BS (F4Q2022)'!AQ7</f>
        <v>-11.182112274126951</v>
      </c>
      <c r="AR7" s="16">
        <f>'BS (F1Q23)'!AR7-'BS (F4Q2022)'!AR7</f>
        <v>-12.100301935687725</v>
      </c>
      <c r="AS7" s="16">
        <f>'BS (F1Q23)'!AS7-'BS (F4Q2022)'!AS7</f>
        <v>-13.25289836364459</v>
      </c>
      <c r="AT7" s="16">
        <f>'BS (F1Q23)'!AT7-'BS (F4Q2022)'!AT7</f>
        <v>-14.182456866564678</v>
      </c>
      <c r="AU7" s="16">
        <f>'BS (F1Q23)'!AU7-'BS (F4Q2022)'!AU7</f>
        <v>-14.139472307921835</v>
      </c>
      <c r="AV7" s="17">
        <f>'BS (F1Q23)'!AV7-'BS (F4Q2022)'!AV7</f>
        <v>-14.139472307921835</v>
      </c>
    </row>
    <row r="8" spans="1:48" s="23" customFormat="1" ht="14.55" customHeight="1" outlineLevel="1" x14ac:dyDescent="0.3">
      <c r="A8" s="161"/>
      <c r="B8" s="580" t="s">
        <v>214</v>
      </c>
      <c r="C8" s="581"/>
      <c r="D8" s="16">
        <f>'BS (F1Q23)'!D8-'BS (F4Q2022)'!D8</f>
        <v>0</v>
      </c>
      <c r="E8" s="16">
        <f>'BS (F1Q23)'!E8-'BS (F4Q2022)'!E8</f>
        <v>0</v>
      </c>
      <c r="F8" s="16">
        <f>'BS (F1Q23)'!F8-'BS (F4Q2022)'!F8</f>
        <v>0</v>
      </c>
      <c r="G8" s="16">
        <f>'BS (F1Q23)'!G8-'BS (F4Q2022)'!G8</f>
        <v>0</v>
      </c>
      <c r="H8" s="17">
        <f>'BS (F1Q23)'!H8-'BS (F4Q2022)'!H8</f>
        <v>0</v>
      </c>
      <c r="I8" s="16">
        <f>'BS (F1Q23)'!I8-'BS (F4Q2022)'!I8</f>
        <v>0</v>
      </c>
      <c r="J8" s="16">
        <f>'BS (F1Q23)'!J8-'BS (F4Q2022)'!J8</f>
        <v>0</v>
      </c>
      <c r="K8" s="16">
        <f>'BS (F1Q23)'!K8-'BS (F4Q2022)'!K8</f>
        <v>0</v>
      </c>
      <c r="L8" s="16">
        <f>'BS (F1Q23)'!L8-'BS (F4Q2022)'!L8</f>
        <v>0</v>
      </c>
      <c r="M8" s="17">
        <f>'BS (F1Q23)'!M8-'BS (F4Q2022)'!M8</f>
        <v>0</v>
      </c>
      <c r="N8" s="16">
        <f>'BS (F1Q23)'!N8-'BS (F4Q2022)'!N8</f>
        <v>0</v>
      </c>
      <c r="O8" s="16">
        <f>'BS (F1Q23)'!O8-'BS (F4Q2022)'!O8</f>
        <v>0</v>
      </c>
      <c r="P8" s="16">
        <f>'BS (F1Q23)'!P8-'BS (F4Q2022)'!P8</f>
        <v>0</v>
      </c>
      <c r="Q8" s="101">
        <f>'BS (F1Q23)'!Q8-'BS (F4Q2022)'!Q8</f>
        <v>0</v>
      </c>
      <c r="R8" s="17">
        <f>'BS (F1Q23)'!R8-'BS (F4Q2022)'!R8</f>
        <v>0</v>
      </c>
      <c r="S8" s="16">
        <f>'BS (F1Q23)'!S8-'BS (F4Q2022)'!S8</f>
        <v>0</v>
      </c>
      <c r="T8" s="16">
        <f>'BS (F1Q23)'!T8-'BS (F4Q2022)'!T8</f>
        <v>0</v>
      </c>
      <c r="U8" s="16">
        <f>'BS (F1Q23)'!U8-'BS (F4Q2022)'!U8</f>
        <v>0</v>
      </c>
      <c r="V8" s="16">
        <f>'BS (F1Q23)'!V8-'BS (F4Q2022)'!V8</f>
        <v>0</v>
      </c>
      <c r="W8" s="17">
        <f>'BS (F1Q23)'!W8-'BS (F4Q2022)'!W8</f>
        <v>0</v>
      </c>
      <c r="X8" s="16">
        <f>'BS (F1Q23)'!X8-'BS (F4Q2022)'!X8</f>
        <v>35.67112632463818</v>
      </c>
      <c r="Y8" s="16">
        <f>'BS (F1Q23)'!Y8-'BS (F4Q2022)'!Y8</f>
        <v>-4.6963442421858872</v>
      </c>
      <c r="Z8" s="16">
        <f>'BS (F1Q23)'!Z8-'BS (F4Q2022)'!Z8</f>
        <v>-4.1061182374317013</v>
      </c>
      <c r="AA8" s="16">
        <f>'BS (F1Q23)'!AA8-'BS (F4Q2022)'!AA8</f>
        <v>-2.8767629196827329</v>
      </c>
      <c r="AB8" s="17">
        <f>'BS (F1Q23)'!AB8-'BS (F4Q2022)'!AB8</f>
        <v>-2.8767629196827329</v>
      </c>
      <c r="AC8" s="16">
        <f>'BS (F1Q23)'!AC8-'BS (F4Q2022)'!AC8</f>
        <v>5.6940095334266516</v>
      </c>
      <c r="AD8" s="16">
        <f>'BS (F1Q23)'!AD8-'BS (F4Q2022)'!AD8</f>
        <v>-2.0353359150262804</v>
      </c>
      <c r="AE8" s="16">
        <f>'BS (F1Q23)'!AE8-'BS (F4Q2022)'!AE8</f>
        <v>-2.1624714688211952</v>
      </c>
      <c r="AF8" s="16">
        <f>'BS (F1Q23)'!AF8-'BS (F4Q2022)'!AF8</f>
        <v>-2.3747237863065038</v>
      </c>
      <c r="AG8" s="17">
        <f>'BS (F1Q23)'!AG8-'BS (F4Q2022)'!AG8</f>
        <v>-2.3747237863065038</v>
      </c>
      <c r="AH8" s="16">
        <f>'BS (F1Q23)'!AH8-'BS (F4Q2022)'!AH8</f>
        <v>9.3313678262670692</v>
      </c>
      <c r="AI8" s="16">
        <f>'BS (F1Q23)'!AI8-'BS (F4Q2022)'!AI8</f>
        <v>-2.1499518852465371</v>
      </c>
      <c r="AJ8" s="16">
        <f>'BS (F1Q23)'!AJ8-'BS (F4Q2022)'!AJ8</f>
        <v>-2.3669338497873014</v>
      </c>
      <c r="AK8" s="16">
        <f>'BS (F1Q23)'!AK8-'BS (F4Q2022)'!AK8</f>
        <v>-2.5897497547086914</v>
      </c>
      <c r="AL8" s="17">
        <f>'BS (F1Q23)'!AL8-'BS (F4Q2022)'!AL8</f>
        <v>-2.5897497547086914</v>
      </c>
      <c r="AM8" s="16">
        <f>'BS (F1Q23)'!AM8-'BS (F4Q2022)'!AM8</f>
        <v>15.419027199664924</v>
      </c>
      <c r="AN8" s="16">
        <f>'BS (F1Q23)'!AN8-'BS (F4Q2022)'!AN8</f>
        <v>-2.2775868958683532</v>
      </c>
      <c r="AO8" s="16">
        <f>'BS (F1Q23)'!AO8-'BS (F4Q2022)'!AO8</f>
        <v>-2.4916705379748691</v>
      </c>
      <c r="AP8" s="16">
        <f>'BS (F1Q23)'!AP8-'BS (F4Q2022)'!AP8</f>
        <v>-2.675296118758979</v>
      </c>
      <c r="AQ8" s="17">
        <f>'BS (F1Q23)'!AQ8-'BS (F4Q2022)'!AQ8</f>
        <v>-2.675296118758979</v>
      </c>
      <c r="AR8" s="16">
        <f>'BS (F1Q23)'!AR8-'BS (F4Q2022)'!AR8</f>
        <v>7.9421672062528614</v>
      </c>
      <c r="AS8" s="16">
        <f>'BS (F1Q23)'!AS8-'BS (F4Q2022)'!AS8</f>
        <v>-2.3280790745948252</v>
      </c>
      <c r="AT8" s="16">
        <f>'BS (F1Q23)'!AT8-'BS (F4Q2022)'!AT8</f>
        <v>-2.5270784106794508</v>
      </c>
      <c r="AU8" s="16">
        <f>'BS (F1Q23)'!AU8-'BS (F4Q2022)'!AU8</f>
        <v>-2.7511076715352374</v>
      </c>
      <c r="AV8" s="17">
        <f>'BS (F1Q23)'!AV8-'BS (F4Q2022)'!AV8</f>
        <v>-2.7511076715352374</v>
      </c>
    </row>
    <row r="9" spans="1:48" s="23" customFormat="1" ht="14.55" customHeight="1" outlineLevel="1" x14ac:dyDescent="0.3">
      <c r="A9" s="161"/>
      <c r="B9" s="200" t="s">
        <v>215</v>
      </c>
      <c r="C9" s="201"/>
      <c r="D9" s="16">
        <f>'BS (F1Q23)'!D9-'BS (F4Q2022)'!D9</f>
        <v>0</v>
      </c>
      <c r="E9" s="16">
        <f>'BS (F1Q23)'!E9-'BS (F4Q2022)'!E9</f>
        <v>0</v>
      </c>
      <c r="F9" s="16">
        <f>'BS (F1Q23)'!F9-'BS (F4Q2022)'!F9</f>
        <v>0</v>
      </c>
      <c r="G9" s="16">
        <f>'BS (F1Q23)'!G9-'BS (F4Q2022)'!G9</f>
        <v>0</v>
      </c>
      <c r="H9" s="17">
        <f>'BS (F1Q23)'!H9-'BS (F4Q2022)'!H9</f>
        <v>0</v>
      </c>
      <c r="I9" s="16">
        <f>'BS (F1Q23)'!I9-'BS (F4Q2022)'!I9</f>
        <v>0</v>
      </c>
      <c r="J9" s="16">
        <f>'BS (F1Q23)'!J9-'BS (F4Q2022)'!J9</f>
        <v>0</v>
      </c>
      <c r="K9" s="16">
        <f>'BS (F1Q23)'!K9-'BS (F4Q2022)'!K9</f>
        <v>0</v>
      </c>
      <c r="L9" s="16">
        <f>'BS (F1Q23)'!L9-'BS (F4Q2022)'!L9</f>
        <v>0</v>
      </c>
      <c r="M9" s="17">
        <f>'BS (F1Q23)'!M9-'BS (F4Q2022)'!M9</f>
        <v>0</v>
      </c>
      <c r="N9" s="16">
        <f>'BS (F1Q23)'!N9-'BS (F4Q2022)'!N9</f>
        <v>0</v>
      </c>
      <c r="O9" s="16">
        <f>'BS (F1Q23)'!O9-'BS (F4Q2022)'!O9</f>
        <v>0</v>
      </c>
      <c r="P9" s="16">
        <f>'BS (F1Q23)'!P9-'BS (F4Q2022)'!P9</f>
        <v>0</v>
      </c>
      <c r="Q9" s="101">
        <f>'BS (F1Q23)'!Q9-'BS (F4Q2022)'!Q9</f>
        <v>0</v>
      </c>
      <c r="R9" s="17">
        <f>'BS (F1Q23)'!R9-'BS (F4Q2022)'!R9</f>
        <v>0</v>
      </c>
      <c r="S9" s="16">
        <f>'BS (F1Q23)'!S9-'BS (F4Q2022)'!S9</f>
        <v>0</v>
      </c>
      <c r="T9" s="16">
        <f>'BS (F1Q23)'!T9-'BS (F4Q2022)'!T9</f>
        <v>0</v>
      </c>
      <c r="U9" s="16">
        <f>'BS (F1Q23)'!U9-'BS (F4Q2022)'!U9</f>
        <v>0</v>
      </c>
      <c r="V9" s="16">
        <f>'BS (F1Q23)'!V9-'BS (F4Q2022)'!V9</f>
        <v>0</v>
      </c>
      <c r="W9" s="17">
        <f>'BS (F1Q23)'!W9-'BS (F4Q2022)'!W9</f>
        <v>0</v>
      </c>
      <c r="X9" s="16">
        <f>'BS (F1Q23)'!X9-'BS (F4Q2022)'!X9</f>
        <v>224.70574438894619</v>
      </c>
      <c r="Y9" s="16">
        <f>'BS (F1Q23)'!Y9-'BS (F4Q2022)'!Y9</f>
        <v>29.081913761866417</v>
      </c>
      <c r="Z9" s="16">
        <f>'BS (F1Q23)'!Z9-'BS (F4Q2022)'!Z9</f>
        <v>-57.862716453937082</v>
      </c>
      <c r="AA9" s="16">
        <f>'BS (F1Q23)'!AA9-'BS (F4Q2022)'!AA9</f>
        <v>-82.196282438752405</v>
      </c>
      <c r="AB9" s="17">
        <f>'BS (F1Q23)'!AB9-'BS (F4Q2022)'!AB9</f>
        <v>-82.196282438752405</v>
      </c>
      <c r="AC9" s="16">
        <f>'BS (F1Q23)'!AC9-'BS (F4Q2022)'!AC9</f>
        <v>76.841238423998675</v>
      </c>
      <c r="AD9" s="16">
        <f>'BS (F1Q23)'!AD9-'BS (F4Q2022)'!AD9</f>
        <v>39.944539589964734</v>
      </c>
      <c r="AE9" s="16">
        <f>'BS (F1Q23)'!AE9-'BS (F4Q2022)'!AE9</f>
        <v>-59.436851965825554</v>
      </c>
      <c r="AF9" s="16">
        <f>'BS (F1Q23)'!AF9-'BS (F4Q2022)'!AF9</f>
        <v>-91.422542780733693</v>
      </c>
      <c r="AG9" s="17">
        <f>'BS (F1Q23)'!AG9-'BS (F4Q2022)'!AG9</f>
        <v>-91.422542780733693</v>
      </c>
      <c r="AH9" s="16">
        <f>'BS (F1Q23)'!AH9-'BS (F4Q2022)'!AH9</f>
        <v>109.4855487416994</v>
      </c>
      <c r="AI9" s="16">
        <f>'BS (F1Q23)'!AI9-'BS (F4Q2022)'!AI9</f>
        <v>47.782295906102718</v>
      </c>
      <c r="AJ9" s="16">
        <f>'BS (F1Q23)'!AJ9-'BS (F4Q2022)'!AJ9</f>
        <v>-70.055899118919569</v>
      </c>
      <c r="AK9" s="16">
        <f>'BS (F1Q23)'!AK9-'BS (F4Q2022)'!AK9</f>
        <v>-108.73474339527456</v>
      </c>
      <c r="AL9" s="17">
        <f>'BS (F1Q23)'!AL9-'BS (F4Q2022)'!AL9</f>
        <v>-108.73474339527456</v>
      </c>
      <c r="AM9" s="16">
        <f>'BS (F1Q23)'!AM9-'BS (F4Q2022)'!AM9</f>
        <v>163.07143624230821</v>
      </c>
      <c r="AN9" s="16">
        <f>'BS (F1Q23)'!AN9-'BS (F4Q2022)'!AN9</f>
        <v>54.964127312580331</v>
      </c>
      <c r="AO9" s="16">
        <f>'BS (F1Q23)'!AO9-'BS (F4Q2022)'!AO9</f>
        <v>-76.796114978870719</v>
      </c>
      <c r="AP9" s="16">
        <f>'BS (F1Q23)'!AP9-'BS (F4Q2022)'!AP9</f>
        <v>-116.21500768277292</v>
      </c>
      <c r="AQ9" s="17">
        <f>'BS (F1Q23)'!AQ9-'BS (F4Q2022)'!AQ9</f>
        <v>-116.21500768277292</v>
      </c>
      <c r="AR9" s="16">
        <f>'BS (F1Q23)'!AR9-'BS (F4Q2022)'!AR9</f>
        <v>129.68120418529361</v>
      </c>
      <c r="AS9" s="16">
        <f>'BS (F1Q23)'!AS9-'BS (F4Q2022)'!AS9</f>
        <v>59.613146516830511</v>
      </c>
      <c r="AT9" s="16">
        <f>'BS (F1Q23)'!AT9-'BS (F4Q2022)'!AT9</f>
        <v>-80.560010035297182</v>
      </c>
      <c r="AU9" s="16">
        <f>'BS (F1Q23)'!AU9-'BS (F4Q2022)'!AU9</f>
        <v>-123.70020944057887</v>
      </c>
      <c r="AV9" s="17">
        <f>'BS (F1Q23)'!AV9-'BS (F4Q2022)'!AV9</f>
        <v>-123.70020944057887</v>
      </c>
    </row>
    <row r="10" spans="1:48" ht="16.2" customHeight="1" outlineLevel="1" x14ac:dyDescent="0.45">
      <c r="A10" s="161"/>
      <c r="B10" s="580" t="s">
        <v>216</v>
      </c>
      <c r="C10" s="581"/>
      <c r="D10" s="260">
        <f>'BS (F1Q23)'!D10-'BS (F4Q2022)'!D10</f>
        <v>0</v>
      </c>
      <c r="E10" s="112">
        <f>'BS (F1Q23)'!E10-'BS (F4Q2022)'!E10</f>
        <v>0</v>
      </c>
      <c r="F10" s="112">
        <f>'BS (F1Q23)'!F10-'BS (F4Q2022)'!F10</f>
        <v>0</v>
      </c>
      <c r="G10" s="112">
        <f>'BS (F1Q23)'!G10-'BS (F4Q2022)'!G10</f>
        <v>0</v>
      </c>
      <c r="H10" s="261">
        <f>'BS (F1Q23)'!H10-'BS (F4Q2022)'!H10</f>
        <v>0</v>
      </c>
      <c r="I10" s="112">
        <f>'BS (F1Q23)'!I10-'BS (F4Q2022)'!I10</f>
        <v>0</v>
      </c>
      <c r="J10" s="112">
        <f>'BS (F1Q23)'!J10-'BS (F4Q2022)'!J10</f>
        <v>0</v>
      </c>
      <c r="K10" s="112">
        <f>'BS (F1Q23)'!K10-'BS (F4Q2022)'!K10</f>
        <v>0</v>
      </c>
      <c r="L10" s="112">
        <f>'BS (F1Q23)'!L10-'BS (F4Q2022)'!L10</f>
        <v>0</v>
      </c>
      <c r="M10" s="261">
        <f>'BS (F1Q23)'!M10-'BS (F4Q2022)'!M10</f>
        <v>0</v>
      </c>
      <c r="N10" s="112">
        <f>'BS (F1Q23)'!N10-'BS (F4Q2022)'!N10</f>
        <v>0</v>
      </c>
      <c r="O10" s="112">
        <f>'BS (F1Q23)'!O10-'BS (F4Q2022)'!O10</f>
        <v>0</v>
      </c>
      <c r="P10" s="112">
        <f>'BS (F1Q23)'!P10-'BS (F4Q2022)'!P10</f>
        <v>0</v>
      </c>
      <c r="Q10" s="112">
        <f>'BS (F1Q23)'!Q10-'BS (F4Q2022)'!Q10</f>
        <v>0</v>
      </c>
      <c r="R10" s="261">
        <f>'BS (F1Q23)'!R10-'BS (F4Q2022)'!R10</f>
        <v>0</v>
      </c>
      <c r="S10" s="112">
        <f>'BS (F1Q23)'!S10-'BS (F4Q2022)'!S10</f>
        <v>0</v>
      </c>
      <c r="T10" s="112">
        <f>'BS (F1Q23)'!T10-'BS (F4Q2022)'!T10</f>
        <v>0</v>
      </c>
      <c r="U10" s="112">
        <f>'BS (F1Q23)'!U10-'BS (F4Q2022)'!U10</f>
        <v>0</v>
      </c>
      <c r="V10" s="112">
        <f>'BS (F1Q23)'!V10-'BS (F4Q2022)'!V10</f>
        <v>0</v>
      </c>
      <c r="W10" s="261">
        <f>'BS (F1Q23)'!W10-'BS (F4Q2022)'!W10</f>
        <v>0</v>
      </c>
      <c r="X10" s="32">
        <f>'BS (F1Q23)'!X10-'BS (F4Q2022)'!X10</f>
        <v>-115.03699999999998</v>
      </c>
      <c r="Y10" s="32">
        <f>'BS (F1Q23)'!Y10-'BS (F4Q2022)'!Y10</f>
        <v>-116.18736999999999</v>
      </c>
      <c r="Z10" s="32">
        <f>'BS (F1Q23)'!Z10-'BS (F4Q2022)'!Z10</f>
        <v>-117.34924369999999</v>
      </c>
      <c r="AA10" s="32">
        <f>'BS (F1Q23)'!AA10-'BS (F4Q2022)'!AA10</f>
        <v>-118.52273613699998</v>
      </c>
      <c r="AB10" s="261">
        <f>'BS (F1Q23)'!AB10-'BS (F4Q2022)'!AB10</f>
        <v>-118.52273613699998</v>
      </c>
      <c r="AC10" s="32">
        <f>'BS (F1Q23)'!AC10-'BS (F4Q2022)'!AC10</f>
        <v>-119.70796349837002</v>
      </c>
      <c r="AD10" s="32">
        <f>'BS (F1Q23)'!AD10-'BS (F4Q2022)'!AD10</f>
        <v>-120.90504313335367</v>
      </c>
      <c r="AE10" s="32">
        <f>'BS (F1Q23)'!AE10-'BS (F4Q2022)'!AE10</f>
        <v>-122.11409356468721</v>
      </c>
      <c r="AF10" s="32">
        <f>'BS (F1Q23)'!AF10-'BS (F4Q2022)'!AF10</f>
        <v>-123.33523450033402</v>
      </c>
      <c r="AG10" s="261">
        <f>'BS (F1Q23)'!AG10-'BS (F4Q2022)'!AG10</f>
        <v>-123.33523450033402</v>
      </c>
      <c r="AH10" s="32">
        <f>'BS (F1Q23)'!AH10-'BS (F4Q2022)'!AH10</f>
        <v>-124.56858684533734</v>
      </c>
      <c r="AI10" s="32">
        <f>'BS (F1Q23)'!AI10-'BS (F4Q2022)'!AI10</f>
        <v>-125.81427271379067</v>
      </c>
      <c r="AJ10" s="32">
        <f>'BS (F1Q23)'!AJ10-'BS (F4Q2022)'!AJ10</f>
        <v>-127.07241544092858</v>
      </c>
      <c r="AK10" s="32">
        <f>'BS (F1Q23)'!AK10-'BS (F4Q2022)'!AK10</f>
        <v>-128.3431395953379</v>
      </c>
      <c r="AL10" s="261">
        <f>'BS (F1Q23)'!AL10-'BS (F4Q2022)'!AL10</f>
        <v>-128.3431395953379</v>
      </c>
      <c r="AM10" s="32">
        <f>'BS (F1Q23)'!AM10-'BS (F4Q2022)'!AM10</f>
        <v>-129.6265709912912</v>
      </c>
      <c r="AN10" s="32">
        <f>'BS (F1Q23)'!AN10-'BS (F4Q2022)'!AN10</f>
        <v>-130.92283670120412</v>
      </c>
      <c r="AO10" s="32">
        <f>'BS (F1Q23)'!AO10-'BS (F4Q2022)'!AO10</f>
        <v>-132.23206506821617</v>
      </c>
      <c r="AP10" s="32">
        <f>'BS (F1Q23)'!AP10-'BS (F4Q2022)'!AP10</f>
        <v>-133.55438571889835</v>
      </c>
      <c r="AQ10" s="261">
        <f>'BS (F1Q23)'!AQ10-'BS (F4Q2022)'!AQ10</f>
        <v>-133.55438571889835</v>
      </c>
      <c r="AR10" s="32">
        <f>'BS (F1Q23)'!AR10-'BS (F4Q2022)'!AR10</f>
        <v>-134.88992957608735</v>
      </c>
      <c r="AS10" s="32">
        <f>'BS (F1Q23)'!AS10-'BS (F4Q2022)'!AS10</f>
        <v>-136.23882887184817</v>
      </c>
      <c r="AT10" s="32">
        <f>'BS (F1Q23)'!AT10-'BS (F4Q2022)'!AT10</f>
        <v>-137.6012171605667</v>
      </c>
      <c r="AU10" s="32">
        <f>'BS (F1Q23)'!AU10-'BS (F4Q2022)'!AU10</f>
        <v>-138.97722933217244</v>
      </c>
      <c r="AV10" s="261">
        <f>'BS (F1Q23)'!AV10-'BS (F4Q2022)'!AV10</f>
        <v>-138.97722933217244</v>
      </c>
    </row>
    <row r="11" spans="1:48" ht="14.55" customHeight="1" outlineLevel="1" x14ac:dyDescent="0.3">
      <c r="A11" s="161"/>
      <c r="B11" s="205" t="s">
        <v>217</v>
      </c>
      <c r="C11" s="206"/>
      <c r="D11" s="21">
        <f>'BS (F1Q23)'!D11-'BS (F4Q2022)'!D11</f>
        <v>0</v>
      </c>
      <c r="E11" s="21">
        <f>'BS (F1Q23)'!E11-'BS (F4Q2022)'!E11</f>
        <v>0</v>
      </c>
      <c r="F11" s="21">
        <f>'BS (F1Q23)'!F11-'BS (F4Q2022)'!F11</f>
        <v>0</v>
      </c>
      <c r="G11" s="21">
        <f>'BS (F1Q23)'!G11-'BS (F4Q2022)'!G11</f>
        <v>0</v>
      </c>
      <c r="H11" s="22">
        <f>'BS (F1Q23)'!H11-'BS (F4Q2022)'!H11</f>
        <v>0</v>
      </c>
      <c r="I11" s="21">
        <f>'BS (F1Q23)'!I11-'BS (F4Q2022)'!I11</f>
        <v>0</v>
      </c>
      <c r="J11" s="21">
        <f>'BS (F1Q23)'!J11-'BS (F4Q2022)'!J11</f>
        <v>0</v>
      </c>
      <c r="K11" s="21">
        <f>'BS (F1Q23)'!K11-'BS (F4Q2022)'!K11</f>
        <v>0</v>
      </c>
      <c r="L11" s="116">
        <f>'BS (F1Q23)'!L11-'BS (F4Q2022)'!L11</f>
        <v>0</v>
      </c>
      <c r="M11" s="22">
        <f>'BS (F1Q23)'!M11-'BS (F4Q2022)'!M11</f>
        <v>0</v>
      </c>
      <c r="N11" s="21">
        <f>'BS (F1Q23)'!N11-'BS (F4Q2022)'!N11</f>
        <v>0</v>
      </c>
      <c r="O11" s="21">
        <f>'BS (F1Q23)'!O11-'BS (F4Q2022)'!O11</f>
        <v>0</v>
      </c>
      <c r="P11" s="21">
        <f>'BS (F1Q23)'!P11-'BS (F4Q2022)'!P11</f>
        <v>0</v>
      </c>
      <c r="Q11" s="116">
        <f>'BS (F1Q23)'!Q11-'BS (F4Q2022)'!Q11</f>
        <v>0</v>
      </c>
      <c r="R11" s="22">
        <f>'BS (F1Q23)'!R11-'BS (F4Q2022)'!R11</f>
        <v>0</v>
      </c>
      <c r="S11" s="21">
        <f>'BS (F1Q23)'!S11-'BS (F4Q2022)'!S11</f>
        <v>0</v>
      </c>
      <c r="T11" s="21">
        <f>'BS (F1Q23)'!T11-'BS (F4Q2022)'!T11</f>
        <v>0</v>
      </c>
      <c r="U11" s="21">
        <f>'BS (F1Q23)'!U11-'BS (F4Q2022)'!U11</f>
        <v>0</v>
      </c>
      <c r="V11" s="116">
        <f>'BS (F1Q23)'!V11-'BS (F4Q2022)'!V11</f>
        <v>0</v>
      </c>
      <c r="W11" s="22">
        <f>'BS (F1Q23)'!W11-'BS (F4Q2022)'!W11</f>
        <v>0</v>
      </c>
      <c r="X11" s="21">
        <f>'BS (F1Q23)'!X11-'BS (F4Q2022)'!X11</f>
        <v>-501.2718561911588</v>
      </c>
      <c r="Y11" s="21">
        <f>'BS (F1Q23)'!Y11-'BS (F4Q2022)'!Y11</f>
        <v>-320.44604508866996</v>
      </c>
      <c r="Z11" s="21">
        <f>'BS (F1Q23)'!Z11-'BS (F4Q2022)'!Z11</f>
        <v>-559.0594738453301</v>
      </c>
      <c r="AA11" s="21">
        <f>'BS (F1Q23)'!AA11-'BS (F4Q2022)'!AA11</f>
        <v>-710.89232388895834</v>
      </c>
      <c r="AB11" s="22">
        <f>'BS (F1Q23)'!AB11-'BS (F4Q2022)'!AB11</f>
        <v>-710.89232388895834</v>
      </c>
      <c r="AC11" s="21">
        <f>'BS (F1Q23)'!AC11-'BS (F4Q2022)'!AC11</f>
        <v>-898.09055393163817</v>
      </c>
      <c r="AD11" s="21">
        <f>'BS (F1Q23)'!AD11-'BS (F4Q2022)'!AD11</f>
        <v>-1188.2449733201602</v>
      </c>
      <c r="AE11" s="21">
        <f>'BS (F1Q23)'!AE11-'BS (F4Q2022)'!AE11</f>
        <v>-1311.5562579637126</v>
      </c>
      <c r="AF11" s="21">
        <f>'BS (F1Q23)'!AF11-'BS (F4Q2022)'!AF11</f>
        <v>-1233.0975244752299</v>
      </c>
      <c r="AG11" s="22">
        <f>'BS (F1Q23)'!AG11-'BS (F4Q2022)'!AG11</f>
        <v>-1233.0975244752299</v>
      </c>
      <c r="AH11" s="21">
        <f>'BS (F1Q23)'!AH11-'BS (F4Q2022)'!AH11</f>
        <v>-1349.0610255771626</v>
      </c>
      <c r="AI11" s="21">
        <f>'BS (F1Q23)'!AI11-'BS (F4Q2022)'!AI11</f>
        <v>-1548.5470886097319</v>
      </c>
      <c r="AJ11" s="21">
        <f>'BS (F1Q23)'!AJ11-'BS (F4Q2022)'!AJ11</f>
        <v>-71.702237533345397</v>
      </c>
      <c r="AK11" s="21">
        <f>'BS (F1Q23)'!AK11-'BS (F4Q2022)'!AK11</f>
        <v>-104.8529537771019</v>
      </c>
      <c r="AL11" s="22">
        <f>'BS (F1Q23)'!AL11-'BS (F4Q2022)'!AL11</f>
        <v>-104.8529537771019</v>
      </c>
      <c r="AM11" s="21">
        <f>'BS (F1Q23)'!AM11-'BS (F4Q2022)'!AM11</f>
        <v>-236.60571347146288</v>
      </c>
      <c r="AN11" s="21">
        <f>'BS (F1Q23)'!AN11-'BS (F4Q2022)'!AN11</f>
        <v>-1401.3770887916835</v>
      </c>
      <c r="AO11" s="21">
        <f>'BS (F1Q23)'!AO11-'BS (F4Q2022)'!AO11</f>
        <v>-1532.5831494984859</v>
      </c>
      <c r="AP11" s="21">
        <f>'BS (F1Q23)'!AP11-'BS (F4Q2022)'!AP11</f>
        <v>-1525.7819301424834</v>
      </c>
      <c r="AQ11" s="22">
        <f>'BS (F1Q23)'!AQ11-'BS (F4Q2022)'!AQ11</f>
        <v>-1525.7819301424834</v>
      </c>
      <c r="AR11" s="21">
        <f>'BS (F1Q23)'!AR11-'BS (F4Q2022)'!AR11</f>
        <v>-1653.623931522432</v>
      </c>
      <c r="AS11" s="21">
        <f>'BS (F1Q23)'!AS11-'BS (F4Q2022)'!AS11</f>
        <v>-1868.007670343507</v>
      </c>
      <c r="AT11" s="21">
        <f>'BS (F1Q23)'!AT11-'BS (F4Q2022)'!AT11</f>
        <v>-2010.8414946519324</v>
      </c>
      <c r="AU11" s="21">
        <f>'BS (F1Q23)'!AU11-'BS (F4Q2022)'!AU11</f>
        <v>-2006.518389955836</v>
      </c>
      <c r="AV11" s="22">
        <f>'BS (F1Q23)'!AV11-'BS (F4Q2022)'!AV11</f>
        <v>-2006.518389955836</v>
      </c>
    </row>
    <row r="12" spans="1:48" ht="14.55" customHeight="1" outlineLevel="1" x14ac:dyDescent="0.3">
      <c r="A12" s="161"/>
      <c r="B12" s="200" t="s">
        <v>218</v>
      </c>
      <c r="C12" s="207"/>
      <c r="D12" s="16">
        <f>'BS (F1Q23)'!D12-'BS (F4Q2022)'!D12</f>
        <v>0</v>
      </c>
      <c r="E12" s="16">
        <f>'BS (F1Q23)'!E12-'BS (F4Q2022)'!E12</f>
        <v>0</v>
      </c>
      <c r="F12" s="16">
        <f>'BS (F1Q23)'!F12-'BS (F4Q2022)'!F12</f>
        <v>0</v>
      </c>
      <c r="G12" s="16">
        <f>'BS (F1Q23)'!G12-'BS (F4Q2022)'!G12</f>
        <v>0</v>
      </c>
      <c r="H12" s="17">
        <f>'BS (F1Q23)'!H12-'BS (F4Q2022)'!H12</f>
        <v>0</v>
      </c>
      <c r="I12" s="16">
        <f>'BS (F1Q23)'!I12-'BS (F4Q2022)'!I12</f>
        <v>0</v>
      </c>
      <c r="J12" s="16">
        <f>'BS (F1Q23)'!J12-'BS (F4Q2022)'!J12</f>
        <v>0</v>
      </c>
      <c r="K12" s="16">
        <f>'BS (F1Q23)'!K12-'BS (F4Q2022)'!K12</f>
        <v>0</v>
      </c>
      <c r="L12" s="101">
        <f>'BS (F1Q23)'!L12-'BS (F4Q2022)'!L12</f>
        <v>0</v>
      </c>
      <c r="M12" s="17">
        <f>'BS (F1Q23)'!M12-'BS (F4Q2022)'!M12</f>
        <v>0</v>
      </c>
      <c r="N12" s="16">
        <f>'BS (F1Q23)'!N12-'BS (F4Q2022)'!N12</f>
        <v>0</v>
      </c>
      <c r="O12" s="16">
        <f>'BS (F1Q23)'!O12-'BS (F4Q2022)'!O12</f>
        <v>0</v>
      </c>
      <c r="P12" s="16">
        <f>'BS (F1Q23)'!P12-'BS (F4Q2022)'!P12</f>
        <v>0</v>
      </c>
      <c r="Q12" s="101">
        <f>'BS (F1Q23)'!Q12-'BS (F4Q2022)'!Q12</f>
        <v>0</v>
      </c>
      <c r="R12" s="17">
        <f>'BS (F1Q23)'!R12-'BS (F4Q2022)'!R12</f>
        <v>0</v>
      </c>
      <c r="S12" s="16">
        <f>'BS (F1Q23)'!S12-'BS (F4Q2022)'!S12</f>
        <v>0</v>
      </c>
      <c r="T12" s="16">
        <f>'BS (F1Q23)'!T12-'BS (F4Q2022)'!T12</f>
        <v>0</v>
      </c>
      <c r="U12" s="16">
        <f>'BS (F1Q23)'!U12-'BS (F4Q2022)'!U12</f>
        <v>0</v>
      </c>
      <c r="V12" s="101">
        <f>'BS (F1Q23)'!V12-'BS (F4Q2022)'!V12</f>
        <v>0</v>
      </c>
      <c r="W12" s="17">
        <f>'BS (F1Q23)'!W12-'BS (F4Q2022)'!W12</f>
        <v>0</v>
      </c>
      <c r="X12" s="16">
        <f>'BS (F1Q23)'!X12-'BS (F4Q2022)'!X12</f>
        <v>-25.870369178104738</v>
      </c>
      <c r="Y12" s="16">
        <f>'BS (F1Q23)'!Y12-'BS (F4Q2022)'!Y12</f>
        <v>-6.3025174253491514</v>
      </c>
      <c r="Z12" s="16">
        <f>'BS (F1Q23)'!Z12-'BS (F4Q2022)'!Z12</f>
        <v>-9.5969840337621122</v>
      </c>
      <c r="AA12" s="16">
        <f>'BS (F1Q23)'!AA12-'BS (F4Q2022)'!AA12</f>
        <v>-11.879384153985995</v>
      </c>
      <c r="AB12" s="17">
        <f>'BS (F1Q23)'!AB12-'BS (F4Q2022)'!AB12</f>
        <v>-11.879384153985995</v>
      </c>
      <c r="AC12" s="16">
        <f>'BS (F1Q23)'!AC12-'BS (F4Q2022)'!AC12</f>
        <v>-16.74593784441646</v>
      </c>
      <c r="AD12" s="16">
        <f>'BS (F1Q23)'!AD12-'BS (F4Q2022)'!AD12</f>
        <v>-16.688403136411011</v>
      </c>
      <c r="AE12" s="16">
        <f>'BS (F1Q23)'!AE12-'BS (F4Q2022)'!AE12</f>
        <v>-18.517239881130422</v>
      </c>
      <c r="AF12" s="16">
        <f>'BS (F1Q23)'!AF12-'BS (F4Q2022)'!AF12</f>
        <v>-17.916019738404998</v>
      </c>
      <c r="AG12" s="17">
        <f>'BS (F1Q23)'!AG12-'BS (F4Q2022)'!AG12</f>
        <v>-17.916019738404998</v>
      </c>
      <c r="AH12" s="16">
        <f>'BS (F1Q23)'!AH12-'BS (F4Q2022)'!AH12</f>
        <v>-19.523245323006222</v>
      </c>
      <c r="AI12" s="16">
        <f>'BS (F1Q23)'!AI12-'BS (F4Q2022)'!AI12</f>
        <v>-20.963124813307047</v>
      </c>
      <c r="AJ12" s="16">
        <f>'BS (F1Q23)'!AJ12-'BS (F4Q2022)'!AJ12</f>
        <v>-4.9761626038262534</v>
      </c>
      <c r="AK12" s="16">
        <f>'BS (F1Q23)'!AK12-'BS (F4Q2022)'!AK12</f>
        <v>-3.7449936067558269</v>
      </c>
      <c r="AL12" s="17">
        <f>'BS (F1Q23)'!AL12-'BS (F4Q2022)'!AL12</f>
        <v>-3.7449936067558269</v>
      </c>
      <c r="AM12" s="16">
        <f>'BS (F1Q23)'!AM12-'BS (F4Q2022)'!AM12</f>
        <v>-5.3397615750170075</v>
      </c>
      <c r="AN12" s="16">
        <f>'BS (F1Q23)'!AN12-'BS (F4Q2022)'!AN12</f>
        <v>-17.783732317012209</v>
      </c>
      <c r="AO12" s="16">
        <f>'BS (F1Q23)'!AO12-'BS (F4Q2022)'!AO12</f>
        <v>-19.288766475365321</v>
      </c>
      <c r="AP12" s="16">
        <f>'BS (F1Q23)'!AP12-'BS (F4Q2022)'!AP12</f>
        <v>-19.132740366758469</v>
      </c>
      <c r="AQ12" s="17">
        <f>'BS (F1Q23)'!AQ12-'BS (F4Q2022)'!AQ12</f>
        <v>-19.132740366758469</v>
      </c>
      <c r="AR12" s="16">
        <f>'BS (F1Q23)'!AR12-'BS (F4Q2022)'!AR12</f>
        <v>-20.760553997322972</v>
      </c>
      <c r="AS12" s="16">
        <f>'BS (F1Q23)'!AS12-'BS (F4Q2022)'!AS12</f>
        <v>-22.84200588315349</v>
      </c>
      <c r="AT12" s="16">
        <f>'BS (F1Q23)'!AT12-'BS (F4Q2022)'!AT12</f>
        <v>-24.489975962863298</v>
      </c>
      <c r="AU12" s="16">
        <f>'BS (F1Q23)'!AU12-'BS (F4Q2022)'!AU12</f>
        <v>-24.393322233182914</v>
      </c>
      <c r="AV12" s="17">
        <f>'BS (F1Q23)'!AV12-'BS (F4Q2022)'!AV12</f>
        <v>-24.393322233182914</v>
      </c>
    </row>
    <row r="13" spans="1:48" ht="14.55" customHeight="1" outlineLevel="1" x14ac:dyDescent="0.3">
      <c r="A13" s="161"/>
      <c r="B13" s="200" t="s">
        <v>219</v>
      </c>
      <c r="C13" s="207"/>
      <c r="D13" s="16">
        <f>'BS (F1Q23)'!D13-'BS (F4Q2022)'!D13</f>
        <v>0</v>
      </c>
      <c r="E13" s="16">
        <f>'BS (F1Q23)'!E13-'BS (F4Q2022)'!E13</f>
        <v>0</v>
      </c>
      <c r="F13" s="16">
        <f>'BS (F1Q23)'!F13-'BS (F4Q2022)'!F13</f>
        <v>0</v>
      </c>
      <c r="G13" s="16">
        <f>'BS (F1Q23)'!G13-'BS (F4Q2022)'!G13</f>
        <v>0</v>
      </c>
      <c r="H13" s="17">
        <f>'BS (F1Q23)'!H13-'BS (F4Q2022)'!H13</f>
        <v>0</v>
      </c>
      <c r="I13" s="16">
        <f>'BS (F1Q23)'!I13-'BS (F4Q2022)'!I13</f>
        <v>0</v>
      </c>
      <c r="J13" s="16">
        <f>'BS (F1Q23)'!J13-'BS (F4Q2022)'!J13</f>
        <v>0</v>
      </c>
      <c r="K13" s="16">
        <f>'BS (F1Q23)'!K13-'BS (F4Q2022)'!K13</f>
        <v>0</v>
      </c>
      <c r="L13" s="101">
        <f>'BS (F1Q23)'!L13-'BS (F4Q2022)'!L13</f>
        <v>0</v>
      </c>
      <c r="M13" s="17">
        <f>'BS (F1Q23)'!M13-'BS (F4Q2022)'!M13</f>
        <v>0</v>
      </c>
      <c r="N13" s="16">
        <f>'BS (F1Q23)'!N13-'BS (F4Q2022)'!N13</f>
        <v>0</v>
      </c>
      <c r="O13" s="16">
        <f>'BS (F1Q23)'!O13-'BS (F4Q2022)'!O13</f>
        <v>0</v>
      </c>
      <c r="P13" s="16">
        <f>'BS (F1Q23)'!P13-'BS (F4Q2022)'!P13</f>
        <v>0</v>
      </c>
      <c r="Q13" s="101">
        <f>'BS (F1Q23)'!Q13-'BS (F4Q2022)'!Q13</f>
        <v>0</v>
      </c>
      <c r="R13" s="17">
        <f>'BS (F1Q23)'!R13-'BS (F4Q2022)'!R13</f>
        <v>0</v>
      </c>
      <c r="S13" s="16">
        <f>'BS (F1Q23)'!S13-'BS (F4Q2022)'!S13</f>
        <v>0</v>
      </c>
      <c r="T13" s="16">
        <f>'BS (F1Q23)'!T13-'BS (F4Q2022)'!T13</f>
        <v>0</v>
      </c>
      <c r="U13" s="16">
        <f>'BS (F1Q23)'!U13-'BS (F4Q2022)'!U13</f>
        <v>0</v>
      </c>
      <c r="V13" s="101">
        <f>'BS (F1Q23)'!V13-'BS (F4Q2022)'!V13</f>
        <v>0</v>
      </c>
      <c r="W13" s="17">
        <f>'BS (F1Q23)'!W13-'BS (F4Q2022)'!W13</f>
        <v>0</v>
      </c>
      <c r="X13" s="33">
        <f>'BS (F1Q23)'!X13-'BS (F4Q2022)'!X13</f>
        <v>19.300000000000011</v>
      </c>
      <c r="Y13" s="33">
        <f>'BS (F1Q23)'!Y13-'BS (F4Q2022)'!Y13</f>
        <v>19.300000000000011</v>
      </c>
      <c r="Z13" s="33">
        <f>'BS (F1Q23)'!Z13-'BS (F4Q2022)'!Z13</f>
        <v>19.300000000000011</v>
      </c>
      <c r="AA13" s="33">
        <f>'BS (F1Q23)'!AA13-'BS (F4Q2022)'!AA13</f>
        <v>19.300000000000011</v>
      </c>
      <c r="AB13" s="17">
        <f>'BS (F1Q23)'!AB13-'BS (F4Q2022)'!AB13</f>
        <v>19.300000000000011</v>
      </c>
      <c r="AC13" s="33">
        <f>'BS (F1Q23)'!AC13-'BS (F4Q2022)'!AC13</f>
        <v>19.300000000000011</v>
      </c>
      <c r="AD13" s="33">
        <f>'BS (F1Q23)'!AD13-'BS (F4Q2022)'!AD13</f>
        <v>19.300000000000011</v>
      </c>
      <c r="AE13" s="33">
        <f>'BS (F1Q23)'!AE13-'BS (F4Q2022)'!AE13</f>
        <v>19.300000000000011</v>
      </c>
      <c r="AF13" s="33">
        <f>'BS (F1Q23)'!AF13-'BS (F4Q2022)'!AF13</f>
        <v>19.300000000000011</v>
      </c>
      <c r="AG13" s="17">
        <f>'BS (F1Q23)'!AG13-'BS (F4Q2022)'!AG13</f>
        <v>19.300000000000011</v>
      </c>
      <c r="AH13" s="33">
        <f>'BS (F1Q23)'!AH13-'BS (F4Q2022)'!AH13</f>
        <v>19.300000000000011</v>
      </c>
      <c r="AI13" s="33">
        <f>'BS (F1Q23)'!AI13-'BS (F4Q2022)'!AI13</f>
        <v>19.300000000000011</v>
      </c>
      <c r="AJ13" s="33">
        <f>'BS (F1Q23)'!AJ13-'BS (F4Q2022)'!AJ13</f>
        <v>19.300000000000011</v>
      </c>
      <c r="AK13" s="33">
        <f>'BS (F1Q23)'!AK13-'BS (F4Q2022)'!AK13</f>
        <v>19.300000000000011</v>
      </c>
      <c r="AL13" s="17">
        <f>'BS (F1Q23)'!AL13-'BS (F4Q2022)'!AL13</f>
        <v>19.300000000000011</v>
      </c>
      <c r="AM13" s="33">
        <f>'BS (F1Q23)'!AM13-'BS (F4Q2022)'!AM13</f>
        <v>19.300000000000011</v>
      </c>
      <c r="AN13" s="33">
        <f>'BS (F1Q23)'!AN13-'BS (F4Q2022)'!AN13</f>
        <v>19.300000000000011</v>
      </c>
      <c r="AO13" s="33">
        <f>'BS (F1Q23)'!AO13-'BS (F4Q2022)'!AO13</f>
        <v>19.300000000000011</v>
      </c>
      <c r="AP13" s="33">
        <f>'BS (F1Q23)'!AP13-'BS (F4Q2022)'!AP13</f>
        <v>19.300000000000011</v>
      </c>
      <c r="AQ13" s="17">
        <f>'BS (F1Q23)'!AQ13-'BS (F4Q2022)'!AQ13</f>
        <v>19.300000000000011</v>
      </c>
      <c r="AR13" s="33">
        <f>'BS (F1Q23)'!AR13-'BS (F4Q2022)'!AR13</f>
        <v>19.300000000000011</v>
      </c>
      <c r="AS13" s="33">
        <f>'BS (F1Q23)'!AS13-'BS (F4Q2022)'!AS13</f>
        <v>19.300000000000011</v>
      </c>
      <c r="AT13" s="33">
        <f>'BS (F1Q23)'!AT13-'BS (F4Q2022)'!AT13</f>
        <v>19.300000000000011</v>
      </c>
      <c r="AU13" s="33">
        <f>'BS (F1Q23)'!AU13-'BS (F4Q2022)'!AU13</f>
        <v>19.300000000000011</v>
      </c>
      <c r="AV13" s="17">
        <f>'BS (F1Q23)'!AV13-'BS (F4Q2022)'!AV13</f>
        <v>19.300000000000011</v>
      </c>
    </row>
    <row r="14" spans="1:48" s="8" customFormat="1" outlineLevel="1" x14ac:dyDescent="0.3">
      <c r="A14" s="161"/>
      <c r="B14" s="200" t="s">
        <v>220</v>
      </c>
      <c r="C14" s="206"/>
      <c r="D14" s="16">
        <f>'BS (F1Q23)'!D14-'BS (F4Q2022)'!D14</f>
        <v>0</v>
      </c>
      <c r="E14" s="16">
        <f>'BS (F1Q23)'!E14-'BS (F4Q2022)'!E14</f>
        <v>0</v>
      </c>
      <c r="F14" s="16">
        <f>'BS (F1Q23)'!F14-'BS (F4Q2022)'!F14</f>
        <v>0</v>
      </c>
      <c r="G14" s="16">
        <f>'BS (F1Q23)'!G14-'BS (F4Q2022)'!G14</f>
        <v>0</v>
      </c>
      <c r="H14" s="17">
        <f>'BS (F1Q23)'!H14-'BS (F4Q2022)'!H14</f>
        <v>0</v>
      </c>
      <c r="I14" s="16">
        <f>'BS (F1Q23)'!I14-'BS (F4Q2022)'!I14</f>
        <v>0</v>
      </c>
      <c r="J14" s="16">
        <f>'BS (F1Q23)'!J14-'BS (F4Q2022)'!J14</f>
        <v>0</v>
      </c>
      <c r="K14" s="16">
        <f>'BS (F1Q23)'!K14-'BS (F4Q2022)'!K14</f>
        <v>0</v>
      </c>
      <c r="L14" s="101">
        <f>'BS (F1Q23)'!L14-'BS (F4Q2022)'!L14</f>
        <v>0</v>
      </c>
      <c r="M14" s="17">
        <f>'BS (F1Q23)'!M14-'BS (F4Q2022)'!M14</f>
        <v>0</v>
      </c>
      <c r="N14" s="16">
        <f>'BS (F1Q23)'!N14-'BS (F4Q2022)'!N14</f>
        <v>0</v>
      </c>
      <c r="O14" s="16">
        <f>'BS (F1Q23)'!O14-'BS (F4Q2022)'!O14</f>
        <v>0</v>
      </c>
      <c r="P14" s="16">
        <f>'BS (F1Q23)'!P14-'BS (F4Q2022)'!P14</f>
        <v>0</v>
      </c>
      <c r="Q14" s="101">
        <f>'BS (F1Q23)'!Q14-'BS (F4Q2022)'!Q14</f>
        <v>0</v>
      </c>
      <c r="R14" s="17">
        <f>'BS (F1Q23)'!R14-'BS (F4Q2022)'!R14</f>
        <v>0</v>
      </c>
      <c r="S14" s="16">
        <f>'BS (F1Q23)'!S14-'BS (F4Q2022)'!S14</f>
        <v>0</v>
      </c>
      <c r="T14" s="16">
        <f>'BS (F1Q23)'!T14-'BS (F4Q2022)'!T14</f>
        <v>0</v>
      </c>
      <c r="U14" s="101">
        <f>'BS (F1Q23)'!U14-'BS (F4Q2022)'!U14</f>
        <v>0</v>
      </c>
      <c r="V14" s="101">
        <f>'BS (F1Q23)'!V14-'BS (F4Q2022)'!V14</f>
        <v>0</v>
      </c>
      <c r="W14" s="17">
        <f>'BS (F1Q23)'!W14-'BS (F4Q2022)'!W14</f>
        <v>0</v>
      </c>
      <c r="X14" s="16">
        <f>'BS (F1Q23)'!X14-'BS (F4Q2022)'!X14</f>
        <v>-77.389423011574763</v>
      </c>
      <c r="Y14" s="16">
        <f>'BS (F1Q23)'!Y14-'BS (F4Q2022)'!Y14</f>
        <v>-7.5110580997579746</v>
      </c>
      <c r="Z14" s="16">
        <f>'BS (F1Q23)'!Z14-'BS (F4Q2022)'!Z14</f>
        <v>47.566859133796243</v>
      </c>
      <c r="AA14" s="16">
        <f>'BS (F1Q23)'!AA14-'BS (F4Q2022)'!AA14</f>
        <v>107.93720090744955</v>
      </c>
      <c r="AB14" s="17">
        <f>'BS (F1Q23)'!AB14-'BS (F4Q2022)'!AB14</f>
        <v>107.93720090744955</v>
      </c>
      <c r="AC14" s="16">
        <f>'BS (F1Q23)'!AC14-'BS (F4Q2022)'!AC14</f>
        <v>136.6661323938979</v>
      </c>
      <c r="AD14" s="16">
        <f>'BS (F1Q23)'!AD14-'BS (F4Q2022)'!AD14</f>
        <v>163.2954393968057</v>
      </c>
      <c r="AE14" s="16">
        <f>'BS (F1Q23)'!AE14-'BS (F4Q2022)'!AE14</f>
        <v>187.33357600489489</v>
      </c>
      <c r="AF14" s="16">
        <f>'BS (F1Q23)'!AF14-'BS (F4Q2022)'!AF14</f>
        <v>212.97216127057436</v>
      </c>
      <c r="AG14" s="17">
        <f>'BS (F1Q23)'!AG14-'BS (F4Q2022)'!AG14</f>
        <v>212.97216127057436</v>
      </c>
      <c r="AH14" s="16">
        <f>'BS (F1Q23)'!AH14-'BS (F4Q2022)'!AH14</f>
        <v>235.28090632550811</v>
      </c>
      <c r="AI14" s="16">
        <f>'BS (F1Q23)'!AI14-'BS (F4Q2022)'!AI14</f>
        <v>260.28720751232686</v>
      </c>
      <c r="AJ14" s="16">
        <f>'BS (F1Q23)'!AJ14-'BS (F4Q2022)'!AJ14</f>
        <v>284.44262491552581</v>
      </c>
      <c r="AK14" s="16">
        <f>'BS (F1Q23)'!AK14-'BS (F4Q2022)'!AK14</f>
        <v>308.44505967783698</v>
      </c>
      <c r="AL14" s="17">
        <f>'BS (F1Q23)'!AL14-'BS (F4Q2022)'!AL14</f>
        <v>308.44505967783698</v>
      </c>
      <c r="AM14" s="16">
        <f>'BS (F1Q23)'!AM14-'BS (F4Q2022)'!AM14</f>
        <v>326.41177283302204</v>
      </c>
      <c r="AN14" s="16">
        <f>'BS (F1Q23)'!AN14-'BS (F4Q2022)'!AN14</f>
        <v>350.01177552053923</v>
      </c>
      <c r="AO14" s="16">
        <f>'BS (F1Q23)'!AO14-'BS (F4Q2022)'!AO14</f>
        <v>373.03681013169444</v>
      </c>
      <c r="AP14" s="16">
        <f>'BS (F1Q23)'!AP14-'BS (F4Q2022)'!AP14</f>
        <v>395.67397825652006</v>
      </c>
      <c r="AQ14" s="17">
        <f>'BS (F1Q23)'!AQ14-'BS (F4Q2022)'!AQ14</f>
        <v>395.67397825652006</v>
      </c>
      <c r="AR14" s="16">
        <f>'BS (F1Q23)'!AR14-'BS (F4Q2022)'!AR14</f>
        <v>411.48181224727159</v>
      </c>
      <c r="AS14" s="16">
        <f>'BS (F1Q23)'!AS14-'BS (F4Q2022)'!AS14</f>
        <v>434.17239337834872</v>
      </c>
      <c r="AT14" s="16">
        <f>'BS (F1Q23)'!AT14-'BS (F4Q2022)'!AT14</f>
        <v>456.29949107493121</v>
      </c>
      <c r="AU14" s="16">
        <f>'BS (F1Q23)'!AU14-'BS (F4Q2022)'!AU14</f>
        <v>478.02178150586224</v>
      </c>
      <c r="AV14" s="17">
        <f>'BS (F1Q23)'!AV14-'BS (F4Q2022)'!AV14</f>
        <v>478.02178150586224</v>
      </c>
    </row>
    <row r="15" spans="1:48" s="8" customFormat="1" outlineLevel="1" x14ac:dyDescent="0.3">
      <c r="A15" s="161"/>
      <c r="B15" s="200" t="s">
        <v>221</v>
      </c>
      <c r="C15" s="206"/>
      <c r="D15" s="16">
        <f>'BS (F1Q23)'!D15-'BS (F4Q2022)'!D15</f>
        <v>0</v>
      </c>
      <c r="E15" s="16">
        <f>'BS (F1Q23)'!E15-'BS (F4Q2022)'!E15</f>
        <v>0</v>
      </c>
      <c r="F15" s="16">
        <f>'BS (F1Q23)'!F15-'BS (F4Q2022)'!F15</f>
        <v>0</v>
      </c>
      <c r="G15" s="16">
        <f>'BS (F1Q23)'!G15-'BS (F4Q2022)'!G15</f>
        <v>0</v>
      </c>
      <c r="H15" s="17">
        <f>'BS (F1Q23)'!H15-'BS (F4Q2022)'!H15</f>
        <v>0</v>
      </c>
      <c r="I15" s="16">
        <f>'BS (F1Q23)'!I15-'BS (F4Q2022)'!I15</f>
        <v>0</v>
      </c>
      <c r="J15" s="16">
        <f>'BS (F1Q23)'!J15-'BS (F4Q2022)'!J15</f>
        <v>0</v>
      </c>
      <c r="K15" s="16">
        <f>'BS (F1Q23)'!K15-'BS (F4Q2022)'!K15</f>
        <v>0</v>
      </c>
      <c r="L15" s="101">
        <f>'BS (F1Q23)'!L15-'BS (F4Q2022)'!L15</f>
        <v>0</v>
      </c>
      <c r="M15" s="17">
        <f>'BS (F1Q23)'!M15-'BS (F4Q2022)'!M15</f>
        <v>0</v>
      </c>
      <c r="N15" s="16">
        <f>'BS (F1Q23)'!N15-'BS (F4Q2022)'!N15</f>
        <v>0</v>
      </c>
      <c r="O15" s="16">
        <f>'BS (F1Q23)'!O15-'BS (F4Q2022)'!O15</f>
        <v>0</v>
      </c>
      <c r="P15" s="16">
        <f>'BS (F1Q23)'!P15-'BS (F4Q2022)'!P15</f>
        <v>0</v>
      </c>
      <c r="Q15" s="101">
        <f>'BS (F1Q23)'!Q15-'BS (F4Q2022)'!Q15</f>
        <v>0</v>
      </c>
      <c r="R15" s="17">
        <f>'BS (F1Q23)'!R15-'BS (F4Q2022)'!R15</f>
        <v>0</v>
      </c>
      <c r="S15" s="16">
        <f>'BS (F1Q23)'!S15-'BS (F4Q2022)'!S15</f>
        <v>0</v>
      </c>
      <c r="T15" s="16">
        <f>'BS (F1Q23)'!T15-'BS (F4Q2022)'!T15</f>
        <v>0</v>
      </c>
      <c r="U15" s="101">
        <f>'BS (F1Q23)'!U15-'BS (F4Q2022)'!U15</f>
        <v>0</v>
      </c>
      <c r="V15" s="101">
        <f>'BS (F1Q23)'!V15-'BS (F4Q2022)'!V15</f>
        <v>0</v>
      </c>
      <c r="W15" s="17">
        <f>'BS (F1Q23)'!W15-'BS (F4Q2022)'!W15</f>
        <v>0</v>
      </c>
      <c r="X15" s="33">
        <f>'BS (F1Q23)'!X15-'BS (F4Q2022)'!X15</f>
        <v>150.26239999999962</v>
      </c>
      <c r="Y15" s="33">
        <f>'BS (F1Q23)'!Y15-'BS (F4Q2022)'!Y15</f>
        <v>149.66135039999972</v>
      </c>
      <c r="Z15" s="33">
        <f>'BS (F1Q23)'!Z15-'BS (F4Q2022)'!Z15</f>
        <v>149.06270499839957</v>
      </c>
      <c r="AA15" s="33">
        <f>'BS (F1Q23)'!AA15-'BS (F4Q2022)'!AA15</f>
        <v>148.46645417840591</v>
      </c>
      <c r="AB15" s="17">
        <f>'BS (F1Q23)'!AB15-'BS (F4Q2022)'!AB15</f>
        <v>148.46645417840591</v>
      </c>
      <c r="AC15" s="33">
        <f>'BS (F1Q23)'!AC15-'BS (F4Q2022)'!AC15</f>
        <v>147.87258836169167</v>
      </c>
      <c r="AD15" s="33">
        <f>'BS (F1Q23)'!AD15-'BS (F4Q2022)'!AD15</f>
        <v>147.28109800824495</v>
      </c>
      <c r="AE15" s="33">
        <f>'BS (F1Q23)'!AE15-'BS (F4Q2022)'!AE15</f>
        <v>146.69197361621264</v>
      </c>
      <c r="AF15" s="33">
        <f>'BS (F1Q23)'!AF15-'BS (F4Q2022)'!AF15</f>
        <v>146.10520572174755</v>
      </c>
      <c r="AG15" s="17">
        <f>'BS (F1Q23)'!AG15-'BS (F4Q2022)'!AG15</f>
        <v>146.10520572174755</v>
      </c>
      <c r="AH15" s="33">
        <f>'BS (F1Q23)'!AH15-'BS (F4Q2022)'!AH15</f>
        <v>145.52078489886026</v>
      </c>
      <c r="AI15" s="33">
        <f>'BS (F1Q23)'!AI15-'BS (F4Q2022)'!AI15</f>
        <v>144.9387017592644</v>
      </c>
      <c r="AJ15" s="33">
        <f>'BS (F1Q23)'!AJ15-'BS (F4Q2022)'!AJ15</f>
        <v>144.3589469522276</v>
      </c>
      <c r="AK15" s="33">
        <f>'BS (F1Q23)'!AK15-'BS (F4Q2022)'!AK15</f>
        <v>143.78151116441859</v>
      </c>
      <c r="AL15" s="17">
        <f>'BS (F1Q23)'!AL15-'BS (F4Q2022)'!AL15</f>
        <v>143.78151116441859</v>
      </c>
      <c r="AM15" s="33">
        <f>'BS (F1Q23)'!AM15-'BS (F4Q2022)'!AM15</f>
        <v>143.20638511976085</v>
      </c>
      <c r="AN15" s="33">
        <f>'BS (F1Q23)'!AN15-'BS (F4Q2022)'!AN15</f>
        <v>142.63355957928252</v>
      </c>
      <c r="AO15" s="33">
        <f>'BS (F1Q23)'!AO15-'BS (F4Q2022)'!AO15</f>
        <v>142.0630253409654</v>
      </c>
      <c r="AP15" s="33">
        <f>'BS (F1Q23)'!AP15-'BS (F4Q2022)'!AP15</f>
        <v>141.49477323960127</v>
      </c>
      <c r="AQ15" s="17">
        <f>'BS (F1Q23)'!AQ15-'BS (F4Q2022)'!AQ15</f>
        <v>141.49477323960127</v>
      </c>
      <c r="AR15" s="33">
        <f>'BS (F1Q23)'!AR15-'BS (F4Q2022)'!AR15</f>
        <v>140.92879414664276</v>
      </c>
      <c r="AS15" s="33">
        <f>'BS (F1Q23)'!AS15-'BS (F4Q2022)'!AS15</f>
        <v>140.36507897005595</v>
      </c>
      <c r="AT15" s="33">
        <f>'BS (F1Q23)'!AT15-'BS (F4Q2022)'!AT15</f>
        <v>139.80361865417581</v>
      </c>
      <c r="AU15" s="33">
        <f>'BS (F1Q23)'!AU15-'BS (F4Q2022)'!AU15</f>
        <v>139.24440417955884</v>
      </c>
      <c r="AV15" s="17">
        <f>'BS (F1Q23)'!AV15-'BS (F4Q2022)'!AV15</f>
        <v>139.24440417955884</v>
      </c>
    </row>
    <row r="16" spans="1:48" s="8" customFormat="1" outlineLevel="1" x14ac:dyDescent="0.3">
      <c r="A16" s="161"/>
      <c r="B16" s="200" t="s">
        <v>222</v>
      </c>
      <c r="C16" s="206"/>
      <c r="D16" s="16">
        <f>'BS (F1Q23)'!D16-'BS (F4Q2022)'!D16</f>
        <v>0</v>
      </c>
      <c r="E16" s="16">
        <f>'BS (F1Q23)'!E16-'BS (F4Q2022)'!E16</f>
        <v>0</v>
      </c>
      <c r="F16" s="16">
        <f>'BS (F1Q23)'!F16-'BS (F4Q2022)'!F16</f>
        <v>0</v>
      </c>
      <c r="G16" s="16">
        <f>'BS (F1Q23)'!G16-'BS (F4Q2022)'!G16</f>
        <v>0</v>
      </c>
      <c r="H16" s="17">
        <f>'BS (F1Q23)'!H16-'BS (F4Q2022)'!H16</f>
        <v>0</v>
      </c>
      <c r="I16" s="16">
        <f>'BS (F1Q23)'!I16-'BS (F4Q2022)'!I16</f>
        <v>0</v>
      </c>
      <c r="J16" s="16">
        <f>'BS (F1Q23)'!J16-'BS (F4Q2022)'!J16</f>
        <v>0</v>
      </c>
      <c r="K16" s="16">
        <f>'BS (F1Q23)'!K16-'BS (F4Q2022)'!K16</f>
        <v>0</v>
      </c>
      <c r="L16" s="101">
        <f>'BS (F1Q23)'!L16-'BS (F4Q2022)'!L16</f>
        <v>0</v>
      </c>
      <c r="M16" s="17">
        <f>'BS (F1Q23)'!M16-'BS (F4Q2022)'!M16</f>
        <v>0</v>
      </c>
      <c r="N16" s="16">
        <f>'BS (F1Q23)'!N16-'BS (F4Q2022)'!N16</f>
        <v>0</v>
      </c>
      <c r="O16" s="16">
        <f>'BS (F1Q23)'!O16-'BS (F4Q2022)'!O16</f>
        <v>0</v>
      </c>
      <c r="P16" s="16">
        <f>'BS (F1Q23)'!P16-'BS (F4Q2022)'!P16</f>
        <v>0</v>
      </c>
      <c r="Q16" s="101">
        <f>'BS (F1Q23)'!Q16-'BS (F4Q2022)'!Q16</f>
        <v>0</v>
      </c>
      <c r="R16" s="17">
        <f>'BS (F1Q23)'!R16-'BS (F4Q2022)'!R16</f>
        <v>0</v>
      </c>
      <c r="S16" s="16">
        <f>'BS (F1Q23)'!S16-'BS (F4Q2022)'!S16</f>
        <v>0</v>
      </c>
      <c r="T16" s="16">
        <f>'BS (F1Q23)'!T16-'BS (F4Q2022)'!T16</f>
        <v>0</v>
      </c>
      <c r="U16" s="101">
        <f>'BS (F1Q23)'!U16-'BS (F4Q2022)'!U16</f>
        <v>0</v>
      </c>
      <c r="V16" s="101">
        <f>'BS (F1Q23)'!V16-'BS (F4Q2022)'!V16</f>
        <v>0</v>
      </c>
      <c r="W16" s="169">
        <f>'BS (F1Q23)'!W16-'BS (F4Q2022)'!W16</f>
        <v>0</v>
      </c>
      <c r="X16" s="101">
        <f>'BS (F1Q23)'!X16-'BS (F4Q2022)'!X16</f>
        <v>-42.335767663959587</v>
      </c>
      <c r="Y16" s="101">
        <f>'BS (F1Q23)'!Y16-'BS (F4Q2022)'!Y16</f>
        <v>-7.2972983023694269</v>
      </c>
      <c r="Z16" s="101">
        <f>'BS (F1Q23)'!Z16-'BS (F4Q2022)'!Z16</f>
        <v>-9.9986711745116281</v>
      </c>
      <c r="AA16" s="101">
        <f>'BS (F1Q23)'!AA16-'BS (F4Q2022)'!AA16</f>
        <v>-13.332472775852239</v>
      </c>
      <c r="AB16" s="169">
        <f>'BS (F1Q23)'!AB16-'BS (F4Q2022)'!AB16</f>
        <v>-13.332472775852239</v>
      </c>
      <c r="AC16" s="101">
        <f>'BS (F1Q23)'!AC16-'BS (F4Q2022)'!AC16</f>
        <v>-18.845944352068273</v>
      </c>
      <c r="AD16" s="101">
        <f>'BS (F1Q23)'!AD16-'BS (F4Q2022)'!AD16</f>
        <v>-12.254654937199348</v>
      </c>
      <c r="AE16" s="101">
        <f>'BS (F1Q23)'!AE16-'BS (F4Q2022)'!AE16</f>
        <v>-13.39248198346354</v>
      </c>
      <c r="AF16" s="101">
        <f>'BS (F1Q23)'!AF16-'BS (F4Q2022)'!AF16</f>
        <v>-14.132909033918168</v>
      </c>
      <c r="AG16" s="169">
        <f>'BS (F1Q23)'!AG16-'BS (F4Q2022)'!AG16</f>
        <v>-14.132909033918168</v>
      </c>
      <c r="AH16" s="101">
        <f>'BS (F1Q23)'!AH16-'BS (F4Q2022)'!AH16</f>
        <v>-15.415154535347028</v>
      </c>
      <c r="AI16" s="101">
        <f>'BS (F1Q23)'!AI16-'BS (F4Q2022)'!AI16</f>
        <v>-13.747575487736867</v>
      </c>
      <c r="AJ16" s="101">
        <f>'BS (F1Q23)'!AJ16-'BS (F4Q2022)'!AJ16</f>
        <v>-14.003634517400315</v>
      </c>
      <c r="AK16" s="101">
        <f>'BS (F1Q23)'!AK16-'BS (F4Q2022)'!AK16</f>
        <v>-14.038043961023959</v>
      </c>
      <c r="AL16" s="169">
        <f>'BS (F1Q23)'!AL16-'BS (F4Q2022)'!AL16</f>
        <v>-14.038043961023959</v>
      </c>
      <c r="AM16" s="101">
        <f>'BS (F1Q23)'!AM16-'BS (F4Q2022)'!AM16</f>
        <v>-15.15311798059065</v>
      </c>
      <c r="AN16" s="101">
        <f>'BS (F1Q23)'!AN16-'BS (F4Q2022)'!AN16</f>
        <v>-14.201491229808425</v>
      </c>
      <c r="AO16" s="101">
        <f>'BS (F1Q23)'!AO16-'BS (F4Q2022)'!AO16</f>
        <v>-14.185925589257977</v>
      </c>
      <c r="AP16" s="101">
        <f>'BS (F1Q23)'!AP16-'BS (F4Q2022)'!AP16</f>
        <v>-14.103066056032503</v>
      </c>
      <c r="AQ16" s="169">
        <f>'BS (F1Q23)'!AQ16-'BS (F4Q2022)'!AQ16</f>
        <v>-14.103066056032503</v>
      </c>
      <c r="AR16" s="101">
        <f>'BS (F1Q23)'!AR16-'BS (F4Q2022)'!AR16</f>
        <v>-15.349503064801411</v>
      </c>
      <c r="AS16" s="101">
        <f>'BS (F1Q23)'!AS16-'BS (F4Q2022)'!AS16</f>
        <v>-14.436732279450325</v>
      </c>
      <c r="AT16" s="101">
        <f>'BS (F1Q23)'!AT16-'BS (F4Q2022)'!AT16</f>
        <v>-14.355178789438014</v>
      </c>
      <c r="AU16" s="101">
        <f>'BS (F1Q23)'!AU16-'BS (F4Q2022)'!AU16</f>
        <v>-14.258364443214987</v>
      </c>
      <c r="AV16" s="17">
        <f>'BS (F1Q23)'!AV16-'BS (F4Q2022)'!AV16</f>
        <v>-14.258364443214987</v>
      </c>
    </row>
    <row r="17" spans="1:48" s="8" customFormat="1" outlineLevel="1" x14ac:dyDescent="0.3">
      <c r="A17" s="161"/>
      <c r="B17" s="200" t="s">
        <v>223</v>
      </c>
      <c r="C17" s="206"/>
      <c r="D17" s="16">
        <f>'BS (F1Q23)'!D17-'BS (F4Q2022)'!D17</f>
        <v>0</v>
      </c>
      <c r="E17" s="16">
        <f>'BS (F1Q23)'!E17-'BS (F4Q2022)'!E17</f>
        <v>0</v>
      </c>
      <c r="F17" s="16">
        <f>'BS (F1Q23)'!F17-'BS (F4Q2022)'!F17</f>
        <v>0</v>
      </c>
      <c r="G17" s="16">
        <f>'BS (F1Q23)'!G17-'BS (F4Q2022)'!G17</f>
        <v>0</v>
      </c>
      <c r="H17" s="17">
        <f>'BS (F1Q23)'!H17-'BS (F4Q2022)'!H17</f>
        <v>0</v>
      </c>
      <c r="I17" s="16">
        <f>'BS (F1Q23)'!I17-'BS (F4Q2022)'!I17</f>
        <v>0</v>
      </c>
      <c r="J17" s="16">
        <f>'BS (F1Q23)'!J17-'BS (F4Q2022)'!J17</f>
        <v>0</v>
      </c>
      <c r="K17" s="16">
        <f>'BS (F1Q23)'!K17-'BS (F4Q2022)'!K17</f>
        <v>0</v>
      </c>
      <c r="L17" s="101">
        <f>'BS (F1Q23)'!L17-'BS (F4Q2022)'!L17</f>
        <v>0</v>
      </c>
      <c r="M17" s="17">
        <f>'BS (F1Q23)'!M17-'BS (F4Q2022)'!M17</f>
        <v>0</v>
      </c>
      <c r="N17" s="16">
        <f>'BS (F1Q23)'!N17-'BS (F4Q2022)'!N17</f>
        <v>0</v>
      </c>
      <c r="O17" s="16">
        <f>'BS (F1Q23)'!O17-'BS (F4Q2022)'!O17</f>
        <v>0</v>
      </c>
      <c r="P17" s="16">
        <f>'BS (F1Q23)'!P17-'BS (F4Q2022)'!P17</f>
        <v>0</v>
      </c>
      <c r="Q17" s="101">
        <f>'BS (F1Q23)'!Q17-'BS (F4Q2022)'!Q17</f>
        <v>0</v>
      </c>
      <c r="R17" s="17">
        <f>'BS (F1Q23)'!R17-'BS (F4Q2022)'!R17</f>
        <v>0</v>
      </c>
      <c r="S17" s="16">
        <f>'BS (F1Q23)'!S17-'BS (F4Q2022)'!S17</f>
        <v>0</v>
      </c>
      <c r="T17" s="16">
        <f>'BS (F1Q23)'!T17-'BS (F4Q2022)'!T17</f>
        <v>0</v>
      </c>
      <c r="U17" s="101">
        <f>'BS (F1Q23)'!U17-'BS (F4Q2022)'!U17</f>
        <v>0</v>
      </c>
      <c r="V17" s="101">
        <f>'BS (F1Q23)'!V17-'BS (F4Q2022)'!V17</f>
        <v>0</v>
      </c>
      <c r="W17" s="17">
        <f>'BS (F1Q23)'!W17-'BS (F4Q2022)'!W17</f>
        <v>0</v>
      </c>
      <c r="X17" s="33">
        <f>'BS (F1Q23)'!X17-'BS (F4Q2022)'!X17</f>
        <v>-40.22316922615903</v>
      </c>
      <c r="Y17" s="33">
        <f>'BS (F1Q23)'!Y17-'BS (F4Q2022)'!Y17</f>
        <v>-34.300133769243644</v>
      </c>
      <c r="Z17" s="33">
        <f>'BS (F1Q23)'!Z17-'BS (F4Q2022)'!Z17</f>
        <v>-38.702122459916382</v>
      </c>
      <c r="AA17" s="33">
        <f>'BS (F1Q23)'!AA17-'BS (F4Q2022)'!AA17</f>
        <v>-41.023257510608005</v>
      </c>
      <c r="AB17" s="17">
        <f>'BS (F1Q23)'!AB17-'BS (F4Q2022)'!AB17</f>
        <v>-41.023257510608005</v>
      </c>
      <c r="AC17" s="33">
        <f>'BS (F1Q23)'!AC17-'BS (F4Q2022)'!AC17</f>
        <v>-45.560039405065595</v>
      </c>
      <c r="AD17" s="33">
        <f>'BS (F1Q23)'!AD17-'BS (F4Q2022)'!AD17</f>
        <v>-50.461597017501845</v>
      </c>
      <c r="AE17" s="33">
        <f>'BS (F1Q23)'!AE17-'BS (F4Q2022)'!AE17</f>
        <v>-53.23756886728188</v>
      </c>
      <c r="AF17" s="33">
        <f>'BS (F1Q23)'!AF17-'BS (F4Q2022)'!AF17</f>
        <v>-51.864326321248654</v>
      </c>
      <c r="AG17" s="17">
        <f>'BS (F1Q23)'!AG17-'BS (F4Q2022)'!AG17</f>
        <v>-51.864326321248654</v>
      </c>
      <c r="AH17" s="33">
        <f>'BS (F1Q23)'!AH17-'BS (F4Q2022)'!AH17</f>
        <v>-55.123609090764376</v>
      </c>
      <c r="AI17" s="33">
        <f>'BS (F1Q23)'!AI17-'BS (F4Q2022)'!AI17</f>
        <v>-58.483107955551532</v>
      </c>
      <c r="AJ17" s="33">
        <f>'BS (F1Q23)'!AJ17-'BS (F4Q2022)'!AJ17</f>
        <v>-31.006854247739625</v>
      </c>
      <c r="AK17" s="33">
        <f>'BS (F1Q23)'!AK17-'BS (F4Q2022)'!AK17</f>
        <v>-25.629189668934032</v>
      </c>
      <c r="AL17" s="17">
        <f>'BS (F1Q23)'!AL17-'BS (F4Q2022)'!AL17</f>
        <v>-25.629189668934032</v>
      </c>
      <c r="AM17" s="33">
        <f>'BS (F1Q23)'!AM17-'BS (F4Q2022)'!AM17</f>
        <v>-29.169920636059715</v>
      </c>
      <c r="AN17" s="33">
        <f>'BS (F1Q23)'!AN17-'BS (F4Q2022)'!AN17</f>
        <v>-50.955482596070397</v>
      </c>
      <c r="AO17" s="33">
        <f>'BS (F1Q23)'!AO17-'BS (F4Q2022)'!AO17</f>
        <v>-54.123801523489988</v>
      </c>
      <c r="AP17" s="33">
        <f>'BS (F1Q23)'!AP17-'BS (F4Q2022)'!AP17</f>
        <v>-54.176121308851407</v>
      </c>
      <c r="AQ17" s="17">
        <f>'BS (F1Q23)'!AQ17-'BS (F4Q2022)'!AQ17</f>
        <v>-54.176121308851407</v>
      </c>
      <c r="AR17" s="33">
        <f>'BS (F1Q23)'!AR17-'BS (F4Q2022)'!AR17</f>
        <v>-57.876781987357958</v>
      </c>
      <c r="AS17" s="33">
        <f>'BS (F1Q23)'!AS17-'BS (F4Q2022)'!AS17</f>
        <v>-61.490998464485415</v>
      </c>
      <c r="AT17" s="33">
        <f>'BS (F1Q23)'!AT17-'BS (F4Q2022)'!AT17</f>
        <v>-65.033627399467605</v>
      </c>
      <c r="AU17" s="33">
        <f>'BS (F1Q23)'!AU17-'BS (F4Q2022)'!AU17</f>
        <v>-65.267494800590384</v>
      </c>
      <c r="AV17" s="17">
        <f>'BS (F1Q23)'!AV17-'BS (F4Q2022)'!AV17</f>
        <v>-65.267494800590384</v>
      </c>
    </row>
    <row r="18" spans="1:48" s="8" customFormat="1" outlineLevel="1" x14ac:dyDescent="0.3">
      <c r="A18" s="161"/>
      <c r="B18" s="200" t="s">
        <v>224</v>
      </c>
      <c r="C18" s="206"/>
      <c r="D18" s="16">
        <f>'BS (F1Q23)'!D18-'BS (F4Q2022)'!D18</f>
        <v>0</v>
      </c>
      <c r="E18" s="16">
        <f>'BS (F1Q23)'!E18-'BS (F4Q2022)'!E18</f>
        <v>0</v>
      </c>
      <c r="F18" s="16">
        <f>'BS (F1Q23)'!F18-'BS (F4Q2022)'!F18</f>
        <v>0</v>
      </c>
      <c r="G18" s="16">
        <f>'BS (F1Q23)'!G18-'BS (F4Q2022)'!G18</f>
        <v>0</v>
      </c>
      <c r="H18" s="17">
        <f>'BS (F1Q23)'!H18-'BS (F4Q2022)'!H18</f>
        <v>0</v>
      </c>
      <c r="I18" s="16">
        <f>'BS (F1Q23)'!I18-'BS (F4Q2022)'!I18</f>
        <v>0</v>
      </c>
      <c r="J18" s="16">
        <f>'BS (F1Q23)'!J18-'BS (F4Q2022)'!J18</f>
        <v>0</v>
      </c>
      <c r="K18" s="16">
        <f>'BS (F1Q23)'!K18-'BS (F4Q2022)'!K18</f>
        <v>0</v>
      </c>
      <c r="L18" s="101">
        <f>'BS (F1Q23)'!L18-'BS (F4Q2022)'!L18</f>
        <v>0</v>
      </c>
      <c r="M18" s="17">
        <f>'BS (F1Q23)'!M18-'BS (F4Q2022)'!M18</f>
        <v>0</v>
      </c>
      <c r="N18" s="16">
        <f>'BS (F1Q23)'!N18-'BS (F4Q2022)'!N18</f>
        <v>0</v>
      </c>
      <c r="O18" s="16">
        <f>'BS (F1Q23)'!O18-'BS (F4Q2022)'!O18</f>
        <v>0</v>
      </c>
      <c r="P18" s="16">
        <f>'BS (F1Q23)'!P18-'BS (F4Q2022)'!P18</f>
        <v>0</v>
      </c>
      <c r="Q18" s="101">
        <f>'BS (F1Q23)'!Q18-'BS (F4Q2022)'!Q18</f>
        <v>0</v>
      </c>
      <c r="R18" s="17">
        <f>'BS (F1Q23)'!R18-'BS (F4Q2022)'!R18</f>
        <v>0</v>
      </c>
      <c r="S18" s="16">
        <f>'BS (F1Q23)'!S18-'BS (F4Q2022)'!S18</f>
        <v>0</v>
      </c>
      <c r="T18" s="16">
        <f>'BS (F1Q23)'!T18-'BS (F4Q2022)'!T18</f>
        <v>0</v>
      </c>
      <c r="U18" s="101">
        <f>'BS (F1Q23)'!U18-'BS (F4Q2022)'!U18</f>
        <v>0</v>
      </c>
      <c r="V18" s="101">
        <f>'BS (F1Q23)'!V18-'BS (F4Q2022)'!V18</f>
        <v>0</v>
      </c>
      <c r="W18" s="17">
        <f>'BS (F1Q23)'!W18-'BS (F4Q2022)'!W18</f>
        <v>0</v>
      </c>
      <c r="X18" s="33">
        <f>'BS (F1Q23)'!X18-'BS (F4Q2022)'!X18</f>
        <v>7.9720000000000084</v>
      </c>
      <c r="Y18" s="33">
        <f>'BS (F1Q23)'!Y18-'BS (F4Q2022)'!Y18</f>
        <v>7.3342399999999941</v>
      </c>
      <c r="Z18" s="33">
        <f>'BS (F1Q23)'!Z18-'BS (F4Q2022)'!Z18</f>
        <v>6.7475008000000116</v>
      </c>
      <c r="AA18" s="33">
        <f>'BS (F1Q23)'!AA18-'BS (F4Q2022)'!AA18</f>
        <v>6.2077007360000067</v>
      </c>
      <c r="AB18" s="17">
        <f>'BS (F1Q23)'!AB18-'BS (F4Q2022)'!AB18</f>
        <v>6.2077007360000067</v>
      </c>
      <c r="AC18" s="33">
        <f>'BS (F1Q23)'!AC18-'BS (F4Q2022)'!AC18</f>
        <v>5.711084677120013</v>
      </c>
      <c r="AD18" s="33">
        <f>'BS (F1Q23)'!AD18-'BS (F4Q2022)'!AD18</f>
        <v>5.2541979029504091</v>
      </c>
      <c r="AE18" s="33">
        <f>'BS (F1Q23)'!AE18-'BS (F4Q2022)'!AE18</f>
        <v>4.8338620707143747</v>
      </c>
      <c r="AF18" s="33">
        <f>'BS (F1Q23)'!AF18-'BS (F4Q2022)'!AF18</f>
        <v>4.4471531050572253</v>
      </c>
      <c r="AG18" s="17">
        <f>'BS (F1Q23)'!AG18-'BS (F4Q2022)'!AG18</f>
        <v>4.4471531050572253</v>
      </c>
      <c r="AH18" s="33">
        <f>'BS (F1Q23)'!AH18-'BS (F4Q2022)'!AH18</f>
        <v>4.0913808566526484</v>
      </c>
      <c r="AI18" s="33">
        <f>'BS (F1Q23)'!AI18-'BS (F4Q2022)'!AI18</f>
        <v>3.7640703881204303</v>
      </c>
      <c r="AJ18" s="33">
        <f>'BS (F1Q23)'!AJ18-'BS (F4Q2022)'!AJ18</f>
        <v>3.462944757070801</v>
      </c>
      <c r="AK18" s="33">
        <f>'BS (F1Q23)'!AK18-'BS (F4Q2022)'!AK18</f>
        <v>3.1859091765051346</v>
      </c>
      <c r="AL18" s="17">
        <f>'BS (F1Q23)'!AL18-'BS (F4Q2022)'!AL18</f>
        <v>3.1859091765051346</v>
      </c>
      <c r="AM18" s="33">
        <f>'BS (F1Q23)'!AM18-'BS (F4Q2022)'!AM18</f>
        <v>2.9310364423847233</v>
      </c>
      <c r="AN18" s="33">
        <f>'BS (F1Q23)'!AN18-'BS (F4Q2022)'!AN18</f>
        <v>2.6965535269939451</v>
      </c>
      <c r="AO18" s="33">
        <f>'BS (F1Q23)'!AO18-'BS (F4Q2022)'!AO18</f>
        <v>2.4808292448344247</v>
      </c>
      <c r="AP18" s="33">
        <f>'BS (F1Q23)'!AP18-'BS (F4Q2022)'!AP18</f>
        <v>2.2823629052476733</v>
      </c>
      <c r="AQ18" s="17">
        <f>'BS (F1Q23)'!AQ18-'BS (F4Q2022)'!AQ18</f>
        <v>2.2823629052476733</v>
      </c>
      <c r="AR18" s="33">
        <f>'BS (F1Q23)'!AR18-'BS (F4Q2022)'!AR18</f>
        <v>2.0997738728278605</v>
      </c>
      <c r="AS18" s="33">
        <f>'BS (F1Q23)'!AS18-'BS (F4Q2022)'!AS18</f>
        <v>1.9317919630016362</v>
      </c>
      <c r="AT18" s="33">
        <f>'BS (F1Q23)'!AT18-'BS (F4Q2022)'!AT18</f>
        <v>1.7772486059615069</v>
      </c>
      <c r="AU18" s="33">
        <f>'BS (F1Q23)'!AU18-'BS (F4Q2022)'!AU18</f>
        <v>1.6350687174845859</v>
      </c>
      <c r="AV18" s="17">
        <f>'BS (F1Q23)'!AV18-'BS (F4Q2022)'!AV18</f>
        <v>1.6350687174845859</v>
      </c>
    </row>
    <row r="19" spans="1:48" ht="16.2" outlineLevel="1" x14ac:dyDescent="0.45">
      <c r="A19" s="161"/>
      <c r="B19" s="580" t="s">
        <v>225</v>
      </c>
      <c r="C19" s="581"/>
      <c r="D19" s="260">
        <f>'BS (F1Q23)'!D19-'BS (F4Q2022)'!D19</f>
        <v>0</v>
      </c>
      <c r="E19" s="260">
        <f>'BS (F1Q23)'!E19-'BS (F4Q2022)'!E19</f>
        <v>0</v>
      </c>
      <c r="F19" s="260">
        <f>'BS (F1Q23)'!F19-'BS (F4Q2022)'!F19</f>
        <v>0</v>
      </c>
      <c r="G19" s="260">
        <f>'BS (F1Q23)'!G19-'BS (F4Q2022)'!G19</f>
        <v>0</v>
      </c>
      <c r="H19" s="261">
        <f>'BS (F1Q23)'!H19-'BS (F4Q2022)'!H19</f>
        <v>0</v>
      </c>
      <c r="I19" s="260">
        <f>'BS (F1Q23)'!I19-'BS (F4Q2022)'!I19</f>
        <v>0</v>
      </c>
      <c r="J19" s="260">
        <f>'BS (F1Q23)'!J19-'BS (F4Q2022)'!J19</f>
        <v>0</v>
      </c>
      <c r="K19" s="260">
        <f>'BS (F1Q23)'!K19-'BS (F4Q2022)'!K19</f>
        <v>0</v>
      </c>
      <c r="L19" s="112">
        <f>'BS (F1Q23)'!L19-'BS (F4Q2022)'!L19</f>
        <v>0</v>
      </c>
      <c r="M19" s="261">
        <f>'BS (F1Q23)'!M19-'BS (F4Q2022)'!M19</f>
        <v>0</v>
      </c>
      <c r="N19" s="260">
        <f>'BS (F1Q23)'!N19-'BS (F4Q2022)'!N19</f>
        <v>0</v>
      </c>
      <c r="O19" s="260">
        <f>'BS (F1Q23)'!O19-'BS (F4Q2022)'!O19</f>
        <v>0</v>
      </c>
      <c r="P19" s="260">
        <f>'BS (F1Q23)'!P19-'BS (F4Q2022)'!P19</f>
        <v>0</v>
      </c>
      <c r="Q19" s="112">
        <f>'BS (F1Q23)'!Q19-'BS (F4Q2022)'!Q19</f>
        <v>0</v>
      </c>
      <c r="R19" s="261">
        <f>'BS (F1Q23)'!R19-'BS (F4Q2022)'!R19</f>
        <v>0</v>
      </c>
      <c r="S19" s="260">
        <f>'BS (F1Q23)'!S19-'BS (F4Q2022)'!S19</f>
        <v>0</v>
      </c>
      <c r="T19" s="260">
        <f>'BS (F1Q23)'!T19-'BS (F4Q2022)'!T19</f>
        <v>0</v>
      </c>
      <c r="U19" s="112">
        <f>'BS (F1Q23)'!U19-'BS (F4Q2022)'!U19</f>
        <v>0</v>
      </c>
      <c r="V19" s="112">
        <f>'BS (F1Q23)'!V19-'BS (F4Q2022)'!V19</f>
        <v>0</v>
      </c>
      <c r="W19" s="261">
        <f>'BS (F1Q23)'!W19-'BS (F4Q2022)'!W19</f>
        <v>0</v>
      </c>
      <c r="X19" s="32">
        <f>'BS (F1Q23)'!X19-'BS (F4Q2022)'!X19</f>
        <v>99.5</v>
      </c>
      <c r="Y19" s="32">
        <f>'BS (F1Q23)'!Y19-'BS (F4Q2022)'!Y19</f>
        <v>99.5</v>
      </c>
      <c r="Z19" s="32">
        <f>'BS (F1Q23)'!Z19-'BS (F4Q2022)'!Z19</f>
        <v>99.5</v>
      </c>
      <c r="AA19" s="32">
        <f>'BS (F1Q23)'!AA19-'BS (F4Q2022)'!AA19</f>
        <v>99.5</v>
      </c>
      <c r="AB19" s="261">
        <f>'BS (F1Q23)'!AB19-'BS (F4Q2022)'!AB19</f>
        <v>99.5</v>
      </c>
      <c r="AC19" s="32">
        <f>'BS (F1Q23)'!AC19-'BS (F4Q2022)'!AC19</f>
        <v>99.5</v>
      </c>
      <c r="AD19" s="32">
        <f>'BS (F1Q23)'!AD19-'BS (F4Q2022)'!AD19</f>
        <v>99.5</v>
      </c>
      <c r="AE19" s="32">
        <f>'BS (F1Q23)'!AE19-'BS (F4Q2022)'!AE19</f>
        <v>99.5</v>
      </c>
      <c r="AF19" s="32">
        <f>'BS (F1Q23)'!AF19-'BS (F4Q2022)'!AF19</f>
        <v>99.5</v>
      </c>
      <c r="AG19" s="261">
        <f>'BS (F1Q23)'!AG19-'BS (F4Q2022)'!AG19</f>
        <v>99.5</v>
      </c>
      <c r="AH19" s="32">
        <f>'BS (F1Q23)'!AH19-'BS (F4Q2022)'!AH19</f>
        <v>99.5</v>
      </c>
      <c r="AI19" s="32">
        <f>'BS (F1Q23)'!AI19-'BS (F4Q2022)'!AI19</f>
        <v>99.5</v>
      </c>
      <c r="AJ19" s="32">
        <f>'BS (F1Q23)'!AJ19-'BS (F4Q2022)'!AJ19</f>
        <v>99.5</v>
      </c>
      <c r="AK19" s="32">
        <f>'BS (F1Q23)'!AK19-'BS (F4Q2022)'!AK19</f>
        <v>99.5</v>
      </c>
      <c r="AL19" s="261">
        <f>'BS (F1Q23)'!AL19-'BS (F4Q2022)'!AL19</f>
        <v>99.5</v>
      </c>
      <c r="AM19" s="32">
        <f>'BS (F1Q23)'!AM19-'BS (F4Q2022)'!AM19</f>
        <v>99.5</v>
      </c>
      <c r="AN19" s="32">
        <f>'BS (F1Q23)'!AN19-'BS (F4Q2022)'!AN19</f>
        <v>99.5</v>
      </c>
      <c r="AO19" s="32">
        <f>'BS (F1Q23)'!AO19-'BS (F4Q2022)'!AO19</f>
        <v>99.5</v>
      </c>
      <c r="AP19" s="32">
        <f>'BS (F1Q23)'!AP19-'BS (F4Q2022)'!AP19</f>
        <v>99.5</v>
      </c>
      <c r="AQ19" s="261">
        <f>'BS (F1Q23)'!AQ19-'BS (F4Q2022)'!AQ19</f>
        <v>99.5</v>
      </c>
      <c r="AR19" s="32">
        <f>'BS (F1Q23)'!AR19-'BS (F4Q2022)'!AR19</f>
        <v>99.5</v>
      </c>
      <c r="AS19" s="32">
        <f>'BS (F1Q23)'!AS19-'BS (F4Q2022)'!AS19</f>
        <v>99.5</v>
      </c>
      <c r="AT19" s="32">
        <f>'BS (F1Q23)'!AT19-'BS (F4Q2022)'!AT19</f>
        <v>99.5</v>
      </c>
      <c r="AU19" s="32">
        <f>'BS (F1Q23)'!AU19-'BS (F4Q2022)'!AU19</f>
        <v>99.5</v>
      </c>
      <c r="AV19" s="261">
        <f>'BS (F1Q23)'!AV19-'BS (F4Q2022)'!AV19</f>
        <v>99.5</v>
      </c>
    </row>
    <row r="20" spans="1:48" outlineLevel="1" x14ac:dyDescent="0.3">
      <c r="A20" s="161"/>
      <c r="B20" s="619" t="s">
        <v>226</v>
      </c>
      <c r="C20" s="620"/>
      <c r="D20" s="21">
        <f>'BS (F1Q23)'!D20-'BS (F4Q2022)'!D20</f>
        <v>0</v>
      </c>
      <c r="E20" s="21">
        <f>'BS (F1Q23)'!E20-'BS (F4Q2022)'!E20</f>
        <v>0</v>
      </c>
      <c r="F20" s="21">
        <f>'BS (F1Q23)'!F20-'BS (F4Q2022)'!F20</f>
        <v>0</v>
      </c>
      <c r="G20" s="21">
        <f>'BS (F1Q23)'!G20-'BS (F4Q2022)'!G20</f>
        <v>0</v>
      </c>
      <c r="H20" s="22">
        <f>'BS (F1Q23)'!H20-'BS (F4Q2022)'!H20</f>
        <v>0</v>
      </c>
      <c r="I20" s="21">
        <f>'BS (F1Q23)'!I20-'BS (F4Q2022)'!I20</f>
        <v>0</v>
      </c>
      <c r="J20" s="21">
        <f>'BS (F1Q23)'!J20-'BS (F4Q2022)'!J20</f>
        <v>0</v>
      </c>
      <c r="K20" s="21">
        <f>'BS (F1Q23)'!K20-'BS (F4Q2022)'!K20</f>
        <v>0</v>
      </c>
      <c r="L20" s="21">
        <f>'BS (F1Q23)'!L20-'BS (F4Q2022)'!L20</f>
        <v>0</v>
      </c>
      <c r="M20" s="22">
        <f>'BS (F1Q23)'!M20-'BS (F4Q2022)'!M20</f>
        <v>0</v>
      </c>
      <c r="N20" s="21">
        <f>'BS (F1Q23)'!N20-'BS (F4Q2022)'!N20</f>
        <v>0</v>
      </c>
      <c r="O20" s="21">
        <f>'BS (F1Q23)'!O20-'BS (F4Q2022)'!O20</f>
        <v>0</v>
      </c>
      <c r="P20" s="21">
        <f>'BS (F1Q23)'!P20-'BS (F4Q2022)'!P20</f>
        <v>0</v>
      </c>
      <c r="Q20" s="21">
        <f>'BS (F1Q23)'!Q20-'BS (F4Q2022)'!Q20</f>
        <v>0</v>
      </c>
      <c r="R20" s="22">
        <f>'BS (F1Q23)'!R20-'BS (F4Q2022)'!R20</f>
        <v>0</v>
      </c>
      <c r="S20" s="21">
        <f>'BS (F1Q23)'!S20-'BS (F4Q2022)'!S20</f>
        <v>0</v>
      </c>
      <c r="T20" s="21">
        <f>'BS (F1Q23)'!T20-'BS (F4Q2022)'!T20</f>
        <v>0</v>
      </c>
      <c r="U20" s="21">
        <f>'BS (F1Q23)'!U20-'BS (F4Q2022)'!U20</f>
        <v>0</v>
      </c>
      <c r="V20" s="21">
        <f>'BS (F1Q23)'!V20-'BS (F4Q2022)'!V20</f>
        <v>0</v>
      </c>
      <c r="W20" s="22">
        <f>'BS (F1Q23)'!W20-'BS (F4Q2022)'!W20</f>
        <v>0</v>
      </c>
      <c r="X20" s="21">
        <f>'BS (F1Q23)'!X20-'BS (F4Q2022)'!X20</f>
        <v>-410.05618527095794</v>
      </c>
      <c r="Y20" s="21">
        <f>'BS (F1Q23)'!Y20-'BS (F4Q2022)'!Y20</f>
        <v>-100.06146228539001</v>
      </c>
      <c r="Z20" s="21">
        <f>'BS (F1Q23)'!Z20-'BS (F4Q2022)'!Z20</f>
        <v>-295.18018658132496</v>
      </c>
      <c r="AA20" s="21">
        <f>'BS (F1Q23)'!AA20-'BS (F4Q2022)'!AA20</f>
        <v>-395.71608250754798</v>
      </c>
      <c r="AB20" s="22">
        <f>'BS (F1Q23)'!AB20-'BS (F4Q2022)'!AB20</f>
        <v>-395.71608250754798</v>
      </c>
      <c r="AC20" s="21">
        <f>'BS (F1Q23)'!AC20-'BS (F4Q2022)'!AC20</f>
        <v>-570.19267010048134</v>
      </c>
      <c r="AD20" s="21">
        <f>'BS (F1Q23)'!AD20-'BS (F4Q2022)'!AD20</f>
        <v>-833.01889310327169</v>
      </c>
      <c r="AE20" s="21">
        <f>'BS (F1Q23)'!AE20-'BS (F4Q2022)'!AE20</f>
        <v>-939.04413700376972</v>
      </c>
      <c r="AF20" s="21">
        <f>'BS (F1Q23)'!AF20-'BS (F4Q2022)'!AF20</f>
        <v>-834.68625947142573</v>
      </c>
      <c r="AG20" s="22">
        <f>'BS (F1Q23)'!AG20-'BS (F4Q2022)'!AG20</f>
        <v>-834.68625947142573</v>
      </c>
      <c r="AH20" s="21">
        <f>'BS (F1Q23)'!AH20-'BS (F4Q2022)'!AH20</f>
        <v>-935.4299624452542</v>
      </c>
      <c r="AI20" s="21">
        <f>'BS (F1Q23)'!AI20-'BS (F4Q2022)'!AI20</f>
        <v>-1113.9509172066209</v>
      </c>
      <c r="AJ20" s="21">
        <f>'BS (F1Q23)'!AJ20-'BS (F4Q2022)'!AJ20</f>
        <v>429.37562772251113</v>
      </c>
      <c r="AK20" s="21">
        <f>'BS (F1Q23)'!AK20-'BS (F4Q2022)'!AK20</f>
        <v>425.94729900494349</v>
      </c>
      <c r="AL20" s="22">
        <f>'BS (F1Q23)'!AL20-'BS (F4Q2022)'!AL20</f>
        <v>425.94729900494349</v>
      </c>
      <c r="AM20" s="21">
        <f>'BS (F1Q23)'!AM20-'BS (F4Q2022)'!AM20</f>
        <v>305.08068073203685</v>
      </c>
      <c r="AN20" s="21">
        <f>'BS (F1Q23)'!AN20-'BS (F4Q2022)'!AN20</f>
        <v>-870.17590630776249</v>
      </c>
      <c r="AO20" s="21">
        <f>'BS (F1Q23)'!AO20-'BS (F4Q2022)'!AO20</f>
        <v>-983.80097836909772</v>
      </c>
      <c r="AP20" s="21">
        <f>'BS (F1Q23)'!AP20-'BS (F4Q2022)'!AP20</f>
        <v>-954.94274347275496</v>
      </c>
      <c r="AQ20" s="22">
        <f>'BS (F1Q23)'!AQ20-'BS (F4Q2022)'!AQ20</f>
        <v>-954.94274347275496</v>
      </c>
      <c r="AR20" s="21">
        <f>'BS (F1Q23)'!AR20-'BS (F4Q2022)'!AR20</f>
        <v>-1074.3003903051685</v>
      </c>
      <c r="AS20" s="21">
        <f>'BS (F1Q23)'!AS20-'BS (F4Q2022)'!AS20</f>
        <v>-1271.5081426592042</v>
      </c>
      <c r="AT20" s="21">
        <f>'BS (F1Q23)'!AT20-'BS (F4Q2022)'!AT20</f>
        <v>-1398.0399184686321</v>
      </c>
      <c r="AU20" s="21">
        <f>'BS (F1Q23)'!AU20-'BS (F4Q2022)'!AU20</f>
        <v>-1372.7363170299213</v>
      </c>
      <c r="AV20" s="22">
        <f>'BS (F1Q23)'!AV20-'BS (F4Q2022)'!AV20</f>
        <v>-1372.7363170299213</v>
      </c>
    </row>
    <row r="21" spans="1:48" ht="17.399999999999999" x14ac:dyDescent="0.45">
      <c r="A21" s="161"/>
      <c r="B21" s="583" t="s">
        <v>227</v>
      </c>
      <c r="C21" s="584"/>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580" t="s">
        <v>228</v>
      </c>
      <c r="C22" s="581"/>
      <c r="D22" s="101">
        <f>'BS (F1Q23)'!D22-'BS (F4Q2022)'!D22</f>
        <v>0</v>
      </c>
      <c r="E22" s="101">
        <f>'BS (F1Q23)'!E22-'BS (F4Q2022)'!E22</f>
        <v>0</v>
      </c>
      <c r="F22" s="101">
        <f>'BS (F1Q23)'!F22-'BS (F4Q2022)'!F22</f>
        <v>0</v>
      </c>
      <c r="G22" s="101">
        <f>'BS (F1Q23)'!G22-'BS (F4Q2022)'!G22</f>
        <v>0</v>
      </c>
      <c r="H22" s="169">
        <f>'BS (F1Q23)'!H22-'BS (F4Q2022)'!H22</f>
        <v>0</v>
      </c>
      <c r="I22" s="101">
        <f>'BS (F1Q23)'!I22-'BS (F4Q2022)'!I22</f>
        <v>0</v>
      </c>
      <c r="J22" s="101">
        <f>'BS (F1Q23)'!J22-'BS (F4Q2022)'!J22</f>
        <v>0</v>
      </c>
      <c r="K22" s="101">
        <f>'BS (F1Q23)'!K22-'BS (F4Q2022)'!K22</f>
        <v>0</v>
      </c>
      <c r="L22" s="101">
        <f>'BS (F1Q23)'!L22-'BS (F4Q2022)'!L22</f>
        <v>0</v>
      </c>
      <c r="M22" s="169">
        <f>'BS (F1Q23)'!M22-'BS (F4Q2022)'!M22</f>
        <v>0</v>
      </c>
      <c r="N22" s="101">
        <f>'BS (F1Q23)'!N22-'BS (F4Q2022)'!N22</f>
        <v>0</v>
      </c>
      <c r="O22" s="101">
        <f>'BS (F1Q23)'!O22-'BS (F4Q2022)'!O22</f>
        <v>0</v>
      </c>
      <c r="P22" s="101">
        <f>'BS (F1Q23)'!P22-'BS (F4Q2022)'!P22</f>
        <v>0</v>
      </c>
      <c r="Q22" s="101">
        <f>'BS (F1Q23)'!Q22-'BS (F4Q2022)'!Q22</f>
        <v>0</v>
      </c>
      <c r="R22" s="169">
        <f>'BS (F1Q23)'!R22-'BS (F4Q2022)'!R22</f>
        <v>0</v>
      </c>
      <c r="S22" s="101">
        <f>'BS (F1Q23)'!S22-'BS (F4Q2022)'!S22</f>
        <v>0</v>
      </c>
      <c r="T22" s="101">
        <f>'BS (F1Q23)'!T22-'BS (F4Q2022)'!T22</f>
        <v>0</v>
      </c>
      <c r="U22" s="101">
        <f>'BS (F1Q23)'!U22-'BS (F4Q2022)'!U22</f>
        <v>0</v>
      </c>
      <c r="V22" s="101">
        <f>'BS (F1Q23)'!V22-'BS (F4Q2022)'!V22</f>
        <v>0</v>
      </c>
      <c r="W22" s="169">
        <f>'BS (F1Q23)'!W22-'BS (F4Q2022)'!W22</f>
        <v>0</v>
      </c>
      <c r="X22" s="101">
        <f>'BS (F1Q23)'!X22-'BS (F4Q2022)'!X22</f>
        <v>-63.686437936861694</v>
      </c>
      <c r="Y22" s="101">
        <f>'BS (F1Q23)'!Y22-'BS (F4Q2022)'!Y22</f>
        <v>19.848990946022241</v>
      </c>
      <c r="Z22" s="101">
        <f>'BS (F1Q23)'!Z22-'BS (F4Q2022)'!Z22</f>
        <v>-38.185866424650385</v>
      </c>
      <c r="AA22" s="101">
        <f>'BS (F1Q23)'!AA22-'BS (F4Q2022)'!AA22</f>
        <v>-56.570787294934689</v>
      </c>
      <c r="AB22" s="169">
        <f>'BS (F1Q23)'!AB22-'BS (F4Q2022)'!AB22</f>
        <v>-56.570787294934689</v>
      </c>
      <c r="AC22" s="101">
        <f>'BS (F1Q23)'!AC22-'BS (F4Q2022)'!AC22</f>
        <v>-24.956406470386355</v>
      </c>
      <c r="AD22" s="101">
        <f>'BS (F1Q23)'!AD22-'BS (F4Q2022)'!AD22</f>
        <v>27.457774079727415</v>
      </c>
      <c r="AE22" s="101">
        <f>'BS (F1Q23)'!AE22-'BS (F4Q2022)'!AE22</f>
        <v>-41.384678159663054</v>
      </c>
      <c r="AF22" s="101">
        <f>'BS (F1Q23)'!AF22-'BS (F4Q2022)'!AF22</f>
        <v>-64.300217051642676</v>
      </c>
      <c r="AG22" s="169">
        <f>'BS (F1Q23)'!AG22-'BS (F4Q2022)'!AG22</f>
        <v>-64.300217051642676</v>
      </c>
      <c r="AH22" s="101">
        <f>'BS (F1Q23)'!AH22-'BS (F4Q2022)'!AH22</f>
        <v>-37.063695048637783</v>
      </c>
      <c r="AI22" s="101">
        <f>'BS (F1Q23)'!AI22-'BS (F4Q2022)'!AI22</f>
        <v>32.84511294061258</v>
      </c>
      <c r="AJ22" s="101">
        <f>'BS (F1Q23)'!AJ22-'BS (F4Q2022)'!AJ22</f>
        <v>-47.975577341533835</v>
      </c>
      <c r="AK22" s="101">
        <f>'BS (F1Q23)'!AK22-'BS (F4Q2022)'!AK22</f>
        <v>-74.477023509325818</v>
      </c>
      <c r="AL22" s="169">
        <f>'BS (F1Q23)'!AL22-'BS (F4Q2022)'!AL22</f>
        <v>-74.477023509325818</v>
      </c>
      <c r="AM22" s="101">
        <f>'BS (F1Q23)'!AM22-'BS (F4Q2022)'!AM22</f>
        <v>-55.323753885348424</v>
      </c>
      <c r="AN22" s="101">
        <f>'BS (F1Q23)'!AN22-'BS (F4Q2022)'!AN22</f>
        <v>37.691824775938585</v>
      </c>
      <c r="AO22" s="101">
        <f>'BS (F1Q23)'!AO22-'BS (F4Q2022)'!AO22</f>
        <v>-52.253893887490449</v>
      </c>
      <c r="AP22" s="101">
        <f>'BS (F1Q23)'!AP22-'BS (F4Q2022)'!AP22</f>
        <v>-80.444526270164715</v>
      </c>
      <c r="AQ22" s="169">
        <f>'BS (F1Q23)'!AQ22-'BS (F4Q2022)'!AQ22</f>
        <v>-80.444526270164715</v>
      </c>
      <c r="AR22" s="101">
        <f>'BS (F1Q23)'!AR22-'BS (F4Q2022)'!AR22</f>
        <v>-47.535404596608942</v>
      </c>
      <c r="AS22" s="101">
        <f>'BS (F1Q23)'!AS22-'BS (F4Q2022)'!AS22</f>
        <v>40.94501085718025</v>
      </c>
      <c r="AT22" s="101">
        <f>'BS (F1Q23)'!AT22-'BS (F4Q2022)'!AT22</f>
        <v>-55.362346910253564</v>
      </c>
      <c r="AU22" s="101">
        <f>'BS (F1Q23)'!AU22-'BS (F4Q2022)'!AU22</f>
        <v>-85.79054043137694</v>
      </c>
      <c r="AV22" s="169">
        <f>'BS (F1Q23)'!AV22-'BS (F4Q2022)'!AV22</f>
        <v>-85.79054043137694</v>
      </c>
    </row>
    <row r="23" spans="1:48" outlineLevel="1" x14ac:dyDescent="0.3">
      <c r="A23" s="161"/>
      <c r="B23" s="200" t="s">
        <v>229</v>
      </c>
      <c r="C23" s="201"/>
      <c r="D23" s="101">
        <f>'BS (F1Q23)'!D23-'BS (F4Q2022)'!D23</f>
        <v>0</v>
      </c>
      <c r="E23" s="101">
        <f>'BS (F1Q23)'!E23-'BS (F4Q2022)'!E23</f>
        <v>0</v>
      </c>
      <c r="F23" s="101">
        <f>'BS (F1Q23)'!F23-'BS (F4Q2022)'!F23</f>
        <v>0</v>
      </c>
      <c r="G23" s="101">
        <f>'BS (F1Q23)'!G23-'BS (F4Q2022)'!G23</f>
        <v>0</v>
      </c>
      <c r="H23" s="169">
        <f>'BS (F1Q23)'!H23-'BS (F4Q2022)'!H23</f>
        <v>0</v>
      </c>
      <c r="I23" s="101">
        <f>'BS (F1Q23)'!I23-'BS (F4Q2022)'!I23</f>
        <v>0</v>
      </c>
      <c r="J23" s="101">
        <f>'BS (F1Q23)'!J23-'BS (F4Q2022)'!J23</f>
        <v>0</v>
      </c>
      <c r="K23" s="101">
        <f>'BS (F1Q23)'!K23-'BS (F4Q2022)'!K23</f>
        <v>0</v>
      </c>
      <c r="L23" s="101">
        <f>'BS (F1Q23)'!L23-'BS (F4Q2022)'!L23</f>
        <v>0</v>
      </c>
      <c r="M23" s="169">
        <f>'BS (F1Q23)'!M23-'BS (F4Q2022)'!M23</f>
        <v>0</v>
      </c>
      <c r="N23" s="101">
        <f>'BS (F1Q23)'!N23-'BS (F4Q2022)'!N23</f>
        <v>0</v>
      </c>
      <c r="O23" s="101">
        <f>'BS (F1Q23)'!O23-'BS (F4Q2022)'!O23</f>
        <v>0</v>
      </c>
      <c r="P23" s="101">
        <f>'BS (F1Q23)'!P23-'BS (F4Q2022)'!P23</f>
        <v>0</v>
      </c>
      <c r="Q23" s="101">
        <f>'BS (F1Q23)'!Q23-'BS (F4Q2022)'!Q23</f>
        <v>0</v>
      </c>
      <c r="R23" s="169">
        <f>'BS (F1Q23)'!R23-'BS (F4Q2022)'!R23</f>
        <v>0</v>
      </c>
      <c r="S23" s="101">
        <f>'BS (F1Q23)'!S23-'BS (F4Q2022)'!S23</f>
        <v>0</v>
      </c>
      <c r="T23" s="101">
        <f>'BS (F1Q23)'!T23-'BS (F4Q2022)'!T23</f>
        <v>0</v>
      </c>
      <c r="U23" s="101">
        <f>'BS (F1Q23)'!U23-'BS (F4Q2022)'!U23</f>
        <v>0</v>
      </c>
      <c r="V23" s="101">
        <f>'BS (F1Q23)'!V23-'BS (F4Q2022)'!V23</f>
        <v>0</v>
      </c>
      <c r="W23" s="169">
        <f>'BS (F1Q23)'!W23-'BS (F4Q2022)'!W23</f>
        <v>0</v>
      </c>
      <c r="X23" s="33">
        <f>'BS (F1Q23)'!X23-'BS (F4Q2022)'!X23</f>
        <v>-47.5</v>
      </c>
      <c r="Y23" s="33">
        <f>'BS (F1Q23)'!Y23-'BS (F4Q2022)'!Y23</f>
        <v>-47.5</v>
      </c>
      <c r="Z23" s="33">
        <f>'BS (F1Q23)'!Z23-'BS (F4Q2022)'!Z23</f>
        <v>-47.5</v>
      </c>
      <c r="AA23" s="33">
        <f>'BS (F1Q23)'!AA23-'BS (F4Q2022)'!AA23</f>
        <v>-47.5</v>
      </c>
      <c r="AB23" s="169">
        <f>'BS (F1Q23)'!AB23-'BS (F4Q2022)'!AB23</f>
        <v>-47.5</v>
      </c>
      <c r="AC23" s="33">
        <f>'BS (F1Q23)'!AC23-'BS (F4Q2022)'!AC23</f>
        <v>-47.5</v>
      </c>
      <c r="AD23" s="33">
        <f>'BS (F1Q23)'!AD23-'BS (F4Q2022)'!AD23</f>
        <v>-47.5</v>
      </c>
      <c r="AE23" s="33">
        <f>'BS (F1Q23)'!AE23-'BS (F4Q2022)'!AE23</f>
        <v>-47.5</v>
      </c>
      <c r="AF23" s="33">
        <f>'BS (F1Q23)'!AF23-'BS (F4Q2022)'!AF23</f>
        <v>-47.5</v>
      </c>
      <c r="AG23" s="169">
        <f>'BS (F1Q23)'!AG23-'BS (F4Q2022)'!AG23</f>
        <v>-47.5</v>
      </c>
      <c r="AH23" s="33">
        <f>'BS (F1Q23)'!AH23-'BS (F4Q2022)'!AH23</f>
        <v>-47.5</v>
      </c>
      <c r="AI23" s="33">
        <f>'BS (F1Q23)'!AI23-'BS (F4Q2022)'!AI23</f>
        <v>-47.5</v>
      </c>
      <c r="AJ23" s="33">
        <f>'BS (F1Q23)'!AJ23-'BS (F4Q2022)'!AJ23</f>
        <v>-47.5</v>
      </c>
      <c r="AK23" s="33">
        <f>'BS (F1Q23)'!AK23-'BS (F4Q2022)'!AK23</f>
        <v>-47.5</v>
      </c>
      <c r="AL23" s="169">
        <f>'BS (F1Q23)'!AL23-'BS (F4Q2022)'!AL23</f>
        <v>-47.5</v>
      </c>
      <c r="AM23" s="33">
        <f>'BS (F1Q23)'!AM23-'BS (F4Q2022)'!AM23</f>
        <v>-47.5</v>
      </c>
      <c r="AN23" s="33">
        <f>'BS (F1Q23)'!AN23-'BS (F4Q2022)'!AN23</f>
        <v>-47.5</v>
      </c>
      <c r="AO23" s="33">
        <f>'BS (F1Q23)'!AO23-'BS (F4Q2022)'!AO23</f>
        <v>-47.5</v>
      </c>
      <c r="AP23" s="33">
        <f>'BS (F1Q23)'!AP23-'BS (F4Q2022)'!AP23</f>
        <v>-47.5</v>
      </c>
      <c r="AQ23" s="169">
        <f>'BS (F1Q23)'!AQ23-'BS (F4Q2022)'!AQ23</f>
        <v>-47.5</v>
      </c>
      <c r="AR23" s="33">
        <f>'BS (F1Q23)'!AR23-'BS (F4Q2022)'!AR23</f>
        <v>-47.5</v>
      </c>
      <c r="AS23" s="33">
        <f>'BS (F1Q23)'!AS23-'BS (F4Q2022)'!AS23</f>
        <v>-47.5</v>
      </c>
      <c r="AT23" s="33">
        <f>'BS (F1Q23)'!AT23-'BS (F4Q2022)'!AT23</f>
        <v>-47.5</v>
      </c>
      <c r="AU23" s="33">
        <f>'BS (F1Q23)'!AU23-'BS (F4Q2022)'!AU23</f>
        <v>-47.5</v>
      </c>
      <c r="AV23" s="169">
        <f>'BS (F1Q23)'!AV23-'BS (F4Q2022)'!AV23</f>
        <v>-47.5</v>
      </c>
    </row>
    <row r="24" spans="1:48" outlineLevel="1" x14ac:dyDescent="0.3">
      <c r="A24" s="161"/>
      <c r="B24" s="200" t="s">
        <v>230</v>
      </c>
      <c r="C24" s="201"/>
      <c r="D24" s="101">
        <f>'BS (F1Q23)'!D24-'BS (F4Q2022)'!D24</f>
        <v>0</v>
      </c>
      <c r="E24" s="101">
        <f>'BS (F1Q23)'!E24-'BS (F4Q2022)'!E24</f>
        <v>0</v>
      </c>
      <c r="F24" s="101">
        <f>'BS (F1Q23)'!F24-'BS (F4Q2022)'!F24</f>
        <v>0</v>
      </c>
      <c r="G24" s="101">
        <f>'BS (F1Q23)'!G24-'BS (F4Q2022)'!G24</f>
        <v>0</v>
      </c>
      <c r="H24" s="169">
        <f>'BS (F1Q23)'!H24-'BS (F4Q2022)'!H24</f>
        <v>0</v>
      </c>
      <c r="I24" s="101">
        <f>'BS (F1Q23)'!I24-'BS (F4Q2022)'!I24</f>
        <v>0</v>
      </c>
      <c r="J24" s="101">
        <f>'BS (F1Q23)'!J24-'BS (F4Q2022)'!J24</f>
        <v>0</v>
      </c>
      <c r="K24" s="101">
        <f>'BS (F1Q23)'!K24-'BS (F4Q2022)'!K24</f>
        <v>0</v>
      </c>
      <c r="L24" s="101">
        <f>'BS (F1Q23)'!L24-'BS (F4Q2022)'!L24</f>
        <v>0</v>
      </c>
      <c r="M24" s="169">
        <f>'BS (F1Q23)'!M24-'BS (F4Q2022)'!M24</f>
        <v>0</v>
      </c>
      <c r="N24" s="101">
        <f>'BS (F1Q23)'!N24-'BS (F4Q2022)'!N24</f>
        <v>0</v>
      </c>
      <c r="O24" s="101">
        <f>'BS (F1Q23)'!O24-'BS (F4Q2022)'!O24</f>
        <v>0</v>
      </c>
      <c r="P24" s="101">
        <f>'BS (F1Q23)'!P24-'BS (F4Q2022)'!P24</f>
        <v>0</v>
      </c>
      <c r="Q24" s="101">
        <f>'BS (F1Q23)'!Q24-'BS (F4Q2022)'!Q24</f>
        <v>0</v>
      </c>
      <c r="R24" s="169">
        <f>'BS (F1Q23)'!R24-'BS (F4Q2022)'!R24</f>
        <v>0</v>
      </c>
      <c r="S24" s="101">
        <f>'BS (F1Q23)'!S24-'BS (F4Q2022)'!S24</f>
        <v>0</v>
      </c>
      <c r="T24" s="101">
        <f>'BS (F1Q23)'!T24-'BS (F4Q2022)'!T24</f>
        <v>0</v>
      </c>
      <c r="U24" s="101">
        <f>'BS (F1Q23)'!U24-'BS (F4Q2022)'!U24</f>
        <v>0</v>
      </c>
      <c r="V24" s="101">
        <f>'BS (F1Q23)'!V24-'BS (F4Q2022)'!V24</f>
        <v>0</v>
      </c>
      <c r="W24" s="169">
        <f>'BS (F1Q23)'!W24-'BS (F4Q2022)'!W24</f>
        <v>0</v>
      </c>
      <c r="X24" s="33">
        <f>'BS (F1Q23)'!X24-'BS (F4Q2022)'!X24</f>
        <v>-97.100000000000023</v>
      </c>
      <c r="Y24" s="33">
        <f>'BS (F1Q23)'!Y24-'BS (F4Q2022)'!Y24</f>
        <v>-97.100000000000023</v>
      </c>
      <c r="Z24" s="33">
        <f>'BS (F1Q23)'!Z24-'BS (F4Q2022)'!Z24</f>
        <v>-97.100000000000023</v>
      </c>
      <c r="AA24" s="33">
        <f>'BS (F1Q23)'!AA24-'BS (F4Q2022)'!AA24</f>
        <v>-97.100000000000023</v>
      </c>
      <c r="AB24" s="169">
        <f>'BS (F1Q23)'!AB24-'BS (F4Q2022)'!AB24</f>
        <v>-97.100000000000023</v>
      </c>
      <c r="AC24" s="33">
        <f>'BS (F1Q23)'!AC24-'BS (F4Q2022)'!AC24</f>
        <v>-97.100000000000023</v>
      </c>
      <c r="AD24" s="33">
        <f>'BS (F1Q23)'!AD24-'BS (F4Q2022)'!AD24</f>
        <v>-97.100000000000023</v>
      </c>
      <c r="AE24" s="33">
        <f>'BS (F1Q23)'!AE24-'BS (F4Q2022)'!AE24</f>
        <v>-97.100000000000023</v>
      </c>
      <c r="AF24" s="33">
        <f>'BS (F1Q23)'!AF24-'BS (F4Q2022)'!AF24</f>
        <v>-97.100000000000023</v>
      </c>
      <c r="AG24" s="169">
        <f>'BS (F1Q23)'!AG24-'BS (F4Q2022)'!AG24</f>
        <v>-97.100000000000023</v>
      </c>
      <c r="AH24" s="33">
        <f>'BS (F1Q23)'!AH24-'BS (F4Q2022)'!AH24</f>
        <v>-97.100000000000023</v>
      </c>
      <c r="AI24" s="33">
        <f>'BS (F1Q23)'!AI24-'BS (F4Q2022)'!AI24</f>
        <v>-97.100000000000023</v>
      </c>
      <c r="AJ24" s="33">
        <f>'BS (F1Q23)'!AJ24-'BS (F4Q2022)'!AJ24</f>
        <v>-97.100000000000023</v>
      </c>
      <c r="AK24" s="33">
        <f>'BS (F1Q23)'!AK24-'BS (F4Q2022)'!AK24</f>
        <v>-97.100000000000023</v>
      </c>
      <c r="AL24" s="169">
        <f>'BS (F1Q23)'!AL24-'BS (F4Q2022)'!AL24</f>
        <v>-97.100000000000023</v>
      </c>
      <c r="AM24" s="33">
        <f>'BS (F1Q23)'!AM24-'BS (F4Q2022)'!AM24</f>
        <v>-97.100000000000023</v>
      </c>
      <c r="AN24" s="33">
        <f>'BS (F1Q23)'!AN24-'BS (F4Q2022)'!AN24</f>
        <v>-97.100000000000023</v>
      </c>
      <c r="AO24" s="33">
        <f>'BS (F1Q23)'!AO24-'BS (F4Q2022)'!AO24</f>
        <v>-97.100000000000023</v>
      </c>
      <c r="AP24" s="33">
        <f>'BS (F1Q23)'!AP24-'BS (F4Q2022)'!AP24</f>
        <v>-97.100000000000023</v>
      </c>
      <c r="AQ24" s="169">
        <f>'BS (F1Q23)'!AQ24-'BS (F4Q2022)'!AQ24</f>
        <v>-97.100000000000023</v>
      </c>
      <c r="AR24" s="33">
        <f>'BS (F1Q23)'!AR24-'BS (F4Q2022)'!AR24</f>
        <v>-97.100000000000023</v>
      </c>
      <c r="AS24" s="33">
        <f>'BS (F1Q23)'!AS24-'BS (F4Q2022)'!AS24</f>
        <v>-97.100000000000023</v>
      </c>
      <c r="AT24" s="33">
        <f>'BS (F1Q23)'!AT24-'BS (F4Q2022)'!AT24</f>
        <v>-97.100000000000023</v>
      </c>
      <c r="AU24" s="33">
        <f>'BS (F1Q23)'!AU24-'BS (F4Q2022)'!AU24</f>
        <v>-97.100000000000023</v>
      </c>
      <c r="AV24" s="169">
        <f>'BS (F1Q23)'!AV24-'BS (F4Q2022)'!AV24</f>
        <v>-97.100000000000023</v>
      </c>
    </row>
    <row r="25" spans="1:48" outlineLevel="1" x14ac:dyDescent="0.3">
      <c r="A25" s="161"/>
      <c r="B25" s="200" t="s">
        <v>231</v>
      </c>
      <c r="C25" s="201"/>
      <c r="D25" s="101">
        <f>'BS (F1Q23)'!D25-'BS (F4Q2022)'!D25</f>
        <v>0</v>
      </c>
      <c r="E25" s="101">
        <f>'BS (F1Q23)'!E25-'BS (F4Q2022)'!E25</f>
        <v>0</v>
      </c>
      <c r="F25" s="101">
        <f>'BS (F1Q23)'!F25-'BS (F4Q2022)'!F25</f>
        <v>0</v>
      </c>
      <c r="G25" s="101">
        <f>'BS (F1Q23)'!G25-'BS (F4Q2022)'!G25</f>
        <v>0</v>
      </c>
      <c r="H25" s="169">
        <f>'BS (F1Q23)'!H25-'BS (F4Q2022)'!H25</f>
        <v>0</v>
      </c>
      <c r="I25" s="101">
        <f>'BS (F1Q23)'!I25-'BS (F4Q2022)'!I25</f>
        <v>0</v>
      </c>
      <c r="J25" s="101">
        <f>'BS (F1Q23)'!J25-'BS (F4Q2022)'!J25</f>
        <v>0</v>
      </c>
      <c r="K25" s="101">
        <f>'BS (F1Q23)'!K25-'BS (F4Q2022)'!K25</f>
        <v>0</v>
      </c>
      <c r="L25" s="101">
        <f>'BS (F1Q23)'!L25-'BS (F4Q2022)'!L25</f>
        <v>0</v>
      </c>
      <c r="M25" s="169">
        <f>'BS (F1Q23)'!M25-'BS (F4Q2022)'!M25</f>
        <v>0</v>
      </c>
      <c r="N25" s="101">
        <f>'BS (F1Q23)'!N25-'BS (F4Q2022)'!N25</f>
        <v>0</v>
      </c>
      <c r="O25" s="101">
        <f>'BS (F1Q23)'!O25-'BS (F4Q2022)'!O25</f>
        <v>0</v>
      </c>
      <c r="P25" s="101">
        <f>'BS (F1Q23)'!P25-'BS (F4Q2022)'!P25</f>
        <v>0</v>
      </c>
      <c r="Q25" s="101">
        <f>'BS (F1Q23)'!Q25-'BS (F4Q2022)'!Q25</f>
        <v>0</v>
      </c>
      <c r="R25" s="169">
        <f>'BS (F1Q23)'!R25-'BS (F4Q2022)'!R25</f>
        <v>0</v>
      </c>
      <c r="S25" s="101">
        <f>'BS (F1Q23)'!S25-'BS (F4Q2022)'!S25</f>
        <v>0</v>
      </c>
      <c r="T25" s="101">
        <f>'BS (F1Q23)'!T25-'BS (F4Q2022)'!T25</f>
        <v>0</v>
      </c>
      <c r="U25" s="101">
        <f>'BS (F1Q23)'!U25-'BS (F4Q2022)'!U25</f>
        <v>0</v>
      </c>
      <c r="V25" s="101">
        <f>'BS (F1Q23)'!V25-'BS (F4Q2022)'!V25</f>
        <v>0</v>
      </c>
      <c r="W25" s="169">
        <f>'BS (F1Q23)'!W25-'BS (F4Q2022)'!W25</f>
        <v>0</v>
      </c>
      <c r="X25" s="33">
        <f>'BS (F1Q23)'!X25-'BS (F4Q2022)'!X25</f>
        <v>0</v>
      </c>
      <c r="Y25" s="33">
        <f>'BS (F1Q23)'!Y25-'BS (F4Q2022)'!Y25</f>
        <v>0</v>
      </c>
      <c r="Z25" s="33">
        <f>'BS (F1Q23)'!Z25-'BS (F4Q2022)'!Z25</f>
        <v>0</v>
      </c>
      <c r="AA25" s="33">
        <f>'BS (F1Q23)'!AA25-'BS (F4Q2022)'!AA25</f>
        <v>0</v>
      </c>
      <c r="AB25" s="169">
        <f>'BS (F1Q23)'!AB25-'BS (F4Q2022)'!AB25</f>
        <v>0</v>
      </c>
      <c r="AC25" s="33">
        <f>'BS (F1Q23)'!AC25-'BS (F4Q2022)'!AC25</f>
        <v>0</v>
      </c>
      <c r="AD25" s="33">
        <f>'BS (F1Q23)'!AD25-'BS (F4Q2022)'!AD25</f>
        <v>0</v>
      </c>
      <c r="AE25" s="33">
        <f>'BS (F1Q23)'!AE25-'BS (F4Q2022)'!AE25</f>
        <v>0</v>
      </c>
      <c r="AF25" s="33">
        <f>'BS (F1Q23)'!AF25-'BS (F4Q2022)'!AF25</f>
        <v>0</v>
      </c>
      <c r="AG25" s="169">
        <f>'BS (F1Q23)'!AG25-'BS (F4Q2022)'!AG25</f>
        <v>0</v>
      </c>
      <c r="AH25" s="33">
        <f>'BS (F1Q23)'!AH25-'BS (F4Q2022)'!AH25</f>
        <v>0</v>
      </c>
      <c r="AI25" s="33">
        <f>'BS (F1Q23)'!AI25-'BS (F4Q2022)'!AI25</f>
        <v>0</v>
      </c>
      <c r="AJ25" s="33">
        <f>'BS (F1Q23)'!AJ25-'BS (F4Q2022)'!AJ25</f>
        <v>0</v>
      </c>
      <c r="AK25" s="33">
        <f>'BS (F1Q23)'!AK25-'BS (F4Q2022)'!AK25</f>
        <v>0</v>
      </c>
      <c r="AL25" s="169">
        <f>'BS (F1Q23)'!AL25-'BS (F4Q2022)'!AL25</f>
        <v>0</v>
      </c>
      <c r="AM25" s="33">
        <f>'BS (F1Q23)'!AM25-'BS (F4Q2022)'!AM25</f>
        <v>0</v>
      </c>
      <c r="AN25" s="33">
        <f>'BS (F1Q23)'!AN25-'BS (F4Q2022)'!AN25</f>
        <v>0</v>
      </c>
      <c r="AO25" s="33">
        <f>'BS (F1Q23)'!AO25-'BS (F4Q2022)'!AO25</f>
        <v>0</v>
      </c>
      <c r="AP25" s="33">
        <f>'BS (F1Q23)'!AP25-'BS (F4Q2022)'!AP25</f>
        <v>0</v>
      </c>
      <c r="AQ25" s="169">
        <f>'BS (F1Q23)'!AQ25-'BS (F4Q2022)'!AQ25</f>
        <v>0</v>
      </c>
      <c r="AR25" s="33">
        <f>'BS (F1Q23)'!AR25-'BS (F4Q2022)'!AR25</f>
        <v>0</v>
      </c>
      <c r="AS25" s="33">
        <f>'BS (F1Q23)'!AS25-'BS (F4Q2022)'!AS25</f>
        <v>0</v>
      </c>
      <c r="AT25" s="33">
        <f>'BS (F1Q23)'!AT25-'BS (F4Q2022)'!AT25</f>
        <v>0</v>
      </c>
      <c r="AU25" s="33">
        <f>'BS (F1Q23)'!AU25-'BS (F4Q2022)'!AU25</f>
        <v>0</v>
      </c>
      <c r="AV25" s="169">
        <f>'BS (F1Q23)'!AV25-'BS (F4Q2022)'!AV25</f>
        <v>0</v>
      </c>
    </row>
    <row r="26" spans="1:48" outlineLevel="1" x14ac:dyDescent="0.3">
      <c r="A26" s="161"/>
      <c r="B26" s="200" t="s">
        <v>232</v>
      </c>
      <c r="C26" s="201"/>
      <c r="D26" s="101">
        <f>'BS (F1Q23)'!D26-'BS (F4Q2022)'!D26</f>
        <v>0</v>
      </c>
      <c r="E26" s="101">
        <f>'BS (F1Q23)'!E26-'BS (F4Q2022)'!E26</f>
        <v>0</v>
      </c>
      <c r="F26" s="101">
        <f>'BS (F1Q23)'!F26-'BS (F4Q2022)'!F26</f>
        <v>0</v>
      </c>
      <c r="G26" s="101">
        <f>'BS (F1Q23)'!G26-'BS (F4Q2022)'!G26</f>
        <v>0</v>
      </c>
      <c r="H26" s="169">
        <f>'BS (F1Q23)'!H26-'BS (F4Q2022)'!H26</f>
        <v>0</v>
      </c>
      <c r="I26" s="101">
        <f>'BS (F1Q23)'!I26-'BS (F4Q2022)'!I26</f>
        <v>0</v>
      </c>
      <c r="J26" s="101">
        <f>'BS (F1Q23)'!J26-'BS (F4Q2022)'!J26</f>
        <v>0</v>
      </c>
      <c r="K26" s="101">
        <f>'BS (F1Q23)'!K26-'BS (F4Q2022)'!K26</f>
        <v>0</v>
      </c>
      <c r="L26" s="101">
        <f>'BS (F1Q23)'!L26-'BS (F4Q2022)'!L26</f>
        <v>0</v>
      </c>
      <c r="M26" s="169">
        <f>'BS (F1Q23)'!M26-'BS (F4Q2022)'!M26</f>
        <v>0</v>
      </c>
      <c r="N26" s="101">
        <f>'BS (F1Q23)'!N26-'BS (F4Q2022)'!N26</f>
        <v>0</v>
      </c>
      <c r="O26" s="101">
        <f>'BS (F1Q23)'!O26-'BS (F4Q2022)'!O26</f>
        <v>0</v>
      </c>
      <c r="P26" s="101">
        <f>'BS (F1Q23)'!P26-'BS (F4Q2022)'!P26</f>
        <v>0</v>
      </c>
      <c r="Q26" s="101">
        <f>'BS (F1Q23)'!Q26-'BS (F4Q2022)'!Q26</f>
        <v>0</v>
      </c>
      <c r="R26" s="169">
        <f>'BS (F1Q23)'!R26-'BS (F4Q2022)'!R26</f>
        <v>0</v>
      </c>
      <c r="S26" s="101">
        <f>'BS (F1Q23)'!S26-'BS (F4Q2022)'!S26</f>
        <v>0</v>
      </c>
      <c r="T26" s="101">
        <f>'BS (F1Q23)'!T26-'BS (F4Q2022)'!T26</f>
        <v>0</v>
      </c>
      <c r="U26" s="101">
        <f>'BS (F1Q23)'!U26-'BS (F4Q2022)'!U26</f>
        <v>0</v>
      </c>
      <c r="V26" s="101">
        <f>'BS (F1Q23)'!V26-'BS (F4Q2022)'!V26</f>
        <v>0</v>
      </c>
      <c r="W26" s="169">
        <f>'BS (F1Q23)'!W26-'BS (F4Q2022)'!W26</f>
        <v>0</v>
      </c>
      <c r="X26" s="33">
        <f>'BS (F1Q23)'!X26-'BS (F4Q2022)'!X26</f>
        <v>16.782799999999952</v>
      </c>
      <c r="Y26" s="33">
        <f>'BS (F1Q23)'!Y26-'BS (F4Q2022)'!Y26</f>
        <v>16.715668800000003</v>
      </c>
      <c r="Z26" s="33">
        <f>'BS (F1Q23)'!Z26-'BS (F4Q2022)'!Z26</f>
        <v>16.648806124799876</v>
      </c>
      <c r="AA26" s="33">
        <f>'BS (F1Q23)'!AA26-'BS (F4Q2022)'!AA26</f>
        <v>16.582210900300652</v>
      </c>
      <c r="AB26" s="169">
        <f>'BS (F1Q23)'!AB26-'BS (F4Q2022)'!AB26</f>
        <v>16.582210900300652</v>
      </c>
      <c r="AC26" s="33">
        <f>'BS (F1Q23)'!AC26-'BS (F4Q2022)'!AC26</f>
        <v>16.515882056699638</v>
      </c>
      <c r="AD26" s="33">
        <f>'BS (F1Q23)'!AD26-'BS (F4Q2022)'!AD26</f>
        <v>16.449818528472633</v>
      </c>
      <c r="AE26" s="33">
        <f>'BS (F1Q23)'!AE26-'BS (F4Q2022)'!AE26</f>
        <v>16.384019254358691</v>
      </c>
      <c r="AF26" s="33">
        <f>'BS (F1Q23)'!AF26-'BS (F4Q2022)'!AF26</f>
        <v>16.31848317734125</v>
      </c>
      <c r="AG26" s="169">
        <f>'BS (F1Q23)'!AG26-'BS (F4Q2022)'!AG26</f>
        <v>16.31848317734125</v>
      </c>
      <c r="AH26" s="33">
        <f>'BS (F1Q23)'!AH26-'BS (F4Q2022)'!AH26</f>
        <v>16.253209244631762</v>
      </c>
      <c r="AI26" s="33">
        <f>'BS (F1Q23)'!AI26-'BS (F4Q2022)'!AI26</f>
        <v>16.188196407653095</v>
      </c>
      <c r="AJ26" s="33">
        <f>'BS (F1Q23)'!AJ26-'BS (F4Q2022)'!AJ26</f>
        <v>16.123443622022478</v>
      </c>
      <c r="AK26" s="33">
        <f>'BS (F1Q23)'!AK26-'BS (F4Q2022)'!AK26</f>
        <v>16.05894984753445</v>
      </c>
      <c r="AL26" s="169">
        <f>'BS (F1Q23)'!AL26-'BS (F4Q2022)'!AL26</f>
        <v>16.05894984753445</v>
      </c>
      <c r="AM26" s="33">
        <f>'BS (F1Q23)'!AM26-'BS (F4Q2022)'!AM26</f>
        <v>15.99471404814426</v>
      </c>
      <c r="AN26" s="33">
        <f>'BS (F1Q23)'!AN26-'BS (F4Q2022)'!AN26</f>
        <v>15.930735191951726</v>
      </c>
      <c r="AO26" s="33">
        <f>'BS (F1Q23)'!AO26-'BS (F4Q2022)'!AO26</f>
        <v>15.867012251183951</v>
      </c>
      <c r="AP26" s="33">
        <f>'BS (F1Q23)'!AP26-'BS (F4Q2022)'!AP26</f>
        <v>15.803544202179182</v>
      </c>
      <c r="AQ26" s="169">
        <f>'BS (F1Q23)'!AQ26-'BS (F4Q2022)'!AQ26</f>
        <v>15.803544202179182</v>
      </c>
      <c r="AR26" s="33">
        <f>'BS (F1Q23)'!AR26-'BS (F4Q2022)'!AR26</f>
        <v>15.74033002537044</v>
      </c>
      <c r="AS26" s="33">
        <f>'BS (F1Q23)'!AS26-'BS (F4Q2022)'!AS26</f>
        <v>15.677368705268918</v>
      </c>
      <c r="AT26" s="33">
        <f>'BS (F1Q23)'!AT26-'BS (F4Q2022)'!AT26</f>
        <v>15.614659230447842</v>
      </c>
      <c r="AU26" s="33">
        <f>'BS (F1Q23)'!AU26-'BS (F4Q2022)'!AU26</f>
        <v>15.552200593526095</v>
      </c>
      <c r="AV26" s="169">
        <f>'BS (F1Q23)'!AV26-'BS (F4Q2022)'!AV26</f>
        <v>15.552200593526095</v>
      </c>
    </row>
    <row r="27" spans="1:48" outlineLevel="1" x14ac:dyDescent="0.3">
      <c r="A27" s="161"/>
      <c r="B27" s="200" t="s">
        <v>233</v>
      </c>
      <c r="C27" s="201"/>
      <c r="D27" s="101">
        <f>'BS (F1Q23)'!D27-'BS (F4Q2022)'!D27</f>
        <v>0</v>
      </c>
      <c r="E27" s="101">
        <f>'BS (F1Q23)'!E27-'BS (F4Q2022)'!E27</f>
        <v>0</v>
      </c>
      <c r="F27" s="101">
        <f>'BS (F1Q23)'!F27-'BS (F4Q2022)'!F27</f>
        <v>0</v>
      </c>
      <c r="G27" s="101">
        <f>'BS (F1Q23)'!G27-'BS (F4Q2022)'!G27</f>
        <v>0</v>
      </c>
      <c r="H27" s="169">
        <f>'BS (F1Q23)'!H27-'BS (F4Q2022)'!H27</f>
        <v>0</v>
      </c>
      <c r="I27" s="101">
        <f>'BS (F1Q23)'!I27-'BS (F4Q2022)'!I27</f>
        <v>0</v>
      </c>
      <c r="J27" s="101">
        <f>'BS (F1Q23)'!J27-'BS (F4Q2022)'!J27</f>
        <v>0</v>
      </c>
      <c r="K27" s="101">
        <f>'BS (F1Q23)'!K27-'BS (F4Q2022)'!K27</f>
        <v>0</v>
      </c>
      <c r="L27" s="101">
        <f>'BS (F1Q23)'!L27-'BS (F4Q2022)'!L27</f>
        <v>0</v>
      </c>
      <c r="M27" s="169">
        <f>'BS (F1Q23)'!M27-'BS (F4Q2022)'!M27</f>
        <v>0</v>
      </c>
      <c r="N27" s="101">
        <f>'BS (F1Q23)'!N27-'BS (F4Q2022)'!N27</f>
        <v>0</v>
      </c>
      <c r="O27" s="101">
        <f>'BS (F1Q23)'!O27-'BS (F4Q2022)'!O27</f>
        <v>0</v>
      </c>
      <c r="P27" s="101">
        <f>'BS (F1Q23)'!P27-'BS (F4Q2022)'!P27</f>
        <v>0</v>
      </c>
      <c r="Q27" s="101">
        <f>'BS (F1Q23)'!Q27-'BS (F4Q2022)'!Q27</f>
        <v>0</v>
      </c>
      <c r="R27" s="169">
        <f>'BS (F1Q23)'!R27-'BS (F4Q2022)'!R27</f>
        <v>0</v>
      </c>
      <c r="S27" s="101">
        <f>'BS (F1Q23)'!S27-'BS (F4Q2022)'!S27</f>
        <v>0</v>
      </c>
      <c r="T27" s="101">
        <f>'BS (F1Q23)'!T27-'BS (F4Q2022)'!T27</f>
        <v>0</v>
      </c>
      <c r="U27" s="101">
        <f>'BS (F1Q23)'!U27-'BS (F4Q2022)'!U27</f>
        <v>0</v>
      </c>
      <c r="V27" s="101">
        <f>'BS (F1Q23)'!V27-'BS (F4Q2022)'!V27</f>
        <v>0</v>
      </c>
      <c r="W27" s="169">
        <f>'BS (F1Q23)'!W27-'BS (F4Q2022)'!W27</f>
        <v>0</v>
      </c>
      <c r="X27" s="33">
        <f>'BS (F1Q23)'!X27-'BS (F4Q2022)'!X27</f>
        <v>2.5299999999997453</v>
      </c>
      <c r="Y27" s="33">
        <f>'BS (F1Q23)'!Y27-'BS (F4Q2022)'!Y27</f>
        <v>2.1504999999999654</v>
      </c>
      <c r="Z27" s="33">
        <f>'BS (F1Q23)'!Z27-'BS (F4Q2022)'!Z27</f>
        <v>2.1289949999998043</v>
      </c>
      <c r="AA27" s="33">
        <f>'BS (F1Q23)'!AA27-'BS (F4Q2022)'!AA27</f>
        <v>2.1077050499998222</v>
      </c>
      <c r="AB27" s="169">
        <f>'BS (F1Q23)'!AB27-'BS (F4Q2022)'!AB27</f>
        <v>2.1077050499998222</v>
      </c>
      <c r="AC27" s="33">
        <f>'BS (F1Q23)'!AC27-'BS (F4Q2022)'!AC27</f>
        <v>2.7400165650001327</v>
      </c>
      <c r="AD27" s="33">
        <f>'BS (F1Q23)'!AD27-'BS (F4Q2022)'!AD27</f>
        <v>2.32901408025009</v>
      </c>
      <c r="AE27" s="33">
        <f>'BS (F1Q23)'!AE27-'BS (F4Q2022)'!AE27</f>
        <v>2.3057239394474891</v>
      </c>
      <c r="AF27" s="33">
        <f>'BS (F1Q23)'!AF27-'BS (F4Q2022)'!AF27</f>
        <v>2.2826667000529142</v>
      </c>
      <c r="AG27" s="169">
        <f>'BS (F1Q23)'!AG27-'BS (F4Q2022)'!AG27</f>
        <v>2.2826667000529142</v>
      </c>
      <c r="AH27" s="33">
        <f>'BS (F1Q23)'!AH27-'BS (F4Q2022)'!AH27</f>
        <v>2.9674667100689476</v>
      </c>
      <c r="AI27" s="33">
        <f>'BS (F1Q23)'!AI27-'BS (F4Q2022)'!AI27</f>
        <v>2.522346703558469</v>
      </c>
      <c r="AJ27" s="33">
        <f>'BS (F1Q23)'!AJ27-'BS (F4Q2022)'!AJ27</f>
        <v>2.4971232365228389</v>
      </c>
      <c r="AK27" s="33">
        <f>'BS (F1Q23)'!AK27-'BS (F4Q2022)'!AK27</f>
        <v>2.4721520041575786</v>
      </c>
      <c r="AL27" s="169">
        <f>'BS (F1Q23)'!AL27-'BS (F4Q2022)'!AL27</f>
        <v>2.4721520041575786</v>
      </c>
      <c r="AM27" s="33">
        <f>'BS (F1Q23)'!AM27-'BS (F4Q2022)'!AM27</f>
        <v>3.2137976054045794</v>
      </c>
      <c r="AN27" s="33">
        <f>'BS (F1Q23)'!AN27-'BS (F4Q2022)'!AN27</f>
        <v>2.7317279645935741</v>
      </c>
      <c r="AO27" s="33">
        <f>'BS (F1Q23)'!AO27-'BS (F4Q2022)'!AO27</f>
        <v>2.7044106849475611</v>
      </c>
      <c r="AP27" s="33">
        <f>'BS (F1Q23)'!AP27-'BS (F4Q2022)'!AP27</f>
        <v>2.6773665780979172</v>
      </c>
      <c r="AQ27" s="169">
        <f>'BS (F1Q23)'!AQ27-'BS (F4Q2022)'!AQ27</f>
        <v>2.6773665780979172</v>
      </c>
      <c r="AR27" s="33">
        <f>'BS (F1Q23)'!AR27-'BS (F4Q2022)'!AR27</f>
        <v>3.480576551527065</v>
      </c>
      <c r="AS27" s="33">
        <f>'BS (F1Q23)'!AS27-'BS (F4Q2022)'!AS27</f>
        <v>2.9584900687978006</v>
      </c>
      <c r="AT27" s="33">
        <f>'BS (F1Q23)'!AT27-'BS (F4Q2022)'!AT27</f>
        <v>2.9289051681098499</v>
      </c>
      <c r="AU27" s="33">
        <f>'BS (F1Q23)'!AU27-'BS (F4Q2022)'!AU27</f>
        <v>2.8996161164286605</v>
      </c>
      <c r="AV27" s="169">
        <f>'BS (F1Q23)'!AV27-'BS (F4Q2022)'!AV27</f>
        <v>2.8996161164286605</v>
      </c>
    </row>
    <row r="28" spans="1:48" outlineLevel="1" x14ac:dyDescent="0.3">
      <c r="A28" s="161"/>
      <c r="B28" s="200" t="s">
        <v>234</v>
      </c>
      <c r="C28" s="201"/>
      <c r="D28" s="101">
        <f>'BS (F1Q23)'!D28-'BS (F4Q2022)'!D28</f>
        <v>0</v>
      </c>
      <c r="E28" s="101">
        <f>'BS (F1Q23)'!E28-'BS (F4Q2022)'!E28</f>
        <v>0</v>
      </c>
      <c r="F28" s="101">
        <f>'BS (F1Q23)'!F28-'BS (F4Q2022)'!F28</f>
        <v>0</v>
      </c>
      <c r="G28" s="101">
        <f>'BS (F1Q23)'!G28-'BS (F4Q2022)'!G28</f>
        <v>0</v>
      </c>
      <c r="H28" s="169">
        <f>'BS (F1Q23)'!H28-'BS (F4Q2022)'!H28</f>
        <v>0</v>
      </c>
      <c r="I28" s="101">
        <f>'BS (F1Q23)'!I28-'BS (F4Q2022)'!I28</f>
        <v>0</v>
      </c>
      <c r="J28" s="101">
        <f>'BS (F1Q23)'!J28-'BS (F4Q2022)'!J28</f>
        <v>0</v>
      </c>
      <c r="K28" s="101">
        <f>'BS (F1Q23)'!K28-'BS (F4Q2022)'!K28</f>
        <v>0</v>
      </c>
      <c r="L28" s="101">
        <f>'BS (F1Q23)'!L28-'BS (F4Q2022)'!L28</f>
        <v>0</v>
      </c>
      <c r="M28" s="169">
        <f>'BS (F1Q23)'!M28-'BS (F4Q2022)'!M28</f>
        <v>0</v>
      </c>
      <c r="N28" s="101">
        <f>'BS (F1Q23)'!N28-'BS (F4Q2022)'!N28</f>
        <v>0</v>
      </c>
      <c r="O28" s="101">
        <f>'BS (F1Q23)'!O28-'BS (F4Q2022)'!O28</f>
        <v>0</v>
      </c>
      <c r="P28" s="101">
        <f>'BS (F1Q23)'!P28-'BS (F4Q2022)'!P28</f>
        <v>0</v>
      </c>
      <c r="Q28" s="101">
        <f>'BS (F1Q23)'!Q28-'BS (F4Q2022)'!Q28</f>
        <v>0</v>
      </c>
      <c r="R28" s="169">
        <f>'BS (F1Q23)'!R28-'BS (F4Q2022)'!R28</f>
        <v>0</v>
      </c>
      <c r="S28" s="101">
        <f>'BS (F1Q23)'!S28-'BS (F4Q2022)'!S28</f>
        <v>0</v>
      </c>
      <c r="T28" s="101">
        <f>'BS (F1Q23)'!T28-'BS (F4Q2022)'!T28</f>
        <v>0</v>
      </c>
      <c r="U28" s="101">
        <f>'BS (F1Q23)'!U28-'BS (F4Q2022)'!U28</f>
        <v>0</v>
      </c>
      <c r="V28" s="101">
        <f>'BS (F1Q23)'!V28-'BS (F4Q2022)'!V28</f>
        <v>0</v>
      </c>
      <c r="W28" s="169">
        <f>'BS (F1Q23)'!W28-'BS (F4Q2022)'!W28</f>
        <v>0</v>
      </c>
      <c r="X28" s="33">
        <f>'BS (F1Q23)'!X28-'BS (F4Q2022)'!X28</f>
        <v>-174.70000000000005</v>
      </c>
      <c r="Y28" s="33">
        <f>'BS (F1Q23)'!Y28-'BS (F4Q2022)'!Y28</f>
        <v>-923.7</v>
      </c>
      <c r="Z28" s="33">
        <f>'BS (F1Q23)'!Z28-'BS (F4Q2022)'!Z28</f>
        <v>-911.00000000000023</v>
      </c>
      <c r="AA28" s="33">
        <f>'BS (F1Q23)'!AA28-'BS (F4Q2022)'!AA28</f>
        <v>-911.00000000000023</v>
      </c>
      <c r="AB28" s="169">
        <f>'BS (F1Q23)'!AB28-'BS (F4Q2022)'!AB28</f>
        <v>-911.00000000000023</v>
      </c>
      <c r="AC28" s="33">
        <f>'BS (F1Q23)'!AC28-'BS (F4Q2022)'!AC28</f>
        <v>-911.00000000000023</v>
      </c>
      <c r="AD28" s="33">
        <f>'BS (F1Q23)'!AD28-'BS (F4Q2022)'!AD28</f>
        <v>-923.70000000000027</v>
      </c>
      <c r="AE28" s="33">
        <f>'BS (F1Q23)'!AE28-'BS (F4Q2022)'!AE28</f>
        <v>-923.70000000000027</v>
      </c>
      <c r="AF28" s="33">
        <f>'BS (F1Q23)'!AF28-'BS (F4Q2022)'!AF28</f>
        <v>-923.70000000000027</v>
      </c>
      <c r="AG28" s="169">
        <f>'BS (F1Q23)'!AG28-'BS (F4Q2022)'!AG28</f>
        <v>-923.70000000000027</v>
      </c>
      <c r="AH28" s="33">
        <f>'BS (F1Q23)'!AH28-'BS (F4Q2022)'!AH28</f>
        <v>-923.7</v>
      </c>
      <c r="AI28" s="33">
        <f>'BS (F1Q23)'!AI28-'BS (F4Q2022)'!AI28</f>
        <v>-923.7</v>
      </c>
      <c r="AJ28" s="33">
        <f>'BS (F1Q23)'!AJ28-'BS (F4Q2022)'!AJ28</f>
        <v>76.300000000000182</v>
      </c>
      <c r="AK28" s="33">
        <f>'BS (F1Q23)'!AK28-'BS (F4Q2022)'!AK28</f>
        <v>76.300000000000182</v>
      </c>
      <c r="AL28" s="169">
        <f>'BS (F1Q23)'!AL28-'BS (F4Q2022)'!AL28</f>
        <v>76.300000000000182</v>
      </c>
      <c r="AM28" s="33">
        <f>'BS (F1Q23)'!AM28-'BS (F4Q2022)'!AM28</f>
        <v>76.300000000000182</v>
      </c>
      <c r="AN28" s="33">
        <f>'BS (F1Q23)'!AN28-'BS (F4Q2022)'!AN28</f>
        <v>-923.69999999999982</v>
      </c>
      <c r="AO28" s="33">
        <f>'BS (F1Q23)'!AO28-'BS (F4Q2022)'!AO28</f>
        <v>-923.69999999999982</v>
      </c>
      <c r="AP28" s="33">
        <f>'BS (F1Q23)'!AP28-'BS (F4Q2022)'!AP28</f>
        <v>-923.69999999999982</v>
      </c>
      <c r="AQ28" s="169">
        <f>'BS (F1Q23)'!AQ28-'BS (F4Q2022)'!AQ28</f>
        <v>-923.69999999999982</v>
      </c>
      <c r="AR28" s="33">
        <f>'BS (F1Q23)'!AR28-'BS (F4Q2022)'!AR28</f>
        <v>-923.69999999999982</v>
      </c>
      <c r="AS28" s="33">
        <f>'BS (F1Q23)'!AS28-'BS (F4Q2022)'!AS28</f>
        <v>-323.69999999999982</v>
      </c>
      <c r="AT28" s="33">
        <f>'BS (F1Q23)'!AT28-'BS (F4Q2022)'!AT28</f>
        <v>-323.69999999999982</v>
      </c>
      <c r="AU28" s="33">
        <f>'BS (F1Q23)'!AU28-'BS (F4Q2022)'!AU28</f>
        <v>-323.69999999999982</v>
      </c>
      <c r="AV28" s="169">
        <f>'BS (F1Q23)'!AV28-'BS (F4Q2022)'!AV28</f>
        <v>-323.69999999999982</v>
      </c>
    </row>
    <row r="29" spans="1:48" ht="16.2" outlineLevel="1" x14ac:dyDescent="0.45">
      <c r="A29" s="161"/>
      <c r="B29" s="200" t="s">
        <v>235</v>
      </c>
      <c r="C29" s="201"/>
      <c r="D29" s="112">
        <f>'BS (F1Q23)'!D29-'BS (F4Q2022)'!D29</f>
        <v>0</v>
      </c>
      <c r="E29" s="112">
        <f>'BS (F1Q23)'!E29-'BS (F4Q2022)'!E29</f>
        <v>0</v>
      </c>
      <c r="F29" s="112">
        <f>'BS (F1Q23)'!F29-'BS (F4Q2022)'!F29</f>
        <v>0</v>
      </c>
      <c r="G29" s="112">
        <f>'BS (F1Q23)'!G29-'BS (F4Q2022)'!G29</f>
        <v>0</v>
      </c>
      <c r="H29" s="262">
        <f>'BS (F1Q23)'!H29-'BS (F4Q2022)'!H29</f>
        <v>0</v>
      </c>
      <c r="I29" s="112">
        <f>'BS (F1Q23)'!I29-'BS (F4Q2022)'!I29</f>
        <v>0</v>
      </c>
      <c r="J29" s="112">
        <f>'BS (F1Q23)'!J29-'BS (F4Q2022)'!J29</f>
        <v>0</v>
      </c>
      <c r="K29" s="112">
        <f>'BS (F1Q23)'!K29-'BS (F4Q2022)'!K29</f>
        <v>0</v>
      </c>
      <c r="L29" s="112">
        <f>'BS (F1Q23)'!L29-'BS (F4Q2022)'!L29</f>
        <v>0</v>
      </c>
      <c r="M29" s="262">
        <f>'BS (F1Q23)'!M29-'BS (F4Q2022)'!M29</f>
        <v>0</v>
      </c>
      <c r="N29" s="112">
        <f>'BS (F1Q23)'!N29-'BS (F4Q2022)'!N29</f>
        <v>0</v>
      </c>
      <c r="O29" s="112">
        <f>'BS (F1Q23)'!O29-'BS (F4Q2022)'!O29</f>
        <v>0</v>
      </c>
      <c r="P29" s="112">
        <f>'BS (F1Q23)'!P29-'BS (F4Q2022)'!P29</f>
        <v>0</v>
      </c>
      <c r="Q29" s="112">
        <f>'BS (F1Q23)'!Q29-'BS (F4Q2022)'!Q29</f>
        <v>0</v>
      </c>
      <c r="R29" s="262">
        <f>'BS (F1Q23)'!R29-'BS (F4Q2022)'!R29</f>
        <v>0</v>
      </c>
      <c r="S29" s="112">
        <f>'BS (F1Q23)'!S29-'BS (F4Q2022)'!S29</f>
        <v>0</v>
      </c>
      <c r="T29" s="112">
        <f>'BS (F1Q23)'!T29-'BS (F4Q2022)'!T29</f>
        <v>0</v>
      </c>
      <c r="U29" s="112">
        <f>'BS (F1Q23)'!U29-'BS (F4Q2022)'!U29</f>
        <v>0</v>
      </c>
      <c r="V29" s="112">
        <f>'BS (F1Q23)'!V29-'BS (F4Q2022)'!V29</f>
        <v>0</v>
      </c>
      <c r="W29" s="262">
        <f>'BS (F1Q23)'!W29-'BS (F4Q2022)'!W29</f>
        <v>0</v>
      </c>
      <c r="X29" s="32">
        <f>'BS (F1Q23)'!X29-'BS (F4Q2022)'!X29</f>
        <v>0</v>
      </c>
      <c r="Y29" s="32">
        <f>'BS (F1Q23)'!Y29-'BS (F4Q2022)'!Y29</f>
        <v>0</v>
      </c>
      <c r="Z29" s="32">
        <f>'BS (F1Q23)'!Z29-'BS (F4Q2022)'!Z29</f>
        <v>0</v>
      </c>
      <c r="AA29" s="32">
        <f>'BS (F1Q23)'!AA29-'BS (F4Q2022)'!AA29</f>
        <v>0</v>
      </c>
      <c r="AB29" s="262">
        <f>'BS (F1Q23)'!AB29-'BS (F4Q2022)'!AB29</f>
        <v>0</v>
      </c>
      <c r="AC29" s="32">
        <f>'BS (F1Q23)'!AC29-'BS (F4Q2022)'!AC29</f>
        <v>0</v>
      </c>
      <c r="AD29" s="32">
        <f>'BS (F1Q23)'!AD29-'BS (F4Q2022)'!AD29</f>
        <v>0</v>
      </c>
      <c r="AE29" s="32">
        <f>'BS (F1Q23)'!AE29-'BS (F4Q2022)'!AE29</f>
        <v>0</v>
      </c>
      <c r="AF29" s="32">
        <f>'BS (F1Q23)'!AF29-'BS (F4Q2022)'!AF29</f>
        <v>0</v>
      </c>
      <c r="AG29" s="262">
        <f>'BS (F1Q23)'!AG29-'BS (F4Q2022)'!AG29</f>
        <v>0</v>
      </c>
      <c r="AH29" s="32">
        <f>'BS (F1Q23)'!AH29-'BS (F4Q2022)'!AH29</f>
        <v>0</v>
      </c>
      <c r="AI29" s="32">
        <f>'BS (F1Q23)'!AI29-'BS (F4Q2022)'!AI29</f>
        <v>0</v>
      </c>
      <c r="AJ29" s="32">
        <f>'BS (F1Q23)'!AJ29-'BS (F4Q2022)'!AJ29</f>
        <v>0</v>
      </c>
      <c r="AK29" s="32">
        <f>'BS (F1Q23)'!AK29-'BS (F4Q2022)'!AK29</f>
        <v>0</v>
      </c>
      <c r="AL29" s="262">
        <f>'BS (F1Q23)'!AL29-'BS (F4Q2022)'!AL29</f>
        <v>0</v>
      </c>
      <c r="AM29" s="32">
        <f>'BS (F1Q23)'!AM29-'BS (F4Q2022)'!AM29</f>
        <v>0</v>
      </c>
      <c r="AN29" s="32">
        <f>'BS (F1Q23)'!AN29-'BS (F4Q2022)'!AN29</f>
        <v>0</v>
      </c>
      <c r="AO29" s="32">
        <f>'BS (F1Q23)'!AO29-'BS (F4Q2022)'!AO29</f>
        <v>0</v>
      </c>
      <c r="AP29" s="32">
        <f>'BS (F1Q23)'!AP29-'BS (F4Q2022)'!AP29</f>
        <v>0</v>
      </c>
      <c r="AQ29" s="262">
        <f>'BS (F1Q23)'!AQ29-'BS (F4Q2022)'!AQ29</f>
        <v>0</v>
      </c>
      <c r="AR29" s="32">
        <f>'BS (F1Q23)'!AR29-'BS (F4Q2022)'!AR29</f>
        <v>0</v>
      </c>
      <c r="AS29" s="32">
        <f>'BS (F1Q23)'!AS29-'BS (F4Q2022)'!AS29</f>
        <v>0</v>
      </c>
      <c r="AT29" s="32">
        <f>'BS (F1Q23)'!AT29-'BS (F4Q2022)'!AT29</f>
        <v>0</v>
      </c>
      <c r="AU29" s="32">
        <f>'BS (F1Q23)'!AU29-'BS (F4Q2022)'!AU29</f>
        <v>0</v>
      </c>
      <c r="AV29" s="262">
        <f>'BS (F1Q23)'!AV29-'BS (F4Q2022)'!AV29</f>
        <v>0</v>
      </c>
    </row>
    <row r="30" spans="1:48" outlineLevel="1" x14ac:dyDescent="0.3">
      <c r="A30" s="161"/>
      <c r="B30" s="205" t="s">
        <v>236</v>
      </c>
      <c r="C30" s="201"/>
      <c r="D30" s="116">
        <f>'BS (F1Q23)'!D30-'BS (F4Q2022)'!D30</f>
        <v>0</v>
      </c>
      <c r="E30" s="116">
        <f>'BS (F1Q23)'!E30-'BS (F4Q2022)'!E30</f>
        <v>0</v>
      </c>
      <c r="F30" s="116">
        <f>'BS (F1Q23)'!F30-'BS (F4Q2022)'!F30</f>
        <v>0</v>
      </c>
      <c r="G30" s="116">
        <f>'BS (F1Q23)'!G30-'BS (F4Q2022)'!G30</f>
        <v>0</v>
      </c>
      <c r="H30" s="150">
        <f>'BS (F1Q23)'!H30-'BS (F4Q2022)'!H30</f>
        <v>0</v>
      </c>
      <c r="I30" s="116">
        <f>'BS (F1Q23)'!I30-'BS (F4Q2022)'!I30</f>
        <v>0</v>
      </c>
      <c r="J30" s="116">
        <f>'BS (F1Q23)'!J30-'BS (F4Q2022)'!J30</f>
        <v>0</v>
      </c>
      <c r="K30" s="116">
        <f>'BS (F1Q23)'!K30-'BS (F4Q2022)'!K30</f>
        <v>0</v>
      </c>
      <c r="L30" s="116">
        <f>'BS (F1Q23)'!L30-'BS (F4Q2022)'!L30</f>
        <v>0</v>
      </c>
      <c r="M30" s="150">
        <f>'BS (F1Q23)'!M30-'BS (F4Q2022)'!M30</f>
        <v>0</v>
      </c>
      <c r="N30" s="116">
        <f>'BS (F1Q23)'!N30-'BS (F4Q2022)'!N30</f>
        <v>0</v>
      </c>
      <c r="O30" s="116">
        <f>'BS (F1Q23)'!O30-'BS (F4Q2022)'!O30</f>
        <v>0</v>
      </c>
      <c r="P30" s="116">
        <f>'BS (F1Q23)'!P30-'BS (F4Q2022)'!P30</f>
        <v>0</v>
      </c>
      <c r="Q30" s="116">
        <f>'BS (F1Q23)'!Q30-'BS (F4Q2022)'!Q30</f>
        <v>0</v>
      </c>
      <c r="R30" s="150">
        <f>'BS (F1Q23)'!R30-'BS (F4Q2022)'!R30</f>
        <v>0</v>
      </c>
      <c r="S30" s="116">
        <f>'BS (F1Q23)'!S30-'BS (F4Q2022)'!S30</f>
        <v>0</v>
      </c>
      <c r="T30" s="116">
        <f>'BS (F1Q23)'!T30-'BS (F4Q2022)'!T30</f>
        <v>0</v>
      </c>
      <c r="U30" s="116">
        <f>'BS (F1Q23)'!U30-'BS (F4Q2022)'!U30</f>
        <v>0</v>
      </c>
      <c r="V30" s="116">
        <f>'BS (F1Q23)'!V30-'BS (F4Q2022)'!V30</f>
        <v>0</v>
      </c>
      <c r="W30" s="150">
        <f>'BS (F1Q23)'!W30-'BS (F4Q2022)'!W30</f>
        <v>0</v>
      </c>
      <c r="X30" s="116">
        <f>'BS (F1Q23)'!X30-'BS (F4Q2022)'!X30</f>
        <v>-363.67363793686127</v>
      </c>
      <c r="Y30" s="116">
        <f>'BS (F1Q23)'!Y30-'BS (F4Q2022)'!Y30</f>
        <v>-1029.5848402539759</v>
      </c>
      <c r="Z30" s="116">
        <f>'BS (F1Q23)'!Z30-'BS (F4Q2022)'!Z30</f>
        <v>-1075.0080652998513</v>
      </c>
      <c r="AA30" s="116">
        <f>'BS (F1Q23)'!AA30-'BS (F4Q2022)'!AA30</f>
        <v>-1093.4808713446346</v>
      </c>
      <c r="AB30" s="150">
        <f>'BS (F1Q23)'!AB30-'BS (F4Q2022)'!AB30</f>
        <v>-1093.4808713446346</v>
      </c>
      <c r="AC30" s="116">
        <f>'BS (F1Q23)'!AC30-'BS (F4Q2022)'!AC30</f>
        <v>-1061.3005078486876</v>
      </c>
      <c r="AD30" s="116">
        <f>'BS (F1Q23)'!AD30-'BS (F4Q2022)'!AD30</f>
        <v>-1022.0633933115487</v>
      </c>
      <c r="AE30" s="116">
        <f>'BS (F1Q23)'!AE30-'BS (F4Q2022)'!AE30</f>
        <v>-1090.9949349658573</v>
      </c>
      <c r="AF30" s="116">
        <f>'BS (F1Q23)'!AF30-'BS (F4Q2022)'!AF30</f>
        <v>-1113.9990671742489</v>
      </c>
      <c r="AG30" s="150">
        <f>'BS (F1Q23)'!AG30-'BS (F4Q2022)'!AG30</f>
        <v>-1113.9990671742489</v>
      </c>
      <c r="AH30" s="116">
        <f>'BS (F1Q23)'!AH30-'BS (F4Q2022)'!AH30</f>
        <v>-1086.1430190939354</v>
      </c>
      <c r="AI30" s="116">
        <f>'BS (F1Q23)'!AI30-'BS (F4Q2022)'!AI30</f>
        <v>-1016.7443439481758</v>
      </c>
      <c r="AJ30" s="116">
        <f>'BS (F1Q23)'!AJ30-'BS (F4Q2022)'!AJ30</f>
        <v>-97.655010482987564</v>
      </c>
      <c r="AK30" s="116">
        <f>'BS (F1Q23)'!AK30-'BS (F4Q2022)'!AK30</f>
        <v>-124.2459216576317</v>
      </c>
      <c r="AL30" s="150">
        <f>'BS (F1Q23)'!AL30-'BS (F4Q2022)'!AL30</f>
        <v>-124.2459216576317</v>
      </c>
      <c r="AM30" s="116">
        <f>'BS (F1Q23)'!AM30-'BS (F4Q2022)'!AM30</f>
        <v>-104.41524223180022</v>
      </c>
      <c r="AN30" s="116">
        <f>'BS (F1Q23)'!AN30-'BS (F4Q2022)'!AN30</f>
        <v>-1011.9457120675143</v>
      </c>
      <c r="AO30" s="116">
        <f>'BS (F1Q23)'!AO30-'BS (F4Q2022)'!AO30</f>
        <v>-1101.9824709513614</v>
      </c>
      <c r="AP30" s="116">
        <f>'BS (F1Q23)'!AP30-'BS (F4Q2022)'!AP30</f>
        <v>-1130.2636154898883</v>
      </c>
      <c r="AQ30" s="150">
        <f>'BS (F1Q23)'!AQ30-'BS (F4Q2022)'!AQ30</f>
        <v>-1130.2636154898883</v>
      </c>
      <c r="AR30" s="116">
        <f>'BS (F1Q23)'!AR30-'BS (F4Q2022)'!AR30</f>
        <v>-1096.6144980197114</v>
      </c>
      <c r="AS30" s="116">
        <f>'BS (F1Q23)'!AS30-'BS (F4Q2022)'!AS30</f>
        <v>-408.71913036875412</v>
      </c>
      <c r="AT30" s="116">
        <f>'BS (F1Q23)'!AT30-'BS (F4Q2022)'!AT30</f>
        <v>-505.11878251169401</v>
      </c>
      <c r="AU30" s="116">
        <f>'BS (F1Q23)'!AU30-'BS (F4Q2022)'!AU30</f>
        <v>-535.63872372142032</v>
      </c>
      <c r="AV30" s="150">
        <f>'BS (F1Q23)'!AV30-'BS (F4Q2022)'!AV30</f>
        <v>-535.63872372142032</v>
      </c>
    </row>
    <row r="31" spans="1:48" outlineLevel="1" x14ac:dyDescent="0.3">
      <c r="A31" s="161"/>
      <c r="B31" s="200" t="s">
        <v>237</v>
      </c>
      <c r="C31" s="201"/>
      <c r="D31" s="101">
        <f>'BS (F1Q23)'!D31-'BS (F4Q2022)'!D31</f>
        <v>0</v>
      </c>
      <c r="E31" s="101">
        <f>'BS (F1Q23)'!E31-'BS (F4Q2022)'!E31</f>
        <v>0</v>
      </c>
      <c r="F31" s="101">
        <f>'BS (F1Q23)'!F31-'BS (F4Q2022)'!F31</f>
        <v>0</v>
      </c>
      <c r="G31" s="101">
        <f>'BS (F1Q23)'!G31-'BS (F4Q2022)'!G31</f>
        <v>0</v>
      </c>
      <c r="H31" s="169">
        <f>'BS (F1Q23)'!H31-'BS (F4Q2022)'!H31</f>
        <v>0</v>
      </c>
      <c r="I31" s="101">
        <f>'BS (F1Q23)'!I31-'BS (F4Q2022)'!I31</f>
        <v>0</v>
      </c>
      <c r="J31" s="101">
        <f>'BS (F1Q23)'!J31-'BS (F4Q2022)'!J31</f>
        <v>0</v>
      </c>
      <c r="K31" s="101">
        <f>'BS (F1Q23)'!K31-'BS (F4Q2022)'!K31</f>
        <v>0</v>
      </c>
      <c r="L31" s="101">
        <f>'BS (F1Q23)'!L31-'BS (F4Q2022)'!L31</f>
        <v>0</v>
      </c>
      <c r="M31" s="169">
        <f>'BS (F1Q23)'!M31-'BS (F4Q2022)'!M31</f>
        <v>0</v>
      </c>
      <c r="N31" s="101">
        <f>'BS (F1Q23)'!N31-'BS (F4Q2022)'!N31</f>
        <v>0</v>
      </c>
      <c r="O31" s="101">
        <f>'BS (F1Q23)'!O31-'BS (F4Q2022)'!O31</f>
        <v>0</v>
      </c>
      <c r="P31" s="101">
        <f>'BS (F1Q23)'!P31-'BS (F4Q2022)'!P31</f>
        <v>0</v>
      </c>
      <c r="Q31" s="101">
        <f>'BS (F1Q23)'!Q31-'BS (F4Q2022)'!Q31</f>
        <v>0</v>
      </c>
      <c r="R31" s="169">
        <f>'BS (F1Q23)'!R31-'BS (F4Q2022)'!R31</f>
        <v>0</v>
      </c>
      <c r="S31" s="101">
        <f>'BS (F1Q23)'!S31-'BS (F4Q2022)'!S31</f>
        <v>0</v>
      </c>
      <c r="T31" s="101">
        <f>'BS (F1Q23)'!T31-'BS (F4Q2022)'!T31</f>
        <v>0</v>
      </c>
      <c r="U31" s="101">
        <f>'BS (F1Q23)'!U31-'BS (F4Q2022)'!U31</f>
        <v>0</v>
      </c>
      <c r="V31" s="101">
        <f>'BS (F1Q23)'!V31-'BS (F4Q2022)'!V31</f>
        <v>0</v>
      </c>
      <c r="W31" s="169">
        <f>'BS (F1Q23)'!W31-'BS (F4Q2022)'!W31</f>
        <v>0</v>
      </c>
      <c r="X31" s="33">
        <f>'BS (F1Q23)'!X31-'BS (F4Q2022)'!X31</f>
        <v>56.800000000001091</v>
      </c>
      <c r="Y31" s="33">
        <f>'BS (F1Q23)'!Y31-'BS (F4Q2022)'!Y31</f>
        <v>1306.8000000000011</v>
      </c>
      <c r="Z31" s="33">
        <f>'BS (F1Q23)'!Z31-'BS (F4Q2022)'!Z31</f>
        <v>1294.1000000000004</v>
      </c>
      <c r="AA31" s="33">
        <f>'BS (F1Q23)'!AA31-'BS (F4Q2022)'!AA31</f>
        <v>1294.1000000000004</v>
      </c>
      <c r="AB31" s="169">
        <f>'BS (F1Q23)'!AB31-'BS (F4Q2022)'!AB31</f>
        <v>1294.1000000000004</v>
      </c>
      <c r="AC31" s="33">
        <f>'BS (F1Q23)'!AC31-'BS (F4Q2022)'!AC31</f>
        <v>1294.1000000000004</v>
      </c>
      <c r="AD31" s="33">
        <f>'BS (F1Q23)'!AD31-'BS (F4Q2022)'!AD31</f>
        <v>1307.1000000000004</v>
      </c>
      <c r="AE31" s="33">
        <f>'BS (F1Q23)'!AE31-'BS (F4Q2022)'!AE31</f>
        <v>1307.1000000000004</v>
      </c>
      <c r="AF31" s="33">
        <f>'BS (F1Q23)'!AF31-'BS (F4Q2022)'!AF31</f>
        <v>1407.1000000000004</v>
      </c>
      <c r="AG31" s="169">
        <f>'BS (F1Q23)'!AG31-'BS (F4Q2022)'!AG31</f>
        <v>1407.1000000000004</v>
      </c>
      <c r="AH31" s="33">
        <f>'BS (F1Q23)'!AH31-'BS (F4Q2022)'!AH31</f>
        <v>1407.1000000000004</v>
      </c>
      <c r="AI31" s="33">
        <f>'BS (F1Q23)'!AI31-'BS (F4Q2022)'!AI31</f>
        <v>1407.1000000000004</v>
      </c>
      <c r="AJ31" s="33">
        <f>'BS (F1Q23)'!AJ31-'BS (F4Q2022)'!AJ31</f>
        <v>2069.7188026848235</v>
      </c>
      <c r="AK31" s="33">
        <f>'BS (F1Q23)'!AK31-'BS (F4Q2022)'!AK31</f>
        <v>2069.7188026848235</v>
      </c>
      <c r="AL31" s="169">
        <f>'BS (F1Q23)'!AL31-'BS (F4Q2022)'!AL31</f>
        <v>2069.7188026848235</v>
      </c>
      <c r="AM31" s="33">
        <f>'BS (F1Q23)'!AM31-'BS (F4Q2022)'!AM31</f>
        <v>2069.7188026848235</v>
      </c>
      <c r="AN31" s="33">
        <f>'BS (F1Q23)'!AN31-'BS (F4Q2022)'!AN31</f>
        <v>2069.7188026848235</v>
      </c>
      <c r="AO31" s="33">
        <f>'BS (F1Q23)'!AO31-'BS (F4Q2022)'!AO31</f>
        <v>2069.7188026848235</v>
      </c>
      <c r="AP31" s="33">
        <f>'BS (F1Q23)'!AP31-'BS (F4Q2022)'!AP31</f>
        <v>2069.7188026848235</v>
      </c>
      <c r="AQ31" s="169">
        <f>'BS (F1Q23)'!AQ31-'BS (F4Q2022)'!AQ31</f>
        <v>2069.7188026848235</v>
      </c>
      <c r="AR31" s="33">
        <f>'BS (F1Q23)'!AR31-'BS (F4Q2022)'!AR31</f>
        <v>2069.7188026848235</v>
      </c>
      <c r="AS31" s="33">
        <f>'BS (F1Q23)'!AS31-'BS (F4Q2022)'!AS31</f>
        <v>1469.7188026848235</v>
      </c>
      <c r="AT31" s="33">
        <f>'BS (F1Q23)'!AT31-'BS (F4Q2022)'!AT31</f>
        <v>1469.7188026848235</v>
      </c>
      <c r="AU31" s="33">
        <f>'BS (F1Q23)'!AU31-'BS (F4Q2022)'!AU31</f>
        <v>1469.7188026848235</v>
      </c>
      <c r="AV31" s="169">
        <f>'BS (F1Q23)'!AV31-'BS (F4Q2022)'!AV31</f>
        <v>1469.7188026848235</v>
      </c>
    </row>
    <row r="32" spans="1:48" outlineLevel="1" x14ac:dyDescent="0.3">
      <c r="A32" s="161"/>
      <c r="B32" s="200" t="s">
        <v>238</v>
      </c>
      <c r="C32" s="207"/>
      <c r="D32" s="101">
        <f>'BS (F1Q23)'!D32-'BS (F4Q2022)'!D32</f>
        <v>0</v>
      </c>
      <c r="E32" s="101">
        <f>'BS (F1Q23)'!E32-'BS (F4Q2022)'!E32</f>
        <v>0</v>
      </c>
      <c r="F32" s="101">
        <f>'BS (F1Q23)'!F32-'BS (F4Q2022)'!F32</f>
        <v>0</v>
      </c>
      <c r="G32" s="101">
        <f>'BS (F1Q23)'!G32-'BS (F4Q2022)'!G32</f>
        <v>0</v>
      </c>
      <c r="H32" s="169">
        <f>'BS (F1Q23)'!H32-'BS (F4Q2022)'!H32</f>
        <v>0</v>
      </c>
      <c r="I32" s="101">
        <f>'BS (F1Q23)'!I32-'BS (F4Q2022)'!I32</f>
        <v>0</v>
      </c>
      <c r="J32" s="101">
        <f>'BS (F1Q23)'!J32-'BS (F4Q2022)'!J32</f>
        <v>0</v>
      </c>
      <c r="K32" s="101">
        <f>'BS (F1Q23)'!K32-'BS (F4Q2022)'!K32</f>
        <v>0</v>
      </c>
      <c r="L32" s="101">
        <f>'BS (F1Q23)'!L32-'BS (F4Q2022)'!L32</f>
        <v>0</v>
      </c>
      <c r="M32" s="169">
        <f>'BS (F1Q23)'!M32-'BS (F4Q2022)'!M32</f>
        <v>0</v>
      </c>
      <c r="N32" s="101">
        <f>'BS (F1Q23)'!N32-'BS (F4Q2022)'!N32</f>
        <v>0</v>
      </c>
      <c r="O32" s="101">
        <f>'BS (F1Q23)'!O32-'BS (F4Q2022)'!O32</f>
        <v>0</v>
      </c>
      <c r="P32" s="101">
        <f>'BS (F1Q23)'!P32-'BS (F4Q2022)'!P32</f>
        <v>0</v>
      </c>
      <c r="Q32" s="101">
        <f>'BS (F1Q23)'!Q32-'BS (F4Q2022)'!Q32</f>
        <v>0</v>
      </c>
      <c r="R32" s="169">
        <f>'BS (F1Q23)'!R32-'BS (F4Q2022)'!R32</f>
        <v>0</v>
      </c>
      <c r="S32" s="101">
        <f>'BS (F1Q23)'!S32-'BS (F4Q2022)'!S32</f>
        <v>0</v>
      </c>
      <c r="T32" s="101">
        <f>'BS (F1Q23)'!T32-'BS (F4Q2022)'!T32</f>
        <v>0</v>
      </c>
      <c r="U32" s="101">
        <f>'BS (F1Q23)'!U32-'BS (F4Q2022)'!U32</f>
        <v>0</v>
      </c>
      <c r="V32" s="101">
        <f>'BS (F1Q23)'!V32-'BS (F4Q2022)'!V32</f>
        <v>0</v>
      </c>
      <c r="W32" s="169">
        <f>'BS (F1Q23)'!W32-'BS (F4Q2022)'!W32</f>
        <v>0</v>
      </c>
      <c r="X32" s="33">
        <f>'BS (F1Q23)'!X32-'BS (F4Q2022)'!X32</f>
        <v>150.26080000000002</v>
      </c>
      <c r="Y32" s="33">
        <f>'BS (F1Q23)'!Y32-'BS (F4Q2022)'!Y32</f>
        <v>149.65975679999974</v>
      </c>
      <c r="Z32" s="33">
        <f>'BS (F1Q23)'!Z32-'BS (F4Q2022)'!Z32</f>
        <v>149.06111777279966</v>
      </c>
      <c r="AA32" s="33">
        <f>'BS (F1Q23)'!AA32-'BS (F4Q2022)'!AA32</f>
        <v>148.46487330170839</v>
      </c>
      <c r="AB32" s="169">
        <f>'BS (F1Q23)'!AB32-'BS (F4Q2022)'!AB32</f>
        <v>148.46487330170839</v>
      </c>
      <c r="AC32" s="33">
        <f>'BS (F1Q23)'!AC32-'BS (F4Q2022)'!AC32</f>
        <v>147.87101380850163</v>
      </c>
      <c r="AD32" s="33">
        <f>'BS (F1Q23)'!AD32-'BS (F4Q2022)'!AD32</f>
        <v>147.27952975326752</v>
      </c>
      <c r="AE32" s="33">
        <f>'BS (F1Q23)'!AE32-'BS (F4Q2022)'!AE32</f>
        <v>146.69041163425481</v>
      </c>
      <c r="AF32" s="33">
        <f>'BS (F1Q23)'!AF32-'BS (F4Q2022)'!AF32</f>
        <v>146.1036499877182</v>
      </c>
      <c r="AG32" s="169">
        <f>'BS (F1Q23)'!AG32-'BS (F4Q2022)'!AG32</f>
        <v>146.1036499877182</v>
      </c>
      <c r="AH32" s="33">
        <f>'BS (F1Q23)'!AH32-'BS (F4Q2022)'!AH32</f>
        <v>145.51923538776737</v>
      </c>
      <c r="AI32" s="33">
        <f>'BS (F1Q23)'!AI32-'BS (F4Q2022)'!AI32</f>
        <v>144.93715844621693</v>
      </c>
      <c r="AJ32" s="33">
        <f>'BS (F1Q23)'!AJ32-'BS (F4Q2022)'!AJ32</f>
        <v>144.3574098124318</v>
      </c>
      <c r="AK32" s="33">
        <f>'BS (F1Q23)'!AK32-'BS (F4Q2022)'!AK32</f>
        <v>143.77998017318259</v>
      </c>
      <c r="AL32" s="169">
        <f>'BS (F1Q23)'!AL32-'BS (F4Q2022)'!AL32</f>
        <v>143.77998017318259</v>
      </c>
      <c r="AM32" s="33">
        <f>'BS (F1Q23)'!AM32-'BS (F4Q2022)'!AM32</f>
        <v>143.20486025249011</v>
      </c>
      <c r="AN32" s="33">
        <f>'BS (F1Q23)'!AN32-'BS (F4Q2022)'!AN32</f>
        <v>142.63204081148069</v>
      </c>
      <c r="AO32" s="33">
        <f>'BS (F1Q23)'!AO32-'BS (F4Q2022)'!AO32</f>
        <v>142.06151264823438</v>
      </c>
      <c r="AP32" s="33">
        <f>'BS (F1Q23)'!AP32-'BS (F4Q2022)'!AP32</f>
        <v>141.4932665976412</v>
      </c>
      <c r="AQ32" s="169">
        <f>'BS (F1Q23)'!AQ32-'BS (F4Q2022)'!AQ32</f>
        <v>141.4932665976412</v>
      </c>
      <c r="AR32" s="33">
        <f>'BS (F1Q23)'!AR32-'BS (F4Q2022)'!AR32</f>
        <v>140.92729353125105</v>
      </c>
      <c r="AS32" s="33">
        <f>'BS (F1Q23)'!AS32-'BS (F4Q2022)'!AS32</f>
        <v>140.36358435712646</v>
      </c>
      <c r="AT32" s="33">
        <f>'BS (F1Q23)'!AT32-'BS (F4Q2022)'!AT32</f>
        <v>139.80213001969787</v>
      </c>
      <c r="AU32" s="33">
        <f>'BS (F1Q23)'!AU32-'BS (F4Q2022)'!AU32</f>
        <v>139.24292149961911</v>
      </c>
      <c r="AV32" s="169">
        <f>'BS (F1Q23)'!AV32-'BS (F4Q2022)'!AV32</f>
        <v>139.24292149961911</v>
      </c>
    </row>
    <row r="33" spans="1:48" outlineLevel="1" x14ac:dyDescent="0.3">
      <c r="A33" s="161"/>
      <c r="B33" s="200" t="s">
        <v>239</v>
      </c>
      <c r="C33" s="207"/>
      <c r="D33" s="101">
        <f>'BS (F1Q23)'!D33-'BS (F4Q2022)'!D33</f>
        <v>0</v>
      </c>
      <c r="E33" s="101">
        <f>'BS (F1Q23)'!E33-'BS (F4Q2022)'!E33</f>
        <v>0</v>
      </c>
      <c r="F33" s="101">
        <f>'BS (F1Q23)'!F33-'BS (F4Q2022)'!F33</f>
        <v>0</v>
      </c>
      <c r="G33" s="101">
        <f>'BS (F1Q23)'!G33-'BS (F4Q2022)'!G33</f>
        <v>0</v>
      </c>
      <c r="H33" s="169">
        <f>'BS (F1Q23)'!H33-'BS (F4Q2022)'!H33</f>
        <v>0</v>
      </c>
      <c r="I33" s="101">
        <f>'BS (F1Q23)'!I33-'BS (F4Q2022)'!I33</f>
        <v>0</v>
      </c>
      <c r="J33" s="101">
        <f>'BS (F1Q23)'!J33-'BS (F4Q2022)'!J33</f>
        <v>0</v>
      </c>
      <c r="K33" s="101">
        <f>'BS (F1Q23)'!K33-'BS (F4Q2022)'!K33</f>
        <v>0</v>
      </c>
      <c r="L33" s="101">
        <f>'BS (F1Q23)'!L33-'BS (F4Q2022)'!L33</f>
        <v>0</v>
      </c>
      <c r="M33" s="169">
        <f>'BS (F1Q23)'!M33-'BS (F4Q2022)'!M33</f>
        <v>0</v>
      </c>
      <c r="N33" s="101">
        <f>'BS (F1Q23)'!N33-'BS (F4Q2022)'!N33</f>
        <v>0</v>
      </c>
      <c r="O33" s="101">
        <f>'BS (F1Q23)'!O33-'BS (F4Q2022)'!O33</f>
        <v>0</v>
      </c>
      <c r="P33" s="101">
        <f>'BS (F1Q23)'!P33-'BS (F4Q2022)'!P33</f>
        <v>0</v>
      </c>
      <c r="Q33" s="101">
        <f>'BS (F1Q23)'!Q33-'BS (F4Q2022)'!Q33</f>
        <v>0</v>
      </c>
      <c r="R33" s="169">
        <f>'BS (F1Q23)'!R33-'BS (F4Q2022)'!R33</f>
        <v>0</v>
      </c>
      <c r="S33" s="101">
        <f>'BS (F1Q23)'!S33-'BS (F4Q2022)'!S33</f>
        <v>0</v>
      </c>
      <c r="T33" s="101">
        <f>'BS (F1Q23)'!T33-'BS (F4Q2022)'!T33</f>
        <v>0</v>
      </c>
      <c r="U33" s="101">
        <f>'BS (F1Q23)'!U33-'BS (F4Q2022)'!U33</f>
        <v>0</v>
      </c>
      <c r="V33" s="101">
        <f>'BS (F1Q23)'!V33-'BS (F4Q2022)'!V33</f>
        <v>0</v>
      </c>
      <c r="W33" s="169">
        <f>'BS (F1Q23)'!W33-'BS (F4Q2022)'!W33</f>
        <v>0</v>
      </c>
      <c r="X33" s="33">
        <f>'BS (F1Q23)'!X33-'BS (F4Q2022)'!X33</f>
        <v>14.89850000000024</v>
      </c>
      <c r="Y33" s="33">
        <f>'BS (F1Q23)'!Y33-'BS (F4Q2022)'!Y33</f>
        <v>14.824007500000334</v>
      </c>
      <c r="Z33" s="33">
        <f>'BS (F1Q23)'!Z33-'BS (F4Q2022)'!Z33</f>
        <v>14.749887462500737</v>
      </c>
      <c r="AA33" s="33">
        <f>'BS (F1Q23)'!AA33-'BS (F4Q2022)'!AA33</f>
        <v>14.676138025188266</v>
      </c>
      <c r="AB33" s="169">
        <f>'BS (F1Q23)'!AB33-'BS (F4Q2022)'!AB33</f>
        <v>14.676138025188266</v>
      </c>
      <c r="AC33" s="33">
        <f>'BS (F1Q23)'!AC33-'BS (F4Q2022)'!AC33</f>
        <v>14.602757335062051</v>
      </c>
      <c r="AD33" s="33">
        <f>'BS (F1Q23)'!AD33-'BS (F4Q2022)'!AD33</f>
        <v>14.52974354838716</v>
      </c>
      <c r="AE33" s="33">
        <f>'BS (F1Q23)'!AE33-'BS (F4Q2022)'!AE33</f>
        <v>14.457094830645474</v>
      </c>
      <c r="AF33" s="33">
        <f>'BS (F1Q23)'!AF33-'BS (F4Q2022)'!AF33</f>
        <v>14.384809356492951</v>
      </c>
      <c r="AG33" s="169">
        <f>'BS (F1Q23)'!AG33-'BS (F4Q2022)'!AG33</f>
        <v>14.384809356492951</v>
      </c>
      <c r="AH33" s="33">
        <f>'BS (F1Q23)'!AH33-'BS (F4Q2022)'!AH33</f>
        <v>14.312885309710509</v>
      </c>
      <c r="AI33" s="33">
        <f>'BS (F1Q23)'!AI33-'BS (F4Q2022)'!AI33</f>
        <v>14.241320883161279</v>
      </c>
      <c r="AJ33" s="33">
        <f>'BS (F1Q23)'!AJ33-'BS (F4Q2022)'!AJ33</f>
        <v>14.170114278745132</v>
      </c>
      <c r="AK33" s="33">
        <f>'BS (F1Q23)'!AK33-'BS (F4Q2022)'!AK33</f>
        <v>14.099263707351383</v>
      </c>
      <c r="AL33" s="169">
        <f>'BS (F1Q23)'!AL33-'BS (F4Q2022)'!AL33</f>
        <v>14.099263707351383</v>
      </c>
      <c r="AM33" s="33">
        <f>'BS (F1Q23)'!AM33-'BS (F4Q2022)'!AM33</f>
        <v>14.028767388814231</v>
      </c>
      <c r="AN33" s="33">
        <f>'BS (F1Q23)'!AN33-'BS (F4Q2022)'!AN33</f>
        <v>13.958623551870005</v>
      </c>
      <c r="AO33" s="33">
        <f>'BS (F1Q23)'!AO33-'BS (F4Q2022)'!AO33</f>
        <v>13.888830434110787</v>
      </c>
      <c r="AP33" s="33">
        <f>'BS (F1Q23)'!AP33-'BS (F4Q2022)'!AP33</f>
        <v>13.819386281939842</v>
      </c>
      <c r="AQ33" s="169">
        <f>'BS (F1Q23)'!AQ33-'BS (F4Q2022)'!AQ33</f>
        <v>13.819386281939842</v>
      </c>
      <c r="AR33" s="33">
        <f>'BS (F1Q23)'!AR33-'BS (F4Q2022)'!AR33</f>
        <v>13.750289350529783</v>
      </c>
      <c r="AS33" s="33">
        <f>'BS (F1Q23)'!AS33-'BS (F4Q2022)'!AS33</f>
        <v>13.681537903777098</v>
      </c>
      <c r="AT33" s="33">
        <f>'BS (F1Q23)'!AT33-'BS (F4Q2022)'!AT33</f>
        <v>13.61313021425849</v>
      </c>
      <c r="AU33" s="33">
        <f>'BS (F1Q23)'!AU33-'BS (F4Q2022)'!AU33</f>
        <v>13.545064563187225</v>
      </c>
      <c r="AV33" s="169">
        <f>'BS (F1Q23)'!AV33-'BS (F4Q2022)'!AV33</f>
        <v>13.545064563187225</v>
      </c>
    </row>
    <row r="34" spans="1:48" ht="15.75" customHeight="1" outlineLevel="1" x14ac:dyDescent="0.45">
      <c r="A34" s="161"/>
      <c r="B34" s="580" t="s">
        <v>240</v>
      </c>
      <c r="C34" s="581"/>
      <c r="D34" s="112">
        <f>'BS (F1Q23)'!D34-'BS (F4Q2022)'!D34</f>
        <v>0</v>
      </c>
      <c r="E34" s="112">
        <f>'BS (F1Q23)'!E34-'BS (F4Q2022)'!E34</f>
        <v>0</v>
      </c>
      <c r="F34" s="112">
        <f>'BS (F1Q23)'!F34-'BS (F4Q2022)'!F34</f>
        <v>0</v>
      </c>
      <c r="G34" s="112">
        <f>'BS (F1Q23)'!G34-'BS (F4Q2022)'!G34</f>
        <v>0</v>
      </c>
      <c r="H34" s="262">
        <f>'BS (F1Q23)'!H34-'BS (F4Q2022)'!H34</f>
        <v>0</v>
      </c>
      <c r="I34" s="112">
        <f>'BS (F1Q23)'!I34-'BS (F4Q2022)'!I34</f>
        <v>0</v>
      </c>
      <c r="J34" s="112">
        <f>'BS (F1Q23)'!J34-'BS (F4Q2022)'!J34</f>
        <v>0</v>
      </c>
      <c r="K34" s="112">
        <f>'BS (F1Q23)'!K34-'BS (F4Q2022)'!K34</f>
        <v>0</v>
      </c>
      <c r="L34" s="112">
        <f>'BS (F1Q23)'!L34-'BS (F4Q2022)'!L34</f>
        <v>0</v>
      </c>
      <c r="M34" s="262">
        <f>'BS (F1Q23)'!M34-'BS (F4Q2022)'!M34</f>
        <v>0</v>
      </c>
      <c r="N34" s="112">
        <f>'BS (F1Q23)'!N34-'BS (F4Q2022)'!N34</f>
        <v>0</v>
      </c>
      <c r="O34" s="112">
        <f>'BS (F1Q23)'!O34-'BS (F4Q2022)'!O34</f>
        <v>0</v>
      </c>
      <c r="P34" s="112">
        <f>'BS (F1Q23)'!P34-'BS (F4Q2022)'!P34</f>
        <v>0</v>
      </c>
      <c r="Q34" s="112">
        <f>'BS (F1Q23)'!Q34-'BS (F4Q2022)'!Q34</f>
        <v>0</v>
      </c>
      <c r="R34" s="262">
        <f>'BS (F1Q23)'!R34-'BS (F4Q2022)'!R34</f>
        <v>0</v>
      </c>
      <c r="S34" s="112">
        <f>'BS (F1Q23)'!S34-'BS (F4Q2022)'!S34</f>
        <v>0</v>
      </c>
      <c r="T34" s="112">
        <f>'BS (F1Q23)'!T34-'BS (F4Q2022)'!T34</f>
        <v>0</v>
      </c>
      <c r="U34" s="112">
        <f>'BS (F1Q23)'!U34-'BS (F4Q2022)'!U34</f>
        <v>0</v>
      </c>
      <c r="V34" s="112">
        <f>'BS (F1Q23)'!V34-'BS (F4Q2022)'!V34</f>
        <v>0</v>
      </c>
      <c r="W34" s="262">
        <f>'BS (F1Q23)'!W34-'BS (F4Q2022)'!W34</f>
        <v>0</v>
      </c>
      <c r="X34" s="32">
        <f>'BS (F1Q23)'!X34-'BS (F4Q2022)'!X34</f>
        <v>-10</v>
      </c>
      <c r="Y34" s="32">
        <f>'BS (F1Q23)'!Y34-'BS (F4Q2022)'!Y34</f>
        <v>-10</v>
      </c>
      <c r="Z34" s="32">
        <f>'BS (F1Q23)'!Z34-'BS (F4Q2022)'!Z34</f>
        <v>-10</v>
      </c>
      <c r="AA34" s="32">
        <f>'BS (F1Q23)'!AA34-'BS (F4Q2022)'!AA34</f>
        <v>-10</v>
      </c>
      <c r="AB34" s="262">
        <f>'BS (F1Q23)'!AB34-'BS (F4Q2022)'!AB34</f>
        <v>-10</v>
      </c>
      <c r="AC34" s="32">
        <f>'BS (F1Q23)'!AC34-'BS (F4Q2022)'!AC34</f>
        <v>-10</v>
      </c>
      <c r="AD34" s="32">
        <f>'BS (F1Q23)'!AD34-'BS (F4Q2022)'!AD34</f>
        <v>-10</v>
      </c>
      <c r="AE34" s="32">
        <f>'BS (F1Q23)'!AE34-'BS (F4Q2022)'!AE34</f>
        <v>-10</v>
      </c>
      <c r="AF34" s="32">
        <f>'BS (F1Q23)'!AF34-'BS (F4Q2022)'!AF34</f>
        <v>-10</v>
      </c>
      <c r="AG34" s="262">
        <f>'BS (F1Q23)'!AG34-'BS (F4Q2022)'!AG34</f>
        <v>-10</v>
      </c>
      <c r="AH34" s="32">
        <f>'BS (F1Q23)'!AH34-'BS (F4Q2022)'!AH34</f>
        <v>-10</v>
      </c>
      <c r="AI34" s="32">
        <f>'BS (F1Q23)'!AI34-'BS (F4Q2022)'!AI34</f>
        <v>-10</v>
      </c>
      <c r="AJ34" s="32">
        <f>'BS (F1Q23)'!AJ34-'BS (F4Q2022)'!AJ34</f>
        <v>-10</v>
      </c>
      <c r="AK34" s="32">
        <f>'BS (F1Q23)'!AK34-'BS (F4Q2022)'!AK34</f>
        <v>-10</v>
      </c>
      <c r="AL34" s="262">
        <f>'BS (F1Q23)'!AL34-'BS (F4Q2022)'!AL34</f>
        <v>-10</v>
      </c>
      <c r="AM34" s="32">
        <f>'BS (F1Q23)'!AM34-'BS (F4Q2022)'!AM34</f>
        <v>-10</v>
      </c>
      <c r="AN34" s="32">
        <f>'BS (F1Q23)'!AN34-'BS (F4Q2022)'!AN34</f>
        <v>-10</v>
      </c>
      <c r="AO34" s="32">
        <f>'BS (F1Q23)'!AO34-'BS (F4Q2022)'!AO34</f>
        <v>-10</v>
      </c>
      <c r="AP34" s="32">
        <f>'BS (F1Q23)'!AP34-'BS (F4Q2022)'!AP34</f>
        <v>-10</v>
      </c>
      <c r="AQ34" s="262">
        <f>'BS (F1Q23)'!AQ34-'BS (F4Q2022)'!AQ34</f>
        <v>-10</v>
      </c>
      <c r="AR34" s="32">
        <f>'BS (F1Q23)'!AR34-'BS (F4Q2022)'!AR34</f>
        <v>-10</v>
      </c>
      <c r="AS34" s="32">
        <f>'BS (F1Q23)'!AS34-'BS (F4Q2022)'!AS34</f>
        <v>-10</v>
      </c>
      <c r="AT34" s="32">
        <f>'BS (F1Q23)'!AT34-'BS (F4Q2022)'!AT34</f>
        <v>-10</v>
      </c>
      <c r="AU34" s="32">
        <f>'BS (F1Q23)'!AU34-'BS (F4Q2022)'!AU34</f>
        <v>-10</v>
      </c>
      <c r="AV34" s="262">
        <f>'BS (F1Q23)'!AV34-'BS (F4Q2022)'!AV34</f>
        <v>-10</v>
      </c>
    </row>
    <row r="35" spans="1:48" outlineLevel="1" x14ac:dyDescent="0.3">
      <c r="A35" s="161"/>
      <c r="B35" s="619" t="s">
        <v>241</v>
      </c>
      <c r="C35" s="620"/>
      <c r="D35" s="116">
        <f>'BS (F1Q23)'!D35-'BS (F4Q2022)'!D35</f>
        <v>0</v>
      </c>
      <c r="E35" s="116">
        <f>'BS (F1Q23)'!E35-'BS (F4Q2022)'!E35</f>
        <v>0</v>
      </c>
      <c r="F35" s="116">
        <f>'BS (F1Q23)'!F35-'BS (F4Q2022)'!F35</f>
        <v>0</v>
      </c>
      <c r="G35" s="116">
        <f>'BS (F1Q23)'!G35-'BS (F4Q2022)'!G35</f>
        <v>0</v>
      </c>
      <c r="H35" s="150">
        <f>'BS (F1Q23)'!H35-'BS (F4Q2022)'!H35</f>
        <v>0</v>
      </c>
      <c r="I35" s="116">
        <f>'BS (F1Q23)'!I35-'BS (F4Q2022)'!I35</f>
        <v>0</v>
      </c>
      <c r="J35" s="116">
        <f>'BS (F1Q23)'!J35-'BS (F4Q2022)'!J35</f>
        <v>0</v>
      </c>
      <c r="K35" s="116">
        <f>'BS (F1Q23)'!K35-'BS (F4Q2022)'!K35</f>
        <v>0</v>
      </c>
      <c r="L35" s="116">
        <f>'BS (F1Q23)'!L35-'BS (F4Q2022)'!L35</f>
        <v>0</v>
      </c>
      <c r="M35" s="150">
        <f>'BS (F1Q23)'!M35-'BS (F4Q2022)'!M35</f>
        <v>0</v>
      </c>
      <c r="N35" s="116">
        <f>'BS (F1Q23)'!N35-'BS (F4Q2022)'!N35</f>
        <v>0</v>
      </c>
      <c r="O35" s="116">
        <f>'BS (F1Q23)'!O35-'BS (F4Q2022)'!O35</f>
        <v>0</v>
      </c>
      <c r="P35" s="116">
        <f>'BS (F1Q23)'!P35-'BS (F4Q2022)'!P35</f>
        <v>0</v>
      </c>
      <c r="Q35" s="116">
        <f>'BS (F1Q23)'!Q35-'BS (F4Q2022)'!Q35</f>
        <v>0</v>
      </c>
      <c r="R35" s="150">
        <f>'BS (F1Q23)'!R35-'BS (F4Q2022)'!R35</f>
        <v>0</v>
      </c>
      <c r="S35" s="116">
        <f>'BS (F1Q23)'!S35-'BS (F4Q2022)'!S35</f>
        <v>0</v>
      </c>
      <c r="T35" s="116">
        <f>'BS (F1Q23)'!T35-'BS (F4Q2022)'!T35</f>
        <v>0</v>
      </c>
      <c r="U35" s="116">
        <f>'BS (F1Q23)'!U35-'BS (F4Q2022)'!U35</f>
        <v>0</v>
      </c>
      <c r="V35" s="116">
        <f>'BS (F1Q23)'!V35-'BS (F4Q2022)'!V35</f>
        <v>0</v>
      </c>
      <c r="W35" s="150">
        <f>'BS (F1Q23)'!W35-'BS (F4Q2022)'!W35</f>
        <v>0</v>
      </c>
      <c r="X35" s="116">
        <f>'BS (F1Q23)'!X35-'BS (F4Q2022)'!X35</f>
        <v>-151.71433793686447</v>
      </c>
      <c r="Y35" s="116">
        <f>'BS (F1Q23)'!Y35-'BS (F4Q2022)'!Y35</f>
        <v>431.69892404602433</v>
      </c>
      <c r="Z35" s="116">
        <f>'BS (F1Q23)'!Z35-'BS (F4Q2022)'!Z35</f>
        <v>372.90293993544765</v>
      </c>
      <c r="AA35" s="116">
        <f>'BS (F1Q23)'!AA35-'BS (F4Q2022)'!AA35</f>
        <v>353.76013998225972</v>
      </c>
      <c r="AB35" s="150">
        <f>'BS (F1Q23)'!AB35-'BS (F4Q2022)'!AB35</f>
        <v>353.76013998225972</v>
      </c>
      <c r="AC35" s="116">
        <f>'BS (F1Q23)'!AC35-'BS (F4Q2022)'!AC35</f>
        <v>385.27326329486823</v>
      </c>
      <c r="AD35" s="116">
        <f>'BS (F1Q23)'!AD35-'BS (F4Q2022)'!AD35</f>
        <v>436.84587999011273</v>
      </c>
      <c r="AE35" s="116">
        <f>'BS (F1Q23)'!AE35-'BS (F4Q2022)'!AE35</f>
        <v>367.25257149904792</v>
      </c>
      <c r="AF35" s="116">
        <f>'BS (F1Q23)'!AF35-'BS (F4Q2022)'!AF35</f>
        <v>443.58939216996077</v>
      </c>
      <c r="AG35" s="150">
        <f>'BS (F1Q23)'!AG35-'BS (F4Q2022)'!AG35</f>
        <v>443.58939216996077</v>
      </c>
      <c r="AH35" s="116">
        <f>'BS (F1Q23)'!AH35-'BS (F4Q2022)'!AH35</f>
        <v>470.7891016035428</v>
      </c>
      <c r="AI35" s="116">
        <f>'BS (F1Q23)'!AI35-'BS (F4Q2022)'!AI35</f>
        <v>539.53413538120367</v>
      </c>
      <c r="AJ35" s="116">
        <f>'BS (F1Q23)'!AJ35-'BS (F4Q2022)'!AJ35</f>
        <v>2120.5913162930083</v>
      </c>
      <c r="AK35" s="116">
        <f>'BS (F1Q23)'!AK35-'BS (F4Q2022)'!AK35</f>
        <v>2093.3521249077312</v>
      </c>
      <c r="AL35" s="150">
        <f>'BS (F1Q23)'!AL35-'BS (F4Q2022)'!AL35</f>
        <v>2093.3521249077312</v>
      </c>
      <c r="AM35" s="116">
        <f>'BS (F1Q23)'!AM35-'BS (F4Q2022)'!AM35</f>
        <v>2112.5371880943276</v>
      </c>
      <c r="AN35" s="116">
        <f>'BS (F1Q23)'!AN35-'BS (F4Q2022)'!AN35</f>
        <v>1204.3637549806663</v>
      </c>
      <c r="AO35" s="116">
        <f>'BS (F1Q23)'!AO35-'BS (F4Q2022)'!AO35</f>
        <v>1113.6866748158063</v>
      </c>
      <c r="AP35" s="116">
        <f>'BS (F1Q23)'!AP35-'BS (F4Q2022)'!AP35</f>
        <v>1084.7678400745135</v>
      </c>
      <c r="AQ35" s="150">
        <f>'BS (F1Q23)'!AQ35-'BS (F4Q2022)'!AQ35</f>
        <v>1084.7678400745135</v>
      </c>
      <c r="AR35" s="116">
        <f>'BS (F1Q23)'!AR35-'BS (F4Q2022)'!AR35</f>
        <v>1117.7818875468947</v>
      </c>
      <c r="AS35" s="116">
        <f>'BS (F1Q23)'!AS35-'BS (F4Q2022)'!AS35</f>
        <v>1205.0447945769774</v>
      </c>
      <c r="AT35" s="116">
        <f>'BS (F1Q23)'!AT35-'BS (F4Q2022)'!AT35</f>
        <v>1108.0152804070894</v>
      </c>
      <c r="AU35" s="116">
        <f>'BS (F1Q23)'!AU35-'BS (F4Q2022)'!AU35</f>
        <v>1076.8680650262031</v>
      </c>
      <c r="AV35" s="150">
        <f>'BS (F1Q23)'!AV35-'BS (F4Q2022)'!AV35</f>
        <v>1076.8680650262031</v>
      </c>
    </row>
    <row r="36" spans="1:48" ht="17.399999999999999" x14ac:dyDescent="0.45">
      <c r="B36" s="583" t="s">
        <v>242</v>
      </c>
      <c r="C36" s="584"/>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580" t="s">
        <v>243</v>
      </c>
      <c r="C37" s="581"/>
      <c r="D37" s="16">
        <f>'BS (F1Q23)'!D37-'BS (F4Q2022)'!D37</f>
        <v>0</v>
      </c>
      <c r="E37" s="16">
        <f>'BS (F1Q23)'!E37-'BS (F4Q2022)'!E37</f>
        <v>0</v>
      </c>
      <c r="F37" s="16">
        <f>'BS (F1Q23)'!F37-'BS (F4Q2022)'!F37</f>
        <v>0</v>
      </c>
      <c r="G37" s="16">
        <f>'BS (F1Q23)'!G37-'BS (F4Q2022)'!G37</f>
        <v>0</v>
      </c>
      <c r="H37" s="17">
        <f>'BS (F1Q23)'!H37-'BS (F4Q2022)'!H37</f>
        <v>0</v>
      </c>
      <c r="I37" s="16">
        <f>'BS (F1Q23)'!I37-'BS (F4Q2022)'!I37</f>
        <v>0</v>
      </c>
      <c r="J37" s="16">
        <f>'BS (F1Q23)'!J37-'BS (F4Q2022)'!J37</f>
        <v>0</v>
      </c>
      <c r="K37" s="16">
        <f>'BS (F1Q23)'!K37-'BS (F4Q2022)'!K37</f>
        <v>0</v>
      </c>
      <c r="L37" s="16">
        <f>'BS (F1Q23)'!L37-'BS (F4Q2022)'!L37</f>
        <v>0</v>
      </c>
      <c r="M37" s="17">
        <f>'BS (F1Q23)'!M37-'BS (F4Q2022)'!M37</f>
        <v>0</v>
      </c>
      <c r="N37" s="16">
        <f>'BS (F1Q23)'!N37-'BS (F4Q2022)'!N37</f>
        <v>0</v>
      </c>
      <c r="O37" s="16">
        <f>'BS (F1Q23)'!O37-'BS (F4Q2022)'!O37</f>
        <v>0</v>
      </c>
      <c r="P37" s="16">
        <f>'BS (F1Q23)'!P37-'BS (F4Q2022)'!P37</f>
        <v>0</v>
      </c>
      <c r="Q37" s="16">
        <f>'BS (F1Q23)'!Q37-'BS (F4Q2022)'!Q37</f>
        <v>0</v>
      </c>
      <c r="R37" s="17">
        <f>'BS (F1Q23)'!R37-'BS (F4Q2022)'!R37</f>
        <v>0</v>
      </c>
      <c r="S37" s="16">
        <f>'BS (F1Q23)'!S37-'BS (F4Q2022)'!S37</f>
        <v>0</v>
      </c>
      <c r="T37" s="16">
        <f>'BS (F1Q23)'!T37-'BS (F4Q2022)'!T37</f>
        <v>0</v>
      </c>
      <c r="U37" s="16">
        <f>'BS (F1Q23)'!U37-'BS (F4Q2022)'!U37</f>
        <v>0</v>
      </c>
      <c r="V37" s="16">
        <f>'BS (F1Q23)'!V37-'BS (F4Q2022)'!V37</f>
        <v>0</v>
      </c>
      <c r="W37" s="17">
        <f>'BS (F1Q23)'!W37-'BS (F4Q2022)'!W37</f>
        <v>0</v>
      </c>
      <c r="X37" s="16">
        <f>'BS (F1Q23)'!X37-'BS (F4Q2022)'!X37</f>
        <v>-207.32241864383758</v>
      </c>
      <c r="Y37" s="16">
        <f>'BS (F1Q23)'!Y37-'BS (F4Q2022)'!Y37</f>
        <v>-262.56733080149888</v>
      </c>
      <c r="Z37" s="16">
        <f>'BS (F1Q23)'!Z37-'BS (F4Q2022)'!Z37</f>
        <v>-324.09842498981442</v>
      </c>
      <c r="AA37" s="16">
        <f>'BS (F1Q23)'!AA37-'BS (F4Q2022)'!AA37</f>
        <v>-388.87012146700033</v>
      </c>
      <c r="AB37" s="17">
        <f>'BS (F1Q23)'!AB37-'BS (F4Q2022)'!AB37</f>
        <v>-388.87012146700033</v>
      </c>
      <c r="AC37" s="16">
        <f>'BS (F1Q23)'!AC37-'BS (F4Q2022)'!AC37</f>
        <v>-455.51118974747294</v>
      </c>
      <c r="AD37" s="16">
        <f>'BS (F1Q23)'!AD37-'BS (F4Q2022)'!AD37</f>
        <v>-517.49978295500739</v>
      </c>
      <c r="AE37" s="16">
        <f>'BS (F1Q23)'!AE37-'BS (F4Q2022)'!AE37</f>
        <v>-585.82558808486067</v>
      </c>
      <c r="AF37" s="16">
        <f>'BS (F1Q23)'!AF37-'BS (F4Q2022)'!AF37</f>
        <v>-656.73784887557838</v>
      </c>
      <c r="AG37" s="17">
        <f>'BS (F1Q23)'!AG37-'BS (F4Q2022)'!AG37</f>
        <v>-656.73784887557838</v>
      </c>
      <c r="AH37" s="16">
        <f>'BS (F1Q23)'!AH37-'BS (F4Q2022)'!AH37</f>
        <v>-730.44073366764394</v>
      </c>
      <c r="AI37" s="16">
        <f>'BS (F1Q23)'!AI37-'BS (F4Q2022)'!AI37</f>
        <v>-799.88102225305522</v>
      </c>
      <c r="AJ37" s="16">
        <f>'BS (F1Q23)'!AJ37-'BS (F4Q2022)'!AJ37</f>
        <v>-876.13536522245045</v>
      </c>
      <c r="AK37" s="16">
        <f>'BS (F1Q23)'!AK37-'BS (F4Q2022)'!AK37</f>
        <v>-955.19279388728205</v>
      </c>
      <c r="AL37" s="17">
        <f>'BS (F1Q23)'!AL37-'BS (F4Q2022)'!AL37</f>
        <v>-955.19279388728205</v>
      </c>
      <c r="AM37" s="16">
        <f>'BS (F1Q23)'!AM37-'BS (F4Q2022)'!AM37</f>
        <v>-1036.1992848503564</v>
      </c>
      <c r="AN37" s="16">
        <f>'BS (F1Q23)'!AN37-'BS (F4Q2022)'!AN37</f>
        <v>-1112.2669167293429</v>
      </c>
      <c r="AO37" s="16">
        <f>'BS (F1Q23)'!AO37-'BS (F4Q2022)'!AO37</f>
        <v>-1195.4042491613966</v>
      </c>
      <c r="AP37" s="16">
        <f>'BS (F1Q23)'!AP37-'BS (F4Q2022)'!AP37</f>
        <v>-1281.2837516701879</v>
      </c>
      <c r="AQ37" s="17">
        <f>'BS (F1Q23)'!AQ37-'BS (F4Q2022)'!AQ37</f>
        <v>-1281.2837516701879</v>
      </c>
      <c r="AR37" s="16">
        <f>'BS (F1Q23)'!AR37-'BS (F4Q2022)'!AR37</f>
        <v>-1367.5464161445107</v>
      </c>
      <c r="AS37" s="16">
        <f>'BS (F1Q23)'!AS37-'BS (F4Q2022)'!AS37</f>
        <v>-1448.5022629002856</v>
      </c>
      <c r="AT37" s="16">
        <f>'BS (F1Q23)'!AT37-'BS (F4Q2022)'!AT37</f>
        <v>-1536.9441475580861</v>
      </c>
      <c r="AU37" s="16">
        <f>'BS (F1Q23)'!AU37-'BS (F4Q2022)'!AU37</f>
        <v>-1628.296141029462</v>
      </c>
      <c r="AV37" s="17">
        <f>'BS (F1Q23)'!AV37-'BS (F4Q2022)'!AV37</f>
        <v>-1628.296141029462</v>
      </c>
    </row>
    <row r="38" spans="1:48" outlineLevel="1" x14ac:dyDescent="0.3">
      <c r="B38" s="621" t="s">
        <v>244</v>
      </c>
      <c r="C38" s="622"/>
      <c r="D38" s="16">
        <f>'BS (F1Q23)'!D38-'BS (F4Q2022)'!D38</f>
        <v>0</v>
      </c>
      <c r="E38" s="101">
        <f>'BS (F1Q23)'!E38-'BS (F4Q2022)'!E38</f>
        <v>0</v>
      </c>
      <c r="F38" s="101">
        <f>'BS (F1Q23)'!F38-'BS (F4Q2022)'!F38</f>
        <v>0</v>
      </c>
      <c r="G38" s="101">
        <f>'BS (F1Q23)'!G38-'BS (F4Q2022)'!G38</f>
        <v>0</v>
      </c>
      <c r="H38" s="169">
        <f>'BS (F1Q23)'!H38-'BS (F4Q2022)'!H38</f>
        <v>0</v>
      </c>
      <c r="I38" s="101">
        <f>'BS (F1Q23)'!I38-'BS (F4Q2022)'!I38</f>
        <v>0</v>
      </c>
      <c r="J38" s="101">
        <f>'BS (F1Q23)'!J38-'BS (F4Q2022)'!J38</f>
        <v>0</v>
      </c>
      <c r="K38" s="101">
        <f>'BS (F1Q23)'!K38-'BS (F4Q2022)'!K38</f>
        <v>0</v>
      </c>
      <c r="L38" s="101">
        <f>'BS (F1Q23)'!L38-'BS (F4Q2022)'!L38</f>
        <v>0</v>
      </c>
      <c r="M38" s="169">
        <f>'BS (F1Q23)'!M38-'BS (F4Q2022)'!M38</f>
        <v>0</v>
      </c>
      <c r="N38" s="101">
        <f>'BS (F1Q23)'!N38-'BS (F4Q2022)'!N38</f>
        <v>0</v>
      </c>
      <c r="O38" s="101">
        <f>'BS (F1Q23)'!O38-'BS (F4Q2022)'!O38</f>
        <v>0</v>
      </c>
      <c r="P38" s="101">
        <f>'BS (F1Q23)'!P38-'BS (F4Q2022)'!P38</f>
        <v>0</v>
      </c>
      <c r="Q38" s="101">
        <f>'BS (F1Q23)'!Q38-'BS (F4Q2022)'!Q38</f>
        <v>0</v>
      </c>
      <c r="R38" s="169">
        <f>'BS (F1Q23)'!R38-'BS (F4Q2022)'!R38</f>
        <v>0</v>
      </c>
      <c r="S38" s="101">
        <f>'BS (F1Q23)'!S38-'BS (F4Q2022)'!S38</f>
        <v>0</v>
      </c>
      <c r="T38" s="101">
        <f>'BS (F1Q23)'!T38-'BS (F4Q2022)'!T38</f>
        <v>0</v>
      </c>
      <c r="U38" s="101">
        <f>'BS (F1Q23)'!U38-'BS (F4Q2022)'!U38</f>
        <v>0</v>
      </c>
      <c r="V38" s="101">
        <f>'BS (F1Q23)'!V38-'BS (F4Q2022)'!V38</f>
        <v>0</v>
      </c>
      <c r="W38" s="169">
        <f>'BS (F1Q23)'!W38-'BS (F4Q2022)'!W38</f>
        <v>0</v>
      </c>
      <c r="X38" s="101">
        <f>'BS (F1Q23)'!X38-'BS (F4Q2022)'!X38</f>
        <v>24.680571309740117</v>
      </c>
      <c r="Y38" s="101">
        <f>'BS (F1Q23)'!Y38-'BS (F4Q2022)'!Y38</f>
        <v>-193.49305552991609</v>
      </c>
      <c r="Z38" s="101">
        <f>'BS (F1Q23)'!Z38-'BS (F4Q2022)'!Z38</f>
        <v>-268.28470152696173</v>
      </c>
      <c r="AA38" s="101">
        <f>'BS (F1Q23)'!AA38-'BS (F4Q2022)'!AA38</f>
        <v>-284.90610102281244</v>
      </c>
      <c r="AB38" s="169">
        <f>'BS (F1Q23)'!AB38-'BS (F4Q2022)'!AB38</f>
        <v>-284.90610102281244</v>
      </c>
      <c r="AC38" s="101">
        <f>'BS (F1Q23)'!AC38-'BS (F4Q2022)'!AC38</f>
        <v>-424.25474364788533</v>
      </c>
      <c r="AD38" s="101">
        <f>'BS (F1Q23)'!AD38-'BS (F4Q2022)'!AD38</f>
        <v>-676.66499013836892</v>
      </c>
      <c r="AE38" s="101">
        <f>'BS (F1Q23)'!AE38-'BS (F4Q2022)'!AE38</f>
        <v>-644.77112041794953</v>
      </c>
      <c r="AF38" s="101">
        <f>'BS (F1Q23)'!AF38-'BS (F4Q2022)'!AF38</f>
        <v>-545.83780276580819</v>
      </c>
      <c r="AG38" s="169">
        <f>'BS (F1Q23)'!AG38-'BS (F4Q2022)'!AG38</f>
        <v>-545.83780276580819</v>
      </c>
      <c r="AH38" s="101">
        <f>'BS (F1Q23)'!AH38-'BS (F4Q2022)'!AH38</f>
        <v>-600.07833038116041</v>
      </c>
      <c r="AI38" s="101">
        <f>'BS (F1Q23)'!AI38-'BS (F4Q2022)'!AI38</f>
        <v>-777.9040303347665</v>
      </c>
      <c r="AJ38" s="101">
        <f>'BS (F1Q23)'!AJ38-'BS (F4Q2022)'!AJ38</f>
        <v>-739.38032334804848</v>
      </c>
      <c r="AK38" s="101">
        <f>'BS (F1Q23)'!AK38-'BS (F4Q2022)'!AK38</f>
        <v>-636.51203201549833</v>
      </c>
      <c r="AL38" s="169">
        <f>'BS (F1Q23)'!AL38-'BS (F4Q2022)'!AL38</f>
        <v>-636.51203201549833</v>
      </c>
      <c r="AM38" s="101">
        <f>'BS (F1Q23)'!AM38-'BS (F4Q2022)'!AM38</f>
        <v>-695.55722251193401</v>
      </c>
      <c r="AN38" s="101">
        <f>'BS (F1Q23)'!AN38-'BS (F4Q2022)'!AN38</f>
        <v>-886.57274455907282</v>
      </c>
      <c r="AO38" s="101">
        <f>'BS (F1Q23)'!AO38-'BS (F4Q2022)'!AO38</f>
        <v>-826.38340402351605</v>
      </c>
      <c r="AP38" s="101">
        <f>'BS (F1Q23)'!AP38-'BS (F4Q2022)'!AP38</f>
        <v>-682.72683187708571</v>
      </c>
      <c r="AQ38" s="169">
        <f>'BS (F1Q23)'!AQ38-'BS (F4Q2022)'!AQ38</f>
        <v>-682.72683187708571</v>
      </c>
      <c r="AR38" s="101">
        <f>'BS (F1Q23)'!AR38-'BS (F4Q2022)'!AR38</f>
        <v>-748.83586170755189</v>
      </c>
      <c r="AS38" s="101">
        <f>'BS (F1Q23)'!AS38-'BS (F4Q2022)'!AS38</f>
        <v>-952.35067433587756</v>
      </c>
      <c r="AT38" s="101">
        <f>'BS (F1Q23)'!AT38-'BS (F4Q2022)'!AT38</f>
        <v>-893.4110513176347</v>
      </c>
      <c r="AU38" s="101">
        <f>'BS (F1Q23)'!AU38-'BS (F4Q2022)'!AU38</f>
        <v>-745.60824102666447</v>
      </c>
      <c r="AV38" s="169">
        <f>'BS (F1Q23)'!AV38-'BS (F4Q2022)'!AV38</f>
        <v>-745.60824102666447</v>
      </c>
    </row>
    <row r="39" spans="1:48" outlineLevel="1" x14ac:dyDescent="0.3">
      <c r="B39" s="621" t="s">
        <v>245</v>
      </c>
      <c r="C39" s="622"/>
      <c r="D39" s="16">
        <f>'BS (F1Q23)'!D39-'BS (F4Q2022)'!D39</f>
        <v>0</v>
      </c>
      <c r="E39" s="102">
        <f>'BS (F1Q23)'!E39-'BS (F4Q2022)'!E39</f>
        <v>0</v>
      </c>
      <c r="F39" s="101">
        <f>'BS (F1Q23)'!F39-'BS (F4Q2022)'!F39</f>
        <v>0</v>
      </c>
      <c r="G39" s="101">
        <f>'BS (F1Q23)'!G39-'BS (F4Q2022)'!G39</f>
        <v>0</v>
      </c>
      <c r="H39" s="169">
        <f>'BS (F1Q23)'!H39-'BS (F4Q2022)'!H39</f>
        <v>0</v>
      </c>
      <c r="I39" s="101">
        <f>'BS (F1Q23)'!I39-'BS (F4Q2022)'!I39</f>
        <v>0</v>
      </c>
      <c r="J39" s="101">
        <f>'BS (F1Q23)'!J39-'BS (F4Q2022)'!J39</f>
        <v>0</v>
      </c>
      <c r="K39" s="101">
        <f>'BS (F1Q23)'!K39-'BS (F4Q2022)'!K39</f>
        <v>0</v>
      </c>
      <c r="L39" s="101">
        <f>'BS (F1Q23)'!L39-'BS (F4Q2022)'!L39</f>
        <v>0</v>
      </c>
      <c r="M39" s="169">
        <f>'BS (F1Q23)'!M39-'BS (F4Q2022)'!M39</f>
        <v>0</v>
      </c>
      <c r="N39" s="101">
        <f>'BS (F1Q23)'!N39-'BS (F4Q2022)'!N39</f>
        <v>0</v>
      </c>
      <c r="O39" s="101">
        <f>'BS (F1Q23)'!O39-'BS (F4Q2022)'!O39</f>
        <v>0</v>
      </c>
      <c r="P39" s="101">
        <f>'BS (F1Q23)'!P39-'BS (F4Q2022)'!P39</f>
        <v>0</v>
      </c>
      <c r="Q39" s="101">
        <f>'BS (F1Q23)'!Q39-'BS (F4Q2022)'!Q39</f>
        <v>0</v>
      </c>
      <c r="R39" s="169">
        <f>'BS (F1Q23)'!R39-'BS (F4Q2022)'!R39</f>
        <v>0</v>
      </c>
      <c r="S39" s="101">
        <f>'BS (F1Q23)'!S39-'BS (F4Q2022)'!S39</f>
        <v>0</v>
      </c>
      <c r="T39" s="101">
        <f>'BS (F1Q23)'!T39-'BS (F4Q2022)'!T39</f>
        <v>0</v>
      </c>
      <c r="U39" s="101">
        <f>'BS (F1Q23)'!U39-'BS (F4Q2022)'!U39</f>
        <v>0</v>
      </c>
      <c r="V39" s="101">
        <f>'BS (F1Q23)'!V39-'BS (F4Q2022)'!V39</f>
        <v>0</v>
      </c>
      <c r="W39" s="169">
        <f>'BS (F1Q23)'!W39-'BS (F4Q2022)'!W39</f>
        <v>0</v>
      </c>
      <c r="X39" s="101">
        <f>'BS (F1Q23)'!X39-'BS (F4Q2022)'!X39</f>
        <v>-75.699999999999989</v>
      </c>
      <c r="Y39" s="101">
        <f>'BS (F1Q23)'!Y39-'BS (F4Q2022)'!Y39</f>
        <v>-75.699999999999989</v>
      </c>
      <c r="Z39" s="101">
        <f>'BS (F1Q23)'!Z39-'BS (F4Q2022)'!Z39</f>
        <v>-75.699999999999989</v>
      </c>
      <c r="AA39" s="101">
        <f>'BS (F1Q23)'!AA39-'BS (F4Q2022)'!AA39</f>
        <v>-75.699999999999989</v>
      </c>
      <c r="AB39" s="169">
        <f>'BS (F1Q23)'!AB39-'BS (F4Q2022)'!AB39</f>
        <v>-75.699999999999989</v>
      </c>
      <c r="AC39" s="101">
        <f>'BS (F1Q23)'!AC39-'BS (F4Q2022)'!AC39</f>
        <v>-75.699999999999989</v>
      </c>
      <c r="AD39" s="101">
        <f>'BS (F1Q23)'!AD39-'BS (F4Q2022)'!AD39</f>
        <v>-75.699999999999989</v>
      </c>
      <c r="AE39" s="101">
        <f>'BS (F1Q23)'!AE39-'BS (F4Q2022)'!AE39</f>
        <v>-75.699999999999989</v>
      </c>
      <c r="AF39" s="101">
        <f>'BS (F1Q23)'!AF39-'BS (F4Q2022)'!AF39</f>
        <v>-75.699999999999989</v>
      </c>
      <c r="AG39" s="169">
        <f>'BS (F1Q23)'!AG39-'BS (F4Q2022)'!AG39</f>
        <v>-75.699999999999989</v>
      </c>
      <c r="AH39" s="101">
        <f>'BS (F1Q23)'!AH39-'BS (F4Q2022)'!AH39</f>
        <v>-75.699999999999989</v>
      </c>
      <c r="AI39" s="101">
        <f>'BS (F1Q23)'!AI39-'BS (F4Q2022)'!AI39</f>
        <v>-75.699999999999989</v>
      </c>
      <c r="AJ39" s="101">
        <f>'BS (F1Q23)'!AJ39-'BS (F4Q2022)'!AJ39</f>
        <v>-75.699999999999989</v>
      </c>
      <c r="AK39" s="101">
        <f>'BS (F1Q23)'!AK39-'BS (F4Q2022)'!AK39</f>
        <v>-75.699999999999989</v>
      </c>
      <c r="AL39" s="169">
        <f>'BS (F1Q23)'!AL39-'BS (F4Q2022)'!AL39</f>
        <v>-75.699999999999989</v>
      </c>
      <c r="AM39" s="101">
        <f>'BS (F1Q23)'!AM39-'BS (F4Q2022)'!AM39</f>
        <v>-75.699999999999989</v>
      </c>
      <c r="AN39" s="101">
        <f>'BS (F1Q23)'!AN39-'BS (F4Q2022)'!AN39</f>
        <v>-75.699999999999989</v>
      </c>
      <c r="AO39" s="101">
        <f>'BS (F1Q23)'!AO39-'BS (F4Q2022)'!AO39</f>
        <v>-75.699999999999989</v>
      </c>
      <c r="AP39" s="101">
        <f>'BS (F1Q23)'!AP39-'BS (F4Q2022)'!AP39</f>
        <v>-75.699999999999989</v>
      </c>
      <c r="AQ39" s="169">
        <f>'BS (F1Q23)'!AQ39-'BS (F4Q2022)'!AQ39</f>
        <v>-75.699999999999989</v>
      </c>
      <c r="AR39" s="101">
        <f>'BS (F1Q23)'!AR39-'BS (F4Q2022)'!AR39</f>
        <v>-75.699999999999989</v>
      </c>
      <c r="AS39" s="101">
        <f>'BS (F1Q23)'!AS39-'BS (F4Q2022)'!AS39</f>
        <v>-75.699999999999989</v>
      </c>
      <c r="AT39" s="101">
        <f>'BS (F1Q23)'!AT39-'BS (F4Q2022)'!AT39</f>
        <v>-75.699999999999989</v>
      </c>
      <c r="AU39" s="101">
        <f>'BS (F1Q23)'!AU39-'BS (F4Q2022)'!AU39</f>
        <v>-75.699999999999989</v>
      </c>
      <c r="AV39" s="169">
        <f>'BS (F1Q23)'!AV39-'BS (F4Q2022)'!AV39</f>
        <v>-75.699999999999989</v>
      </c>
    </row>
    <row r="40" spans="1:48" ht="16.2" outlineLevel="1" x14ac:dyDescent="0.45">
      <c r="B40" s="265" t="s">
        <v>246</v>
      </c>
      <c r="C40" s="266"/>
      <c r="D40" s="260">
        <f>'BS (F1Q23)'!D40-'BS (F4Q2022)'!D40</f>
        <v>0</v>
      </c>
      <c r="E40" s="112">
        <f>'BS (F1Q23)'!E40-'BS (F4Q2022)'!E40</f>
        <v>0</v>
      </c>
      <c r="F40" s="112">
        <f>'BS (F1Q23)'!F40-'BS (F4Q2022)'!F40</f>
        <v>0</v>
      </c>
      <c r="G40" s="112">
        <f>'BS (F1Q23)'!G40-'BS (F4Q2022)'!G40</f>
        <v>0</v>
      </c>
      <c r="H40" s="261">
        <f>'BS (F1Q23)'!H40-'BS (F4Q2022)'!H40</f>
        <v>0</v>
      </c>
      <c r="I40" s="112">
        <f>'BS (F1Q23)'!I40-'BS (F4Q2022)'!I40</f>
        <v>0</v>
      </c>
      <c r="J40" s="112">
        <f>'BS (F1Q23)'!J40-'BS (F4Q2022)'!J40</f>
        <v>0</v>
      </c>
      <c r="K40" s="112">
        <f>'BS (F1Q23)'!K40-'BS (F4Q2022)'!K40</f>
        <v>0</v>
      </c>
      <c r="L40" s="112">
        <f>'BS (F1Q23)'!L40-'BS (F4Q2022)'!L40</f>
        <v>0</v>
      </c>
      <c r="M40" s="262">
        <f>'BS (F1Q23)'!M40-'BS (F4Q2022)'!M40</f>
        <v>0</v>
      </c>
      <c r="N40" s="112">
        <f>'BS (F1Q23)'!N40-'BS (F4Q2022)'!N40</f>
        <v>0</v>
      </c>
      <c r="O40" s="112">
        <f>'BS (F1Q23)'!O40-'BS (F4Q2022)'!O40</f>
        <v>0</v>
      </c>
      <c r="P40" s="112">
        <f>'BS (F1Q23)'!P40-'BS (F4Q2022)'!P40</f>
        <v>0</v>
      </c>
      <c r="Q40" s="112">
        <f>'BS (F1Q23)'!Q40-'BS (F4Q2022)'!Q40</f>
        <v>0</v>
      </c>
      <c r="R40" s="262">
        <f>'BS (F1Q23)'!R40-'BS (F4Q2022)'!R40</f>
        <v>0</v>
      </c>
      <c r="S40" s="112">
        <f>'BS (F1Q23)'!S40-'BS (F4Q2022)'!S40</f>
        <v>0</v>
      </c>
      <c r="T40" s="112">
        <f>'BS (F1Q23)'!T40-'BS (F4Q2022)'!T40</f>
        <v>0</v>
      </c>
      <c r="U40" s="112">
        <f>'BS (F1Q23)'!U40-'BS (F4Q2022)'!U40</f>
        <v>0</v>
      </c>
      <c r="V40" s="112">
        <f>'BS (F1Q23)'!V40-'BS (F4Q2022)'!V40</f>
        <v>0</v>
      </c>
      <c r="W40" s="262">
        <f>'BS (F1Q23)'!W40-'BS (F4Q2022)'!W40</f>
        <v>0</v>
      </c>
      <c r="X40" s="112">
        <f>'BS (F1Q23)'!X40-'BS (F4Q2022)'!X40</f>
        <v>0</v>
      </c>
      <c r="Y40" s="112">
        <f>'BS (F1Q23)'!Y40-'BS (F4Q2022)'!Y40</f>
        <v>0</v>
      </c>
      <c r="Z40" s="112">
        <f>'BS (F1Q23)'!Z40-'BS (F4Q2022)'!Z40</f>
        <v>0</v>
      </c>
      <c r="AA40" s="112">
        <f>'BS (F1Q23)'!AA40-'BS (F4Q2022)'!AA40</f>
        <v>0</v>
      </c>
      <c r="AB40" s="262">
        <f>'BS (F1Q23)'!AB40-'BS (F4Q2022)'!AB40</f>
        <v>0</v>
      </c>
      <c r="AC40" s="112">
        <f>'BS (F1Q23)'!AC40-'BS (F4Q2022)'!AC40</f>
        <v>0</v>
      </c>
      <c r="AD40" s="112">
        <f>'BS (F1Q23)'!AD40-'BS (F4Q2022)'!AD40</f>
        <v>0</v>
      </c>
      <c r="AE40" s="112">
        <f>'BS (F1Q23)'!AE40-'BS (F4Q2022)'!AE40</f>
        <v>0</v>
      </c>
      <c r="AF40" s="112">
        <f>'BS (F1Q23)'!AF40-'BS (F4Q2022)'!AF40</f>
        <v>0</v>
      </c>
      <c r="AG40" s="262">
        <f>'BS (F1Q23)'!AG40-'BS (F4Q2022)'!AG40</f>
        <v>0</v>
      </c>
      <c r="AH40" s="112">
        <f>'BS (F1Q23)'!AH40-'BS (F4Q2022)'!AH40</f>
        <v>0</v>
      </c>
      <c r="AI40" s="112">
        <f>'BS (F1Q23)'!AI40-'BS (F4Q2022)'!AI40</f>
        <v>0</v>
      </c>
      <c r="AJ40" s="112">
        <f>'BS (F1Q23)'!AJ40-'BS (F4Q2022)'!AJ40</f>
        <v>0</v>
      </c>
      <c r="AK40" s="112">
        <f>'BS (F1Q23)'!AK40-'BS (F4Q2022)'!AK40</f>
        <v>0</v>
      </c>
      <c r="AL40" s="262">
        <f>'BS (F1Q23)'!AL40-'BS (F4Q2022)'!AL40</f>
        <v>0</v>
      </c>
      <c r="AM40" s="112">
        <f>'BS (F1Q23)'!AM40-'BS (F4Q2022)'!AM40</f>
        <v>0</v>
      </c>
      <c r="AN40" s="112">
        <f>'BS (F1Q23)'!AN40-'BS (F4Q2022)'!AN40</f>
        <v>0</v>
      </c>
      <c r="AO40" s="112">
        <f>'BS (F1Q23)'!AO40-'BS (F4Q2022)'!AO40</f>
        <v>0</v>
      </c>
      <c r="AP40" s="112">
        <f>'BS (F1Q23)'!AP40-'BS (F4Q2022)'!AP40</f>
        <v>0</v>
      </c>
      <c r="AQ40" s="262">
        <f>'BS (F1Q23)'!AQ40-'BS (F4Q2022)'!AQ40</f>
        <v>0</v>
      </c>
      <c r="AR40" s="112">
        <f>'BS (F1Q23)'!AR40-'BS (F4Q2022)'!AR40</f>
        <v>0</v>
      </c>
      <c r="AS40" s="112">
        <f>'BS (F1Q23)'!AS40-'BS (F4Q2022)'!AS40</f>
        <v>0</v>
      </c>
      <c r="AT40" s="112">
        <f>'BS (F1Q23)'!AT40-'BS (F4Q2022)'!AT40</f>
        <v>0</v>
      </c>
      <c r="AU40" s="112">
        <f>'BS (F1Q23)'!AU40-'BS (F4Q2022)'!AU40</f>
        <v>0</v>
      </c>
      <c r="AV40" s="262">
        <f>'BS (F1Q23)'!AV40-'BS (F4Q2022)'!AV40</f>
        <v>0</v>
      </c>
    </row>
    <row r="41" spans="1:48" outlineLevel="1" x14ac:dyDescent="0.3">
      <c r="B41" s="619" t="s">
        <v>247</v>
      </c>
      <c r="C41" s="620"/>
      <c r="D41" s="21">
        <f>'BS (F1Q23)'!D41-'BS (F4Q2022)'!D41</f>
        <v>0</v>
      </c>
      <c r="E41" s="21">
        <f>'BS (F1Q23)'!E41-'BS (F4Q2022)'!E41</f>
        <v>0</v>
      </c>
      <c r="F41" s="21">
        <f>'BS (F1Q23)'!F41-'BS (F4Q2022)'!F41</f>
        <v>0</v>
      </c>
      <c r="G41" s="21">
        <f>'BS (F1Q23)'!G41-'BS (F4Q2022)'!G41</f>
        <v>0</v>
      </c>
      <c r="H41" s="22">
        <f>'BS (F1Q23)'!H41-'BS (F4Q2022)'!H41</f>
        <v>0</v>
      </c>
      <c r="I41" s="21">
        <f>'BS (F1Q23)'!I41-'BS (F4Q2022)'!I41</f>
        <v>0</v>
      </c>
      <c r="J41" s="21">
        <f>'BS (F1Q23)'!J41-'BS (F4Q2022)'!J41</f>
        <v>0</v>
      </c>
      <c r="K41" s="21">
        <f>'BS (F1Q23)'!K41-'BS (F4Q2022)'!K41</f>
        <v>0</v>
      </c>
      <c r="L41" s="21">
        <f>'BS (F1Q23)'!L41-'BS (F4Q2022)'!L41</f>
        <v>0</v>
      </c>
      <c r="M41" s="22">
        <f>'BS (F1Q23)'!M41-'BS (F4Q2022)'!M41</f>
        <v>0</v>
      </c>
      <c r="N41" s="21">
        <f>'BS (F1Q23)'!N41-'BS (F4Q2022)'!N41</f>
        <v>0</v>
      </c>
      <c r="O41" s="21">
        <f>'BS (F1Q23)'!O41-'BS (F4Q2022)'!O41</f>
        <v>0</v>
      </c>
      <c r="P41" s="21">
        <f>'BS (F1Q23)'!P41-'BS (F4Q2022)'!P41</f>
        <v>0</v>
      </c>
      <c r="Q41" s="21">
        <f>'BS (F1Q23)'!Q41-'BS (F4Q2022)'!Q41</f>
        <v>0</v>
      </c>
      <c r="R41" s="22">
        <f>'BS (F1Q23)'!R41-'BS (F4Q2022)'!R41</f>
        <v>0</v>
      </c>
      <c r="S41" s="21">
        <f>'BS (F1Q23)'!S41-'BS (F4Q2022)'!S41</f>
        <v>0</v>
      </c>
      <c r="T41" s="21">
        <f>'BS (F1Q23)'!T41-'BS (F4Q2022)'!T41</f>
        <v>0</v>
      </c>
      <c r="U41" s="21">
        <f>'BS (F1Q23)'!U41-'BS (F4Q2022)'!U41</f>
        <v>0</v>
      </c>
      <c r="V41" s="21">
        <f>'BS (F1Q23)'!V41-'BS (F4Q2022)'!V41</f>
        <v>0</v>
      </c>
      <c r="W41" s="22">
        <f>'BS (F1Q23)'!W41-'BS (F4Q2022)'!W41</f>
        <v>0</v>
      </c>
      <c r="X41" s="21">
        <f>'BS (F1Q23)'!X41-'BS (F4Q2022)'!X41</f>
        <v>-258.34184733409711</v>
      </c>
      <c r="Y41" s="21">
        <f>'BS (F1Q23)'!Y41-'BS (F4Q2022)'!Y41</f>
        <v>-531.76038633141525</v>
      </c>
      <c r="Z41" s="21">
        <f>'BS (F1Q23)'!Z41-'BS (F4Q2022)'!Z41</f>
        <v>-668.08312651677534</v>
      </c>
      <c r="AA41" s="21">
        <f>'BS (F1Q23)'!AA41-'BS (F4Q2022)'!AA41</f>
        <v>-749.47622248981315</v>
      </c>
      <c r="AB41" s="22">
        <f>'BS (F1Q23)'!AB41-'BS (F4Q2022)'!AB41</f>
        <v>-749.47622248981315</v>
      </c>
      <c r="AC41" s="21">
        <f>'BS (F1Q23)'!AC41-'BS (F4Q2022)'!AC41</f>
        <v>-955.46593339535866</v>
      </c>
      <c r="AD41" s="21">
        <f>'BS (F1Q23)'!AD41-'BS (F4Q2022)'!AD41</f>
        <v>-1269.8647730933762</v>
      </c>
      <c r="AE41" s="21">
        <f>'BS (F1Q23)'!AE41-'BS (F4Q2022)'!AE41</f>
        <v>-1306.2967085028104</v>
      </c>
      <c r="AF41" s="21">
        <f>'BS (F1Q23)'!AF41-'BS (F4Q2022)'!AF41</f>
        <v>-1278.2756516413865</v>
      </c>
      <c r="AG41" s="22">
        <f>'BS (F1Q23)'!AG41-'BS (F4Q2022)'!AG41</f>
        <v>-1278.2756516413865</v>
      </c>
      <c r="AH41" s="21">
        <f>'BS (F1Q23)'!AH41-'BS (F4Q2022)'!AH41</f>
        <v>-1406.2190640488043</v>
      </c>
      <c r="AI41" s="21">
        <f>'BS (F1Q23)'!AI41-'BS (F4Q2022)'!AI41</f>
        <v>-1653.4850525878219</v>
      </c>
      <c r="AJ41" s="21">
        <f>'BS (F1Q23)'!AJ41-'BS (F4Q2022)'!AJ41</f>
        <v>-1691.215688570499</v>
      </c>
      <c r="AK41" s="21">
        <f>'BS (F1Q23)'!AK41-'BS (F4Q2022)'!AK41</f>
        <v>-1667.4048259027786</v>
      </c>
      <c r="AL41" s="22">
        <f>'BS (F1Q23)'!AL41-'BS (F4Q2022)'!AL41</f>
        <v>-1667.4048259027786</v>
      </c>
      <c r="AM41" s="21">
        <f>'BS (F1Q23)'!AM41-'BS (F4Q2022)'!AM41</f>
        <v>-1807.4565073622907</v>
      </c>
      <c r="AN41" s="21">
        <f>'BS (F1Q23)'!AN41-'BS (F4Q2022)'!AN41</f>
        <v>-2074.5396612884142</v>
      </c>
      <c r="AO41" s="21">
        <f>'BS (F1Q23)'!AO41-'BS (F4Q2022)'!AO41</f>
        <v>-2097.4876531849131</v>
      </c>
      <c r="AP41" s="21">
        <f>'BS (F1Q23)'!AP41-'BS (F4Q2022)'!AP41</f>
        <v>-2039.7105835472721</v>
      </c>
      <c r="AQ41" s="22">
        <f>'BS (F1Q23)'!AQ41-'BS (F4Q2022)'!AQ41</f>
        <v>-2039.7105835472721</v>
      </c>
      <c r="AR41" s="21">
        <f>'BS (F1Q23)'!AR41-'BS (F4Q2022)'!AR41</f>
        <v>-2192.0822778520615</v>
      </c>
      <c r="AS41" s="21">
        <f>'BS (F1Q23)'!AS41-'BS (F4Q2022)'!AS41</f>
        <v>-2476.5529372361616</v>
      </c>
      <c r="AT41" s="21">
        <f>'BS (F1Q23)'!AT41-'BS (F4Q2022)'!AT41</f>
        <v>-2506.0551988757197</v>
      </c>
      <c r="AU41" s="21">
        <f>'BS (F1Q23)'!AU41-'BS (F4Q2022)'!AU41</f>
        <v>-2449.6043820561272</v>
      </c>
      <c r="AV41" s="22">
        <f>'BS (F1Q23)'!AV41-'BS (F4Q2022)'!AV41</f>
        <v>-2449.6043820561272</v>
      </c>
    </row>
    <row r="42" spans="1:48" outlineLevel="1" x14ac:dyDescent="0.3">
      <c r="B42" s="617" t="s">
        <v>248</v>
      </c>
      <c r="C42" s="618"/>
      <c r="D42" s="267">
        <f>'BS (F1Q23)'!D42-'BS (F4Q2022)'!D42</f>
        <v>0</v>
      </c>
      <c r="E42" s="267">
        <f>'BS (F1Q23)'!E42-'BS (F4Q2022)'!E42</f>
        <v>0</v>
      </c>
      <c r="F42" s="267">
        <f>'BS (F1Q23)'!F42-'BS (F4Q2022)'!F42</f>
        <v>0</v>
      </c>
      <c r="G42" s="267">
        <f>'BS (F1Q23)'!G42-'BS (F4Q2022)'!G42</f>
        <v>0</v>
      </c>
      <c r="H42" s="268">
        <f>'BS (F1Q23)'!H42-'BS (F4Q2022)'!H42</f>
        <v>0</v>
      </c>
      <c r="I42" s="267">
        <f>'BS (F1Q23)'!I42-'BS (F4Q2022)'!I42</f>
        <v>0</v>
      </c>
      <c r="J42" s="267">
        <f>'BS (F1Q23)'!J42-'BS (F4Q2022)'!J42</f>
        <v>0</v>
      </c>
      <c r="K42" s="267">
        <f>'BS (F1Q23)'!K42-'BS (F4Q2022)'!K42</f>
        <v>0</v>
      </c>
      <c r="L42" s="267">
        <f>'BS (F1Q23)'!L42-'BS (F4Q2022)'!L42</f>
        <v>0</v>
      </c>
      <c r="M42" s="268">
        <f>'BS (F1Q23)'!M42-'BS (F4Q2022)'!M42</f>
        <v>0</v>
      </c>
      <c r="N42" s="267">
        <f>'BS (F1Q23)'!N42-'BS (F4Q2022)'!N42</f>
        <v>0</v>
      </c>
      <c r="O42" s="267">
        <f>'BS (F1Q23)'!O42-'BS (F4Q2022)'!O42</f>
        <v>0</v>
      </c>
      <c r="P42" s="267">
        <f>'BS (F1Q23)'!P42-'BS (F4Q2022)'!P42</f>
        <v>0</v>
      </c>
      <c r="Q42" s="267">
        <f>'BS (F1Q23)'!Q42-'BS (F4Q2022)'!Q42</f>
        <v>0</v>
      </c>
      <c r="R42" s="268">
        <f>'BS (F1Q23)'!R42-'BS (F4Q2022)'!R42</f>
        <v>0</v>
      </c>
      <c r="S42" s="267">
        <f>'BS (F1Q23)'!S42-'BS (F4Q2022)'!S42</f>
        <v>0</v>
      </c>
      <c r="T42" s="267">
        <f>'BS (F1Q23)'!T42-'BS (F4Q2022)'!T42</f>
        <v>0</v>
      </c>
      <c r="U42" s="267">
        <f>'BS (F1Q23)'!U42-'BS (F4Q2022)'!U42</f>
        <v>0</v>
      </c>
      <c r="V42" s="267">
        <f>'BS (F1Q23)'!V42-'BS (F4Q2022)'!V42</f>
        <v>0</v>
      </c>
      <c r="W42" s="268">
        <f>'BS (F1Q23)'!W42-'BS (F4Q2022)'!W42</f>
        <v>0</v>
      </c>
      <c r="X42" s="267">
        <f>'BS (F1Q23)'!X42-'BS (F4Q2022)'!X42</f>
        <v>-410.05618527096158</v>
      </c>
      <c r="Y42" s="267">
        <f>'BS (F1Q23)'!Y42-'BS (F4Q2022)'!Y42</f>
        <v>-100.06146228539001</v>
      </c>
      <c r="Z42" s="267">
        <f>'BS (F1Q23)'!Z42-'BS (F4Q2022)'!Z42</f>
        <v>-295.1801865813286</v>
      </c>
      <c r="AA42" s="267">
        <f>'BS (F1Q23)'!AA42-'BS (F4Q2022)'!AA42</f>
        <v>-395.71608250755162</v>
      </c>
      <c r="AB42" s="268">
        <f>'BS (F1Q23)'!AB42-'BS (F4Q2022)'!AB42</f>
        <v>-395.71608250755162</v>
      </c>
      <c r="AC42" s="267">
        <f>'BS (F1Q23)'!AC42-'BS (F4Q2022)'!AC42</f>
        <v>-570.19267010049225</v>
      </c>
      <c r="AD42" s="267">
        <f>'BS (F1Q23)'!AD42-'BS (F4Q2022)'!AD42</f>
        <v>-833.01889310326442</v>
      </c>
      <c r="AE42" s="267">
        <f>'BS (F1Q23)'!AE42-'BS (F4Q2022)'!AE42</f>
        <v>-939.04413700376244</v>
      </c>
      <c r="AF42" s="267">
        <f>'BS (F1Q23)'!AF42-'BS (F4Q2022)'!AF42</f>
        <v>-834.68625947142573</v>
      </c>
      <c r="AG42" s="268">
        <f>'BS (F1Q23)'!AG42-'BS (F4Q2022)'!AG42</f>
        <v>-834.68625947142573</v>
      </c>
      <c r="AH42" s="267">
        <f>'BS (F1Q23)'!AH42-'BS (F4Q2022)'!AH42</f>
        <v>-935.42996244526148</v>
      </c>
      <c r="AI42" s="267">
        <f>'BS (F1Q23)'!AI42-'BS (F4Q2022)'!AI42</f>
        <v>-1113.9509172066209</v>
      </c>
      <c r="AJ42" s="267">
        <f>'BS (F1Q23)'!AJ42-'BS (F4Q2022)'!AJ42</f>
        <v>429.37562772250385</v>
      </c>
      <c r="AK42" s="267">
        <f>'BS (F1Q23)'!AK42-'BS (F4Q2022)'!AK42</f>
        <v>425.94729900495076</v>
      </c>
      <c r="AL42" s="268">
        <f>'BS (F1Q23)'!AL42-'BS (F4Q2022)'!AL42</f>
        <v>425.94729900495076</v>
      </c>
      <c r="AM42" s="267">
        <f>'BS (F1Q23)'!AM42-'BS (F4Q2022)'!AM42</f>
        <v>305.08068073203685</v>
      </c>
      <c r="AN42" s="267">
        <f>'BS (F1Q23)'!AN42-'BS (F4Q2022)'!AN42</f>
        <v>-870.17590630774794</v>
      </c>
      <c r="AO42" s="267">
        <f>'BS (F1Q23)'!AO42-'BS (F4Q2022)'!AO42</f>
        <v>-983.800978369105</v>
      </c>
      <c r="AP42" s="267">
        <f>'BS (F1Q23)'!AP42-'BS (F4Q2022)'!AP42</f>
        <v>-954.94274347275859</v>
      </c>
      <c r="AQ42" s="268">
        <f>'BS (F1Q23)'!AQ42-'BS (F4Q2022)'!AQ42</f>
        <v>-954.94274347275859</v>
      </c>
      <c r="AR42" s="267">
        <f>'BS (F1Q23)'!AR42-'BS (F4Q2022)'!AR42</f>
        <v>-1074.3003903051685</v>
      </c>
      <c r="AS42" s="267">
        <f>'BS (F1Q23)'!AS42-'BS (F4Q2022)'!AS42</f>
        <v>-1271.5081426591823</v>
      </c>
      <c r="AT42" s="267">
        <f>'BS (F1Q23)'!AT42-'BS (F4Q2022)'!AT42</f>
        <v>-1398.0399184686321</v>
      </c>
      <c r="AU42" s="267">
        <f>'BS (F1Q23)'!AU42-'BS (F4Q2022)'!AU42</f>
        <v>-1372.7363170299213</v>
      </c>
      <c r="AV42" s="268">
        <f>'BS (F1Q23)'!AV42-'BS (F4Q2022)'!AV42</f>
        <v>-1372.7363170299213</v>
      </c>
    </row>
    <row r="43" spans="1:48" x14ac:dyDescent="0.3">
      <c r="B43" s="269"/>
      <c r="C43" s="270"/>
      <c r="D43" s="271">
        <f>'BS (F1Q23)'!D43-'BS (F4Q2022)'!D43</f>
        <v>0</v>
      </c>
      <c r="E43" s="271">
        <f>'BS (F1Q23)'!E43-'BS (F4Q2022)'!E43</f>
        <v>0</v>
      </c>
      <c r="F43" s="271">
        <f>'BS (F1Q23)'!F43-'BS (F4Q2022)'!F43</f>
        <v>0</v>
      </c>
      <c r="G43" s="271">
        <f>'BS (F1Q23)'!G43-'BS (F4Q2022)'!G43</f>
        <v>0</v>
      </c>
      <c r="H43" s="271">
        <f>'BS (F1Q23)'!H43-'BS (F4Q2022)'!H43</f>
        <v>0</v>
      </c>
      <c r="I43" s="271">
        <f>'BS (F1Q23)'!I43-'BS (F4Q2022)'!I43</f>
        <v>0</v>
      </c>
      <c r="J43" s="271">
        <f>'BS (F1Q23)'!J43-'BS (F4Q2022)'!J43</f>
        <v>0</v>
      </c>
      <c r="K43" s="271">
        <f>'BS (F1Q23)'!K43-'BS (F4Q2022)'!K43</f>
        <v>0</v>
      </c>
      <c r="L43" s="272">
        <f>'BS (F1Q23)'!L43-'BS (F4Q2022)'!L43</f>
        <v>0</v>
      </c>
      <c r="M43" s="272">
        <f>'BS (F1Q23)'!M43-'BS (F4Q2022)'!M43</f>
        <v>0</v>
      </c>
      <c r="N43" s="272">
        <f>'BS (F1Q23)'!N43-'BS (F4Q2022)'!N43</f>
        <v>0</v>
      </c>
      <c r="O43" s="272">
        <f>'BS (F1Q23)'!O43-'BS (F4Q2022)'!O43</f>
        <v>0</v>
      </c>
      <c r="P43" s="272">
        <f>'BS (F1Q23)'!P43-'BS (F4Q2022)'!P43</f>
        <v>0</v>
      </c>
      <c r="Q43" s="272">
        <f>'BS (F1Q23)'!Q43-'BS (F4Q2022)'!Q43</f>
        <v>0</v>
      </c>
      <c r="R43" s="272">
        <f>'BS (F1Q23)'!R43-'BS (F4Q2022)'!R43</f>
        <v>0</v>
      </c>
      <c r="S43" s="272">
        <f>'BS (F1Q23)'!S43-'BS (F4Q2022)'!S43</f>
        <v>0</v>
      </c>
      <c r="T43" s="272">
        <f>'BS (F1Q23)'!T43-'BS (F4Q2022)'!T43</f>
        <v>0</v>
      </c>
      <c r="U43" s="272">
        <f>'BS (F1Q23)'!U43-'BS (F4Q2022)'!U43</f>
        <v>0</v>
      </c>
      <c r="V43" s="272">
        <f>'BS (F1Q23)'!V43-'BS (F4Q2022)'!V43</f>
        <v>0</v>
      </c>
      <c r="W43" s="272">
        <f>'BS (F1Q23)'!W43-'BS (F4Q2022)'!W43</f>
        <v>0</v>
      </c>
      <c r="X43" s="272">
        <f>'BS (F1Q23)'!X43-'BS (F4Q2022)'!X43</f>
        <v>0</v>
      </c>
      <c r="Y43" s="272">
        <f>'BS (F1Q23)'!Y43-'BS (F4Q2022)'!Y43</f>
        <v>0</v>
      </c>
      <c r="Z43" s="272">
        <f>'BS (F1Q23)'!Z43-'BS (F4Q2022)'!Z43</f>
        <v>0</v>
      </c>
      <c r="AA43" s="272">
        <f>'BS (F1Q23)'!AA43-'BS (F4Q2022)'!AA43</f>
        <v>0</v>
      </c>
      <c r="AB43" s="272">
        <f>'BS (F1Q23)'!AB43-'BS (F4Q2022)'!AB43</f>
        <v>0</v>
      </c>
      <c r="AC43" s="272">
        <f>'BS (F1Q23)'!AC43-'BS (F4Q2022)'!AC43</f>
        <v>0</v>
      </c>
      <c r="AD43" s="272">
        <f>'BS (F1Q23)'!AD43-'BS (F4Q2022)'!AD43</f>
        <v>0</v>
      </c>
      <c r="AE43" s="272">
        <f>'BS (F1Q23)'!AE43-'BS (F4Q2022)'!AE43</f>
        <v>0</v>
      </c>
      <c r="AF43" s="272">
        <f>'BS (F1Q23)'!AF43-'BS (F4Q2022)'!AF43</f>
        <v>0</v>
      </c>
      <c r="AG43" s="272">
        <f>'BS (F1Q23)'!AG43-'BS (F4Q2022)'!AG43</f>
        <v>0</v>
      </c>
      <c r="AH43" s="272">
        <f>'BS (F1Q23)'!AH43-'BS (F4Q2022)'!AH43</f>
        <v>0</v>
      </c>
      <c r="AI43" s="272">
        <f>'BS (F1Q23)'!AI43-'BS (F4Q2022)'!AI43</f>
        <v>0</v>
      </c>
      <c r="AJ43" s="272">
        <f>'BS (F1Q23)'!AJ43-'BS (F4Q2022)'!AJ43</f>
        <v>0</v>
      </c>
      <c r="AK43" s="272">
        <f>'BS (F1Q23)'!AK43-'BS (F4Q2022)'!AK43</f>
        <v>0</v>
      </c>
      <c r="AL43" s="272">
        <f>'BS (F1Q23)'!AL43-'BS (F4Q2022)'!AL43</f>
        <v>0</v>
      </c>
      <c r="AM43" s="272">
        <f>'BS (F1Q23)'!AM43-'BS (F4Q2022)'!AM43</f>
        <v>0</v>
      </c>
      <c r="AN43" s="272">
        <f>'BS (F1Q23)'!AN43-'BS (F4Q2022)'!AN43</f>
        <v>0</v>
      </c>
      <c r="AO43" s="272">
        <f>'BS (F1Q23)'!AO43-'BS (F4Q2022)'!AO43</f>
        <v>0</v>
      </c>
      <c r="AP43" s="272">
        <f>'BS (F1Q23)'!AP43-'BS (F4Q2022)'!AP43</f>
        <v>0</v>
      </c>
      <c r="AQ43" s="272">
        <f>'BS (F1Q23)'!AQ43-'BS (F4Q2022)'!AQ43</f>
        <v>0</v>
      </c>
      <c r="AR43" s="272">
        <f>'BS (F1Q23)'!AR43-'BS (F4Q2022)'!AR43</f>
        <v>0</v>
      </c>
      <c r="AS43" s="272">
        <f>'BS (F1Q23)'!AS43-'BS (F4Q2022)'!AS43</f>
        <v>0</v>
      </c>
      <c r="AT43" s="272">
        <f>'BS (F1Q23)'!AT43-'BS (F4Q2022)'!AT43</f>
        <v>0</v>
      </c>
      <c r="AU43" s="272">
        <f>'BS (F1Q23)'!AU43-'BS (F4Q2022)'!AU43</f>
        <v>0</v>
      </c>
      <c r="AV43" s="272">
        <f>'BS (F1Q23)'!AV43-'BS (F4Q2022)'!AV43</f>
        <v>0</v>
      </c>
    </row>
    <row r="44" spans="1:48" ht="15.6" x14ac:dyDescent="0.3">
      <c r="B44" s="583" t="s">
        <v>249</v>
      </c>
      <c r="C44" s="584"/>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85"/>
      <c r="C45" s="586"/>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'BS (F1Q23)'!D46-'BS (F4Q2022)'!D46</f>
        <v>0</v>
      </c>
      <c r="E46" s="274">
        <f>'BS (F1Q23)'!E46-'BS (F4Q2022)'!E46</f>
        <v>0</v>
      </c>
      <c r="F46" s="274">
        <f>'BS (F1Q23)'!F46-'BS (F4Q2022)'!F46</f>
        <v>0</v>
      </c>
      <c r="G46" s="274">
        <f>'BS (F1Q23)'!G46-'BS (F4Q2022)'!G46</f>
        <v>0</v>
      </c>
      <c r="H46" s="122">
        <f>'BS (F1Q23)'!H46-'BS (F4Q2022)'!H46</f>
        <v>0</v>
      </c>
      <c r="I46" s="274">
        <f>'BS (F1Q23)'!I46-'BS (F4Q2022)'!I46</f>
        <v>0</v>
      </c>
      <c r="J46" s="274">
        <f>'BS (F1Q23)'!J46-'BS (F4Q2022)'!J46</f>
        <v>0</v>
      </c>
      <c r="K46" s="274">
        <f>'BS (F1Q23)'!K46-'BS (F4Q2022)'!K46</f>
        <v>0</v>
      </c>
      <c r="L46" s="274">
        <f>'BS (F1Q23)'!L46-'BS (F4Q2022)'!L46</f>
        <v>0</v>
      </c>
      <c r="M46" s="122">
        <f>'BS (F1Q23)'!M46-'BS (F4Q2022)'!M46</f>
        <v>0</v>
      </c>
      <c r="N46" s="274">
        <f>'BS (F1Q23)'!N46-'BS (F4Q2022)'!N46</f>
        <v>0</v>
      </c>
      <c r="O46" s="274">
        <f>'BS (F1Q23)'!O46-'BS (F4Q2022)'!O46</f>
        <v>0</v>
      </c>
      <c r="P46" s="274">
        <f>'BS (F1Q23)'!P46-'BS (F4Q2022)'!P46</f>
        <v>0</v>
      </c>
      <c r="Q46" s="274">
        <f>'BS (F1Q23)'!Q46-'BS (F4Q2022)'!Q46</f>
        <v>0</v>
      </c>
      <c r="R46" s="122">
        <f>'BS (F1Q23)'!R46-'BS (F4Q2022)'!R46</f>
        <v>0</v>
      </c>
      <c r="S46" s="274">
        <f>'BS (F1Q23)'!S46-'BS (F4Q2022)'!S46</f>
        <v>0</v>
      </c>
      <c r="T46" s="274">
        <f>'BS (F1Q23)'!T46-'BS (F4Q2022)'!T46</f>
        <v>0</v>
      </c>
      <c r="U46" s="274">
        <f>'BS (F1Q23)'!U46-'BS (F4Q2022)'!U46</f>
        <v>0</v>
      </c>
      <c r="V46" s="274">
        <f>'BS (F1Q23)'!V46-'BS (F4Q2022)'!V46</f>
        <v>0</v>
      </c>
      <c r="W46" s="122">
        <f>'BS (F1Q23)'!W46-'BS (F4Q2022)'!W46</f>
        <v>0</v>
      </c>
      <c r="X46" s="274">
        <f>'BS (F1Q23)'!X46-'BS (F4Q2022)'!X46</f>
        <v>0</v>
      </c>
      <c r="Y46" s="274">
        <f>'BS (F1Q23)'!Y46-'BS (F4Q2022)'!Y46</f>
        <v>0</v>
      </c>
      <c r="Z46" s="274">
        <f>'BS (F1Q23)'!Z46-'BS (F4Q2022)'!Z46</f>
        <v>0</v>
      </c>
      <c r="AA46" s="274">
        <f>'BS (F1Q23)'!AA46-'BS (F4Q2022)'!AA46</f>
        <v>0</v>
      </c>
      <c r="AB46" s="122">
        <f>'BS (F1Q23)'!AB46-'BS (F4Q2022)'!AB46</f>
        <v>0</v>
      </c>
      <c r="AC46" s="274">
        <f>'BS (F1Q23)'!AC46-'BS (F4Q2022)'!AC46</f>
        <v>0</v>
      </c>
      <c r="AD46" s="274">
        <f>'BS (F1Q23)'!AD46-'BS (F4Q2022)'!AD46</f>
        <v>0</v>
      </c>
      <c r="AE46" s="274">
        <f>'BS (F1Q23)'!AE46-'BS (F4Q2022)'!AE46</f>
        <v>0</v>
      </c>
      <c r="AF46" s="274">
        <f>'BS (F1Q23)'!AF46-'BS (F4Q2022)'!AF46</f>
        <v>0</v>
      </c>
      <c r="AG46" s="122">
        <f>'BS (F1Q23)'!AG46-'BS (F4Q2022)'!AG46</f>
        <v>0</v>
      </c>
      <c r="AH46" s="274">
        <f>'BS (F1Q23)'!AH46-'BS (F4Q2022)'!AH46</f>
        <v>0</v>
      </c>
      <c r="AI46" s="274">
        <f>'BS (F1Q23)'!AI46-'BS (F4Q2022)'!AI46</f>
        <v>0</v>
      </c>
      <c r="AJ46" s="274">
        <f>'BS (F1Q23)'!AJ46-'BS (F4Q2022)'!AJ46</f>
        <v>0</v>
      </c>
      <c r="AK46" s="274">
        <f>'BS (F1Q23)'!AK46-'BS (F4Q2022)'!AK46</f>
        <v>0</v>
      </c>
      <c r="AL46" s="122">
        <f>'BS (F1Q23)'!AL46-'BS (F4Q2022)'!AL46</f>
        <v>0</v>
      </c>
      <c r="AM46" s="274">
        <f>'BS (F1Q23)'!AM46-'BS (F4Q2022)'!AM46</f>
        <v>0</v>
      </c>
      <c r="AN46" s="274">
        <f>'BS (F1Q23)'!AN46-'BS (F4Q2022)'!AN46</f>
        <v>0</v>
      </c>
      <c r="AO46" s="274">
        <f>'BS (F1Q23)'!AO46-'BS (F4Q2022)'!AO46</f>
        <v>0</v>
      </c>
      <c r="AP46" s="274">
        <f>'BS (F1Q23)'!AP46-'BS (F4Q2022)'!AP46</f>
        <v>0</v>
      </c>
      <c r="AQ46" s="122">
        <f>'BS (F1Q23)'!AQ46-'BS (F4Q2022)'!AQ46</f>
        <v>0</v>
      </c>
      <c r="AR46" s="274">
        <f>'BS (F1Q23)'!AR46-'BS (F4Q2022)'!AR46</f>
        <v>0</v>
      </c>
      <c r="AS46" s="274">
        <f>'BS (F1Q23)'!AS46-'BS (F4Q2022)'!AS46</f>
        <v>0</v>
      </c>
      <c r="AT46" s="274">
        <f>'BS (F1Q23)'!AT46-'BS (F4Q2022)'!AT46</f>
        <v>0</v>
      </c>
      <c r="AU46" s="274">
        <f>'BS (F1Q23)'!AU46-'BS (F4Q2022)'!AU46</f>
        <v>0</v>
      </c>
      <c r="AV46" s="122">
        <f>'BS (F1Q23)'!AV46-'BS (F4Q2022)'!AV46</f>
        <v>0</v>
      </c>
    </row>
    <row r="47" spans="1:48" outlineLevel="1" x14ac:dyDescent="0.3">
      <c r="B47" s="580" t="s">
        <v>251</v>
      </c>
      <c r="C47" s="581"/>
      <c r="D47" s="276">
        <f>'BS (F1Q23)'!D47-'BS (F4Q2022)'!D47</f>
        <v>0</v>
      </c>
      <c r="E47" s="276">
        <f>'BS (F1Q23)'!E47-'BS (F4Q2022)'!E47</f>
        <v>0</v>
      </c>
      <c r="F47" s="276">
        <f>'BS (F1Q23)'!F47-'BS (F4Q2022)'!F47</f>
        <v>0</v>
      </c>
      <c r="G47" s="276">
        <f>'BS (F1Q23)'!G47-'BS (F4Q2022)'!G47</f>
        <v>0</v>
      </c>
      <c r="H47" s="126">
        <f>'BS (F1Q23)'!H47-'BS (F4Q2022)'!H47</f>
        <v>0</v>
      </c>
      <c r="I47" s="276">
        <f>'BS (F1Q23)'!I47-'BS (F4Q2022)'!I47</f>
        <v>0</v>
      </c>
      <c r="J47" s="276">
        <f>'BS (F1Q23)'!J47-'BS (F4Q2022)'!J47</f>
        <v>0</v>
      </c>
      <c r="K47" s="276">
        <f>'BS (F1Q23)'!K47-'BS (F4Q2022)'!K47</f>
        <v>0</v>
      </c>
      <c r="L47" s="276">
        <f>'BS (F1Q23)'!L47-'BS (F4Q2022)'!L47</f>
        <v>0</v>
      </c>
      <c r="M47" s="31">
        <f>'BS (F1Q23)'!M47-'BS (F4Q2022)'!M47</f>
        <v>0</v>
      </c>
      <c r="N47" s="276">
        <f>'BS (F1Q23)'!N47-'BS (F4Q2022)'!N47</f>
        <v>0</v>
      </c>
      <c r="O47" s="276">
        <f>'BS (F1Q23)'!O47-'BS (F4Q2022)'!O47</f>
        <v>0</v>
      </c>
      <c r="P47" s="276">
        <f>'BS (F1Q23)'!P47-'BS (F4Q2022)'!P47</f>
        <v>0</v>
      </c>
      <c r="Q47" s="276">
        <f>'BS (F1Q23)'!Q47-'BS (F4Q2022)'!Q47</f>
        <v>0</v>
      </c>
      <c r="R47" s="31">
        <f>'BS (F1Q23)'!R47-'BS (F4Q2022)'!R47</f>
        <v>0</v>
      </c>
      <c r="S47" s="276">
        <f>'BS (F1Q23)'!S47-'BS (F4Q2022)'!S47</f>
        <v>0</v>
      </c>
      <c r="T47" s="276">
        <f>'BS (F1Q23)'!T47-'BS (F4Q2022)'!T47</f>
        <v>0</v>
      </c>
      <c r="U47" s="276">
        <f>'BS (F1Q23)'!U47-'BS (F4Q2022)'!U47</f>
        <v>0</v>
      </c>
      <c r="V47" s="276">
        <f>'BS (F1Q23)'!V47-'BS (F4Q2022)'!V47</f>
        <v>0</v>
      </c>
      <c r="W47" s="126">
        <f>'BS (F1Q23)'!W47-'BS (F4Q2022)'!W47</f>
        <v>0</v>
      </c>
      <c r="X47" s="277">
        <f>'BS (F1Q23)'!X47-'BS (F4Q2022)'!X47</f>
        <v>-0.24794653793812227</v>
      </c>
      <c r="Y47" s="277">
        <f>'BS (F1Q23)'!Y47-'BS (F4Q2022)'!Y47</f>
        <v>0</v>
      </c>
      <c r="Z47" s="277">
        <f>'BS (F1Q23)'!Z47-'BS (F4Q2022)'!Z47</f>
        <v>0</v>
      </c>
      <c r="AA47" s="277">
        <f>'BS (F1Q23)'!AA47-'BS (F4Q2022)'!AA47</f>
        <v>0</v>
      </c>
      <c r="AB47" s="278">
        <f>'BS (F1Q23)'!AB47-'BS (F4Q2022)'!AB47</f>
        <v>0</v>
      </c>
      <c r="AC47" s="277">
        <f>'BS (F1Q23)'!AC47-'BS (F4Q2022)'!AC47</f>
        <v>-8.2648845979376162E-2</v>
      </c>
      <c r="AD47" s="277">
        <f>'BS (F1Q23)'!AD47-'BS (F4Q2022)'!AD47</f>
        <v>0</v>
      </c>
      <c r="AE47" s="277">
        <f>'BS (F1Q23)'!AE47-'BS (F4Q2022)'!AE47</f>
        <v>0</v>
      </c>
      <c r="AF47" s="277">
        <f>'BS (F1Q23)'!AF47-'BS (F4Q2022)'!AF47</f>
        <v>0</v>
      </c>
      <c r="AG47" s="278">
        <f>'BS (F1Q23)'!AG47-'BS (F4Q2022)'!AG47</f>
        <v>0</v>
      </c>
      <c r="AH47" s="277">
        <f>'BS (F1Q23)'!AH47-'BS (F4Q2022)'!AH47</f>
        <v>-0.11019846130583222</v>
      </c>
      <c r="AI47" s="277">
        <f>'BS (F1Q23)'!AI47-'BS (F4Q2022)'!AI47</f>
        <v>0</v>
      </c>
      <c r="AJ47" s="277">
        <f>'BS (F1Q23)'!AJ47-'BS (F4Q2022)'!AJ47</f>
        <v>0</v>
      </c>
      <c r="AK47" s="277">
        <f>'BS (F1Q23)'!AK47-'BS (F4Q2022)'!AK47</f>
        <v>0</v>
      </c>
      <c r="AL47" s="278">
        <f>'BS (F1Q23)'!AL47-'BS (F4Q2022)'!AL47</f>
        <v>0</v>
      </c>
      <c r="AM47" s="277">
        <f>'BS (F1Q23)'!AM47-'BS (F4Q2022)'!AM47</f>
        <v>-0.14693128174111081</v>
      </c>
      <c r="AN47" s="277">
        <f>'BS (F1Q23)'!AN47-'BS (F4Q2022)'!AN47</f>
        <v>0</v>
      </c>
      <c r="AO47" s="277">
        <f>'BS (F1Q23)'!AO47-'BS (F4Q2022)'!AO47</f>
        <v>0</v>
      </c>
      <c r="AP47" s="277">
        <f>'BS (F1Q23)'!AP47-'BS (F4Q2022)'!AP47</f>
        <v>0</v>
      </c>
      <c r="AQ47" s="278">
        <f>'BS (F1Q23)'!AQ47-'BS (F4Q2022)'!AQ47</f>
        <v>0</v>
      </c>
      <c r="AR47" s="277">
        <f>'BS (F1Q23)'!AR47-'BS (F4Q2022)'!AR47</f>
        <v>-0.11325952967543973</v>
      </c>
      <c r="AS47" s="277">
        <f>'BS (F1Q23)'!AS47-'BS (F4Q2022)'!AS47</f>
        <v>0</v>
      </c>
      <c r="AT47" s="277">
        <f>'BS (F1Q23)'!AT47-'BS (F4Q2022)'!AT47</f>
        <v>0</v>
      </c>
      <c r="AU47" s="277">
        <f>'BS (F1Q23)'!AU47-'BS (F4Q2022)'!AU47</f>
        <v>0</v>
      </c>
      <c r="AV47" s="278">
        <f>'BS (F1Q23)'!AV47-'BS (F4Q2022)'!AV47</f>
        <v>0</v>
      </c>
    </row>
    <row r="48" spans="1:48" s="23" customFormat="1" outlineLevel="1" x14ac:dyDescent="0.3">
      <c r="B48" s="607" t="s">
        <v>252</v>
      </c>
      <c r="C48" s="608"/>
      <c r="D48" s="279">
        <f>'BS (F1Q23)'!D48-'BS (F4Q2022)'!D48</f>
        <v>0</v>
      </c>
      <c r="E48" s="279">
        <f>'BS (F1Q23)'!E48-'BS (F4Q2022)'!E48</f>
        <v>0</v>
      </c>
      <c r="F48" s="274">
        <f>'BS (F1Q23)'!F48-'BS (F4Q2022)'!F48</f>
        <v>0</v>
      </c>
      <c r="G48" s="274">
        <f>'BS (F1Q23)'!G48-'BS (F4Q2022)'!G48</f>
        <v>0</v>
      </c>
      <c r="H48" s="126">
        <f>'BS (F1Q23)'!H48-'BS (F4Q2022)'!H48</f>
        <v>0</v>
      </c>
      <c r="I48" s="274">
        <f>'BS (F1Q23)'!I48-'BS (F4Q2022)'!I48</f>
        <v>0</v>
      </c>
      <c r="J48" s="274">
        <f>'BS (F1Q23)'!J48-'BS (F4Q2022)'!J48</f>
        <v>0</v>
      </c>
      <c r="K48" s="274">
        <f>'BS (F1Q23)'!K48-'BS (F4Q2022)'!K48</f>
        <v>0</v>
      </c>
      <c r="L48" s="279">
        <f>'BS (F1Q23)'!L48-'BS (F4Q2022)'!L48</f>
        <v>0</v>
      </c>
      <c r="M48" s="31">
        <f>'BS (F1Q23)'!M48-'BS (F4Q2022)'!M48</f>
        <v>0</v>
      </c>
      <c r="N48" s="279">
        <f>'BS (F1Q23)'!N48-'BS (F4Q2022)'!N48</f>
        <v>0</v>
      </c>
      <c r="O48" s="279">
        <f>'BS (F1Q23)'!O48-'BS (F4Q2022)'!O48</f>
        <v>0</v>
      </c>
      <c r="P48" s="279">
        <f>'BS (F1Q23)'!P48-'BS (F4Q2022)'!P48</f>
        <v>0</v>
      </c>
      <c r="Q48" s="279">
        <f>'BS (F1Q23)'!Q48-'BS (F4Q2022)'!Q48</f>
        <v>0</v>
      </c>
      <c r="R48" s="31">
        <f>'BS (F1Q23)'!R48-'BS (F4Q2022)'!R48</f>
        <v>0</v>
      </c>
      <c r="S48" s="279">
        <f>'BS (F1Q23)'!S48-'BS (F4Q2022)'!S48</f>
        <v>0</v>
      </c>
      <c r="T48" s="279">
        <f>'BS (F1Q23)'!T48-'BS (F4Q2022)'!T48</f>
        <v>0</v>
      </c>
      <c r="U48" s="279">
        <f>'BS (F1Q23)'!U48-'BS (F4Q2022)'!U48</f>
        <v>0</v>
      </c>
      <c r="V48" s="279">
        <f>'BS (F1Q23)'!V48-'BS (F4Q2022)'!V48</f>
        <v>0</v>
      </c>
      <c r="W48" s="126">
        <f>'BS (F1Q23)'!W48-'BS (F4Q2022)'!W48</f>
        <v>0</v>
      </c>
      <c r="X48" s="279">
        <f>'BS (F1Q23)'!X48-'BS (F4Q2022)'!X48</f>
        <v>0.39324897706837092</v>
      </c>
      <c r="Y48" s="279">
        <f>'BS (F1Q23)'!Y48-'BS (F4Q2022)'!Y48</f>
        <v>0</v>
      </c>
      <c r="Z48" s="279">
        <f>'BS (F1Q23)'!Z48-'BS (F4Q2022)'!Z48</f>
        <v>0</v>
      </c>
      <c r="AA48" s="279">
        <f>'BS (F1Q23)'!AA48-'BS (F4Q2022)'!AA48</f>
        <v>0</v>
      </c>
      <c r="AB48" s="31">
        <f>'BS (F1Q23)'!AB48-'BS (F4Q2022)'!AB48</f>
        <v>0</v>
      </c>
      <c r="AC48" s="279">
        <f>'BS (F1Q23)'!AC48-'BS (F4Q2022)'!AC48</f>
        <v>0.12908097392902107</v>
      </c>
      <c r="AD48" s="279">
        <f>'BS (F1Q23)'!AD48-'BS (F4Q2022)'!AD48</f>
        <v>0</v>
      </c>
      <c r="AE48" s="279">
        <f>'BS (F1Q23)'!AE48-'BS (F4Q2022)'!AE48</f>
        <v>0</v>
      </c>
      <c r="AF48" s="279">
        <f>'BS (F1Q23)'!AF48-'BS (F4Q2022)'!AF48</f>
        <v>0</v>
      </c>
      <c r="AG48" s="31">
        <f>'BS (F1Q23)'!AG48-'BS (F4Q2022)'!AG48</f>
        <v>0</v>
      </c>
      <c r="AH48" s="279">
        <f>'BS (F1Q23)'!AH48-'BS (F4Q2022)'!AH48</f>
        <v>0.17100363866119395</v>
      </c>
      <c r="AI48" s="279">
        <f>'BS (F1Q23)'!AI48-'BS (F4Q2022)'!AI48</f>
        <v>0</v>
      </c>
      <c r="AJ48" s="279">
        <f>'BS (F1Q23)'!AJ48-'BS (F4Q2022)'!AJ48</f>
        <v>0</v>
      </c>
      <c r="AK48" s="279">
        <f>'BS (F1Q23)'!AK48-'BS (F4Q2022)'!AK48</f>
        <v>0</v>
      </c>
      <c r="AL48" s="31">
        <f>'BS (F1Q23)'!AL48-'BS (F4Q2022)'!AL48</f>
        <v>0</v>
      </c>
      <c r="AM48" s="279">
        <f>'BS (F1Q23)'!AM48-'BS (F4Q2022)'!AM48</f>
        <v>0.23015314488017857</v>
      </c>
      <c r="AN48" s="279">
        <f>'BS (F1Q23)'!AN48-'BS (F4Q2022)'!AN48</f>
        <v>0</v>
      </c>
      <c r="AO48" s="279">
        <f>'BS (F1Q23)'!AO48-'BS (F4Q2022)'!AO48</f>
        <v>0</v>
      </c>
      <c r="AP48" s="279">
        <f>'BS (F1Q23)'!AP48-'BS (F4Q2022)'!AP48</f>
        <v>0</v>
      </c>
      <c r="AQ48" s="31">
        <f>'BS (F1Q23)'!AQ48-'BS (F4Q2022)'!AQ48</f>
        <v>0</v>
      </c>
      <c r="AR48" s="279">
        <f>'BS (F1Q23)'!AR48-'BS (F4Q2022)'!AR48</f>
        <v>0.17668151069091742</v>
      </c>
      <c r="AS48" s="279">
        <f>'BS (F1Q23)'!AS48-'BS (F4Q2022)'!AS48</f>
        <v>0</v>
      </c>
      <c r="AT48" s="279">
        <f>'BS (F1Q23)'!AT48-'BS (F4Q2022)'!AT48</f>
        <v>0</v>
      </c>
      <c r="AU48" s="279">
        <f>'BS (F1Q23)'!AU48-'BS (F4Q2022)'!AU48</f>
        <v>0</v>
      </c>
      <c r="AV48" s="31">
        <f>'BS (F1Q23)'!AV48-'BS (F4Q2022)'!AV48</f>
        <v>0</v>
      </c>
    </row>
    <row r="49" spans="2:48" outlineLevel="1" x14ac:dyDescent="0.3">
      <c r="B49" s="580" t="s">
        <v>253</v>
      </c>
      <c r="C49" s="581"/>
      <c r="D49" s="276">
        <f>'BS (F1Q23)'!D49-'BS (F4Q2022)'!D49</f>
        <v>0</v>
      </c>
      <c r="E49" s="276">
        <f>'BS (F1Q23)'!E49-'BS (F4Q2022)'!E49</f>
        <v>0</v>
      </c>
      <c r="F49" s="276">
        <f>'BS (F1Q23)'!F49-'BS (F4Q2022)'!F49</f>
        <v>0</v>
      </c>
      <c r="G49" s="276">
        <f>'BS (F1Q23)'!G49-'BS (F4Q2022)'!G49</f>
        <v>0</v>
      </c>
      <c r="H49" s="126">
        <f>'BS (F1Q23)'!H49-'BS (F4Q2022)'!H49</f>
        <v>0</v>
      </c>
      <c r="I49" s="276">
        <f>'BS (F1Q23)'!I49-'BS (F4Q2022)'!I49</f>
        <v>0</v>
      </c>
      <c r="J49" s="276">
        <f>'BS (F1Q23)'!J49-'BS (F4Q2022)'!J49</f>
        <v>0</v>
      </c>
      <c r="K49" s="276">
        <f>'BS (F1Q23)'!K49-'BS (F4Q2022)'!K49</f>
        <v>0</v>
      </c>
      <c r="L49" s="276">
        <f>'BS (F1Q23)'!L49-'BS (F4Q2022)'!L49</f>
        <v>0</v>
      </c>
      <c r="M49" s="31">
        <f>'BS (F1Q23)'!M49-'BS (F4Q2022)'!M49</f>
        <v>0</v>
      </c>
      <c r="N49" s="276">
        <f>'BS (F1Q23)'!N49-'BS (F4Q2022)'!N49</f>
        <v>0</v>
      </c>
      <c r="O49" s="276">
        <f>'BS (F1Q23)'!O49-'BS (F4Q2022)'!O49</f>
        <v>0</v>
      </c>
      <c r="P49" s="276">
        <f>'BS (F1Q23)'!P49-'BS (F4Q2022)'!P49</f>
        <v>0</v>
      </c>
      <c r="Q49" s="276">
        <f>'BS (F1Q23)'!Q49-'BS (F4Q2022)'!Q49</f>
        <v>0</v>
      </c>
      <c r="R49" s="31">
        <f>'BS (F1Q23)'!R49-'BS (F4Q2022)'!R49</f>
        <v>0</v>
      </c>
      <c r="S49" s="276">
        <f>'BS (F1Q23)'!S49-'BS (F4Q2022)'!S49</f>
        <v>0</v>
      </c>
      <c r="T49" s="276">
        <f>'BS (F1Q23)'!T49-'BS (F4Q2022)'!T49</f>
        <v>0</v>
      </c>
      <c r="U49" s="276">
        <f>'BS (F1Q23)'!U49-'BS (F4Q2022)'!U49</f>
        <v>0</v>
      </c>
      <c r="V49" s="276">
        <f>'BS (F1Q23)'!V49-'BS (F4Q2022)'!V49</f>
        <v>0</v>
      </c>
      <c r="W49" s="126">
        <f>'BS (F1Q23)'!W49-'BS (F4Q2022)'!W49</f>
        <v>0</v>
      </c>
      <c r="X49" s="277">
        <f>'BS (F1Q23)'!X49-'BS (F4Q2022)'!X49</f>
        <v>-0.16205313470760796</v>
      </c>
      <c r="Y49" s="277">
        <f>'BS (F1Q23)'!Y49-'BS (F4Q2022)'!Y49</f>
        <v>0</v>
      </c>
      <c r="Z49" s="277">
        <f>'BS (F1Q23)'!Z49-'BS (F4Q2022)'!Z49</f>
        <v>0</v>
      </c>
      <c r="AA49" s="277">
        <f>'BS (F1Q23)'!AA49-'BS (F4Q2022)'!AA49</f>
        <v>0</v>
      </c>
      <c r="AB49" s="278">
        <f>'BS (F1Q23)'!AB49-'BS (F4Q2022)'!AB49</f>
        <v>0</v>
      </c>
      <c r="AC49" s="277">
        <f>'BS (F1Q23)'!AC49-'BS (F4Q2022)'!AC49</f>
        <v>-5.4017711569202431E-2</v>
      </c>
      <c r="AD49" s="277">
        <f>'BS (F1Q23)'!AD49-'BS (F4Q2022)'!AD49</f>
        <v>0</v>
      </c>
      <c r="AE49" s="277">
        <f>'BS (F1Q23)'!AE49-'BS (F4Q2022)'!AE49</f>
        <v>0</v>
      </c>
      <c r="AF49" s="277">
        <f>'BS (F1Q23)'!AF49-'BS (F4Q2022)'!AF49</f>
        <v>0</v>
      </c>
      <c r="AG49" s="278">
        <f>'BS (F1Q23)'!AG49-'BS (F4Q2022)'!AG49</f>
        <v>0</v>
      </c>
      <c r="AH49" s="277">
        <f>'BS (F1Q23)'!AH49-'BS (F4Q2022)'!AH49</f>
        <v>-7.2023615425603094E-2</v>
      </c>
      <c r="AI49" s="277">
        <f>'BS (F1Q23)'!AI49-'BS (F4Q2022)'!AI49</f>
        <v>0</v>
      </c>
      <c r="AJ49" s="277">
        <f>'BS (F1Q23)'!AJ49-'BS (F4Q2022)'!AJ49</f>
        <v>0</v>
      </c>
      <c r="AK49" s="277">
        <f>'BS (F1Q23)'!AK49-'BS (F4Q2022)'!AK49</f>
        <v>0</v>
      </c>
      <c r="AL49" s="278">
        <f>'BS (F1Q23)'!AL49-'BS (F4Q2022)'!AL49</f>
        <v>0</v>
      </c>
      <c r="AM49" s="277">
        <f>'BS (F1Q23)'!AM49-'BS (F4Q2022)'!AM49</f>
        <v>-9.603148723413768E-2</v>
      </c>
      <c r="AN49" s="277">
        <f>'BS (F1Q23)'!AN49-'BS (F4Q2022)'!AN49</f>
        <v>0</v>
      </c>
      <c r="AO49" s="277">
        <f>'BS (F1Q23)'!AO49-'BS (F4Q2022)'!AO49</f>
        <v>0</v>
      </c>
      <c r="AP49" s="277">
        <f>'BS (F1Q23)'!AP49-'BS (F4Q2022)'!AP49</f>
        <v>0</v>
      </c>
      <c r="AQ49" s="278">
        <f>'BS (F1Q23)'!AQ49-'BS (F4Q2022)'!AQ49</f>
        <v>0</v>
      </c>
      <c r="AR49" s="277">
        <f>'BS (F1Q23)'!AR49-'BS (F4Q2022)'!AR49</f>
        <v>-7.4024271409647513E-2</v>
      </c>
      <c r="AS49" s="277">
        <f>'BS (F1Q23)'!AS49-'BS (F4Q2022)'!AS49</f>
        <v>0</v>
      </c>
      <c r="AT49" s="277">
        <f>'BS (F1Q23)'!AT49-'BS (F4Q2022)'!AT49</f>
        <v>0</v>
      </c>
      <c r="AU49" s="277">
        <f>'BS (F1Q23)'!AU49-'BS (F4Q2022)'!AU49</f>
        <v>0</v>
      </c>
      <c r="AV49" s="278">
        <f>'BS (F1Q23)'!AV49-'BS (F4Q2022)'!AV49</f>
        <v>0</v>
      </c>
    </row>
    <row r="50" spans="2:48" s="23" customFormat="1" outlineLevel="1" x14ac:dyDescent="0.3">
      <c r="B50" s="607" t="s">
        <v>252</v>
      </c>
      <c r="C50" s="608"/>
      <c r="D50" s="279">
        <f>'BS (F1Q23)'!D50-'BS (F4Q2022)'!D50</f>
        <v>0</v>
      </c>
      <c r="E50" s="279">
        <f>'BS (F1Q23)'!E50-'BS (F4Q2022)'!E50</f>
        <v>0</v>
      </c>
      <c r="F50" s="274">
        <f>'BS (F1Q23)'!F50-'BS (F4Q2022)'!F50</f>
        <v>0</v>
      </c>
      <c r="G50" s="274">
        <f>'BS (F1Q23)'!G50-'BS (F4Q2022)'!G50</f>
        <v>0</v>
      </c>
      <c r="H50" s="126">
        <f>'BS (F1Q23)'!H50-'BS (F4Q2022)'!H50</f>
        <v>0</v>
      </c>
      <c r="I50" s="274">
        <f>'BS (F1Q23)'!I50-'BS (F4Q2022)'!I50</f>
        <v>0</v>
      </c>
      <c r="J50" s="274">
        <f>'BS (F1Q23)'!J50-'BS (F4Q2022)'!J50</f>
        <v>0</v>
      </c>
      <c r="K50" s="274">
        <f>'BS (F1Q23)'!K50-'BS (F4Q2022)'!K50</f>
        <v>0</v>
      </c>
      <c r="L50" s="279">
        <f>'BS (F1Q23)'!L50-'BS (F4Q2022)'!L50</f>
        <v>0</v>
      </c>
      <c r="M50" s="31">
        <f>'BS (F1Q23)'!M50-'BS (F4Q2022)'!M50</f>
        <v>0</v>
      </c>
      <c r="N50" s="279">
        <f>'BS (F1Q23)'!N50-'BS (F4Q2022)'!N50</f>
        <v>0</v>
      </c>
      <c r="O50" s="279">
        <f>'BS (F1Q23)'!O50-'BS (F4Q2022)'!O50</f>
        <v>0</v>
      </c>
      <c r="P50" s="279">
        <f>'BS (F1Q23)'!P50-'BS (F4Q2022)'!P50</f>
        <v>0</v>
      </c>
      <c r="Q50" s="279">
        <f>'BS (F1Q23)'!Q50-'BS (F4Q2022)'!Q50</f>
        <v>0</v>
      </c>
      <c r="R50" s="31">
        <f>'BS (F1Q23)'!R50-'BS (F4Q2022)'!R50</f>
        <v>0</v>
      </c>
      <c r="S50" s="279">
        <f>'BS (F1Q23)'!S50-'BS (F4Q2022)'!S50</f>
        <v>0</v>
      </c>
      <c r="T50" s="279">
        <f>'BS (F1Q23)'!T50-'BS (F4Q2022)'!T50</f>
        <v>0</v>
      </c>
      <c r="U50" s="279">
        <f>'BS (F1Q23)'!U50-'BS (F4Q2022)'!U50</f>
        <v>0</v>
      </c>
      <c r="V50" s="279">
        <f>'BS (F1Q23)'!V50-'BS (F4Q2022)'!V50</f>
        <v>0</v>
      </c>
      <c r="W50" s="126">
        <f>'BS (F1Q23)'!W50-'BS (F4Q2022)'!W50</f>
        <v>0</v>
      </c>
      <c r="X50" s="279">
        <f>'BS (F1Q23)'!X50-'BS (F4Q2022)'!X50</f>
        <v>7.3467532530844863</v>
      </c>
      <c r="Y50" s="279">
        <f>'BS (F1Q23)'!Y50-'BS (F4Q2022)'!Y50</f>
        <v>0</v>
      </c>
      <c r="Z50" s="279">
        <f>'BS (F1Q23)'!Z50-'BS (F4Q2022)'!Z50</f>
        <v>0</v>
      </c>
      <c r="AA50" s="279">
        <f>'BS (F1Q23)'!AA50-'BS (F4Q2022)'!AA50</f>
        <v>0</v>
      </c>
      <c r="AB50" s="31">
        <f>'BS (F1Q23)'!AB50-'BS (F4Q2022)'!AB50</f>
        <v>0</v>
      </c>
      <c r="AC50" s="279">
        <f>'BS (F1Q23)'!AC50-'BS (F4Q2022)'!AC50</f>
        <v>2.350540828095312</v>
      </c>
      <c r="AD50" s="279">
        <f>'BS (F1Q23)'!AD50-'BS (F4Q2022)'!AD50</f>
        <v>0</v>
      </c>
      <c r="AE50" s="279">
        <f>'BS (F1Q23)'!AE50-'BS (F4Q2022)'!AE50</f>
        <v>0</v>
      </c>
      <c r="AF50" s="279">
        <f>'BS (F1Q23)'!AF50-'BS (F4Q2022)'!AF50</f>
        <v>0</v>
      </c>
      <c r="AG50" s="31">
        <f>'BS (F1Q23)'!AG50-'BS (F4Q2022)'!AG50</f>
        <v>0</v>
      </c>
      <c r="AH50" s="279">
        <f>'BS (F1Q23)'!AH50-'BS (F4Q2022)'!AH50</f>
        <v>3.047923237256903</v>
      </c>
      <c r="AI50" s="279">
        <f>'BS (F1Q23)'!AI50-'BS (F4Q2022)'!AI50</f>
        <v>0</v>
      </c>
      <c r="AJ50" s="279">
        <f>'BS (F1Q23)'!AJ50-'BS (F4Q2022)'!AJ50</f>
        <v>0</v>
      </c>
      <c r="AK50" s="279">
        <f>'BS (F1Q23)'!AK50-'BS (F4Q2022)'!AK50</f>
        <v>0</v>
      </c>
      <c r="AL50" s="31">
        <f>'BS (F1Q23)'!AL50-'BS (F4Q2022)'!AL50</f>
        <v>0</v>
      </c>
      <c r="AM50" s="279">
        <f>'BS (F1Q23)'!AM50-'BS (F4Q2022)'!AM50</f>
        <v>4.1950578977077484</v>
      </c>
      <c r="AN50" s="279">
        <f>'BS (F1Q23)'!AN50-'BS (F4Q2022)'!AN50</f>
        <v>0</v>
      </c>
      <c r="AO50" s="279">
        <f>'BS (F1Q23)'!AO50-'BS (F4Q2022)'!AO50</f>
        <v>0</v>
      </c>
      <c r="AP50" s="279">
        <f>'BS (F1Q23)'!AP50-'BS (F4Q2022)'!AP50</f>
        <v>0</v>
      </c>
      <c r="AQ50" s="31">
        <f>'BS (F1Q23)'!AQ50-'BS (F4Q2022)'!AQ50</f>
        <v>0</v>
      </c>
      <c r="AR50" s="279">
        <f>'BS (F1Q23)'!AR50-'BS (F4Q2022)'!AR50</f>
        <v>3.1952049013302855</v>
      </c>
      <c r="AS50" s="279">
        <f>'BS (F1Q23)'!AS50-'BS (F4Q2022)'!AS50</f>
        <v>0</v>
      </c>
      <c r="AT50" s="279">
        <f>'BS (F1Q23)'!AT50-'BS (F4Q2022)'!AT50</f>
        <v>0</v>
      </c>
      <c r="AU50" s="279">
        <f>'BS (F1Q23)'!AU50-'BS (F4Q2022)'!AU50</f>
        <v>0</v>
      </c>
      <c r="AV50" s="31">
        <f>'BS (F1Q23)'!AV50-'BS (F4Q2022)'!AV50</f>
        <v>0</v>
      </c>
    </row>
    <row r="51" spans="2:48" s="23" customFormat="1" outlineLevel="1" x14ac:dyDescent="0.3">
      <c r="B51" s="580" t="s">
        <v>254</v>
      </c>
      <c r="C51" s="581"/>
      <c r="D51" s="276">
        <f>'BS (F1Q23)'!D51-'BS (F4Q2022)'!D51</f>
        <v>0</v>
      </c>
      <c r="E51" s="276">
        <f>'BS (F1Q23)'!E51-'BS (F4Q2022)'!E51</f>
        <v>0</v>
      </c>
      <c r="F51" s="276">
        <f>'BS (F1Q23)'!F51-'BS (F4Q2022)'!F51</f>
        <v>0</v>
      </c>
      <c r="G51" s="276">
        <f>'BS (F1Q23)'!G51-'BS (F4Q2022)'!G51</f>
        <v>0</v>
      </c>
      <c r="H51" s="127">
        <f>'BS (F1Q23)'!H51-'BS (F4Q2022)'!H51</f>
        <v>0</v>
      </c>
      <c r="I51" s="276">
        <f>'BS (F1Q23)'!I51-'BS (F4Q2022)'!I51</f>
        <v>0</v>
      </c>
      <c r="J51" s="276">
        <f>'BS (F1Q23)'!J51-'BS (F4Q2022)'!J51</f>
        <v>0</v>
      </c>
      <c r="K51" s="276">
        <f>'BS (F1Q23)'!K51-'BS (F4Q2022)'!K51</f>
        <v>0</v>
      </c>
      <c r="L51" s="276">
        <f>'BS (F1Q23)'!L51-'BS (F4Q2022)'!L51</f>
        <v>0</v>
      </c>
      <c r="M51" s="280">
        <f>'BS (F1Q23)'!M51-'BS (F4Q2022)'!M51</f>
        <v>0</v>
      </c>
      <c r="N51" s="276">
        <f>'BS (F1Q23)'!N51-'BS (F4Q2022)'!N51</f>
        <v>0</v>
      </c>
      <c r="O51" s="276">
        <f>'BS (F1Q23)'!O51-'BS (F4Q2022)'!O51</f>
        <v>0</v>
      </c>
      <c r="P51" s="276">
        <f>'BS (F1Q23)'!P51-'BS (F4Q2022)'!P51</f>
        <v>0</v>
      </c>
      <c r="Q51" s="276">
        <f>'BS (F1Q23)'!Q51-'BS (F4Q2022)'!Q51</f>
        <v>0</v>
      </c>
      <c r="R51" s="280">
        <f>'BS (F1Q23)'!R51-'BS (F4Q2022)'!R51</f>
        <v>0</v>
      </c>
      <c r="S51" s="276">
        <f>'BS (F1Q23)'!S51-'BS (F4Q2022)'!S51</f>
        <v>0</v>
      </c>
      <c r="T51" s="276">
        <f>'BS (F1Q23)'!T51-'BS (F4Q2022)'!T51</f>
        <v>0</v>
      </c>
      <c r="U51" s="276">
        <f>'BS (F1Q23)'!U51-'BS (F4Q2022)'!U51</f>
        <v>0</v>
      </c>
      <c r="V51" s="276">
        <f>'BS (F1Q23)'!V51-'BS (F4Q2022)'!V51</f>
        <v>0</v>
      </c>
      <c r="W51" s="127">
        <f>'BS (F1Q23)'!W51-'BS (F4Q2022)'!W51</f>
        <v>0</v>
      </c>
      <c r="X51" s="277">
        <f>'BS (F1Q23)'!X51-'BS (F4Q2022)'!X51</f>
        <v>9.4336520138632141E-2</v>
      </c>
      <c r="Y51" s="277">
        <f>'BS (F1Q23)'!Y51-'BS (F4Q2022)'!Y51</f>
        <v>0</v>
      </c>
      <c r="Z51" s="277">
        <f>'BS (F1Q23)'!Z51-'BS (F4Q2022)'!Z51</f>
        <v>0</v>
      </c>
      <c r="AA51" s="277">
        <f>'BS (F1Q23)'!AA51-'BS (F4Q2022)'!AA51</f>
        <v>0</v>
      </c>
      <c r="AB51" s="31">
        <f>'BS (F1Q23)'!AB51-'BS (F4Q2022)'!AB51</f>
        <v>0</v>
      </c>
      <c r="AC51" s="277">
        <f>'BS (F1Q23)'!AC51-'BS (F4Q2022)'!AC51</f>
        <v>3.144550671287738E-2</v>
      </c>
      <c r="AD51" s="277">
        <f>'BS (F1Q23)'!AD51-'BS (F4Q2022)'!AD51</f>
        <v>0</v>
      </c>
      <c r="AE51" s="277">
        <f>'BS (F1Q23)'!AE51-'BS (F4Q2022)'!AE51</f>
        <v>0</v>
      </c>
      <c r="AF51" s="277">
        <f>'BS (F1Q23)'!AF51-'BS (F4Q2022)'!AF51</f>
        <v>0</v>
      </c>
      <c r="AG51" s="31">
        <f>'BS (F1Q23)'!AG51-'BS (F4Q2022)'!AG51</f>
        <v>0</v>
      </c>
      <c r="AH51" s="277">
        <f>'BS (F1Q23)'!AH51-'BS (F4Q2022)'!AH51</f>
        <v>4.1927342283836433E-2</v>
      </c>
      <c r="AI51" s="277">
        <f>'BS (F1Q23)'!AI51-'BS (F4Q2022)'!AI51</f>
        <v>0</v>
      </c>
      <c r="AJ51" s="277">
        <f>'BS (F1Q23)'!AJ51-'BS (F4Q2022)'!AJ51</f>
        <v>0</v>
      </c>
      <c r="AK51" s="277">
        <f>'BS (F1Q23)'!AK51-'BS (F4Q2022)'!AK51</f>
        <v>0</v>
      </c>
      <c r="AL51" s="31">
        <f>'BS (F1Q23)'!AL51-'BS (F4Q2022)'!AL51</f>
        <v>0</v>
      </c>
      <c r="AM51" s="277">
        <f>'BS (F1Q23)'!AM51-'BS (F4Q2022)'!AM51</f>
        <v>5.5903123045115244E-2</v>
      </c>
      <c r="AN51" s="277">
        <f>'BS (F1Q23)'!AN51-'BS (F4Q2022)'!AN51</f>
        <v>0</v>
      </c>
      <c r="AO51" s="277">
        <f>'BS (F1Q23)'!AO51-'BS (F4Q2022)'!AO51</f>
        <v>0</v>
      </c>
      <c r="AP51" s="277">
        <f>'BS (F1Q23)'!AP51-'BS (F4Q2022)'!AP51</f>
        <v>0</v>
      </c>
      <c r="AQ51" s="31">
        <f>'BS (F1Q23)'!AQ51-'BS (F4Q2022)'!AQ51</f>
        <v>0</v>
      </c>
      <c r="AR51" s="277">
        <f>'BS (F1Q23)'!AR51-'BS (F4Q2022)'!AR51</f>
        <v>4.309199068060976E-2</v>
      </c>
      <c r="AS51" s="277">
        <f>'BS (F1Q23)'!AS51-'BS (F4Q2022)'!AS51</f>
        <v>0</v>
      </c>
      <c r="AT51" s="277">
        <f>'BS (F1Q23)'!AT51-'BS (F4Q2022)'!AT51</f>
        <v>0</v>
      </c>
      <c r="AU51" s="277">
        <f>'BS (F1Q23)'!AU51-'BS (F4Q2022)'!AU51</f>
        <v>0</v>
      </c>
      <c r="AV51" s="31">
        <f>'BS (F1Q23)'!AV51-'BS (F4Q2022)'!AV51</f>
        <v>0</v>
      </c>
    </row>
    <row r="52" spans="2:48" s="23" customFormat="1" outlineLevel="1" x14ac:dyDescent="0.3">
      <c r="B52" s="607" t="s">
        <v>255</v>
      </c>
      <c r="C52" s="608"/>
      <c r="D52" s="16">
        <f>'BS (F1Q23)'!D52-'BS (F4Q2022)'!D52</f>
        <v>0</v>
      </c>
      <c r="E52" s="16">
        <f>'BS (F1Q23)'!E52-'BS (F4Q2022)'!E52</f>
        <v>0</v>
      </c>
      <c r="F52" s="101">
        <f>'BS (F1Q23)'!F52-'BS (F4Q2022)'!F52</f>
        <v>0</v>
      </c>
      <c r="G52" s="101">
        <f>'BS (F1Q23)'!G52-'BS (F4Q2022)'!G52</f>
        <v>0</v>
      </c>
      <c r="H52" s="128">
        <f>'BS (F1Q23)'!H52-'BS (F4Q2022)'!H52</f>
        <v>0</v>
      </c>
      <c r="I52" s="101">
        <f>'BS (F1Q23)'!I52-'BS (F4Q2022)'!I52</f>
        <v>0</v>
      </c>
      <c r="J52" s="101">
        <f>'BS (F1Q23)'!J52-'BS (F4Q2022)'!J52</f>
        <v>0</v>
      </c>
      <c r="K52" s="101">
        <f>'BS (F1Q23)'!K52-'BS (F4Q2022)'!K52</f>
        <v>0</v>
      </c>
      <c r="L52" s="16">
        <f>'BS (F1Q23)'!L52-'BS (F4Q2022)'!L52</f>
        <v>0</v>
      </c>
      <c r="M52" s="28">
        <f>'BS (F1Q23)'!M52-'BS (F4Q2022)'!M52</f>
        <v>0</v>
      </c>
      <c r="N52" s="16">
        <f>'BS (F1Q23)'!N52-'BS (F4Q2022)'!N52</f>
        <v>0</v>
      </c>
      <c r="O52" s="16">
        <f>'BS (F1Q23)'!O52-'BS (F4Q2022)'!O52</f>
        <v>0</v>
      </c>
      <c r="P52" s="16">
        <f>'BS (F1Q23)'!P52-'BS (F4Q2022)'!P52</f>
        <v>0</v>
      </c>
      <c r="Q52" s="16">
        <f>'BS (F1Q23)'!Q52-'BS (F4Q2022)'!Q52</f>
        <v>0</v>
      </c>
      <c r="R52" s="28">
        <f>'BS (F1Q23)'!R52-'BS (F4Q2022)'!R52</f>
        <v>0</v>
      </c>
      <c r="S52" s="16">
        <f>'BS (F1Q23)'!S52-'BS (F4Q2022)'!S52</f>
        <v>0</v>
      </c>
      <c r="T52" s="16">
        <f>'BS (F1Q23)'!T52-'BS (F4Q2022)'!T52</f>
        <v>0</v>
      </c>
      <c r="U52" s="16">
        <f>'BS (F1Q23)'!U52-'BS (F4Q2022)'!U52</f>
        <v>0</v>
      </c>
      <c r="V52" s="16">
        <f>'BS (F1Q23)'!V52-'BS (F4Q2022)'!V52</f>
        <v>0</v>
      </c>
      <c r="W52" s="28">
        <f>'BS (F1Q23)'!W52-'BS (F4Q2022)'!W52</f>
        <v>0</v>
      </c>
      <c r="X52" s="16">
        <f>'BS (F1Q23)'!X52-'BS (F4Q2022)'!X52</f>
        <v>-2.0922612579011926</v>
      </c>
      <c r="Y52" s="16">
        <f>'BS (F1Q23)'!Y52-'BS (F4Q2022)'!Y52</f>
        <v>0</v>
      </c>
      <c r="Z52" s="16">
        <f>'BS (F1Q23)'!Z52-'BS (F4Q2022)'!Z52</f>
        <v>0</v>
      </c>
      <c r="AA52" s="16">
        <f>'BS (F1Q23)'!AA52-'BS (F4Q2022)'!AA52</f>
        <v>0</v>
      </c>
      <c r="AB52" s="28">
        <f>'BS (F1Q23)'!AB52-'BS (F4Q2022)'!AB52</f>
        <v>0</v>
      </c>
      <c r="AC52" s="16">
        <f>'BS (F1Q23)'!AC52-'BS (F4Q2022)'!AC52</f>
        <v>-0.73614295546895647</v>
      </c>
      <c r="AD52" s="16">
        <f>'BS (F1Q23)'!AD52-'BS (F4Q2022)'!AD52</f>
        <v>0</v>
      </c>
      <c r="AE52" s="16">
        <f>'BS (F1Q23)'!AE52-'BS (F4Q2022)'!AE52</f>
        <v>0</v>
      </c>
      <c r="AF52" s="16">
        <f>'BS (F1Q23)'!AF52-'BS (F4Q2022)'!AF52</f>
        <v>0</v>
      </c>
      <c r="AG52" s="28">
        <f>'BS (F1Q23)'!AG52-'BS (F4Q2022)'!AG52</f>
        <v>0</v>
      </c>
      <c r="AH52" s="16">
        <f>'BS (F1Q23)'!AH52-'BS (F4Q2022)'!AH52</f>
        <v>-0.97107425687036653</v>
      </c>
      <c r="AI52" s="16">
        <f>'BS (F1Q23)'!AI52-'BS (F4Q2022)'!AI52</f>
        <v>0</v>
      </c>
      <c r="AJ52" s="16">
        <f>'BS (F1Q23)'!AJ52-'BS (F4Q2022)'!AJ52</f>
        <v>0</v>
      </c>
      <c r="AK52" s="16">
        <f>'BS (F1Q23)'!AK52-'BS (F4Q2022)'!AK52</f>
        <v>0</v>
      </c>
      <c r="AL52" s="28">
        <f>'BS (F1Q23)'!AL52-'BS (F4Q2022)'!AL52</f>
        <v>0</v>
      </c>
      <c r="AM52" s="16">
        <f>'BS (F1Q23)'!AM52-'BS (F4Q2022)'!AM52</f>
        <v>-1.2805274627533763</v>
      </c>
      <c r="AN52" s="16">
        <f>'BS (F1Q23)'!AN52-'BS (F4Q2022)'!AN52</f>
        <v>0</v>
      </c>
      <c r="AO52" s="16">
        <f>'BS (F1Q23)'!AO52-'BS (F4Q2022)'!AO52</f>
        <v>0</v>
      </c>
      <c r="AP52" s="16">
        <f>'BS (F1Q23)'!AP52-'BS (F4Q2022)'!AP52</f>
        <v>0</v>
      </c>
      <c r="AQ52" s="28">
        <f>'BS (F1Q23)'!AQ52-'BS (F4Q2022)'!AQ52</f>
        <v>0</v>
      </c>
      <c r="AR52" s="16">
        <f>'BS (F1Q23)'!AR52-'BS (F4Q2022)'!AR52</f>
        <v>-0.99790496057429579</v>
      </c>
      <c r="AS52" s="16">
        <f>'BS (F1Q23)'!AS52-'BS (F4Q2022)'!AS52</f>
        <v>0</v>
      </c>
      <c r="AT52" s="16">
        <f>'BS (F1Q23)'!AT52-'BS (F4Q2022)'!AT52</f>
        <v>0</v>
      </c>
      <c r="AU52" s="16">
        <f>'BS (F1Q23)'!AU52-'BS (F4Q2022)'!AU52</f>
        <v>0</v>
      </c>
      <c r="AV52" s="28">
        <f>'BS (F1Q23)'!AV52-'BS (F4Q2022)'!AV52</f>
        <v>0</v>
      </c>
    </row>
    <row r="53" spans="2:48" s="23" customFormat="1" outlineLevel="1" x14ac:dyDescent="0.3">
      <c r="B53" s="580" t="s">
        <v>256</v>
      </c>
      <c r="C53" s="581"/>
      <c r="D53" s="30">
        <f>'BS (F1Q23)'!D53-'BS (F4Q2022)'!D53</f>
        <v>0</v>
      </c>
      <c r="E53" s="30">
        <f>'BS (F1Q23)'!E53-'BS (F4Q2022)'!E53</f>
        <v>0</v>
      </c>
      <c r="F53" s="118">
        <f>'BS (F1Q23)'!F53-'BS (F4Q2022)'!F53</f>
        <v>0</v>
      </c>
      <c r="G53" s="118">
        <f>'BS (F1Q23)'!G53-'BS (F4Q2022)'!G53</f>
        <v>0</v>
      </c>
      <c r="H53" s="128">
        <f>'BS (F1Q23)'!H53-'BS (F4Q2022)'!H53</f>
        <v>0</v>
      </c>
      <c r="I53" s="118">
        <f>'BS (F1Q23)'!I53-'BS (F4Q2022)'!I53</f>
        <v>0</v>
      </c>
      <c r="J53" s="118">
        <f>'BS (F1Q23)'!J53-'BS (F4Q2022)'!J53</f>
        <v>0</v>
      </c>
      <c r="K53" s="118">
        <f>'BS (F1Q23)'!K53-'BS (F4Q2022)'!K53</f>
        <v>0</v>
      </c>
      <c r="L53" s="118">
        <f>'BS (F1Q23)'!L53-'BS (F4Q2022)'!L53</f>
        <v>0</v>
      </c>
      <c r="M53" s="28">
        <f>'BS (F1Q23)'!M53-'BS (F4Q2022)'!M53</f>
        <v>0</v>
      </c>
      <c r="N53" s="118">
        <f>'BS (F1Q23)'!N53-'BS (F4Q2022)'!N53</f>
        <v>0</v>
      </c>
      <c r="O53" s="118">
        <f>'BS (F1Q23)'!O53-'BS (F4Q2022)'!O53</f>
        <v>0</v>
      </c>
      <c r="P53" s="118">
        <f>'BS (F1Q23)'!P53-'BS (F4Q2022)'!P53</f>
        <v>0</v>
      </c>
      <c r="Q53" s="118">
        <f>'BS (F1Q23)'!Q53-'BS (F4Q2022)'!Q53</f>
        <v>0</v>
      </c>
      <c r="R53" s="28">
        <f>'BS (F1Q23)'!R53-'BS (F4Q2022)'!R53</f>
        <v>0</v>
      </c>
      <c r="S53" s="118">
        <f>'BS (F1Q23)'!S53-'BS (F4Q2022)'!S53</f>
        <v>0</v>
      </c>
      <c r="T53" s="118">
        <f>'BS (F1Q23)'!T53-'BS (F4Q2022)'!T53</f>
        <v>0</v>
      </c>
      <c r="U53" s="118">
        <f>'BS (F1Q23)'!U53-'BS (F4Q2022)'!U53</f>
        <v>0</v>
      </c>
      <c r="V53" s="118">
        <f>'BS (F1Q23)'!V53-'BS (F4Q2022)'!V53</f>
        <v>0</v>
      </c>
      <c r="W53" s="28">
        <f>'BS (F1Q23)'!W53-'BS (F4Q2022)'!W53</f>
        <v>0</v>
      </c>
      <c r="X53" s="34">
        <f>'BS (F1Q23)'!X53-'BS (F4Q2022)'!X53</f>
        <v>-1.1319914674708179E-3</v>
      </c>
      <c r="Y53" s="34">
        <f>'BS (F1Q23)'!Y53-'BS (F4Q2022)'!Y53</f>
        <v>-2.8299786686770273E-4</v>
      </c>
      <c r="Z53" s="34">
        <f>'BS (F1Q23)'!Z53-'BS (F4Q2022)'!Z53</f>
        <v>-3.5374733358463362E-4</v>
      </c>
      <c r="AA53" s="34">
        <f>'BS (F1Q23)'!AA53-'BS (F4Q2022)'!AA53</f>
        <v>-4.4218416698078855E-4</v>
      </c>
      <c r="AB53" s="28">
        <f>'BS (F1Q23)'!AB53-'BS (F4Q2022)'!AB53</f>
        <v>0</v>
      </c>
      <c r="AC53" s="34">
        <f>'BS (F1Q23)'!AC53-'BS (F4Q2022)'!AC53</f>
        <v>-5.5273020872598569E-4</v>
      </c>
      <c r="AD53" s="34">
        <f>'BS (F1Q23)'!AD53-'BS (F4Q2022)'!AD53</f>
        <v>-4.0791489403977851E-4</v>
      </c>
      <c r="AE53" s="34">
        <f>'BS (F1Q23)'!AE53-'BS (F4Q2022)'!AE53</f>
        <v>-4.3914415083279659E-4</v>
      </c>
      <c r="AF53" s="34">
        <f>'BS (F1Q23)'!AF53-'BS (F4Q2022)'!AF53</f>
        <v>-4.6049335514483994E-4</v>
      </c>
      <c r="AG53" s="28">
        <f>'BS (F1Q23)'!AG53-'BS (F4Q2022)'!AG53</f>
        <v>0</v>
      </c>
      <c r="AH53" s="34">
        <f>'BS (F1Q23)'!AH53-'BS (F4Q2022)'!AH53</f>
        <v>-4.6507065218584845E-4</v>
      </c>
      <c r="AI53" s="34">
        <f>'BS (F1Q23)'!AI53-'BS (F4Q2022)'!AI53</f>
        <v>-4.4315576305081414E-4</v>
      </c>
      <c r="AJ53" s="34">
        <f>'BS (F1Q23)'!AJ53-'BS (F4Q2022)'!AJ53</f>
        <v>-4.5196598030357304E-4</v>
      </c>
      <c r="AK53" s="34">
        <f>'BS (F1Q23)'!AK53-'BS (F4Q2022)'!AK53</f>
        <v>-4.5517143767126803E-4</v>
      </c>
      <c r="AL53" s="28">
        <f>'BS (F1Q23)'!AL53-'BS (F4Q2022)'!AL53</f>
        <v>0</v>
      </c>
      <c r="AM53" s="34">
        <f>'BS (F1Q23)'!AM53-'BS (F4Q2022)'!AM53</f>
        <v>-4.5384095830287852E-4</v>
      </c>
      <c r="AN53" s="34">
        <f>'BS (F1Q23)'!AN53-'BS (F4Q2022)'!AN53</f>
        <v>-4.5103353483213343E-4</v>
      </c>
      <c r="AO53" s="34">
        <f>'BS (F1Q23)'!AO53-'BS (F4Q2022)'!AO53</f>
        <v>-4.5300297777746065E-4</v>
      </c>
      <c r="AP53" s="34">
        <f>'BS (F1Q23)'!AP53-'BS (F4Q2022)'!AP53</f>
        <v>-4.5326222714593342E-4</v>
      </c>
      <c r="AQ53" s="28">
        <f>'BS (F1Q23)'!AQ53-'BS (F4Q2022)'!AQ53</f>
        <v>0</v>
      </c>
      <c r="AR53" s="34">
        <f>'BS (F1Q23)'!AR53-'BS (F4Q2022)'!AR53</f>
        <v>-4.5278492451460151E-4</v>
      </c>
      <c r="AS53" s="34">
        <f>'BS (F1Q23)'!AS53-'BS (F4Q2022)'!AS53</f>
        <v>-4.5252091606753225E-4</v>
      </c>
      <c r="AT53" s="34">
        <f>'BS (F1Q23)'!AT53-'BS (F4Q2022)'!AT53</f>
        <v>-4.5289276137638543E-4</v>
      </c>
      <c r="AU53" s="34">
        <f>'BS (F1Q23)'!AU53-'BS (F4Q2022)'!AU53</f>
        <v>-4.5286520727610968E-4</v>
      </c>
      <c r="AV53" s="28">
        <f>'BS (F1Q23)'!AV53-'BS (F4Q2022)'!AV53</f>
        <v>0</v>
      </c>
    </row>
    <row r="54" spans="2:48" s="23" customFormat="1" outlineLevel="1" x14ac:dyDescent="0.3">
      <c r="B54" s="180" t="s">
        <v>257</v>
      </c>
      <c r="C54" s="201"/>
      <c r="D54" s="30">
        <f>'BS (F1Q23)'!D54-'BS (F4Q2022)'!D54</f>
        <v>0</v>
      </c>
      <c r="E54" s="30">
        <f>'BS (F1Q23)'!E54-'BS (F4Q2022)'!E54</f>
        <v>0</v>
      </c>
      <c r="F54" s="118">
        <f>'BS (F1Q23)'!F54-'BS (F4Q2022)'!F54</f>
        <v>0</v>
      </c>
      <c r="G54" s="118">
        <f>'BS (F1Q23)'!G54-'BS (F4Q2022)'!G54</f>
        <v>0</v>
      </c>
      <c r="H54" s="128">
        <f>'BS (F1Q23)'!H54-'BS (F4Q2022)'!H54</f>
        <v>0</v>
      </c>
      <c r="I54" s="118">
        <f>'BS (F1Q23)'!I54-'BS (F4Q2022)'!I54</f>
        <v>0</v>
      </c>
      <c r="J54" s="118">
        <f>'BS (F1Q23)'!J54-'BS (F4Q2022)'!J54</f>
        <v>0</v>
      </c>
      <c r="K54" s="118">
        <f>'BS (F1Q23)'!K54-'BS (F4Q2022)'!K54</f>
        <v>0</v>
      </c>
      <c r="L54" s="118">
        <f>'BS (F1Q23)'!L54-'BS (F4Q2022)'!L54</f>
        <v>0</v>
      </c>
      <c r="M54" s="28">
        <f>'BS (F1Q23)'!M54-'BS (F4Q2022)'!M54</f>
        <v>0</v>
      </c>
      <c r="N54" s="118">
        <f>'BS (F1Q23)'!N54-'BS (F4Q2022)'!N54</f>
        <v>0</v>
      </c>
      <c r="O54" s="118">
        <f>'BS (F1Q23)'!O54-'BS (F4Q2022)'!O54</f>
        <v>0</v>
      </c>
      <c r="P54" s="118">
        <f>'BS (F1Q23)'!P54-'BS (F4Q2022)'!P54</f>
        <v>0</v>
      </c>
      <c r="Q54" s="118">
        <f>'BS (F1Q23)'!Q54-'BS (F4Q2022)'!Q54</f>
        <v>0</v>
      </c>
      <c r="R54" s="28">
        <f>'BS (F1Q23)'!R54-'BS (F4Q2022)'!R54</f>
        <v>0</v>
      </c>
      <c r="S54" s="118">
        <f>'BS (F1Q23)'!S54-'BS (F4Q2022)'!S54</f>
        <v>0</v>
      </c>
      <c r="T54" s="118">
        <f>'BS (F1Q23)'!T54-'BS (F4Q2022)'!T54</f>
        <v>0</v>
      </c>
      <c r="U54" s="118">
        <f>'BS (F1Q23)'!U54-'BS (F4Q2022)'!U54</f>
        <v>0</v>
      </c>
      <c r="V54" s="118">
        <f>'BS (F1Q23)'!V54-'BS (F4Q2022)'!V54</f>
        <v>0</v>
      </c>
      <c r="W54" s="28">
        <f>'BS (F1Q23)'!W54-'BS (F4Q2022)'!W54</f>
        <v>0</v>
      </c>
      <c r="X54" s="34">
        <f>'BS (F1Q23)'!X54-'BS (F4Q2022)'!X54</f>
        <v>-1.8610744526614265E-3</v>
      </c>
      <c r="Y54" s="34">
        <f>'BS (F1Q23)'!Y54-'BS (F4Q2022)'!Y54</f>
        <v>-4.6526861316537049E-4</v>
      </c>
      <c r="Z54" s="34">
        <f>'BS (F1Q23)'!Z54-'BS (F4Q2022)'!Z54</f>
        <v>-5.8158576645667148E-4</v>
      </c>
      <c r="AA54" s="34">
        <f>'BS (F1Q23)'!AA54-'BS (F4Q2022)'!AA54</f>
        <v>-7.2698220807082548E-4</v>
      </c>
      <c r="AB54" s="28">
        <f>'BS (F1Q23)'!AB54-'BS (F4Q2022)'!AB54</f>
        <v>0</v>
      </c>
      <c r="AC54" s="34">
        <f>'BS (F1Q23)'!AC54-'BS (F4Q2022)'!AC54</f>
        <v>-9.0872776008854572E-4</v>
      </c>
      <c r="AD54" s="34">
        <f>'BS (F1Q23)'!AD54-'BS (F4Q2022)'!AD54</f>
        <v>-6.7064108694531166E-4</v>
      </c>
      <c r="AE54" s="34">
        <f>'BS (F1Q23)'!AE54-'BS (F4Q2022)'!AE54</f>
        <v>-7.2198420539038022E-4</v>
      </c>
      <c r="AF54" s="34">
        <f>'BS (F1Q23)'!AF54-'BS (F4Q2022)'!AF54</f>
        <v>-7.5708381512373801E-4</v>
      </c>
      <c r="AG54" s="28">
        <f>'BS (F1Q23)'!AG54-'BS (F4Q2022)'!AG54</f>
        <v>0</v>
      </c>
      <c r="AH54" s="34">
        <f>'BS (F1Q23)'!AH54-'BS (F4Q2022)'!AH54</f>
        <v>-7.6460921688698003E-4</v>
      </c>
      <c r="AI54" s="34">
        <f>'BS (F1Q23)'!AI54-'BS (F4Q2022)'!AI54</f>
        <v>-7.2857958108657472E-4</v>
      </c>
      <c r="AJ54" s="34">
        <f>'BS (F1Q23)'!AJ54-'BS (F4Q2022)'!AJ54</f>
        <v>-7.4306420462189049E-4</v>
      </c>
      <c r="AK54" s="34">
        <f>'BS (F1Q23)'!AK54-'BS (F4Q2022)'!AK54</f>
        <v>-7.4833420442982357E-4</v>
      </c>
      <c r="AL54" s="28">
        <f>'BS (F1Q23)'!AL54-'BS (F4Q2022)'!AL54</f>
        <v>0</v>
      </c>
      <c r="AM54" s="34">
        <f>'BS (F1Q23)'!AM54-'BS (F4Q2022)'!AM54</f>
        <v>-7.4614680175638659E-4</v>
      </c>
      <c r="AN54" s="34">
        <f>'BS (F1Q23)'!AN54-'BS (F4Q2022)'!AN54</f>
        <v>-7.4153119797365497E-4</v>
      </c>
      <c r="AO54" s="34">
        <f>'BS (F1Q23)'!AO54-'BS (F4Q2022)'!AO54</f>
        <v>-7.4476910219545278E-4</v>
      </c>
      <c r="AP54" s="34">
        <f>'BS (F1Q23)'!AP54-'BS (F4Q2022)'!AP54</f>
        <v>-7.4519532658878784E-4</v>
      </c>
      <c r="AQ54" s="28">
        <f>'BS (F1Q23)'!AQ54-'BS (F4Q2022)'!AQ54</f>
        <v>0</v>
      </c>
      <c r="AR54" s="34">
        <f>'BS (F1Q23)'!AR54-'BS (F4Q2022)'!AR54</f>
        <v>-7.444106071285983E-4</v>
      </c>
      <c r="AS54" s="34">
        <f>'BS (F1Q23)'!AS54-'BS (F4Q2022)'!AS54</f>
        <v>-7.4397655847169286E-4</v>
      </c>
      <c r="AT54" s="34">
        <f>'BS (F1Q23)'!AT54-'BS (F4Q2022)'!AT54</f>
        <v>-7.4458789859610519E-4</v>
      </c>
      <c r="AU54" s="34">
        <f>'BS (F1Q23)'!AU54-'BS (F4Q2022)'!AU54</f>
        <v>-7.4454259769629605E-4</v>
      </c>
      <c r="AV54" s="28">
        <f>'BS (F1Q23)'!AV54-'BS (F4Q2022)'!AV54</f>
        <v>0</v>
      </c>
    </row>
    <row r="55" spans="2:48" s="23" customFormat="1" outlineLevel="1" x14ac:dyDescent="0.3">
      <c r="B55" s="200" t="s">
        <v>258</v>
      </c>
      <c r="C55" s="201"/>
      <c r="D55" s="30">
        <f>'BS (F1Q23)'!D55-'BS (F4Q2022)'!D55</f>
        <v>0</v>
      </c>
      <c r="E55" s="30">
        <f>'BS (F1Q23)'!E55-'BS (F4Q2022)'!E55</f>
        <v>0</v>
      </c>
      <c r="F55" s="113">
        <f>'BS (F1Q23)'!F55-'BS (F4Q2022)'!F55</f>
        <v>0</v>
      </c>
      <c r="G55" s="113">
        <f>'BS (F1Q23)'!G55-'BS (F4Q2022)'!G55</f>
        <v>0</v>
      </c>
      <c r="H55" s="125">
        <f>'BS (F1Q23)'!H55-'BS (F4Q2022)'!H55</f>
        <v>0</v>
      </c>
      <c r="I55" s="281">
        <f>'BS (F1Q23)'!I55-'BS (F4Q2022)'!I55</f>
        <v>0</v>
      </c>
      <c r="J55" s="281">
        <f>'BS (F1Q23)'!J55-'BS (F4Q2022)'!J55</f>
        <v>0</v>
      </c>
      <c r="K55" s="113">
        <f>'BS (F1Q23)'!K55-'BS (F4Q2022)'!K55</f>
        <v>0</v>
      </c>
      <c r="L55" s="113">
        <f>'BS (F1Q23)'!L55-'BS (F4Q2022)'!L55</f>
        <v>0</v>
      </c>
      <c r="M55" s="282">
        <f>'BS (F1Q23)'!M55-'BS (F4Q2022)'!M55</f>
        <v>0</v>
      </c>
      <c r="N55" s="281">
        <f>'BS (F1Q23)'!N55-'BS (F4Q2022)'!N55</f>
        <v>0</v>
      </c>
      <c r="O55" s="281">
        <f>'BS (F1Q23)'!O55-'BS (F4Q2022)'!O55</f>
        <v>0</v>
      </c>
      <c r="P55" s="113">
        <f>'BS (F1Q23)'!P55-'BS (F4Q2022)'!P55</f>
        <v>0</v>
      </c>
      <c r="Q55" s="113">
        <f>'BS (F1Q23)'!Q55-'BS (F4Q2022)'!Q55</f>
        <v>0</v>
      </c>
      <c r="R55" s="282">
        <f>'BS (F1Q23)'!R55-'BS (F4Q2022)'!R55</f>
        <v>0</v>
      </c>
      <c r="S55" s="281">
        <f>'BS (F1Q23)'!S55-'BS (F4Q2022)'!S55</f>
        <v>0</v>
      </c>
      <c r="T55" s="281">
        <f>'BS (F1Q23)'!T55-'BS (F4Q2022)'!T55</f>
        <v>0</v>
      </c>
      <c r="U55" s="281">
        <f>'BS (F1Q23)'!U55-'BS (F4Q2022)'!U55</f>
        <v>0</v>
      </c>
      <c r="V55" s="113">
        <f>'BS (F1Q23)'!V55-'BS (F4Q2022)'!V55</f>
        <v>0</v>
      </c>
      <c r="W55" s="282">
        <f>'BS (F1Q23)'!W55-'BS (F4Q2022)'!W55</f>
        <v>0</v>
      </c>
      <c r="X55" s="283">
        <f>'BS (F1Q23)'!X55-'BS (F4Q2022)'!X55</f>
        <v>-5.4987589279431315E-3</v>
      </c>
      <c r="Y55" s="283">
        <f>'BS (F1Q23)'!Y55-'BS (F4Q2022)'!Y55</f>
        <v>-1.3746897319857898E-3</v>
      </c>
      <c r="Z55" s="35">
        <f>'BS (F1Q23)'!Z55-'BS (F4Q2022)'!Z55</f>
        <v>-1.7183621649822511E-3</v>
      </c>
      <c r="AA55" s="284">
        <f>'BS (F1Q23)'!AA55-'BS (F4Q2022)'!AA55</f>
        <v>-2.147952706227807E-3</v>
      </c>
      <c r="AB55" s="28">
        <f>'BS (F1Q23)'!AB55-'BS (F4Q2022)'!AB55</f>
        <v>0</v>
      </c>
      <c r="AC55" s="283">
        <f>'BS (F1Q23)'!AC55-'BS (F4Q2022)'!AC55</f>
        <v>-2.6849408827847587E-3</v>
      </c>
      <c r="AD55" s="283">
        <f>'BS (F1Q23)'!AD55-'BS (F4Q2022)'!AD55</f>
        <v>-1.9814863714951447E-3</v>
      </c>
      <c r="AE55" s="35">
        <f>'BS (F1Q23)'!AE55-'BS (F4Q2022)'!AE55</f>
        <v>-2.1331855313724835E-3</v>
      </c>
      <c r="AF55" s="284">
        <f>'BS (F1Q23)'!AF55-'BS (F4Q2022)'!AF55</f>
        <v>-2.2368913729700346E-3</v>
      </c>
      <c r="AG55" s="28">
        <f>'BS (F1Q23)'!AG55-'BS (F4Q2022)'!AG55</f>
        <v>0</v>
      </c>
      <c r="AH55" s="283">
        <f>'BS (F1Q23)'!AH55-'BS (F4Q2022)'!AH55</f>
        <v>-2.2591260396556123E-3</v>
      </c>
      <c r="AI55" s="283">
        <f>'BS (F1Q23)'!AI55-'BS (F4Q2022)'!AI55</f>
        <v>-2.1526723288733396E-3</v>
      </c>
      <c r="AJ55" s="35">
        <f>'BS (F1Q23)'!AJ55-'BS (F4Q2022)'!AJ55</f>
        <v>-2.1954688182178606E-3</v>
      </c>
      <c r="AK55" s="284">
        <f>'BS (F1Q23)'!AK55-'BS (F4Q2022)'!AK55</f>
        <v>-2.2110396399292187E-3</v>
      </c>
      <c r="AL55" s="28">
        <f>'BS (F1Q23)'!AL55-'BS (F4Q2022)'!AL55</f>
        <v>0</v>
      </c>
      <c r="AM55" s="283">
        <f>'BS (F1Q23)'!AM55-'BS (F4Q2022)'!AM55</f>
        <v>-2.204576706668987E-3</v>
      </c>
      <c r="AN55" s="283">
        <f>'BS (F1Q23)'!AN55-'BS (F4Q2022)'!AN55</f>
        <v>-2.1909393734223237E-3</v>
      </c>
      <c r="AO55" s="35">
        <f>'BS (F1Q23)'!AO55-'BS (F4Q2022)'!AO55</f>
        <v>-2.2005061345596044E-3</v>
      </c>
      <c r="AP55" s="284">
        <f>'BS (F1Q23)'!AP55-'BS (F4Q2022)'!AP55</f>
        <v>-2.2017654636450334E-3</v>
      </c>
      <c r="AQ55" s="28">
        <f>'BS (F1Q23)'!AQ55-'BS (F4Q2022)'!AQ55</f>
        <v>0</v>
      </c>
      <c r="AR55" s="283">
        <f>'BS (F1Q23)'!AR55-'BS (F4Q2022)'!AR55</f>
        <v>-2.1994469195739941E-3</v>
      </c>
      <c r="AS55" s="283">
        <f>'BS (F1Q23)'!AS55-'BS (F4Q2022)'!AS55</f>
        <v>-2.1981644728002181E-3</v>
      </c>
      <c r="AT55" s="35">
        <f>'BS (F1Q23)'!AT55-'BS (F4Q2022)'!AT55</f>
        <v>-2.1999707476446917E-3</v>
      </c>
      <c r="AU55" s="284">
        <f>'BS (F1Q23)'!AU55-'BS (F4Q2022)'!AU55</f>
        <v>-2.1998369009159635E-3</v>
      </c>
      <c r="AV55" s="28">
        <f>'BS (F1Q23)'!AV55-'BS (F4Q2022)'!AV55</f>
        <v>0</v>
      </c>
    </row>
    <row r="56" spans="2:48" outlineLevel="1" x14ac:dyDescent="0.3">
      <c r="B56" s="200" t="s">
        <v>259</v>
      </c>
      <c r="C56" s="201"/>
      <c r="D56" s="285">
        <f>'BS (F1Q23)'!D56-'BS (F4Q2022)'!D56</f>
        <v>0</v>
      </c>
      <c r="E56" s="285">
        <f>'BS (F1Q23)'!E56-'BS (F4Q2022)'!E56</f>
        <v>0</v>
      </c>
      <c r="F56" s="286">
        <f>'BS (F1Q23)'!F56-'BS (F4Q2022)'!F56</f>
        <v>0</v>
      </c>
      <c r="G56" s="286">
        <f>'BS (F1Q23)'!G56-'BS (F4Q2022)'!G56</f>
        <v>0</v>
      </c>
      <c r="H56" s="125">
        <f>'BS (F1Q23)'!H56-'BS (F4Q2022)'!H56</f>
        <v>0</v>
      </c>
      <c r="I56" s="287">
        <f>'BS (F1Q23)'!I56-'BS (F4Q2022)'!I56</f>
        <v>0</v>
      </c>
      <c r="J56" s="287">
        <f>'BS (F1Q23)'!J56-'BS (F4Q2022)'!J56</f>
        <v>0</v>
      </c>
      <c r="K56" s="286">
        <f>'BS (F1Q23)'!K56-'BS (F4Q2022)'!K56</f>
        <v>0</v>
      </c>
      <c r="L56" s="286">
        <f>'BS (F1Q23)'!L56-'BS (F4Q2022)'!L56</f>
        <v>0</v>
      </c>
      <c r="M56" s="282">
        <f>'BS (F1Q23)'!M56-'BS (F4Q2022)'!M56</f>
        <v>0</v>
      </c>
      <c r="N56" s="287">
        <f>'BS (F1Q23)'!N56-'BS (F4Q2022)'!N56</f>
        <v>0</v>
      </c>
      <c r="O56" s="287">
        <f>'BS (F1Q23)'!O56-'BS (F4Q2022)'!O56</f>
        <v>0</v>
      </c>
      <c r="P56" s="286">
        <f>'BS (F1Q23)'!P56-'BS (F4Q2022)'!P56</f>
        <v>0</v>
      </c>
      <c r="Q56" s="286">
        <f>'BS (F1Q23)'!Q56-'BS (F4Q2022)'!Q56</f>
        <v>0</v>
      </c>
      <c r="R56" s="282">
        <f>'BS (F1Q23)'!R56-'BS (F4Q2022)'!R56</f>
        <v>0</v>
      </c>
      <c r="S56" s="287">
        <f>'BS (F1Q23)'!S56-'BS (F4Q2022)'!S56</f>
        <v>0</v>
      </c>
      <c r="T56" s="287">
        <f>'BS (F1Q23)'!T56-'BS (F4Q2022)'!T56</f>
        <v>0</v>
      </c>
      <c r="U56" s="287">
        <f>'BS (F1Q23)'!U56-'BS (F4Q2022)'!U56</f>
        <v>0</v>
      </c>
      <c r="V56" s="286">
        <f>'BS (F1Q23)'!V56-'BS (F4Q2022)'!V56</f>
        <v>0</v>
      </c>
      <c r="W56" s="282">
        <f>'BS (F1Q23)'!W56-'BS (F4Q2022)'!W56</f>
        <v>0</v>
      </c>
      <c r="X56" s="289">
        <f>'BS (F1Q23)'!X56-'BS (F4Q2022)'!X56</f>
        <v>-7.7865023069079858E-3</v>
      </c>
      <c r="Y56" s="289">
        <f>'BS (F1Q23)'!Y56-'BS (F4Q2022)'!Y56</f>
        <v>-5.5553135855746158E-3</v>
      </c>
      <c r="Z56" s="288">
        <f>'BS (F1Q23)'!Z56-'BS (F4Q2022)'!Z56</f>
        <v>-3.3354539731206556E-3</v>
      </c>
      <c r="AA56" s="288">
        <f>'BS (F1Q23)'!AA56-'BS (F4Q2022)'!AA56</f>
        <v>-4.1693174664008126E-3</v>
      </c>
      <c r="AB56" s="290">
        <f>'BS (F1Q23)'!AB56-'BS (F4Q2022)'!AB56</f>
        <v>0</v>
      </c>
      <c r="AC56" s="289">
        <f>'BS (F1Q23)'!AC56-'BS (F4Q2022)'!AC56</f>
        <v>-5.2116468330010157E-3</v>
      </c>
      <c r="AD56" s="289">
        <f>'BS (F1Q23)'!AD56-'BS (F4Q2022)'!AD56</f>
        <v>-4.5679329645242767E-3</v>
      </c>
      <c r="AE56" s="288">
        <f>'BS (F1Q23)'!AE56-'BS (F4Q2022)'!AE56</f>
        <v>-4.3210878092616797E-3</v>
      </c>
      <c r="AF56" s="288">
        <f>'BS (F1Q23)'!AF56-'BS (F4Q2022)'!AF56</f>
        <v>-4.5674962682969514E-3</v>
      </c>
      <c r="AG56" s="290">
        <f>'BS (F1Q23)'!AG56-'BS (F4Q2022)'!AG56</f>
        <v>0</v>
      </c>
      <c r="AH56" s="289">
        <f>'BS (F1Q23)'!AH56-'BS (F4Q2022)'!AH56</f>
        <v>-4.6670409687709774E-3</v>
      </c>
      <c r="AI56" s="289">
        <f>'BS (F1Q23)'!AI56-'BS (F4Q2022)'!AI56</f>
        <v>-4.5308895027134713E-3</v>
      </c>
      <c r="AJ56" s="288">
        <f>'BS (F1Q23)'!AJ56-'BS (F4Q2022)'!AJ56</f>
        <v>-4.5216286372607647E-3</v>
      </c>
      <c r="AK56" s="288">
        <f>'BS (F1Q23)'!AK56-'BS (F4Q2022)'!AK56</f>
        <v>-4.5717638442605499E-3</v>
      </c>
      <c r="AL56" s="290">
        <f>'BS (F1Q23)'!AL56-'BS (F4Q2022)'!AL56</f>
        <v>0</v>
      </c>
      <c r="AM56" s="289">
        <f>'BS (F1Q23)'!AM56-'BS (F4Q2022)'!AM56</f>
        <v>-4.572830738251446E-3</v>
      </c>
      <c r="AN56" s="289">
        <f>'BS (F1Q23)'!AN56-'BS (F4Q2022)'!AN56</f>
        <v>-4.5492781806215563E-3</v>
      </c>
      <c r="AO56" s="288">
        <f>'BS (F1Q23)'!AO56-'BS (F4Q2022)'!AO56</f>
        <v>-4.553875350098574E-3</v>
      </c>
      <c r="AP56" s="288">
        <f>'BS (F1Q23)'!AP56-'BS (F4Q2022)'!AP56</f>
        <v>-4.5619370283080246E-3</v>
      </c>
      <c r="AQ56" s="290">
        <f>'BS (F1Q23)'!AQ56-'BS (F4Q2022)'!AQ56</f>
        <v>0</v>
      </c>
      <c r="AR56" s="289">
        <f>'BS (F1Q23)'!AR56-'BS (F4Q2022)'!AR56</f>
        <v>-4.5594803243199089E-3</v>
      </c>
      <c r="AS56" s="289">
        <f>'BS (F1Q23)'!AS56-'BS (F4Q2022)'!AS56</f>
        <v>-4.5561427208370142E-3</v>
      </c>
      <c r="AT56" s="288">
        <f>'BS (F1Q23)'!AT56-'BS (F4Q2022)'!AT56</f>
        <v>-4.5578588558908839E-3</v>
      </c>
      <c r="AU56" s="288">
        <f>'BS (F1Q23)'!AU56-'BS (F4Q2022)'!AU56</f>
        <v>-4.5588547323389614E-3</v>
      </c>
      <c r="AV56" s="290">
        <f>'BS (F1Q23)'!AV56-'BS (F4Q2022)'!AV56</f>
        <v>0</v>
      </c>
    </row>
    <row r="57" spans="2:48" outlineLevel="1" x14ac:dyDescent="0.3">
      <c r="B57" s="200"/>
      <c r="C57" s="201"/>
      <c r="D57" s="285">
        <f>'BS (F1Q23)'!D57-'BS (F4Q2022)'!D57</f>
        <v>0</v>
      </c>
      <c r="E57" s="285">
        <f>'BS (F1Q23)'!E57-'BS (F4Q2022)'!E57</f>
        <v>0</v>
      </c>
      <c r="F57" s="286">
        <f>'BS (F1Q23)'!F57-'BS (F4Q2022)'!F57</f>
        <v>0</v>
      </c>
      <c r="G57" s="286">
        <f>'BS (F1Q23)'!G57-'BS (F4Q2022)'!G57</f>
        <v>0</v>
      </c>
      <c r="H57" s="125">
        <f>'BS (F1Q23)'!H57-'BS (F4Q2022)'!H57</f>
        <v>0</v>
      </c>
      <c r="I57" s="287">
        <f>'BS (F1Q23)'!I57-'BS (F4Q2022)'!I57</f>
        <v>0</v>
      </c>
      <c r="J57" s="287">
        <f>'BS (F1Q23)'!J57-'BS (F4Q2022)'!J57</f>
        <v>0</v>
      </c>
      <c r="K57" s="286">
        <f>'BS (F1Q23)'!K57-'BS (F4Q2022)'!K57</f>
        <v>0</v>
      </c>
      <c r="L57" s="286">
        <f>'BS (F1Q23)'!L57-'BS (F4Q2022)'!L57</f>
        <v>0</v>
      </c>
      <c r="M57" s="282">
        <f>'BS (F1Q23)'!M57-'BS (F4Q2022)'!M57</f>
        <v>0</v>
      </c>
      <c r="N57" s="287">
        <f>'BS (F1Q23)'!N57-'BS (F4Q2022)'!N57</f>
        <v>0</v>
      </c>
      <c r="O57" s="287">
        <f>'BS (F1Q23)'!O57-'BS (F4Q2022)'!O57</f>
        <v>0</v>
      </c>
      <c r="P57" s="286">
        <f>'BS (F1Q23)'!P57-'BS (F4Q2022)'!P57</f>
        <v>0</v>
      </c>
      <c r="Q57" s="286">
        <f>'BS (F1Q23)'!Q57-'BS (F4Q2022)'!Q57</f>
        <v>0</v>
      </c>
      <c r="R57" s="282">
        <f>'BS (F1Q23)'!R57-'BS (F4Q2022)'!R57</f>
        <v>0</v>
      </c>
      <c r="S57" s="287">
        <f>'BS (F1Q23)'!S57-'BS (F4Q2022)'!S57</f>
        <v>0</v>
      </c>
      <c r="T57" s="287">
        <f>'BS (F1Q23)'!T57-'BS (F4Q2022)'!T57</f>
        <v>0</v>
      </c>
      <c r="U57" s="287">
        <f>'BS (F1Q23)'!U57-'BS (F4Q2022)'!U57</f>
        <v>0</v>
      </c>
      <c r="V57" s="286">
        <f>'BS (F1Q23)'!V57-'BS (F4Q2022)'!V57</f>
        <v>0</v>
      </c>
      <c r="W57" s="282">
        <f>'BS (F1Q23)'!W57-'BS (F4Q2022)'!W57</f>
        <v>0</v>
      </c>
      <c r="X57" s="289">
        <f>'BS (F1Q23)'!X57-'BS (F4Q2022)'!X57</f>
        <v>0</v>
      </c>
      <c r="Y57" s="289">
        <f>'BS (F1Q23)'!Y57-'BS (F4Q2022)'!Y57</f>
        <v>0</v>
      </c>
      <c r="Z57" s="288">
        <f>'BS (F1Q23)'!Z57-'BS (F4Q2022)'!Z57</f>
        <v>0</v>
      </c>
      <c r="AA57" s="288">
        <f>'BS (F1Q23)'!AA57-'BS (F4Q2022)'!AA57</f>
        <v>0</v>
      </c>
      <c r="AB57" s="290">
        <f>'BS (F1Q23)'!AB57-'BS (F4Q2022)'!AB57</f>
        <v>0</v>
      </c>
      <c r="AC57" s="289">
        <f>'BS (F1Q23)'!AC57-'BS (F4Q2022)'!AC57</f>
        <v>0</v>
      </c>
      <c r="AD57" s="289">
        <f>'BS (F1Q23)'!AD57-'BS (F4Q2022)'!AD57</f>
        <v>0</v>
      </c>
      <c r="AE57" s="288">
        <f>'BS (F1Q23)'!AE57-'BS (F4Q2022)'!AE57</f>
        <v>0</v>
      </c>
      <c r="AF57" s="288">
        <f>'BS (F1Q23)'!AF57-'BS (F4Q2022)'!AF57</f>
        <v>0</v>
      </c>
      <c r="AG57" s="290">
        <f>'BS (F1Q23)'!AG57-'BS (F4Q2022)'!AG57</f>
        <v>0</v>
      </c>
      <c r="AH57" s="289">
        <f>'BS (F1Q23)'!AH57-'BS (F4Q2022)'!AH57</f>
        <v>0</v>
      </c>
      <c r="AI57" s="289">
        <f>'BS (F1Q23)'!AI57-'BS (F4Q2022)'!AI57</f>
        <v>0</v>
      </c>
      <c r="AJ57" s="288">
        <f>'BS (F1Q23)'!AJ57-'BS (F4Q2022)'!AJ57</f>
        <v>0</v>
      </c>
      <c r="AK57" s="288">
        <f>'BS (F1Q23)'!AK57-'BS (F4Q2022)'!AK57</f>
        <v>0</v>
      </c>
      <c r="AL57" s="290">
        <f>'BS (F1Q23)'!AL57-'BS (F4Q2022)'!AL57</f>
        <v>0</v>
      </c>
      <c r="AM57" s="289">
        <f>'BS (F1Q23)'!AM57-'BS (F4Q2022)'!AM57</f>
        <v>0</v>
      </c>
      <c r="AN57" s="289">
        <f>'BS (F1Q23)'!AN57-'BS (F4Q2022)'!AN57</f>
        <v>0</v>
      </c>
      <c r="AO57" s="288">
        <f>'BS (F1Q23)'!AO57-'BS (F4Q2022)'!AO57</f>
        <v>0</v>
      </c>
      <c r="AP57" s="288">
        <f>'BS (F1Q23)'!AP57-'BS (F4Q2022)'!AP57</f>
        <v>0</v>
      </c>
      <c r="AQ57" s="290">
        <f>'BS (F1Q23)'!AQ57-'BS (F4Q2022)'!AQ57</f>
        <v>0</v>
      </c>
      <c r="AR57" s="289">
        <f>'BS (F1Q23)'!AR57-'BS (F4Q2022)'!AR57</f>
        <v>0</v>
      </c>
      <c r="AS57" s="289">
        <f>'BS (F1Q23)'!AS57-'BS (F4Q2022)'!AS57</f>
        <v>0</v>
      </c>
      <c r="AT57" s="288">
        <f>'BS (F1Q23)'!AT57-'BS (F4Q2022)'!AT57</f>
        <v>0</v>
      </c>
      <c r="AU57" s="288">
        <f>'BS (F1Q23)'!AU57-'BS (F4Q2022)'!AU57</f>
        <v>0</v>
      </c>
      <c r="AV57" s="290">
        <f>'BS (F1Q23)'!AV57-'BS (F4Q2022)'!AV57</f>
        <v>0</v>
      </c>
    </row>
    <row r="58" spans="2:48" s="296" customFormat="1" outlineLevel="1" x14ac:dyDescent="0.3">
      <c r="B58" s="291" t="s">
        <v>260</v>
      </c>
      <c r="C58" s="249"/>
      <c r="D58" s="292">
        <f>'BS (F1Q23)'!D58-'BS (F4Q2022)'!D58</f>
        <v>0</v>
      </c>
      <c r="E58" s="292">
        <f>'BS (F1Q23)'!E58-'BS (F4Q2022)'!E58</f>
        <v>0</v>
      </c>
      <c r="F58" s="293">
        <f>'BS (F1Q23)'!F58-'BS (F4Q2022)'!F58</f>
        <v>0</v>
      </c>
      <c r="G58" s="293">
        <f>'BS (F1Q23)'!G58-'BS (F4Q2022)'!G58</f>
        <v>0</v>
      </c>
      <c r="H58" s="294">
        <f>'BS (F1Q23)'!H58-'BS (F4Q2022)'!H58</f>
        <v>0</v>
      </c>
      <c r="I58" s="292">
        <f>'BS (F1Q23)'!I58-'BS (F4Q2022)'!I58</f>
        <v>0</v>
      </c>
      <c r="J58" s="292">
        <f>'BS (F1Q23)'!J58-'BS (F4Q2022)'!J58</f>
        <v>0</v>
      </c>
      <c r="K58" s="293">
        <f>'BS (F1Q23)'!K58-'BS (F4Q2022)'!K58</f>
        <v>0</v>
      </c>
      <c r="L58" s="293">
        <f>'BS (F1Q23)'!L58-'BS (F4Q2022)'!L58</f>
        <v>0</v>
      </c>
      <c r="M58" s="294">
        <f>'BS (F1Q23)'!M58-'BS (F4Q2022)'!M58</f>
        <v>0</v>
      </c>
      <c r="N58" s="292">
        <f>'BS (F1Q23)'!N58-'BS (F4Q2022)'!N58</f>
        <v>0</v>
      </c>
      <c r="O58" s="292">
        <f>'BS (F1Q23)'!O58-'BS (F4Q2022)'!O58</f>
        <v>0</v>
      </c>
      <c r="P58" s="293">
        <f>'BS (F1Q23)'!P58-'BS (F4Q2022)'!P58</f>
        <v>0</v>
      </c>
      <c r="Q58" s="293">
        <f>'BS (F1Q23)'!Q58-'BS (F4Q2022)'!Q58</f>
        <v>0</v>
      </c>
      <c r="R58" s="294">
        <f>'BS (F1Q23)'!R58-'BS (F4Q2022)'!R58</f>
        <v>0</v>
      </c>
      <c r="S58" s="292">
        <f>'BS (F1Q23)'!S58-'BS (F4Q2022)'!S58</f>
        <v>0</v>
      </c>
      <c r="T58" s="292">
        <f>'BS (F1Q23)'!T58-'BS (F4Q2022)'!T58</f>
        <v>0</v>
      </c>
      <c r="U58" s="292">
        <f>'BS (F1Q23)'!U58-'BS (F4Q2022)'!U58</f>
        <v>0</v>
      </c>
      <c r="V58" s="293">
        <f>'BS (F1Q23)'!V58-'BS (F4Q2022)'!V58</f>
        <v>0</v>
      </c>
      <c r="W58" s="294">
        <f>'BS (F1Q23)'!W58-'BS (F4Q2022)'!W58</f>
        <v>0</v>
      </c>
      <c r="X58" s="292">
        <f>'BS (F1Q23)'!X58-'BS (F4Q2022)'!X58</f>
        <v>0</v>
      </c>
      <c r="Y58" s="292">
        <f>'BS (F1Q23)'!Y58-'BS (F4Q2022)'!Y58</f>
        <v>0</v>
      </c>
      <c r="Z58" s="293">
        <f>'BS (F1Q23)'!Z58-'BS (F4Q2022)'!Z58</f>
        <v>0</v>
      </c>
      <c r="AA58" s="293">
        <f>'BS (F1Q23)'!AA58-'BS (F4Q2022)'!AA58</f>
        <v>0</v>
      </c>
      <c r="AB58" s="295">
        <f>'BS (F1Q23)'!AB58-'BS (F4Q2022)'!AB58</f>
        <v>0</v>
      </c>
      <c r="AC58" s="292">
        <f>'BS (F1Q23)'!AC58-'BS (F4Q2022)'!AC58</f>
        <v>0</v>
      </c>
      <c r="AD58" s="292">
        <f>'BS (F1Q23)'!AD58-'BS (F4Q2022)'!AD58</f>
        <v>0</v>
      </c>
      <c r="AE58" s="293">
        <f>'BS (F1Q23)'!AE58-'BS (F4Q2022)'!AE58</f>
        <v>0</v>
      </c>
      <c r="AF58" s="293">
        <f>'BS (F1Q23)'!AF58-'BS (F4Q2022)'!AF58</f>
        <v>0</v>
      </c>
      <c r="AG58" s="295">
        <f>'BS (F1Q23)'!AG58-'BS (F4Q2022)'!AG58</f>
        <v>0</v>
      </c>
      <c r="AH58" s="292">
        <f>'BS (F1Q23)'!AH58-'BS (F4Q2022)'!AH58</f>
        <v>0</v>
      </c>
      <c r="AI58" s="292">
        <f>'BS (F1Q23)'!AI58-'BS (F4Q2022)'!AI58</f>
        <v>0</v>
      </c>
      <c r="AJ58" s="293">
        <f>'BS (F1Q23)'!AJ58-'BS (F4Q2022)'!AJ58</f>
        <v>0</v>
      </c>
      <c r="AK58" s="293">
        <f>'BS (F1Q23)'!AK58-'BS (F4Q2022)'!AK58</f>
        <v>0</v>
      </c>
      <c r="AL58" s="295">
        <f>'BS (F1Q23)'!AL58-'BS (F4Q2022)'!AL58</f>
        <v>0</v>
      </c>
      <c r="AM58" s="292">
        <f>'BS (F1Q23)'!AM58-'BS (F4Q2022)'!AM58</f>
        <v>0</v>
      </c>
      <c r="AN58" s="292">
        <f>'BS (F1Q23)'!AN58-'BS (F4Q2022)'!AN58</f>
        <v>0</v>
      </c>
      <c r="AO58" s="293">
        <f>'BS (F1Q23)'!AO58-'BS (F4Q2022)'!AO58</f>
        <v>0</v>
      </c>
      <c r="AP58" s="293">
        <f>'BS (F1Q23)'!AP58-'BS (F4Q2022)'!AP58</f>
        <v>0</v>
      </c>
      <c r="AQ58" s="295">
        <f>'BS (F1Q23)'!AQ58-'BS (F4Q2022)'!AQ58</f>
        <v>0</v>
      </c>
      <c r="AR58" s="292">
        <f>'BS (F1Q23)'!AR58-'BS (F4Q2022)'!AR58</f>
        <v>0</v>
      </c>
      <c r="AS58" s="292">
        <f>'BS (F1Q23)'!AS58-'BS (F4Q2022)'!AS58</f>
        <v>0</v>
      </c>
      <c r="AT58" s="293">
        <f>'BS (F1Q23)'!AT58-'BS (F4Q2022)'!AT58</f>
        <v>0</v>
      </c>
      <c r="AU58" s="293">
        <f>'BS (F1Q23)'!AU58-'BS (F4Q2022)'!AU58</f>
        <v>0</v>
      </c>
      <c r="AV58" s="295">
        <f>'BS (F1Q23)'!AV58-'BS (F4Q2022)'!AV58</f>
        <v>0</v>
      </c>
    </row>
    <row r="59" spans="2:48" s="302" customFormat="1" outlineLevel="1" x14ac:dyDescent="0.3">
      <c r="B59" s="200" t="s">
        <v>261</v>
      </c>
      <c r="C59" s="297"/>
      <c r="D59" s="298">
        <f>'BS (F1Q23)'!D59-'BS (F4Q2022)'!D59</f>
        <v>0</v>
      </c>
      <c r="E59" s="298">
        <f>'BS (F1Q23)'!E59-'BS (F4Q2022)'!E59</f>
        <v>0</v>
      </c>
      <c r="F59" s="146">
        <f>'BS (F1Q23)'!F59-'BS (F4Q2022)'!F59</f>
        <v>0</v>
      </c>
      <c r="G59" s="146">
        <f>'BS (F1Q23)'!G59-'BS (F4Q2022)'!G59</f>
        <v>0</v>
      </c>
      <c r="H59" s="122">
        <f>'BS (F1Q23)'!H59-'BS (F4Q2022)'!H59</f>
        <v>0</v>
      </c>
      <c r="I59" s="299">
        <f>'BS (F1Q23)'!I59-'BS (F4Q2022)'!I59</f>
        <v>0</v>
      </c>
      <c r="J59" s="299">
        <f>'BS (F1Q23)'!J59-'BS (F4Q2022)'!J59</f>
        <v>0</v>
      </c>
      <c r="K59" s="146">
        <f>'BS (F1Q23)'!K59-'BS (F4Q2022)'!K59</f>
        <v>0</v>
      </c>
      <c r="L59" s="146">
        <f>'BS (F1Q23)'!L59-'BS (F4Q2022)'!L59</f>
        <v>0</v>
      </c>
      <c r="M59" s="26">
        <f>'BS (F1Q23)'!M59-'BS (F4Q2022)'!M59</f>
        <v>0</v>
      </c>
      <c r="N59" s="299">
        <f>'BS (F1Q23)'!N59-'BS (F4Q2022)'!N59</f>
        <v>0</v>
      </c>
      <c r="O59" s="299">
        <f>'BS (F1Q23)'!O59-'BS (F4Q2022)'!O59</f>
        <v>0</v>
      </c>
      <c r="P59" s="146">
        <f>'BS (F1Q23)'!P59-'BS (F4Q2022)'!P59</f>
        <v>0</v>
      </c>
      <c r="Q59" s="146">
        <f>'BS (F1Q23)'!Q59-'BS (F4Q2022)'!Q59</f>
        <v>0</v>
      </c>
      <c r="R59" s="26">
        <f>'BS (F1Q23)'!R59-'BS (F4Q2022)'!R59</f>
        <v>0</v>
      </c>
      <c r="S59" s="299">
        <f>'BS (F1Q23)'!S59-'BS (F4Q2022)'!S59</f>
        <v>0</v>
      </c>
      <c r="T59" s="299">
        <f>'BS (F1Q23)'!T59-'BS (F4Q2022)'!T59</f>
        <v>0</v>
      </c>
      <c r="U59" s="299">
        <f>'BS (F1Q23)'!U59-'BS (F4Q2022)'!U59</f>
        <v>0</v>
      </c>
      <c r="V59" s="146">
        <f>'BS (F1Q23)'!V59-'BS (F4Q2022)'!V59</f>
        <v>0</v>
      </c>
      <c r="W59" s="26">
        <f>'BS (F1Q23)'!W59-'BS (F4Q2022)'!W59</f>
        <v>0</v>
      </c>
      <c r="X59" s="301">
        <f>'BS (F1Q23)'!X59-'BS (F4Q2022)'!X59</f>
        <v>0</v>
      </c>
      <c r="Y59" s="301">
        <f>'BS (F1Q23)'!Y59-'BS (F4Q2022)'!Y59</f>
        <v>-1</v>
      </c>
      <c r="Z59" s="300">
        <f>'BS (F1Q23)'!Z59-'BS (F4Q2022)'!Z59</f>
        <v>0</v>
      </c>
      <c r="AA59" s="300">
        <f>'BS (F1Q23)'!AA59-'BS (F4Q2022)'!AA59</f>
        <v>0</v>
      </c>
      <c r="AB59" s="6">
        <f>'BS (F1Q23)'!AB59-'BS (F4Q2022)'!AB59</f>
        <v>0</v>
      </c>
      <c r="AC59" s="301">
        <f>'BS (F1Q23)'!AC59-'BS (F4Q2022)'!AC59</f>
        <v>0</v>
      </c>
      <c r="AD59" s="301">
        <f>'BS (F1Q23)'!AD59-'BS (F4Q2022)'!AD59</f>
        <v>12.700000000000045</v>
      </c>
      <c r="AE59" s="300">
        <f>'BS (F1Q23)'!AE59-'BS (F4Q2022)'!AE59</f>
        <v>0</v>
      </c>
      <c r="AF59" s="300">
        <f>'BS (F1Q23)'!AF59-'BS (F4Q2022)'!AF59</f>
        <v>0</v>
      </c>
      <c r="AG59" s="6">
        <f>'BS (F1Q23)'!AG59-'BS (F4Q2022)'!AG59</f>
        <v>0</v>
      </c>
      <c r="AH59" s="301">
        <f>'BS (F1Q23)'!AH59-'BS (F4Q2022)'!AH59</f>
        <v>0</v>
      </c>
      <c r="AI59" s="301">
        <f>'BS (F1Q23)'!AI59-'BS (F4Q2022)'!AI59</f>
        <v>0</v>
      </c>
      <c r="AJ59" s="300">
        <f>'BS (F1Q23)'!AJ59-'BS (F4Q2022)'!AJ59</f>
        <v>0</v>
      </c>
      <c r="AK59" s="300">
        <f>'BS (F1Q23)'!AK59-'BS (F4Q2022)'!AK59</f>
        <v>0</v>
      </c>
      <c r="AL59" s="6">
        <f>'BS (F1Q23)'!AL59-'BS (F4Q2022)'!AL59</f>
        <v>0</v>
      </c>
      <c r="AM59" s="301">
        <f>'BS (F1Q23)'!AM59-'BS (F4Q2022)'!AM59</f>
        <v>0</v>
      </c>
      <c r="AN59" s="301">
        <f>'BS (F1Q23)'!AN59-'BS (F4Q2022)'!AN59</f>
        <v>1000</v>
      </c>
      <c r="AO59" s="300">
        <f>'BS (F1Q23)'!AO59-'BS (F4Q2022)'!AO59</f>
        <v>0</v>
      </c>
      <c r="AP59" s="300">
        <f>'BS (F1Q23)'!AP59-'BS (F4Q2022)'!AP59</f>
        <v>0</v>
      </c>
      <c r="AQ59" s="6">
        <f>'BS (F1Q23)'!AQ59-'BS (F4Q2022)'!AQ59</f>
        <v>0</v>
      </c>
      <c r="AR59" s="301">
        <f>'BS (F1Q23)'!AR59-'BS (F4Q2022)'!AR59</f>
        <v>0</v>
      </c>
      <c r="AS59" s="301">
        <f>'BS (F1Q23)'!AS59-'BS (F4Q2022)'!AS59</f>
        <v>0</v>
      </c>
      <c r="AT59" s="300">
        <f>'BS (F1Q23)'!AT59-'BS (F4Q2022)'!AT59</f>
        <v>0</v>
      </c>
      <c r="AU59" s="300">
        <f>'BS (F1Q23)'!AU59-'BS (F4Q2022)'!AU59</f>
        <v>0</v>
      </c>
      <c r="AV59" s="6">
        <f>'BS (F1Q23)'!AV59-'BS (F4Q2022)'!AV59</f>
        <v>0</v>
      </c>
    </row>
    <row r="60" spans="2:48" s="302" customFormat="1" outlineLevel="1" x14ac:dyDescent="0.3">
      <c r="B60" s="200" t="s">
        <v>262</v>
      </c>
      <c r="C60" s="297"/>
      <c r="D60" s="298">
        <f>'BS (F1Q23)'!D60-'BS (F4Q2022)'!D60</f>
        <v>0</v>
      </c>
      <c r="E60" s="298">
        <f>'BS (F1Q23)'!E60-'BS (F4Q2022)'!E60</f>
        <v>0</v>
      </c>
      <c r="F60" s="146">
        <f>'BS (F1Q23)'!F60-'BS (F4Q2022)'!F60</f>
        <v>0</v>
      </c>
      <c r="G60" s="146">
        <f>'BS (F1Q23)'!G60-'BS (F4Q2022)'!G60</f>
        <v>0</v>
      </c>
      <c r="H60" s="122">
        <f>'BS (F1Q23)'!H60-'BS (F4Q2022)'!H60</f>
        <v>0</v>
      </c>
      <c r="I60" s="299">
        <f>'BS (F1Q23)'!I60-'BS (F4Q2022)'!I60</f>
        <v>0</v>
      </c>
      <c r="J60" s="299">
        <f>'BS (F1Q23)'!J60-'BS (F4Q2022)'!J60</f>
        <v>0</v>
      </c>
      <c r="K60" s="146">
        <f>'BS (F1Q23)'!K60-'BS (F4Q2022)'!K60</f>
        <v>0</v>
      </c>
      <c r="L60" s="146">
        <f>'BS (F1Q23)'!L60-'BS (F4Q2022)'!L60</f>
        <v>0</v>
      </c>
      <c r="M60" s="26">
        <f>'BS (F1Q23)'!M60-'BS (F4Q2022)'!M60</f>
        <v>0</v>
      </c>
      <c r="N60" s="299">
        <f>'BS (F1Q23)'!N60-'BS (F4Q2022)'!N60</f>
        <v>0</v>
      </c>
      <c r="O60" s="299">
        <f>'BS (F1Q23)'!O60-'BS (F4Q2022)'!O60</f>
        <v>0</v>
      </c>
      <c r="P60" s="146">
        <f>'BS (F1Q23)'!P60-'BS (F4Q2022)'!P60</f>
        <v>0</v>
      </c>
      <c r="Q60" s="146">
        <f>'BS (F1Q23)'!Q60-'BS (F4Q2022)'!Q60</f>
        <v>0</v>
      </c>
      <c r="R60" s="26">
        <f>'BS (F1Q23)'!R60-'BS (F4Q2022)'!R60</f>
        <v>0</v>
      </c>
      <c r="S60" s="299">
        <f>'BS (F1Q23)'!S60-'BS (F4Q2022)'!S60</f>
        <v>0</v>
      </c>
      <c r="T60" s="299">
        <f>'BS (F1Q23)'!T60-'BS (F4Q2022)'!T60</f>
        <v>0</v>
      </c>
      <c r="U60" s="299">
        <f>'BS (F1Q23)'!U60-'BS (F4Q2022)'!U60</f>
        <v>0</v>
      </c>
      <c r="V60" s="146">
        <f>'BS (F1Q23)'!V60-'BS (F4Q2022)'!V60</f>
        <v>0</v>
      </c>
      <c r="W60" s="26">
        <f>'BS (F1Q23)'!W60-'BS (F4Q2022)'!W60</f>
        <v>0</v>
      </c>
      <c r="X60" s="300">
        <f>'BS (F1Q23)'!X60-'BS (F4Q2022)'!X60</f>
        <v>0</v>
      </c>
      <c r="Y60" s="300">
        <f>'BS (F1Q23)'!Y60-'BS (F4Q2022)'!Y60</f>
        <v>-750</v>
      </c>
      <c r="Z60" s="300">
        <f>'BS (F1Q23)'!Z60-'BS (F4Q2022)'!Z60</f>
        <v>12.700000000000045</v>
      </c>
      <c r="AA60" s="300">
        <f>'BS (F1Q23)'!AA60-'BS (F4Q2022)'!AA60</f>
        <v>0</v>
      </c>
      <c r="AB60" s="6">
        <f>'BS (F1Q23)'!AB60-'BS (F4Q2022)'!AB60</f>
        <v>0</v>
      </c>
      <c r="AC60" s="300">
        <f>'BS (F1Q23)'!AC60-'BS (F4Q2022)'!AC60</f>
        <v>0</v>
      </c>
      <c r="AD60" s="300">
        <f>'BS (F1Q23)'!AD60-'BS (F4Q2022)'!AD60</f>
        <v>0</v>
      </c>
      <c r="AE60" s="300">
        <f>'BS (F1Q23)'!AE60-'BS (F4Q2022)'!AE60</f>
        <v>0</v>
      </c>
      <c r="AF60" s="300">
        <f>'BS (F1Q23)'!AF60-'BS (F4Q2022)'!AF60</f>
        <v>0</v>
      </c>
      <c r="AG60" s="6">
        <f>'BS (F1Q23)'!AG60-'BS (F4Q2022)'!AG60</f>
        <v>0</v>
      </c>
      <c r="AH60" s="300">
        <f>'BS (F1Q23)'!AH60-'BS (F4Q2022)'!AH60</f>
        <v>0</v>
      </c>
      <c r="AI60" s="300">
        <f>'BS (F1Q23)'!AI60-'BS (F4Q2022)'!AI60</f>
        <v>0</v>
      </c>
      <c r="AJ60" s="300">
        <f>'BS (F1Q23)'!AJ60-'BS (F4Q2022)'!AJ60</f>
        <v>1000</v>
      </c>
      <c r="AK60" s="300">
        <f>'BS (F1Q23)'!AK60-'BS (F4Q2022)'!AK60</f>
        <v>0</v>
      </c>
      <c r="AL60" s="6">
        <f>'BS (F1Q23)'!AL60-'BS (F4Q2022)'!AL60</f>
        <v>0</v>
      </c>
      <c r="AM60" s="300">
        <f>'BS (F1Q23)'!AM60-'BS (F4Q2022)'!AM60</f>
        <v>0</v>
      </c>
      <c r="AN60" s="300">
        <f>'BS (F1Q23)'!AN60-'BS (F4Q2022)'!AN60</f>
        <v>0</v>
      </c>
      <c r="AO60" s="300">
        <f>'BS (F1Q23)'!AO60-'BS (F4Q2022)'!AO60</f>
        <v>0</v>
      </c>
      <c r="AP60" s="300">
        <f>'BS (F1Q23)'!AP60-'BS (F4Q2022)'!AP60</f>
        <v>0</v>
      </c>
      <c r="AQ60" s="6">
        <f>'BS (F1Q23)'!AQ60-'BS (F4Q2022)'!AQ60</f>
        <v>0</v>
      </c>
      <c r="AR60" s="300">
        <f>'BS (F1Q23)'!AR60-'BS (F4Q2022)'!AR60</f>
        <v>0</v>
      </c>
      <c r="AS60" s="300">
        <f>'BS (F1Q23)'!AS60-'BS (F4Q2022)'!AS60</f>
        <v>600</v>
      </c>
      <c r="AT60" s="300">
        <f>'BS (F1Q23)'!AT60-'BS (F4Q2022)'!AT60</f>
        <v>0</v>
      </c>
      <c r="AU60" s="300">
        <f>'BS (F1Q23)'!AU60-'BS (F4Q2022)'!AU60</f>
        <v>0</v>
      </c>
      <c r="AV60" s="6">
        <f>'BS (F1Q23)'!AV60-'BS (F4Q2022)'!AV60</f>
        <v>0</v>
      </c>
    </row>
    <row r="61" spans="2:48" s="302" customFormat="1" outlineLevel="1" x14ac:dyDescent="0.3">
      <c r="B61" s="200" t="s">
        <v>263</v>
      </c>
      <c r="C61" s="297"/>
      <c r="D61" s="298">
        <f>'BS (F1Q23)'!D61-'BS (F4Q2022)'!D61</f>
        <v>0</v>
      </c>
      <c r="E61" s="298">
        <f>'BS (F1Q23)'!E61-'BS (F4Q2022)'!E61</f>
        <v>0</v>
      </c>
      <c r="F61" s="146">
        <f>'BS (F1Q23)'!F61-'BS (F4Q2022)'!F61</f>
        <v>0</v>
      </c>
      <c r="G61" s="146">
        <f>'BS (F1Q23)'!G61-'BS (F4Q2022)'!G61</f>
        <v>0</v>
      </c>
      <c r="H61" s="122">
        <f>'BS (F1Q23)'!H61-'BS (F4Q2022)'!H61</f>
        <v>0</v>
      </c>
      <c r="I61" s="299">
        <f>'BS (F1Q23)'!I61-'BS (F4Q2022)'!I61</f>
        <v>0</v>
      </c>
      <c r="J61" s="299">
        <f>'BS (F1Q23)'!J61-'BS (F4Q2022)'!J61</f>
        <v>0</v>
      </c>
      <c r="K61" s="146">
        <f>'BS (F1Q23)'!K61-'BS (F4Q2022)'!K61</f>
        <v>0</v>
      </c>
      <c r="L61" s="146">
        <f>'BS (F1Q23)'!L61-'BS (F4Q2022)'!L61</f>
        <v>0</v>
      </c>
      <c r="M61" s="26">
        <f>'BS (F1Q23)'!M61-'BS (F4Q2022)'!M61</f>
        <v>0</v>
      </c>
      <c r="N61" s="299">
        <f>'BS (F1Q23)'!N61-'BS (F4Q2022)'!N61</f>
        <v>0</v>
      </c>
      <c r="O61" s="299">
        <f>'BS (F1Q23)'!O61-'BS (F4Q2022)'!O61</f>
        <v>0</v>
      </c>
      <c r="P61" s="146">
        <f>'BS (F1Q23)'!P61-'BS (F4Q2022)'!P61</f>
        <v>0</v>
      </c>
      <c r="Q61" s="146">
        <f>'BS (F1Q23)'!Q61-'BS (F4Q2022)'!Q61</f>
        <v>0</v>
      </c>
      <c r="R61" s="26">
        <f>'BS (F1Q23)'!R61-'BS (F4Q2022)'!R61</f>
        <v>0</v>
      </c>
      <c r="S61" s="299">
        <f>'BS (F1Q23)'!S61-'BS (F4Q2022)'!S61</f>
        <v>0</v>
      </c>
      <c r="T61" s="299">
        <f>'BS (F1Q23)'!T61-'BS (F4Q2022)'!T61</f>
        <v>0</v>
      </c>
      <c r="U61" s="299">
        <f>'BS (F1Q23)'!U61-'BS (F4Q2022)'!U61</f>
        <v>0</v>
      </c>
      <c r="V61" s="146">
        <f>'BS (F1Q23)'!V61-'BS (F4Q2022)'!V61</f>
        <v>0</v>
      </c>
      <c r="W61" s="26">
        <f>'BS (F1Q23)'!W61-'BS (F4Q2022)'!W61</f>
        <v>0</v>
      </c>
      <c r="X61" s="301">
        <f>'BS (F1Q23)'!X61-'BS (F4Q2022)'!X61</f>
        <v>0</v>
      </c>
      <c r="Y61" s="301">
        <f>'BS (F1Q23)'!Y61-'BS (F4Q2022)'!Y61</f>
        <v>500</v>
      </c>
      <c r="Z61" s="300">
        <f>'BS (F1Q23)'!Z61-'BS (F4Q2022)'!Z61</f>
        <v>0</v>
      </c>
      <c r="AA61" s="300">
        <f>'BS (F1Q23)'!AA61-'BS (F4Q2022)'!AA61</f>
        <v>0</v>
      </c>
      <c r="AB61" s="6">
        <f>'BS (F1Q23)'!AB61-'BS (F4Q2022)'!AB61</f>
        <v>0</v>
      </c>
      <c r="AC61" s="301">
        <f>'BS (F1Q23)'!AC61-'BS (F4Q2022)'!AC61</f>
        <v>0</v>
      </c>
      <c r="AD61" s="301">
        <f>'BS (F1Q23)'!AD61-'BS (F4Q2022)'!AD61</f>
        <v>13</v>
      </c>
      <c r="AE61" s="300">
        <f>'BS (F1Q23)'!AE61-'BS (F4Q2022)'!AE61</f>
        <v>0</v>
      </c>
      <c r="AF61" s="300">
        <f>'BS (F1Q23)'!AF61-'BS (F4Q2022)'!AF61</f>
        <v>100</v>
      </c>
      <c r="AG61" s="6">
        <f>'BS (F1Q23)'!AG61-'BS (F4Q2022)'!AG61</f>
        <v>0</v>
      </c>
      <c r="AH61" s="301">
        <f>'BS (F1Q23)'!AH61-'BS (F4Q2022)'!AH61</f>
        <v>0</v>
      </c>
      <c r="AI61" s="301">
        <f>'BS (F1Q23)'!AI61-'BS (F4Q2022)'!AI61</f>
        <v>0</v>
      </c>
      <c r="AJ61" s="300">
        <f>'BS (F1Q23)'!AJ61-'BS (F4Q2022)'!AJ61</f>
        <v>1662.6188026848204</v>
      </c>
      <c r="AK61" s="300">
        <f>'BS (F1Q23)'!AK61-'BS (F4Q2022)'!AK61</f>
        <v>0</v>
      </c>
      <c r="AL61" s="6">
        <f>'BS (F1Q23)'!AL61-'BS (F4Q2022)'!AL61</f>
        <v>0</v>
      </c>
      <c r="AM61" s="301">
        <f>'BS (F1Q23)'!AM61-'BS (F4Q2022)'!AM61</f>
        <v>0</v>
      </c>
      <c r="AN61" s="301">
        <f>'BS (F1Q23)'!AN61-'BS (F4Q2022)'!AN61</f>
        <v>0</v>
      </c>
      <c r="AO61" s="300">
        <f>'BS (F1Q23)'!AO61-'BS (F4Q2022)'!AO61</f>
        <v>0</v>
      </c>
      <c r="AP61" s="300">
        <f>'BS (F1Q23)'!AP61-'BS (F4Q2022)'!AP61</f>
        <v>0</v>
      </c>
      <c r="AQ61" s="6">
        <f>'BS (F1Q23)'!AQ61-'BS (F4Q2022)'!AQ61</f>
        <v>0</v>
      </c>
      <c r="AR61" s="301">
        <f>'BS (F1Q23)'!AR61-'BS (F4Q2022)'!AR61</f>
        <v>0</v>
      </c>
      <c r="AS61" s="301">
        <f>'BS (F1Q23)'!AS61-'BS (F4Q2022)'!AS61</f>
        <v>0</v>
      </c>
      <c r="AT61" s="300">
        <f>'BS (F1Q23)'!AT61-'BS (F4Q2022)'!AT61</f>
        <v>0</v>
      </c>
      <c r="AU61" s="300">
        <f>'BS (F1Q23)'!AU61-'BS (F4Q2022)'!AU61</f>
        <v>0</v>
      </c>
      <c r="AV61" s="6">
        <f>'BS (F1Q23)'!AV61-'BS (F4Q2022)'!AV61</f>
        <v>0</v>
      </c>
    </row>
    <row r="62" spans="2:48" s="23" customFormat="1" outlineLevel="1" x14ac:dyDescent="0.3">
      <c r="B62" s="200" t="s">
        <v>264</v>
      </c>
      <c r="C62" s="201"/>
      <c r="D62" s="179">
        <f>'BS (F1Q23)'!D62-'BS (F4Q2022)'!D62</f>
        <v>0</v>
      </c>
      <c r="E62" s="179">
        <f>'BS (F1Q23)'!E62-'BS (F4Q2022)'!E62</f>
        <v>0</v>
      </c>
      <c r="F62" s="303">
        <f>'BS (F1Q23)'!F62-'BS (F4Q2022)'!F62</f>
        <v>0</v>
      </c>
      <c r="G62" s="303">
        <f>'BS (F1Q23)'!G62-'BS (F4Q2022)'!G62</f>
        <v>0</v>
      </c>
      <c r="H62" s="128">
        <f>'BS (F1Q23)'!H62-'BS (F4Q2022)'!H62</f>
        <v>0</v>
      </c>
      <c r="I62" s="303">
        <f>'BS (F1Q23)'!I62-'BS (F4Q2022)'!I62</f>
        <v>0</v>
      </c>
      <c r="J62" s="303">
        <f>'BS (F1Q23)'!J62-'BS (F4Q2022)'!J62</f>
        <v>0</v>
      </c>
      <c r="K62" s="303">
        <f>'BS (F1Q23)'!K62-'BS (F4Q2022)'!K62</f>
        <v>0</v>
      </c>
      <c r="L62" s="179">
        <f>'BS (F1Q23)'!L62-'BS (F4Q2022)'!L62</f>
        <v>0</v>
      </c>
      <c r="M62" s="28">
        <f>'BS (F1Q23)'!M62-'BS (F4Q2022)'!M62</f>
        <v>0</v>
      </c>
      <c r="N62" s="179">
        <f>'BS (F1Q23)'!N62-'BS (F4Q2022)'!N62</f>
        <v>0</v>
      </c>
      <c r="O62" s="179">
        <f>'BS (F1Q23)'!O62-'BS (F4Q2022)'!O62</f>
        <v>0</v>
      </c>
      <c r="P62" s="179">
        <f>'BS (F1Q23)'!P62-'BS (F4Q2022)'!P62</f>
        <v>0</v>
      </c>
      <c r="Q62" s="179">
        <f>'BS (F1Q23)'!Q62-'BS (F4Q2022)'!Q62</f>
        <v>0</v>
      </c>
      <c r="R62" s="28">
        <f>'BS (F1Q23)'!R62-'BS (F4Q2022)'!R62</f>
        <v>0</v>
      </c>
      <c r="S62" s="179">
        <f>'BS (F1Q23)'!S62-'BS (F4Q2022)'!S62</f>
        <v>0</v>
      </c>
      <c r="T62" s="179">
        <f>'BS (F1Q23)'!T62-'BS (F4Q2022)'!T62</f>
        <v>0</v>
      </c>
      <c r="U62" s="179">
        <f>'BS (F1Q23)'!U62-'BS (F4Q2022)'!U62</f>
        <v>0</v>
      </c>
      <c r="V62" s="179">
        <f>'BS (F1Q23)'!V62-'BS (F4Q2022)'!V62</f>
        <v>0</v>
      </c>
      <c r="W62" s="28">
        <f>'BS (F1Q23)'!W62-'BS (F4Q2022)'!W62</f>
        <v>0</v>
      </c>
      <c r="X62" s="179">
        <f>'BS (F1Q23)'!X62-'BS (F4Q2022)'!X62</f>
        <v>6.6947338383670285E-2</v>
      </c>
      <c r="Y62" s="179">
        <f>'BS (F1Q23)'!Y62-'BS (F4Q2022)'!Y62</f>
        <v>6.9416409927674838E-2</v>
      </c>
      <c r="Z62" s="179">
        <f>'BS (F1Q23)'!Z62-'BS (F4Q2022)'!Z62</f>
        <v>0.11339602147513994</v>
      </c>
      <c r="AA62" s="179">
        <f>'BS (F1Q23)'!AA62-'BS (F4Q2022)'!AA62</f>
        <v>0.15795335436708968</v>
      </c>
      <c r="AB62" s="28">
        <f>'BS (F1Q23)'!AB62-'BS (F4Q2022)'!AB62</f>
        <v>0</v>
      </c>
      <c r="AC62" s="179">
        <f>'BS (F1Q23)'!AC62-'BS (F4Q2022)'!AC62</f>
        <v>0.25401523261829517</v>
      </c>
      <c r="AD62" s="179">
        <f>'BS (F1Q23)'!AD62-'BS (F4Q2022)'!AD62</f>
        <v>0.38995758025032368</v>
      </c>
      <c r="AE62" s="179">
        <f>'BS (F1Q23)'!AE62-'BS (F4Q2022)'!AE62</f>
        <v>0.48536887103620563</v>
      </c>
      <c r="AF62" s="179">
        <f>'BS (F1Q23)'!AF62-'BS (F4Q2022)'!AF62</f>
        <v>0.57074277023180064</v>
      </c>
      <c r="AG62" s="28">
        <f>'BS (F1Q23)'!AG62-'BS (F4Q2022)'!AG62</f>
        <v>0</v>
      </c>
      <c r="AH62" s="179">
        <f>'BS (F1Q23)'!AH62-'BS (F4Q2022)'!AH62</f>
        <v>0.82891276848516471</v>
      </c>
      <c r="AI62" s="179">
        <f>'BS (F1Q23)'!AI62-'BS (F4Q2022)'!AI62</f>
        <v>1.177781674581289</v>
      </c>
      <c r="AJ62" s="179">
        <f>'BS (F1Q23)'!AJ62-'BS (F4Q2022)'!AJ62</f>
        <v>0.21149045435005931</v>
      </c>
      <c r="AK62" s="179">
        <f>'BS (F1Q23)'!AK62-'BS (F4Q2022)'!AK62</f>
        <v>3.6369219328735047E-2</v>
      </c>
      <c r="AL62" s="28">
        <f>'BS (F1Q23)'!AL62-'BS (F4Q2022)'!AL62</f>
        <v>0</v>
      </c>
      <c r="AM62" s="179">
        <f>'BS (F1Q23)'!AM62-'BS (F4Q2022)'!AM62</f>
        <v>6.3641829020035345E-2</v>
      </c>
      <c r="AN62" s="179">
        <f>'BS (F1Q23)'!AN62-'BS (F4Q2022)'!AN62</f>
        <v>0.17537373336547946</v>
      </c>
      <c r="AO62" s="179">
        <f>'BS (F1Q23)'!AO62-'BS (F4Q2022)'!AO62</f>
        <v>0.20537231264720579</v>
      </c>
      <c r="AP62" s="179">
        <f>'BS (F1Q23)'!AP62-'BS (F4Q2022)'!AP62</f>
        <v>0.22796776814087716</v>
      </c>
      <c r="AQ62" s="28">
        <f>'BS (F1Q23)'!AQ62-'BS (F4Q2022)'!AQ62</f>
        <v>0</v>
      </c>
      <c r="AR62" s="179">
        <f>'BS (F1Q23)'!AR62-'BS (F4Q2022)'!AR62</f>
        <v>0.29101270680405489</v>
      </c>
      <c r="AS62" s="179">
        <f>'BS (F1Q23)'!AS62-'BS (F4Q2022)'!AS62</f>
        <v>0.36992868583817473</v>
      </c>
      <c r="AT62" s="179">
        <f>'BS (F1Q23)'!AT62-'BS (F4Q2022)'!AT62</f>
        <v>0.45305249574869166</v>
      </c>
      <c r="AU62" s="179">
        <f>'BS (F1Q23)'!AU62-'BS (F4Q2022)'!AU62</f>
        <v>0.53541631222403918</v>
      </c>
      <c r="AV62" s="28">
        <f>'BS (F1Q23)'!AV62-'BS (F4Q2022)'!AV62</f>
        <v>0</v>
      </c>
    </row>
    <row r="63" spans="2:48" s="23" customFormat="1" outlineLevel="1" x14ac:dyDescent="0.3">
      <c r="B63" s="200" t="s">
        <v>265</v>
      </c>
      <c r="C63" s="201"/>
      <c r="D63" s="179">
        <f>'BS (F1Q23)'!D63-'BS (F4Q2022)'!D63</f>
        <v>0</v>
      </c>
      <c r="E63" s="179">
        <f>'BS (F1Q23)'!E63-'BS (F4Q2022)'!E63</f>
        <v>0</v>
      </c>
      <c r="F63" s="303">
        <f>'BS (F1Q23)'!F63-'BS (F4Q2022)'!F63</f>
        <v>0</v>
      </c>
      <c r="G63" s="303">
        <f>'BS (F1Q23)'!G63-'BS (F4Q2022)'!G63</f>
        <v>0</v>
      </c>
      <c r="H63" s="128">
        <f>'BS (F1Q23)'!H63-'BS (F4Q2022)'!H63</f>
        <v>0</v>
      </c>
      <c r="I63" s="303">
        <f>'BS (F1Q23)'!I63-'BS (F4Q2022)'!I63</f>
        <v>0</v>
      </c>
      <c r="J63" s="303">
        <f>'BS (F1Q23)'!J63-'BS (F4Q2022)'!J63</f>
        <v>0</v>
      </c>
      <c r="K63" s="303">
        <f>'BS (F1Q23)'!K63-'BS (F4Q2022)'!K63</f>
        <v>0</v>
      </c>
      <c r="L63" s="179">
        <f>'BS (F1Q23)'!L63-'BS (F4Q2022)'!L63</f>
        <v>0</v>
      </c>
      <c r="M63" s="28">
        <f>'BS (F1Q23)'!M63-'BS (F4Q2022)'!M63</f>
        <v>0</v>
      </c>
      <c r="N63" s="179">
        <f>'BS (F1Q23)'!N63-'BS (F4Q2022)'!N63</f>
        <v>0</v>
      </c>
      <c r="O63" s="179">
        <f>'BS (F1Q23)'!O63-'BS (F4Q2022)'!O63</f>
        <v>0</v>
      </c>
      <c r="P63" s="179">
        <f>'BS (F1Q23)'!P63-'BS (F4Q2022)'!P63</f>
        <v>0</v>
      </c>
      <c r="Q63" s="179">
        <f>'BS (F1Q23)'!Q63-'BS (F4Q2022)'!Q63</f>
        <v>0</v>
      </c>
      <c r="R63" s="28">
        <f>'BS (F1Q23)'!R63-'BS (F4Q2022)'!R63</f>
        <v>0</v>
      </c>
      <c r="S63" s="179">
        <f>'BS (F1Q23)'!S63-'BS (F4Q2022)'!S63</f>
        <v>0</v>
      </c>
      <c r="T63" s="179">
        <f>'BS (F1Q23)'!T63-'BS (F4Q2022)'!T63</f>
        <v>0</v>
      </c>
      <c r="U63" s="179">
        <f>'BS (F1Q23)'!U63-'BS (F4Q2022)'!U63</f>
        <v>0</v>
      </c>
      <c r="V63" s="179">
        <f>'BS (F1Q23)'!V63-'BS (F4Q2022)'!V63</f>
        <v>0</v>
      </c>
      <c r="W63" s="28">
        <f>'BS (F1Q23)'!W63-'BS (F4Q2022)'!W63</f>
        <v>0</v>
      </c>
      <c r="X63" s="179">
        <f>'BS (F1Q23)'!X63-'BS (F4Q2022)'!X63</f>
        <v>-1.0694190658800992E-2</v>
      </c>
      <c r="Y63" s="179">
        <f>'BS (F1Q23)'!Y63-'BS (F4Q2022)'!Y63</f>
        <v>-6.2638827934503788E-2</v>
      </c>
      <c r="Z63" s="179">
        <f>'BS (F1Q23)'!Z63-'BS (F4Q2022)'!Z63</f>
        <v>-6.3674788266967874E-2</v>
      </c>
      <c r="AA63" s="179">
        <f>'BS (F1Q23)'!AA63-'BS (F4Q2022)'!AA63</f>
        <v>-6.3674788266967874E-2</v>
      </c>
      <c r="AB63" s="28">
        <f>'BS (F1Q23)'!AB63-'BS (F4Q2022)'!AB63</f>
        <v>0</v>
      </c>
      <c r="AC63" s="179">
        <f>'BS (F1Q23)'!AC63-'BS (F4Q2022)'!AC63</f>
        <v>-6.2436757328286671E-2</v>
      </c>
      <c r="AD63" s="179">
        <f>'BS (F1Q23)'!AD63-'BS (F4Q2022)'!AD63</f>
        <v>-6.1402021840475891E-2</v>
      </c>
      <c r="AE63" s="179">
        <f>'BS (F1Q23)'!AE63-'BS (F4Q2022)'!AE63</f>
        <v>-6.1402021840475891E-2</v>
      </c>
      <c r="AF63" s="179">
        <f>'BS (F1Q23)'!AF63-'BS (F4Q2022)'!AF63</f>
        <v>-6.0996677150225075E-2</v>
      </c>
      <c r="AG63" s="28">
        <f>'BS (F1Q23)'!AG63-'BS (F4Q2022)'!AG63</f>
        <v>0</v>
      </c>
      <c r="AH63" s="179">
        <f>'BS (F1Q23)'!AH63-'BS (F4Q2022)'!AH63</f>
        <v>-6.3550036365835672E-2</v>
      </c>
      <c r="AI63" s="179">
        <f>'BS (F1Q23)'!AI63-'BS (F4Q2022)'!AI63</f>
        <v>-6.3550036365835672E-2</v>
      </c>
      <c r="AJ63" s="179">
        <f>'BS (F1Q23)'!AJ63-'BS (F4Q2022)'!AJ63</f>
        <v>-6.5365946048420581E-3</v>
      </c>
      <c r="AK63" s="179">
        <f>'BS (F1Q23)'!AK63-'BS (F4Q2022)'!AK63</f>
        <v>-3.1286642462181186E-3</v>
      </c>
      <c r="AL63" s="28">
        <f>'BS (F1Q23)'!AL63-'BS (F4Q2022)'!AL63</f>
        <v>0</v>
      </c>
      <c r="AM63" s="179">
        <f>'BS (F1Q23)'!AM63-'BS (F4Q2022)'!AM63</f>
        <v>-3.1286642462181186E-3</v>
      </c>
      <c r="AN63" s="179">
        <f>'BS (F1Q23)'!AN63-'BS (F4Q2022)'!AN63</f>
        <v>-4.5923898783966535E-2</v>
      </c>
      <c r="AO63" s="179">
        <f>'BS (F1Q23)'!AO63-'BS (F4Q2022)'!AO63</f>
        <v>-4.5923898783966535E-2</v>
      </c>
      <c r="AP63" s="179">
        <f>'BS (F1Q23)'!AP63-'BS (F4Q2022)'!AP63</f>
        <v>-4.5923898783966535E-2</v>
      </c>
      <c r="AQ63" s="28">
        <f>'BS (F1Q23)'!AQ63-'BS (F4Q2022)'!AQ63</f>
        <v>0</v>
      </c>
      <c r="AR63" s="179">
        <f>'BS (F1Q23)'!AR63-'BS (F4Q2022)'!AR63</f>
        <v>-4.5923898783966535E-2</v>
      </c>
      <c r="AS63" s="179">
        <f>'BS (F1Q23)'!AS63-'BS (F4Q2022)'!AS63</f>
        <v>-1.7171956235053121E-2</v>
      </c>
      <c r="AT63" s="179">
        <f>'BS (F1Q23)'!AT63-'BS (F4Q2022)'!AT63</f>
        <v>-1.7171956235053121E-2</v>
      </c>
      <c r="AU63" s="179">
        <f>'BS (F1Q23)'!AU63-'BS (F4Q2022)'!AU63</f>
        <v>-1.7171956235053121E-2</v>
      </c>
      <c r="AV63" s="28">
        <f>'BS (F1Q23)'!AV63-'BS (F4Q2022)'!AV63</f>
        <v>0</v>
      </c>
    </row>
    <row r="64" spans="2:48" outlineLevel="1" x14ac:dyDescent="0.3">
      <c r="B64" s="200" t="s">
        <v>328</v>
      </c>
      <c r="C64" s="201"/>
      <c r="D64" s="304">
        <f>'BS (F1Q23)'!D64-'BS (F4Q2022)'!D64</f>
        <v>0</v>
      </c>
      <c r="E64" s="304">
        <f>'BS (F1Q23)'!E64-'BS (F4Q2022)'!E64</f>
        <v>0</v>
      </c>
      <c r="F64" s="304">
        <f>'BS (F1Q23)'!F64-'BS (F4Q2022)'!F64</f>
        <v>0</v>
      </c>
      <c r="G64" s="304">
        <f>'BS (F1Q23)'!G64-'BS (F4Q2022)'!G64</f>
        <v>0</v>
      </c>
      <c r="H64" s="306">
        <f>'BS (F1Q23)'!H64-'BS (F4Q2022)'!H64</f>
        <v>0</v>
      </c>
      <c r="I64" s="305">
        <f>'BS (F1Q23)'!I64-'BS (F4Q2022)'!I64</f>
        <v>0</v>
      </c>
      <c r="J64" s="305">
        <f>'BS (F1Q23)'!J64-'BS (F4Q2022)'!J64</f>
        <v>0</v>
      </c>
      <c r="K64" s="305">
        <f>'BS (F1Q23)'!K64-'BS (F4Q2022)'!K64</f>
        <v>0</v>
      </c>
      <c r="L64" s="305">
        <f>'BS (F1Q23)'!L64-'BS (F4Q2022)'!L64</f>
        <v>0</v>
      </c>
      <c r="M64" s="306">
        <f>'BS (F1Q23)'!M64-'BS (F4Q2022)'!M64</f>
        <v>0</v>
      </c>
      <c r="N64" s="305">
        <f>'BS (F1Q23)'!N64-'BS (F4Q2022)'!N64</f>
        <v>0</v>
      </c>
      <c r="O64" s="305">
        <f>'BS (F1Q23)'!O64-'BS (F4Q2022)'!O64</f>
        <v>0</v>
      </c>
      <c r="P64" s="305">
        <f>'BS (F1Q23)'!P64-'BS (F4Q2022)'!P64</f>
        <v>0</v>
      </c>
      <c r="Q64" s="305">
        <f>'BS (F1Q23)'!Q64-'BS (F4Q2022)'!Q64</f>
        <v>0</v>
      </c>
      <c r="R64" s="306">
        <f>'BS (F1Q23)'!R64-'BS (F4Q2022)'!R64</f>
        <v>0</v>
      </c>
      <c r="S64" s="305">
        <f>'BS (F1Q23)'!S64-'BS (F4Q2022)'!S64</f>
        <v>0</v>
      </c>
      <c r="T64" s="305">
        <f>'BS (F1Q23)'!T64-'BS (F4Q2022)'!T64</f>
        <v>0</v>
      </c>
      <c r="U64" s="305">
        <f>'BS (F1Q23)'!U64-'BS (F4Q2022)'!U64</f>
        <v>0</v>
      </c>
      <c r="V64" s="305">
        <f>'BS (F1Q23)'!V64-'BS (F4Q2022)'!V64</f>
        <v>0</v>
      </c>
      <c r="W64" s="306">
        <f>'BS (F1Q23)'!W64-'BS (F4Q2022)'!W64</f>
        <v>0</v>
      </c>
      <c r="X64" s="307">
        <f>'BS (F1Q23)'!X64-'BS (F4Q2022)'!X64</f>
        <v>0</v>
      </c>
      <c r="Y64" s="307">
        <f>'BS (F1Q23)'!Y64-'BS (F4Q2022)'!Y64</f>
        <v>0</v>
      </c>
      <c r="Z64" s="307">
        <f>'BS (F1Q23)'!Z64-'BS (F4Q2022)'!Z64</f>
        <v>0</v>
      </c>
      <c r="AA64" s="307">
        <f>'BS (F1Q23)'!AA64-'BS (F4Q2022)'!AA64</f>
        <v>0</v>
      </c>
      <c r="AB64" s="306">
        <f>'BS (F1Q23)'!AB64-'BS (F4Q2022)'!AB64</f>
        <v>0.16660490605419653</v>
      </c>
      <c r="AC64" s="307">
        <f>'BS (F1Q23)'!AC64-'BS (F4Q2022)'!AC64</f>
        <v>0</v>
      </c>
      <c r="AD64" s="307">
        <f>'BS (F1Q23)'!AD64-'BS (F4Q2022)'!AD64</f>
        <v>0</v>
      </c>
      <c r="AE64" s="307">
        <f>'BS (F1Q23)'!AE64-'BS (F4Q2022)'!AE64</f>
        <v>0</v>
      </c>
      <c r="AF64" s="307">
        <f>'BS (F1Q23)'!AF64-'BS (F4Q2022)'!AF64</f>
        <v>0</v>
      </c>
      <c r="AG64" s="405">
        <f>'BS (F1Q23)'!AG64-'BS (F4Q2022)'!AG64</f>
        <v>0.18873143676406867</v>
      </c>
      <c r="AH64" s="307">
        <f>'BS (F1Q23)'!AH64-'BS (F4Q2022)'!AH64</f>
        <v>0</v>
      </c>
      <c r="AI64" s="307">
        <f>'BS (F1Q23)'!AI64-'BS (F4Q2022)'!AI64</f>
        <v>0</v>
      </c>
      <c r="AJ64" s="307">
        <f>'BS (F1Q23)'!AJ64-'BS (F4Q2022)'!AJ64</f>
        <v>0</v>
      </c>
      <c r="AK64" s="307">
        <f>'BS (F1Q23)'!AK64-'BS (F4Q2022)'!AK64</f>
        <v>0</v>
      </c>
      <c r="AL64" s="405">
        <f>'BS (F1Q23)'!AL64-'BS (F4Q2022)'!AL64</f>
        <v>0.43428503839703536</v>
      </c>
      <c r="AM64" s="307">
        <f>'BS (F1Q23)'!AM64-'BS (F4Q2022)'!AM64</f>
        <v>0</v>
      </c>
      <c r="AN64" s="307">
        <f>'BS (F1Q23)'!AN64-'BS (F4Q2022)'!AN64</f>
        <v>0</v>
      </c>
      <c r="AO64" s="307">
        <f>'BS (F1Q23)'!AO64-'BS (F4Q2022)'!AO64</f>
        <v>0</v>
      </c>
      <c r="AP64" s="307">
        <f>'BS (F1Q23)'!AP64-'BS (F4Q2022)'!AP64</f>
        <v>0</v>
      </c>
      <c r="AQ64" s="306">
        <f>'BS (F1Q23)'!AQ64-'BS (F4Q2022)'!AQ64</f>
        <v>0.23410979207432847</v>
      </c>
      <c r="AR64" s="307">
        <f>'BS (F1Q23)'!AR64-'BS (F4Q2022)'!AR64</f>
        <v>0</v>
      </c>
      <c r="AS64" s="307">
        <f>'BS (F1Q23)'!AS64-'BS (F4Q2022)'!AS64</f>
        <v>0</v>
      </c>
      <c r="AT64" s="307">
        <f>'BS (F1Q23)'!AT64-'BS (F4Q2022)'!AT64</f>
        <v>0</v>
      </c>
      <c r="AU64" s="307">
        <f>'BS (F1Q23)'!AU64-'BS (F4Q2022)'!AU64</f>
        <v>0</v>
      </c>
      <c r="AV64" s="306">
        <f>'BS (F1Q23)'!AV64-'BS (F4Q2022)'!AV64</f>
        <v>0.21084355358690532</v>
      </c>
    </row>
    <row r="65" spans="2:48" outlineLevel="1" x14ac:dyDescent="0.3">
      <c r="B65" s="180" t="s">
        <v>325</v>
      </c>
      <c r="C65" s="44"/>
      <c r="D65" s="139">
        <f>'BS (F1Q23)'!D65-'BS (F4Q2022)'!D65</f>
        <v>0</v>
      </c>
      <c r="E65" s="139">
        <f>'BS (F1Q23)'!E65-'BS (F4Q2022)'!E65</f>
        <v>0</v>
      </c>
      <c r="F65" s="309">
        <f>'BS (F1Q23)'!F65-'BS (F4Q2022)'!F65</f>
        <v>0</v>
      </c>
      <c r="G65" s="309">
        <f>'BS (F1Q23)'!G65-'BS (F4Q2022)'!G65</f>
        <v>0</v>
      </c>
      <c r="H65" s="17">
        <f>'BS (F1Q23)'!H65-'BS (F4Q2022)'!H65</f>
        <v>0</v>
      </c>
      <c r="I65" s="139">
        <f>'BS (F1Q23)'!I65-'BS (F4Q2022)'!I65</f>
        <v>0</v>
      </c>
      <c r="J65" s="139">
        <f>'BS (F1Q23)'!J65-'BS (F4Q2022)'!J65</f>
        <v>0</v>
      </c>
      <c r="K65" s="309">
        <f>'BS (F1Q23)'!K65-'BS (F4Q2022)'!K65</f>
        <v>0</v>
      </c>
      <c r="L65" s="309">
        <f>'BS (F1Q23)'!L65-'BS (F4Q2022)'!L65</f>
        <v>0</v>
      </c>
      <c r="M65" s="17">
        <f>'BS (F1Q23)'!M65-'BS (F4Q2022)'!M65</f>
        <v>0</v>
      </c>
      <c r="N65" s="139">
        <f>'BS (F1Q23)'!N65-'BS (F4Q2022)'!N65</f>
        <v>0</v>
      </c>
      <c r="O65" s="139">
        <f>'BS (F1Q23)'!O65-'BS (F4Q2022)'!O65</f>
        <v>0</v>
      </c>
      <c r="P65" s="309">
        <f>'BS (F1Q23)'!P65-'BS (F4Q2022)'!P65</f>
        <v>0</v>
      </c>
      <c r="Q65" s="309">
        <f>'BS (F1Q23)'!Q65-'BS (F4Q2022)'!Q65</f>
        <v>0</v>
      </c>
      <c r="R65" s="17">
        <f>'BS (F1Q23)'!R65-'BS (F4Q2022)'!R65</f>
        <v>0</v>
      </c>
      <c r="S65" s="139">
        <f>'BS (F1Q23)'!S65-'BS (F4Q2022)'!S65</f>
        <v>0</v>
      </c>
      <c r="T65" s="139">
        <f>'BS (F1Q23)'!T65-'BS (F4Q2022)'!T65</f>
        <v>0</v>
      </c>
      <c r="U65" s="309">
        <f>'BS (F1Q23)'!U65-'BS (F4Q2022)'!U65</f>
        <v>0</v>
      </c>
      <c r="V65" s="309">
        <f>'BS (F1Q23)'!V65-'BS (F4Q2022)'!V65</f>
        <v>0</v>
      </c>
      <c r="W65" s="17">
        <f>'BS (F1Q23)'!W65-'BS (F4Q2022)'!W65</f>
        <v>0</v>
      </c>
      <c r="X65" s="139">
        <f>'BS (F1Q23)'!X65-'BS (F4Q2022)'!X65</f>
        <v>0</v>
      </c>
      <c r="Y65" s="305">
        <f>'BS (F1Q23)'!Y65-'BS (F4Q2022)'!Y65</f>
        <v>0</v>
      </c>
      <c r="Z65" s="305">
        <f>'BS (F1Q23)'!Z65-'BS (F4Q2022)'!Z65</f>
        <v>0</v>
      </c>
      <c r="AA65" s="310">
        <f>'BS (F1Q23)'!AA65-'BS (F4Q2022)'!AA65</f>
        <v>0</v>
      </c>
      <c r="AB65" s="17">
        <f>'BS (F1Q23)'!AB65-'BS (F4Q2022)'!AB65</f>
        <v>-94.393112056390237</v>
      </c>
      <c r="AC65" s="139">
        <f>'BS (F1Q23)'!AC65-'BS (F4Q2022)'!AC65</f>
        <v>0</v>
      </c>
      <c r="AD65" s="139">
        <f>'BS (F1Q23)'!AD65-'BS (F4Q2022)'!AD65</f>
        <v>0</v>
      </c>
      <c r="AE65" s="309">
        <f>'BS (F1Q23)'!AE65-'BS (F4Q2022)'!AE65</f>
        <v>0</v>
      </c>
      <c r="AF65" s="309">
        <f>'BS (F1Q23)'!AF65-'BS (F4Q2022)'!AF65</f>
        <v>0</v>
      </c>
      <c r="AG65" s="17">
        <f>'BS (F1Q23)'!AG65-'BS (F4Q2022)'!AG65</f>
        <v>-171.39069248980923</v>
      </c>
      <c r="AH65" s="139">
        <f>'BS (F1Q23)'!AH65-'BS (F4Q2022)'!AH65</f>
        <v>0</v>
      </c>
      <c r="AI65" s="139">
        <f>'BS (F1Q23)'!AI65-'BS (F4Q2022)'!AI65</f>
        <v>0</v>
      </c>
      <c r="AJ65" s="309">
        <f>'BS (F1Q23)'!AJ65-'BS (F4Q2022)'!AJ65</f>
        <v>0</v>
      </c>
      <c r="AK65" s="309">
        <f>'BS (F1Q23)'!AK65-'BS (F4Q2022)'!AK65</f>
        <v>0</v>
      </c>
      <c r="AL65" s="17">
        <f>'BS (F1Q23)'!AL65-'BS (F4Q2022)'!AL65</f>
        <v>-186.71234481190731</v>
      </c>
      <c r="AM65" s="139">
        <f>'BS (F1Q23)'!AM65-'BS (F4Q2022)'!AM65</f>
        <v>0</v>
      </c>
      <c r="AN65" s="139">
        <f>'BS (F1Q23)'!AN65-'BS (F4Q2022)'!AN65</f>
        <v>0</v>
      </c>
      <c r="AO65" s="309">
        <f>'BS (F1Q23)'!AO65-'BS (F4Q2022)'!AO65</f>
        <v>0</v>
      </c>
      <c r="AP65" s="309">
        <f>'BS (F1Q23)'!AP65-'BS (F4Q2022)'!AP65</f>
        <v>0</v>
      </c>
      <c r="AQ65" s="17">
        <f>'BS (F1Q23)'!AQ65-'BS (F4Q2022)'!AQ65</f>
        <v>-180.85397951442428</v>
      </c>
      <c r="AR65" s="139">
        <f>'BS (F1Q23)'!AR65-'BS (F4Q2022)'!AR65</f>
        <v>0</v>
      </c>
      <c r="AS65" s="139">
        <f>'BS (F1Q23)'!AS65-'BS (F4Q2022)'!AS65</f>
        <v>0</v>
      </c>
      <c r="AT65" s="309">
        <f>'BS (F1Q23)'!AT65-'BS (F4Q2022)'!AT65</f>
        <v>0</v>
      </c>
      <c r="AU65" s="309">
        <f>'BS (F1Q23)'!AU65-'BS (F4Q2022)'!AU65</f>
        <v>0</v>
      </c>
      <c r="AV65" s="17">
        <f>'BS (F1Q23)'!AV65-'BS (F4Q2022)'!AV65</f>
        <v>-172.33560870499605</v>
      </c>
    </row>
    <row r="66" spans="2:48" outlineLevel="1" x14ac:dyDescent="0.3">
      <c r="B66" s="180" t="s">
        <v>327</v>
      </c>
      <c r="C66" s="44"/>
      <c r="D66" s="139">
        <f>'BS (F1Q23)'!D66-'BS (F4Q2022)'!D66</f>
        <v>0</v>
      </c>
      <c r="E66" s="139">
        <f>'BS (F1Q23)'!E66-'BS (F4Q2022)'!E66</f>
        <v>0</v>
      </c>
      <c r="F66" s="309">
        <f>'BS (F1Q23)'!F66-'BS (F4Q2022)'!F66</f>
        <v>0</v>
      </c>
      <c r="G66" s="309">
        <f>'BS (F1Q23)'!G66-'BS (F4Q2022)'!G66</f>
        <v>0</v>
      </c>
      <c r="H66" s="387">
        <f>'BS (F1Q23)'!H66-'BS (F4Q2022)'!H66</f>
        <v>0</v>
      </c>
      <c r="I66" s="139">
        <f>'BS (F1Q23)'!I66-'BS (F4Q2022)'!I66</f>
        <v>0</v>
      </c>
      <c r="J66" s="139">
        <f>'BS (F1Q23)'!J66-'BS (F4Q2022)'!J66</f>
        <v>0</v>
      </c>
      <c r="K66" s="309">
        <f>'BS (F1Q23)'!K66-'BS (F4Q2022)'!K66</f>
        <v>0</v>
      </c>
      <c r="L66" s="309">
        <f>'BS (F1Q23)'!L66-'BS (F4Q2022)'!L66</f>
        <v>0</v>
      </c>
      <c r="M66" s="387">
        <f>'BS (F1Q23)'!M66-'BS (F4Q2022)'!M66</f>
        <v>0</v>
      </c>
      <c r="N66" s="139">
        <f>'BS (F1Q23)'!N66-'BS (F4Q2022)'!N66</f>
        <v>0</v>
      </c>
      <c r="O66" s="139">
        <f>'BS (F1Q23)'!O66-'BS (F4Q2022)'!O66</f>
        <v>0</v>
      </c>
      <c r="P66" s="309">
        <f>'BS (F1Q23)'!P66-'BS (F4Q2022)'!P66</f>
        <v>0</v>
      </c>
      <c r="Q66" s="309">
        <f>'BS (F1Q23)'!Q66-'BS (F4Q2022)'!Q66</f>
        <v>0</v>
      </c>
      <c r="R66" s="387">
        <f>'BS (F1Q23)'!R66-'BS (F4Q2022)'!R66</f>
        <v>0</v>
      </c>
      <c r="S66" s="139">
        <f>'BS (F1Q23)'!S66-'BS (F4Q2022)'!S66</f>
        <v>0</v>
      </c>
      <c r="T66" s="139">
        <f>'BS (F1Q23)'!T66-'BS (F4Q2022)'!T66</f>
        <v>0</v>
      </c>
      <c r="U66" s="309">
        <f>'BS (F1Q23)'!U66-'BS (F4Q2022)'!U66</f>
        <v>0</v>
      </c>
      <c r="V66" s="309">
        <f>'BS (F1Q23)'!V66-'BS (F4Q2022)'!V66</f>
        <v>0</v>
      </c>
      <c r="W66" s="388">
        <f>'BS (F1Q23)'!W66-'BS (F4Q2022)'!W66</f>
        <v>0</v>
      </c>
      <c r="X66" s="139">
        <f>'BS (F1Q23)'!X66-'BS (F4Q2022)'!X66</f>
        <v>0</v>
      </c>
      <c r="Y66" s="179">
        <f>'BS (F1Q23)'!Y66-'BS (F4Q2022)'!Y66</f>
        <v>0</v>
      </c>
      <c r="Z66" s="179">
        <f>'BS (F1Q23)'!Z66-'BS (F4Q2022)'!Z66</f>
        <v>0</v>
      </c>
      <c r="AA66" s="310">
        <f>'BS (F1Q23)'!AA66-'BS (F4Q2022)'!AA66</f>
        <v>0</v>
      </c>
      <c r="AB66" s="388">
        <f>'BS (F1Q23)'!AB66-'BS (F4Q2022)'!AB66</f>
        <v>0</v>
      </c>
      <c r="AC66" s="139">
        <f>'BS (F1Q23)'!AC66-'BS (F4Q2022)'!AC66</f>
        <v>0</v>
      </c>
      <c r="AD66" s="139">
        <f>'BS (F1Q23)'!AD66-'BS (F4Q2022)'!AD66</f>
        <v>0</v>
      </c>
      <c r="AE66" s="309">
        <f>'BS (F1Q23)'!AE66-'BS (F4Q2022)'!AE66</f>
        <v>0</v>
      </c>
      <c r="AF66" s="309">
        <f>'BS (F1Q23)'!AF66-'BS (F4Q2022)'!AF66</f>
        <v>0</v>
      </c>
      <c r="AG66" s="388">
        <f>'BS (F1Q23)'!AG66-'BS (F4Q2022)'!AG66</f>
        <v>0</v>
      </c>
      <c r="AH66" s="139">
        <f>'BS (F1Q23)'!AH66-'BS (F4Q2022)'!AH66</f>
        <v>0</v>
      </c>
      <c r="AI66" s="139">
        <f>'BS (F1Q23)'!AI66-'BS (F4Q2022)'!AI66</f>
        <v>0</v>
      </c>
      <c r="AJ66" s="309">
        <f>'BS (F1Q23)'!AJ66-'BS (F4Q2022)'!AJ66</f>
        <v>0</v>
      </c>
      <c r="AK66" s="309">
        <f>'BS (F1Q23)'!AK66-'BS (F4Q2022)'!AK66</f>
        <v>0</v>
      </c>
      <c r="AL66" s="388">
        <f>'BS (F1Q23)'!AL66-'BS (F4Q2022)'!AL66</f>
        <v>0</v>
      </c>
      <c r="AM66" s="139">
        <f>'BS (F1Q23)'!AM66-'BS (F4Q2022)'!AM66</f>
        <v>0</v>
      </c>
      <c r="AN66" s="139">
        <f>'BS (F1Q23)'!AN66-'BS (F4Q2022)'!AN66</f>
        <v>0</v>
      </c>
      <c r="AO66" s="309">
        <f>'BS (F1Q23)'!AO66-'BS (F4Q2022)'!AO66</f>
        <v>0</v>
      </c>
      <c r="AP66" s="309">
        <f>'BS (F1Q23)'!AP66-'BS (F4Q2022)'!AP66</f>
        <v>0</v>
      </c>
      <c r="AQ66" s="388">
        <f>'BS (F1Q23)'!AQ66-'BS (F4Q2022)'!AQ66</f>
        <v>0</v>
      </c>
      <c r="AR66" s="139">
        <f>'BS (F1Q23)'!AR66-'BS (F4Q2022)'!AR66</f>
        <v>0</v>
      </c>
      <c r="AS66" s="139">
        <f>'BS (F1Q23)'!AS66-'BS (F4Q2022)'!AS66</f>
        <v>0</v>
      </c>
      <c r="AT66" s="309">
        <f>'BS (F1Q23)'!AT66-'BS (F4Q2022)'!AT66</f>
        <v>0</v>
      </c>
      <c r="AU66" s="309">
        <f>'BS (F1Q23)'!AU66-'BS (F4Q2022)'!AU66</f>
        <v>0</v>
      </c>
      <c r="AV66" s="388">
        <f>'BS (F1Q23)'!AV66-'BS (F4Q2022)'!AV66</f>
        <v>0</v>
      </c>
    </row>
    <row r="67" spans="2:48" outlineLevel="1" x14ac:dyDescent="0.3">
      <c r="B67" s="386" t="s">
        <v>326</v>
      </c>
      <c r="C67" s="312"/>
      <c r="D67" s="313">
        <f>'BS (F1Q23)'!D67-'BS (F4Q2022)'!D67</f>
        <v>0</v>
      </c>
      <c r="E67" s="313">
        <f>'BS (F1Q23)'!E67-'BS (F4Q2022)'!E67</f>
        <v>0</v>
      </c>
      <c r="F67" s="314">
        <f>'BS (F1Q23)'!F67-'BS (F4Q2022)'!F67</f>
        <v>0</v>
      </c>
      <c r="G67" s="314">
        <f>'BS (F1Q23)'!G67-'BS (F4Q2022)'!G67</f>
        <v>0</v>
      </c>
      <c r="H67" s="316">
        <f>'BS (F1Q23)'!H67-'BS (F4Q2022)'!H67</f>
        <v>0</v>
      </c>
      <c r="I67" s="313">
        <f>'BS (F1Q23)'!I67-'BS (F4Q2022)'!I67</f>
        <v>0</v>
      </c>
      <c r="J67" s="313">
        <f>'BS (F1Q23)'!J67-'BS (F4Q2022)'!J67</f>
        <v>0</v>
      </c>
      <c r="K67" s="314">
        <f>'BS (F1Q23)'!K67-'BS (F4Q2022)'!K67</f>
        <v>0</v>
      </c>
      <c r="L67" s="314">
        <f>'BS (F1Q23)'!L67-'BS (F4Q2022)'!L67</f>
        <v>0</v>
      </c>
      <c r="M67" s="316">
        <f>'BS (F1Q23)'!M67-'BS (F4Q2022)'!M67</f>
        <v>0</v>
      </c>
      <c r="N67" s="313">
        <f>'BS (F1Q23)'!N67-'BS (F4Q2022)'!N67</f>
        <v>0</v>
      </c>
      <c r="O67" s="313">
        <f>'BS (F1Q23)'!O67-'BS (F4Q2022)'!O67</f>
        <v>0</v>
      </c>
      <c r="P67" s="314">
        <f>'BS (F1Q23)'!P67-'BS (F4Q2022)'!P67</f>
        <v>0</v>
      </c>
      <c r="Q67" s="314">
        <f>'BS (F1Q23)'!Q67-'BS (F4Q2022)'!Q67</f>
        <v>0</v>
      </c>
      <c r="R67" s="316">
        <f>'BS (F1Q23)'!R67-'BS (F4Q2022)'!R67</f>
        <v>0</v>
      </c>
      <c r="S67" s="313">
        <f>'BS (F1Q23)'!S67-'BS (F4Q2022)'!S67</f>
        <v>0</v>
      </c>
      <c r="T67" s="313">
        <f>'BS (F1Q23)'!T67-'BS (F4Q2022)'!T67</f>
        <v>0</v>
      </c>
      <c r="U67" s="314">
        <f>'BS (F1Q23)'!U67-'BS (F4Q2022)'!U67</f>
        <v>0</v>
      </c>
      <c r="V67" s="314">
        <f>'BS (F1Q23)'!V67-'BS (F4Q2022)'!V67</f>
        <v>0</v>
      </c>
      <c r="W67" s="316">
        <f>'BS (F1Q23)'!W67-'BS (F4Q2022)'!W67</f>
        <v>0</v>
      </c>
      <c r="X67" s="313">
        <f>'BS (F1Q23)'!X67-'BS (F4Q2022)'!X67</f>
        <v>0</v>
      </c>
      <c r="Y67" s="313">
        <f>'BS (F1Q23)'!Y67-'BS (F4Q2022)'!Y67</f>
        <v>0</v>
      </c>
      <c r="Z67" s="314">
        <f>'BS (F1Q23)'!Z67-'BS (F4Q2022)'!Z67</f>
        <v>0</v>
      </c>
      <c r="AA67" s="315">
        <f>'BS (F1Q23)'!AA67-'BS (F4Q2022)'!AA67</f>
        <v>0</v>
      </c>
      <c r="AB67" s="316">
        <f>'BS (F1Q23)'!AB67-'BS (F4Q2022)'!AB67</f>
        <v>383.09999999999854</v>
      </c>
      <c r="AC67" s="313">
        <f>'BS (F1Q23)'!AC67-'BS (F4Q2022)'!AC67</f>
        <v>0</v>
      </c>
      <c r="AD67" s="313">
        <f>'BS (F1Q23)'!AD67-'BS (F4Q2022)'!AD67</f>
        <v>0</v>
      </c>
      <c r="AE67" s="314">
        <f>'BS (F1Q23)'!AE67-'BS (F4Q2022)'!AE67</f>
        <v>0</v>
      </c>
      <c r="AF67" s="314">
        <f>'BS (F1Q23)'!AF67-'BS (F4Q2022)'!AF67</f>
        <v>0</v>
      </c>
      <c r="AG67" s="316">
        <f>'BS (F1Q23)'!AG67-'BS (F4Q2022)'!AG67</f>
        <v>483.39999999999964</v>
      </c>
      <c r="AH67" s="313">
        <f>'BS (F1Q23)'!AH67-'BS (F4Q2022)'!AH67</f>
        <v>0</v>
      </c>
      <c r="AI67" s="313">
        <f>'BS (F1Q23)'!AI67-'BS (F4Q2022)'!AI67</f>
        <v>0</v>
      </c>
      <c r="AJ67" s="314">
        <f>'BS (F1Q23)'!AJ67-'BS (F4Q2022)'!AJ67</f>
        <v>0</v>
      </c>
      <c r="AK67" s="314">
        <f>'BS (F1Q23)'!AK67-'BS (F4Q2022)'!AK67</f>
        <v>0</v>
      </c>
      <c r="AL67" s="316">
        <f>'BS (F1Q23)'!AL67-'BS (F4Q2022)'!AL67</f>
        <v>2146.0188026848227</v>
      </c>
      <c r="AM67" s="313">
        <f>'BS (F1Q23)'!AM67-'BS (F4Q2022)'!AM67</f>
        <v>0</v>
      </c>
      <c r="AN67" s="313">
        <f>'BS (F1Q23)'!AN67-'BS (F4Q2022)'!AN67</f>
        <v>0</v>
      </c>
      <c r="AO67" s="314">
        <f>'BS (F1Q23)'!AO67-'BS (F4Q2022)'!AO67</f>
        <v>0</v>
      </c>
      <c r="AP67" s="314">
        <f>'BS (F1Q23)'!AP67-'BS (F4Q2022)'!AP67</f>
        <v>0</v>
      </c>
      <c r="AQ67" s="316">
        <f>'BS (F1Q23)'!AQ67-'BS (F4Q2022)'!AQ67</f>
        <v>1146.0188026848227</v>
      </c>
      <c r="AR67" s="313">
        <f>'BS (F1Q23)'!AR67-'BS (F4Q2022)'!AR67</f>
        <v>0</v>
      </c>
      <c r="AS67" s="313">
        <f>'BS (F1Q23)'!AS67-'BS (F4Q2022)'!AS67</f>
        <v>0</v>
      </c>
      <c r="AT67" s="314">
        <f>'BS (F1Q23)'!AT67-'BS (F4Q2022)'!AT67</f>
        <v>0</v>
      </c>
      <c r="AU67" s="314">
        <f>'BS (F1Q23)'!AU67-'BS (F4Q2022)'!AU67</f>
        <v>0</v>
      </c>
      <c r="AV67" s="316">
        <f>'BS (F1Q23)'!AV67-'BS (F4Q2022)'!AV67</f>
        <v>1146.0188026848227</v>
      </c>
    </row>
  </sheetData>
  <dataConsolidate/>
  <mergeCells count="26">
    <mergeCell ref="B52:C52"/>
    <mergeCell ref="B53:C53"/>
    <mergeCell ref="B45:C45"/>
    <mergeCell ref="B47:C47"/>
    <mergeCell ref="B48:C48"/>
    <mergeCell ref="B49:C49"/>
    <mergeCell ref="B50:C50"/>
    <mergeCell ref="B51:C51"/>
    <mergeCell ref="B44:C44"/>
    <mergeCell ref="B20:C20"/>
    <mergeCell ref="B21:C21"/>
    <mergeCell ref="B22:C22"/>
    <mergeCell ref="B34:C34"/>
    <mergeCell ref="B35:C35"/>
    <mergeCell ref="B36:C36"/>
    <mergeCell ref="B37:C37"/>
    <mergeCell ref="B38:C38"/>
    <mergeCell ref="B39:C39"/>
    <mergeCell ref="B41:C41"/>
    <mergeCell ref="B42:C42"/>
    <mergeCell ref="B19:C19"/>
    <mergeCell ref="B3:C3"/>
    <mergeCell ref="B5:C5"/>
    <mergeCell ref="B6:C6"/>
    <mergeCell ref="B8:C8"/>
    <mergeCell ref="B10:C1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922C5-EE2A-4D0B-989E-8FE53160B761}">
  <sheetPr>
    <tabColor theme="8" tint="0.39997558519241921"/>
    <pageSetUpPr fitToPage="1"/>
  </sheetPr>
  <dimension ref="B1:AV65"/>
  <sheetViews>
    <sheetView showGridLines="0" zoomScaleNormal="100" workbookViewId="0">
      <pane xSplit="3" ySplit="4" topLeftCell="T5" activePane="bottomRight" state="frozen"/>
      <selection activeCell="AG31" sqref="AG31"/>
      <selection pane="topRight" activeCell="AG31" sqref="AG31"/>
      <selection pane="bottomLeft" activeCell="AG31" sqref="AG31"/>
      <selection pane="bottomRight" activeCell="AG31" sqref="AG31"/>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583" t="s">
        <v>266</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601" t="s">
        <v>267</v>
      </c>
      <c r="C5" s="602"/>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f>'CFS (F1Q23)'!D6-'CFS (F4Q2022)'!D6</f>
        <v>0</v>
      </c>
      <c r="E6" s="101">
        <f>'CFS (F1Q23)'!E6-'CFS (F4Q2022)'!E6</f>
        <v>0</v>
      </c>
      <c r="F6" s="16">
        <f>'CFS (F1Q23)'!F6-'CFS (F4Q2022)'!F6</f>
        <v>0</v>
      </c>
      <c r="G6" s="16">
        <f>'CFS (F1Q23)'!G6-'CFS (F4Q2022)'!G6</f>
        <v>0</v>
      </c>
      <c r="H6" s="17">
        <f>'CFS (F1Q23)'!H6-'CFS (F4Q2022)'!H6</f>
        <v>0</v>
      </c>
      <c r="I6" s="16">
        <f>'CFS (F1Q23)'!I6-'CFS (F4Q2022)'!I6</f>
        <v>0</v>
      </c>
      <c r="J6" s="16">
        <f>'CFS (F1Q23)'!J6-'CFS (F4Q2022)'!J6</f>
        <v>0</v>
      </c>
      <c r="K6" s="16">
        <f>'CFS (F1Q23)'!K6-'CFS (F4Q2022)'!K6</f>
        <v>0</v>
      </c>
      <c r="L6" s="16">
        <f>'CFS (F1Q23)'!L6-'CFS (F4Q2022)'!L6</f>
        <v>0</v>
      </c>
      <c r="M6" s="17">
        <f>'CFS (F1Q23)'!M6-'CFS (F4Q2022)'!M6</f>
        <v>0</v>
      </c>
      <c r="N6" s="16">
        <f>'CFS (F1Q23)'!N6-'CFS (F4Q2022)'!N6</f>
        <v>0</v>
      </c>
      <c r="O6" s="16">
        <f>'CFS (F1Q23)'!O6-'CFS (F4Q2022)'!O6</f>
        <v>0</v>
      </c>
      <c r="P6" s="16">
        <f>'CFS (F1Q23)'!P6-'CFS (F4Q2022)'!P6</f>
        <v>0</v>
      </c>
      <c r="Q6" s="16">
        <f>'CFS (F1Q23)'!Q6-'CFS (F4Q2022)'!Q6</f>
        <v>0</v>
      </c>
      <c r="R6" s="17">
        <f>'CFS (F1Q23)'!R6-'CFS (F4Q2022)'!R6</f>
        <v>0</v>
      </c>
      <c r="S6" s="16">
        <f>'CFS (F1Q23)'!S6-'CFS (F4Q2022)'!S6</f>
        <v>0</v>
      </c>
      <c r="T6" s="16">
        <f>'CFS (F1Q23)'!T6-'CFS (F4Q2022)'!T6</f>
        <v>0</v>
      </c>
      <c r="U6" s="16">
        <f>'CFS (F1Q23)'!U6-'CFS (F4Q2022)'!U6</f>
        <v>0</v>
      </c>
      <c r="V6" s="16">
        <f>'CFS (F1Q23)'!V6-'CFS (F4Q2022)'!V6</f>
        <v>0</v>
      </c>
      <c r="W6" s="17">
        <f>'CFS (F1Q23)'!W6-'CFS (F4Q2022)'!W6</f>
        <v>0</v>
      </c>
      <c r="X6" s="16">
        <f>'CFS (F1Q23)'!X6-'CFS (F4Q2022)'!X6</f>
        <v>23.70026359529561</v>
      </c>
      <c r="Y6" s="16">
        <f>'CFS (F1Q23)'!Y6-'CFS (F4Q2022)'!Y6</f>
        <v>-119.58068516953142</v>
      </c>
      <c r="Z6" s="16">
        <f>'CFS (F1Q23)'!Z6-'CFS (F4Q2022)'!Z6</f>
        <v>23.268481556419601</v>
      </c>
      <c r="AA6" s="16">
        <f>'CFS (F1Q23)'!AA6-'CFS (F4Q2022)'!AA6</f>
        <v>80.781160703150363</v>
      </c>
      <c r="AB6" s="17">
        <f>'CFS (F1Q23)'!AB6-'CFS (F4Q2022)'!AB6</f>
        <v>8.1692206853340394</v>
      </c>
      <c r="AC6" s="16">
        <f>'CFS (F1Q23)'!AC6-'CFS (F4Q2022)'!AC6</f>
        <v>-40.223950339519888</v>
      </c>
      <c r="AD6" s="16">
        <f>'CFS (F1Q23)'!AD6-'CFS (F4Q2022)'!AD6</f>
        <v>-153.81730482035744</v>
      </c>
      <c r="AE6" s="16">
        <f>'CFS (F1Q23)'!AE6-'CFS (F4Q2022)'!AE6</f>
        <v>29.953997273883942</v>
      </c>
      <c r="AF6" s="16">
        <f>'CFS (F1Q23)'!AF6-'CFS (F4Q2022)'!AF6</f>
        <v>96.335877851143323</v>
      </c>
      <c r="AG6" s="17">
        <f>'CFS (F1Q23)'!AG6-'CFS (F4Q2022)'!AG6</f>
        <v>-67.751380034849717</v>
      </c>
      <c r="AH6" s="16">
        <f>'CFS (F1Q23)'!AH6-'CFS (F4Q2022)'!AH6</f>
        <v>-57.336989456446645</v>
      </c>
      <c r="AI6" s="16">
        <f>'CFS (F1Q23)'!AI6-'CFS (F4Q2022)'!AI6</f>
        <v>-181.42218187887727</v>
      </c>
      <c r="AJ6" s="16">
        <f>'CFS (F1Q23)'!AJ6-'CFS (F4Q2022)'!AJ6</f>
        <v>34.938834782415142</v>
      </c>
      <c r="AK6" s="16">
        <f>'CFS (F1Q23)'!AK6-'CFS (F4Q2022)'!AK6</f>
        <v>99.095667666525969</v>
      </c>
      <c r="AL6" s="17">
        <f>'CFS (F1Q23)'!AL6-'CFS (F4Q2022)'!AL6</f>
        <v>-104.72466888638246</v>
      </c>
      <c r="AM6" s="16">
        <f>'CFS (F1Q23)'!AM6-'CFS (F4Q2022)'!AM6</f>
        <v>-62.844199699983847</v>
      </c>
      <c r="AN6" s="16">
        <f>'CFS (F1Q23)'!AN6-'CFS (F4Q2022)'!AN6</f>
        <v>-194.8221292690921</v>
      </c>
      <c r="AO6" s="16">
        <f>'CFS (F1Q23)'!AO6-'CFS (F4Q2022)'!AO6</f>
        <v>56.375027246394666</v>
      </c>
      <c r="AP6" s="16">
        <f>'CFS (F1Q23)'!AP6-'CFS (F4Q2022)'!AP6</f>
        <v>139.64343563950069</v>
      </c>
      <c r="AQ6" s="17">
        <f>'CFS (F1Q23)'!AQ6-'CFS (F4Q2022)'!AQ6</f>
        <v>-61.647866083181725</v>
      </c>
      <c r="AR6" s="16">
        <f>'CFS (F1Q23)'!AR6-'CFS (F4Q2022)'!AR6</f>
        <v>-70.130192610410177</v>
      </c>
      <c r="AS6" s="16">
        <f>'CFS (F1Q23)'!AS6-'CFS (F4Q2022)'!AS6</f>
        <v>-207.54401773382642</v>
      </c>
      <c r="AT6" s="16">
        <f>'CFS (F1Q23)'!AT6-'CFS (F4Q2022)'!AT6</f>
        <v>54.902359502528952</v>
      </c>
      <c r="AU6" s="16">
        <f>'CFS (F1Q23)'!AU6-'CFS (F4Q2022)'!AU6</f>
        <v>143.67656548736841</v>
      </c>
      <c r="AV6" s="17">
        <f>'CFS (F1Q23)'!AV6-'CFS (F4Q2022)'!AV6</f>
        <v>-79.095285354340376</v>
      </c>
    </row>
    <row r="7" spans="2:48" outlineLevel="1" x14ac:dyDescent="0.3">
      <c r="B7" s="308" t="s">
        <v>269</v>
      </c>
      <c r="C7" s="44"/>
      <c r="D7" s="16">
        <f>'CFS (F1Q23)'!D7-'CFS (F4Q2022)'!D7</f>
        <v>0</v>
      </c>
      <c r="E7" s="16">
        <f>'CFS (F1Q23)'!E7-'CFS (F4Q2022)'!E7</f>
        <v>0</v>
      </c>
      <c r="F7" s="16">
        <f>'CFS (F1Q23)'!F7-'CFS (F4Q2022)'!F7</f>
        <v>0</v>
      </c>
      <c r="G7" s="16">
        <f>'CFS (F1Q23)'!G7-'CFS (F4Q2022)'!G7</f>
        <v>0</v>
      </c>
      <c r="H7" s="17">
        <f>'CFS (F1Q23)'!H7-'CFS (F4Q2022)'!H7</f>
        <v>0</v>
      </c>
      <c r="I7" s="16">
        <f>'CFS (F1Q23)'!I7-'CFS (F4Q2022)'!I7</f>
        <v>0</v>
      </c>
      <c r="J7" s="16">
        <f>'CFS (F1Q23)'!J7-'CFS (F4Q2022)'!J7</f>
        <v>0</v>
      </c>
      <c r="K7" s="16">
        <f>'CFS (F1Q23)'!K7-'CFS (F4Q2022)'!K7</f>
        <v>0</v>
      </c>
      <c r="L7" s="16">
        <f>'CFS (F1Q23)'!L7-'CFS (F4Q2022)'!L7</f>
        <v>0</v>
      </c>
      <c r="M7" s="17">
        <f>'CFS (F1Q23)'!M7-'CFS (F4Q2022)'!M7</f>
        <v>0</v>
      </c>
      <c r="N7" s="16">
        <f>'CFS (F1Q23)'!N7-'CFS (F4Q2022)'!N7</f>
        <v>0</v>
      </c>
      <c r="O7" s="16">
        <f>'CFS (F1Q23)'!O7-'CFS (F4Q2022)'!O7</f>
        <v>0</v>
      </c>
      <c r="P7" s="16">
        <f>'CFS (F1Q23)'!P7-'CFS (F4Q2022)'!P7</f>
        <v>0</v>
      </c>
      <c r="Q7" s="16">
        <f>'CFS (F1Q23)'!Q7-'CFS (F4Q2022)'!Q7</f>
        <v>0</v>
      </c>
      <c r="R7" s="17">
        <f>'CFS (F1Q23)'!R7-'CFS (F4Q2022)'!R7</f>
        <v>0</v>
      </c>
      <c r="S7" s="16">
        <f>'CFS (F1Q23)'!S7-'CFS (F4Q2022)'!S7</f>
        <v>0</v>
      </c>
      <c r="T7" s="16">
        <f>'CFS (F1Q23)'!T7-'CFS (F4Q2022)'!T7</f>
        <v>0</v>
      </c>
      <c r="U7" s="16">
        <f>'CFS (F1Q23)'!U7-'CFS (F4Q2022)'!U7</f>
        <v>0</v>
      </c>
      <c r="V7" s="16">
        <f>'CFS (F1Q23)'!V7-'CFS (F4Q2022)'!V7</f>
        <v>0</v>
      </c>
      <c r="W7" s="17">
        <f>'CFS (F1Q23)'!W7-'CFS (F4Q2022)'!W7</f>
        <v>0</v>
      </c>
      <c r="X7" s="16">
        <f>'CFS (F1Q23)'!X7-'CFS (F4Q2022)'!X7</f>
        <v>-47.493039183866529</v>
      </c>
      <c r="Y7" s="16">
        <f>'CFS (F1Q23)'!Y7-'CFS (F4Q2022)'!Y7</f>
        <v>-41.797331858536381</v>
      </c>
      <c r="Z7" s="16">
        <f>'CFS (F1Q23)'!Z7-'CFS (F4Q2022)'!Z7</f>
        <v>-23.64078324545244</v>
      </c>
      <c r="AA7" s="16">
        <f>'CFS (F1Q23)'!AA7-'CFS (F4Q2022)'!AA7</f>
        <v>-27.433285864115021</v>
      </c>
      <c r="AB7" s="17">
        <f>'CFS (F1Q23)'!AB7-'CFS (F4Q2022)'!AB7</f>
        <v>-140.36444015197048</v>
      </c>
      <c r="AC7" s="16">
        <f>'CFS (F1Q23)'!AC7-'CFS (F4Q2022)'!AC7</f>
        <v>-32.985957132323847</v>
      </c>
      <c r="AD7" s="16">
        <f>'CFS (F1Q23)'!AD7-'CFS (F4Q2022)'!AD7</f>
        <v>-27.680866924661132</v>
      </c>
      <c r="AE7" s="16">
        <f>'CFS (F1Q23)'!AE7-'CFS (F4Q2022)'!AE7</f>
        <v>-25.138519650016406</v>
      </c>
      <c r="AF7" s="16">
        <f>'CFS (F1Q23)'!AF7-'CFS (F4Q2022)'!AF7</f>
        <v>-26.923261174028994</v>
      </c>
      <c r="AG7" s="17">
        <f>'CFS (F1Q23)'!AG7-'CFS (F4Q2022)'!AG7</f>
        <v>-112.72860488103015</v>
      </c>
      <c r="AH7" s="16">
        <f>'CFS (F1Q23)'!AH7-'CFS (F4Q2022)'!AH7</f>
        <v>-27.518137972781005</v>
      </c>
      <c r="AI7" s="16">
        <f>'CFS (F1Q23)'!AI7-'CFS (F4Q2022)'!AI7</f>
        <v>-25.997349734295028</v>
      </c>
      <c r="AJ7" s="16">
        <f>'CFS (F1Q23)'!AJ7-'CFS (F4Q2022)'!AJ7</f>
        <v>-25.192503522345021</v>
      </c>
      <c r="AK7" s="16">
        <f>'CFS (F1Q23)'!AK7-'CFS (F4Q2022)'!AK7</f>
        <v>-25.213059536665185</v>
      </c>
      <c r="AL7" s="17">
        <f>'CFS (F1Q23)'!AL7-'CFS (F4Q2022)'!AL7</f>
        <v>-103.92105076608641</v>
      </c>
      <c r="AM7" s="16">
        <f>'CFS (F1Q23)'!AM7-'CFS (F4Q2022)'!AM7</f>
        <v>-24.865902046479562</v>
      </c>
      <c r="AN7" s="16">
        <f>'CFS (F1Q23)'!AN7-'CFS (F4Q2022)'!AN7</f>
        <v>-24.640603662366061</v>
      </c>
      <c r="AO7" s="16">
        <f>'CFS (F1Q23)'!AO7-'CFS (F4Q2022)'!AO7</f>
        <v>-24.113975036259603</v>
      </c>
      <c r="AP7" s="16">
        <f>'CFS (F1Q23)'!AP7-'CFS (F4Q2022)'!AP7</f>
        <v>-23.908324137897353</v>
      </c>
      <c r="AQ7" s="17">
        <f>'CFS (F1Q23)'!AQ7-'CFS (F4Q2022)'!AQ7</f>
        <v>-97.528804883002522</v>
      </c>
      <c r="AR7" s="16">
        <f>'CFS (F1Q23)'!AR7-'CFS (F4Q2022)'!AR7</f>
        <v>-23.678260454908013</v>
      </c>
      <c r="AS7" s="16">
        <f>'CFS (F1Q23)'!AS7-'CFS (F4Q2022)'!AS7</f>
        <v>-23.762400135171333</v>
      </c>
      <c r="AT7" s="16">
        <f>'CFS (F1Q23)'!AT7-'CFS (F4Q2022)'!AT7</f>
        <v>-23.248706334436974</v>
      </c>
      <c r="AU7" s="16">
        <f>'CFS (F1Q23)'!AU7-'CFS (F4Q2022)'!AU7</f>
        <v>-23.031581124395416</v>
      </c>
      <c r="AV7" s="17">
        <f>'CFS (F1Q23)'!AV7-'CFS (F4Q2022)'!AV7</f>
        <v>-93.72094804891185</v>
      </c>
    </row>
    <row r="8" spans="2:48" outlineLevel="1" x14ac:dyDescent="0.3">
      <c r="B8" s="308" t="s">
        <v>222</v>
      </c>
      <c r="C8" s="44"/>
      <c r="D8" s="16">
        <f>'CFS (F1Q23)'!D8-'CFS (F4Q2022)'!D8</f>
        <v>0</v>
      </c>
      <c r="E8" s="16">
        <f>'CFS (F1Q23)'!E8-'CFS (F4Q2022)'!E8</f>
        <v>0</v>
      </c>
      <c r="F8" s="16">
        <f>'CFS (F1Q23)'!F8-'CFS (F4Q2022)'!F8</f>
        <v>0</v>
      </c>
      <c r="G8" s="101">
        <f>'CFS (F1Q23)'!G8-'CFS (F4Q2022)'!G8</f>
        <v>0</v>
      </c>
      <c r="H8" s="17">
        <f>'CFS (F1Q23)'!H8-'CFS (F4Q2022)'!H8</f>
        <v>0</v>
      </c>
      <c r="I8" s="16">
        <f>'CFS (F1Q23)'!I8-'CFS (F4Q2022)'!I8</f>
        <v>0</v>
      </c>
      <c r="J8" s="16">
        <f>'CFS (F1Q23)'!J8-'CFS (F4Q2022)'!J8</f>
        <v>0</v>
      </c>
      <c r="K8" s="16">
        <f>'CFS (F1Q23)'!K8-'CFS (F4Q2022)'!K8</f>
        <v>0</v>
      </c>
      <c r="L8" s="101">
        <f>'CFS (F1Q23)'!L8-'CFS (F4Q2022)'!L8</f>
        <v>0</v>
      </c>
      <c r="M8" s="17">
        <f>'CFS (F1Q23)'!M8-'CFS (F4Q2022)'!M8</f>
        <v>0</v>
      </c>
      <c r="N8" s="16">
        <f>'CFS (F1Q23)'!N8-'CFS (F4Q2022)'!N8</f>
        <v>0</v>
      </c>
      <c r="O8" s="16">
        <f>'CFS (F1Q23)'!O8-'CFS (F4Q2022)'!O8</f>
        <v>0</v>
      </c>
      <c r="P8" s="16">
        <f>'CFS (F1Q23)'!P8-'CFS (F4Q2022)'!P8</f>
        <v>0</v>
      </c>
      <c r="Q8" s="101">
        <f>'CFS (F1Q23)'!Q8-'CFS (F4Q2022)'!Q8</f>
        <v>0</v>
      </c>
      <c r="R8" s="17">
        <f>'CFS (F1Q23)'!R8-'CFS (F4Q2022)'!R8</f>
        <v>0</v>
      </c>
      <c r="S8" s="16">
        <f>'CFS (F1Q23)'!S8-'CFS (F4Q2022)'!S8</f>
        <v>0</v>
      </c>
      <c r="T8" s="16">
        <f>'CFS (F1Q23)'!T8-'CFS (F4Q2022)'!T8</f>
        <v>0</v>
      </c>
      <c r="U8" s="16">
        <f>'CFS (F1Q23)'!U8-'CFS (F4Q2022)'!U8</f>
        <v>0</v>
      </c>
      <c r="V8" s="16">
        <f>'CFS (F1Q23)'!V8-'CFS (F4Q2022)'!V8</f>
        <v>0</v>
      </c>
      <c r="W8" s="17">
        <f>'CFS (F1Q23)'!W8-'CFS (F4Q2022)'!W8</f>
        <v>0</v>
      </c>
      <c r="X8" s="16">
        <f>'CFS (F1Q23)'!X8-'CFS (F4Q2022)'!X8</f>
        <v>70.235767663959493</v>
      </c>
      <c r="Y8" s="16">
        <f>'CFS (F1Q23)'!Y8-'CFS (F4Q2022)'!Y8</f>
        <v>-35.03846936159016</v>
      </c>
      <c r="Z8" s="16">
        <f>'CFS (F1Q23)'!Z8-'CFS (F4Q2022)'!Z8</f>
        <v>2.7013728721422012</v>
      </c>
      <c r="AA8" s="16">
        <f>'CFS (F1Q23)'!AA8-'CFS (F4Q2022)'!AA8</f>
        <v>3.3338016013406104</v>
      </c>
      <c r="AB8" s="17">
        <f>'CFS (F1Q23)'!AB8-'CFS (F4Q2022)'!AB8</f>
        <v>41.232472775852145</v>
      </c>
      <c r="AC8" s="16">
        <f>'CFS (F1Q23)'!AC8-'CFS (F4Q2022)'!AC8</f>
        <v>5.513471576216034</v>
      </c>
      <c r="AD8" s="16">
        <f>'CFS (F1Q23)'!AD8-'CFS (F4Q2022)'!AD8</f>
        <v>-6.5912894148689247</v>
      </c>
      <c r="AE8" s="16">
        <f>'CFS (F1Q23)'!AE8-'CFS (F4Q2022)'!AE8</f>
        <v>1.1378270462641922</v>
      </c>
      <c r="AF8" s="16">
        <f>'CFS (F1Q23)'!AF8-'CFS (F4Q2022)'!AF8</f>
        <v>0.74042705045462753</v>
      </c>
      <c r="AG8" s="17">
        <f>'CFS (F1Q23)'!AG8-'CFS (F4Q2022)'!AG8</f>
        <v>0.800436258065929</v>
      </c>
      <c r="AH8" s="16">
        <f>'CFS (F1Q23)'!AH8-'CFS (F4Q2022)'!AH8</f>
        <v>1.2822455014288607</v>
      </c>
      <c r="AI8" s="16">
        <f>'CFS (F1Q23)'!AI8-'CFS (F4Q2022)'!AI8</f>
        <v>-1.6675790476101611</v>
      </c>
      <c r="AJ8" s="16">
        <f>'CFS (F1Q23)'!AJ8-'CFS (F4Q2022)'!AJ8</f>
        <v>0.25605902966344729</v>
      </c>
      <c r="AK8" s="16">
        <f>'CFS (F1Q23)'!AK8-'CFS (F4Q2022)'!AK8</f>
        <v>3.440944362364462E-2</v>
      </c>
      <c r="AL8" s="17">
        <f>'CFS (F1Q23)'!AL8-'CFS (F4Q2022)'!AL8</f>
        <v>-9.4865072894208424E-2</v>
      </c>
      <c r="AM8" s="16">
        <f>'CFS (F1Q23)'!AM8-'CFS (F4Q2022)'!AM8</f>
        <v>1.1150740195666913</v>
      </c>
      <c r="AN8" s="16">
        <f>'CFS (F1Q23)'!AN8-'CFS (F4Q2022)'!AN8</f>
        <v>-0.95162675078222492</v>
      </c>
      <c r="AO8" s="16">
        <f>'CFS (F1Q23)'!AO8-'CFS (F4Q2022)'!AO8</f>
        <v>-1.5565640550448734E-2</v>
      </c>
      <c r="AP8" s="16">
        <f>'CFS (F1Q23)'!AP8-'CFS (F4Q2022)'!AP8</f>
        <v>-8.2859533225473569E-2</v>
      </c>
      <c r="AQ8" s="17">
        <f>'CFS (F1Q23)'!AQ8-'CFS (F4Q2022)'!AQ8</f>
        <v>6.5022095008544056E-2</v>
      </c>
      <c r="AR8" s="16">
        <f>'CFS (F1Q23)'!AR8-'CFS (F4Q2022)'!AR8</f>
        <v>1.2464370087689076</v>
      </c>
      <c r="AS8" s="16">
        <f>'CFS (F1Q23)'!AS8-'CFS (F4Q2022)'!AS8</f>
        <v>-0.91277078535108558</v>
      </c>
      <c r="AT8" s="16">
        <f>'CFS (F1Q23)'!AT8-'CFS (F4Q2022)'!AT8</f>
        <v>-8.1553490012311158E-2</v>
      </c>
      <c r="AU8" s="16">
        <f>'CFS (F1Q23)'!AU8-'CFS (F4Q2022)'!AU8</f>
        <v>-9.6814346223027314E-2</v>
      </c>
      <c r="AV8" s="17">
        <f>'CFS (F1Q23)'!AV8-'CFS (F4Q2022)'!AV8</f>
        <v>0.15529838718248357</v>
      </c>
    </row>
    <row r="9" spans="2:48" outlineLevel="1" x14ac:dyDescent="0.3">
      <c r="B9" s="308" t="s">
        <v>270</v>
      </c>
      <c r="C9" s="44"/>
      <c r="D9" s="16">
        <f>'CFS (F1Q23)'!D9-'CFS (F4Q2022)'!D9</f>
        <v>0</v>
      </c>
      <c r="E9" s="16">
        <f>'CFS (F1Q23)'!E9-'CFS (F4Q2022)'!E9</f>
        <v>0</v>
      </c>
      <c r="F9" s="16">
        <f>'CFS (F1Q23)'!F9-'CFS (F4Q2022)'!F9</f>
        <v>0</v>
      </c>
      <c r="G9" s="101">
        <f>'CFS (F1Q23)'!G9-'CFS (F4Q2022)'!G9</f>
        <v>0</v>
      </c>
      <c r="H9" s="17">
        <f>'CFS (F1Q23)'!H9-'CFS (F4Q2022)'!H9</f>
        <v>0</v>
      </c>
      <c r="I9" s="16">
        <f>'CFS (F1Q23)'!I9-'CFS (F4Q2022)'!I9</f>
        <v>0</v>
      </c>
      <c r="J9" s="16">
        <f>'CFS (F1Q23)'!J9-'CFS (F4Q2022)'!J9</f>
        <v>0</v>
      </c>
      <c r="K9" s="16">
        <f>'CFS (F1Q23)'!K9-'CFS (F4Q2022)'!K9</f>
        <v>0</v>
      </c>
      <c r="L9" s="101">
        <f>'CFS (F1Q23)'!L9-'CFS (F4Q2022)'!L9</f>
        <v>0</v>
      </c>
      <c r="M9" s="17">
        <f>'CFS (F1Q23)'!M9-'CFS (F4Q2022)'!M9</f>
        <v>0</v>
      </c>
      <c r="N9" s="16">
        <f>'CFS (F1Q23)'!N9-'CFS (F4Q2022)'!N9</f>
        <v>0</v>
      </c>
      <c r="O9" s="16">
        <f>'CFS (F1Q23)'!O9-'CFS (F4Q2022)'!O9</f>
        <v>0</v>
      </c>
      <c r="P9" s="16">
        <f>'CFS (F1Q23)'!P9-'CFS (F4Q2022)'!P9</f>
        <v>0</v>
      </c>
      <c r="Q9" s="101">
        <f>'CFS (F1Q23)'!Q9-'CFS (F4Q2022)'!Q9</f>
        <v>0</v>
      </c>
      <c r="R9" s="17">
        <f>'CFS (F1Q23)'!R9-'CFS (F4Q2022)'!R9</f>
        <v>0</v>
      </c>
      <c r="S9" s="16">
        <f>'CFS (F1Q23)'!S9-'CFS (F4Q2022)'!S9</f>
        <v>0</v>
      </c>
      <c r="T9" s="16">
        <f>'CFS (F1Q23)'!T9-'CFS (F4Q2022)'!T9</f>
        <v>0</v>
      </c>
      <c r="U9" s="16">
        <f>'CFS (F1Q23)'!U9-'CFS (F4Q2022)'!U9</f>
        <v>0</v>
      </c>
      <c r="V9" s="16">
        <f>'CFS (F1Q23)'!V9-'CFS (F4Q2022)'!V9</f>
        <v>0</v>
      </c>
      <c r="W9" s="17">
        <f>'CFS (F1Q23)'!W9-'CFS (F4Q2022)'!W9</f>
        <v>0</v>
      </c>
      <c r="X9" s="16">
        <f>'CFS (F1Q23)'!X9-'CFS (F4Q2022)'!X9</f>
        <v>33.500000000000007</v>
      </c>
      <c r="Y9" s="16">
        <f>'CFS (F1Q23)'!Y9-'CFS (F4Q2022)'!Y9</f>
        <v>32.700000000000003</v>
      </c>
      <c r="Z9" s="16">
        <f>'CFS (F1Q23)'!Z9-'CFS (F4Q2022)'!Z9</f>
        <v>32.699999999999996</v>
      </c>
      <c r="AA9" s="16">
        <f>'CFS (F1Q23)'!AA9-'CFS (F4Q2022)'!AA9</f>
        <v>32.700000000000003</v>
      </c>
      <c r="AB9" s="17">
        <f>'CFS (F1Q23)'!AB9-'CFS (F4Q2022)'!AB9</f>
        <v>131.6</v>
      </c>
      <c r="AC9" s="16">
        <f>'CFS (F1Q23)'!AC9-'CFS (F4Q2022)'!AC9</f>
        <v>32.700000000000003</v>
      </c>
      <c r="AD9" s="16">
        <f>'CFS (F1Q23)'!AD9-'CFS (F4Q2022)'!AD9</f>
        <v>32.700000000000003</v>
      </c>
      <c r="AE9" s="16">
        <f>'CFS (F1Q23)'!AE9-'CFS (F4Q2022)'!AE9</f>
        <v>32.700000000000003</v>
      </c>
      <c r="AF9" s="16">
        <f>'CFS (F1Q23)'!AF9-'CFS (F4Q2022)'!AF9</f>
        <v>32.700000000000003</v>
      </c>
      <c r="AG9" s="17">
        <f>'CFS (F1Q23)'!AG9-'CFS (F4Q2022)'!AG9</f>
        <v>130.80000000000001</v>
      </c>
      <c r="AH9" s="16">
        <f>'CFS (F1Q23)'!AH9-'CFS (F4Q2022)'!AH9</f>
        <v>32.700000000000003</v>
      </c>
      <c r="AI9" s="16">
        <f>'CFS (F1Q23)'!AI9-'CFS (F4Q2022)'!AI9</f>
        <v>32.700000000000003</v>
      </c>
      <c r="AJ9" s="16">
        <f>'CFS (F1Q23)'!AJ9-'CFS (F4Q2022)'!AJ9</f>
        <v>32.700000000000003</v>
      </c>
      <c r="AK9" s="16">
        <f>'CFS (F1Q23)'!AK9-'CFS (F4Q2022)'!AK9</f>
        <v>32.700000000000003</v>
      </c>
      <c r="AL9" s="17">
        <f>'CFS (F1Q23)'!AL9-'CFS (F4Q2022)'!AL9</f>
        <v>130.80000000000001</v>
      </c>
      <c r="AM9" s="16">
        <f>'CFS (F1Q23)'!AM9-'CFS (F4Q2022)'!AM9</f>
        <v>32.700000000000003</v>
      </c>
      <c r="AN9" s="16">
        <f>'CFS (F1Q23)'!AN9-'CFS (F4Q2022)'!AN9</f>
        <v>32.700000000000003</v>
      </c>
      <c r="AO9" s="16">
        <f>'CFS (F1Q23)'!AO9-'CFS (F4Q2022)'!AO9</f>
        <v>32.700000000000003</v>
      </c>
      <c r="AP9" s="16">
        <f>'CFS (F1Q23)'!AP9-'CFS (F4Q2022)'!AP9</f>
        <v>32.700000000000003</v>
      </c>
      <c r="AQ9" s="17">
        <f>'CFS (F1Q23)'!AQ9-'CFS (F4Q2022)'!AQ9</f>
        <v>130.80000000000001</v>
      </c>
      <c r="AR9" s="16">
        <f>'CFS (F1Q23)'!AR9-'CFS (F4Q2022)'!AR9</f>
        <v>32.700000000000003</v>
      </c>
      <c r="AS9" s="16">
        <f>'CFS (F1Q23)'!AS9-'CFS (F4Q2022)'!AS9</f>
        <v>32.700000000000003</v>
      </c>
      <c r="AT9" s="16">
        <f>'CFS (F1Q23)'!AT9-'CFS (F4Q2022)'!AT9</f>
        <v>32.700000000000003</v>
      </c>
      <c r="AU9" s="16">
        <f>'CFS (F1Q23)'!AU9-'CFS (F4Q2022)'!AU9</f>
        <v>32.700000000000003</v>
      </c>
      <c r="AV9" s="17">
        <f>'CFS (F1Q23)'!AV9-'CFS (F4Q2022)'!AV9</f>
        <v>130.80000000000001</v>
      </c>
    </row>
    <row r="10" spans="2:48" outlineLevel="1" x14ac:dyDescent="0.3">
      <c r="B10" s="308" t="s">
        <v>271</v>
      </c>
      <c r="C10" s="44"/>
      <c r="D10" s="16">
        <f>'CFS (F1Q23)'!D10-'CFS (F4Q2022)'!D10</f>
        <v>0</v>
      </c>
      <c r="E10" s="16">
        <f>'CFS (F1Q23)'!E10-'CFS (F4Q2022)'!E10</f>
        <v>0</v>
      </c>
      <c r="F10" s="16">
        <f>'CFS (F1Q23)'!F10-'CFS (F4Q2022)'!F10</f>
        <v>0</v>
      </c>
      <c r="G10" s="101">
        <f>'CFS (F1Q23)'!G10-'CFS (F4Q2022)'!G10</f>
        <v>0</v>
      </c>
      <c r="H10" s="17">
        <f>'CFS (F1Q23)'!H10-'CFS (F4Q2022)'!H10</f>
        <v>0</v>
      </c>
      <c r="I10" s="16">
        <f>'CFS (F1Q23)'!I10-'CFS (F4Q2022)'!I10</f>
        <v>0</v>
      </c>
      <c r="J10" s="16">
        <f>'CFS (F1Q23)'!J10-'CFS (F4Q2022)'!J10</f>
        <v>0</v>
      </c>
      <c r="K10" s="16">
        <f>'CFS (F1Q23)'!K10-'CFS (F4Q2022)'!K10</f>
        <v>0</v>
      </c>
      <c r="L10" s="101">
        <f>'CFS (F1Q23)'!L10-'CFS (F4Q2022)'!L10</f>
        <v>0</v>
      </c>
      <c r="M10" s="17">
        <f>'CFS (F1Q23)'!M10-'CFS (F4Q2022)'!M10</f>
        <v>0</v>
      </c>
      <c r="N10" s="16">
        <f>'CFS (F1Q23)'!N10-'CFS (F4Q2022)'!N10</f>
        <v>0</v>
      </c>
      <c r="O10" s="16">
        <f>'CFS (F1Q23)'!O10-'CFS (F4Q2022)'!O10</f>
        <v>0</v>
      </c>
      <c r="P10" s="16">
        <f>'CFS (F1Q23)'!P10-'CFS (F4Q2022)'!P10</f>
        <v>0</v>
      </c>
      <c r="Q10" s="101">
        <f>'CFS (F1Q23)'!Q10-'CFS (F4Q2022)'!Q10</f>
        <v>0</v>
      </c>
      <c r="R10" s="17">
        <f>'CFS (F1Q23)'!R10-'CFS (F4Q2022)'!R10</f>
        <v>0</v>
      </c>
      <c r="S10" s="16">
        <f>'CFS (F1Q23)'!S10-'CFS (F4Q2022)'!S10</f>
        <v>0</v>
      </c>
      <c r="T10" s="16">
        <f>'CFS (F1Q23)'!T10-'CFS (F4Q2022)'!T10</f>
        <v>0</v>
      </c>
      <c r="U10" s="16">
        <f>'CFS (F1Q23)'!U10-'CFS (F4Q2022)'!U10</f>
        <v>0</v>
      </c>
      <c r="V10" s="16">
        <f>'CFS (F1Q23)'!V10-'CFS (F4Q2022)'!V10</f>
        <v>0</v>
      </c>
      <c r="W10" s="17">
        <f>'CFS (F1Q23)'!W10-'CFS (F4Q2022)'!W10</f>
        <v>0</v>
      </c>
      <c r="X10" s="16">
        <f>'CFS (F1Q23)'!X10-'CFS (F4Q2022)'!X10</f>
        <v>-44.7</v>
      </c>
      <c r="Y10" s="16">
        <f>'CFS (F1Q23)'!Y10-'CFS (F4Q2022)'!Y10</f>
        <v>-32.700000000000003</v>
      </c>
      <c r="Z10" s="16">
        <f>'CFS (F1Q23)'!Z10-'CFS (F4Q2022)'!Z10</f>
        <v>-32.699999999999996</v>
      </c>
      <c r="AA10" s="16">
        <f>'CFS (F1Q23)'!AA10-'CFS (F4Q2022)'!AA10</f>
        <v>-32.700000000000003</v>
      </c>
      <c r="AB10" s="17">
        <f>'CFS (F1Q23)'!AB10-'CFS (F4Q2022)'!AB10</f>
        <v>-142.79999999999998</v>
      </c>
      <c r="AC10" s="16">
        <f>'CFS (F1Q23)'!AC10-'CFS (F4Q2022)'!AC10</f>
        <v>-32.700000000000003</v>
      </c>
      <c r="AD10" s="16">
        <f>'CFS (F1Q23)'!AD10-'CFS (F4Q2022)'!AD10</f>
        <v>-32.700000000000003</v>
      </c>
      <c r="AE10" s="16">
        <f>'CFS (F1Q23)'!AE10-'CFS (F4Q2022)'!AE10</f>
        <v>-32.700000000000003</v>
      </c>
      <c r="AF10" s="16">
        <f>'CFS (F1Q23)'!AF10-'CFS (F4Q2022)'!AF10</f>
        <v>-32.700000000000003</v>
      </c>
      <c r="AG10" s="17">
        <f>'CFS (F1Q23)'!AG10-'CFS (F4Q2022)'!AG10</f>
        <v>-130.80000000000001</v>
      </c>
      <c r="AH10" s="16">
        <f>'CFS (F1Q23)'!AH10-'CFS (F4Q2022)'!AH10</f>
        <v>-32.700000000000003</v>
      </c>
      <c r="AI10" s="16">
        <f>'CFS (F1Q23)'!AI10-'CFS (F4Q2022)'!AI10</f>
        <v>-32.700000000000003</v>
      </c>
      <c r="AJ10" s="16">
        <f>'CFS (F1Q23)'!AJ10-'CFS (F4Q2022)'!AJ10</f>
        <v>-32.700000000000003</v>
      </c>
      <c r="AK10" s="16">
        <f>'CFS (F1Q23)'!AK10-'CFS (F4Q2022)'!AK10</f>
        <v>-32.700000000000003</v>
      </c>
      <c r="AL10" s="17">
        <f>'CFS (F1Q23)'!AL10-'CFS (F4Q2022)'!AL10</f>
        <v>-130.80000000000001</v>
      </c>
      <c r="AM10" s="16">
        <f>'CFS (F1Q23)'!AM10-'CFS (F4Q2022)'!AM10</f>
        <v>-32.700000000000003</v>
      </c>
      <c r="AN10" s="16">
        <f>'CFS (F1Q23)'!AN10-'CFS (F4Q2022)'!AN10</f>
        <v>-32.700000000000003</v>
      </c>
      <c r="AO10" s="16">
        <f>'CFS (F1Q23)'!AO10-'CFS (F4Q2022)'!AO10</f>
        <v>-32.700000000000003</v>
      </c>
      <c r="AP10" s="16">
        <f>'CFS (F1Q23)'!AP10-'CFS (F4Q2022)'!AP10</f>
        <v>-32.700000000000003</v>
      </c>
      <c r="AQ10" s="17">
        <f>'CFS (F1Q23)'!AQ10-'CFS (F4Q2022)'!AQ10</f>
        <v>-130.80000000000001</v>
      </c>
      <c r="AR10" s="16">
        <f>'CFS (F1Q23)'!AR10-'CFS (F4Q2022)'!AR10</f>
        <v>-32.700000000000003</v>
      </c>
      <c r="AS10" s="16">
        <f>'CFS (F1Q23)'!AS10-'CFS (F4Q2022)'!AS10</f>
        <v>-32.700000000000003</v>
      </c>
      <c r="AT10" s="16">
        <f>'CFS (F1Q23)'!AT10-'CFS (F4Q2022)'!AT10</f>
        <v>-32.700000000000003</v>
      </c>
      <c r="AU10" s="16">
        <f>'CFS (F1Q23)'!AU10-'CFS (F4Q2022)'!AU10</f>
        <v>-32.700000000000003</v>
      </c>
      <c r="AV10" s="17">
        <f>'CFS (F1Q23)'!AV10-'CFS (F4Q2022)'!AV10</f>
        <v>-130.80000000000001</v>
      </c>
    </row>
    <row r="11" spans="2:48" outlineLevel="1" x14ac:dyDescent="0.3">
      <c r="B11" s="308" t="s">
        <v>272</v>
      </c>
      <c r="C11" s="44"/>
      <c r="D11" s="16">
        <f>'CFS (F1Q23)'!D11-'CFS (F4Q2022)'!D11</f>
        <v>0</v>
      </c>
      <c r="E11" s="16">
        <f>'CFS (F1Q23)'!E11-'CFS (F4Q2022)'!E11</f>
        <v>0</v>
      </c>
      <c r="F11" s="16">
        <f>'CFS (F1Q23)'!F11-'CFS (F4Q2022)'!F11</f>
        <v>0</v>
      </c>
      <c r="G11" s="101">
        <f>'CFS (F1Q23)'!G11-'CFS (F4Q2022)'!G11</f>
        <v>0</v>
      </c>
      <c r="H11" s="17">
        <f>'CFS (F1Q23)'!H11-'CFS (F4Q2022)'!H11</f>
        <v>0</v>
      </c>
      <c r="I11" s="16">
        <f>'CFS (F1Q23)'!I11-'CFS (F4Q2022)'!I11</f>
        <v>0</v>
      </c>
      <c r="J11" s="16">
        <f>'CFS (F1Q23)'!J11-'CFS (F4Q2022)'!J11</f>
        <v>0</v>
      </c>
      <c r="K11" s="16">
        <f>'CFS (F1Q23)'!K11-'CFS (F4Q2022)'!K11</f>
        <v>0</v>
      </c>
      <c r="L11" s="101">
        <f>'CFS (F1Q23)'!L11-'CFS (F4Q2022)'!L11</f>
        <v>0</v>
      </c>
      <c r="M11" s="17">
        <f>'CFS (F1Q23)'!M11-'CFS (F4Q2022)'!M11</f>
        <v>0</v>
      </c>
      <c r="N11" s="16">
        <f>'CFS (F1Q23)'!N11-'CFS (F4Q2022)'!N11</f>
        <v>0</v>
      </c>
      <c r="O11" s="16">
        <f>'CFS (F1Q23)'!O11-'CFS (F4Q2022)'!O11</f>
        <v>0</v>
      </c>
      <c r="P11" s="16">
        <f>'CFS (F1Q23)'!P11-'CFS (F4Q2022)'!P11</f>
        <v>0</v>
      </c>
      <c r="Q11" s="101">
        <f>'CFS (F1Q23)'!Q11-'CFS (F4Q2022)'!Q11</f>
        <v>0</v>
      </c>
      <c r="R11" s="17">
        <f>'CFS (F1Q23)'!R11-'CFS (F4Q2022)'!R11</f>
        <v>0</v>
      </c>
      <c r="S11" s="16">
        <f>'CFS (F1Q23)'!S11-'CFS (F4Q2022)'!S11</f>
        <v>0</v>
      </c>
      <c r="T11" s="16">
        <f>'CFS (F1Q23)'!T11-'CFS (F4Q2022)'!T11</f>
        <v>0</v>
      </c>
      <c r="U11" s="16">
        <f>'CFS (F1Q23)'!U11-'CFS (F4Q2022)'!U11</f>
        <v>0</v>
      </c>
      <c r="V11" s="16">
        <f>'CFS (F1Q23)'!V11-'CFS (F4Q2022)'!V11</f>
        <v>0</v>
      </c>
      <c r="W11" s="17">
        <f>'CFS (F1Q23)'!W11-'CFS (F4Q2022)'!W11</f>
        <v>0</v>
      </c>
      <c r="X11" s="16">
        <f>'CFS (F1Q23)'!X11-'CFS (F4Q2022)'!X11</f>
        <v>0</v>
      </c>
      <c r="Y11" s="16">
        <f>'CFS (F1Q23)'!Y11-'CFS (F4Q2022)'!Y11</f>
        <v>0</v>
      </c>
      <c r="Z11" s="16">
        <f>'CFS (F1Q23)'!Z11-'CFS (F4Q2022)'!Z11</f>
        <v>0</v>
      </c>
      <c r="AA11" s="16">
        <f>'CFS (F1Q23)'!AA11-'CFS (F4Q2022)'!AA11</f>
        <v>0</v>
      </c>
      <c r="AB11" s="17">
        <f>'CFS (F1Q23)'!AB11-'CFS (F4Q2022)'!AB11</f>
        <v>0</v>
      </c>
      <c r="AC11" s="16">
        <f>'CFS (F1Q23)'!AC11-'CFS (F4Q2022)'!AC11</f>
        <v>0</v>
      </c>
      <c r="AD11" s="16">
        <f>'CFS (F1Q23)'!AD11-'CFS (F4Q2022)'!AD11</f>
        <v>0</v>
      </c>
      <c r="AE11" s="16">
        <f>'CFS (F1Q23)'!AE11-'CFS (F4Q2022)'!AE11</f>
        <v>0</v>
      </c>
      <c r="AF11" s="16">
        <f>'CFS (F1Q23)'!AF11-'CFS (F4Q2022)'!AF11</f>
        <v>0</v>
      </c>
      <c r="AG11" s="17">
        <f>'CFS (F1Q23)'!AG11-'CFS (F4Q2022)'!AG11</f>
        <v>0</v>
      </c>
      <c r="AH11" s="16">
        <f>'CFS (F1Q23)'!AH11-'CFS (F4Q2022)'!AH11</f>
        <v>0</v>
      </c>
      <c r="AI11" s="16">
        <f>'CFS (F1Q23)'!AI11-'CFS (F4Q2022)'!AI11</f>
        <v>0</v>
      </c>
      <c r="AJ11" s="16">
        <f>'CFS (F1Q23)'!AJ11-'CFS (F4Q2022)'!AJ11</f>
        <v>0</v>
      </c>
      <c r="AK11" s="16">
        <f>'CFS (F1Q23)'!AK11-'CFS (F4Q2022)'!AK11</f>
        <v>0</v>
      </c>
      <c r="AL11" s="17">
        <f>'CFS (F1Q23)'!AL11-'CFS (F4Q2022)'!AL11</f>
        <v>0</v>
      </c>
      <c r="AM11" s="16">
        <f>'CFS (F1Q23)'!AM11-'CFS (F4Q2022)'!AM11</f>
        <v>0</v>
      </c>
      <c r="AN11" s="16">
        <f>'CFS (F1Q23)'!AN11-'CFS (F4Q2022)'!AN11</f>
        <v>0</v>
      </c>
      <c r="AO11" s="16">
        <f>'CFS (F1Q23)'!AO11-'CFS (F4Q2022)'!AO11</f>
        <v>0</v>
      </c>
      <c r="AP11" s="16">
        <f>'CFS (F1Q23)'!AP11-'CFS (F4Q2022)'!AP11</f>
        <v>0</v>
      </c>
      <c r="AQ11" s="17">
        <f>'CFS (F1Q23)'!AQ11-'CFS (F4Q2022)'!AQ11</f>
        <v>0</v>
      </c>
      <c r="AR11" s="16">
        <f>'CFS (F1Q23)'!AR11-'CFS (F4Q2022)'!AR11</f>
        <v>0</v>
      </c>
      <c r="AS11" s="16">
        <f>'CFS (F1Q23)'!AS11-'CFS (F4Q2022)'!AS11</f>
        <v>0</v>
      </c>
      <c r="AT11" s="16">
        <f>'CFS (F1Q23)'!AT11-'CFS (F4Q2022)'!AT11</f>
        <v>0</v>
      </c>
      <c r="AU11" s="16">
        <f>'CFS (F1Q23)'!AU11-'CFS (F4Q2022)'!AU11</f>
        <v>0</v>
      </c>
      <c r="AV11" s="17">
        <f>'CFS (F1Q23)'!AV11-'CFS (F4Q2022)'!AV11</f>
        <v>0</v>
      </c>
    </row>
    <row r="12" spans="2:48" outlineLevel="1" x14ac:dyDescent="0.3">
      <c r="B12" s="308" t="s">
        <v>273</v>
      </c>
      <c r="C12" s="44"/>
      <c r="D12" s="16">
        <f>'CFS (F1Q23)'!D12-'CFS (F4Q2022)'!D12</f>
        <v>0</v>
      </c>
      <c r="E12" s="16">
        <f>'CFS (F1Q23)'!E12-'CFS (F4Q2022)'!E12</f>
        <v>0</v>
      </c>
      <c r="F12" s="16">
        <f>'CFS (F1Q23)'!F12-'CFS (F4Q2022)'!F12</f>
        <v>0</v>
      </c>
      <c r="G12" s="101">
        <f>'CFS (F1Q23)'!G12-'CFS (F4Q2022)'!G12</f>
        <v>0</v>
      </c>
      <c r="H12" s="17">
        <f>'CFS (F1Q23)'!H12-'CFS (F4Q2022)'!H12</f>
        <v>0</v>
      </c>
      <c r="I12" s="16">
        <f>'CFS (F1Q23)'!I12-'CFS (F4Q2022)'!I12</f>
        <v>0</v>
      </c>
      <c r="J12" s="16">
        <f>'CFS (F1Q23)'!J12-'CFS (F4Q2022)'!J12</f>
        <v>0</v>
      </c>
      <c r="K12" s="16">
        <f>'CFS (F1Q23)'!K12-'CFS (F4Q2022)'!K12</f>
        <v>0</v>
      </c>
      <c r="L12" s="101">
        <f>'CFS (F1Q23)'!L12-'CFS (F4Q2022)'!L12</f>
        <v>0</v>
      </c>
      <c r="M12" s="17">
        <f>'CFS (F1Q23)'!M12-'CFS (F4Q2022)'!M12</f>
        <v>0</v>
      </c>
      <c r="N12" s="16">
        <f>'CFS (F1Q23)'!N12-'CFS (F4Q2022)'!N12</f>
        <v>0</v>
      </c>
      <c r="O12" s="16">
        <f>'CFS (F1Q23)'!O12-'CFS (F4Q2022)'!O12</f>
        <v>0</v>
      </c>
      <c r="P12" s="16">
        <f>'CFS (F1Q23)'!P12-'CFS (F4Q2022)'!P12</f>
        <v>0</v>
      </c>
      <c r="Q12" s="101">
        <f>'CFS (F1Q23)'!Q12-'CFS (F4Q2022)'!Q12</f>
        <v>0</v>
      </c>
      <c r="R12" s="17">
        <f>'CFS (F1Q23)'!R12-'CFS (F4Q2022)'!R12</f>
        <v>0</v>
      </c>
      <c r="S12" s="16">
        <f>'CFS (F1Q23)'!S12-'CFS (F4Q2022)'!S12</f>
        <v>0</v>
      </c>
      <c r="T12" s="16">
        <f>'CFS (F1Q23)'!T12-'CFS (F4Q2022)'!T12</f>
        <v>0</v>
      </c>
      <c r="U12" s="16">
        <f>'CFS (F1Q23)'!U12-'CFS (F4Q2022)'!U12</f>
        <v>0</v>
      </c>
      <c r="V12" s="16">
        <f>'CFS (F1Q23)'!V12-'CFS (F4Q2022)'!V12</f>
        <v>0</v>
      </c>
      <c r="W12" s="17">
        <f>'CFS (F1Q23)'!W12-'CFS (F4Q2022)'!W12</f>
        <v>0</v>
      </c>
      <c r="X12" s="16">
        <f>'CFS (F1Q23)'!X12-'CFS (F4Q2022)'!X12</f>
        <v>11.792565849917352</v>
      </c>
      <c r="Y12" s="16">
        <f>'CFS (F1Q23)'!Y12-'CFS (F4Q2022)'!Y12</f>
        <v>2.6169649898905973</v>
      </c>
      <c r="Z12" s="16">
        <f>'CFS (F1Q23)'!Z12-'CFS (F4Q2022)'!Z12</f>
        <v>3.7229187738617497</v>
      </c>
      <c r="AA12" s="16">
        <f>'CFS (F1Q23)'!AA12-'CFS (F4Q2022)'!AA12</f>
        <v>4.9097289897592447</v>
      </c>
      <c r="AB12" s="17">
        <f>'CFS (F1Q23)'!AB12-'CFS (F4Q2022)'!AB12</f>
        <v>23.042178603428908</v>
      </c>
      <c r="AC12" s="16">
        <f>'CFS (F1Q23)'!AC12-'CFS (F4Q2022)'!AC12</f>
        <v>6.0066716368153976</v>
      </c>
      <c r="AD12" s="16">
        <f>'CFS (F1Q23)'!AD12-'CFS (F4Q2022)'!AD12</f>
        <v>4.4317430464807757</v>
      </c>
      <c r="AE12" s="16">
        <f>'CFS (F1Q23)'!AE12-'CFS (F4Q2022)'!AE12</f>
        <v>5.2440425225539826</v>
      </c>
      <c r="AF12" s="16">
        <f>'CFS (F1Q23)'!AF12-'CFS (F4Q2022)'!AF12</f>
        <v>5.6783795864691058</v>
      </c>
      <c r="AG12" s="17">
        <f>'CFS (F1Q23)'!AG12-'CFS (F4Q2022)'!AG12</f>
        <v>21.360836792319276</v>
      </c>
      <c r="AH12" s="16">
        <f>'CFS (F1Q23)'!AH12-'CFS (F4Q2022)'!AH12</f>
        <v>5.4259914906233178</v>
      </c>
      <c r="AI12" s="16">
        <f>'CFS (F1Q23)'!AI12-'CFS (F4Q2022)'!AI12</f>
        <v>5.3823234697161553</v>
      </c>
      <c r="AJ12" s="16">
        <f>'CFS (F1Q23)'!AJ12-'CFS (F4Q2022)'!AJ12</f>
        <v>6.0289455650112558</v>
      </c>
      <c r="AK12" s="16">
        <f>'CFS (F1Q23)'!AK12-'CFS (F4Q2022)'!AK12</f>
        <v>6.2756889508224418</v>
      </c>
      <c r="AL12" s="17">
        <f>'CFS (F1Q23)'!AL12-'CFS (F4Q2022)'!AL12</f>
        <v>23.112949476173185</v>
      </c>
      <c r="AM12" s="16">
        <f>'CFS (F1Q23)'!AM12-'CFS (F4Q2022)'!AM12</f>
        <v>5.6496956536128522</v>
      </c>
      <c r="AN12" s="16">
        <f>'CFS (F1Q23)'!AN12-'CFS (F4Q2022)'!AN12</f>
        <v>6.0025531866576642</v>
      </c>
      <c r="AO12" s="16">
        <f>'CFS (F1Q23)'!AO12-'CFS (F4Q2022)'!AO12</f>
        <v>6.5943776080900562</v>
      </c>
      <c r="AP12" s="16">
        <f>'CFS (F1Q23)'!AP12-'CFS (F4Q2022)'!AP12</f>
        <v>6.7961603120795928</v>
      </c>
      <c r="AQ12" s="17">
        <f>'CFS (F1Q23)'!AQ12-'CFS (F4Q2022)'!AQ12</f>
        <v>25.042786760440094</v>
      </c>
      <c r="AR12" s="16">
        <f>'CFS (F1Q23)'!AR12-'CFS (F4Q2022)'!AR12</f>
        <v>5.9295859666744803</v>
      </c>
      <c r="AS12" s="16">
        <f>'CFS (F1Q23)'!AS12-'CFS (F4Q2022)'!AS12</f>
        <v>6.4134302558563974</v>
      </c>
      <c r="AT12" s="16">
        <f>'CFS (F1Q23)'!AT12-'CFS (F4Q2022)'!AT12</f>
        <v>7.0186951015955401</v>
      </c>
      <c r="AU12" s="16">
        <f>'CFS (F1Q23)'!AU12-'CFS (F4Q2022)'!AU12</f>
        <v>7.2289217654364109</v>
      </c>
      <c r="AV12" s="17">
        <f>'CFS (F1Q23)'!AV12-'CFS (F4Q2022)'!AV12</f>
        <v>26.590633089562857</v>
      </c>
    </row>
    <row r="13" spans="2:48" outlineLevel="1" x14ac:dyDescent="0.3">
      <c r="B13" s="319" t="s">
        <v>274</v>
      </c>
      <c r="C13" s="320"/>
      <c r="D13" s="16">
        <f>'CFS (F1Q23)'!D13-'CFS (F4Q2022)'!D13</f>
        <v>0</v>
      </c>
      <c r="E13" s="101">
        <f>'CFS (F1Q23)'!E13-'CFS (F4Q2022)'!E13</f>
        <v>0</v>
      </c>
      <c r="F13" s="101">
        <f>'CFS (F1Q23)'!F13-'CFS (F4Q2022)'!F13</f>
        <v>0</v>
      </c>
      <c r="G13" s="101">
        <f>'CFS (F1Q23)'!G13-'CFS (F4Q2022)'!G13</f>
        <v>0</v>
      </c>
      <c r="H13" s="17">
        <f>'CFS (F1Q23)'!H13-'CFS (F4Q2022)'!H13</f>
        <v>0</v>
      </c>
      <c r="I13" s="101">
        <f>'CFS (F1Q23)'!I13-'CFS (F4Q2022)'!I13</f>
        <v>0</v>
      </c>
      <c r="J13" s="101">
        <f>'CFS (F1Q23)'!J13-'CFS (F4Q2022)'!J13</f>
        <v>0</v>
      </c>
      <c r="K13" s="101">
        <f>'CFS (F1Q23)'!K13-'CFS (F4Q2022)'!K13</f>
        <v>0</v>
      </c>
      <c r="L13" s="101">
        <f>'CFS (F1Q23)'!L13-'CFS (F4Q2022)'!L13</f>
        <v>0</v>
      </c>
      <c r="M13" s="17">
        <f>'CFS (F1Q23)'!M13-'CFS (F4Q2022)'!M13</f>
        <v>0</v>
      </c>
      <c r="N13" s="101">
        <f>'CFS (F1Q23)'!N13-'CFS (F4Q2022)'!N13</f>
        <v>0</v>
      </c>
      <c r="O13" s="101">
        <f>'CFS (F1Q23)'!O13-'CFS (F4Q2022)'!O13</f>
        <v>0</v>
      </c>
      <c r="P13" s="101">
        <f>'CFS (F1Q23)'!P13-'CFS (F4Q2022)'!P13</f>
        <v>0</v>
      </c>
      <c r="Q13" s="101">
        <f>'CFS (F1Q23)'!Q13-'CFS (F4Q2022)'!Q13</f>
        <v>0</v>
      </c>
      <c r="R13" s="17">
        <f>'CFS (F1Q23)'!R13-'CFS (F4Q2022)'!R13</f>
        <v>0</v>
      </c>
      <c r="S13" s="101">
        <f>'CFS (F1Q23)'!S13-'CFS (F4Q2022)'!S13</f>
        <v>0</v>
      </c>
      <c r="T13" s="101">
        <f>'CFS (F1Q23)'!T13-'CFS (F4Q2022)'!T13</f>
        <v>0</v>
      </c>
      <c r="U13" s="101">
        <f>'CFS (F1Q23)'!U13-'CFS (F4Q2022)'!U13</f>
        <v>0</v>
      </c>
      <c r="V13" s="101">
        <f>'CFS (F1Q23)'!V13-'CFS (F4Q2022)'!V13</f>
        <v>0</v>
      </c>
      <c r="W13" s="17">
        <f>'CFS (F1Q23)'!W13-'CFS (F4Q2022)'!W13</f>
        <v>0</v>
      </c>
      <c r="X13" s="33">
        <f>'CFS (F1Q23)'!X13-'CFS (F4Q2022)'!X13</f>
        <v>291.5</v>
      </c>
      <c r="Y13" s="33">
        <f>'CFS (F1Q23)'!Y13-'CFS (F4Q2022)'!Y13</f>
        <v>0</v>
      </c>
      <c r="Z13" s="33">
        <f>'CFS (F1Q23)'!Z13-'CFS (F4Q2022)'!Z13</f>
        <v>0</v>
      </c>
      <c r="AA13" s="33">
        <f>'CFS (F1Q23)'!AA13-'CFS (F4Q2022)'!AA13</f>
        <v>0</v>
      </c>
      <c r="AB13" s="17">
        <f>'CFS (F1Q23)'!AB13-'CFS (F4Q2022)'!AB13</f>
        <v>291.5</v>
      </c>
      <c r="AC13" s="33">
        <f>'CFS (F1Q23)'!AC13-'CFS (F4Q2022)'!AC13</f>
        <v>0</v>
      </c>
      <c r="AD13" s="33">
        <f>'CFS (F1Q23)'!AD13-'CFS (F4Q2022)'!AD13</f>
        <v>0</v>
      </c>
      <c r="AE13" s="33">
        <f>'CFS (F1Q23)'!AE13-'CFS (F4Q2022)'!AE13</f>
        <v>0</v>
      </c>
      <c r="AF13" s="33">
        <f>'CFS (F1Q23)'!AF13-'CFS (F4Q2022)'!AF13</f>
        <v>0</v>
      </c>
      <c r="AG13" s="17">
        <f>'CFS (F1Q23)'!AG13-'CFS (F4Q2022)'!AG13</f>
        <v>0</v>
      </c>
      <c r="AH13" s="33">
        <f>'CFS (F1Q23)'!AH13-'CFS (F4Q2022)'!AH13</f>
        <v>0</v>
      </c>
      <c r="AI13" s="33">
        <f>'CFS (F1Q23)'!AI13-'CFS (F4Q2022)'!AI13</f>
        <v>0</v>
      </c>
      <c r="AJ13" s="33">
        <f>'CFS (F1Q23)'!AJ13-'CFS (F4Q2022)'!AJ13</f>
        <v>0</v>
      </c>
      <c r="AK13" s="33">
        <f>'CFS (F1Q23)'!AK13-'CFS (F4Q2022)'!AK13</f>
        <v>0</v>
      </c>
      <c r="AL13" s="17">
        <f>'CFS (F1Q23)'!AL13-'CFS (F4Q2022)'!AL13</f>
        <v>0</v>
      </c>
      <c r="AM13" s="33">
        <f>'CFS (F1Q23)'!AM13-'CFS (F4Q2022)'!AM13</f>
        <v>0</v>
      </c>
      <c r="AN13" s="33">
        <f>'CFS (F1Q23)'!AN13-'CFS (F4Q2022)'!AN13</f>
        <v>0</v>
      </c>
      <c r="AO13" s="33">
        <f>'CFS (F1Q23)'!AO13-'CFS (F4Q2022)'!AO13</f>
        <v>0</v>
      </c>
      <c r="AP13" s="33">
        <f>'CFS (F1Q23)'!AP13-'CFS (F4Q2022)'!AP13</f>
        <v>0</v>
      </c>
      <c r="AQ13" s="17">
        <f>'CFS (F1Q23)'!AQ13-'CFS (F4Q2022)'!AQ13</f>
        <v>0</v>
      </c>
      <c r="AR13" s="33">
        <f>'CFS (F1Q23)'!AR13-'CFS (F4Q2022)'!AR13</f>
        <v>0</v>
      </c>
      <c r="AS13" s="33">
        <f>'CFS (F1Q23)'!AS13-'CFS (F4Q2022)'!AS13</f>
        <v>0</v>
      </c>
      <c r="AT13" s="33">
        <f>'CFS (F1Q23)'!AT13-'CFS (F4Q2022)'!AT13</f>
        <v>0</v>
      </c>
      <c r="AU13" s="33">
        <f>'CFS (F1Q23)'!AU13-'CFS (F4Q2022)'!AU13</f>
        <v>0</v>
      </c>
      <c r="AV13" s="17">
        <f>'CFS (F1Q23)'!AV13-'CFS (F4Q2022)'!AV13</f>
        <v>0</v>
      </c>
    </row>
    <row r="14" spans="2:48" outlineLevel="1" x14ac:dyDescent="0.3">
      <c r="B14" s="625" t="s">
        <v>275</v>
      </c>
      <c r="C14" s="626"/>
      <c r="D14" s="321">
        <f>'CFS (F1Q23)'!D14-'CFS (F4Q2022)'!D14</f>
        <v>0</v>
      </c>
      <c r="E14" s="322">
        <f>'CFS (F1Q23)'!E14-'CFS (F4Q2022)'!E14</f>
        <v>0</v>
      </c>
      <c r="F14" s="323">
        <f>'CFS (F1Q23)'!F14-'CFS (F4Q2022)'!F14</f>
        <v>0</v>
      </c>
      <c r="G14" s="323">
        <f>'CFS (F1Q23)'!G14-'CFS (F4Q2022)'!G14</f>
        <v>0</v>
      </c>
      <c r="H14" s="324">
        <f>'CFS (F1Q23)'!H14-'CFS (F4Q2022)'!H14</f>
        <v>0</v>
      </c>
      <c r="I14" s="323">
        <f>'CFS (F1Q23)'!I14-'CFS (F4Q2022)'!I14</f>
        <v>0</v>
      </c>
      <c r="J14" s="323">
        <f>'CFS (F1Q23)'!J14-'CFS (F4Q2022)'!J14</f>
        <v>0</v>
      </c>
      <c r="K14" s="323">
        <f>'CFS (F1Q23)'!K14-'CFS (F4Q2022)'!K14</f>
        <v>0</v>
      </c>
      <c r="L14" s="323">
        <f>'CFS (F1Q23)'!L14-'CFS (F4Q2022)'!L14</f>
        <v>0</v>
      </c>
      <c r="M14" s="324">
        <f>'CFS (F1Q23)'!M14-'CFS (F4Q2022)'!M14</f>
        <v>0</v>
      </c>
      <c r="N14" s="323">
        <f>'CFS (F1Q23)'!N14-'CFS (F4Q2022)'!N14</f>
        <v>0</v>
      </c>
      <c r="O14" s="323">
        <f>'CFS (F1Q23)'!O14-'CFS (F4Q2022)'!O14</f>
        <v>0</v>
      </c>
      <c r="P14" s="323">
        <f>'CFS (F1Q23)'!P14-'CFS (F4Q2022)'!P14</f>
        <v>0</v>
      </c>
      <c r="Q14" s="323">
        <f>'CFS (F1Q23)'!Q14-'CFS (F4Q2022)'!Q14</f>
        <v>0</v>
      </c>
      <c r="R14" s="324">
        <f>'CFS (F1Q23)'!R14-'CFS (F4Q2022)'!R14</f>
        <v>0</v>
      </c>
      <c r="S14" s="323">
        <f>'CFS (F1Q23)'!S14-'CFS (F4Q2022)'!S14</f>
        <v>0</v>
      </c>
      <c r="T14" s="323">
        <f>'CFS (F1Q23)'!T14-'CFS (F4Q2022)'!T14</f>
        <v>0</v>
      </c>
      <c r="U14" s="323">
        <f>'CFS (F1Q23)'!U14-'CFS (F4Q2022)'!U14</f>
        <v>0</v>
      </c>
      <c r="V14" s="323">
        <f>'CFS (F1Q23)'!V14-'CFS (F4Q2022)'!V14</f>
        <v>0</v>
      </c>
      <c r="W14" s="324">
        <f>'CFS (F1Q23)'!W14-'CFS (F4Q2022)'!W14</f>
        <v>0</v>
      </c>
      <c r="X14" s="323">
        <f>'CFS (F1Q23)'!X14-'CFS (F4Q2022)'!X14</f>
        <v>0</v>
      </c>
      <c r="Y14" s="323">
        <f>'CFS (F1Q23)'!Y14-'CFS (F4Q2022)'!Y14</f>
        <v>0</v>
      </c>
      <c r="Z14" s="323">
        <f>'CFS (F1Q23)'!Z14-'CFS (F4Q2022)'!Z14</f>
        <v>0</v>
      </c>
      <c r="AA14" s="323">
        <f>'CFS (F1Q23)'!AA14-'CFS (F4Q2022)'!AA14</f>
        <v>0</v>
      </c>
      <c r="AB14" s="324">
        <f>'CFS (F1Q23)'!AB14-'CFS (F4Q2022)'!AB14</f>
        <v>0</v>
      </c>
      <c r="AC14" s="323">
        <f>'CFS (F1Q23)'!AC14-'CFS (F4Q2022)'!AC14</f>
        <v>0</v>
      </c>
      <c r="AD14" s="323">
        <f>'CFS (F1Q23)'!AD14-'CFS (F4Q2022)'!AD14</f>
        <v>0</v>
      </c>
      <c r="AE14" s="323">
        <f>'CFS (F1Q23)'!AE14-'CFS (F4Q2022)'!AE14</f>
        <v>0</v>
      </c>
      <c r="AF14" s="323">
        <f>'CFS (F1Q23)'!AF14-'CFS (F4Q2022)'!AF14</f>
        <v>0</v>
      </c>
      <c r="AG14" s="324">
        <f>'CFS (F1Q23)'!AG14-'CFS (F4Q2022)'!AG14</f>
        <v>0</v>
      </c>
      <c r="AH14" s="323">
        <f>'CFS (F1Q23)'!AH14-'CFS (F4Q2022)'!AH14</f>
        <v>0</v>
      </c>
      <c r="AI14" s="323">
        <f>'CFS (F1Q23)'!AI14-'CFS (F4Q2022)'!AI14</f>
        <v>0</v>
      </c>
      <c r="AJ14" s="323">
        <f>'CFS (F1Q23)'!AJ14-'CFS (F4Q2022)'!AJ14</f>
        <v>0</v>
      </c>
      <c r="AK14" s="323">
        <f>'CFS (F1Q23)'!AK14-'CFS (F4Q2022)'!AK14</f>
        <v>0</v>
      </c>
      <c r="AL14" s="324">
        <f>'CFS (F1Q23)'!AL14-'CFS (F4Q2022)'!AL14</f>
        <v>0</v>
      </c>
      <c r="AM14" s="323">
        <f>'CFS (F1Q23)'!AM14-'CFS (F4Q2022)'!AM14</f>
        <v>0</v>
      </c>
      <c r="AN14" s="323">
        <f>'CFS (F1Q23)'!AN14-'CFS (F4Q2022)'!AN14</f>
        <v>0</v>
      </c>
      <c r="AO14" s="323">
        <f>'CFS (F1Q23)'!AO14-'CFS (F4Q2022)'!AO14</f>
        <v>0</v>
      </c>
      <c r="AP14" s="323">
        <f>'CFS (F1Q23)'!AP14-'CFS (F4Q2022)'!AP14</f>
        <v>0</v>
      </c>
      <c r="AQ14" s="324">
        <f>'CFS (F1Q23)'!AQ14-'CFS (F4Q2022)'!AQ14</f>
        <v>0</v>
      </c>
      <c r="AR14" s="323">
        <f>'CFS (F1Q23)'!AR14-'CFS (F4Q2022)'!AR14</f>
        <v>0</v>
      </c>
      <c r="AS14" s="323">
        <f>'CFS (F1Q23)'!AS14-'CFS (F4Q2022)'!AS14</f>
        <v>0</v>
      </c>
      <c r="AT14" s="323">
        <f>'CFS (F1Q23)'!AT14-'CFS (F4Q2022)'!AT14</f>
        <v>0</v>
      </c>
      <c r="AU14" s="323">
        <f>'CFS (F1Q23)'!AU14-'CFS (F4Q2022)'!AU14</f>
        <v>0</v>
      </c>
      <c r="AV14" s="324">
        <f>'CFS (F1Q23)'!AV14-'CFS (F4Q2022)'!AV14</f>
        <v>0</v>
      </c>
    </row>
    <row r="15" spans="2:48" outlineLevel="1" x14ac:dyDescent="0.3">
      <c r="B15" s="623" t="s">
        <v>276</v>
      </c>
      <c r="C15" s="624"/>
      <c r="D15" s="327">
        <f>'CFS (F1Q23)'!D15-'CFS (F4Q2022)'!D15</f>
        <v>0</v>
      </c>
      <c r="E15" s="327">
        <f>'CFS (F1Q23)'!E15-'CFS (F4Q2022)'!E15</f>
        <v>0</v>
      </c>
      <c r="F15" s="327">
        <f>'CFS (F1Q23)'!F15-'CFS (F4Q2022)'!F15</f>
        <v>0</v>
      </c>
      <c r="G15" s="327">
        <f>'CFS (F1Q23)'!G15-'CFS (F4Q2022)'!G15</f>
        <v>0</v>
      </c>
      <c r="H15" s="328">
        <f>'CFS (F1Q23)'!H15-'CFS (F4Q2022)'!H15</f>
        <v>0</v>
      </c>
      <c r="I15" s="327">
        <f>'CFS (F1Q23)'!I15-'CFS (F4Q2022)'!I15</f>
        <v>0</v>
      </c>
      <c r="J15" s="327">
        <f>'CFS (F1Q23)'!J15-'CFS (F4Q2022)'!J15</f>
        <v>0</v>
      </c>
      <c r="K15" s="327">
        <f>'CFS (F1Q23)'!K15-'CFS (F4Q2022)'!K15</f>
        <v>0</v>
      </c>
      <c r="L15" s="327">
        <f>'CFS (F1Q23)'!L15-'CFS (F4Q2022)'!L15</f>
        <v>0</v>
      </c>
      <c r="M15" s="328">
        <f>'CFS (F1Q23)'!M15-'CFS (F4Q2022)'!M15</f>
        <v>0</v>
      </c>
      <c r="N15" s="327">
        <f>'CFS (F1Q23)'!N15-'CFS (F4Q2022)'!N15</f>
        <v>0</v>
      </c>
      <c r="O15" s="327">
        <f>'CFS (F1Q23)'!O15-'CFS (F4Q2022)'!O15</f>
        <v>0</v>
      </c>
      <c r="P15" s="327">
        <f>'CFS (F1Q23)'!P15-'CFS (F4Q2022)'!P15</f>
        <v>0</v>
      </c>
      <c r="Q15" s="327">
        <f>'CFS (F1Q23)'!Q15-'CFS (F4Q2022)'!Q15</f>
        <v>0</v>
      </c>
      <c r="R15" s="328">
        <f>'CFS (F1Q23)'!R15-'CFS (F4Q2022)'!R15</f>
        <v>0</v>
      </c>
      <c r="S15" s="327">
        <f>'CFS (F1Q23)'!S15-'CFS (F4Q2022)'!S15</f>
        <v>0</v>
      </c>
      <c r="T15" s="327">
        <f>'CFS (F1Q23)'!T15-'CFS (F4Q2022)'!T15</f>
        <v>0</v>
      </c>
      <c r="U15" s="327">
        <f>'CFS (F1Q23)'!U15-'CFS (F4Q2022)'!U15</f>
        <v>0</v>
      </c>
      <c r="V15" s="327">
        <f>'CFS (F1Q23)'!V15-'CFS (F4Q2022)'!V15</f>
        <v>0</v>
      </c>
      <c r="W15" s="328">
        <f>'CFS (F1Q23)'!W15-'CFS (F4Q2022)'!W15</f>
        <v>0</v>
      </c>
      <c r="X15" s="327">
        <f>'CFS (F1Q23)'!X15-'CFS (F4Q2022)'!X15</f>
        <v>-6.2711263246380895</v>
      </c>
      <c r="Y15" s="327">
        <f>'CFS (F1Q23)'!Y15-'CFS (F4Q2022)'!Y15</f>
        <v>40.367470566824068</v>
      </c>
      <c r="Z15" s="327">
        <f>'CFS (F1Q23)'!Z15-'CFS (F4Q2022)'!Z15</f>
        <v>-0.59022600475418585</v>
      </c>
      <c r="AA15" s="327">
        <f>'CFS (F1Q23)'!AA15-'CFS (F4Q2022)'!AA15</f>
        <v>-1.2293553177489684</v>
      </c>
      <c r="AB15" s="328">
        <f>'CFS (F1Q23)'!AB15-'CFS (F4Q2022)'!AB15</f>
        <v>32.276762919682824</v>
      </c>
      <c r="AC15" s="327">
        <f>'CFS (F1Q23)'!AC15-'CFS (F4Q2022)'!AC15</f>
        <v>-8.5707724531093845</v>
      </c>
      <c r="AD15" s="327">
        <f>'CFS (F1Q23)'!AD15-'CFS (F4Q2022)'!AD15</f>
        <v>7.729345448452932</v>
      </c>
      <c r="AE15" s="327">
        <f>'CFS (F1Q23)'!AE15-'CFS (F4Q2022)'!AE15</f>
        <v>0.12713555379491481</v>
      </c>
      <c r="AF15" s="327">
        <f>'CFS (F1Q23)'!AF15-'CFS (F4Q2022)'!AF15</f>
        <v>0.21225231748530859</v>
      </c>
      <c r="AG15" s="328">
        <f>'CFS (F1Q23)'!AG15-'CFS (F4Q2022)'!AG15</f>
        <v>-0.50203913337622907</v>
      </c>
      <c r="AH15" s="327">
        <f>'CFS (F1Q23)'!AH15-'CFS (F4Q2022)'!AH15</f>
        <v>-11.706091612573573</v>
      </c>
      <c r="AI15" s="327">
        <f>'CFS (F1Q23)'!AI15-'CFS (F4Q2022)'!AI15</f>
        <v>11.481319711513606</v>
      </c>
      <c r="AJ15" s="327">
        <f>'CFS (F1Q23)'!AJ15-'CFS (F4Q2022)'!AJ15</f>
        <v>0.21698196454076424</v>
      </c>
      <c r="AK15" s="327">
        <f>'CFS (F1Q23)'!AK15-'CFS (F4Q2022)'!AK15</f>
        <v>0.22281590492139003</v>
      </c>
      <c r="AL15" s="328">
        <f>'CFS (F1Q23)'!AL15-'CFS (F4Q2022)'!AL15</f>
        <v>0.21502596840218757</v>
      </c>
      <c r="AM15" s="327">
        <f>'CFS (F1Q23)'!AM15-'CFS (F4Q2022)'!AM15</f>
        <v>-18.008776954373616</v>
      </c>
      <c r="AN15" s="327">
        <f>'CFS (F1Q23)'!AN15-'CFS (F4Q2022)'!AN15</f>
        <v>17.696614095533278</v>
      </c>
      <c r="AO15" s="327">
        <f>'CFS (F1Q23)'!AO15-'CFS (F4Q2022)'!AO15</f>
        <v>0.21408364210651598</v>
      </c>
      <c r="AP15" s="327">
        <f>'CFS (F1Q23)'!AP15-'CFS (F4Q2022)'!AP15</f>
        <v>0.18362558078410984</v>
      </c>
      <c r="AQ15" s="328">
        <f>'CFS (F1Q23)'!AQ15-'CFS (F4Q2022)'!AQ15</f>
        <v>8.5546364050287593E-2</v>
      </c>
      <c r="AR15" s="327">
        <f>'CFS (F1Q23)'!AR15-'CFS (F4Q2022)'!AR15</f>
        <v>-10.61746332501184</v>
      </c>
      <c r="AS15" s="327">
        <f>'CFS (F1Q23)'!AS15-'CFS (F4Q2022)'!AS15</f>
        <v>10.270246280847687</v>
      </c>
      <c r="AT15" s="327">
        <f>'CFS (F1Q23)'!AT15-'CFS (F4Q2022)'!AT15</f>
        <v>0.19899933608462561</v>
      </c>
      <c r="AU15" s="327">
        <f>'CFS (F1Q23)'!AU15-'CFS (F4Q2022)'!AU15</f>
        <v>0.22402926085578656</v>
      </c>
      <c r="AV15" s="328">
        <f>'CFS (F1Q23)'!AV15-'CFS (F4Q2022)'!AV15</f>
        <v>7.5811552776258395E-2</v>
      </c>
    </row>
    <row r="16" spans="2:48" outlineLevel="1" x14ac:dyDescent="0.3">
      <c r="B16" s="325" t="s">
        <v>215</v>
      </c>
      <c r="C16" s="326"/>
      <c r="D16" s="327">
        <f>'CFS (F1Q23)'!D16-'CFS (F4Q2022)'!D16</f>
        <v>0</v>
      </c>
      <c r="E16" s="327">
        <f>'CFS (F1Q23)'!E16-'CFS (F4Q2022)'!E16</f>
        <v>0</v>
      </c>
      <c r="F16" s="327">
        <f>'CFS (F1Q23)'!F16-'CFS (F4Q2022)'!F16</f>
        <v>0</v>
      </c>
      <c r="G16" s="327">
        <f>'CFS (F1Q23)'!G16-'CFS (F4Q2022)'!G16</f>
        <v>0</v>
      </c>
      <c r="H16" s="328">
        <f>'CFS (F1Q23)'!H16-'CFS (F4Q2022)'!H16</f>
        <v>0</v>
      </c>
      <c r="I16" s="327">
        <f>'CFS (F1Q23)'!I16-'CFS (F4Q2022)'!I16</f>
        <v>0</v>
      </c>
      <c r="J16" s="327">
        <f>'CFS (F1Q23)'!J16-'CFS (F4Q2022)'!J16</f>
        <v>0</v>
      </c>
      <c r="K16" s="327">
        <f>'CFS (F1Q23)'!K16-'CFS (F4Q2022)'!K16</f>
        <v>0</v>
      </c>
      <c r="L16" s="327">
        <f>'CFS (F1Q23)'!L16-'CFS (F4Q2022)'!L16</f>
        <v>0</v>
      </c>
      <c r="M16" s="328">
        <f>'CFS (F1Q23)'!M16-'CFS (F4Q2022)'!M16</f>
        <v>0</v>
      </c>
      <c r="N16" s="327">
        <f>'CFS (F1Q23)'!N16-'CFS (F4Q2022)'!N16</f>
        <v>0</v>
      </c>
      <c r="O16" s="327">
        <f>'CFS (F1Q23)'!O16-'CFS (F4Q2022)'!O16</f>
        <v>0</v>
      </c>
      <c r="P16" s="327">
        <f>'CFS (F1Q23)'!P16-'CFS (F4Q2022)'!P16</f>
        <v>0</v>
      </c>
      <c r="Q16" s="327">
        <f>'CFS (F1Q23)'!Q16-'CFS (F4Q2022)'!Q16</f>
        <v>0</v>
      </c>
      <c r="R16" s="328">
        <f>'CFS (F1Q23)'!R16-'CFS (F4Q2022)'!R16</f>
        <v>0</v>
      </c>
      <c r="S16" s="327">
        <f>'CFS (F1Q23)'!S16-'CFS (F4Q2022)'!S16</f>
        <v>0</v>
      </c>
      <c r="T16" s="327">
        <f>'CFS (F1Q23)'!T16-'CFS (F4Q2022)'!T16</f>
        <v>0</v>
      </c>
      <c r="U16" s="327">
        <f>'CFS (F1Q23)'!U16-'CFS (F4Q2022)'!U16</f>
        <v>0</v>
      </c>
      <c r="V16" s="327">
        <f>'CFS (F1Q23)'!V16-'CFS (F4Q2022)'!V16</f>
        <v>0</v>
      </c>
      <c r="W16" s="328">
        <f>'CFS (F1Q23)'!W16-'CFS (F4Q2022)'!W16</f>
        <v>0</v>
      </c>
      <c r="X16" s="327">
        <f>'CFS (F1Q23)'!X16-'CFS (F4Q2022)'!X16</f>
        <v>-204.70574438894619</v>
      </c>
      <c r="Y16" s="327">
        <f>'CFS (F1Q23)'!Y16-'CFS (F4Q2022)'!Y16</f>
        <v>195.62383062707977</v>
      </c>
      <c r="Z16" s="327">
        <f>'CFS (F1Q23)'!Z16-'CFS (F4Q2022)'!Z16</f>
        <v>86.9446302158035</v>
      </c>
      <c r="AA16" s="327">
        <f>'CFS (F1Q23)'!AA16-'CFS (F4Q2022)'!AA16</f>
        <v>24.333565984815323</v>
      </c>
      <c r="AB16" s="328">
        <f>'CFS (F1Q23)'!AB16-'CFS (F4Q2022)'!AB16</f>
        <v>102.19628243875241</v>
      </c>
      <c r="AC16" s="327">
        <f>'CFS (F1Q23)'!AC16-'CFS (F4Q2022)'!AC16</f>
        <v>-159.03752086275108</v>
      </c>
      <c r="AD16" s="327">
        <f>'CFS (F1Q23)'!AD16-'CFS (F4Q2022)'!AD16</f>
        <v>36.896698834033941</v>
      </c>
      <c r="AE16" s="327">
        <f>'CFS (F1Q23)'!AE16-'CFS (F4Q2022)'!AE16</f>
        <v>99.381391555790287</v>
      </c>
      <c r="AF16" s="327">
        <f>'CFS (F1Q23)'!AF16-'CFS (F4Q2022)'!AF16</f>
        <v>31.985690814908139</v>
      </c>
      <c r="AG16" s="328">
        <f>'CFS (F1Q23)'!AG16-'CFS (F4Q2022)'!AG16</f>
        <v>9.2262603419812876</v>
      </c>
      <c r="AH16" s="327">
        <f>'CFS (F1Q23)'!AH16-'CFS (F4Q2022)'!AH16</f>
        <v>-200.9080915224331</v>
      </c>
      <c r="AI16" s="327">
        <f>'CFS (F1Q23)'!AI16-'CFS (F4Q2022)'!AI16</f>
        <v>61.703252835596686</v>
      </c>
      <c r="AJ16" s="327">
        <f>'CFS (F1Q23)'!AJ16-'CFS (F4Q2022)'!AJ16</f>
        <v>117.83819502502229</v>
      </c>
      <c r="AK16" s="327">
        <f>'CFS (F1Q23)'!AK16-'CFS (F4Q2022)'!AK16</f>
        <v>38.678844276354994</v>
      </c>
      <c r="AL16" s="328">
        <f>'CFS (F1Q23)'!AL16-'CFS (F4Q2022)'!AL16</f>
        <v>17.31220061454087</v>
      </c>
      <c r="AM16" s="327">
        <f>'CFS (F1Q23)'!AM16-'CFS (F4Q2022)'!AM16</f>
        <v>-271.80617963758277</v>
      </c>
      <c r="AN16" s="327">
        <f>'CFS (F1Q23)'!AN16-'CFS (F4Q2022)'!AN16</f>
        <v>108.10730892972788</v>
      </c>
      <c r="AO16" s="327">
        <f>'CFS (F1Q23)'!AO16-'CFS (F4Q2022)'!AO16</f>
        <v>131.76024229145105</v>
      </c>
      <c r="AP16" s="327">
        <f>'CFS (F1Q23)'!AP16-'CFS (F4Q2022)'!AP16</f>
        <v>39.418892703902202</v>
      </c>
      <c r="AQ16" s="328">
        <f>'CFS (F1Q23)'!AQ16-'CFS (F4Q2022)'!AQ16</f>
        <v>7.4802642874983576</v>
      </c>
      <c r="AR16" s="327">
        <f>'CFS (F1Q23)'!AR16-'CFS (F4Q2022)'!AR16</f>
        <v>-245.89621186806653</v>
      </c>
      <c r="AS16" s="327">
        <f>'CFS (F1Q23)'!AS16-'CFS (F4Q2022)'!AS16</f>
        <v>70.068057668463098</v>
      </c>
      <c r="AT16" s="327">
        <f>'CFS (F1Q23)'!AT16-'CFS (F4Q2022)'!AT16</f>
        <v>140.17315655212769</v>
      </c>
      <c r="AU16" s="327">
        <f>'CFS (F1Q23)'!AU16-'CFS (F4Q2022)'!AU16</f>
        <v>43.140199405281692</v>
      </c>
      <c r="AV16" s="328">
        <f>'CFS (F1Q23)'!AV16-'CFS (F4Q2022)'!AV16</f>
        <v>7.4852017578059531</v>
      </c>
    </row>
    <row r="17" spans="2:48" outlineLevel="1" x14ac:dyDescent="0.3">
      <c r="B17" s="623" t="s">
        <v>277</v>
      </c>
      <c r="C17" s="624"/>
      <c r="D17" s="327">
        <f>'CFS (F1Q23)'!D17-'CFS (F4Q2022)'!D17</f>
        <v>0</v>
      </c>
      <c r="E17" s="327">
        <f>'CFS (F1Q23)'!E17-'CFS (F4Q2022)'!E17</f>
        <v>0</v>
      </c>
      <c r="F17" s="327">
        <f>'CFS (F1Q23)'!F17-'CFS (F4Q2022)'!F17</f>
        <v>0</v>
      </c>
      <c r="G17" s="327">
        <f>'CFS (F1Q23)'!G17-'CFS (F4Q2022)'!G17</f>
        <v>0</v>
      </c>
      <c r="H17" s="328">
        <f>'CFS (F1Q23)'!H17-'CFS (F4Q2022)'!H17</f>
        <v>0</v>
      </c>
      <c r="I17" s="327">
        <f>'CFS (F1Q23)'!I17-'CFS (F4Q2022)'!I17</f>
        <v>0</v>
      </c>
      <c r="J17" s="327">
        <f>'CFS (F1Q23)'!J17-'CFS (F4Q2022)'!J17</f>
        <v>0</v>
      </c>
      <c r="K17" s="327">
        <f>'CFS (F1Q23)'!K17-'CFS (F4Q2022)'!K17</f>
        <v>0</v>
      </c>
      <c r="L17" s="327">
        <f>'CFS (F1Q23)'!L17-'CFS (F4Q2022)'!L17</f>
        <v>0</v>
      </c>
      <c r="M17" s="328">
        <f>'CFS (F1Q23)'!M17-'CFS (F4Q2022)'!M17</f>
        <v>0</v>
      </c>
      <c r="N17" s="327">
        <f>'CFS (F1Q23)'!N17-'CFS (F4Q2022)'!N17</f>
        <v>0</v>
      </c>
      <c r="O17" s="327">
        <f>'CFS (F1Q23)'!O17-'CFS (F4Q2022)'!O17</f>
        <v>0</v>
      </c>
      <c r="P17" s="327">
        <f>'CFS (F1Q23)'!P17-'CFS (F4Q2022)'!P17</f>
        <v>0</v>
      </c>
      <c r="Q17" s="327">
        <f>'CFS (F1Q23)'!Q17-'CFS (F4Q2022)'!Q17</f>
        <v>0</v>
      </c>
      <c r="R17" s="328">
        <f>'CFS (F1Q23)'!R17-'CFS (F4Q2022)'!R17</f>
        <v>0</v>
      </c>
      <c r="S17" s="327">
        <f>'CFS (F1Q23)'!S17-'CFS (F4Q2022)'!S17</f>
        <v>0</v>
      </c>
      <c r="T17" s="327">
        <f>'CFS (F1Q23)'!T17-'CFS (F4Q2022)'!T17</f>
        <v>0</v>
      </c>
      <c r="U17" s="327">
        <f>'CFS (F1Q23)'!U17-'CFS (F4Q2022)'!U17</f>
        <v>0</v>
      </c>
      <c r="V17" s="327">
        <f>'CFS (F1Q23)'!V17-'CFS (F4Q2022)'!V17</f>
        <v>0</v>
      </c>
      <c r="W17" s="328">
        <f>'CFS (F1Q23)'!W17-'CFS (F4Q2022)'!W17</f>
        <v>0</v>
      </c>
      <c r="X17" s="327">
        <f>'CFS (F1Q23)'!X17-'CFS (F4Q2022)'!X17</f>
        <v>4.8369999999999891</v>
      </c>
      <c r="Y17" s="327">
        <f>'CFS (F1Q23)'!Y17-'CFS (F4Q2022)'!Y17</f>
        <v>1.1503700000000094</v>
      </c>
      <c r="Z17" s="327">
        <f>'CFS (F1Q23)'!Z17-'CFS (F4Q2022)'!Z17</f>
        <v>1.161873700000001</v>
      </c>
      <c r="AA17" s="327">
        <f>'CFS (F1Q23)'!AA17-'CFS (F4Q2022)'!AA17</f>
        <v>1.1734924369999931</v>
      </c>
      <c r="AB17" s="328">
        <f>'CFS (F1Q23)'!AB17-'CFS (F4Q2022)'!AB17</f>
        <v>8.3227361369999926</v>
      </c>
      <c r="AC17" s="327">
        <f>'CFS (F1Q23)'!AC17-'CFS (F4Q2022)'!AC17</f>
        <v>1.185227361370039</v>
      </c>
      <c r="AD17" s="327">
        <f>'CFS (F1Q23)'!AD17-'CFS (F4Q2022)'!AD17</f>
        <v>1.1970796349836519</v>
      </c>
      <c r="AE17" s="327">
        <f>'CFS (F1Q23)'!AE17-'CFS (F4Q2022)'!AE17</f>
        <v>1.2090504313335373</v>
      </c>
      <c r="AF17" s="327">
        <f>'CFS (F1Q23)'!AF17-'CFS (F4Q2022)'!AF17</f>
        <v>1.2211409356468153</v>
      </c>
      <c r="AG17" s="328">
        <f>'CFS (F1Q23)'!AG17-'CFS (F4Q2022)'!AG17</f>
        <v>4.8124983633340435</v>
      </c>
      <c r="AH17" s="327">
        <f>'CFS (F1Q23)'!AH17-'CFS (F4Q2022)'!AH17</f>
        <v>1.2333523450033113</v>
      </c>
      <c r="AI17" s="327">
        <f>'CFS (F1Q23)'!AI17-'CFS (F4Q2022)'!AI17</f>
        <v>1.2456858684533358</v>
      </c>
      <c r="AJ17" s="327">
        <f>'CFS (F1Q23)'!AJ17-'CFS (F4Q2022)'!AJ17</f>
        <v>1.2581427271379084</v>
      </c>
      <c r="AK17" s="327">
        <f>'CFS (F1Q23)'!AK17-'CFS (F4Q2022)'!AK17</f>
        <v>1.2707241544093222</v>
      </c>
      <c r="AL17" s="328">
        <f>'CFS (F1Q23)'!AL17-'CFS (F4Q2022)'!AL17</f>
        <v>5.0079050950038777</v>
      </c>
      <c r="AM17" s="327">
        <f>'CFS (F1Q23)'!AM17-'CFS (F4Q2022)'!AM17</f>
        <v>1.2834313959533006</v>
      </c>
      <c r="AN17" s="327">
        <f>'CFS (F1Q23)'!AN17-'CFS (F4Q2022)'!AN17</f>
        <v>1.296265709912916</v>
      </c>
      <c r="AO17" s="327">
        <f>'CFS (F1Q23)'!AO17-'CFS (F4Q2022)'!AO17</f>
        <v>1.3092283670120537</v>
      </c>
      <c r="AP17" s="327">
        <f>'CFS (F1Q23)'!AP17-'CFS (F4Q2022)'!AP17</f>
        <v>1.3223206506821725</v>
      </c>
      <c r="AQ17" s="328">
        <f>'CFS (F1Q23)'!AQ17-'CFS (F4Q2022)'!AQ17</f>
        <v>5.2112461235604428</v>
      </c>
      <c r="AR17" s="327">
        <f>'CFS (F1Q23)'!AR17-'CFS (F4Q2022)'!AR17</f>
        <v>1.335543857189009</v>
      </c>
      <c r="AS17" s="327">
        <f>'CFS (F1Q23)'!AS17-'CFS (F4Q2022)'!AS17</f>
        <v>1.3488992957608161</v>
      </c>
      <c r="AT17" s="327">
        <f>'CFS (F1Q23)'!AT17-'CFS (F4Q2022)'!AT17</f>
        <v>1.3623882887185346</v>
      </c>
      <c r="AU17" s="327">
        <f>'CFS (F1Q23)'!AU17-'CFS (F4Q2022)'!AU17</f>
        <v>1.376012171605737</v>
      </c>
      <c r="AV17" s="328">
        <f>'CFS (F1Q23)'!AV17-'CFS (F4Q2022)'!AV17</f>
        <v>5.4228436132740967</v>
      </c>
    </row>
    <row r="18" spans="2:48" outlineLevel="1" x14ac:dyDescent="0.3">
      <c r="B18" s="623" t="s">
        <v>228</v>
      </c>
      <c r="C18" s="624"/>
      <c r="D18" s="327">
        <f>'CFS (F1Q23)'!D18-'CFS (F4Q2022)'!D18</f>
        <v>0</v>
      </c>
      <c r="E18" s="327">
        <f>'CFS (F1Q23)'!E18-'CFS (F4Q2022)'!E18</f>
        <v>0</v>
      </c>
      <c r="F18" s="327">
        <f>'CFS (F1Q23)'!F18-'CFS (F4Q2022)'!F18</f>
        <v>0</v>
      </c>
      <c r="G18" s="327">
        <f>'CFS (F1Q23)'!G18-'CFS (F4Q2022)'!G18</f>
        <v>0</v>
      </c>
      <c r="H18" s="328">
        <f>'CFS (F1Q23)'!H18-'CFS (F4Q2022)'!H18</f>
        <v>0</v>
      </c>
      <c r="I18" s="327">
        <f>'CFS (F1Q23)'!I18-'CFS (F4Q2022)'!I18</f>
        <v>0</v>
      </c>
      <c r="J18" s="327">
        <f>'CFS (F1Q23)'!J18-'CFS (F4Q2022)'!J18</f>
        <v>0</v>
      </c>
      <c r="K18" s="327">
        <f>'CFS (F1Q23)'!K18-'CFS (F4Q2022)'!K18</f>
        <v>0</v>
      </c>
      <c r="L18" s="327">
        <f>'CFS (F1Q23)'!L18-'CFS (F4Q2022)'!L18</f>
        <v>0</v>
      </c>
      <c r="M18" s="328">
        <f>'CFS (F1Q23)'!M18-'CFS (F4Q2022)'!M18</f>
        <v>0</v>
      </c>
      <c r="N18" s="327">
        <f>'CFS (F1Q23)'!N18-'CFS (F4Q2022)'!N18</f>
        <v>0</v>
      </c>
      <c r="O18" s="327">
        <f>'CFS (F1Q23)'!O18-'CFS (F4Q2022)'!O18</f>
        <v>0</v>
      </c>
      <c r="P18" s="327">
        <f>'CFS (F1Q23)'!P18-'CFS (F4Q2022)'!P18</f>
        <v>0</v>
      </c>
      <c r="Q18" s="327">
        <f>'CFS (F1Q23)'!Q18-'CFS (F4Q2022)'!Q18</f>
        <v>0</v>
      </c>
      <c r="R18" s="328">
        <f>'CFS (F1Q23)'!R18-'CFS (F4Q2022)'!R18</f>
        <v>0</v>
      </c>
      <c r="S18" s="327">
        <f>'CFS (F1Q23)'!S18-'CFS (F4Q2022)'!S18</f>
        <v>0</v>
      </c>
      <c r="T18" s="327">
        <f>'CFS (F1Q23)'!T18-'CFS (F4Q2022)'!T18</f>
        <v>0</v>
      </c>
      <c r="U18" s="327">
        <f>'CFS (F1Q23)'!U18-'CFS (F4Q2022)'!U18</f>
        <v>0</v>
      </c>
      <c r="V18" s="327">
        <f>'CFS (F1Q23)'!V18-'CFS (F4Q2022)'!V18</f>
        <v>0</v>
      </c>
      <c r="W18" s="328">
        <f>'CFS (F1Q23)'!W18-'CFS (F4Q2022)'!W18</f>
        <v>0</v>
      </c>
      <c r="X18" s="327">
        <f>'CFS (F1Q23)'!X18-'CFS (F4Q2022)'!X18</f>
        <v>-87.786437936861645</v>
      </c>
      <c r="Y18" s="327">
        <f>'CFS (F1Q23)'!Y18-'CFS (F4Q2022)'!Y18</f>
        <v>83.535428882883934</v>
      </c>
      <c r="Z18" s="327">
        <f>'CFS (F1Q23)'!Z18-'CFS (F4Q2022)'!Z18</f>
        <v>-58.034857370672626</v>
      </c>
      <c r="AA18" s="327">
        <f>'CFS (F1Q23)'!AA18-'CFS (F4Q2022)'!AA18</f>
        <v>-18.384920870284304</v>
      </c>
      <c r="AB18" s="328">
        <f>'CFS (F1Q23)'!AB18-'CFS (F4Q2022)'!AB18</f>
        <v>-80.670787294934641</v>
      </c>
      <c r="AC18" s="327">
        <f>'CFS (F1Q23)'!AC18-'CFS (F4Q2022)'!AC18</f>
        <v>31.614380824548334</v>
      </c>
      <c r="AD18" s="327">
        <f>'CFS (F1Q23)'!AD18-'CFS (F4Q2022)'!AD18</f>
        <v>52.41418055011377</v>
      </c>
      <c r="AE18" s="327">
        <f>'CFS (F1Q23)'!AE18-'CFS (F4Q2022)'!AE18</f>
        <v>-68.842452239390468</v>
      </c>
      <c r="AF18" s="327">
        <f>'CFS (F1Q23)'!AF18-'CFS (F4Q2022)'!AF18</f>
        <v>-22.915538891979622</v>
      </c>
      <c r="AG18" s="328">
        <f>'CFS (F1Q23)'!AG18-'CFS (F4Q2022)'!AG18</f>
        <v>-7.7294297567079866</v>
      </c>
      <c r="AH18" s="327">
        <f>'CFS (F1Q23)'!AH18-'CFS (F4Q2022)'!AH18</f>
        <v>27.236522003004893</v>
      </c>
      <c r="AI18" s="327">
        <f>'CFS (F1Q23)'!AI18-'CFS (F4Q2022)'!AI18</f>
        <v>69.908807989250363</v>
      </c>
      <c r="AJ18" s="327">
        <f>'CFS (F1Q23)'!AJ18-'CFS (F4Q2022)'!AJ18</f>
        <v>-80.820690282146415</v>
      </c>
      <c r="AK18" s="327">
        <f>'CFS (F1Q23)'!AK18-'CFS (F4Q2022)'!AK18</f>
        <v>-26.501446167791983</v>
      </c>
      <c r="AL18" s="328">
        <f>'CFS (F1Q23)'!AL18-'CFS (F4Q2022)'!AL18</f>
        <v>-10.176806457683142</v>
      </c>
      <c r="AM18" s="327">
        <f>'CFS (F1Q23)'!AM18-'CFS (F4Q2022)'!AM18</f>
        <v>19.153269623977394</v>
      </c>
      <c r="AN18" s="327">
        <f>'CFS (F1Q23)'!AN18-'CFS (F4Q2022)'!AN18</f>
        <v>93.015578661287009</v>
      </c>
      <c r="AO18" s="327">
        <f>'CFS (F1Q23)'!AO18-'CFS (F4Q2022)'!AO18</f>
        <v>-89.945718663429034</v>
      </c>
      <c r="AP18" s="327">
        <f>'CFS (F1Q23)'!AP18-'CFS (F4Q2022)'!AP18</f>
        <v>-28.190632382674266</v>
      </c>
      <c r="AQ18" s="328">
        <f>'CFS (F1Q23)'!AQ18-'CFS (F4Q2022)'!AQ18</f>
        <v>-5.9675027608388973</v>
      </c>
      <c r="AR18" s="327">
        <f>'CFS (F1Q23)'!AR18-'CFS (F4Q2022)'!AR18</f>
        <v>32.909121673555774</v>
      </c>
      <c r="AS18" s="327">
        <f>'CFS (F1Q23)'!AS18-'CFS (F4Q2022)'!AS18</f>
        <v>88.480415453789192</v>
      </c>
      <c r="AT18" s="327">
        <f>'CFS (F1Q23)'!AT18-'CFS (F4Q2022)'!AT18</f>
        <v>-96.307357767433814</v>
      </c>
      <c r="AU18" s="327">
        <f>'CFS (F1Q23)'!AU18-'CFS (F4Q2022)'!AU18</f>
        <v>-30.428193521123376</v>
      </c>
      <c r="AV18" s="328">
        <f>'CFS (F1Q23)'!AV18-'CFS (F4Q2022)'!AV18</f>
        <v>-5.3460141612122243</v>
      </c>
    </row>
    <row r="19" spans="2:48" outlineLevel="1" x14ac:dyDescent="0.3">
      <c r="B19" s="325" t="s">
        <v>233</v>
      </c>
      <c r="C19" s="326"/>
      <c r="D19" s="327">
        <f>'CFS (F1Q23)'!D19-'CFS (F4Q2022)'!D19</f>
        <v>0</v>
      </c>
      <c r="E19" s="327">
        <f>'CFS (F1Q23)'!E19-'CFS (F4Q2022)'!E19</f>
        <v>0</v>
      </c>
      <c r="F19" s="327">
        <f>'CFS (F1Q23)'!F19-'CFS (F4Q2022)'!F19</f>
        <v>0</v>
      </c>
      <c r="G19" s="327">
        <f>'CFS (F1Q23)'!G19-'CFS (F4Q2022)'!G19</f>
        <v>0</v>
      </c>
      <c r="H19" s="328">
        <f>'CFS (F1Q23)'!H19-'CFS (F4Q2022)'!H19</f>
        <v>0</v>
      </c>
      <c r="I19" s="327">
        <f>'CFS (F1Q23)'!I19-'CFS (F4Q2022)'!I19</f>
        <v>0</v>
      </c>
      <c r="J19" s="327">
        <f>'CFS (F1Q23)'!J19-'CFS (F4Q2022)'!J19</f>
        <v>0</v>
      </c>
      <c r="K19" s="327">
        <f>'CFS (F1Q23)'!K19-'CFS (F4Q2022)'!K19</f>
        <v>0</v>
      </c>
      <c r="L19" s="327">
        <f>'CFS (F1Q23)'!L19-'CFS (F4Q2022)'!L19</f>
        <v>0</v>
      </c>
      <c r="M19" s="328">
        <f>'CFS (F1Q23)'!M19-'CFS (F4Q2022)'!M19</f>
        <v>0</v>
      </c>
      <c r="N19" s="327">
        <f>'CFS (F1Q23)'!N19-'CFS (F4Q2022)'!N19</f>
        <v>0</v>
      </c>
      <c r="O19" s="327">
        <f>'CFS (F1Q23)'!O19-'CFS (F4Q2022)'!O19</f>
        <v>0</v>
      </c>
      <c r="P19" s="327">
        <f>'CFS (F1Q23)'!P19-'CFS (F4Q2022)'!P19</f>
        <v>0</v>
      </c>
      <c r="Q19" s="327">
        <f>'CFS (F1Q23)'!Q19-'CFS (F4Q2022)'!Q19</f>
        <v>0</v>
      </c>
      <c r="R19" s="328">
        <f>'CFS (F1Q23)'!R19-'CFS (F4Q2022)'!R19</f>
        <v>0</v>
      </c>
      <c r="S19" s="327">
        <f>'CFS (F1Q23)'!S19-'CFS (F4Q2022)'!S19</f>
        <v>0</v>
      </c>
      <c r="T19" s="327">
        <f>'CFS (F1Q23)'!T19-'CFS (F4Q2022)'!T19</f>
        <v>0</v>
      </c>
      <c r="U19" s="327">
        <f>'CFS (F1Q23)'!U19-'CFS (F4Q2022)'!U19</f>
        <v>0</v>
      </c>
      <c r="V19" s="327">
        <f>'CFS (F1Q23)'!V19-'CFS (F4Q2022)'!V19</f>
        <v>0</v>
      </c>
      <c r="W19" s="328">
        <f>'CFS (F1Q23)'!W19-'CFS (F4Q2022)'!W19</f>
        <v>0</v>
      </c>
      <c r="X19" s="327">
        <f>'CFS (F1Q23)'!X19-'CFS (F4Q2022)'!X19</f>
        <v>-31.570000000000164</v>
      </c>
      <c r="Y19" s="327">
        <f>'CFS (F1Q23)'!Y19-'CFS (F4Q2022)'!Y19</f>
        <v>-0.3794999999997799</v>
      </c>
      <c r="Z19" s="327">
        <f>'CFS (F1Q23)'!Z19-'CFS (F4Q2022)'!Z19</f>
        <v>-2.150500000016109E-2</v>
      </c>
      <c r="AA19" s="327">
        <f>'CFS (F1Q23)'!AA19-'CFS (F4Q2022)'!AA19</f>
        <v>-2.1289949999982127E-2</v>
      </c>
      <c r="AB19" s="328">
        <f>'CFS (F1Q23)'!AB19-'CFS (F4Q2022)'!AB19</f>
        <v>-31.992294950000087</v>
      </c>
      <c r="AC19" s="327">
        <f>'CFS (F1Q23)'!AC19-'CFS (F4Q2022)'!AC19</f>
        <v>0.63231151500031046</v>
      </c>
      <c r="AD19" s="327">
        <f>'CFS (F1Q23)'!AD19-'CFS (F4Q2022)'!AD19</f>
        <v>-0.41100248475004264</v>
      </c>
      <c r="AE19" s="327">
        <f>'CFS (F1Q23)'!AE19-'CFS (F4Q2022)'!AE19</f>
        <v>-2.3290140802600945E-2</v>
      </c>
      <c r="AF19" s="327">
        <f>'CFS (F1Q23)'!AF19-'CFS (F4Q2022)'!AF19</f>
        <v>-2.3057239394574935E-2</v>
      </c>
      <c r="AG19" s="328">
        <f>'CFS (F1Q23)'!AG19-'CFS (F4Q2022)'!AG19</f>
        <v>0.17496165005309194</v>
      </c>
      <c r="AH19" s="327">
        <f>'CFS (F1Q23)'!AH19-'CFS (F4Q2022)'!AH19</f>
        <v>0.68480001001603341</v>
      </c>
      <c r="AI19" s="327">
        <f>'CFS (F1Q23)'!AI19-'CFS (F4Q2022)'!AI19</f>
        <v>-0.44512000651047856</v>
      </c>
      <c r="AJ19" s="327">
        <f>'CFS (F1Q23)'!AJ19-'CFS (F4Q2022)'!AJ19</f>
        <v>-2.5223467035630165E-2</v>
      </c>
      <c r="AK19" s="327">
        <f>'CFS (F1Q23)'!AK19-'CFS (F4Q2022)'!AK19</f>
        <v>-2.4971232365260221E-2</v>
      </c>
      <c r="AL19" s="328">
        <f>'CFS (F1Q23)'!AL19-'CFS (F4Q2022)'!AL19</f>
        <v>0.18948530410466446</v>
      </c>
      <c r="AM19" s="327">
        <f>'CFS (F1Q23)'!AM19-'CFS (F4Q2022)'!AM19</f>
        <v>0.74164560124700074</v>
      </c>
      <c r="AN19" s="327">
        <f>'CFS (F1Q23)'!AN19-'CFS (F4Q2022)'!AN19</f>
        <v>-0.48206964081100523</v>
      </c>
      <c r="AO19" s="327">
        <f>'CFS (F1Q23)'!AO19-'CFS (F4Q2022)'!AO19</f>
        <v>-2.7317279646013048E-2</v>
      </c>
      <c r="AP19" s="327">
        <f>'CFS (F1Q23)'!AP19-'CFS (F4Q2022)'!AP19</f>
        <v>-2.7044106849643867E-2</v>
      </c>
      <c r="AQ19" s="328">
        <f>'CFS (F1Q23)'!AQ19-'CFS (F4Q2022)'!AQ19</f>
        <v>0.2052145739403386</v>
      </c>
      <c r="AR19" s="327">
        <f>'CFS (F1Q23)'!AR19-'CFS (F4Q2022)'!AR19</f>
        <v>0.80320997342914779</v>
      </c>
      <c r="AS19" s="327">
        <f>'CFS (F1Q23)'!AS19-'CFS (F4Q2022)'!AS19</f>
        <v>-0.52208648272926439</v>
      </c>
      <c r="AT19" s="327">
        <f>'CFS (F1Q23)'!AT19-'CFS (F4Q2022)'!AT19</f>
        <v>-2.9584900687950721E-2</v>
      </c>
      <c r="AU19" s="327">
        <f>'CFS (F1Q23)'!AU19-'CFS (F4Q2022)'!AU19</f>
        <v>-2.9289051681189449E-2</v>
      </c>
      <c r="AV19" s="328">
        <f>'CFS (F1Q23)'!AV19-'CFS (F4Q2022)'!AV19</f>
        <v>0.22224953833074323</v>
      </c>
    </row>
    <row r="20" spans="2:48" outlineLevel="1" x14ac:dyDescent="0.3">
      <c r="B20" s="325" t="s">
        <v>278</v>
      </c>
      <c r="C20" s="326"/>
      <c r="D20" s="327">
        <f>'CFS (F1Q23)'!D20-'CFS (F4Q2022)'!D20</f>
        <v>0</v>
      </c>
      <c r="E20" s="327">
        <f>'CFS (F1Q23)'!E20-'CFS (F4Q2022)'!E20</f>
        <v>0</v>
      </c>
      <c r="F20" s="327">
        <f>'CFS (F1Q23)'!F20-'CFS (F4Q2022)'!F20</f>
        <v>0</v>
      </c>
      <c r="G20" s="327">
        <f>'CFS (F1Q23)'!G20-'CFS (F4Q2022)'!G20</f>
        <v>0</v>
      </c>
      <c r="H20" s="328">
        <f>'CFS (F1Q23)'!H20-'CFS (F4Q2022)'!H20</f>
        <v>0</v>
      </c>
      <c r="I20" s="327">
        <f>'CFS (F1Q23)'!I20-'CFS (F4Q2022)'!I20</f>
        <v>0</v>
      </c>
      <c r="J20" s="327">
        <f>'CFS (F1Q23)'!J20-'CFS (F4Q2022)'!J20</f>
        <v>0</v>
      </c>
      <c r="K20" s="327">
        <f>'CFS (F1Q23)'!K20-'CFS (F4Q2022)'!K20</f>
        <v>0</v>
      </c>
      <c r="L20" s="327">
        <f>'CFS (F1Q23)'!L20-'CFS (F4Q2022)'!L20</f>
        <v>0</v>
      </c>
      <c r="M20" s="328">
        <f>'CFS (F1Q23)'!M20-'CFS (F4Q2022)'!M20</f>
        <v>0</v>
      </c>
      <c r="N20" s="327">
        <f>'CFS (F1Q23)'!N20-'CFS (F4Q2022)'!N20</f>
        <v>0</v>
      </c>
      <c r="O20" s="327">
        <f>'CFS (F1Q23)'!O20-'CFS (F4Q2022)'!O20</f>
        <v>0</v>
      </c>
      <c r="P20" s="327">
        <f>'CFS (F1Q23)'!P20-'CFS (F4Q2022)'!P20</f>
        <v>0</v>
      </c>
      <c r="Q20" s="327">
        <f>'CFS (F1Q23)'!Q20-'CFS (F4Q2022)'!Q20</f>
        <v>0</v>
      </c>
      <c r="R20" s="328">
        <f>'CFS (F1Q23)'!R20-'CFS (F4Q2022)'!R20</f>
        <v>0</v>
      </c>
      <c r="S20" s="327">
        <f>'CFS (F1Q23)'!S20-'CFS (F4Q2022)'!S20</f>
        <v>0</v>
      </c>
      <c r="T20" s="327">
        <f>'CFS (F1Q23)'!T20-'CFS (F4Q2022)'!T20</f>
        <v>0</v>
      </c>
      <c r="U20" s="327">
        <f>'CFS (F1Q23)'!U20-'CFS (F4Q2022)'!U20</f>
        <v>0</v>
      </c>
      <c r="V20" s="327">
        <f>'CFS (F1Q23)'!V20-'CFS (F4Q2022)'!V20</f>
        <v>0</v>
      </c>
      <c r="W20" s="328">
        <f>'CFS (F1Q23)'!W20-'CFS (F4Q2022)'!W20</f>
        <v>0</v>
      </c>
      <c r="X20" s="327">
        <f>'CFS (F1Q23)'!X20-'CFS (F4Q2022)'!X20</f>
        <v>0</v>
      </c>
      <c r="Y20" s="327">
        <f>'CFS (F1Q23)'!Y20-'CFS (F4Q2022)'!Y20</f>
        <v>0</v>
      </c>
      <c r="Z20" s="327">
        <f>'CFS (F1Q23)'!Z20-'CFS (F4Q2022)'!Z20</f>
        <v>0</v>
      </c>
      <c r="AA20" s="327">
        <f>'CFS (F1Q23)'!AA20-'CFS (F4Q2022)'!AA20</f>
        <v>0</v>
      </c>
      <c r="AB20" s="328">
        <f>'CFS (F1Q23)'!AB20-'CFS (F4Q2022)'!AB20</f>
        <v>0</v>
      </c>
      <c r="AC20" s="327">
        <f>'CFS (F1Q23)'!AC20-'CFS (F4Q2022)'!AC20</f>
        <v>0</v>
      </c>
      <c r="AD20" s="327">
        <f>'CFS (F1Q23)'!AD20-'CFS (F4Q2022)'!AD20</f>
        <v>0</v>
      </c>
      <c r="AE20" s="327">
        <f>'CFS (F1Q23)'!AE20-'CFS (F4Q2022)'!AE20</f>
        <v>0</v>
      </c>
      <c r="AF20" s="327">
        <f>'CFS (F1Q23)'!AF20-'CFS (F4Q2022)'!AF20</f>
        <v>0</v>
      </c>
      <c r="AG20" s="328">
        <f>'CFS (F1Q23)'!AG20-'CFS (F4Q2022)'!AG20</f>
        <v>0</v>
      </c>
      <c r="AH20" s="327">
        <f>'CFS (F1Q23)'!AH20-'CFS (F4Q2022)'!AH20</f>
        <v>0</v>
      </c>
      <c r="AI20" s="327">
        <f>'CFS (F1Q23)'!AI20-'CFS (F4Q2022)'!AI20</f>
        <v>0</v>
      </c>
      <c r="AJ20" s="327">
        <f>'CFS (F1Q23)'!AJ20-'CFS (F4Q2022)'!AJ20</f>
        <v>0</v>
      </c>
      <c r="AK20" s="327">
        <f>'CFS (F1Q23)'!AK20-'CFS (F4Q2022)'!AK20</f>
        <v>0</v>
      </c>
      <c r="AL20" s="328">
        <f>'CFS (F1Q23)'!AL20-'CFS (F4Q2022)'!AL20</f>
        <v>0</v>
      </c>
      <c r="AM20" s="327">
        <f>'CFS (F1Q23)'!AM20-'CFS (F4Q2022)'!AM20</f>
        <v>0</v>
      </c>
      <c r="AN20" s="327">
        <f>'CFS (F1Q23)'!AN20-'CFS (F4Q2022)'!AN20</f>
        <v>0</v>
      </c>
      <c r="AO20" s="327">
        <f>'CFS (F1Q23)'!AO20-'CFS (F4Q2022)'!AO20</f>
        <v>0</v>
      </c>
      <c r="AP20" s="327">
        <f>'CFS (F1Q23)'!AP20-'CFS (F4Q2022)'!AP20</f>
        <v>0</v>
      </c>
      <c r="AQ20" s="328">
        <f>'CFS (F1Q23)'!AQ20-'CFS (F4Q2022)'!AQ20</f>
        <v>0</v>
      </c>
      <c r="AR20" s="327">
        <f>'CFS (F1Q23)'!AR20-'CFS (F4Q2022)'!AR20</f>
        <v>0</v>
      </c>
      <c r="AS20" s="327">
        <f>'CFS (F1Q23)'!AS20-'CFS (F4Q2022)'!AS20</f>
        <v>0</v>
      </c>
      <c r="AT20" s="327">
        <f>'CFS (F1Q23)'!AT20-'CFS (F4Q2022)'!AT20</f>
        <v>0</v>
      </c>
      <c r="AU20" s="327">
        <f>'CFS (F1Q23)'!AU20-'CFS (F4Q2022)'!AU20</f>
        <v>0</v>
      </c>
      <c r="AV20" s="328">
        <f>'CFS (F1Q23)'!AV20-'CFS (F4Q2022)'!AV20</f>
        <v>0</v>
      </c>
    </row>
    <row r="21" spans="2:48" ht="16.2" outlineLevel="1" x14ac:dyDescent="0.45">
      <c r="B21" s="623" t="s">
        <v>279</v>
      </c>
      <c r="C21" s="624"/>
      <c r="D21" s="329">
        <f>'CFS (F1Q23)'!D21-'CFS (F4Q2022)'!D21</f>
        <v>0</v>
      </c>
      <c r="E21" s="329">
        <f>'CFS (F1Q23)'!E21-'CFS (F4Q2022)'!E21</f>
        <v>0</v>
      </c>
      <c r="F21" s="329">
        <f>'CFS (F1Q23)'!F21-'CFS (F4Q2022)'!F21</f>
        <v>0</v>
      </c>
      <c r="G21" s="329">
        <f>'CFS (F1Q23)'!G21-'CFS (F4Q2022)'!G21</f>
        <v>0</v>
      </c>
      <c r="H21" s="330">
        <f>'CFS (F1Q23)'!H21-'CFS (F4Q2022)'!H21</f>
        <v>0</v>
      </c>
      <c r="I21" s="329">
        <f>'CFS (F1Q23)'!I21-'CFS (F4Q2022)'!I21</f>
        <v>0</v>
      </c>
      <c r="J21" s="329">
        <f>'CFS (F1Q23)'!J21-'CFS (F4Q2022)'!J21</f>
        <v>0</v>
      </c>
      <c r="K21" s="329">
        <f>'CFS (F1Q23)'!K21-'CFS (F4Q2022)'!K21</f>
        <v>0</v>
      </c>
      <c r="L21" s="329">
        <f>'CFS (F1Q23)'!L21-'CFS (F4Q2022)'!L21</f>
        <v>0</v>
      </c>
      <c r="M21" s="330">
        <f>'CFS (F1Q23)'!M21-'CFS (F4Q2022)'!M21</f>
        <v>0</v>
      </c>
      <c r="N21" s="329">
        <f>'CFS (F1Q23)'!N21-'CFS (F4Q2022)'!N21</f>
        <v>0</v>
      </c>
      <c r="O21" s="329">
        <f>'CFS (F1Q23)'!O21-'CFS (F4Q2022)'!O21</f>
        <v>0</v>
      </c>
      <c r="P21" s="329">
        <f>'CFS (F1Q23)'!P21-'CFS (F4Q2022)'!P21</f>
        <v>0</v>
      </c>
      <c r="Q21" s="329">
        <f>'CFS (F1Q23)'!Q21-'CFS (F4Q2022)'!Q21</f>
        <v>0</v>
      </c>
      <c r="R21" s="330">
        <f>'CFS (F1Q23)'!R21-'CFS (F4Q2022)'!R21</f>
        <v>0</v>
      </c>
      <c r="S21" s="329">
        <f>'CFS (F1Q23)'!S21-'CFS (F4Q2022)'!S21</f>
        <v>0</v>
      </c>
      <c r="T21" s="329">
        <f>'CFS (F1Q23)'!T21-'CFS (F4Q2022)'!T21</f>
        <v>0</v>
      </c>
      <c r="U21" s="329">
        <f>'CFS (F1Q23)'!U21-'CFS (F4Q2022)'!U21</f>
        <v>0</v>
      </c>
      <c r="V21" s="329">
        <f>'CFS (F1Q23)'!V21-'CFS (F4Q2022)'!V21</f>
        <v>0</v>
      </c>
      <c r="W21" s="330">
        <f>'CFS (F1Q23)'!W21-'CFS (F4Q2022)'!W21</f>
        <v>0</v>
      </c>
      <c r="X21" s="329">
        <f>'CFS (F1Q23)'!X21-'CFS (F4Q2022)'!X21</f>
        <v>-443.61869999999976</v>
      </c>
      <c r="Y21" s="329">
        <f>'CFS (F1Q23)'!Y21-'CFS (F4Q2022)'!Y21</f>
        <v>-0.14162369999985458</v>
      </c>
      <c r="Z21" s="329">
        <f>'CFS (F1Q23)'!Z21-'CFS (F4Q2022)'!Z21</f>
        <v>-0.14098271269972429</v>
      </c>
      <c r="AA21" s="329">
        <f>'CFS (F1Q23)'!AA21-'CFS (F4Q2022)'!AA21</f>
        <v>-0.14034466181169591</v>
      </c>
      <c r="AB21" s="330">
        <f>'CFS (F1Q23)'!AB21-'CFS (F4Q2022)'!AB21</f>
        <v>-444.04165107451104</v>
      </c>
      <c r="AC21" s="329">
        <f>'CFS (F1Q23)'!AC21-'CFS (F4Q2022)'!AC21</f>
        <v>-0.13970953372722761</v>
      </c>
      <c r="AD21" s="329">
        <f>'CFS (F1Q23)'!AD21-'CFS (F4Q2022)'!AD21</f>
        <v>-0.1390773149018969</v>
      </c>
      <c r="AE21" s="329">
        <f>'CFS (F1Q23)'!AE21-'CFS (F4Q2022)'!AE21</f>
        <v>-0.13844799185562806</v>
      </c>
      <c r="AF21" s="329">
        <f>'CFS (F1Q23)'!AF21-'CFS (F4Q2022)'!AF21</f>
        <v>-0.13782155116996364</v>
      </c>
      <c r="AG21" s="330">
        <f>'CFS (F1Q23)'!AG21-'CFS (F4Q2022)'!AG21</f>
        <v>-0.55505639165471621</v>
      </c>
      <c r="AH21" s="329">
        <f>'CFS (F1Q23)'!AH21-'CFS (F4Q2022)'!AH21</f>
        <v>-0.1371979794919298</v>
      </c>
      <c r="AI21" s="329">
        <f>'CFS (F1Q23)'!AI21-'CFS (F4Q2022)'!AI21</f>
        <v>-0.13657726352789723</v>
      </c>
      <c r="AJ21" s="329">
        <f>'CFS (F1Q23)'!AJ21-'CFS (F4Q2022)'!AJ21</f>
        <v>-0.13595939004676438</v>
      </c>
      <c r="AK21" s="329">
        <f>'CFS (F1Q23)'!AK21-'CFS (F4Q2022)'!AK21</f>
        <v>-0.13534434588177646</v>
      </c>
      <c r="AL21" s="330">
        <f>'CFS (F1Q23)'!AL21-'CFS (F4Q2022)'!AL21</f>
        <v>-0.54507897894836788</v>
      </c>
      <c r="AM21" s="329">
        <f>'CFS (F1Q23)'!AM21-'CFS (F4Q2022)'!AM21</f>
        <v>-0.13473211792734219</v>
      </c>
      <c r="AN21" s="329">
        <f>'CFS (F1Q23)'!AN21-'CFS (F4Q2022)'!AN21</f>
        <v>-0.13412269313676006</v>
      </c>
      <c r="AO21" s="329">
        <f>'CFS (F1Q23)'!AO21-'CFS (F4Q2022)'!AO21</f>
        <v>-0.13351605852699322</v>
      </c>
      <c r="AP21" s="329">
        <f>'CFS (F1Q23)'!AP21-'CFS (F4Q2022)'!AP21</f>
        <v>-0.13291220117571356</v>
      </c>
      <c r="AQ21" s="330">
        <f>'CFS (F1Q23)'!AQ21-'CFS (F4Q2022)'!AQ21</f>
        <v>-0.53528307076680903</v>
      </c>
      <c r="AR21" s="329">
        <f>'CFS (F1Q23)'!AR21-'CFS (F4Q2022)'!AR21</f>
        <v>-0.13231110821880065</v>
      </c>
      <c r="AS21" s="329">
        <f>'CFS (F1Q23)'!AS21-'CFS (F4Q2022)'!AS21</f>
        <v>-0.13171276685420708</v>
      </c>
      <c r="AT21" s="329">
        <f>'CFS (F1Q23)'!AT21-'CFS (F4Q2022)'!AT21</f>
        <v>-0.13111716433968468</v>
      </c>
      <c r="AU21" s="329">
        <f>'CFS (F1Q23)'!AU21-'CFS (F4Q2022)'!AU21</f>
        <v>-0.13052428799301197</v>
      </c>
      <c r="AV21" s="330">
        <f>'CFS (F1Q23)'!AV21-'CFS (F4Q2022)'!AV21</f>
        <v>-0.52566532740570437</v>
      </c>
    </row>
    <row r="22" spans="2:48" outlineLevel="1" x14ac:dyDescent="0.3">
      <c r="B22" s="627" t="s">
        <v>280</v>
      </c>
      <c r="C22" s="628"/>
      <c r="D22" s="331">
        <f>'CFS (F1Q23)'!D22-'CFS (F4Q2022)'!D22</f>
        <v>0</v>
      </c>
      <c r="E22" s="331">
        <f>'CFS (F1Q23)'!E22-'CFS (F4Q2022)'!E22</f>
        <v>0</v>
      </c>
      <c r="F22" s="331">
        <f>'CFS (F1Q23)'!F22-'CFS (F4Q2022)'!F22</f>
        <v>0</v>
      </c>
      <c r="G22" s="331">
        <f>'CFS (F1Q23)'!G22-'CFS (F4Q2022)'!G22</f>
        <v>0</v>
      </c>
      <c r="H22" s="332">
        <f>'CFS (F1Q23)'!H22-'CFS (F4Q2022)'!H22</f>
        <v>0</v>
      </c>
      <c r="I22" s="331">
        <f>'CFS (F1Q23)'!I22-'CFS (F4Q2022)'!I22</f>
        <v>0</v>
      </c>
      <c r="J22" s="331">
        <f>'CFS (F1Q23)'!J22-'CFS (F4Q2022)'!J22</f>
        <v>0</v>
      </c>
      <c r="K22" s="331">
        <f>'CFS (F1Q23)'!K22-'CFS (F4Q2022)'!K22</f>
        <v>0</v>
      </c>
      <c r="L22" s="331">
        <f>'CFS (F1Q23)'!L22-'CFS (F4Q2022)'!L22</f>
        <v>0</v>
      </c>
      <c r="M22" s="332">
        <f>'CFS (F1Q23)'!M22-'CFS (F4Q2022)'!M22</f>
        <v>0</v>
      </c>
      <c r="N22" s="331">
        <f>'CFS (F1Q23)'!N22-'CFS (F4Q2022)'!N22</f>
        <v>0</v>
      </c>
      <c r="O22" s="331">
        <f>'CFS (F1Q23)'!O22-'CFS (F4Q2022)'!O22</f>
        <v>0</v>
      </c>
      <c r="P22" s="331">
        <f>'CFS (F1Q23)'!P22-'CFS (F4Q2022)'!P22</f>
        <v>0</v>
      </c>
      <c r="Q22" s="331">
        <f>'CFS (F1Q23)'!Q22-'CFS (F4Q2022)'!Q22</f>
        <v>0</v>
      </c>
      <c r="R22" s="332">
        <f>'CFS (F1Q23)'!R22-'CFS (F4Q2022)'!R22</f>
        <v>0</v>
      </c>
      <c r="S22" s="331">
        <f>'CFS (F1Q23)'!S22-'CFS (F4Q2022)'!S22</f>
        <v>0</v>
      </c>
      <c r="T22" s="331">
        <f>'CFS (F1Q23)'!T22-'CFS (F4Q2022)'!T22</f>
        <v>0</v>
      </c>
      <c r="U22" s="331">
        <f>'CFS (F1Q23)'!U22-'CFS (F4Q2022)'!U22</f>
        <v>0</v>
      </c>
      <c r="V22" s="331">
        <f>'CFS (F1Q23)'!V22-'CFS (F4Q2022)'!V22</f>
        <v>0</v>
      </c>
      <c r="W22" s="332">
        <f>'CFS (F1Q23)'!W22-'CFS (F4Q2022)'!W22</f>
        <v>0</v>
      </c>
      <c r="X22" s="331">
        <f>'CFS (F1Q23)'!X22-'CFS (F4Q2022)'!X22</f>
        <v>-430.57945072513985</v>
      </c>
      <c r="Y22" s="331">
        <f>'CFS (F1Q23)'!Y22-'CFS (F4Q2022)'!Y22</f>
        <v>126.35645497702069</v>
      </c>
      <c r="Z22" s="331">
        <f>'CFS (F1Q23)'!Z22-'CFS (F4Q2022)'!Z22</f>
        <v>35.370922784647973</v>
      </c>
      <c r="AA22" s="331">
        <f>'CFS (F1Q23)'!AA22-'CFS (F4Q2022)'!AA22</f>
        <v>67.322553052105604</v>
      </c>
      <c r="AB22" s="332">
        <f>'CFS (F1Q23)'!AB22-'CFS (F4Q2022)'!AB22</f>
        <v>-201.52951991136615</v>
      </c>
      <c r="AC22" s="331">
        <f>'CFS (F1Q23)'!AC22-'CFS (F4Q2022)'!AC22</f>
        <v>-196.00584740748127</v>
      </c>
      <c r="AD22" s="331">
        <f>'CFS (F1Q23)'!AD22-'CFS (F4Q2022)'!AD22</f>
        <v>-85.970493445474403</v>
      </c>
      <c r="AE22" s="331">
        <f>'CFS (F1Q23)'!AE22-'CFS (F4Q2022)'!AE22</f>
        <v>42.910734361555569</v>
      </c>
      <c r="AF22" s="331">
        <f>'CFS (F1Q23)'!AF22-'CFS (F4Q2022)'!AF22</f>
        <v>86.174089699534079</v>
      </c>
      <c r="AG22" s="332">
        <f>'CFS (F1Q23)'!AG22-'CFS (F4Q2022)'!AG22</f>
        <v>-152.8915167918658</v>
      </c>
      <c r="AH22" s="331">
        <f>'CFS (F1Q23)'!AH22-'CFS (F4Q2022)'!AH22</f>
        <v>-261.74359719364975</v>
      </c>
      <c r="AI22" s="331">
        <f>'CFS (F1Q23)'!AI22-'CFS (F4Q2022)'!AI22</f>
        <v>-59.947418056290644</v>
      </c>
      <c r="AJ22" s="331">
        <f>'CFS (F1Q23)'!AJ22-'CFS (F4Q2022)'!AJ22</f>
        <v>54.362782432217045</v>
      </c>
      <c r="AK22" s="331">
        <f>'CFS (F1Q23)'!AK22-'CFS (F4Q2022)'!AK22</f>
        <v>93.703329113953259</v>
      </c>
      <c r="AL22" s="332">
        <f>'CFS (F1Q23)'!AL22-'CFS (F4Q2022)'!AL22</f>
        <v>-173.62490370376963</v>
      </c>
      <c r="AM22" s="331">
        <f>'CFS (F1Q23)'!AM22-'CFS (F4Q2022)'!AM22</f>
        <v>-349.71667416198989</v>
      </c>
      <c r="AN22" s="331">
        <f>'CFS (F1Q23)'!AN22-'CFS (F4Q2022)'!AN22</f>
        <v>5.0877685669304356</v>
      </c>
      <c r="AO22" s="331">
        <f>'CFS (F1Q23)'!AO22-'CFS (F4Q2022)'!AO22</f>
        <v>82.016866476642235</v>
      </c>
      <c r="AP22" s="331">
        <f>'CFS (F1Q23)'!AP22-'CFS (F4Q2022)'!AP22</f>
        <v>135.02266252512618</v>
      </c>
      <c r="AQ22" s="332">
        <f>'CFS (F1Q23)'!AQ22-'CFS (F4Q2022)'!AQ22</f>
        <v>-127.58937659329149</v>
      </c>
      <c r="AR22" s="331">
        <f>'CFS (F1Q23)'!AR22-'CFS (F4Q2022)'!AR22</f>
        <v>-308.23054088699837</v>
      </c>
      <c r="AS22" s="331">
        <f>'CFS (F1Q23)'!AS22-'CFS (F4Q2022)'!AS22</f>
        <v>-56.291938949214909</v>
      </c>
      <c r="AT22" s="331">
        <f>'CFS (F1Q23)'!AT22-'CFS (F4Q2022)'!AT22</f>
        <v>83.857279124144725</v>
      </c>
      <c r="AU22" s="331">
        <f>'CFS (F1Q23)'!AU22-'CFS (F4Q2022)'!AU22</f>
        <v>141.92932575913164</v>
      </c>
      <c r="AV22" s="332">
        <f>'CFS (F1Q23)'!AV22-'CFS (F4Q2022)'!AV22</f>
        <v>-138.73587495293941</v>
      </c>
    </row>
    <row r="23" spans="2:48" outlineLevel="1" x14ac:dyDescent="0.3">
      <c r="B23" s="250" t="s">
        <v>281</v>
      </c>
      <c r="C23" s="480"/>
      <c r="D23" s="333">
        <f>'CFS (F1Q23)'!D23-'CFS (F4Q2022)'!D23</f>
        <v>0</v>
      </c>
      <c r="E23" s="334">
        <f>'CFS (F1Q23)'!E23-'CFS (F4Q2022)'!E23</f>
        <v>0</v>
      </c>
      <c r="F23" s="334">
        <f>'CFS (F1Q23)'!F23-'CFS (F4Q2022)'!F23</f>
        <v>0</v>
      </c>
      <c r="G23" s="334">
        <f>'CFS (F1Q23)'!G23-'CFS (F4Q2022)'!G23</f>
        <v>0</v>
      </c>
      <c r="H23" s="335">
        <f>'CFS (F1Q23)'!H23-'CFS (F4Q2022)'!H23</f>
        <v>0</v>
      </c>
      <c r="I23" s="336">
        <f>'CFS (F1Q23)'!I23-'CFS (F4Q2022)'!I23</f>
        <v>0</v>
      </c>
      <c r="J23" s="336">
        <f>'CFS (F1Q23)'!J23-'CFS (F4Q2022)'!J23</f>
        <v>0</v>
      </c>
      <c r="K23" s="334">
        <f>'CFS (F1Q23)'!K23-'CFS (F4Q2022)'!K23</f>
        <v>0</v>
      </c>
      <c r="L23" s="334">
        <f>'CFS (F1Q23)'!L23-'CFS (F4Q2022)'!L23</f>
        <v>0</v>
      </c>
      <c r="M23" s="337">
        <f>'CFS (F1Q23)'!M23-'CFS (F4Q2022)'!M23</f>
        <v>0</v>
      </c>
      <c r="N23" s="334">
        <f>'CFS (F1Q23)'!N23-'CFS (F4Q2022)'!N23</f>
        <v>0</v>
      </c>
      <c r="O23" s="334">
        <f>'CFS (F1Q23)'!O23-'CFS (F4Q2022)'!O23</f>
        <v>0</v>
      </c>
      <c r="P23" s="334">
        <f>'CFS (F1Q23)'!P23-'CFS (F4Q2022)'!P23</f>
        <v>0</v>
      </c>
      <c r="Q23" s="334">
        <f>'CFS (F1Q23)'!Q23-'CFS (F4Q2022)'!Q23</f>
        <v>0</v>
      </c>
      <c r="R23" s="337">
        <f>'CFS (F1Q23)'!R23-'CFS (F4Q2022)'!R23</f>
        <v>0</v>
      </c>
      <c r="S23" s="334">
        <f>'CFS (F1Q23)'!S23-'CFS (F4Q2022)'!S23</f>
        <v>0</v>
      </c>
      <c r="T23" s="334">
        <f>'CFS (F1Q23)'!T23-'CFS (F4Q2022)'!T23</f>
        <v>0</v>
      </c>
      <c r="U23" s="334">
        <f>'CFS (F1Q23)'!U23-'CFS (F4Q2022)'!U23</f>
        <v>0</v>
      </c>
      <c r="V23" s="334">
        <f>'CFS (F1Q23)'!V23-'CFS (F4Q2022)'!V23</f>
        <v>0</v>
      </c>
      <c r="W23" s="337">
        <f>'CFS (F1Q23)'!W23-'CFS (F4Q2022)'!W23</f>
        <v>0</v>
      </c>
      <c r="X23" s="334">
        <f>'CFS (F1Q23)'!X23-'CFS (F4Q2022)'!X23</f>
        <v>0</v>
      </c>
      <c r="Y23" s="334">
        <f>'CFS (F1Q23)'!Y23-'CFS (F4Q2022)'!Y23</f>
        <v>0</v>
      </c>
      <c r="Z23" s="334">
        <f>'CFS (F1Q23)'!Z23-'CFS (F4Q2022)'!Z23</f>
        <v>0</v>
      </c>
      <c r="AA23" s="334">
        <f>'CFS (F1Q23)'!AA23-'CFS (F4Q2022)'!AA23</f>
        <v>0</v>
      </c>
      <c r="AB23" s="337">
        <f>'CFS (F1Q23)'!AB23-'CFS (F4Q2022)'!AB23</f>
        <v>0</v>
      </c>
      <c r="AC23" s="334">
        <f>'CFS (F1Q23)'!AC23-'CFS (F4Q2022)'!AC23</f>
        <v>0</v>
      </c>
      <c r="AD23" s="334">
        <f>'CFS (F1Q23)'!AD23-'CFS (F4Q2022)'!AD23</f>
        <v>0</v>
      </c>
      <c r="AE23" s="334">
        <f>'CFS (F1Q23)'!AE23-'CFS (F4Q2022)'!AE23</f>
        <v>0</v>
      </c>
      <c r="AF23" s="334">
        <f>'CFS (F1Q23)'!AF23-'CFS (F4Q2022)'!AF23</f>
        <v>0</v>
      </c>
      <c r="AG23" s="337">
        <f>'CFS (F1Q23)'!AG23-'CFS (F4Q2022)'!AG23</f>
        <v>0</v>
      </c>
      <c r="AH23" s="334">
        <f>'CFS (F1Q23)'!AH23-'CFS (F4Q2022)'!AH23</f>
        <v>0</v>
      </c>
      <c r="AI23" s="334">
        <f>'CFS (F1Q23)'!AI23-'CFS (F4Q2022)'!AI23</f>
        <v>0</v>
      </c>
      <c r="AJ23" s="334">
        <f>'CFS (F1Q23)'!AJ23-'CFS (F4Q2022)'!AJ23</f>
        <v>0</v>
      </c>
      <c r="AK23" s="334">
        <f>'CFS (F1Q23)'!AK23-'CFS (F4Q2022)'!AK23</f>
        <v>0</v>
      </c>
      <c r="AL23" s="337">
        <f>'CFS (F1Q23)'!AL23-'CFS (F4Q2022)'!AL23</f>
        <v>0</v>
      </c>
      <c r="AM23" s="334">
        <f>'CFS (F1Q23)'!AM23-'CFS (F4Q2022)'!AM23</f>
        <v>0</v>
      </c>
      <c r="AN23" s="334">
        <f>'CFS (F1Q23)'!AN23-'CFS (F4Q2022)'!AN23</f>
        <v>0</v>
      </c>
      <c r="AO23" s="334">
        <f>'CFS (F1Q23)'!AO23-'CFS (F4Q2022)'!AO23</f>
        <v>0</v>
      </c>
      <c r="AP23" s="334">
        <f>'CFS (F1Q23)'!AP23-'CFS (F4Q2022)'!AP23</f>
        <v>0</v>
      </c>
      <c r="AQ23" s="337">
        <f>'CFS (F1Q23)'!AQ23-'CFS (F4Q2022)'!AQ23</f>
        <v>0</v>
      </c>
      <c r="AR23" s="334">
        <f>'CFS (F1Q23)'!AR23-'CFS (F4Q2022)'!AR23</f>
        <v>0</v>
      </c>
      <c r="AS23" s="334">
        <f>'CFS (F1Q23)'!AS23-'CFS (F4Q2022)'!AS23</f>
        <v>0</v>
      </c>
      <c r="AT23" s="334">
        <f>'CFS (F1Q23)'!AT23-'CFS (F4Q2022)'!AT23</f>
        <v>0</v>
      </c>
      <c r="AU23" s="334">
        <f>'CFS (F1Q23)'!AU23-'CFS (F4Q2022)'!AU23</f>
        <v>0</v>
      </c>
      <c r="AV23" s="337">
        <f>'CFS (F1Q23)'!AV23-'CFS (F4Q2022)'!AV23</f>
        <v>0</v>
      </c>
    </row>
    <row r="24" spans="2:48" outlineLevel="1" x14ac:dyDescent="0.3">
      <c r="B24" s="200" t="s">
        <v>282</v>
      </c>
      <c r="C24" s="201"/>
      <c r="D24" s="16">
        <f>'CFS (F1Q23)'!D24-'CFS (F4Q2022)'!D24</f>
        <v>0</v>
      </c>
      <c r="E24" s="16">
        <f>'CFS (F1Q23)'!E24-'CFS (F4Q2022)'!E24</f>
        <v>0</v>
      </c>
      <c r="F24" s="16">
        <f>'CFS (F1Q23)'!F24-'CFS (F4Q2022)'!F24</f>
        <v>0</v>
      </c>
      <c r="G24" s="16">
        <f>'CFS (F1Q23)'!G24-'CFS (F4Q2022)'!G24</f>
        <v>0</v>
      </c>
      <c r="H24" s="17">
        <f>'CFS (F1Q23)'!H24-'CFS (F4Q2022)'!H24</f>
        <v>0</v>
      </c>
      <c r="I24" s="16">
        <f>'CFS (F1Q23)'!I24-'CFS (F4Q2022)'!I24</f>
        <v>0</v>
      </c>
      <c r="J24" s="16">
        <f>'CFS (F1Q23)'!J24-'CFS (F4Q2022)'!J24</f>
        <v>0</v>
      </c>
      <c r="K24" s="16">
        <f>'CFS (F1Q23)'!K24-'CFS (F4Q2022)'!K24</f>
        <v>0</v>
      </c>
      <c r="L24" s="16">
        <f>'CFS (F1Q23)'!L24-'CFS (F4Q2022)'!L24</f>
        <v>0</v>
      </c>
      <c r="M24" s="17">
        <f>'CFS (F1Q23)'!M24-'CFS (F4Q2022)'!M24</f>
        <v>0</v>
      </c>
      <c r="N24" s="16">
        <f>'CFS (F1Q23)'!N24-'CFS (F4Q2022)'!N24</f>
        <v>0</v>
      </c>
      <c r="O24" s="16">
        <f>'CFS (F1Q23)'!O24-'CFS (F4Q2022)'!O24</f>
        <v>0</v>
      </c>
      <c r="P24" s="16">
        <f>'CFS (F1Q23)'!P24-'CFS (F4Q2022)'!P24</f>
        <v>0</v>
      </c>
      <c r="Q24" s="16">
        <f>'CFS (F1Q23)'!Q24-'CFS (F4Q2022)'!Q24</f>
        <v>0</v>
      </c>
      <c r="R24" s="17">
        <f>'CFS (F1Q23)'!R24-'CFS (F4Q2022)'!R24</f>
        <v>0</v>
      </c>
      <c r="S24" s="16">
        <f>'CFS (F1Q23)'!S24-'CFS (F4Q2022)'!S24</f>
        <v>0</v>
      </c>
      <c r="T24" s="16">
        <f>'CFS (F1Q23)'!T24-'CFS (F4Q2022)'!T24</f>
        <v>0</v>
      </c>
      <c r="U24" s="16">
        <f>'CFS (F1Q23)'!U24-'CFS (F4Q2022)'!U24</f>
        <v>0</v>
      </c>
      <c r="V24" s="16">
        <f>'CFS (F1Q23)'!V24-'CFS (F4Q2022)'!V24</f>
        <v>0</v>
      </c>
      <c r="W24" s="17">
        <f>'CFS (F1Q23)'!W24-'CFS (F4Q2022)'!W24</f>
        <v>0</v>
      </c>
      <c r="X24" s="16">
        <f>'CFS (F1Q23)'!X24-'CFS (F4Q2022)'!X24</f>
        <v>45.865000120626917</v>
      </c>
      <c r="Y24" s="16">
        <f>'CFS (F1Q23)'!Y24-'CFS (F4Q2022)'!Y24</f>
        <v>-28.704773616358239</v>
      </c>
      <c r="Z24" s="16">
        <f>'CFS (F1Q23)'!Z24-'CFS (F4Q2022)'!Z24</f>
        <v>5.5708287165683714</v>
      </c>
      <c r="AA24" s="16">
        <f>'CFS (F1Q23)'!AA24-'CFS (F4Q2022)'!AA24</f>
        <v>4.7671392622706037</v>
      </c>
      <c r="AB24" s="17">
        <f>'CFS (F1Q23)'!AB24-'CFS (F4Q2022)'!AB24</f>
        <v>27.498194483107653</v>
      </c>
      <c r="AC24" s="16">
        <f>'CFS (F1Q23)'!AC24-'CFS (F4Q2022)'!AC24</f>
        <v>6.1493309270598218</v>
      </c>
      <c r="AD24" s="16">
        <f>'CFS (F1Q23)'!AD24-'CFS (F4Q2022)'!AD24</f>
        <v>0.11272034172714029</v>
      </c>
      <c r="AE24" s="16">
        <f>'CFS (F1Q23)'!AE24-'CFS (F4Q2022)'!AE24</f>
        <v>3.1727067781003768</v>
      </c>
      <c r="AF24" s="16">
        <f>'CFS (F1Q23)'!AF24-'CFS (F4Q2022)'!AF24</f>
        <v>-0.82065757749288082</v>
      </c>
      <c r="AG24" s="17">
        <f>'CFS (F1Q23)'!AG24-'CFS (F4Q2022)'!AG24</f>
        <v>8.6141004693944581</v>
      </c>
      <c r="AH24" s="16">
        <f>'CFS (F1Q23)'!AH24-'CFS (F4Q2022)'!AH24</f>
        <v>2.2034796598664457</v>
      </c>
      <c r="AI24" s="16">
        <f>'CFS (F1Q23)'!AI24-'CFS (F4Q2022)'!AI24</f>
        <v>2.3331769280000287</v>
      </c>
      <c r="AJ24" s="16">
        <f>'CFS (F1Q23)'!AJ24-'CFS (F4Q2022)'!AJ24</f>
        <v>-24.744189170037288</v>
      </c>
      <c r="AK24" s="16">
        <f>'CFS (F1Q23)'!AK24-'CFS (F4Q2022)'!AK24</f>
        <v>-2.0065529636972883</v>
      </c>
      <c r="AL24" s="17">
        <f>'CFS (F1Q23)'!AL24-'CFS (F4Q2022)'!AL24</f>
        <v>-22.214085545868102</v>
      </c>
      <c r="AM24" s="16">
        <f>'CFS (F1Q23)'!AM24-'CFS (F4Q2022)'!AM24</f>
        <v>2.4831750102446222</v>
      </c>
      <c r="AN24" s="16">
        <f>'CFS (F1Q23)'!AN24-'CFS (F4Q2022)'!AN24</f>
        <v>19.311752726599337</v>
      </c>
      <c r="AO24" s="16">
        <f>'CFS (F1Q23)'!AO24-'CFS (F4Q2022)'!AO24</f>
        <v>2.3601467360705897</v>
      </c>
      <c r="AP24" s="16">
        <f>'CFS (F1Q23)'!AP24-'CFS (F4Q2022)'!AP24</f>
        <v>-0.23843123866311089</v>
      </c>
      <c r="AQ24" s="17">
        <f>'CFS (F1Q23)'!AQ24-'CFS (F4Q2022)'!AQ24</f>
        <v>23.916643234251438</v>
      </c>
      <c r="AR24" s="16">
        <f>'CFS (F1Q23)'!AR24-'CFS (F4Q2022)'!AR24</f>
        <v>2.5460032921252775</v>
      </c>
      <c r="AS24" s="16">
        <f>'CFS (F1Q23)'!AS24-'CFS (F4Q2022)'!AS24</f>
        <v>3.2340483137873832</v>
      </c>
      <c r="AT24" s="16">
        <f>'CFS (F1Q23)'!AT24-'CFS (F4Q2022)'!AT24</f>
        <v>2.5775285826298955</v>
      </c>
      <c r="AU24" s="16">
        <f>'CFS (F1Q23)'!AU24-'CFS (F4Q2022)'!AU24</f>
        <v>-0.13963828832322633</v>
      </c>
      <c r="AV24" s="17">
        <f>'CFS (F1Q23)'!AV24-'CFS (F4Q2022)'!AV24</f>
        <v>8.2179419002193299</v>
      </c>
    </row>
    <row r="25" spans="2:48" outlineLevel="1" x14ac:dyDescent="0.3">
      <c r="B25" s="580" t="s">
        <v>283</v>
      </c>
      <c r="C25" s="581"/>
      <c r="D25" s="16">
        <f>'CFS (F1Q23)'!D25-'CFS (F4Q2022)'!D25</f>
        <v>0</v>
      </c>
      <c r="E25" s="16">
        <f>'CFS (F1Q23)'!E25-'CFS (F4Q2022)'!E25</f>
        <v>0</v>
      </c>
      <c r="F25" s="16">
        <f>'CFS (F1Q23)'!F25-'CFS (F4Q2022)'!F25</f>
        <v>0</v>
      </c>
      <c r="G25" s="16">
        <f>'CFS (F1Q23)'!G25-'CFS (F4Q2022)'!G25</f>
        <v>0</v>
      </c>
      <c r="H25" s="169">
        <f>'CFS (F1Q23)'!H25-'CFS (F4Q2022)'!H25</f>
        <v>0</v>
      </c>
      <c r="I25" s="16">
        <f>'CFS (F1Q23)'!I25-'CFS (F4Q2022)'!I25</f>
        <v>0</v>
      </c>
      <c r="J25" s="16">
        <f>'CFS (F1Q23)'!J25-'CFS (F4Q2022)'!J25</f>
        <v>0</v>
      </c>
      <c r="K25" s="16">
        <f>'CFS (F1Q23)'!K25-'CFS (F4Q2022)'!K25</f>
        <v>0</v>
      </c>
      <c r="L25" s="16">
        <f>'CFS (F1Q23)'!L25-'CFS (F4Q2022)'!L25</f>
        <v>0</v>
      </c>
      <c r="M25" s="169">
        <f>'CFS (F1Q23)'!M25-'CFS (F4Q2022)'!M25</f>
        <v>0</v>
      </c>
      <c r="N25" s="16">
        <f>'CFS (F1Q23)'!N25-'CFS (F4Q2022)'!N25</f>
        <v>0</v>
      </c>
      <c r="O25" s="16">
        <f>'CFS (F1Q23)'!O25-'CFS (F4Q2022)'!O25</f>
        <v>0</v>
      </c>
      <c r="P25" s="16">
        <f>'CFS (F1Q23)'!P25-'CFS (F4Q2022)'!P25</f>
        <v>0</v>
      </c>
      <c r="Q25" s="16">
        <f>'CFS (F1Q23)'!Q25-'CFS (F4Q2022)'!Q25</f>
        <v>0</v>
      </c>
      <c r="R25" s="169">
        <f>'CFS (F1Q23)'!R25-'CFS (F4Q2022)'!R25</f>
        <v>0</v>
      </c>
      <c r="S25" s="16">
        <f>'CFS (F1Q23)'!S25-'CFS (F4Q2022)'!S25</f>
        <v>0</v>
      </c>
      <c r="T25" s="16">
        <f>'CFS (F1Q23)'!T25-'CFS (F4Q2022)'!T25</f>
        <v>0</v>
      </c>
      <c r="U25" s="16">
        <f>'CFS (F1Q23)'!U25-'CFS (F4Q2022)'!U25</f>
        <v>0</v>
      </c>
      <c r="V25" s="16">
        <f>'CFS (F1Q23)'!V25-'CFS (F4Q2022)'!V25</f>
        <v>0</v>
      </c>
      <c r="W25" s="169">
        <f>'CFS (F1Q23)'!W25-'CFS (F4Q2022)'!W25</f>
        <v>0</v>
      </c>
      <c r="X25" s="16">
        <f>'CFS (F1Q23)'!X25-'CFS (F4Q2022)'!X25</f>
        <v>89.582462195441053</v>
      </c>
      <c r="Y25" s="16">
        <f>'CFS (F1Q23)'!Y25-'CFS (F4Q2022)'!Y25</f>
        <v>-28.081033053279839</v>
      </c>
      <c r="Z25" s="16">
        <f>'CFS (F1Q23)'!Z25-'CFS (F4Q2022)'!Z25</f>
        <v>-31.437133988101891</v>
      </c>
      <c r="AA25" s="16">
        <f>'CFS (F1Q23)'!AA25-'CFS (F4Q2022)'!AA25</f>
        <v>-32.937055909537889</v>
      </c>
      <c r="AB25" s="418">
        <f>'CFS (F1Q23)'!AB25-'CFS (F4Q2022)'!AB25</f>
        <v>-2.872760755478339</v>
      </c>
      <c r="AC25" s="16">
        <f>'CFS (F1Q23)'!AC25-'CFS (F4Q2022)'!AC25</f>
        <v>4.2570256458751601</v>
      </c>
      <c r="AD25" s="16">
        <f>'CFS (F1Q23)'!AD25-'CFS (F4Q2022)'!AD25</f>
        <v>1.0515599217523004</v>
      </c>
      <c r="AE25" s="16">
        <f>'CFS (F1Q23)'!AE25-'CFS (F4Q2022)'!AE25</f>
        <v>1.1003830419278984</v>
      </c>
      <c r="AF25" s="16">
        <f>'CFS (F1Q23)'!AF25-'CFS (F4Q2022)'!AF25</f>
        <v>1.2846759083504367</v>
      </c>
      <c r="AG25" s="418">
        <f>'CFS (F1Q23)'!AG25-'CFS (F4Q2022)'!AG25</f>
        <v>7.6936445179057955</v>
      </c>
      <c r="AH25" s="16">
        <f>'CFS (F1Q23)'!AH25-'CFS (F4Q2022)'!AH25</f>
        <v>5.2093929178483904</v>
      </c>
      <c r="AI25" s="16">
        <f>'CFS (F1Q23)'!AI25-'CFS (F4Q2022)'!AI25</f>
        <v>0.99104854747463378</v>
      </c>
      <c r="AJ25" s="16">
        <f>'CFS (F1Q23)'!AJ25-'CFS (F4Q2022)'!AJ25</f>
        <v>1.037086119145556</v>
      </c>
      <c r="AK25" s="16">
        <f>'CFS (F1Q23)'!AK25-'CFS (F4Q2022)'!AK25</f>
        <v>1.2106247743548693</v>
      </c>
      <c r="AL25" s="418">
        <f>'CFS (F1Q23)'!AL25-'CFS (F4Q2022)'!AL25</f>
        <v>8.4481523588228811</v>
      </c>
      <c r="AM25" s="16">
        <f>'CFS (F1Q23)'!AM25-'CFS (F4Q2022)'!AM25</f>
        <v>6.899188891295239</v>
      </c>
      <c r="AN25" s="16">
        <f>'CFS (F1Q23)'!AN25-'CFS (F4Q2022)'!AN25</f>
        <v>1.0406009748483029</v>
      </c>
      <c r="AO25" s="16">
        <f>'CFS (F1Q23)'!AO25-'CFS (F4Q2022)'!AO25</f>
        <v>1.0889404251029191</v>
      </c>
      <c r="AP25" s="16">
        <f>'CFS (F1Q23)'!AP25-'CFS (F4Q2022)'!AP25</f>
        <v>1.2711560130726411</v>
      </c>
      <c r="AQ25" s="17">
        <f>'CFS (F1Q23)'!AQ25-'CFS (F4Q2022)'!AQ25</f>
        <v>10.299886304319443</v>
      </c>
      <c r="AR25" s="16">
        <f>'CFS (F1Q23)'!AR25-'CFS (F4Q2022)'!AR25</f>
        <v>7.8704264641554573</v>
      </c>
      <c r="AS25" s="16">
        <f>'CFS (F1Q23)'!AS25-'CFS (F4Q2022)'!AS25</f>
        <v>1.0718190040939817</v>
      </c>
      <c r="AT25" s="16">
        <f>'CFS (F1Q23)'!AT25-'CFS (F4Q2022)'!AT25</f>
        <v>1.121608637855843</v>
      </c>
      <c r="AU25" s="16">
        <f>'CFS (F1Q23)'!AU25-'CFS (F4Q2022)'!AU25</f>
        <v>1.3092906934648454</v>
      </c>
      <c r="AV25" s="17">
        <f>'CFS (F1Q23)'!AV25-'CFS (F4Q2022)'!AV25</f>
        <v>11.373144799570127</v>
      </c>
    </row>
    <row r="26" spans="2:48" ht="16.2" outlineLevel="1" x14ac:dyDescent="0.45">
      <c r="B26" s="580" t="s">
        <v>284</v>
      </c>
      <c r="C26" s="581"/>
      <c r="D26" s="260">
        <f>'CFS (F1Q23)'!D26-'CFS (F4Q2022)'!D26</f>
        <v>0</v>
      </c>
      <c r="E26" s="260">
        <f>'CFS (F1Q23)'!E26-'CFS (F4Q2022)'!E26</f>
        <v>0</v>
      </c>
      <c r="F26" s="260">
        <f>'CFS (F1Q23)'!F26-'CFS (F4Q2022)'!F26</f>
        <v>0</v>
      </c>
      <c r="G26" s="260">
        <f>'CFS (F1Q23)'!G26-'CFS (F4Q2022)'!G26</f>
        <v>0</v>
      </c>
      <c r="H26" s="261">
        <f>'CFS (F1Q23)'!H26-'CFS (F4Q2022)'!H26</f>
        <v>0</v>
      </c>
      <c r="I26" s="260">
        <f>'CFS (F1Q23)'!I26-'CFS (F4Q2022)'!I26</f>
        <v>0</v>
      </c>
      <c r="J26" s="260">
        <f>'CFS (F1Q23)'!J26-'CFS (F4Q2022)'!J26</f>
        <v>0</v>
      </c>
      <c r="K26" s="260">
        <f>'CFS (F1Q23)'!K26-'CFS (F4Q2022)'!K26</f>
        <v>0</v>
      </c>
      <c r="L26" s="260">
        <f>'CFS (F1Q23)'!L26-'CFS (F4Q2022)'!L26</f>
        <v>0</v>
      </c>
      <c r="M26" s="261">
        <f>'CFS (F1Q23)'!M26-'CFS (F4Q2022)'!M26</f>
        <v>0</v>
      </c>
      <c r="N26" s="260">
        <f>'CFS (F1Q23)'!N26-'CFS (F4Q2022)'!N26</f>
        <v>0</v>
      </c>
      <c r="O26" s="260">
        <f>'CFS (F1Q23)'!O26-'CFS (F4Q2022)'!O26</f>
        <v>0</v>
      </c>
      <c r="P26" s="260">
        <f>'CFS (F1Q23)'!P26-'CFS (F4Q2022)'!P26</f>
        <v>0</v>
      </c>
      <c r="Q26" s="260">
        <f>'CFS (F1Q23)'!Q26-'CFS (F4Q2022)'!Q26</f>
        <v>0</v>
      </c>
      <c r="R26" s="261">
        <f>'CFS (F1Q23)'!R26-'CFS (F4Q2022)'!R26</f>
        <v>0</v>
      </c>
      <c r="S26" s="260">
        <f>'CFS (F1Q23)'!S26-'CFS (F4Q2022)'!S26</f>
        <v>0</v>
      </c>
      <c r="T26" s="260">
        <f>'CFS (F1Q23)'!T26-'CFS (F4Q2022)'!T26</f>
        <v>0</v>
      </c>
      <c r="U26" s="260">
        <f>'CFS (F1Q23)'!U26-'CFS (F4Q2022)'!U26</f>
        <v>0</v>
      </c>
      <c r="V26" s="260">
        <f>'CFS (F1Q23)'!V26-'CFS (F4Q2022)'!V26</f>
        <v>0</v>
      </c>
      <c r="W26" s="261">
        <f>'CFS (F1Q23)'!W26-'CFS (F4Q2022)'!W26</f>
        <v>0</v>
      </c>
      <c r="X26" s="260">
        <f>'CFS (F1Q23)'!X26-'CFS (F4Q2022)'!X26</f>
        <v>-6.9504307738405995</v>
      </c>
      <c r="Y26" s="260">
        <f>'CFS (F1Q23)'!Y26-'CFS (F4Q2022)'!Y26</f>
        <v>-5.2852690569157517</v>
      </c>
      <c r="Z26" s="260">
        <f>'CFS (F1Q23)'!Z26-'CFS (F4Q2022)'!Z26</f>
        <v>4.9887342650727931</v>
      </c>
      <c r="AA26" s="260">
        <f>'CFS (F1Q23)'!AA26-'CFS (F4Q2022)'!AA26</f>
        <v>2.8609414635940169</v>
      </c>
      <c r="AB26" s="261">
        <f>'CFS (F1Q23)'!AB26-'CFS (F4Q2022)'!AB26</f>
        <v>-4.3860241020895412</v>
      </c>
      <c r="AC26" s="260">
        <f>'CFS (F1Q23)'!AC26-'CFS (F4Q2022)'!AC26</f>
        <v>5.0334042768450615</v>
      </c>
      <c r="AD26" s="260">
        <f>'CFS (F1Q23)'!AD26-'CFS (F4Q2022)'!AD26</f>
        <v>5.3584506848184645</v>
      </c>
      <c r="AE26" s="260">
        <f>'CFS (F1Q23)'!AE26-'CFS (F4Q2022)'!AE26</f>
        <v>3.1963139550356772</v>
      </c>
      <c r="AF26" s="260">
        <f>'CFS (F1Q23)'!AF26-'CFS (F4Q2022)'!AF26</f>
        <v>-0.98652733244760782</v>
      </c>
      <c r="AG26" s="261">
        <f>'CFS (F1Q23)'!AG26-'CFS (F4Q2022)'!AG26</f>
        <v>12.601641584251595</v>
      </c>
      <c r="AH26" s="260">
        <f>'CFS (F1Q23)'!AH26-'CFS (F4Q2022)'!AH26</f>
        <v>3.6150612408567611</v>
      </c>
      <c r="AI26" s="260">
        <f>'CFS (F1Q23)'!AI26-'CFS (F4Q2022)'!AI26</f>
        <v>3.6868155313647861</v>
      </c>
      <c r="AJ26" s="260">
        <f>'CFS (F1Q23)'!AJ26-'CFS (F4Q2022)'!AJ26</f>
        <v>-27.1751219035106</v>
      </c>
      <c r="AK26" s="260">
        <f>'CFS (F1Q23)'!AK26-'CFS (F4Q2022)'!AK26</f>
        <v>-5.1006228496801214</v>
      </c>
      <c r="AL26" s="261">
        <f>'CFS (F1Q23)'!AL26-'CFS (F4Q2022)'!AL26</f>
        <v>-24.973867980969175</v>
      </c>
      <c r="AM26" s="260">
        <f>'CFS (F1Q23)'!AM26-'CFS (F4Q2022)'!AM26</f>
        <v>3.7956098252113435</v>
      </c>
      <c r="AN26" s="260">
        <f>'CFS (F1Q23)'!AN26-'CFS (F4Q2022)'!AN26</f>
        <v>22.020050974870379</v>
      </c>
      <c r="AO26" s="260">
        <f>'CFS (F1Q23)'!AO26-'CFS (F4Q2022)'!AO26</f>
        <v>3.3840492846499259</v>
      </c>
      <c r="AP26" s="260">
        <f>'CFS (F1Q23)'!AP26-'CFS (F4Q2022)'!AP26</f>
        <v>0.25079217571910561</v>
      </c>
      <c r="AQ26" s="261">
        <f>'CFS (F1Q23)'!AQ26-'CFS (F4Q2022)'!AQ26</f>
        <v>29.450502260450754</v>
      </c>
      <c r="AR26" s="260">
        <f>'CFS (F1Q23)'!AR26-'CFS (F4Q2022)'!AR26</f>
        <v>3.8832557374947356</v>
      </c>
      <c r="AS26" s="260">
        <f>'CFS (F1Q23)'!AS26-'CFS (F4Q2022)'!AS26</f>
        <v>3.7822043894158952</v>
      </c>
      <c r="AT26" s="260">
        <f>'CFS (F1Q23)'!AT26-'CFS (F4Q2022)'!AT26</f>
        <v>3.6971782704738736</v>
      </c>
      <c r="AU26" s="260">
        <f>'CFS (F1Q23)'!AU26-'CFS (F4Q2022)'!AU26</f>
        <v>0.37605324413791053</v>
      </c>
      <c r="AV26" s="261">
        <f>'CFS (F1Q23)'!AV26-'CFS (F4Q2022)'!AV26</f>
        <v>11.738691641522419</v>
      </c>
    </row>
    <row r="27" spans="2:48" outlineLevel="1" x14ac:dyDescent="0.3">
      <c r="B27" s="587" t="s">
        <v>285</v>
      </c>
      <c r="C27" s="588"/>
      <c r="D27" s="21">
        <f>'CFS (F1Q23)'!D27-'CFS (F4Q2022)'!D27</f>
        <v>0</v>
      </c>
      <c r="E27" s="21">
        <f>'CFS (F1Q23)'!E27-'CFS (F4Q2022)'!E27</f>
        <v>0</v>
      </c>
      <c r="F27" s="21">
        <f>'CFS (F1Q23)'!F27-'CFS (F4Q2022)'!F27</f>
        <v>0</v>
      </c>
      <c r="G27" s="21">
        <f>'CFS (F1Q23)'!G27-'CFS (F4Q2022)'!G27</f>
        <v>0</v>
      </c>
      <c r="H27" s="22">
        <f>'CFS (F1Q23)'!H27-'CFS (F4Q2022)'!H27</f>
        <v>0</v>
      </c>
      <c r="I27" s="21">
        <f>'CFS (F1Q23)'!I27-'CFS (F4Q2022)'!I27</f>
        <v>0</v>
      </c>
      <c r="J27" s="21">
        <f>'CFS (F1Q23)'!J27-'CFS (F4Q2022)'!J27</f>
        <v>0</v>
      </c>
      <c r="K27" s="21">
        <f>'CFS (F1Q23)'!K27-'CFS (F4Q2022)'!K27</f>
        <v>0</v>
      </c>
      <c r="L27" s="21">
        <f>'CFS (F1Q23)'!L27-'CFS (F4Q2022)'!L27</f>
        <v>0</v>
      </c>
      <c r="M27" s="22">
        <f>'CFS (F1Q23)'!M27-'CFS (F4Q2022)'!M27</f>
        <v>0</v>
      </c>
      <c r="N27" s="21">
        <f>'CFS (F1Q23)'!N27-'CFS (F4Q2022)'!N27</f>
        <v>0</v>
      </c>
      <c r="O27" s="21">
        <f>'CFS (F1Q23)'!O27-'CFS (F4Q2022)'!O27</f>
        <v>0</v>
      </c>
      <c r="P27" s="21">
        <f>'CFS (F1Q23)'!P27-'CFS (F4Q2022)'!P27</f>
        <v>0</v>
      </c>
      <c r="Q27" s="21">
        <f>'CFS (F1Q23)'!Q27-'CFS (F4Q2022)'!Q27</f>
        <v>0</v>
      </c>
      <c r="R27" s="22">
        <f>'CFS (F1Q23)'!R27-'CFS (F4Q2022)'!R27</f>
        <v>0</v>
      </c>
      <c r="S27" s="21">
        <f>'CFS (F1Q23)'!S27-'CFS (F4Q2022)'!S27</f>
        <v>0</v>
      </c>
      <c r="T27" s="21">
        <f>'CFS (F1Q23)'!T27-'CFS (F4Q2022)'!T27</f>
        <v>0</v>
      </c>
      <c r="U27" s="21">
        <f>'CFS (F1Q23)'!U27-'CFS (F4Q2022)'!U27</f>
        <v>0</v>
      </c>
      <c r="V27" s="21">
        <f>'CFS (F1Q23)'!V27-'CFS (F4Q2022)'!V27</f>
        <v>0</v>
      </c>
      <c r="W27" s="22">
        <f>'CFS (F1Q23)'!W27-'CFS (F4Q2022)'!W27</f>
        <v>0</v>
      </c>
      <c r="X27" s="21">
        <f>'CFS (F1Q23)'!X27-'CFS (F4Q2022)'!X27</f>
        <v>128.49703154222732</v>
      </c>
      <c r="Y27" s="21">
        <f>'CFS (F1Q23)'!Y27-'CFS (F4Q2022)'!Y27</f>
        <v>-62.071075726553886</v>
      </c>
      <c r="Z27" s="21">
        <f>'CFS (F1Q23)'!Z27-'CFS (F4Q2022)'!Z27</f>
        <v>-20.877571006460812</v>
      </c>
      <c r="AA27" s="21">
        <f>'CFS (F1Q23)'!AA27-'CFS (F4Q2022)'!AA27</f>
        <v>-25.308975183673283</v>
      </c>
      <c r="AB27" s="22">
        <f>'CFS (F1Q23)'!AB27-'CFS (F4Q2022)'!AB27</f>
        <v>20.239409625539793</v>
      </c>
      <c r="AC27" s="21">
        <f>'CFS (F1Q23)'!AC27-'CFS (F4Q2022)'!AC27</f>
        <v>15.4397608497801</v>
      </c>
      <c r="AD27" s="21">
        <f>'CFS (F1Q23)'!AD27-'CFS (F4Q2022)'!AD27</f>
        <v>6.5227309482978626</v>
      </c>
      <c r="AE27" s="21">
        <f>'CFS (F1Q23)'!AE27-'CFS (F4Q2022)'!AE27</f>
        <v>7.4694037750640518</v>
      </c>
      <c r="AF27" s="21">
        <f>'CFS (F1Q23)'!AF27-'CFS (F4Q2022)'!AF27</f>
        <v>-0.52250900158992408</v>
      </c>
      <c r="AG27" s="22">
        <f>'CFS (F1Q23)'!AG27-'CFS (F4Q2022)'!AG27</f>
        <v>28.909386571552204</v>
      </c>
      <c r="AH27" s="21">
        <f>'CFS (F1Q23)'!AH27-'CFS (F4Q2022)'!AH27</f>
        <v>11.027933818571569</v>
      </c>
      <c r="AI27" s="21">
        <f>'CFS (F1Q23)'!AI27-'CFS (F4Q2022)'!AI27</f>
        <v>7.0110410068394913</v>
      </c>
      <c r="AJ27" s="21">
        <f>'CFS (F1Q23)'!AJ27-'CFS (F4Q2022)'!AJ27</f>
        <v>-50.882224954402318</v>
      </c>
      <c r="AK27" s="21">
        <f>'CFS (F1Q23)'!AK27-'CFS (F4Q2022)'!AK27</f>
        <v>-5.8965510390225973</v>
      </c>
      <c r="AL27" s="22">
        <f>'CFS (F1Q23)'!AL27-'CFS (F4Q2022)'!AL27</f>
        <v>-38.739801168014765</v>
      </c>
      <c r="AM27" s="21">
        <f>'CFS (F1Q23)'!AM27-'CFS (F4Q2022)'!AM27</f>
        <v>13.177973726751247</v>
      </c>
      <c r="AN27" s="21">
        <f>'CFS (F1Q23)'!AN27-'CFS (F4Q2022)'!AN27</f>
        <v>42.372404676317956</v>
      </c>
      <c r="AO27" s="21">
        <f>'CFS (F1Q23)'!AO27-'CFS (F4Q2022)'!AO27</f>
        <v>6.8331364458233566</v>
      </c>
      <c r="AP27" s="21">
        <f>'CFS (F1Q23)'!AP27-'CFS (F4Q2022)'!AP27</f>
        <v>1.2835169501286146</v>
      </c>
      <c r="AQ27" s="22">
        <f>'CFS (F1Q23)'!AQ27-'CFS (F4Q2022)'!AQ27</f>
        <v>63.667031799021515</v>
      </c>
      <c r="AR27" s="21">
        <f>'CFS (F1Q23)'!AR27-'CFS (F4Q2022)'!AR27</f>
        <v>14.299685493775428</v>
      </c>
      <c r="AS27" s="21">
        <f>'CFS (F1Q23)'!AS27-'CFS (F4Q2022)'!AS27</f>
        <v>8.0880717072972175</v>
      </c>
      <c r="AT27" s="21">
        <f>'CFS (F1Q23)'!AT27-'CFS (F4Q2022)'!AT27</f>
        <v>7.3963154909595232</v>
      </c>
      <c r="AU27" s="21">
        <f>'CFS (F1Q23)'!AU27-'CFS (F4Q2022)'!AU27</f>
        <v>1.5457056492793981</v>
      </c>
      <c r="AV27" s="22">
        <f>'CFS (F1Q23)'!AV27-'CFS (F4Q2022)'!AV27</f>
        <v>31.329778341311794</v>
      </c>
    </row>
    <row r="28" spans="2:48" outlineLevel="1" x14ac:dyDescent="0.3">
      <c r="B28" s="625" t="s">
        <v>286</v>
      </c>
      <c r="C28" s="626"/>
      <c r="D28" s="321">
        <f>'CFS (F1Q23)'!D28-'CFS (F4Q2022)'!D28</f>
        <v>0</v>
      </c>
      <c r="E28" s="323">
        <f>'CFS (F1Q23)'!E28-'CFS (F4Q2022)'!E28</f>
        <v>0</v>
      </c>
      <c r="F28" s="323">
        <f>'CFS (F1Q23)'!F28-'CFS (F4Q2022)'!F28</f>
        <v>0</v>
      </c>
      <c r="G28" s="323">
        <f>'CFS (F1Q23)'!G28-'CFS (F4Q2022)'!G28</f>
        <v>0</v>
      </c>
      <c r="H28" s="324">
        <f>'CFS (F1Q23)'!H28-'CFS (F4Q2022)'!H28</f>
        <v>0</v>
      </c>
      <c r="I28" s="323">
        <f>'CFS (F1Q23)'!I28-'CFS (F4Q2022)'!I28</f>
        <v>0</v>
      </c>
      <c r="J28" s="323">
        <f>'CFS (F1Q23)'!J28-'CFS (F4Q2022)'!J28</f>
        <v>0</v>
      </c>
      <c r="K28" s="323">
        <f>'CFS (F1Q23)'!K28-'CFS (F4Q2022)'!K28</f>
        <v>0</v>
      </c>
      <c r="L28" s="323">
        <f>'CFS (F1Q23)'!L28-'CFS (F4Q2022)'!L28</f>
        <v>0</v>
      </c>
      <c r="M28" s="324">
        <f>'CFS (F1Q23)'!M28-'CFS (F4Q2022)'!M28</f>
        <v>0</v>
      </c>
      <c r="N28" s="323">
        <f>'CFS (F1Q23)'!N28-'CFS (F4Q2022)'!N28</f>
        <v>0</v>
      </c>
      <c r="O28" s="323">
        <f>'CFS (F1Q23)'!O28-'CFS (F4Q2022)'!O28</f>
        <v>0</v>
      </c>
      <c r="P28" s="323">
        <f>'CFS (F1Q23)'!P28-'CFS (F4Q2022)'!P28</f>
        <v>0</v>
      </c>
      <c r="Q28" s="323">
        <f>'CFS (F1Q23)'!Q28-'CFS (F4Q2022)'!Q28</f>
        <v>0</v>
      </c>
      <c r="R28" s="324">
        <f>'CFS (F1Q23)'!R28-'CFS (F4Q2022)'!R28</f>
        <v>0</v>
      </c>
      <c r="S28" s="323">
        <f>'CFS (F1Q23)'!S28-'CFS (F4Q2022)'!S28</f>
        <v>0</v>
      </c>
      <c r="T28" s="323">
        <f>'CFS (F1Q23)'!T28-'CFS (F4Q2022)'!T28</f>
        <v>0</v>
      </c>
      <c r="U28" s="323">
        <f>'CFS (F1Q23)'!U28-'CFS (F4Q2022)'!U28</f>
        <v>0</v>
      </c>
      <c r="V28" s="323">
        <f>'CFS (F1Q23)'!V28-'CFS (F4Q2022)'!V28</f>
        <v>0</v>
      </c>
      <c r="W28" s="324">
        <f>'CFS (F1Q23)'!W28-'CFS (F4Q2022)'!W28</f>
        <v>0</v>
      </c>
      <c r="X28" s="323">
        <f>'CFS (F1Q23)'!X28-'CFS (F4Q2022)'!X28</f>
        <v>0</v>
      </c>
      <c r="Y28" s="323">
        <f>'CFS (F1Q23)'!Y28-'CFS (F4Q2022)'!Y28</f>
        <v>0</v>
      </c>
      <c r="Z28" s="323">
        <f>'CFS (F1Q23)'!Z28-'CFS (F4Q2022)'!Z28</f>
        <v>0</v>
      </c>
      <c r="AA28" s="323">
        <f>'CFS (F1Q23)'!AA28-'CFS (F4Q2022)'!AA28</f>
        <v>0</v>
      </c>
      <c r="AB28" s="324">
        <f>'CFS (F1Q23)'!AB28-'CFS (F4Q2022)'!AB28</f>
        <v>0</v>
      </c>
      <c r="AC28" s="323">
        <f>'CFS (F1Q23)'!AC28-'CFS (F4Q2022)'!AC28</f>
        <v>0</v>
      </c>
      <c r="AD28" s="323">
        <f>'CFS (F1Q23)'!AD28-'CFS (F4Q2022)'!AD28</f>
        <v>0</v>
      </c>
      <c r="AE28" s="323">
        <f>'CFS (F1Q23)'!AE28-'CFS (F4Q2022)'!AE28</f>
        <v>0</v>
      </c>
      <c r="AF28" s="323">
        <f>'CFS (F1Q23)'!AF28-'CFS (F4Q2022)'!AF28</f>
        <v>0</v>
      </c>
      <c r="AG28" s="324">
        <f>'CFS (F1Q23)'!AG28-'CFS (F4Q2022)'!AG28</f>
        <v>0</v>
      </c>
      <c r="AH28" s="323">
        <f>'CFS (F1Q23)'!AH28-'CFS (F4Q2022)'!AH28</f>
        <v>0</v>
      </c>
      <c r="AI28" s="323">
        <f>'CFS (F1Q23)'!AI28-'CFS (F4Q2022)'!AI28</f>
        <v>0</v>
      </c>
      <c r="AJ28" s="323">
        <f>'CFS (F1Q23)'!AJ28-'CFS (F4Q2022)'!AJ28</f>
        <v>0</v>
      </c>
      <c r="AK28" s="323">
        <f>'CFS (F1Q23)'!AK28-'CFS (F4Q2022)'!AK28</f>
        <v>0</v>
      </c>
      <c r="AL28" s="324">
        <f>'CFS (F1Q23)'!AL28-'CFS (F4Q2022)'!AL28</f>
        <v>0</v>
      </c>
      <c r="AM28" s="323">
        <f>'CFS (F1Q23)'!AM28-'CFS (F4Q2022)'!AM28</f>
        <v>0</v>
      </c>
      <c r="AN28" s="323">
        <f>'CFS (F1Q23)'!AN28-'CFS (F4Q2022)'!AN28</f>
        <v>0</v>
      </c>
      <c r="AO28" s="323">
        <f>'CFS (F1Q23)'!AO28-'CFS (F4Q2022)'!AO28</f>
        <v>0</v>
      </c>
      <c r="AP28" s="323">
        <f>'CFS (F1Q23)'!AP28-'CFS (F4Q2022)'!AP28</f>
        <v>0</v>
      </c>
      <c r="AQ28" s="324">
        <f>'CFS (F1Q23)'!AQ28-'CFS (F4Q2022)'!AQ28</f>
        <v>0</v>
      </c>
      <c r="AR28" s="323">
        <f>'CFS (F1Q23)'!AR28-'CFS (F4Q2022)'!AR28</f>
        <v>0</v>
      </c>
      <c r="AS28" s="323">
        <f>'CFS (F1Q23)'!AS28-'CFS (F4Q2022)'!AS28</f>
        <v>0</v>
      </c>
      <c r="AT28" s="323">
        <f>'CFS (F1Q23)'!AT28-'CFS (F4Q2022)'!AT28</f>
        <v>0</v>
      </c>
      <c r="AU28" s="323">
        <f>'CFS (F1Q23)'!AU28-'CFS (F4Q2022)'!AU28</f>
        <v>0</v>
      </c>
      <c r="AV28" s="324">
        <f>'CFS (F1Q23)'!AV28-'CFS (F4Q2022)'!AV28</f>
        <v>0</v>
      </c>
    </row>
    <row r="29" spans="2:48" outlineLevel="1" x14ac:dyDescent="0.3">
      <c r="B29" s="623" t="s">
        <v>263</v>
      </c>
      <c r="C29" s="624"/>
      <c r="D29" s="327">
        <f>'CFS (F1Q23)'!D29-'CFS (F4Q2022)'!D29</f>
        <v>0</v>
      </c>
      <c r="E29" s="327">
        <f>'CFS (F1Q23)'!E29-'CFS (F4Q2022)'!E29</f>
        <v>0</v>
      </c>
      <c r="F29" s="327">
        <f>'CFS (F1Q23)'!F29-'CFS (F4Q2022)'!F29</f>
        <v>0</v>
      </c>
      <c r="G29" s="327">
        <f>'CFS (F1Q23)'!G29-'CFS (F4Q2022)'!G29</f>
        <v>0</v>
      </c>
      <c r="H29" s="328">
        <f>'CFS (F1Q23)'!H29-'CFS (F4Q2022)'!H29</f>
        <v>0</v>
      </c>
      <c r="I29" s="327">
        <f>'CFS (F1Q23)'!I29-'CFS (F4Q2022)'!I29</f>
        <v>0</v>
      </c>
      <c r="J29" s="327">
        <f>'CFS (F1Q23)'!J29-'CFS (F4Q2022)'!J29</f>
        <v>0</v>
      </c>
      <c r="K29" s="327">
        <f>'CFS (F1Q23)'!K29-'CFS (F4Q2022)'!K29</f>
        <v>0</v>
      </c>
      <c r="L29" s="327">
        <f>'CFS (F1Q23)'!L29-'CFS (F4Q2022)'!L29</f>
        <v>0</v>
      </c>
      <c r="M29" s="328">
        <f>'CFS (F1Q23)'!M29-'CFS (F4Q2022)'!M29</f>
        <v>0</v>
      </c>
      <c r="N29" s="327">
        <f>'CFS (F1Q23)'!N29-'CFS (F4Q2022)'!N29</f>
        <v>0</v>
      </c>
      <c r="O29" s="327">
        <f>'CFS (F1Q23)'!O29-'CFS (F4Q2022)'!O29</f>
        <v>0</v>
      </c>
      <c r="P29" s="327">
        <f>'CFS (F1Q23)'!P29-'CFS (F4Q2022)'!P29</f>
        <v>0</v>
      </c>
      <c r="Q29" s="327">
        <f>'CFS (F1Q23)'!Q29-'CFS (F4Q2022)'!Q29</f>
        <v>0</v>
      </c>
      <c r="R29" s="328">
        <f>'CFS (F1Q23)'!R29-'CFS (F4Q2022)'!R29</f>
        <v>0</v>
      </c>
      <c r="S29" s="327">
        <f>'CFS (F1Q23)'!S29-'CFS (F4Q2022)'!S29</f>
        <v>0</v>
      </c>
      <c r="T29" s="327">
        <f>'CFS (F1Q23)'!T29-'CFS (F4Q2022)'!T29</f>
        <v>0</v>
      </c>
      <c r="U29" s="327">
        <f>'CFS (F1Q23)'!U29-'CFS (F4Q2022)'!U29</f>
        <v>0</v>
      </c>
      <c r="V29" s="327">
        <f>'CFS (F1Q23)'!V29-'CFS (F4Q2022)'!V29</f>
        <v>0</v>
      </c>
      <c r="W29" s="328">
        <f>'CFS (F1Q23)'!W29-'CFS (F4Q2022)'!W29</f>
        <v>0</v>
      </c>
      <c r="X29" s="327">
        <f>'CFS (F1Q23)'!X29-'CFS (F4Q2022)'!X29</f>
        <v>0</v>
      </c>
      <c r="Y29" s="327">
        <f>'CFS (F1Q23)'!Y29-'CFS (F4Q2022)'!Y29</f>
        <v>501</v>
      </c>
      <c r="Z29" s="327">
        <f>'CFS (F1Q23)'!Z29-'CFS (F4Q2022)'!Z29</f>
        <v>0</v>
      </c>
      <c r="AA29" s="327">
        <f>'CFS (F1Q23)'!AA29-'CFS (F4Q2022)'!AA29</f>
        <v>0</v>
      </c>
      <c r="AB29" s="328">
        <f>'CFS (F1Q23)'!AB29-'CFS (F4Q2022)'!AB29</f>
        <v>501</v>
      </c>
      <c r="AC29" s="327">
        <f>'CFS (F1Q23)'!AC29-'CFS (F4Q2022)'!AC29</f>
        <v>0</v>
      </c>
      <c r="AD29" s="327">
        <f>'CFS (F1Q23)'!AD29-'CFS (F4Q2022)'!AD29</f>
        <v>0.29999999999995453</v>
      </c>
      <c r="AE29" s="327">
        <f>'CFS (F1Q23)'!AE29-'CFS (F4Q2022)'!AE29</f>
        <v>0</v>
      </c>
      <c r="AF29" s="327">
        <f>'CFS (F1Q23)'!AF29-'CFS (F4Q2022)'!AF29</f>
        <v>100</v>
      </c>
      <c r="AG29" s="328">
        <f>'CFS (F1Q23)'!AG29-'CFS (F4Q2022)'!AG29</f>
        <v>100.29999999999995</v>
      </c>
      <c r="AH29" s="327">
        <f>'CFS (F1Q23)'!AH29-'CFS (F4Q2022)'!AH29</f>
        <v>0</v>
      </c>
      <c r="AI29" s="327">
        <f>'CFS (F1Q23)'!AI29-'CFS (F4Q2022)'!AI29</f>
        <v>0</v>
      </c>
      <c r="AJ29" s="327">
        <f>'CFS (F1Q23)'!AJ29-'CFS (F4Q2022)'!AJ29</f>
        <v>1662.6188026848231</v>
      </c>
      <c r="AK29" s="327">
        <f>'CFS (F1Q23)'!AK29-'CFS (F4Q2022)'!AK29</f>
        <v>0</v>
      </c>
      <c r="AL29" s="328">
        <f>'CFS (F1Q23)'!AL29-'CFS (F4Q2022)'!AL29</f>
        <v>1662.6188026848231</v>
      </c>
      <c r="AM29" s="327">
        <f>'CFS (F1Q23)'!AM29-'CFS (F4Q2022)'!AM29</f>
        <v>0</v>
      </c>
      <c r="AN29" s="327">
        <f>'CFS (F1Q23)'!AN29-'CFS (F4Q2022)'!AN29</f>
        <v>-1000</v>
      </c>
      <c r="AO29" s="327">
        <f>'CFS (F1Q23)'!AO29-'CFS (F4Q2022)'!AO29</f>
        <v>0</v>
      </c>
      <c r="AP29" s="327">
        <f>'CFS (F1Q23)'!AP29-'CFS (F4Q2022)'!AP29</f>
        <v>0</v>
      </c>
      <c r="AQ29" s="328">
        <f>'CFS (F1Q23)'!AQ29-'CFS (F4Q2022)'!AQ29</f>
        <v>-1000</v>
      </c>
      <c r="AR29" s="327">
        <f>'CFS (F1Q23)'!AR29-'CFS (F4Q2022)'!AR29</f>
        <v>0</v>
      </c>
      <c r="AS29" s="327">
        <f>'CFS (F1Q23)'!AS29-'CFS (F4Q2022)'!AS29</f>
        <v>0</v>
      </c>
      <c r="AT29" s="327">
        <f>'CFS (F1Q23)'!AT29-'CFS (F4Q2022)'!AT29</f>
        <v>0</v>
      </c>
      <c r="AU29" s="327">
        <f>'CFS (F1Q23)'!AU29-'CFS (F4Q2022)'!AU29</f>
        <v>0</v>
      </c>
      <c r="AV29" s="328">
        <f>'CFS (F1Q23)'!AV29-'CFS (F4Q2022)'!AV29</f>
        <v>0</v>
      </c>
    </row>
    <row r="30" spans="2:48" outlineLevel="1" x14ac:dyDescent="0.3">
      <c r="B30" s="325" t="s">
        <v>287</v>
      </c>
      <c r="C30" s="326"/>
      <c r="D30" s="327">
        <f>'CFS (F1Q23)'!D30-'CFS (F4Q2022)'!D30</f>
        <v>0</v>
      </c>
      <c r="E30" s="327">
        <f>'CFS (F1Q23)'!E30-'CFS (F4Q2022)'!E30</f>
        <v>0</v>
      </c>
      <c r="F30" s="327">
        <f>'CFS (F1Q23)'!F30-'CFS (F4Q2022)'!F30</f>
        <v>0</v>
      </c>
      <c r="G30" s="327">
        <f>'CFS (F1Q23)'!G30-'CFS (F4Q2022)'!G30</f>
        <v>0</v>
      </c>
      <c r="H30" s="328">
        <f>'CFS (F1Q23)'!H30-'CFS (F4Q2022)'!H30</f>
        <v>0</v>
      </c>
      <c r="I30" s="327">
        <f>'CFS (F1Q23)'!I30-'CFS (F4Q2022)'!I30</f>
        <v>0</v>
      </c>
      <c r="J30" s="327">
        <f>'CFS (F1Q23)'!J30-'CFS (F4Q2022)'!J30</f>
        <v>0</v>
      </c>
      <c r="K30" s="327">
        <f>'CFS (F1Q23)'!K30-'CFS (F4Q2022)'!K30</f>
        <v>0</v>
      </c>
      <c r="L30" s="327">
        <f>'CFS (F1Q23)'!L30-'CFS (F4Q2022)'!L30</f>
        <v>0</v>
      </c>
      <c r="M30" s="328">
        <f>'CFS (F1Q23)'!M30-'CFS (F4Q2022)'!M30</f>
        <v>0</v>
      </c>
      <c r="N30" s="327">
        <f>'CFS (F1Q23)'!N30-'CFS (F4Q2022)'!N30</f>
        <v>0</v>
      </c>
      <c r="O30" s="327">
        <f>'CFS (F1Q23)'!O30-'CFS (F4Q2022)'!O30</f>
        <v>0</v>
      </c>
      <c r="P30" s="327">
        <f>'CFS (F1Q23)'!P30-'CFS (F4Q2022)'!P30</f>
        <v>0</v>
      </c>
      <c r="Q30" s="327">
        <f>'CFS (F1Q23)'!Q30-'CFS (F4Q2022)'!Q30</f>
        <v>0</v>
      </c>
      <c r="R30" s="328">
        <f>'CFS (F1Q23)'!R30-'CFS (F4Q2022)'!R30</f>
        <v>0</v>
      </c>
      <c r="S30" s="327">
        <f>'CFS (F1Q23)'!S30-'CFS (F4Q2022)'!S30</f>
        <v>0</v>
      </c>
      <c r="T30" s="327">
        <f>'CFS (F1Q23)'!T30-'CFS (F4Q2022)'!T30</f>
        <v>0</v>
      </c>
      <c r="U30" s="327">
        <f>'CFS (F1Q23)'!U30-'CFS (F4Q2022)'!U30</f>
        <v>0</v>
      </c>
      <c r="V30" s="327">
        <f>'CFS (F1Q23)'!V30-'CFS (F4Q2022)'!V30</f>
        <v>0</v>
      </c>
      <c r="W30" s="328">
        <f>'CFS (F1Q23)'!W30-'CFS (F4Q2022)'!W30</f>
        <v>0</v>
      </c>
      <c r="X30" s="327">
        <f>'CFS (F1Q23)'!X30-'CFS (F4Q2022)'!X30</f>
        <v>-175</v>
      </c>
      <c r="Y30" s="327">
        <f>'CFS (F1Q23)'!Y30-'CFS (F4Q2022)'!Y30</f>
        <v>0</v>
      </c>
      <c r="Z30" s="327">
        <f>'CFS (F1Q23)'!Z30-'CFS (F4Q2022)'!Z30</f>
        <v>0</v>
      </c>
      <c r="AA30" s="327">
        <f>'CFS (F1Q23)'!AA30-'CFS (F4Q2022)'!AA30</f>
        <v>0</v>
      </c>
      <c r="AB30" s="328">
        <f>'CFS (F1Q23)'!AB30-'CFS (F4Q2022)'!AB30</f>
        <v>-175</v>
      </c>
      <c r="AC30" s="327">
        <f>'CFS (F1Q23)'!AC30-'CFS (F4Q2022)'!AC30</f>
        <v>0</v>
      </c>
      <c r="AD30" s="327">
        <f>'CFS (F1Q23)'!AD30-'CFS (F4Q2022)'!AD30</f>
        <v>0</v>
      </c>
      <c r="AE30" s="327">
        <f>'CFS (F1Q23)'!AE30-'CFS (F4Q2022)'!AE30</f>
        <v>0</v>
      </c>
      <c r="AF30" s="327">
        <f>'CFS (F1Q23)'!AF30-'CFS (F4Q2022)'!AF30</f>
        <v>0</v>
      </c>
      <c r="AG30" s="328">
        <f>'CFS (F1Q23)'!AG30-'CFS (F4Q2022)'!AG30</f>
        <v>0</v>
      </c>
      <c r="AH30" s="327">
        <f>'CFS (F1Q23)'!AH30-'CFS (F4Q2022)'!AH30</f>
        <v>0</v>
      </c>
      <c r="AI30" s="327">
        <f>'CFS (F1Q23)'!AI30-'CFS (F4Q2022)'!AI30</f>
        <v>0</v>
      </c>
      <c r="AJ30" s="327">
        <f>'CFS (F1Q23)'!AJ30-'CFS (F4Q2022)'!AJ30</f>
        <v>0</v>
      </c>
      <c r="AK30" s="327">
        <f>'CFS (F1Q23)'!AK30-'CFS (F4Q2022)'!AK30</f>
        <v>0</v>
      </c>
      <c r="AL30" s="328">
        <f>'CFS (F1Q23)'!AL30-'CFS (F4Q2022)'!AL30</f>
        <v>0</v>
      </c>
      <c r="AM30" s="327">
        <f>'CFS (F1Q23)'!AM30-'CFS (F4Q2022)'!AM30</f>
        <v>0</v>
      </c>
      <c r="AN30" s="327">
        <f>'CFS (F1Q23)'!AN30-'CFS (F4Q2022)'!AN30</f>
        <v>0</v>
      </c>
      <c r="AO30" s="327">
        <f>'CFS (F1Q23)'!AO30-'CFS (F4Q2022)'!AO30</f>
        <v>0</v>
      </c>
      <c r="AP30" s="327">
        <f>'CFS (F1Q23)'!AP30-'CFS (F4Q2022)'!AP30</f>
        <v>0</v>
      </c>
      <c r="AQ30" s="328">
        <f>'CFS (F1Q23)'!AQ30-'CFS (F4Q2022)'!AQ30</f>
        <v>0</v>
      </c>
      <c r="AR30" s="327">
        <f>'CFS (F1Q23)'!AR30-'CFS (F4Q2022)'!AR30</f>
        <v>0</v>
      </c>
      <c r="AS30" s="327">
        <f>'CFS (F1Q23)'!AS30-'CFS (F4Q2022)'!AS30</f>
        <v>0</v>
      </c>
      <c r="AT30" s="327">
        <f>'CFS (F1Q23)'!AT30-'CFS (F4Q2022)'!AT30</f>
        <v>0</v>
      </c>
      <c r="AU30" s="327">
        <f>'CFS (F1Q23)'!AU30-'CFS (F4Q2022)'!AU30</f>
        <v>0</v>
      </c>
      <c r="AV30" s="328">
        <f>'CFS (F1Q23)'!AV30-'CFS (F4Q2022)'!AV30</f>
        <v>0</v>
      </c>
    </row>
    <row r="31" spans="2:48" outlineLevel="1" x14ac:dyDescent="0.3">
      <c r="B31" s="325" t="s">
        <v>288</v>
      </c>
      <c r="C31" s="326"/>
      <c r="D31" s="327">
        <f>'CFS (F1Q23)'!D31-'CFS (F4Q2022)'!D31</f>
        <v>0</v>
      </c>
      <c r="E31" s="327">
        <f>'CFS (F1Q23)'!E31-'CFS (F4Q2022)'!E31</f>
        <v>0</v>
      </c>
      <c r="F31" s="327">
        <f>'CFS (F1Q23)'!F31-'CFS (F4Q2022)'!F31</f>
        <v>0</v>
      </c>
      <c r="G31" s="327">
        <f>'CFS (F1Q23)'!G31-'CFS (F4Q2022)'!G31</f>
        <v>0</v>
      </c>
      <c r="H31" s="328">
        <f>'CFS (F1Q23)'!H31-'CFS (F4Q2022)'!H31</f>
        <v>0</v>
      </c>
      <c r="I31" s="327">
        <f>'CFS (F1Q23)'!I31-'CFS (F4Q2022)'!I31</f>
        <v>0</v>
      </c>
      <c r="J31" s="327">
        <f>'CFS (F1Q23)'!J31-'CFS (F4Q2022)'!J31</f>
        <v>0</v>
      </c>
      <c r="K31" s="327">
        <f>'CFS (F1Q23)'!K31-'CFS (F4Q2022)'!K31</f>
        <v>0</v>
      </c>
      <c r="L31" s="327">
        <f>'CFS (F1Q23)'!L31-'CFS (F4Q2022)'!L31</f>
        <v>0</v>
      </c>
      <c r="M31" s="328">
        <f>'CFS (F1Q23)'!M31-'CFS (F4Q2022)'!M31</f>
        <v>0</v>
      </c>
      <c r="N31" s="327">
        <f>'CFS (F1Q23)'!N31-'CFS (F4Q2022)'!N31</f>
        <v>0</v>
      </c>
      <c r="O31" s="327">
        <f>'CFS (F1Q23)'!O31-'CFS (F4Q2022)'!O31</f>
        <v>0</v>
      </c>
      <c r="P31" s="327">
        <f>'CFS (F1Q23)'!P31-'CFS (F4Q2022)'!P31</f>
        <v>0</v>
      </c>
      <c r="Q31" s="327">
        <f>'CFS (F1Q23)'!Q31-'CFS (F4Q2022)'!Q31</f>
        <v>0</v>
      </c>
      <c r="R31" s="328">
        <f>'CFS (F1Q23)'!R31-'CFS (F4Q2022)'!R31</f>
        <v>0</v>
      </c>
      <c r="S31" s="327">
        <f>'CFS (F1Q23)'!S31-'CFS (F4Q2022)'!S31</f>
        <v>0</v>
      </c>
      <c r="T31" s="327">
        <f>'CFS (F1Q23)'!T31-'CFS (F4Q2022)'!T31</f>
        <v>0</v>
      </c>
      <c r="U31" s="327">
        <f>'CFS (F1Q23)'!U31-'CFS (F4Q2022)'!U31</f>
        <v>0</v>
      </c>
      <c r="V31" s="327">
        <f>'CFS (F1Q23)'!V31-'CFS (F4Q2022)'!V31</f>
        <v>0</v>
      </c>
      <c r="W31" s="328">
        <f>'CFS (F1Q23)'!W31-'CFS (F4Q2022)'!W31</f>
        <v>0</v>
      </c>
      <c r="X31" s="327">
        <f>'CFS (F1Q23)'!X31-'CFS (F4Q2022)'!X31</f>
        <v>0</v>
      </c>
      <c r="Y31" s="327">
        <f>'CFS (F1Q23)'!Y31-'CFS (F4Q2022)'!Y31</f>
        <v>0</v>
      </c>
      <c r="Z31" s="327">
        <f>'CFS (F1Q23)'!Z31-'CFS (F4Q2022)'!Z31</f>
        <v>0</v>
      </c>
      <c r="AA31" s="327">
        <f>'CFS (F1Q23)'!AA31-'CFS (F4Q2022)'!AA31</f>
        <v>0</v>
      </c>
      <c r="AB31" s="328">
        <f>'CFS (F1Q23)'!AB31-'CFS (F4Q2022)'!AB31</f>
        <v>0</v>
      </c>
      <c r="AC31" s="327">
        <f>'CFS (F1Q23)'!AC31-'CFS (F4Q2022)'!AC31</f>
        <v>0</v>
      </c>
      <c r="AD31" s="327">
        <f>'CFS (F1Q23)'!AD31-'CFS (F4Q2022)'!AD31</f>
        <v>0</v>
      </c>
      <c r="AE31" s="327">
        <f>'CFS (F1Q23)'!AE31-'CFS (F4Q2022)'!AE31</f>
        <v>0</v>
      </c>
      <c r="AF31" s="327">
        <f>'CFS (F1Q23)'!AF31-'CFS (F4Q2022)'!AF31</f>
        <v>0</v>
      </c>
      <c r="AG31" s="328">
        <f>'CFS (F1Q23)'!AG31-'CFS (F4Q2022)'!AG31</f>
        <v>0</v>
      </c>
      <c r="AH31" s="327">
        <f>'CFS (F1Q23)'!AH31-'CFS (F4Q2022)'!AH31</f>
        <v>0</v>
      </c>
      <c r="AI31" s="327">
        <f>'CFS (F1Q23)'!AI31-'CFS (F4Q2022)'!AI31</f>
        <v>0</v>
      </c>
      <c r="AJ31" s="327">
        <f>'CFS (F1Q23)'!AJ31-'CFS (F4Q2022)'!AJ31</f>
        <v>0</v>
      </c>
      <c r="AK31" s="327">
        <f>'CFS (F1Q23)'!AK31-'CFS (F4Q2022)'!AK31</f>
        <v>0</v>
      </c>
      <c r="AL31" s="328">
        <f>'CFS (F1Q23)'!AL31-'CFS (F4Q2022)'!AL31</f>
        <v>0</v>
      </c>
      <c r="AM31" s="327">
        <f>'CFS (F1Q23)'!AM31-'CFS (F4Q2022)'!AM31</f>
        <v>0</v>
      </c>
      <c r="AN31" s="327">
        <f>'CFS (F1Q23)'!AN31-'CFS (F4Q2022)'!AN31</f>
        <v>0</v>
      </c>
      <c r="AO31" s="327">
        <f>'CFS (F1Q23)'!AO31-'CFS (F4Q2022)'!AO31</f>
        <v>0</v>
      </c>
      <c r="AP31" s="327">
        <f>'CFS (F1Q23)'!AP31-'CFS (F4Q2022)'!AP31</f>
        <v>0</v>
      </c>
      <c r="AQ31" s="328">
        <f>'CFS (F1Q23)'!AQ31-'CFS (F4Q2022)'!AQ31</f>
        <v>0</v>
      </c>
      <c r="AR31" s="327">
        <f>'CFS (F1Q23)'!AR31-'CFS (F4Q2022)'!AR31</f>
        <v>0</v>
      </c>
      <c r="AS31" s="327">
        <f>'CFS (F1Q23)'!AS31-'CFS (F4Q2022)'!AS31</f>
        <v>0</v>
      </c>
      <c r="AT31" s="327">
        <f>'CFS (F1Q23)'!AT31-'CFS (F4Q2022)'!AT31</f>
        <v>0</v>
      </c>
      <c r="AU31" s="327">
        <f>'CFS (F1Q23)'!AU31-'CFS (F4Q2022)'!AU31</f>
        <v>0</v>
      </c>
      <c r="AV31" s="328">
        <f>'CFS (F1Q23)'!AV31-'CFS (F4Q2022)'!AV31</f>
        <v>0</v>
      </c>
    </row>
    <row r="32" spans="2:48" outlineLevel="1" x14ac:dyDescent="0.3">
      <c r="B32" s="325" t="s">
        <v>289</v>
      </c>
      <c r="C32" s="326"/>
      <c r="D32" s="327">
        <f>'CFS (F1Q23)'!D32-'CFS (F4Q2022)'!D32</f>
        <v>0</v>
      </c>
      <c r="E32" s="327">
        <f>'CFS (F1Q23)'!E32-'CFS (F4Q2022)'!E32</f>
        <v>0</v>
      </c>
      <c r="F32" s="327">
        <f>'CFS (F1Q23)'!F32-'CFS (F4Q2022)'!F32</f>
        <v>0</v>
      </c>
      <c r="G32" s="327">
        <f>'CFS (F1Q23)'!G32-'CFS (F4Q2022)'!G32</f>
        <v>0</v>
      </c>
      <c r="H32" s="328">
        <f>'CFS (F1Q23)'!H32-'CFS (F4Q2022)'!H32</f>
        <v>0</v>
      </c>
      <c r="I32" s="327">
        <f>'CFS (F1Q23)'!I32-'CFS (F4Q2022)'!I32</f>
        <v>0</v>
      </c>
      <c r="J32" s="327">
        <f>'CFS (F1Q23)'!J32-'CFS (F4Q2022)'!J32</f>
        <v>0</v>
      </c>
      <c r="K32" s="327">
        <f>'CFS (F1Q23)'!K32-'CFS (F4Q2022)'!K32</f>
        <v>0</v>
      </c>
      <c r="L32" s="327">
        <f>'CFS (F1Q23)'!L32-'CFS (F4Q2022)'!L32</f>
        <v>0</v>
      </c>
      <c r="M32" s="328">
        <f>'CFS (F1Q23)'!M32-'CFS (F4Q2022)'!M32</f>
        <v>0</v>
      </c>
      <c r="N32" s="327">
        <f>'CFS (F1Q23)'!N32-'CFS (F4Q2022)'!N32</f>
        <v>0</v>
      </c>
      <c r="O32" s="327">
        <f>'CFS (F1Q23)'!O32-'CFS (F4Q2022)'!O32</f>
        <v>0</v>
      </c>
      <c r="P32" s="327">
        <f>'CFS (F1Q23)'!P32-'CFS (F4Q2022)'!P32</f>
        <v>0</v>
      </c>
      <c r="Q32" s="327">
        <f>'CFS (F1Q23)'!Q32-'CFS (F4Q2022)'!Q32</f>
        <v>0</v>
      </c>
      <c r="R32" s="328">
        <f>'CFS (F1Q23)'!R32-'CFS (F4Q2022)'!R32</f>
        <v>0</v>
      </c>
      <c r="S32" s="327">
        <f>'CFS (F1Q23)'!S32-'CFS (F4Q2022)'!S32</f>
        <v>0</v>
      </c>
      <c r="T32" s="327">
        <f>'CFS (F1Q23)'!T32-'CFS (F4Q2022)'!T32</f>
        <v>0</v>
      </c>
      <c r="U32" s="327">
        <f>'CFS (F1Q23)'!U32-'CFS (F4Q2022)'!U32</f>
        <v>0</v>
      </c>
      <c r="V32" s="327">
        <f>'CFS (F1Q23)'!V32-'CFS (F4Q2022)'!V32</f>
        <v>0</v>
      </c>
      <c r="W32" s="328">
        <f>'CFS (F1Q23)'!W32-'CFS (F4Q2022)'!W32</f>
        <v>0</v>
      </c>
      <c r="X32" s="327">
        <f>'CFS (F1Q23)'!X32-'CFS (F4Q2022)'!X32</f>
        <v>45.9</v>
      </c>
      <c r="Y32" s="327">
        <f>'CFS (F1Q23)'!Y32-'CFS (F4Q2022)'!Y32</f>
        <v>0</v>
      </c>
      <c r="Z32" s="327">
        <f>'CFS (F1Q23)'!Z32-'CFS (F4Q2022)'!Z32</f>
        <v>0</v>
      </c>
      <c r="AA32" s="327">
        <f>'CFS (F1Q23)'!AA32-'CFS (F4Q2022)'!AA32</f>
        <v>0</v>
      </c>
      <c r="AB32" s="328">
        <f>'CFS (F1Q23)'!AB32-'CFS (F4Q2022)'!AB32</f>
        <v>45.9</v>
      </c>
      <c r="AC32" s="327">
        <f>'CFS (F1Q23)'!AC32-'CFS (F4Q2022)'!AC32</f>
        <v>0</v>
      </c>
      <c r="AD32" s="327">
        <f>'CFS (F1Q23)'!AD32-'CFS (F4Q2022)'!AD32</f>
        <v>0</v>
      </c>
      <c r="AE32" s="327">
        <f>'CFS (F1Q23)'!AE32-'CFS (F4Q2022)'!AE32</f>
        <v>0</v>
      </c>
      <c r="AF32" s="327">
        <f>'CFS (F1Q23)'!AF32-'CFS (F4Q2022)'!AF32</f>
        <v>0</v>
      </c>
      <c r="AG32" s="328">
        <f>'CFS (F1Q23)'!AG32-'CFS (F4Q2022)'!AG32</f>
        <v>0</v>
      </c>
      <c r="AH32" s="327">
        <f>'CFS (F1Q23)'!AH32-'CFS (F4Q2022)'!AH32</f>
        <v>0</v>
      </c>
      <c r="AI32" s="327">
        <f>'CFS (F1Q23)'!AI32-'CFS (F4Q2022)'!AI32</f>
        <v>0</v>
      </c>
      <c r="AJ32" s="327">
        <f>'CFS (F1Q23)'!AJ32-'CFS (F4Q2022)'!AJ32</f>
        <v>0</v>
      </c>
      <c r="AK32" s="327">
        <f>'CFS (F1Q23)'!AK32-'CFS (F4Q2022)'!AK32</f>
        <v>0</v>
      </c>
      <c r="AL32" s="328">
        <f>'CFS (F1Q23)'!AL32-'CFS (F4Q2022)'!AL32</f>
        <v>0</v>
      </c>
      <c r="AM32" s="327">
        <f>'CFS (F1Q23)'!AM32-'CFS (F4Q2022)'!AM32</f>
        <v>0</v>
      </c>
      <c r="AN32" s="327">
        <f>'CFS (F1Q23)'!AN32-'CFS (F4Q2022)'!AN32</f>
        <v>0</v>
      </c>
      <c r="AO32" s="327">
        <f>'CFS (F1Q23)'!AO32-'CFS (F4Q2022)'!AO32</f>
        <v>0</v>
      </c>
      <c r="AP32" s="327">
        <f>'CFS (F1Q23)'!AP32-'CFS (F4Q2022)'!AP32</f>
        <v>0</v>
      </c>
      <c r="AQ32" s="328">
        <f>'CFS (F1Q23)'!AQ32-'CFS (F4Q2022)'!AQ32</f>
        <v>0</v>
      </c>
      <c r="AR32" s="327">
        <f>'CFS (F1Q23)'!AR32-'CFS (F4Q2022)'!AR32</f>
        <v>0</v>
      </c>
      <c r="AS32" s="327">
        <f>'CFS (F1Q23)'!AS32-'CFS (F4Q2022)'!AS32</f>
        <v>0</v>
      </c>
      <c r="AT32" s="327">
        <f>'CFS (F1Q23)'!AT32-'CFS (F4Q2022)'!AT32</f>
        <v>0</v>
      </c>
      <c r="AU32" s="327">
        <f>'CFS (F1Q23)'!AU32-'CFS (F4Q2022)'!AU32</f>
        <v>0</v>
      </c>
      <c r="AV32" s="328">
        <f>'CFS (F1Q23)'!AV32-'CFS (F4Q2022)'!AV32</f>
        <v>0</v>
      </c>
    </row>
    <row r="33" spans="2:48" outlineLevel="1" x14ac:dyDescent="0.3">
      <c r="B33" s="325" t="s">
        <v>290</v>
      </c>
      <c r="C33" s="326"/>
      <c r="D33" s="327">
        <f>'CFS (F1Q23)'!D33-'CFS (F4Q2022)'!D33</f>
        <v>0</v>
      </c>
      <c r="E33" s="327">
        <f>'CFS (F1Q23)'!E33-'CFS (F4Q2022)'!E33</f>
        <v>0</v>
      </c>
      <c r="F33" s="327">
        <f>'CFS (F1Q23)'!F33-'CFS (F4Q2022)'!F33</f>
        <v>0</v>
      </c>
      <c r="G33" s="327">
        <f>'CFS (F1Q23)'!G33-'CFS (F4Q2022)'!G33</f>
        <v>0</v>
      </c>
      <c r="H33" s="328">
        <f>'CFS (F1Q23)'!H33-'CFS (F4Q2022)'!H33</f>
        <v>0</v>
      </c>
      <c r="I33" s="327">
        <f>'CFS (F1Q23)'!I33-'CFS (F4Q2022)'!I33</f>
        <v>0</v>
      </c>
      <c r="J33" s="327">
        <f>'CFS (F1Q23)'!J33-'CFS (F4Q2022)'!J33</f>
        <v>0</v>
      </c>
      <c r="K33" s="327">
        <f>'CFS (F1Q23)'!K33-'CFS (F4Q2022)'!K33</f>
        <v>0</v>
      </c>
      <c r="L33" s="327">
        <f>'CFS (F1Q23)'!L33-'CFS (F4Q2022)'!L33</f>
        <v>0</v>
      </c>
      <c r="M33" s="328">
        <f>'CFS (F1Q23)'!M33-'CFS (F4Q2022)'!M33</f>
        <v>0</v>
      </c>
      <c r="N33" s="327">
        <f>'CFS (F1Q23)'!N33-'CFS (F4Q2022)'!N33</f>
        <v>0</v>
      </c>
      <c r="O33" s="327">
        <f>'CFS (F1Q23)'!O33-'CFS (F4Q2022)'!O33</f>
        <v>0</v>
      </c>
      <c r="P33" s="327">
        <f>'CFS (F1Q23)'!P33-'CFS (F4Q2022)'!P33</f>
        <v>0</v>
      </c>
      <c r="Q33" s="327">
        <f>'CFS (F1Q23)'!Q33-'CFS (F4Q2022)'!Q33</f>
        <v>0</v>
      </c>
      <c r="R33" s="328">
        <f>'CFS (F1Q23)'!R33-'CFS (F4Q2022)'!R33</f>
        <v>0</v>
      </c>
      <c r="S33" s="327">
        <f>'CFS (F1Q23)'!S33-'CFS (F4Q2022)'!S33</f>
        <v>0</v>
      </c>
      <c r="T33" s="327">
        <f>'CFS (F1Q23)'!T33-'CFS (F4Q2022)'!T33</f>
        <v>0</v>
      </c>
      <c r="U33" s="327">
        <f>'CFS (F1Q23)'!U33-'CFS (F4Q2022)'!U33</f>
        <v>0</v>
      </c>
      <c r="V33" s="327">
        <f>'CFS (F1Q23)'!V33-'CFS (F4Q2022)'!V33</f>
        <v>0</v>
      </c>
      <c r="W33" s="328">
        <f>'CFS (F1Q23)'!W33-'CFS (F4Q2022)'!W33</f>
        <v>0</v>
      </c>
      <c r="X33" s="327">
        <f>'CFS (F1Q23)'!X33-'CFS (F4Q2022)'!X33</f>
        <v>1.2803077144462804</v>
      </c>
      <c r="Y33" s="327">
        <f>'CFS (F1Q23)'!Y33-'CFS (F4Q2022)'!Y33</f>
        <v>1.4070583298750989</v>
      </c>
      <c r="Z33" s="327">
        <f>'CFS (F1Q23)'!Z33-'CFS (F4Q2022)'!Z33</f>
        <v>1.9398724465347641</v>
      </c>
      <c r="AA33" s="327">
        <f>'CFS (F1Q23)'!AA33-'CFS (F4Q2022)'!AA33</f>
        <v>2.5974398009991546</v>
      </c>
      <c r="AB33" s="328">
        <f>'CFS (F1Q23)'!AB33-'CFS (F4Q2022)'!AB33</f>
        <v>7.2246782918550707</v>
      </c>
      <c r="AC33" s="327">
        <f>'CFS (F1Q23)'!AC33-'CFS (F4Q2022)'!AC33</f>
        <v>0.87530771444619404</v>
      </c>
      <c r="AD33" s="327">
        <f>'CFS (F1Q23)'!AD33-'CFS (F4Q2022)'!AD33</f>
        <v>1.4070583298750989</v>
      </c>
      <c r="AE33" s="327">
        <f>'CFS (F1Q23)'!AE33-'CFS (F4Q2022)'!AE33</f>
        <v>1.9398724465347641</v>
      </c>
      <c r="AF33" s="327">
        <f>'CFS (F1Q23)'!AF33-'CFS (F4Q2022)'!AF33</f>
        <v>2.5974398009991546</v>
      </c>
      <c r="AG33" s="328">
        <f>'CFS (F1Q23)'!AG33-'CFS (F4Q2022)'!AG33</f>
        <v>6.8196782918553254</v>
      </c>
      <c r="AH33" s="327">
        <f>'CFS (F1Q23)'!AH33-'CFS (F4Q2022)'!AH33</f>
        <v>3.0964618410949925</v>
      </c>
      <c r="AI33" s="327">
        <f>'CFS (F1Q23)'!AI33-'CFS (F4Q2022)'!AI33</f>
        <v>3.5964819252708367</v>
      </c>
      <c r="AJ33" s="327">
        <f>'CFS (F1Q23)'!AJ33-'CFS (F4Q2022)'!AJ33</f>
        <v>3.6036748891214074</v>
      </c>
      <c r="AK33" s="327">
        <f>'CFS (F1Q23)'!AK33-'CFS (F4Q2022)'!AK33</f>
        <v>3.7914263508447448</v>
      </c>
      <c r="AL33" s="328">
        <f>'CFS (F1Q23)'!AL33-'CFS (F4Q2022)'!AL33</f>
        <v>14.088045006331868</v>
      </c>
      <c r="AM33" s="327">
        <f>'CFS (F1Q23)'!AM33-'CFS (F4Q2022)'!AM33</f>
        <v>3.7990092035463476</v>
      </c>
      <c r="AN33" s="327">
        <f>'CFS (F1Q23)'!AN33-'CFS (F4Q2022)'!AN33</f>
        <v>3.8066072219534135</v>
      </c>
      <c r="AO33" s="327">
        <f>'CFS (F1Q23)'!AO33-'CFS (F4Q2022)'!AO33</f>
        <v>3.8143132891618734</v>
      </c>
      <c r="AP33" s="327">
        <f>'CFS (F1Q23)'!AP33-'CFS (F4Q2022)'!AP33</f>
        <v>4.0131365069300955</v>
      </c>
      <c r="AQ33" s="328">
        <f>'CFS (F1Q23)'!AQ33-'CFS (F4Q2022)'!AQ33</f>
        <v>15.433066221592071</v>
      </c>
      <c r="AR33" s="327">
        <f>'CFS (F1Q23)'!AR33-'CFS (F4Q2022)'!AR33</f>
        <v>4.0211627799440066</v>
      </c>
      <c r="AS33" s="327">
        <f>'CFS (F1Q23)'!AS33-'CFS (F4Q2022)'!AS33</f>
        <v>4.0292051055038201</v>
      </c>
      <c r="AT33" s="327">
        <f>'CFS (F1Q23)'!AT33-'CFS (F4Q2022)'!AT33</f>
        <v>4.0372635157149261</v>
      </c>
      <c r="AU33" s="327">
        <f>'CFS (F1Q23)'!AU33-'CFS (F4Q2022)'!AU33</f>
        <v>4.1262448036014803</v>
      </c>
      <c r="AV33" s="328">
        <f>'CFS (F1Q23)'!AV33-'CFS (F4Q2022)'!AV33</f>
        <v>16.213876204763892</v>
      </c>
    </row>
    <row r="34" spans="2:48" outlineLevel="1" x14ac:dyDescent="0.3">
      <c r="B34" s="325" t="s">
        <v>291</v>
      </c>
      <c r="C34" s="338"/>
      <c r="D34" s="327">
        <f>'CFS (F1Q23)'!D34-'CFS (F4Q2022)'!D34</f>
        <v>0</v>
      </c>
      <c r="E34" s="327">
        <f>'CFS (F1Q23)'!E34-'CFS (F4Q2022)'!E34</f>
        <v>0</v>
      </c>
      <c r="F34" s="327">
        <f>'CFS (F1Q23)'!F34-'CFS (F4Q2022)'!F34</f>
        <v>0</v>
      </c>
      <c r="G34" s="327">
        <f>'CFS (F1Q23)'!G34-'CFS (F4Q2022)'!G34</f>
        <v>0</v>
      </c>
      <c r="H34" s="328">
        <f>'CFS (F1Q23)'!H34-'CFS (F4Q2022)'!H34</f>
        <v>0</v>
      </c>
      <c r="I34" s="327">
        <f>'CFS (F1Q23)'!I34-'CFS (F4Q2022)'!I34</f>
        <v>0</v>
      </c>
      <c r="J34" s="327">
        <f>'CFS (F1Q23)'!J34-'CFS (F4Q2022)'!J34</f>
        <v>0</v>
      </c>
      <c r="K34" s="327">
        <f>'CFS (F1Q23)'!K34-'CFS (F4Q2022)'!K34</f>
        <v>0</v>
      </c>
      <c r="L34" s="327">
        <f>'CFS (F1Q23)'!L34-'CFS (F4Q2022)'!L34</f>
        <v>0</v>
      </c>
      <c r="M34" s="328">
        <f>'CFS (F1Q23)'!M34-'CFS (F4Q2022)'!M34</f>
        <v>0</v>
      </c>
      <c r="N34" s="327">
        <f>'CFS (F1Q23)'!N34-'CFS (F4Q2022)'!N34</f>
        <v>0</v>
      </c>
      <c r="O34" s="327">
        <f>'CFS (F1Q23)'!O34-'CFS (F4Q2022)'!O34</f>
        <v>0</v>
      </c>
      <c r="P34" s="327">
        <f>'CFS (F1Q23)'!P34-'CFS (F4Q2022)'!P34</f>
        <v>0</v>
      </c>
      <c r="Q34" s="327">
        <f>'CFS (F1Q23)'!Q34-'CFS (F4Q2022)'!Q34</f>
        <v>0</v>
      </c>
      <c r="R34" s="328">
        <f>'CFS (F1Q23)'!R34-'CFS (F4Q2022)'!R34</f>
        <v>0</v>
      </c>
      <c r="S34" s="327">
        <f>'CFS (F1Q23)'!S34-'CFS (F4Q2022)'!S34</f>
        <v>0</v>
      </c>
      <c r="T34" s="327">
        <f>'CFS (F1Q23)'!T34-'CFS (F4Q2022)'!T34</f>
        <v>0</v>
      </c>
      <c r="U34" s="327">
        <f>'CFS (F1Q23)'!U34-'CFS (F4Q2022)'!U34</f>
        <v>0</v>
      </c>
      <c r="V34" s="327">
        <f>'CFS (F1Q23)'!V34-'CFS (F4Q2022)'!V34</f>
        <v>0</v>
      </c>
      <c r="W34" s="328">
        <f>'CFS (F1Q23)'!W34-'CFS (F4Q2022)'!W34</f>
        <v>0</v>
      </c>
      <c r="X34" s="327">
        <f>'CFS (F1Q23)'!X34-'CFS (F4Q2022)'!X34</f>
        <v>-191.4</v>
      </c>
      <c r="Y34" s="327">
        <f>'CFS (F1Q23)'!Y34-'CFS (F4Q2022)'!Y34</f>
        <v>-100</v>
      </c>
      <c r="Z34" s="327">
        <f>'CFS (F1Q23)'!Z34-'CFS (F4Q2022)'!Z34</f>
        <v>-100</v>
      </c>
      <c r="AA34" s="327">
        <f>'CFS (F1Q23)'!AA34-'CFS (F4Q2022)'!AA34</f>
        <v>-100</v>
      </c>
      <c r="AB34" s="328">
        <f>'CFS (F1Q23)'!AB34-'CFS (F4Q2022)'!AB34</f>
        <v>-491.4</v>
      </c>
      <c r="AC34" s="327">
        <f>'CFS (F1Q23)'!AC34-'CFS (F4Q2022)'!AC34</f>
        <v>-100</v>
      </c>
      <c r="AD34" s="327">
        <f>'CFS (F1Q23)'!AD34-'CFS (F4Q2022)'!AD34</f>
        <v>-100</v>
      </c>
      <c r="AE34" s="327">
        <f>'CFS (F1Q23)'!AE34-'CFS (F4Q2022)'!AE34</f>
        <v>0</v>
      </c>
      <c r="AF34" s="327">
        <f>'CFS (F1Q23)'!AF34-'CFS (F4Q2022)'!AF34</f>
        <v>0</v>
      </c>
      <c r="AG34" s="328">
        <f>'CFS (F1Q23)'!AG34-'CFS (F4Q2022)'!AG34</f>
        <v>-200</v>
      </c>
      <c r="AH34" s="327">
        <f>'CFS (F1Q23)'!AH34-'CFS (F4Q2022)'!AH34</f>
        <v>0</v>
      </c>
      <c r="AI34" s="327">
        <f>'CFS (F1Q23)'!AI34-'CFS (F4Q2022)'!AI34</f>
        <v>0</v>
      </c>
      <c r="AJ34" s="327">
        <f>'CFS (F1Q23)'!AJ34-'CFS (F4Q2022)'!AJ34</f>
        <v>-1.8802684820002469E-2</v>
      </c>
      <c r="AK34" s="327">
        <f>'CFS (F1Q23)'!AK34-'CFS (F4Q2022)'!AK34</f>
        <v>-1.8802684820002469E-2</v>
      </c>
      <c r="AL34" s="328">
        <f>'CFS (F1Q23)'!AL34-'CFS (F4Q2022)'!AL34</f>
        <v>-3.7605369640004938E-2</v>
      </c>
      <c r="AM34" s="327">
        <f>'CFS (F1Q23)'!AM34-'CFS (F4Q2022)'!AM34</f>
        <v>0</v>
      </c>
      <c r="AN34" s="327">
        <f>'CFS (F1Q23)'!AN34-'CFS (F4Q2022)'!AN34</f>
        <v>0</v>
      </c>
      <c r="AO34" s="327">
        <f>'CFS (F1Q23)'!AO34-'CFS (F4Q2022)'!AO34</f>
        <v>0</v>
      </c>
      <c r="AP34" s="327">
        <f>'CFS (F1Q23)'!AP34-'CFS (F4Q2022)'!AP34</f>
        <v>0</v>
      </c>
      <c r="AQ34" s="328">
        <f>'CFS (F1Q23)'!AQ34-'CFS (F4Q2022)'!AQ34</f>
        <v>0</v>
      </c>
      <c r="AR34" s="327">
        <f>'CFS (F1Q23)'!AR34-'CFS (F4Q2022)'!AR34</f>
        <v>0</v>
      </c>
      <c r="AS34" s="327">
        <f>'CFS (F1Q23)'!AS34-'CFS (F4Q2022)'!AS34</f>
        <v>0</v>
      </c>
      <c r="AT34" s="327">
        <f>'CFS (F1Q23)'!AT34-'CFS (F4Q2022)'!AT34</f>
        <v>0</v>
      </c>
      <c r="AU34" s="327">
        <f>'CFS (F1Q23)'!AU34-'CFS (F4Q2022)'!AU34</f>
        <v>0</v>
      </c>
      <c r="AV34" s="328">
        <f>'CFS (F1Q23)'!AV34-'CFS (F4Q2022)'!AV34</f>
        <v>0</v>
      </c>
    </row>
    <row r="35" spans="2:48" outlineLevel="1" x14ac:dyDescent="0.3">
      <c r="B35" s="325" t="s">
        <v>292</v>
      </c>
      <c r="C35" s="339"/>
      <c r="D35" s="327">
        <f>'CFS (F1Q23)'!D35-'CFS (F4Q2022)'!D35</f>
        <v>0</v>
      </c>
      <c r="E35" s="327">
        <f>'CFS (F1Q23)'!E35-'CFS (F4Q2022)'!E35</f>
        <v>0</v>
      </c>
      <c r="F35" s="327">
        <f>'CFS (F1Q23)'!F35-'CFS (F4Q2022)'!F35</f>
        <v>0</v>
      </c>
      <c r="G35" s="327">
        <f>'CFS (F1Q23)'!G35-'CFS (F4Q2022)'!G35</f>
        <v>0</v>
      </c>
      <c r="H35" s="328">
        <f>'CFS (F1Q23)'!H35-'CFS (F4Q2022)'!H35</f>
        <v>0</v>
      </c>
      <c r="I35" s="327">
        <f>'CFS (F1Q23)'!I35-'CFS (F4Q2022)'!I35</f>
        <v>0</v>
      </c>
      <c r="J35" s="327">
        <f>'CFS (F1Q23)'!J35-'CFS (F4Q2022)'!J35</f>
        <v>0</v>
      </c>
      <c r="K35" s="327">
        <f>'CFS (F1Q23)'!K35-'CFS (F4Q2022)'!K35</f>
        <v>0</v>
      </c>
      <c r="L35" s="327">
        <f>'CFS (F1Q23)'!L35-'CFS (F4Q2022)'!L35</f>
        <v>0</v>
      </c>
      <c r="M35" s="328">
        <f>'CFS (F1Q23)'!M35-'CFS (F4Q2022)'!M35</f>
        <v>0</v>
      </c>
      <c r="N35" s="327">
        <f>'CFS (F1Q23)'!N35-'CFS (F4Q2022)'!N35</f>
        <v>0</v>
      </c>
      <c r="O35" s="327">
        <f>'CFS (F1Q23)'!O35-'CFS (F4Q2022)'!O35</f>
        <v>0</v>
      </c>
      <c r="P35" s="327">
        <f>'CFS (F1Q23)'!P35-'CFS (F4Q2022)'!P35</f>
        <v>0</v>
      </c>
      <c r="Q35" s="327">
        <f>'CFS (F1Q23)'!Q35-'CFS (F4Q2022)'!Q35</f>
        <v>0</v>
      </c>
      <c r="R35" s="328">
        <f>'CFS (F1Q23)'!R35-'CFS (F4Q2022)'!R35</f>
        <v>0</v>
      </c>
      <c r="S35" s="327">
        <f>'CFS (F1Q23)'!S35-'CFS (F4Q2022)'!S35</f>
        <v>0</v>
      </c>
      <c r="T35" s="327">
        <f>'CFS (F1Q23)'!T35-'CFS (F4Q2022)'!T35</f>
        <v>0</v>
      </c>
      <c r="U35" s="327">
        <f>'CFS (F1Q23)'!U35-'CFS (F4Q2022)'!U35</f>
        <v>0</v>
      </c>
      <c r="V35" s="327">
        <f>'CFS (F1Q23)'!V35-'CFS (F4Q2022)'!V35</f>
        <v>0</v>
      </c>
      <c r="W35" s="328">
        <f>'CFS (F1Q23)'!W35-'CFS (F4Q2022)'!W35</f>
        <v>0</v>
      </c>
      <c r="X35" s="327">
        <f>'CFS (F1Q23)'!X35-'CFS (F4Q2022)'!X35</f>
        <v>-74.81498449375492</v>
      </c>
      <c r="Y35" s="327">
        <f>'CFS (F1Q23)'!Y35-'CFS (F4Q2022)'!Y35</f>
        <v>-57.861877147551823</v>
      </c>
      <c r="Z35" s="327">
        <f>'CFS (F1Q23)'!Z35-'CFS (F4Q2022)'!Z35</f>
        <v>-65.254012962177327</v>
      </c>
      <c r="AA35" s="327">
        <f>'CFS (F1Q23)'!AA35-'CFS (F4Q2022)'!AA35</f>
        <v>-69.681425466945143</v>
      </c>
      <c r="AB35" s="328">
        <f>'CFS (F1Q23)'!AB35-'CFS (F4Q2022)'!AB35</f>
        <v>-267.61230007042923</v>
      </c>
      <c r="AC35" s="327">
        <f>'CFS (F1Q23)'!AC35-'CFS (F4Q2022)'!AC35</f>
        <v>-72.647739917287893</v>
      </c>
      <c r="AD35" s="327">
        <f>'CFS (F1Q23)'!AD35-'CFS (F4Q2022)'!AD35</f>
        <v>-66.420336254015211</v>
      </c>
      <c r="AE35" s="327">
        <f>'CFS (F1Q23)'!AE35-'CFS (F4Q2022)'!AE35</f>
        <v>-73.569847652407233</v>
      </c>
      <c r="AF35" s="327">
        <f>'CFS (F1Q23)'!AF35-'CFS (F4Q2022)'!AF35</f>
        <v>-76.590640377186787</v>
      </c>
      <c r="AG35" s="328">
        <f>'CFS (F1Q23)'!AG35-'CFS (F4Q2022)'!AG35</f>
        <v>-289.2285642008971</v>
      </c>
      <c r="AH35" s="327">
        <f>'CFS (F1Q23)'!AH35-'CFS (F4Q2022)'!AH35</f>
        <v>-79.128876282688978</v>
      </c>
      <c r="AI35" s="327">
        <f>'CFS (F1Q23)'!AI35-'CFS (F4Q2022)'!AI35</f>
        <v>-74.822612055127465</v>
      </c>
      <c r="AJ35" s="327">
        <f>'CFS (F1Q23)'!AJ35-'CFS (F4Q2022)'!AJ35</f>
        <v>-82.283288534406395</v>
      </c>
      <c r="AK35" s="327">
        <f>'CFS (F1Q23)'!AK35-'CFS (F4Q2022)'!AK35</f>
        <v>-85.333117615654089</v>
      </c>
      <c r="AL35" s="328">
        <f>'CFS (F1Q23)'!AL35-'CFS (F4Q2022)'!AL35</f>
        <v>-321.56789448787691</v>
      </c>
      <c r="AM35" s="327">
        <f>'CFS (F1Q23)'!AM35-'CFS (F4Q2022)'!AM35</f>
        <v>-86.656186616687421</v>
      </c>
      <c r="AN35" s="327">
        <f>'CFS (F1Q23)'!AN35-'CFS (F4Q2022)'!AN35</f>
        <v>-82.070185065644182</v>
      </c>
      <c r="AO35" s="327">
        <f>'CFS (F1Q23)'!AO35-'CFS (F4Q2022)'!AO35</f>
        <v>-89.731710040143611</v>
      </c>
      <c r="AP35" s="327">
        <f>'CFS (F1Q23)'!AP35-'CFS (F4Q2022)'!AP35</f>
        <v>-92.675662820870727</v>
      </c>
      <c r="AQ35" s="328">
        <f>'CFS (F1Q23)'!AQ35-'CFS (F4Q2022)'!AQ35</f>
        <v>-351.13374454334598</v>
      </c>
      <c r="AR35" s="327">
        <f>'CFS (F1Q23)'!AR35-'CFS (F4Q2022)'!AR35</f>
        <v>-92.192250440997242</v>
      </c>
      <c r="AS35" s="327">
        <f>'CFS (F1Q23)'!AS35-'CFS (F4Q2022)'!AS35</f>
        <v>-87.369277011631226</v>
      </c>
      <c r="AT35" s="327">
        <f>'CFS (F1Q23)'!AT35-'CFS (F4Q2022)'!AT35</f>
        <v>-95.460579759396282</v>
      </c>
      <c r="AU35" s="327">
        <f>'CFS (F1Q23)'!AU35-'CFS (F4Q2022)'!AU35</f>
        <v>-98.580915236812373</v>
      </c>
      <c r="AV35" s="328">
        <f>'CFS (F1Q23)'!AV35-'CFS (F4Q2022)'!AV35</f>
        <v>-373.60302244883712</v>
      </c>
    </row>
    <row r="36" spans="2:48" ht="16.2" outlineLevel="1" x14ac:dyDescent="0.45">
      <c r="B36" s="623" t="s">
        <v>293</v>
      </c>
      <c r="C36" s="624"/>
      <c r="D36" s="329">
        <f>'CFS (F1Q23)'!D36-'CFS (F4Q2022)'!D36</f>
        <v>0</v>
      </c>
      <c r="E36" s="329">
        <f>'CFS (F1Q23)'!E36-'CFS (F4Q2022)'!E36</f>
        <v>0</v>
      </c>
      <c r="F36" s="329">
        <f>'CFS (F1Q23)'!F36-'CFS (F4Q2022)'!F36</f>
        <v>0</v>
      </c>
      <c r="G36" s="329">
        <f>'CFS (F1Q23)'!G36-'CFS (F4Q2022)'!G36</f>
        <v>0</v>
      </c>
      <c r="H36" s="330">
        <f>'CFS (F1Q23)'!H36-'CFS (F4Q2022)'!H36</f>
        <v>0</v>
      </c>
      <c r="I36" s="329">
        <f>'CFS (F1Q23)'!I36-'CFS (F4Q2022)'!I36</f>
        <v>0</v>
      </c>
      <c r="J36" s="329">
        <f>'CFS (F1Q23)'!J36-'CFS (F4Q2022)'!J36</f>
        <v>0</v>
      </c>
      <c r="K36" s="329">
        <f>'CFS (F1Q23)'!K36-'CFS (F4Q2022)'!K36</f>
        <v>0</v>
      </c>
      <c r="L36" s="329">
        <f>'CFS (F1Q23)'!L36-'CFS (F4Q2022)'!L36</f>
        <v>0</v>
      </c>
      <c r="M36" s="330">
        <f>'CFS (F1Q23)'!M36-'CFS (F4Q2022)'!M36</f>
        <v>0</v>
      </c>
      <c r="N36" s="329">
        <f>'CFS (F1Q23)'!N36-'CFS (F4Q2022)'!N36</f>
        <v>0</v>
      </c>
      <c r="O36" s="329">
        <f>'CFS (F1Q23)'!O36-'CFS (F4Q2022)'!O36</f>
        <v>0</v>
      </c>
      <c r="P36" s="329">
        <f>'CFS (F1Q23)'!P36-'CFS (F4Q2022)'!P36</f>
        <v>0</v>
      </c>
      <c r="Q36" s="329">
        <f>'CFS (F1Q23)'!Q36-'CFS (F4Q2022)'!Q36</f>
        <v>0</v>
      </c>
      <c r="R36" s="330">
        <f>'CFS (F1Q23)'!R36-'CFS (F4Q2022)'!R36</f>
        <v>0</v>
      </c>
      <c r="S36" s="329">
        <f>'CFS (F1Q23)'!S36-'CFS (F4Q2022)'!S36</f>
        <v>0</v>
      </c>
      <c r="T36" s="329">
        <f>'CFS (F1Q23)'!T36-'CFS (F4Q2022)'!T36</f>
        <v>0</v>
      </c>
      <c r="U36" s="329">
        <f>'CFS (F1Q23)'!U36-'CFS (F4Q2022)'!U36</f>
        <v>0</v>
      </c>
      <c r="V36" s="329">
        <f>'CFS (F1Q23)'!V36-'CFS (F4Q2022)'!V36</f>
        <v>0</v>
      </c>
      <c r="W36" s="330">
        <f>'CFS (F1Q23)'!W36-'CFS (F4Q2022)'!W36</f>
        <v>0</v>
      </c>
      <c r="X36" s="329">
        <f>'CFS (F1Q23)'!X36-'CFS (F4Q2022)'!X36</f>
        <v>0</v>
      </c>
      <c r="Y36" s="329">
        <f>'CFS (F1Q23)'!Y36-'CFS (F4Q2022)'!Y36</f>
        <v>0</v>
      </c>
      <c r="Z36" s="329">
        <f>'CFS (F1Q23)'!Z36-'CFS (F4Q2022)'!Z36</f>
        <v>0</v>
      </c>
      <c r="AA36" s="329">
        <f>'CFS (F1Q23)'!AA36-'CFS (F4Q2022)'!AA36</f>
        <v>0</v>
      </c>
      <c r="AB36" s="330">
        <f>'CFS (F1Q23)'!AB36-'CFS (F4Q2022)'!AB36</f>
        <v>0</v>
      </c>
      <c r="AC36" s="329">
        <f>'CFS (F1Q23)'!AC36-'CFS (F4Q2022)'!AC36</f>
        <v>0</v>
      </c>
      <c r="AD36" s="329">
        <f>'CFS (F1Q23)'!AD36-'CFS (F4Q2022)'!AD36</f>
        <v>0</v>
      </c>
      <c r="AE36" s="329">
        <f>'CFS (F1Q23)'!AE36-'CFS (F4Q2022)'!AE36</f>
        <v>0</v>
      </c>
      <c r="AF36" s="329">
        <f>'CFS (F1Q23)'!AF36-'CFS (F4Q2022)'!AF36</f>
        <v>0</v>
      </c>
      <c r="AG36" s="330">
        <f>'CFS (F1Q23)'!AG36-'CFS (F4Q2022)'!AG36</f>
        <v>0</v>
      </c>
      <c r="AH36" s="329">
        <f>'CFS (F1Q23)'!AH36-'CFS (F4Q2022)'!AH36</f>
        <v>0</v>
      </c>
      <c r="AI36" s="329">
        <f>'CFS (F1Q23)'!AI36-'CFS (F4Q2022)'!AI36</f>
        <v>0</v>
      </c>
      <c r="AJ36" s="329">
        <f>'CFS (F1Q23)'!AJ36-'CFS (F4Q2022)'!AJ36</f>
        <v>0</v>
      </c>
      <c r="AK36" s="329">
        <f>'CFS (F1Q23)'!AK36-'CFS (F4Q2022)'!AK36</f>
        <v>0</v>
      </c>
      <c r="AL36" s="330">
        <f>'CFS (F1Q23)'!AL36-'CFS (F4Q2022)'!AL36</f>
        <v>0</v>
      </c>
      <c r="AM36" s="329">
        <f>'CFS (F1Q23)'!AM36-'CFS (F4Q2022)'!AM36</f>
        <v>0</v>
      </c>
      <c r="AN36" s="329">
        <f>'CFS (F1Q23)'!AN36-'CFS (F4Q2022)'!AN36</f>
        <v>0</v>
      </c>
      <c r="AO36" s="329">
        <f>'CFS (F1Q23)'!AO36-'CFS (F4Q2022)'!AO36</f>
        <v>0</v>
      </c>
      <c r="AP36" s="329">
        <f>'CFS (F1Q23)'!AP36-'CFS (F4Q2022)'!AP36</f>
        <v>0</v>
      </c>
      <c r="AQ36" s="330">
        <f>'CFS (F1Q23)'!AQ36-'CFS (F4Q2022)'!AQ36</f>
        <v>0</v>
      </c>
      <c r="AR36" s="329">
        <f>'CFS (F1Q23)'!AR36-'CFS (F4Q2022)'!AR36</f>
        <v>0</v>
      </c>
      <c r="AS36" s="329">
        <f>'CFS (F1Q23)'!AS36-'CFS (F4Q2022)'!AS36</f>
        <v>0</v>
      </c>
      <c r="AT36" s="329">
        <f>'CFS (F1Q23)'!AT36-'CFS (F4Q2022)'!AT36</f>
        <v>0</v>
      </c>
      <c r="AU36" s="329">
        <f>'CFS (F1Q23)'!AU36-'CFS (F4Q2022)'!AU36</f>
        <v>0</v>
      </c>
      <c r="AV36" s="330">
        <f>'CFS (F1Q23)'!AV36-'CFS (F4Q2022)'!AV36</f>
        <v>0</v>
      </c>
    </row>
    <row r="37" spans="2:48" outlineLevel="1" x14ac:dyDescent="0.3">
      <c r="B37" s="627" t="s">
        <v>294</v>
      </c>
      <c r="C37" s="628"/>
      <c r="D37" s="331">
        <f>'CFS (F1Q23)'!D37-'CFS (F4Q2022)'!D37</f>
        <v>0</v>
      </c>
      <c r="E37" s="331">
        <f>'CFS (F1Q23)'!E37-'CFS (F4Q2022)'!E37</f>
        <v>0</v>
      </c>
      <c r="F37" s="331">
        <f>'CFS (F1Q23)'!F37-'CFS (F4Q2022)'!F37</f>
        <v>0</v>
      </c>
      <c r="G37" s="331">
        <f>'CFS (F1Q23)'!G37-'CFS (F4Q2022)'!G37</f>
        <v>0</v>
      </c>
      <c r="H37" s="332">
        <f>'CFS (F1Q23)'!H37-'CFS (F4Q2022)'!H37</f>
        <v>0</v>
      </c>
      <c r="I37" s="331">
        <f>'CFS (F1Q23)'!I37-'CFS (F4Q2022)'!I37</f>
        <v>0</v>
      </c>
      <c r="J37" s="331">
        <f>'CFS (F1Q23)'!J37-'CFS (F4Q2022)'!J37</f>
        <v>0</v>
      </c>
      <c r="K37" s="331">
        <f>'CFS (F1Q23)'!K37-'CFS (F4Q2022)'!K37</f>
        <v>0</v>
      </c>
      <c r="L37" s="331">
        <f>'CFS (F1Q23)'!L37-'CFS (F4Q2022)'!L37</f>
        <v>0</v>
      </c>
      <c r="M37" s="332">
        <f>'CFS (F1Q23)'!M37-'CFS (F4Q2022)'!M37</f>
        <v>0</v>
      </c>
      <c r="N37" s="331">
        <f>'CFS (F1Q23)'!N37-'CFS (F4Q2022)'!N37</f>
        <v>0</v>
      </c>
      <c r="O37" s="331">
        <f>'CFS (F1Q23)'!O37-'CFS (F4Q2022)'!O37</f>
        <v>0</v>
      </c>
      <c r="P37" s="331">
        <f>'CFS (F1Q23)'!P37-'CFS (F4Q2022)'!P37</f>
        <v>0</v>
      </c>
      <c r="Q37" s="331">
        <f>'CFS (F1Q23)'!Q37-'CFS (F4Q2022)'!Q37</f>
        <v>0</v>
      </c>
      <c r="R37" s="332">
        <f>'CFS (F1Q23)'!R37-'CFS (F4Q2022)'!R37</f>
        <v>0</v>
      </c>
      <c r="S37" s="331">
        <f>'CFS (F1Q23)'!S37-'CFS (F4Q2022)'!S37</f>
        <v>0</v>
      </c>
      <c r="T37" s="331">
        <f>'CFS (F1Q23)'!T37-'CFS (F4Q2022)'!T37</f>
        <v>0</v>
      </c>
      <c r="U37" s="331">
        <f>'CFS (F1Q23)'!U37-'CFS (F4Q2022)'!U37</f>
        <v>0</v>
      </c>
      <c r="V37" s="331">
        <f>'CFS (F1Q23)'!V37-'CFS (F4Q2022)'!V37</f>
        <v>0</v>
      </c>
      <c r="W37" s="332">
        <f>'CFS (F1Q23)'!W37-'CFS (F4Q2022)'!W37</f>
        <v>0</v>
      </c>
      <c r="X37" s="331">
        <f>'CFS (F1Q23)'!X37-'CFS (F4Q2022)'!X37</f>
        <v>-394.0346767793086</v>
      </c>
      <c r="Y37" s="331">
        <f>'CFS (F1Q23)'!Y37-'CFS (F4Q2022)'!Y37</f>
        <v>344.54518118232329</v>
      </c>
      <c r="Z37" s="331">
        <f>'CFS (F1Q23)'!Z37-'CFS (F4Q2022)'!Z37</f>
        <v>-163.31414051564252</v>
      </c>
      <c r="AA37" s="331">
        <f>'CFS (F1Q23)'!AA37-'CFS (F4Q2022)'!AA37</f>
        <v>-167.08398566594599</v>
      </c>
      <c r="AB37" s="332">
        <f>'CFS (F1Q23)'!AB37-'CFS (F4Q2022)'!AB37</f>
        <v>-379.88762177857416</v>
      </c>
      <c r="AC37" s="331">
        <f>'CFS (F1Q23)'!AC37-'CFS (F4Q2022)'!AC37</f>
        <v>-171.77243220284174</v>
      </c>
      <c r="AD37" s="331">
        <f>'CFS (F1Q23)'!AD37-'CFS (F4Q2022)'!AD37</f>
        <v>-164.71327792414024</v>
      </c>
      <c r="AE37" s="331">
        <f>'CFS (F1Q23)'!AE37-'CFS (F4Q2022)'!AE37</f>
        <v>-71.629975205872483</v>
      </c>
      <c r="AF37" s="331">
        <f>'CFS (F1Q23)'!AF37-'CFS (F4Q2022)'!AF37</f>
        <v>26.006799423812367</v>
      </c>
      <c r="AG37" s="332">
        <f>'CFS (F1Q23)'!AG37-'CFS (F4Q2022)'!AG37</f>
        <v>-382.10888590904187</v>
      </c>
      <c r="AH37" s="331">
        <f>'CFS (F1Q23)'!AH37-'CFS (F4Q2022)'!AH37</f>
        <v>-76.032414441593914</v>
      </c>
      <c r="AI37" s="331">
        <f>'CFS (F1Q23)'!AI37-'CFS (F4Q2022)'!AI37</f>
        <v>-71.226130129856642</v>
      </c>
      <c r="AJ37" s="331">
        <f>'CFS (F1Q23)'!AJ37-'CFS (F4Q2022)'!AJ37</f>
        <v>1583.9203863547177</v>
      </c>
      <c r="AK37" s="331">
        <f>'CFS (F1Q23)'!AK37-'CFS (F4Q2022)'!AK37</f>
        <v>-81.560493949629745</v>
      </c>
      <c r="AL37" s="332">
        <f>'CFS (F1Q23)'!AL37-'CFS (F4Q2022)'!AL37</f>
        <v>1355.1013478336372</v>
      </c>
      <c r="AM37" s="331">
        <f>'CFS (F1Q23)'!AM37-'CFS (F4Q2022)'!AM37</f>
        <v>-82.857177413141017</v>
      </c>
      <c r="AN37" s="331">
        <f>'CFS (F1Q23)'!AN37-'CFS (F4Q2022)'!AN37</f>
        <v>-1078.2635778436909</v>
      </c>
      <c r="AO37" s="331">
        <f>'CFS (F1Q23)'!AO37-'CFS (F4Q2022)'!AO37</f>
        <v>-85.917396750981652</v>
      </c>
      <c r="AP37" s="331">
        <f>'CFS (F1Q23)'!AP37-'CFS (F4Q2022)'!AP37</f>
        <v>-88.662526313940589</v>
      </c>
      <c r="AQ37" s="332">
        <f>'CFS (F1Q23)'!AQ37-'CFS (F4Q2022)'!AQ37</f>
        <v>-1335.7006783217535</v>
      </c>
      <c r="AR37" s="331">
        <f>'CFS (F1Q23)'!AR37-'CFS (F4Q2022)'!AR37</f>
        <v>-88.171087661053207</v>
      </c>
      <c r="AS37" s="331">
        <f>'CFS (F1Q23)'!AS37-'CFS (F4Q2022)'!AS37</f>
        <v>-83.340071906127378</v>
      </c>
      <c r="AT37" s="331">
        <f>'CFS (F1Q23)'!AT37-'CFS (F4Q2022)'!AT37</f>
        <v>-91.42331624368137</v>
      </c>
      <c r="AU37" s="331">
        <f>'CFS (F1Q23)'!AU37-'CFS (F4Q2022)'!AU37</f>
        <v>-94.454670433210936</v>
      </c>
      <c r="AV37" s="332">
        <f>'CFS (F1Q23)'!AV37-'CFS (F4Q2022)'!AV37</f>
        <v>-357.38914624407334</v>
      </c>
    </row>
    <row r="38" spans="2:48" outlineLevel="1" x14ac:dyDescent="0.3">
      <c r="B38" s="248" t="s">
        <v>295</v>
      </c>
      <c r="C38" s="249"/>
      <c r="D38" s="333">
        <f>'CFS (F1Q23)'!D38-'CFS (F4Q2022)'!D38</f>
        <v>0</v>
      </c>
      <c r="E38" s="340">
        <f>'CFS (F1Q23)'!E38-'CFS (F4Q2022)'!E38</f>
        <v>0</v>
      </c>
      <c r="F38" s="340">
        <f>'CFS (F1Q23)'!F38-'CFS (F4Q2022)'!F38</f>
        <v>0</v>
      </c>
      <c r="G38" s="340">
        <f>'CFS (F1Q23)'!G38-'CFS (F4Q2022)'!G38</f>
        <v>0</v>
      </c>
      <c r="H38" s="337">
        <f>'CFS (F1Q23)'!H38-'CFS (F4Q2022)'!H38</f>
        <v>0</v>
      </c>
      <c r="I38" s="340">
        <f>'CFS (F1Q23)'!I38-'CFS (F4Q2022)'!I38</f>
        <v>0</v>
      </c>
      <c r="J38" s="340">
        <f>'CFS (F1Q23)'!J38-'CFS (F4Q2022)'!J38</f>
        <v>0</v>
      </c>
      <c r="K38" s="340">
        <f>'CFS (F1Q23)'!K38-'CFS (F4Q2022)'!K38</f>
        <v>0</v>
      </c>
      <c r="L38" s="340">
        <f>'CFS (F1Q23)'!L38-'CFS (F4Q2022)'!L38</f>
        <v>0</v>
      </c>
      <c r="M38" s="337">
        <f>'CFS (F1Q23)'!M38-'CFS (F4Q2022)'!M38</f>
        <v>0</v>
      </c>
      <c r="N38" s="340">
        <f>'CFS (F1Q23)'!N38-'CFS (F4Q2022)'!N38</f>
        <v>0</v>
      </c>
      <c r="O38" s="340">
        <f>'CFS (F1Q23)'!O38-'CFS (F4Q2022)'!O38</f>
        <v>0</v>
      </c>
      <c r="P38" s="340">
        <f>'CFS (F1Q23)'!P38-'CFS (F4Q2022)'!P38</f>
        <v>0</v>
      </c>
      <c r="Q38" s="340">
        <f>'CFS (F1Q23)'!Q38-'CFS (F4Q2022)'!Q38</f>
        <v>0</v>
      </c>
      <c r="R38" s="337">
        <f>'CFS (F1Q23)'!R38-'CFS (F4Q2022)'!R38</f>
        <v>0</v>
      </c>
      <c r="S38" s="340">
        <f>'CFS (F1Q23)'!S38-'CFS (F4Q2022)'!S38</f>
        <v>0</v>
      </c>
      <c r="T38" s="340">
        <f>'CFS (F1Q23)'!T38-'CFS (F4Q2022)'!T38</f>
        <v>0</v>
      </c>
      <c r="U38" s="340">
        <f>'CFS (F1Q23)'!U38-'CFS (F4Q2022)'!U38</f>
        <v>0</v>
      </c>
      <c r="V38" s="340">
        <f>'CFS (F1Q23)'!V38-'CFS (F4Q2022)'!V38</f>
        <v>0</v>
      </c>
      <c r="W38" s="337">
        <f>'CFS (F1Q23)'!W38-'CFS (F4Q2022)'!W38</f>
        <v>0</v>
      </c>
      <c r="X38" s="341">
        <f>'CFS (F1Q23)'!X38-'CFS (F4Q2022)'!X38</f>
        <v>62</v>
      </c>
      <c r="Y38" s="341">
        <f>'CFS (F1Q23)'!Y38-'CFS (F4Q2022)'!Y38</f>
        <v>0</v>
      </c>
      <c r="Z38" s="341">
        <f>'CFS (F1Q23)'!Z38-'CFS (F4Q2022)'!Z38</f>
        <v>0</v>
      </c>
      <c r="AA38" s="341">
        <f>'CFS (F1Q23)'!AA38-'CFS (F4Q2022)'!AA38</f>
        <v>0</v>
      </c>
      <c r="AB38" s="337">
        <f>'CFS (F1Q23)'!AB38-'CFS (F4Q2022)'!AB38</f>
        <v>62</v>
      </c>
      <c r="AC38" s="341">
        <f>'CFS (F1Q23)'!AC38-'CFS (F4Q2022)'!AC38</f>
        <v>0</v>
      </c>
      <c r="AD38" s="341">
        <f>'CFS (F1Q23)'!AD38-'CFS (F4Q2022)'!AD38</f>
        <v>0</v>
      </c>
      <c r="AE38" s="341">
        <f>'CFS (F1Q23)'!AE38-'CFS (F4Q2022)'!AE38</f>
        <v>0</v>
      </c>
      <c r="AF38" s="341">
        <f>'CFS (F1Q23)'!AF38-'CFS (F4Q2022)'!AF38</f>
        <v>0</v>
      </c>
      <c r="AG38" s="337">
        <f>'CFS (F1Q23)'!AG38-'CFS (F4Q2022)'!AG38</f>
        <v>0</v>
      </c>
      <c r="AH38" s="341">
        <f>'CFS (F1Q23)'!AH38-'CFS (F4Q2022)'!AH38</f>
        <v>0</v>
      </c>
      <c r="AI38" s="341">
        <f>'CFS (F1Q23)'!AI38-'CFS (F4Q2022)'!AI38</f>
        <v>0</v>
      </c>
      <c r="AJ38" s="341">
        <f>'CFS (F1Q23)'!AJ38-'CFS (F4Q2022)'!AJ38</f>
        <v>0</v>
      </c>
      <c r="AK38" s="341">
        <f>'CFS (F1Q23)'!AK38-'CFS (F4Q2022)'!AK38</f>
        <v>0</v>
      </c>
      <c r="AL38" s="337">
        <f>'CFS (F1Q23)'!AL38-'CFS (F4Q2022)'!AL38</f>
        <v>0</v>
      </c>
      <c r="AM38" s="341">
        <f>'CFS (F1Q23)'!AM38-'CFS (F4Q2022)'!AM38</f>
        <v>0</v>
      </c>
      <c r="AN38" s="341">
        <f>'CFS (F1Q23)'!AN38-'CFS (F4Q2022)'!AN38</f>
        <v>0</v>
      </c>
      <c r="AO38" s="341">
        <f>'CFS (F1Q23)'!AO38-'CFS (F4Q2022)'!AO38</f>
        <v>0</v>
      </c>
      <c r="AP38" s="341">
        <f>'CFS (F1Q23)'!AP38-'CFS (F4Q2022)'!AP38</f>
        <v>0</v>
      </c>
      <c r="AQ38" s="337">
        <f>'CFS (F1Q23)'!AQ38-'CFS (F4Q2022)'!AQ38</f>
        <v>0</v>
      </c>
      <c r="AR38" s="341">
        <f>'CFS (F1Q23)'!AR38-'CFS (F4Q2022)'!AR38</f>
        <v>0</v>
      </c>
      <c r="AS38" s="341">
        <f>'CFS (F1Q23)'!AS38-'CFS (F4Q2022)'!AS38</f>
        <v>0</v>
      </c>
      <c r="AT38" s="341">
        <f>'CFS (F1Q23)'!AT38-'CFS (F4Q2022)'!AT38</f>
        <v>0</v>
      </c>
      <c r="AU38" s="341">
        <f>'CFS (F1Q23)'!AU38-'CFS (F4Q2022)'!AU38</f>
        <v>0</v>
      </c>
      <c r="AV38" s="337">
        <f>'CFS (F1Q23)'!AV38-'CFS (F4Q2022)'!AV38</f>
        <v>0</v>
      </c>
    </row>
    <row r="39" spans="2:48" ht="16.2" outlineLevel="1" x14ac:dyDescent="0.45">
      <c r="B39" s="580" t="s">
        <v>296</v>
      </c>
      <c r="C39" s="581"/>
      <c r="D39" s="260">
        <f>'CFS (F1Q23)'!D39-'CFS (F4Q2022)'!D39</f>
        <v>0</v>
      </c>
      <c r="E39" s="260">
        <f>'CFS (F1Q23)'!E39-'CFS (F4Q2022)'!E39</f>
        <v>0</v>
      </c>
      <c r="F39" s="260">
        <f>'CFS (F1Q23)'!F39-'CFS (F4Q2022)'!F39</f>
        <v>0</v>
      </c>
      <c r="G39" s="260">
        <f>'CFS (F1Q23)'!G39-'CFS (F4Q2022)'!G39</f>
        <v>0</v>
      </c>
      <c r="H39" s="261">
        <f>'CFS (F1Q23)'!H39-'CFS (F4Q2022)'!H39</f>
        <v>0</v>
      </c>
      <c r="I39" s="260">
        <f>'CFS (F1Q23)'!I39-'CFS (F4Q2022)'!I39</f>
        <v>0</v>
      </c>
      <c r="J39" s="260">
        <f>'CFS (F1Q23)'!J39-'CFS (F4Q2022)'!J39</f>
        <v>0</v>
      </c>
      <c r="K39" s="260">
        <f>'CFS (F1Q23)'!K39-'CFS (F4Q2022)'!K39</f>
        <v>0</v>
      </c>
      <c r="L39" s="260">
        <f>'CFS (F1Q23)'!L39-'CFS (F4Q2022)'!L39</f>
        <v>0</v>
      </c>
      <c r="M39" s="261">
        <f>'CFS (F1Q23)'!M39-'CFS (F4Q2022)'!M39</f>
        <v>0</v>
      </c>
      <c r="N39" s="260">
        <f>'CFS (F1Q23)'!N39-'CFS (F4Q2022)'!N39</f>
        <v>0</v>
      </c>
      <c r="O39" s="260">
        <f>'CFS (F1Q23)'!O39-'CFS (F4Q2022)'!O39</f>
        <v>0</v>
      </c>
      <c r="P39" s="260">
        <f>'CFS (F1Q23)'!P39-'CFS (F4Q2022)'!P39</f>
        <v>0</v>
      </c>
      <c r="Q39" s="260">
        <f>'CFS (F1Q23)'!Q39-'CFS (F4Q2022)'!Q39</f>
        <v>0</v>
      </c>
      <c r="R39" s="261">
        <f>'CFS (F1Q23)'!R39-'CFS (F4Q2022)'!R39</f>
        <v>0</v>
      </c>
      <c r="S39" s="260">
        <f>'CFS (F1Q23)'!S39-'CFS (F4Q2022)'!S39</f>
        <v>0</v>
      </c>
      <c r="T39" s="260">
        <f>'CFS (F1Q23)'!T39-'CFS (F4Q2022)'!T39</f>
        <v>0</v>
      </c>
      <c r="U39" s="260">
        <f>'CFS (F1Q23)'!U39-'CFS (F4Q2022)'!U39</f>
        <v>0</v>
      </c>
      <c r="V39" s="260">
        <f>'CFS (F1Q23)'!V39-'CFS (F4Q2022)'!V39</f>
        <v>0</v>
      </c>
      <c r="W39" s="261">
        <f>'CFS (F1Q23)'!W39-'CFS (F4Q2022)'!W39</f>
        <v>0</v>
      </c>
      <c r="X39" s="260">
        <f>'CFS (F1Q23)'!X39-'CFS (F4Q2022)'!X39</f>
        <v>-634.11709596222113</v>
      </c>
      <c r="Y39" s="260">
        <f>'CFS (F1Q23)'!Y39-'CFS (F4Q2022)'!Y39</f>
        <v>408.83056043279009</v>
      </c>
      <c r="Z39" s="260">
        <f>'CFS (F1Q23)'!Z39-'CFS (F4Q2022)'!Z39</f>
        <v>-148.82078873745536</v>
      </c>
      <c r="AA39" s="260">
        <f>'CFS (F1Q23)'!AA39-'CFS (F4Q2022)'!AA39</f>
        <v>-125.07040779751355</v>
      </c>
      <c r="AB39" s="261">
        <f>'CFS (F1Q23)'!AB39-'CFS (F4Q2022)'!AB39</f>
        <v>-499.17773206440052</v>
      </c>
      <c r="AC39" s="260">
        <f>'CFS (F1Q23)'!AC39-'CFS (F4Q2022)'!AC39</f>
        <v>-352.33851876054291</v>
      </c>
      <c r="AD39" s="260">
        <f>'CFS (F1Q23)'!AD39-'CFS (F4Q2022)'!AD39</f>
        <v>-244.16104042131678</v>
      </c>
      <c r="AE39" s="260">
        <f>'CFS (F1Q23)'!AE39-'CFS (F4Q2022)'!AE39</f>
        <v>-21.249837069252862</v>
      </c>
      <c r="AF39" s="260">
        <f>'CFS (F1Q23)'!AF39-'CFS (F4Q2022)'!AF39</f>
        <v>111.65838012175664</v>
      </c>
      <c r="AG39" s="261">
        <f>'CFS (F1Q23)'!AG39-'CFS (F4Q2022)'!AG39</f>
        <v>-506.09101612935592</v>
      </c>
      <c r="AH39" s="260">
        <f>'CFS (F1Q23)'!AH39-'CFS (F4Q2022)'!AH39</f>
        <v>-326.74807781667187</v>
      </c>
      <c r="AI39" s="260">
        <f>'CFS (F1Q23)'!AI39-'CFS (F4Q2022)'!AI39</f>
        <v>-124.1625071793078</v>
      </c>
      <c r="AJ39" s="260">
        <f>'CFS (F1Q23)'!AJ39-'CFS (F4Q2022)'!AJ39</f>
        <v>1587.4009438325327</v>
      </c>
      <c r="AK39" s="260">
        <f>'CFS (F1Q23)'!AK39-'CFS (F4Q2022)'!AK39</f>
        <v>6.2462841253009174</v>
      </c>
      <c r="AL39" s="261">
        <f>'CFS (F1Q23)'!AL39-'CFS (F4Q2022)'!AL39</f>
        <v>1142.7366429618532</v>
      </c>
      <c r="AM39" s="260">
        <f>'CFS (F1Q23)'!AM39-'CFS (F4Q2022)'!AM39</f>
        <v>-419.39587784837954</v>
      </c>
      <c r="AN39" s="260">
        <f>'CFS (F1Q23)'!AN39-'CFS (F4Q2022)'!AN39</f>
        <v>-1030.8034046004425</v>
      </c>
      <c r="AO39" s="260">
        <f>'CFS (F1Q23)'!AO39-'CFS (F4Q2022)'!AO39</f>
        <v>2.9326061714839398</v>
      </c>
      <c r="AP39" s="260">
        <f>'CFS (F1Q23)'!AP39-'CFS (F4Q2022)'!AP39</f>
        <v>47.643653161314433</v>
      </c>
      <c r="AQ39" s="261">
        <f>'CFS (F1Q23)'!AQ39-'CFS (F4Q2022)'!AQ39</f>
        <v>-1399.6230231160234</v>
      </c>
      <c r="AR39" s="260">
        <f>'CFS (F1Q23)'!AR39-'CFS (F4Q2022)'!AR39</f>
        <v>-382.10194305427626</v>
      </c>
      <c r="AS39" s="260">
        <f>'CFS (F1Q23)'!AS39-'CFS (F4Q2022)'!AS39</f>
        <v>-131.54393914804518</v>
      </c>
      <c r="AT39" s="260">
        <f>'CFS (F1Q23)'!AT39-'CFS (F4Q2022)'!AT39</f>
        <v>-0.16972162857700823</v>
      </c>
      <c r="AU39" s="260">
        <f>'CFS (F1Q23)'!AU39-'CFS (F4Q2022)'!AU39</f>
        <v>49.020360975200219</v>
      </c>
      <c r="AV39" s="261">
        <f>'CFS (F1Q23)'!AV39-'CFS (F4Q2022)'!AV39</f>
        <v>-464.79524285570096</v>
      </c>
    </row>
    <row r="40" spans="2:48" ht="16.2" outlineLevel="1" x14ac:dyDescent="0.45">
      <c r="B40" s="580" t="s">
        <v>297</v>
      </c>
      <c r="C40" s="581"/>
      <c r="D40" s="260">
        <f>'CFS (F1Q23)'!D40-'CFS (F4Q2022)'!D40</f>
        <v>0</v>
      </c>
      <c r="E40" s="260">
        <f>'CFS (F1Q23)'!E40-'CFS (F4Q2022)'!E40</f>
        <v>0</v>
      </c>
      <c r="F40" s="260">
        <f>'CFS (F1Q23)'!F40-'CFS (F4Q2022)'!F40</f>
        <v>0</v>
      </c>
      <c r="G40" s="260">
        <f>'CFS (F1Q23)'!G40-'CFS (F4Q2022)'!G40</f>
        <v>0</v>
      </c>
      <c r="H40" s="261">
        <f>'CFS (F1Q23)'!H40-'CFS (F4Q2022)'!H40</f>
        <v>0</v>
      </c>
      <c r="I40" s="112">
        <f>'CFS (F1Q23)'!I40-'CFS (F4Q2022)'!I40</f>
        <v>0</v>
      </c>
      <c r="J40" s="260">
        <f>'CFS (F1Q23)'!J40-'CFS (F4Q2022)'!J40</f>
        <v>0</v>
      </c>
      <c r="K40" s="260">
        <f>'CFS (F1Q23)'!K40-'CFS (F4Q2022)'!K40</f>
        <v>0</v>
      </c>
      <c r="L40" s="260">
        <f>'CFS (F1Q23)'!L40-'CFS (F4Q2022)'!L40</f>
        <v>0</v>
      </c>
      <c r="M40" s="261">
        <f>'CFS (F1Q23)'!M40-'CFS (F4Q2022)'!M40</f>
        <v>0</v>
      </c>
      <c r="N40" s="260">
        <f>'CFS (F1Q23)'!N40-'CFS (F4Q2022)'!N40</f>
        <v>0</v>
      </c>
      <c r="O40" s="260">
        <f>'CFS (F1Q23)'!O40-'CFS (F4Q2022)'!O40</f>
        <v>0</v>
      </c>
      <c r="P40" s="260">
        <f>'CFS (F1Q23)'!P40-'CFS (F4Q2022)'!P40</f>
        <v>0</v>
      </c>
      <c r="Q40" s="260">
        <f>'CFS (F1Q23)'!Q40-'CFS (F4Q2022)'!Q40</f>
        <v>0</v>
      </c>
      <c r="R40" s="261">
        <f>'CFS (F1Q23)'!R40-'CFS (F4Q2022)'!R40</f>
        <v>0</v>
      </c>
      <c r="S40" s="260">
        <f>'CFS (F1Q23)'!S40-'CFS (F4Q2022)'!S40</f>
        <v>0</v>
      </c>
      <c r="T40" s="260">
        <f>'CFS (F1Q23)'!T40-'CFS (F4Q2022)'!T40</f>
        <v>0</v>
      </c>
      <c r="U40" s="260">
        <f>'CFS (F1Q23)'!U40-'CFS (F4Q2022)'!U40</f>
        <v>0</v>
      </c>
      <c r="V40" s="260">
        <f>'CFS (F1Q23)'!V40-'CFS (F4Q2022)'!V40</f>
        <v>0</v>
      </c>
      <c r="W40" s="261">
        <f>'CFS (F1Q23)'!W40-'CFS (F4Q2022)'!W40</f>
        <v>0</v>
      </c>
      <c r="X40" s="260">
        <f>'CFS (F1Q23)'!X40-'CFS (F4Q2022)'!X40</f>
        <v>0</v>
      </c>
      <c r="Y40" s="260">
        <f>'CFS (F1Q23)'!Y40-'CFS (F4Q2022)'!Y40</f>
        <v>-634.1170959622209</v>
      </c>
      <c r="Z40" s="260">
        <f>'CFS (F1Q23)'!Z40-'CFS (F4Q2022)'!Z40</f>
        <v>-225.28653552943069</v>
      </c>
      <c r="AA40" s="260">
        <f>'CFS (F1Q23)'!AA40-'CFS (F4Q2022)'!AA40</f>
        <v>-374.10732426688583</v>
      </c>
      <c r="AB40" s="261">
        <f>'CFS (F1Q23)'!AB40-'CFS (F4Q2022)'!AB40</f>
        <v>0</v>
      </c>
      <c r="AC40" s="260">
        <f>'CFS (F1Q23)'!AC40-'CFS (F4Q2022)'!AC40</f>
        <v>-499.17773206440052</v>
      </c>
      <c r="AD40" s="260">
        <f>'CFS (F1Q23)'!AD40-'CFS (F4Q2022)'!AD40</f>
        <v>-851.51625082494365</v>
      </c>
      <c r="AE40" s="260">
        <f>'CFS (F1Q23)'!AE40-'CFS (F4Q2022)'!AE40</f>
        <v>-1095.6772912462602</v>
      </c>
      <c r="AF40" s="260">
        <f>'CFS (F1Q23)'!AF40-'CFS (F4Q2022)'!AF40</f>
        <v>-1116.9271283155131</v>
      </c>
      <c r="AG40" s="261">
        <f>'CFS (F1Q23)'!AG40-'CFS (F4Q2022)'!AG40</f>
        <v>-499.17773206440052</v>
      </c>
      <c r="AH40" s="260">
        <f>'CFS (F1Q23)'!AH40-'CFS (F4Q2022)'!AH40</f>
        <v>-1005.2687481937564</v>
      </c>
      <c r="AI40" s="260">
        <f>'CFS (F1Q23)'!AI40-'CFS (F4Q2022)'!AI40</f>
        <v>-1332.0168260104283</v>
      </c>
      <c r="AJ40" s="260">
        <f>'CFS (F1Q23)'!AJ40-'CFS (F4Q2022)'!AJ40</f>
        <v>-1456.1793331897361</v>
      </c>
      <c r="AK40" s="260">
        <f>'CFS (F1Q23)'!AK40-'CFS (F4Q2022)'!AK40</f>
        <v>131.22161064279589</v>
      </c>
      <c r="AL40" s="261">
        <f>'CFS (F1Q23)'!AL40-'CFS (F4Q2022)'!AL40</f>
        <v>-1005.2687481937564</v>
      </c>
      <c r="AM40" s="260">
        <f>'CFS (F1Q23)'!AM40-'CFS (F4Q2022)'!AM40</f>
        <v>137.46789476809681</v>
      </c>
      <c r="AN40" s="260">
        <f>'CFS (F1Q23)'!AN40-'CFS (F4Q2022)'!AN40</f>
        <v>-281.92798308028296</v>
      </c>
      <c r="AO40" s="260">
        <f>'CFS (F1Q23)'!AO40-'CFS (F4Q2022)'!AO40</f>
        <v>-1312.7313876807254</v>
      </c>
      <c r="AP40" s="260">
        <f>'CFS (F1Q23)'!AP40-'CFS (F4Q2022)'!AP40</f>
        <v>-1309.7987815092417</v>
      </c>
      <c r="AQ40" s="261">
        <f>'CFS (F1Q23)'!AQ40-'CFS (F4Q2022)'!AQ40</f>
        <v>137.46789476809681</v>
      </c>
      <c r="AR40" s="260">
        <f>'CFS (F1Q23)'!AR40-'CFS (F4Q2022)'!AR40</f>
        <v>-1262.1551283479266</v>
      </c>
      <c r="AS40" s="260">
        <f>'CFS (F1Q23)'!AS40-'CFS (F4Q2022)'!AS40</f>
        <v>-1644.2570714022031</v>
      </c>
      <c r="AT40" s="260">
        <f>'CFS (F1Q23)'!AT40-'CFS (F4Q2022)'!AT40</f>
        <v>-1775.8010105502483</v>
      </c>
      <c r="AU40" s="260">
        <f>'CFS (F1Q23)'!AU40-'CFS (F4Q2022)'!AU40</f>
        <v>-1775.9707321788255</v>
      </c>
      <c r="AV40" s="261">
        <f>'CFS (F1Q23)'!AV40-'CFS (F4Q2022)'!AV40</f>
        <v>-1262.1551283479266</v>
      </c>
    </row>
    <row r="41" spans="2:48" outlineLevel="1" x14ac:dyDescent="0.3">
      <c r="B41" s="629" t="s">
        <v>298</v>
      </c>
      <c r="C41" s="630"/>
      <c r="D41" s="116">
        <f>'CFS (F1Q23)'!D41-'CFS (F4Q2022)'!D41</f>
        <v>0</v>
      </c>
      <c r="E41" s="116">
        <f>'CFS (F1Q23)'!E41-'CFS (F4Q2022)'!E41</f>
        <v>0</v>
      </c>
      <c r="F41" s="116">
        <f>'CFS (F1Q23)'!F41-'CFS (F4Q2022)'!F41</f>
        <v>0</v>
      </c>
      <c r="G41" s="116">
        <f>'CFS (F1Q23)'!G41-'CFS (F4Q2022)'!G41</f>
        <v>0</v>
      </c>
      <c r="H41" s="150">
        <f>'CFS (F1Q23)'!H41-'CFS (F4Q2022)'!H41</f>
        <v>0</v>
      </c>
      <c r="I41" s="116">
        <f>'CFS (F1Q23)'!I41-'CFS (F4Q2022)'!I41</f>
        <v>0</v>
      </c>
      <c r="J41" s="116">
        <f>'CFS (F1Q23)'!J41-'CFS (F4Q2022)'!J41</f>
        <v>0</v>
      </c>
      <c r="K41" s="116">
        <f>'CFS (F1Q23)'!K41-'CFS (F4Q2022)'!K41</f>
        <v>0</v>
      </c>
      <c r="L41" s="21">
        <f>'CFS (F1Q23)'!L41-'CFS (F4Q2022)'!L41</f>
        <v>0</v>
      </c>
      <c r="M41" s="22">
        <f>'CFS (F1Q23)'!M41-'CFS (F4Q2022)'!M41</f>
        <v>0</v>
      </c>
      <c r="N41" s="21">
        <f>'CFS (F1Q23)'!N41-'CFS (F4Q2022)'!N41</f>
        <v>0</v>
      </c>
      <c r="O41" s="21">
        <f>'CFS (F1Q23)'!O41-'CFS (F4Q2022)'!O41</f>
        <v>0</v>
      </c>
      <c r="P41" s="21">
        <f>'CFS (F1Q23)'!P41-'CFS (F4Q2022)'!P41</f>
        <v>0</v>
      </c>
      <c r="Q41" s="21">
        <f>'CFS (F1Q23)'!Q41-'CFS (F4Q2022)'!Q41</f>
        <v>0</v>
      </c>
      <c r="R41" s="22">
        <f>'CFS (F1Q23)'!R41-'CFS (F4Q2022)'!R41</f>
        <v>0</v>
      </c>
      <c r="S41" s="21">
        <f>'CFS (F1Q23)'!S41-'CFS (F4Q2022)'!S41</f>
        <v>0</v>
      </c>
      <c r="T41" s="21">
        <f>'CFS (F1Q23)'!T41-'CFS (F4Q2022)'!T41</f>
        <v>0</v>
      </c>
      <c r="U41" s="21">
        <f>'CFS (F1Q23)'!U41-'CFS (F4Q2022)'!U41</f>
        <v>0</v>
      </c>
      <c r="V41" s="21">
        <f>'CFS (F1Q23)'!V41-'CFS (F4Q2022)'!V41</f>
        <v>0</v>
      </c>
      <c r="W41" s="22">
        <f>'CFS (F1Q23)'!W41-'CFS (F4Q2022)'!W41</f>
        <v>0</v>
      </c>
      <c r="X41" s="21">
        <f>'CFS (F1Q23)'!X41-'CFS (F4Q2022)'!X41</f>
        <v>-634.1170959622209</v>
      </c>
      <c r="Y41" s="21">
        <f>'CFS (F1Q23)'!Y41-'CFS (F4Q2022)'!Y41</f>
        <v>-225.28653552943069</v>
      </c>
      <c r="Z41" s="21">
        <f>'CFS (F1Q23)'!Z41-'CFS (F4Q2022)'!Z41</f>
        <v>-374.10732426688583</v>
      </c>
      <c r="AA41" s="21">
        <f>'CFS (F1Q23)'!AA41-'CFS (F4Q2022)'!AA41</f>
        <v>-499.17773206439961</v>
      </c>
      <c r="AB41" s="22">
        <f>'CFS (F1Q23)'!AB41-'CFS (F4Q2022)'!AB41</f>
        <v>-499.17773206440052</v>
      </c>
      <c r="AC41" s="21">
        <f>'CFS (F1Q23)'!AC41-'CFS (F4Q2022)'!AC41</f>
        <v>-851.51625082494365</v>
      </c>
      <c r="AD41" s="21">
        <f>'CFS (F1Q23)'!AD41-'CFS (F4Q2022)'!AD41</f>
        <v>-1095.6772912462602</v>
      </c>
      <c r="AE41" s="21">
        <f>'CFS (F1Q23)'!AE41-'CFS (F4Q2022)'!AE41</f>
        <v>-1116.9271283155131</v>
      </c>
      <c r="AF41" s="21">
        <f>'CFS (F1Q23)'!AF41-'CFS (F4Q2022)'!AF41</f>
        <v>-1005.2687481937564</v>
      </c>
      <c r="AG41" s="22">
        <f>'CFS (F1Q23)'!AG41-'CFS (F4Q2022)'!AG41</f>
        <v>-1005.2687481937564</v>
      </c>
      <c r="AH41" s="21">
        <f>'CFS (F1Q23)'!AH41-'CFS (F4Q2022)'!AH41</f>
        <v>-1332.0168260104283</v>
      </c>
      <c r="AI41" s="21">
        <f>'CFS (F1Q23)'!AI41-'CFS (F4Q2022)'!AI41</f>
        <v>-1456.1793331897361</v>
      </c>
      <c r="AJ41" s="21">
        <f>'CFS (F1Q23)'!AJ41-'CFS (F4Q2022)'!AJ41</f>
        <v>131.22161064279589</v>
      </c>
      <c r="AK41" s="21">
        <f>'CFS (F1Q23)'!AK41-'CFS (F4Q2022)'!AK41</f>
        <v>137.46789476809681</v>
      </c>
      <c r="AL41" s="22">
        <f>'CFS (F1Q23)'!AL41-'CFS (F4Q2022)'!AL41</f>
        <v>137.46789476809681</v>
      </c>
      <c r="AM41" s="21">
        <f>'CFS (F1Q23)'!AM41-'CFS (F4Q2022)'!AM41</f>
        <v>-281.92798308028296</v>
      </c>
      <c r="AN41" s="21">
        <f>'CFS (F1Q23)'!AN41-'CFS (F4Q2022)'!AN41</f>
        <v>-1312.7313876807254</v>
      </c>
      <c r="AO41" s="21">
        <f>'CFS (F1Q23)'!AO41-'CFS (F4Q2022)'!AO41</f>
        <v>-1309.7987815092417</v>
      </c>
      <c r="AP41" s="21">
        <f>'CFS (F1Q23)'!AP41-'CFS (F4Q2022)'!AP41</f>
        <v>-1262.1551283479273</v>
      </c>
      <c r="AQ41" s="22">
        <f>'CFS (F1Q23)'!AQ41-'CFS (F4Q2022)'!AQ41</f>
        <v>-1262.1551283479266</v>
      </c>
      <c r="AR41" s="21">
        <f>'CFS (F1Q23)'!AR41-'CFS (F4Q2022)'!AR41</f>
        <v>-1644.2570714022031</v>
      </c>
      <c r="AS41" s="21">
        <f>'CFS (F1Q23)'!AS41-'CFS (F4Q2022)'!AS41</f>
        <v>-1775.8010105502483</v>
      </c>
      <c r="AT41" s="21">
        <f>'CFS (F1Q23)'!AT41-'CFS (F4Q2022)'!AT41</f>
        <v>-1775.9707321788255</v>
      </c>
      <c r="AU41" s="21">
        <f>'CFS (F1Q23)'!AU41-'CFS (F4Q2022)'!AU41</f>
        <v>-1726.9503712036253</v>
      </c>
      <c r="AV41" s="22">
        <f>'CFS (F1Q23)'!AV41-'CFS (F4Q2022)'!AV41</f>
        <v>-1726.9503712036276</v>
      </c>
    </row>
    <row r="42" spans="2:48" s="23" customFormat="1" outlineLevel="1" x14ac:dyDescent="0.3">
      <c r="B42" s="631" t="s">
        <v>299</v>
      </c>
      <c r="C42" s="632"/>
      <c r="D42" s="321">
        <f>'CFS (F1Q23)'!D42-'CFS (F4Q2022)'!D42</f>
        <v>-0.11398678414093411</v>
      </c>
      <c r="E42" s="321">
        <f>'CFS (F1Q23)'!E42-'CFS (F4Q2022)'!E42</f>
        <v>-0.11231497797353995</v>
      </c>
      <c r="F42" s="321">
        <f>'CFS (F1Q23)'!F42-'CFS (F4Q2022)'!F42</f>
        <v>-0.13131277533034336</v>
      </c>
      <c r="G42" s="321">
        <f>'CFS (F1Q23)'!G42-'CFS (F4Q2022)'!G42</f>
        <v>-0.14544713656380281</v>
      </c>
      <c r="H42" s="342">
        <f>'CFS (F1Q23)'!H42-'CFS (F4Q2022)'!H42</f>
        <v>-0.50306167400867707</v>
      </c>
      <c r="I42" s="321">
        <f>'CFS (F1Q23)'!I42-'CFS (F4Q2022)'!I42</f>
        <v>-0.13967180616737096</v>
      </c>
      <c r="J42" s="321">
        <f>'CFS (F1Q23)'!J42-'CFS (F4Q2022)'!J42</f>
        <v>-0.15076651982371914</v>
      </c>
      <c r="K42" s="321">
        <f>'CFS (F1Q23)'!K42-'CFS (F4Q2022)'!K42</f>
        <v>-0.18359471365636182</v>
      </c>
      <c r="L42" s="321">
        <f>'CFS (F1Q23)'!L42-'CFS (F4Q2022)'!L42</f>
        <v>-0.18997797356837509</v>
      </c>
      <c r="M42" s="342">
        <f>'CFS (F1Q23)'!M42-'CFS (F4Q2022)'!M42</f>
        <v>-0.66401101321582701</v>
      </c>
      <c r="N42" s="321">
        <f>'CFS (F1Q23)'!N42-'CFS (F4Q2022)'!N42</f>
        <v>-0.18344273127763699</v>
      </c>
      <c r="O42" s="321">
        <f>'CFS (F1Q23)'!O42-'CFS (F4Q2022)'!O42</f>
        <v>-0.17477973568281868</v>
      </c>
      <c r="P42" s="321">
        <f>'CFS (F1Q23)'!P42-'CFS (F4Q2022)'!P42</f>
        <v>-0.17234801762106144</v>
      </c>
      <c r="Q42" s="321">
        <f>'CFS (F1Q23)'!Q42-'CFS (F4Q2022)'!Q42</f>
        <v>-0.18329074889857111</v>
      </c>
      <c r="R42" s="342">
        <f>'CFS (F1Q23)'!R42-'CFS (F4Q2022)'!R42</f>
        <v>-0.71386123347929242</v>
      </c>
      <c r="S42" s="321">
        <f>'CFS (F1Q23)'!S42-'CFS (F4Q2022)'!S42</f>
        <v>-0.1752356828194479</v>
      </c>
      <c r="T42" s="321">
        <f>'CFS (F1Q23)'!T42-'CFS (F4Q2022)'!T42</f>
        <v>-0.18101101321582291</v>
      </c>
      <c r="U42" s="321">
        <f>'CFS (F1Q23)'!U42-'CFS (F4Q2022)'!U42</f>
        <v>-0.18709030836998863</v>
      </c>
      <c r="V42" s="321">
        <f>'CFS (F1Q23)'!V42-'CFS (F4Q2022)'!V42</f>
        <v>-0.19043392070489062</v>
      </c>
      <c r="W42" s="342">
        <f>'CFS (F1Q23)'!W42-'CFS (F4Q2022)'!W42</f>
        <v>-0.73377092511054798</v>
      </c>
      <c r="X42" s="321">
        <f>'CFS (F1Q23)'!X42-'CFS (F4Q2022)'!X42</f>
        <v>-347.08310967507282</v>
      </c>
      <c r="Y42" s="321">
        <f>'CFS (F1Q23)'!Y42-'CFS (F4Q2022)'!Y42</f>
        <v>100.02549461096561</v>
      </c>
      <c r="Z42" s="321">
        <f>'CFS (F1Q23)'!Z42-'CFS (F4Q2022)'!Z42</f>
        <v>9.2271315438204056</v>
      </c>
      <c r="AA42" s="321">
        <f>'CFS (F1Q23)'!AA42-'CFS (F4Q2022)'!AA42</f>
        <v>39.678839889842266</v>
      </c>
      <c r="AB42" s="342">
        <f>'CFS (F1Q23)'!AB42-'CFS (F4Q2022)'!AB42</f>
        <v>-198.1516436304446</v>
      </c>
      <c r="AC42" s="321">
        <f>'CFS (F1Q23)'!AC42-'CFS (F4Q2022)'!AC42</f>
        <v>-186.42889959649051</v>
      </c>
      <c r="AD42" s="321">
        <f>'CFS (F1Q23)'!AD42-'CFS (F4Q2022)'!AD42</f>
        <v>-79.572431940764943</v>
      </c>
      <c r="AE42" s="321">
        <f>'CFS (F1Q23)'!AE42-'CFS (F4Q2022)'!AE42</f>
        <v>49.38633654552234</v>
      </c>
      <c r="AF42" s="321">
        <f>'CFS (F1Q23)'!AF42-'CFS (F4Q2022)'!AF42</f>
        <v>92.860586817764442</v>
      </c>
      <c r="AG42" s="342">
        <f>'CFS (F1Q23)'!AG42-'CFS (F4Q2022)'!AG42</f>
        <v>-123.75440817396793</v>
      </c>
      <c r="AH42" s="321">
        <f>'CFS (F1Q23)'!AH42-'CFS (F4Q2022)'!AH42</f>
        <v>-250.34376766133846</v>
      </c>
      <c r="AI42" s="321">
        <f>'CFS (F1Q23)'!AI42-'CFS (F4Q2022)'!AI42</f>
        <v>-52.73181122298729</v>
      </c>
      <c r="AJ42" s="321">
        <f>'CFS (F1Q23)'!AJ42-'CFS (F4Q2022)'!AJ42</f>
        <v>61.658548508557033</v>
      </c>
      <c r="AK42" s="321">
        <f>'CFS (F1Q23)'!AK42-'CFS (F4Q2022)'!AK42</f>
        <v>114.91279379084153</v>
      </c>
      <c r="AL42" s="342">
        <f>'CFS (F1Q23)'!AL42-'CFS (F4Q2022)'!AL42</f>
        <v>-126.50423658492673</v>
      </c>
      <c r="AM42" s="321">
        <f>'CFS (F1Q23)'!AM42-'CFS (F4Q2022)'!AM42</f>
        <v>-322.81864536816147</v>
      </c>
      <c r="AN42" s="321">
        <f>'CFS (F1Q23)'!AN42-'CFS (F4Q2022)'!AN42</f>
        <v>26.12720944431203</v>
      </c>
      <c r="AO42" s="321">
        <f>'CFS (F1Q23)'!AO42-'CFS (F4Q2022)'!AO42</f>
        <v>95.42946733386907</v>
      </c>
      <c r="AP42" s="321">
        <f>'CFS (F1Q23)'!AP42-'CFS (F4Q2022)'!AP42</f>
        <v>148.61747897032296</v>
      </c>
      <c r="AQ42" s="342">
        <f>'CFS (F1Q23)'!AQ42-'CFS (F4Q2022)'!AQ42</f>
        <v>-52.644489619657179</v>
      </c>
      <c r="AR42" s="321">
        <f>'CFS (F1Q23)'!AR42-'CFS (F4Q2022)'!AR42</f>
        <v>-288.03645399071911</v>
      </c>
      <c r="AS42" s="321">
        <f>'CFS (F1Q23)'!AS42-'CFS (F4Q2022)'!AS42</f>
        <v>-42.896459512996898</v>
      </c>
      <c r="AT42" s="321">
        <f>'CFS (F1Q23)'!AT42-'CFS (F4Q2022)'!AT42</f>
        <v>97.302548194124483</v>
      </c>
      <c r="AU42" s="321">
        <f>'CFS (F1Q23)'!AU42-'CFS (F4Q2022)'!AU42</f>
        <v>155.56227688472063</v>
      </c>
      <c r="AV42" s="342">
        <f>'CFS (F1Q23)'!AV42-'CFS (F4Q2022)'!AV42</f>
        <v>-78.068088424870439</v>
      </c>
    </row>
    <row r="43" spans="2:48" s="23" customFormat="1" outlineLevel="1" x14ac:dyDescent="0.3">
      <c r="B43" s="325" t="s">
        <v>300</v>
      </c>
      <c r="C43" s="326"/>
      <c r="D43" s="327">
        <f>'CFS (F1Q23)'!D43-'CFS (F4Q2022)'!D43</f>
        <v>0</v>
      </c>
      <c r="E43" s="327">
        <f>'CFS (F1Q23)'!E43-'CFS (F4Q2022)'!E43</f>
        <v>0</v>
      </c>
      <c r="F43" s="343">
        <f>'CFS (F1Q23)'!F43-'CFS (F4Q2022)'!F43</f>
        <v>0</v>
      </c>
      <c r="G43" s="327">
        <f>'CFS (F1Q23)'!G43-'CFS (F4Q2022)'!G43</f>
        <v>0</v>
      </c>
      <c r="H43" s="328">
        <f>'CFS (F1Q23)'!H43-'CFS (F4Q2022)'!H43</f>
        <v>0</v>
      </c>
      <c r="I43" s="327">
        <f>'CFS (F1Q23)'!I43-'CFS (F4Q2022)'!I43</f>
        <v>0</v>
      </c>
      <c r="J43" s="327">
        <f>'CFS (F1Q23)'!J43-'CFS (F4Q2022)'!J43</f>
        <v>0</v>
      </c>
      <c r="K43" s="327">
        <f>'CFS (F1Q23)'!K43-'CFS (F4Q2022)'!K43</f>
        <v>0</v>
      </c>
      <c r="L43" s="327">
        <f>'CFS (F1Q23)'!L43-'CFS (F4Q2022)'!L43</f>
        <v>0</v>
      </c>
      <c r="M43" s="328">
        <f>'CFS (F1Q23)'!M43-'CFS (F4Q2022)'!M43</f>
        <v>0</v>
      </c>
      <c r="N43" s="327">
        <f>'CFS (F1Q23)'!N43-'CFS (F4Q2022)'!N43</f>
        <v>0</v>
      </c>
      <c r="O43" s="327">
        <f>'CFS (F1Q23)'!O43-'CFS (F4Q2022)'!O43</f>
        <v>0</v>
      </c>
      <c r="P43" s="327">
        <f>'CFS (F1Q23)'!P43-'CFS (F4Q2022)'!P43</f>
        <v>0</v>
      </c>
      <c r="Q43" s="327">
        <f>'CFS (F1Q23)'!Q43-'CFS (F4Q2022)'!Q43</f>
        <v>0</v>
      </c>
      <c r="R43" s="328">
        <f>'CFS (F1Q23)'!R43-'CFS (F4Q2022)'!R43</f>
        <v>0</v>
      </c>
      <c r="S43" s="327">
        <f>'CFS (F1Q23)'!S43-'CFS (F4Q2022)'!S43</f>
        <v>0</v>
      </c>
      <c r="T43" s="327">
        <f>'CFS (F1Q23)'!T43-'CFS (F4Q2022)'!T43</f>
        <v>0</v>
      </c>
      <c r="U43" s="327">
        <f>'CFS (F1Q23)'!U43-'CFS (F4Q2022)'!U43</f>
        <v>0</v>
      </c>
      <c r="V43" s="327">
        <f>'CFS (F1Q23)'!V43-'CFS (F4Q2022)'!V43</f>
        <v>0</v>
      </c>
      <c r="W43" s="328">
        <f>'CFS (F1Q23)'!W43-'CFS (F4Q2022)'!W43</f>
        <v>0</v>
      </c>
      <c r="X43" s="327">
        <f>'CFS (F1Q23)'!X43-'CFS (F4Q2022)'!X43</f>
        <v>0</v>
      </c>
      <c r="Y43" s="327">
        <f>'CFS (F1Q23)'!Y43-'CFS (F4Q2022)'!Y43</f>
        <v>0</v>
      </c>
      <c r="Z43" s="327">
        <f>'CFS (F1Q23)'!Z43-'CFS (F4Q2022)'!Z43</f>
        <v>0</v>
      </c>
      <c r="AA43" s="327">
        <f>'CFS (F1Q23)'!AA43-'CFS (F4Q2022)'!AA43</f>
        <v>0</v>
      </c>
      <c r="AB43" s="328">
        <f>'CFS (F1Q23)'!AB43-'CFS (F4Q2022)'!AB43</f>
        <v>0</v>
      </c>
      <c r="AC43" s="327">
        <f>'CFS (F1Q23)'!AC43-'CFS (F4Q2022)'!AC43</f>
        <v>0</v>
      </c>
      <c r="AD43" s="327">
        <f>'CFS (F1Q23)'!AD43-'CFS (F4Q2022)'!AD43</f>
        <v>0</v>
      </c>
      <c r="AE43" s="327">
        <f>'CFS (F1Q23)'!AE43-'CFS (F4Q2022)'!AE43</f>
        <v>0</v>
      </c>
      <c r="AF43" s="327">
        <f>'CFS (F1Q23)'!AF43-'CFS (F4Q2022)'!AF43</f>
        <v>0</v>
      </c>
      <c r="AG43" s="328">
        <f>'CFS (F1Q23)'!AG43-'CFS (F4Q2022)'!AG43</f>
        <v>0</v>
      </c>
      <c r="AH43" s="327">
        <f>'CFS (F1Q23)'!AH43-'CFS (F4Q2022)'!AH43</f>
        <v>0</v>
      </c>
      <c r="AI43" s="327">
        <f>'CFS (F1Q23)'!AI43-'CFS (F4Q2022)'!AI43</f>
        <v>0</v>
      </c>
      <c r="AJ43" s="327">
        <f>'CFS (F1Q23)'!AJ43-'CFS (F4Q2022)'!AJ43</f>
        <v>0</v>
      </c>
      <c r="AK43" s="327">
        <f>'CFS (F1Q23)'!AK43-'CFS (F4Q2022)'!AK43</f>
        <v>0</v>
      </c>
      <c r="AL43" s="328">
        <f>'CFS (F1Q23)'!AL43-'CFS (F4Q2022)'!AL43</f>
        <v>0</v>
      </c>
      <c r="AM43" s="327">
        <f>'CFS (F1Q23)'!AM43-'CFS (F4Q2022)'!AM43</f>
        <v>0</v>
      </c>
      <c r="AN43" s="327">
        <f>'CFS (F1Q23)'!AN43-'CFS (F4Q2022)'!AN43</f>
        <v>0</v>
      </c>
      <c r="AO43" s="327">
        <f>'CFS (F1Q23)'!AO43-'CFS (F4Q2022)'!AO43</f>
        <v>0</v>
      </c>
      <c r="AP43" s="327">
        <f>'CFS (F1Q23)'!AP43-'CFS (F4Q2022)'!AP43</f>
        <v>0</v>
      </c>
      <c r="AQ43" s="328">
        <f>'CFS (F1Q23)'!AQ43-'CFS (F4Q2022)'!AQ43</f>
        <v>0</v>
      </c>
      <c r="AR43" s="327">
        <f>'CFS (F1Q23)'!AR43-'CFS (F4Q2022)'!AR43</f>
        <v>0</v>
      </c>
      <c r="AS43" s="327">
        <f>'CFS (F1Q23)'!AS43-'CFS (F4Q2022)'!AS43</f>
        <v>0</v>
      </c>
      <c r="AT43" s="327">
        <f>'CFS (F1Q23)'!AT43-'CFS (F4Q2022)'!AT43</f>
        <v>0</v>
      </c>
      <c r="AU43" s="327">
        <f>'CFS (F1Q23)'!AU43-'CFS (F4Q2022)'!AU43</f>
        <v>0</v>
      </c>
      <c r="AV43" s="328">
        <f>'CFS (F1Q23)'!AV43-'CFS (F4Q2022)'!AV43</f>
        <v>0</v>
      </c>
    </row>
    <row r="44" spans="2:48" s="23" customFormat="1" outlineLevel="1" x14ac:dyDescent="0.3">
      <c r="B44" s="633" t="s">
        <v>301</v>
      </c>
      <c r="C44" s="634"/>
      <c r="D44" s="344">
        <f>'CFS (F1Q23)'!D44-'CFS (F4Q2022)'!D44</f>
        <v>0</v>
      </c>
      <c r="E44" s="344">
        <f>'CFS (F1Q23)'!E44-'CFS (F4Q2022)'!E44</f>
        <v>0</v>
      </c>
      <c r="F44" s="344">
        <f>'CFS (F1Q23)'!F44-'CFS (F4Q2022)'!F44</f>
        <v>0</v>
      </c>
      <c r="G44" s="344">
        <f>'CFS (F1Q23)'!G44-'CFS (F4Q2022)'!G44</f>
        <v>0</v>
      </c>
      <c r="H44" s="345">
        <f>'CFS (F1Q23)'!H44-'CFS (F4Q2022)'!H44</f>
        <v>0</v>
      </c>
      <c r="I44" s="344">
        <f>'CFS (F1Q23)'!I44-'CFS (F4Q2022)'!I44</f>
        <v>0</v>
      </c>
      <c r="J44" s="344">
        <f>'CFS (F1Q23)'!J44-'CFS (F4Q2022)'!J44</f>
        <v>0</v>
      </c>
      <c r="K44" s="344">
        <f>'CFS (F1Q23)'!K44-'CFS (F4Q2022)'!K44</f>
        <v>0</v>
      </c>
      <c r="L44" s="344">
        <f>'CFS (F1Q23)'!L44-'CFS (F4Q2022)'!L44</f>
        <v>0</v>
      </c>
      <c r="M44" s="345">
        <f>'CFS (F1Q23)'!M44-'CFS (F4Q2022)'!M44</f>
        <v>0</v>
      </c>
      <c r="N44" s="344">
        <f>'CFS (F1Q23)'!N44-'CFS (F4Q2022)'!N44</f>
        <v>0</v>
      </c>
      <c r="O44" s="344">
        <f>'CFS (F1Q23)'!O44-'CFS (F4Q2022)'!O44</f>
        <v>0</v>
      </c>
      <c r="P44" s="344">
        <f>'CFS (F1Q23)'!P44-'CFS (F4Q2022)'!P44</f>
        <v>0</v>
      </c>
      <c r="Q44" s="344">
        <f>'CFS (F1Q23)'!Q44-'CFS (F4Q2022)'!Q44</f>
        <v>0</v>
      </c>
      <c r="R44" s="345">
        <f>'CFS (F1Q23)'!R44-'CFS (F4Q2022)'!R44</f>
        <v>0</v>
      </c>
      <c r="S44" s="344">
        <f>'CFS (F1Q23)'!S44-'CFS (F4Q2022)'!S44</f>
        <v>0</v>
      </c>
      <c r="T44" s="344">
        <f>'CFS (F1Q23)'!T44-'CFS (F4Q2022)'!T44</f>
        <v>0</v>
      </c>
      <c r="U44" s="344">
        <f>'CFS (F1Q23)'!U44-'CFS (F4Q2022)'!U44</f>
        <v>0</v>
      </c>
      <c r="V44" s="344">
        <f>'CFS (F1Q23)'!V44-'CFS (F4Q2022)'!V44</f>
        <v>0</v>
      </c>
      <c r="W44" s="345">
        <f>'CFS (F1Q23)'!W44-'CFS (F4Q2022)'!W44</f>
        <v>-0.73377092511054798</v>
      </c>
      <c r="X44" s="344">
        <f>'CFS (F1Q23)'!X44-'CFS (F4Q2022)'!X44</f>
        <v>0</v>
      </c>
      <c r="Y44" s="344">
        <f>'CFS (F1Q23)'!Y44-'CFS (F4Q2022)'!Y44</f>
        <v>0</v>
      </c>
      <c r="Z44" s="344">
        <f>'CFS (F1Q23)'!Z44-'CFS (F4Q2022)'!Z44</f>
        <v>0</v>
      </c>
      <c r="AA44" s="344">
        <f>'CFS (F1Q23)'!AA44-'CFS (F4Q2022)'!AA44</f>
        <v>0</v>
      </c>
      <c r="AB44" s="345">
        <f>'CFS (F1Q23)'!AB44-'CFS (F4Q2022)'!AB44</f>
        <v>-123.36808944707445</v>
      </c>
      <c r="AC44" s="344">
        <f>'CFS (F1Q23)'!AC44-'CFS (F4Q2022)'!AC44</f>
        <v>0</v>
      </c>
      <c r="AD44" s="344">
        <f>'CFS (F1Q23)'!AD44-'CFS (F4Q2022)'!AD44</f>
        <v>0</v>
      </c>
      <c r="AE44" s="344">
        <f>'CFS (F1Q23)'!AE44-'CFS (F4Q2022)'!AE44</f>
        <v>0</v>
      </c>
      <c r="AF44" s="344">
        <f>'CFS (F1Q23)'!AF44-'CFS (F4Q2022)'!AF44</f>
        <v>0</v>
      </c>
      <c r="AG44" s="345">
        <f>'CFS (F1Q23)'!AG44-'CFS (F4Q2022)'!AG44</f>
        <v>15.531714407619802</v>
      </c>
      <c r="AH44" s="344">
        <f>'CFS (F1Q23)'!AH44-'CFS (F4Q2022)'!AH44</f>
        <v>0</v>
      </c>
      <c r="AI44" s="344">
        <f>'CFS (F1Q23)'!AI44-'CFS (F4Q2022)'!AI44</f>
        <v>0</v>
      </c>
      <c r="AJ44" s="344">
        <f>'CFS (F1Q23)'!AJ44-'CFS (F4Q2022)'!AJ44</f>
        <v>0</v>
      </c>
      <c r="AK44" s="344">
        <f>'CFS (F1Q23)'!AK44-'CFS (F4Q2022)'!AK44</f>
        <v>0</v>
      </c>
      <c r="AL44" s="345">
        <f>'CFS (F1Q23)'!AL44-'CFS (F4Q2022)'!AL44</f>
        <v>97.512533575476482</v>
      </c>
      <c r="AM44" s="344">
        <f>'CFS (F1Q23)'!AM44-'CFS (F4Q2022)'!AM44</f>
        <v>0</v>
      </c>
      <c r="AN44" s="344">
        <f>'CFS (F1Q23)'!AN44-'CFS (F4Q2022)'!AN44</f>
        <v>0</v>
      </c>
      <c r="AO44" s="344">
        <f>'CFS (F1Q23)'!AO44-'CFS (F4Q2022)'!AO44</f>
        <v>0</v>
      </c>
      <c r="AP44" s="344">
        <f>'CFS (F1Q23)'!AP44-'CFS (F4Q2022)'!AP44</f>
        <v>0</v>
      </c>
      <c r="AQ44" s="345">
        <f>'CFS (F1Q23)'!AQ44-'CFS (F4Q2022)'!AQ44</f>
        <v>228.70484136898176</v>
      </c>
      <c r="AR44" s="344">
        <f>'CFS (F1Q23)'!AR44-'CFS (F4Q2022)'!AR44</f>
        <v>0</v>
      </c>
      <c r="AS44" s="344">
        <f>'CFS (F1Q23)'!AS44-'CFS (F4Q2022)'!AS44</f>
        <v>0</v>
      </c>
      <c r="AT44" s="344">
        <f>'CFS (F1Q23)'!AT44-'CFS (F4Q2022)'!AT44</f>
        <v>0</v>
      </c>
      <c r="AU44" s="344">
        <f>'CFS (F1Q23)'!AU44-'CFS (F4Q2022)'!AU44</f>
        <v>0</v>
      </c>
      <c r="AV44" s="345">
        <f>'CFS (F1Q23)'!AV44-'CFS (F4Q2022)'!AV44</f>
        <v>272.91528749573536</v>
      </c>
    </row>
    <row r="45" spans="2:48" outlineLevel="1" x14ac:dyDescent="0.3">
      <c r="B45" s="250" t="s">
        <v>302</v>
      </c>
      <c r="C45" s="249"/>
      <c r="D45" s="334">
        <f>'CFS (F1Q23)'!D45-'CFS (F4Q2022)'!D45</f>
        <v>0</v>
      </c>
      <c r="E45" s="334">
        <f>'CFS (F1Q23)'!E45-'CFS (F4Q2022)'!E45</f>
        <v>0</v>
      </c>
      <c r="F45" s="334">
        <f>'CFS (F1Q23)'!F45-'CFS (F4Q2022)'!F45</f>
        <v>0</v>
      </c>
      <c r="G45" s="334">
        <f>'CFS (F1Q23)'!G45-'CFS (F4Q2022)'!G45</f>
        <v>0</v>
      </c>
      <c r="H45" s="335">
        <f>'CFS (F1Q23)'!H45-'CFS (F4Q2022)'!H45</f>
        <v>0</v>
      </c>
      <c r="I45" s="334">
        <f>'CFS (F1Q23)'!I45-'CFS (F4Q2022)'!I45</f>
        <v>0</v>
      </c>
      <c r="J45" s="334">
        <f>'CFS (F1Q23)'!J45-'CFS (F4Q2022)'!J45</f>
        <v>0</v>
      </c>
      <c r="K45" s="334">
        <f>'CFS (F1Q23)'!K45-'CFS (F4Q2022)'!K45</f>
        <v>0</v>
      </c>
      <c r="L45" s="334">
        <f>'CFS (F1Q23)'!L45-'CFS (F4Q2022)'!L45</f>
        <v>0</v>
      </c>
      <c r="M45" s="335">
        <f>'CFS (F1Q23)'!M45-'CFS (F4Q2022)'!M45</f>
        <v>0</v>
      </c>
      <c r="N45" s="334">
        <f>'CFS (F1Q23)'!N45-'CFS (F4Q2022)'!N45</f>
        <v>0</v>
      </c>
      <c r="O45" s="334">
        <f>'CFS (F1Q23)'!O45-'CFS (F4Q2022)'!O45</f>
        <v>0</v>
      </c>
      <c r="P45" s="334">
        <f>'CFS (F1Q23)'!P45-'CFS (F4Q2022)'!P45</f>
        <v>0</v>
      </c>
      <c r="Q45" s="334">
        <f>'CFS (F1Q23)'!Q45-'CFS (F4Q2022)'!Q45</f>
        <v>0</v>
      </c>
      <c r="R45" s="335">
        <f>'CFS (F1Q23)'!R45-'CFS (F4Q2022)'!R45</f>
        <v>0</v>
      </c>
      <c r="S45" s="334">
        <f>'CFS (F1Q23)'!S45-'CFS (F4Q2022)'!S45</f>
        <v>0</v>
      </c>
      <c r="T45" s="334">
        <f>'CFS (F1Q23)'!T45-'CFS (F4Q2022)'!T45</f>
        <v>0</v>
      </c>
      <c r="U45" s="334">
        <f>'CFS (F1Q23)'!U45-'CFS (F4Q2022)'!U45</f>
        <v>0</v>
      </c>
      <c r="V45" s="334">
        <f>'CFS (F1Q23)'!V45-'CFS (F4Q2022)'!V45</f>
        <v>0</v>
      </c>
      <c r="W45" s="335">
        <f>'CFS (F1Q23)'!W45-'CFS (F4Q2022)'!W45</f>
        <v>0</v>
      </c>
      <c r="X45" s="334">
        <f>'CFS (F1Q23)'!X45-'CFS (F4Q2022)'!X45</f>
        <v>0</v>
      </c>
      <c r="Y45" s="334">
        <f>'CFS (F1Q23)'!Y45-'CFS (F4Q2022)'!Y45</f>
        <v>0</v>
      </c>
      <c r="Z45" s="334">
        <f>'CFS (F1Q23)'!Z45-'CFS (F4Q2022)'!Z45</f>
        <v>0</v>
      </c>
      <c r="AA45" s="334">
        <f>'CFS (F1Q23)'!AA45-'CFS (F4Q2022)'!AA45</f>
        <v>0</v>
      </c>
      <c r="AB45" s="335">
        <f>'CFS (F1Q23)'!AB45-'CFS (F4Q2022)'!AB45</f>
        <v>0</v>
      </c>
      <c r="AC45" s="334">
        <f>'CFS (F1Q23)'!AC45-'CFS (F4Q2022)'!AC45</f>
        <v>0</v>
      </c>
      <c r="AD45" s="334">
        <f>'CFS (F1Q23)'!AD45-'CFS (F4Q2022)'!AD45</f>
        <v>0</v>
      </c>
      <c r="AE45" s="334">
        <f>'CFS (F1Q23)'!AE45-'CFS (F4Q2022)'!AE45</f>
        <v>0</v>
      </c>
      <c r="AF45" s="334">
        <f>'CFS (F1Q23)'!AF45-'CFS (F4Q2022)'!AF45</f>
        <v>0</v>
      </c>
      <c r="AG45" s="335">
        <f>'CFS (F1Q23)'!AG45-'CFS (F4Q2022)'!AG45</f>
        <v>0</v>
      </c>
      <c r="AH45" s="334">
        <f>'CFS (F1Q23)'!AH45-'CFS (F4Q2022)'!AH45</f>
        <v>0</v>
      </c>
      <c r="AI45" s="334">
        <f>'CFS (F1Q23)'!AI45-'CFS (F4Q2022)'!AI45</f>
        <v>0</v>
      </c>
      <c r="AJ45" s="334">
        <f>'CFS (F1Q23)'!AJ45-'CFS (F4Q2022)'!AJ45</f>
        <v>0</v>
      </c>
      <c r="AK45" s="334">
        <f>'CFS (F1Q23)'!AK45-'CFS (F4Q2022)'!AK45</f>
        <v>0</v>
      </c>
      <c r="AL45" s="335">
        <f>'CFS (F1Q23)'!AL45-'CFS (F4Q2022)'!AL45</f>
        <v>0</v>
      </c>
      <c r="AM45" s="334">
        <f>'CFS (F1Q23)'!AM45-'CFS (F4Q2022)'!AM45</f>
        <v>0</v>
      </c>
      <c r="AN45" s="334">
        <f>'CFS (F1Q23)'!AN45-'CFS (F4Q2022)'!AN45</f>
        <v>0</v>
      </c>
      <c r="AO45" s="334">
        <f>'CFS (F1Q23)'!AO45-'CFS (F4Q2022)'!AO45</f>
        <v>0</v>
      </c>
      <c r="AP45" s="334">
        <f>'CFS (F1Q23)'!AP45-'CFS (F4Q2022)'!AP45</f>
        <v>0</v>
      </c>
      <c r="AQ45" s="335">
        <f>'CFS (F1Q23)'!AQ45-'CFS (F4Q2022)'!AQ45</f>
        <v>0</v>
      </c>
      <c r="AR45" s="334">
        <f>'CFS (F1Q23)'!AR45-'CFS (F4Q2022)'!AR45</f>
        <v>0</v>
      </c>
      <c r="AS45" s="334">
        <f>'CFS (F1Q23)'!AS45-'CFS (F4Q2022)'!AS45</f>
        <v>0</v>
      </c>
      <c r="AT45" s="334">
        <f>'CFS (F1Q23)'!AT45-'CFS (F4Q2022)'!AT45</f>
        <v>0</v>
      </c>
      <c r="AU45" s="334">
        <f>'CFS (F1Q23)'!AU45-'CFS (F4Q2022)'!AU45</f>
        <v>0</v>
      </c>
      <c r="AV45" s="335">
        <f>'CFS (F1Q23)'!AV45-'CFS (F4Q2022)'!AV45</f>
        <v>0</v>
      </c>
    </row>
    <row r="46" spans="2:48" outlineLevel="1" x14ac:dyDescent="0.3">
      <c r="B46" s="200" t="s">
        <v>303</v>
      </c>
      <c r="C46" s="201"/>
      <c r="D46" s="16">
        <f>'CFS (F1Q23)'!D46-'CFS (F4Q2022)'!D46</f>
        <v>0</v>
      </c>
      <c r="E46" s="16">
        <f>'CFS (F1Q23)'!E46-'CFS (F4Q2022)'!E46</f>
        <v>0</v>
      </c>
      <c r="F46" s="16">
        <f>'CFS (F1Q23)'!F46-'CFS (F4Q2022)'!F46</f>
        <v>0</v>
      </c>
      <c r="G46" s="16">
        <f>'CFS (F1Q23)'!G46-'CFS (F4Q2022)'!G46</f>
        <v>0</v>
      </c>
      <c r="H46" s="17">
        <f>'CFS (F1Q23)'!H46-'CFS (F4Q2022)'!H46</f>
        <v>0</v>
      </c>
      <c r="I46" s="16">
        <f>'CFS (F1Q23)'!I46-'CFS (F4Q2022)'!I46</f>
        <v>0</v>
      </c>
      <c r="J46" s="16">
        <f>'CFS (F1Q23)'!J46-'CFS (F4Q2022)'!J46</f>
        <v>0</v>
      </c>
      <c r="K46" s="16">
        <f>'CFS (F1Q23)'!K46-'CFS (F4Q2022)'!K46</f>
        <v>0</v>
      </c>
      <c r="L46" s="16">
        <f>'CFS (F1Q23)'!L46-'CFS (F4Q2022)'!L46</f>
        <v>0</v>
      </c>
      <c r="M46" s="17">
        <f>'CFS (F1Q23)'!M46-'CFS (F4Q2022)'!M46</f>
        <v>0</v>
      </c>
      <c r="N46" s="16">
        <f>'CFS (F1Q23)'!N46-'CFS (F4Q2022)'!N46</f>
        <v>0</v>
      </c>
      <c r="O46" s="16">
        <f>'CFS (F1Q23)'!O46-'CFS (F4Q2022)'!O46</f>
        <v>0</v>
      </c>
      <c r="P46" s="16">
        <f>'CFS (F1Q23)'!P46-'CFS (F4Q2022)'!P46</f>
        <v>0</v>
      </c>
      <c r="Q46" s="16">
        <f>'CFS (F1Q23)'!Q46-'CFS (F4Q2022)'!Q46</f>
        <v>0</v>
      </c>
      <c r="R46" s="17">
        <f>'CFS (F1Q23)'!R46-'CFS (F4Q2022)'!R46</f>
        <v>0</v>
      </c>
      <c r="S46" s="16">
        <f>'CFS (F1Q23)'!S46-'CFS (F4Q2022)'!S46</f>
        <v>0</v>
      </c>
      <c r="T46" s="16">
        <f>'CFS (F1Q23)'!T46-'CFS (F4Q2022)'!T46</f>
        <v>0</v>
      </c>
      <c r="U46" s="16">
        <f>'CFS (F1Q23)'!U46-'CFS (F4Q2022)'!U46</f>
        <v>0</v>
      </c>
      <c r="V46" s="16">
        <f>'CFS (F1Q23)'!V46-'CFS (F4Q2022)'!V46</f>
        <v>0</v>
      </c>
      <c r="W46" s="17">
        <f>'CFS (F1Q23)'!W46-'CFS (F4Q2022)'!W46</f>
        <v>0</v>
      </c>
      <c r="X46" s="16">
        <f>'CFS (F1Q23)'!X46-'CFS (F4Q2022)'!X46</f>
        <v>-672.48209608284833</v>
      </c>
      <c r="Y46" s="16">
        <f>'CFS (F1Q23)'!Y46-'CFS (F4Q2022)'!Y46</f>
        <v>-234.94676203369909</v>
      </c>
      <c r="Z46" s="16">
        <f>'CFS (F1Q23)'!Z46-'CFS (F4Q2022)'!Z46</f>
        <v>-389.3383794877227</v>
      </c>
      <c r="AA46" s="16">
        <f>'CFS (F1Q23)'!AA46-'CFS (F4Q2022)'!AA46</f>
        <v>-519.17592654750706</v>
      </c>
      <c r="AB46" s="17">
        <f>'CFS (F1Q23)'!AB46-'CFS (F4Q2022)'!AB46</f>
        <v>-519.17592654750706</v>
      </c>
      <c r="AC46" s="16">
        <f>'CFS (F1Q23)'!AC46-'CFS (F4Q2022)'!AC46</f>
        <v>-877.66377623511107</v>
      </c>
      <c r="AD46" s="16">
        <f>'CFS (F1Q23)'!AD46-'CFS (F4Q2022)'!AD46</f>
        <v>-1121.9375369981553</v>
      </c>
      <c r="AE46" s="16">
        <f>'CFS (F1Q23)'!AE46-'CFS (F4Q2022)'!AE46</f>
        <v>-1146.360080845508</v>
      </c>
      <c r="AF46" s="16">
        <f>'CFS (F1Q23)'!AF46-'CFS (F4Q2022)'!AF46</f>
        <v>-1033.8810431462589</v>
      </c>
      <c r="AG46" s="17">
        <f>'CFS (F1Q23)'!AG46-'CFS (F4Q2022)'!AG46</f>
        <v>-1033.8810431462589</v>
      </c>
      <c r="AH46" s="16">
        <f>'CFS (F1Q23)'!AH46-'CFS (F4Q2022)'!AH46</f>
        <v>-1362.8326006227971</v>
      </c>
      <c r="AI46" s="16">
        <f>'CFS (F1Q23)'!AI46-'CFS (F4Q2022)'!AI46</f>
        <v>-1489.3282847301052</v>
      </c>
      <c r="AJ46" s="16">
        <f>'CFS (F1Q23)'!AJ46-'CFS (F4Q2022)'!AJ46</f>
        <v>122.81684827246499</v>
      </c>
      <c r="AK46" s="16">
        <f>'CFS (F1Q23)'!AK46-'CFS (F4Q2022)'!AK46</f>
        <v>131.06968536146269</v>
      </c>
      <c r="AL46" s="17">
        <f>'CFS (F1Q23)'!AL46-'CFS (F4Q2022)'!AL46</f>
        <v>131.06968536146269</v>
      </c>
      <c r="AM46" s="16">
        <f>'CFS (F1Q23)'!AM46-'CFS (F4Q2022)'!AM46</f>
        <v>-290.80936749716147</v>
      </c>
      <c r="AN46" s="16">
        <f>'CFS (F1Q23)'!AN46-'CFS (F4Q2022)'!AN46</f>
        <v>-1340.9245248242034</v>
      </c>
      <c r="AO46" s="16">
        <f>'CFS (F1Q23)'!AO46-'CFS (F4Q2022)'!AO46</f>
        <v>-1340.3520653887904</v>
      </c>
      <c r="AP46" s="16">
        <f>'CFS (F1Q23)'!AP46-'CFS (F4Q2022)'!AP46</f>
        <v>-1292.4699809888127</v>
      </c>
      <c r="AQ46" s="17">
        <f>'CFS (F1Q23)'!AQ46-'CFS (F4Q2022)'!AQ46</f>
        <v>-1292.4699809888127</v>
      </c>
      <c r="AR46" s="16">
        <f>'CFS (F1Q23)'!AR46-'CFS (F4Q2022)'!AR46</f>
        <v>-1677.1179273352141</v>
      </c>
      <c r="AS46" s="16">
        <f>'CFS (F1Q23)'!AS46-'CFS (F4Q2022)'!AS46</f>
        <v>-1811.8959147970463</v>
      </c>
      <c r="AT46" s="16">
        <f>'CFS (F1Q23)'!AT46-'CFS (F4Q2022)'!AT46</f>
        <v>-1814.6431650082527</v>
      </c>
      <c r="AU46" s="16">
        <f>'CFS (F1Q23)'!AU46-'CFS (F4Q2022)'!AU46</f>
        <v>-1765.4831657447298</v>
      </c>
      <c r="AV46" s="17">
        <f>'CFS (F1Q23)'!AV46-'CFS (F4Q2022)'!AV46</f>
        <v>-1765.4831657447298</v>
      </c>
    </row>
    <row r="47" spans="2:48" outlineLevel="1" x14ac:dyDescent="0.3">
      <c r="B47" s="200" t="s">
        <v>304</v>
      </c>
      <c r="C47" s="201"/>
      <c r="D47" s="16">
        <f>'CFS (F1Q23)'!D47-'CFS (F4Q2022)'!D47</f>
        <v>0</v>
      </c>
      <c r="E47" s="16">
        <f>'CFS (F1Q23)'!E47-'CFS (F4Q2022)'!E47</f>
        <v>0</v>
      </c>
      <c r="F47" s="16">
        <f>'CFS (F1Q23)'!F47-'CFS (F4Q2022)'!F47</f>
        <v>0</v>
      </c>
      <c r="G47" s="16">
        <f>'CFS (F1Q23)'!G47-'CFS (F4Q2022)'!G47</f>
        <v>0</v>
      </c>
      <c r="H47" s="17">
        <f>'CFS (F1Q23)'!H47-'CFS (F4Q2022)'!H47</f>
        <v>0</v>
      </c>
      <c r="I47" s="16">
        <f>'CFS (F1Q23)'!I47-'CFS (F4Q2022)'!I47</f>
        <v>0</v>
      </c>
      <c r="J47" s="16">
        <f>'CFS (F1Q23)'!J47-'CFS (F4Q2022)'!J47</f>
        <v>0</v>
      </c>
      <c r="K47" s="16">
        <f>'CFS (F1Q23)'!K47-'CFS (F4Q2022)'!K47</f>
        <v>0</v>
      </c>
      <c r="L47" s="16">
        <f>'CFS (F1Q23)'!L47-'CFS (F4Q2022)'!L47</f>
        <v>0</v>
      </c>
      <c r="M47" s="17">
        <f>'CFS (F1Q23)'!M47-'CFS (F4Q2022)'!M47</f>
        <v>0</v>
      </c>
      <c r="N47" s="16">
        <f>'CFS (F1Q23)'!N47-'CFS (F4Q2022)'!N47</f>
        <v>0</v>
      </c>
      <c r="O47" s="16">
        <f>'CFS (F1Q23)'!O47-'CFS (F4Q2022)'!O47</f>
        <v>0</v>
      </c>
      <c r="P47" s="16">
        <f>'CFS (F1Q23)'!P47-'CFS (F4Q2022)'!P47</f>
        <v>0</v>
      </c>
      <c r="Q47" s="16">
        <f>'CFS (F1Q23)'!Q47-'CFS (F4Q2022)'!Q47</f>
        <v>0</v>
      </c>
      <c r="R47" s="17">
        <f>'CFS (F1Q23)'!R47-'CFS (F4Q2022)'!R47</f>
        <v>0</v>
      </c>
      <c r="S47" s="16">
        <f>'CFS (F1Q23)'!S47-'CFS (F4Q2022)'!S47</f>
        <v>0</v>
      </c>
      <c r="T47" s="16">
        <f>'CFS (F1Q23)'!T47-'CFS (F4Q2022)'!T47</f>
        <v>0</v>
      </c>
      <c r="U47" s="16">
        <f>'CFS (F1Q23)'!U47-'CFS (F4Q2022)'!U47</f>
        <v>0</v>
      </c>
      <c r="V47" s="16">
        <f>'CFS (F1Q23)'!V47-'CFS (F4Q2022)'!V47</f>
        <v>0</v>
      </c>
      <c r="W47" s="17">
        <f>'CFS (F1Q23)'!W47-'CFS (F4Q2022)'!W47</f>
        <v>0</v>
      </c>
      <c r="X47" s="16">
        <f>'CFS (F1Q23)'!X47-'CFS (F4Q2022)'!X47</f>
        <v>-117.89999999999964</v>
      </c>
      <c r="Y47" s="16">
        <f>'CFS (F1Q23)'!Y47-'CFS (F4Q2022)'!Y47</f>
        <v>383.10000000000036</v>
      </c>
      <c r="Z47" s="16">
        <f>'CFS (F1Q23)'!Z47-'CFS (F4Q2022)'!Z47</f>
        <v>383.09999999999854</v>
      </c>
      <c r="AA47" s="16">
        <f>'CFS (F1Q23)'!AA47-'CFS (F4Q2022)'!AA47</f>
        <v>383.09999999999854</v>
      </c>
      <c r="AB47" s="17">
        <f>'CFS (F1Q23)'!AB47-'CFS (F4Q2022)'!AB47</f>
        <v>383.09999999999854</v>
      </c>
      <c r="AC47" s="16">
        <f>'CFS (F1Q23)'!AC47-'CFS (F4Q2022)'!AC47</f>
        <v>383.09999999999854</v>
      </c>
      <c r="AD47" s="16">
        <f>'CFS (F1Q23)'!AD47-'CFS (F4Q2022)'!AD47</f>
        <v>383.39999999999964</v>
      </c>
      <c r="AE47" s="16">
        <f>'CFS (F1Q23)'!AE47-'CFS (F4Q2022)'!AE47</f>
        <v>383.39999999999964</v>
      </c>
      <c r="AF47" s="16">
        <f>'CFS (F1Q23)'!AF47-'CFS (F4Q2022)'!AF47</f>
        <v>483.39999999999964</v>
      </c>
      <c r="AG47" s="17">
        <f>'CFS (F1Q23)'!AG47-'CFS (F4Q2022)'!AG47</f>
        <v>483.39999999999964</v>
      </c>
      <c r="AH47" s="16">
        <f>'CFS (F1Q23)'!AH47-'CFS (F4Q2022)'!AH47</f>
        <v>483.39999999999964</v>
      </c>
      <c r="AI47" s="16">
        <f>'CFS (F1Q23)'!AI47-'CFS (F4Q2022)'!AI47</f>
        <v>483.39999999999964</v>
      </c>
      <c r="AJ47" s="16">
        <f>'CFS (F1Q23)'!AJ47-'CFS (F4Q2022)'!AJ47</f>
        <v>2146.0188026848227</v>
      </c>
      <c r="AK47" s="16">
        <f>'CFS (F1Q23)'!AK47-'CFS (F4Q2022)'!AK47</f>
        <v>2146.0188026848227</v>
      </c>
      <c r="AL47" s="17">
        <f>'CFS (F1Q23)'!AL47-'CFS (F4Q2022)'!AL47</f>
        <v>2146.0188026848227</v>
      </c>
      <c r="AM47" s="16">
        <f>'CFS (F1Q23)'!AM47-'CFS (F4Q2022)'!AM47</f>
        <v>2146.0188026848227</v>
      </c>
      <c r="AN47" s="16">
        <f>'CFS (F1Q23)'!AN47-'CFS (F4Q2022)'!AN47</f>
        <v>1146.0188026848227</v>
      </c>
      <c r="AO47" s="16">
        <f>'CFS (F1Q23)'!AO47-'CFS (F4Q2022)'!AO47</f>
        <v>1146.0188026848227</v>
      </c>
      <c r="AP47" s="16">
        <f>'CFS (F1Q23)'!AP47-'CFS (F4Q2022)'!AP47</f>
        <v>1146.0188026848227</v>
      </c>
      <c r="AQ47" s="17">
        <f>'CFS (F1Q23)'!AQ47-'CFS (F4Q2022)'!AQ47</f>
        <v>1146.0188026848227</v>
      </c>
      <c r="AR47" s="16">
        <f>'CFS (F1Q23)'!AR47-'CFS (F4Q2022)'!AR47</f>
        <v>1146.0188026848227</v>
      </c>
      <c r="AS47" s="16">
        <f>'CFS (F1Q23)'!AS47-'CFS (F4Q2022)'!AS47</f>
        <v>1146.0188026848227</v>
      </c>
      <c r="AT47" s="16">
        <f>'CFS (F1Q23)'!AT47-'CFS (F4Q2022)'!AT47</f>
        <v>1146.0188026848227</v>
      </c>
      <c r="AU47" s="16">
        <f>'CFS (F1Q23)'!AU47-'CFS (F4Q2022)'!AU47</f>
        <v>1146.0188026848227</v>
      </c>
      <c r="AV47" s="17">
        <f>'CFS (F1Q23)'!AV47-'CFS (F4Q2022)'!AV47</f>
        <v>1146.0188026848227</v>
      </c>
    </row>
    <row r="48" spans="2:48" outlineLevel="1" x14ac:dyDescent="0.3">
      <c r="B48" s="635" t="s">
        <v>305</v>
      </c>
      <c r="C48" s="636"/>
      <c r="D48" s="346">
        <f>'CFS (F1Q23)'!D48-'CFS (F4Q2022)'!D48</f>
        <v>0</v>
      </c>
      <c r="E48" s="346">
        <f>'CFS (F1Q23)'!E48-'CFS (F4Q2022)'!E48</f>
        <v>0</v>
      </c>
      <c r="F48" s="346">
        <f>'CFS (F1Q23)'!F48-'CFS (F4Q2022)'!F48</f>
        <v>0</v>
      </c>
      <c r="G48" s="346">
        <f>'CFS (F1Q23)'!G48-'CFS (F4Q2022)'!G48</f>
        <v>0</v>
      </c>
      <c r="H48" s="347">
        <f>'CFS (F1Q23)'!H48-'CFS (F4Q2022)'!H48</f>
        <v>0</v>
      </c>
      <c r="I48" s="346">
        <f>'CFS (F1Q23)'!I48-'CFS (F4Q2022)'!I48</f>
        <v>0</v>
      </c>
      <c r="J48" s="346">
        <f>'CFS (F1Q23)'!J48-'CFS (F4Q2022)'!J48</f>
        <v>0</v>
      </c>
      <c r="K48" s="346">
        <f>'CFS (F1Q23)'!K48-'CFS (F4Q2022)'!K48</f>
        <v>0</v>
      </c>
      <c r="L48" s="346">
        <f>'CFS (F1Q23)'!L48-'CFS (F4Q2022)'!L48</f>
        <v>0</v>
      </c>
      <c r="M48" s="347">
        <f>'CFS (F1Q23)'!M48-'CFS (F4Q2022)'!M48</f>
        <v>0</v>
      </c>
      <c r="N48" s="346">
        <f>'CFS (F1Q23)'!N48-'CFS (F4Q2022)'!N48</f>
        <v>0</v>
      </c>
      <c r="O48" s="346">
        <f>'CFS (F1Q23)'!O48-'CFS (F4Q2022)'!O48</f>
        <v>0</v>
      </c>
      <c r="P48" s="346">
        <f>'CFS (F1Q23)'!P48-'CFS (F4Q2022)'!P48</f>
        <v>0</v>
      </c>
      <c r="Q48" s="346">
        <f>'CFS (F1Q23)'!Q48-'CFS (F4Q2022)'!Q48</f>
        <v>0</v>
      </c>
      <c r="R48" s="347">
        <f>'CFS (F1Q23)'!R48-'CFS (F4Q2022)'!R48</f>
        <v>0</v>
      </c>
      <c r="S48" s="346">
        <f>'CFS (F1Q23)'!S48-'CFS (F4Q2022)'!S48</f>
        <v>0</v>
      </c>
      <c r="T48" s="346">
        <f>'CFS (F1Q23)'!T48-'CFS (F4Q2022)'!T48</f>
        <v>0</v>
      </c>
      <c r="U48" s="346">
        <f>'CFS (F1Q23)'!U48-'CFS (F4Q2022)'!U48</f>
        <v>0</v>
      </c>
      <c r="V48" s="346">
        <f>'CFS (F1Q23)'!V48-'CFS (F4Q2022)'!V48</f>
        <v>0</v>
      </c>
      <c r="W48" s="347">
        <f>'CFS (F1Q23)'!W48-'CFS (F4Q2022)'!W48</f>
        <v>0</v>
      </c>
      <c r="X48" s="346">
        <f>'CFS (F1Q23)'!X48-'CFS (F4Q2022)'!X48</f>
        <v>-0.48712985849919299</v>
      </c>
      <c r="Y48" s="346">
        <f>'CFS (F1Q23)'!Y48-'CFS (F4Q2022)'!Y48</f>
        <v>-0.55076258195492578</v>
      </c>
      <c r="Z48" s="346">
        <f>'CFS (F1Q23)'!Z48-'CFS (F4Q2022)'!Z48</f>
        <v>-0.69329278088621749</v>
      </c>
      <c r="AA48" s="346">
        <f>'CFS (F1Q23)'!AA48-'CFS (F4Q2022)'!AA48</f>
        <v>-0.81264834826327359</v>
      </c>
      <c r="AB48" s="347">
        <f>'CFS (F1Q23)'!AB48-'CFS (F4Q2022)'!AB48</f>
        <v>-0.80192549040125982</v>
      </c>
      <c r="AC48" s="346">
        <f>'CFS (F1Q23)'!AC48-'CFS (F4Q2022)'!AC48</f>
        <v>-1.1271784511593541</v>
      </c>
      <c r="AD48" s="346">
        <f>'CFS (F1Q23)'!AD48-'CFS (F4Q2022)'!AD48</f>
        <v>-1.346305481790397</v>
      </c>
      <c r="AE48" s="346">
        <f>'CFS (F1Q23)'!AE48-'CFS (F4Q2022)'!AE48</f>
        <v>-1.3669466559578431</v>
      </c>
      <c r="AF48" s="346">
        <f>'CFS (F1Q23)'!AF48-'CFS (F4Q2022)'!AF48</f>
        <v>-1.3545031594253771</v>
      </c>
      <c r="AG48" s="347">
        <f>'CFS (F1Q23)'!AG48-'CFS (F4Q2022)'!AG48</f>
        <v>-1.3531360015452698</v>
      </c>
      <c r="AH48" s="346">
        <f>'CFS (F1Q23)'!AH48-'CFS (F4Q2022)'!AH48</f>
        <v>-1.6347670420911333</v>
      </c>
      <c r="AI48" s="346">
        <f>'CFS (F1Q23)'!AI48-'CFS (F4Q2022)'!AI48</f>
        <v>-1.7447400412810063</v>
      </c>
      <c r="AJ48" s="346">
        <f>'CFS (F1Q23)'!AJ48-'CFS (F4Q2022)'!AJ48</f>
        <v>-1.8854046700849114</v>
      </c>
      <c r="AK48" s="346">
        <f>'CFS (F1Q23)'!AK48-'CFS (F4Q2022)'!AK48</f>
        <v>-1.983056459992909</v>
      </c>
      <c r="AL48" s="347">
        <f>'CFS (F1Q23)'!AL48-'CFS (F4Q2022)'!AL48</f>
        <v>-1.927728775792751</v>
      </c>
      <c r="AM48" s="346">
        <f>'CFS (F1Q23)'!AM48-'CFS (F4Q2022)'!AM48</f>
        <v>-2.37590704894032</v>
      </c>
      <c r="AN48" s="346">
        <f>'CFS (F1Q23)'!AN48-'CFS (F4Q2022)'!AN48</f>
        <v>-2.4271016733494442</v>
      </c>
      <c r="AO48" s="346">
        <f>'CFS (F1Q23)'!AO48-'CFS (F4Q2022)'!AO48</f>
        <v>-2.4285432693435887</v>
      </c>
      <c r="AP48" s="346">
        <f>'CFS (F1Q23)'!AP48-'CFS (F4Q2022)'!AP48</f>
        <v>-2.3830288879525341</v>
      </c>
      <c r="AQ48" s="347">
        <f>'CFS (F1Q23)'!AQ48-'CFS (F4Q2022)'!AQ48</f>
        <v>-2.3809304624386769</v>
      </c>
      <c r="AR48" s="346">
        <f>'CFS (F1Q23)'!AR48-'CFS (F4Q2022)'!AR48</f>
        <v>-2.7415916402808076</v>
      </c>
      <c r="AS48" s="346">
        <f>'CFS (F1Q23)'!AS48-'CFS (F4Q2022)'!AS48</f>
        <v>-2.8726554926707184</v>
      </c>
      <c r="AT48" s="346">
        <f>'CFS (F1Q23)'!AT48-'CFS (F4Q2022)'!AT48</f>
        <v>-2.8768852271332808</v>
      </c>
      <c r="AU48" s="346">
        <f>'CFS (F1Q23)'!AU48-'CFS (F4Q2022)'!AU48</f>
        <v>-2.8300419550285785</v>
      </c>
      <c r="AV48" s="347">
        <f>'CFS (F1Q23)'!AV48-'CFS (F4Q2022)'!AV48</f>
        <v>-2.8273593705359712</v>
      </c>
    </row>
    <row r="49" spans="2:48" x14ac:dyDescent="0.3">
      <c r="B49" s="637"/>
      <c r="C49" s="637"/>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583" t="s">
        <v>306</v>
      </c>
      <c r="C50" s="584"/>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85"/>
      <c r="C51" s="586"/>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601" t="s">
        <v>307</v>
      </c>
      <c r="C52" s="602"/>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'CFS (F1Q23)'!D53-'CFS (F4Q2022)'!D53</f>
        <v>0</v>
      </c>
      <c r="E53" s="281">
        <f>'CFS (F1Q23)'!E53-'CFS (F4Q2022)'!E53</f>
        <v>0</v>
      </c>
      <c r="F53" s="113">
        <f>'CFS (F1Q23)'!F53-'CFS (F4Q2022)'!F53</f>
        <v>0</v>
      </c>
      <c r="G53" s="113">
        <f>'CFS (F1Q23)'!G53-'CFS (F4Q2022)'!G53</f>
        <v>0</v>
      </c>
      <c r="H53" s="125">
        <f>'CFS (F1Q23)'!H53-'CFS (F4Q2022)'!H53</f>
        <v>0</v>
      </c>
      <c r="I53" s="113">
        <f>'CFS (F1Q23)'!I53-'CFS (F4Q2022)'!I53</f>
        <v>0</v>
      </c>
      <c r="J53" s="113">
        <f>'CFS (F1Q23)'!J53-'CFS (F4Q2022)'!J53</f>
        <v>0</v>
      </c>
      <c r="K53" s="113">
        <f>'CFS (F1Q23)'!K53-'CFS (F4Q2022)'!K53</f>
        <v>0</v>
      </c>
      <c r="L53" s="113">
        <f>'CFS (F1Q23)'!L53-'CFS (F4Q2022)'!L53</f>
        <v>0</v>
      </c>
      <c r="M53" s="282">
        <f>'CFS (F1Q23)'!M53-'CFS (F4Q2022)'!M53</f>
        <v>0</v>
      </c>
      <c r="N53" s="113">
        <f>'CFS (F1Q23)'!N53-'CFS (F4Q2022)'!N53</f>
        <v>0</v>
      </c>
      <c r="O53" s="113">
        <f>'CFS (F1Q23)'!O53-'CFS (F4Q2022)'!O53</f>
        <v>0</v>
      </c>
      <c r="P53" s="113">
        <f>'CFS (F1Q23)'!P53-'CFS (F4Q2022)'!P53</f>
        <v>0</v>
      </c>
      <c r="Q53" s="113">
        <f>'CFS (F1Q23)'!Q53-'CFS (F4Q2022)'!Q53</f>
        <v>0</v>
      </c>
      <c r="R53" s="282">
        <f>'CFS (F1Q23)'!R53-'CFS (F4Q2022)'!R53</f>
        <v>0</v>
      </c>
      <c r="S53" s="113">
        <f>'CFS (F1Q23)'!S53-'CFS (F4Q2022)'!S53</f>
        <v>0</v>
      </c>
      <c r="T53" s="113">
        <f>'CFS (F1Q23)'!T53-'CFS (F4Q2022)'!T53</f>
        <v>0</v>
      </c>
      <c r="U53" s="113">
        <f>'CFS (F1Q23)'!U53-'CFS (F4Q2022)'!U53</f>
        <v>0</v>
      </c>
      <c r="V53" s="113">
        <f>'CFS (F1Q23)'!V53-'CFS (F4Q2022)'!V53</f>
        <v>0</v>
      </c>
      <c r="W53" s="282">
        <f>'CFS (F1Q23)'!W53-'CFS (F4Q2022)'!W53</f>
        <v>0</v>
      </c>
      <c r="X53" s="35">
        <f>'CFS (F1Q23)'!X53-'CFS (F4Q2022)'!X53</f>
        <v>1.3650828897137663E-3</v>
      </c>
      <c r="Y53" s="35">
        <f>'CFS (F1Q23)'!Y53-'CFS (F4Q2022)'!Y53</f>
        <v>3.4127072242844201E-4</v>
      </c>
      <c r="Z53" s="35">
        <f>'CFS (F1Q23)'!Z53-'CFS (F4Q2022)'!Z53</f>
        <v>4.265884030355523E-4</v>
      </c>
      <c r="AA53" s="35">
        <f>'CFS (F1Q23)'!AA53-'CFS (F4Q2022)'!AA53</f>
        <v>5.3323550379444015E-4</v>
      </c>
      <c r="AB53" s="282">
        <f>'CFS (F1Q23)'!AB53-'CFS (F4Q2022)'!AB53</f>
        <v>0</v>
      </c>
      <c r="AC53" s="35">
        <f>'CFS (F1Q23)'!AC53-'CFS (F4Q2022)'!AC53</f>
        <v>6.6654437974304932E-4</v>
      </c>
      <c r="AD53" s="35">
        <f>'CFS (F1Q23)'!AD53-'CFS (F4Q2022)'!AD53</f>
        <v>4.9190975225037008E-4</v>
      </c>
      <c r="AE53" s="35">
        <f>'CFS (F1Q23)'!AE53-'CFS (F4Q2022)'!AE53</f>
        <v>5.2956950970585361E-4</v>
      </c>
      <c r="AF53" s="35">
        <f>'CFS (F1Q23)'!AF53-'CFS (F4Q2022)'!AF53</f>
        <v>5.5531478637342938E-4</v>
      </c>
      <c r="AG53" s="282">
        <f>'CFS (F1Q23)'!AG53-'CFS (F4Q2022)'!AG53</f>
        <v>0</v>
      </c>
      <c r="AH53" s="35">
        <f>'CFS (F1Q23)'!AH53-'CFS (F4Q2022)'!AH53</f>
        <v>5.6083460701817668E-4</v>
      </c>
      <c r="AI53" s="35">
        <f>'CFS (F1Q23)'!AI53-'CFS (F4Q2022)'!AI53</f>
        <v>5.3440716383695679E-4</v>
      </c>
      <c r="AJ53" s="35">
        <f>'CFS (F1Q23)'!AJ53-'CFS (F4Q2022)'!AJ53</f>
        <v>5.4503151673360346E-4</v>
      </c>
      <c r="AK53" s="35">
        <f>'CFS (F1Q23)'!AK53-'CFS (F4Q2022)'!AK53</f>
        <v>5.4889701849054201E-4</v>
      </c>
      <c r="AL53" s="282">
        <f>'CFS (F1Q23)'!AL53-'CFS (F4Q2022)'!AL53</f>
        <v>0</v>
      </c>
      <c r="AM53" s="35">
        <f>'CFS (F1Q23)'!AM53-'CFS (F4Q2022)'!AM53</f>
        <v>5.472925765198193E-4</v>
      </c>
      <c r="AN53" s="35">
        <f>'CFS (F1Q23)'!AN53-'CFS (F4Q2022)'!AN53</f>
        <v>5.4390706889523126E-4</v>
      </c>
      <c r="AO53" s="35">
        <f>'CFS (F1Q23)'!AO53-'CFS (F4Q2022)'!AO53</f>
        <v>5.4628204515979988E-4</v>
      </c>
      <c r="AP53" s="35">
        <f>'CFS (F1Q23)'!AP53-'CFS (F4Q2022)'!AP53</f>
        <v>5.4659467726634724E-4</v>
      </c>
      <c r="AQ53" s="282">
        <f>'CFS (F1Q23)'!AQ53-'CFS (F4Q2022)'!AQ53</f>
        <v>0</v>
      </c>
      <c r="AR53" s="35">
        <f>'CFS (F1Q23)'!AR53-'CFS (F4Q2022)'!AR53</f>
        <v>5.4601909196029877E-4</v>
      </c>
      <c r="AS53" s="35">
        <f>'CFS (F1Q23)'!AS53-'CFS (F4Q2022)'!AS53</f>
        <v>5.4570072082041864E-4</v>
      </c>
      <c r="AT53" s="35">
        <f>'CFS (F1Q23)'!AT53-'CFS (F4Q2022)'!AT53</f>
        <v>5.4614913380171548E-4</v>
      </c>
      <c r="AU53" s="35">
        <f>'CFS (F1Q23)'!AU53-'CFS (F4Q2022)'!AU53</f>
        <v>5.4611590596219482E-4</v>
      </c>
      <c r="AV53" s="282">
        <f>'CFS (F1Q23)'!AV53-'CFS (F4Q2022)'!AV53</f>
        <v>0</v>
      </c>
    </row>
    <row r="54" spans="2:48" s="23" customFormat="1" outlineLevel="1" x14ac:dyDescent="0.3">
      <c r="B54" s="200" t="s">
        <v>309</v>
      </c>
      <c r="C54" s="201"/>
      <c r="D54" s="351">
        <f>'CFS (F1Q23)'!D54-'CFS (F4Q2022)'!D54</f>
        <v>0</v>
      </c>
      <c r="E54" s="351">
        <f>'CFS (F1Q23)'!E54-'CFS (F4Q2022)'!E54</f>
        <v>0</v>
      </c>
      <c r="F54" s="113">
        <f>'CFS (F1Q23)'!F54-'CFS (F4Q2022)'!F54</f>
        <v>0</v>
      </c>
      <c r="G54" s="113">
        <f>'CFS (F1Q23)'!G54-'CFS (F4Q2022)'!G54</f>
        <v>0</v>
      </c>
      <c r="H54" s="125">
        <f>'CFS (F1Q23)'!H54-'CFS (F4Q2022)'!H54</f>
        <v>0</v>
      </c>
      <c r="I54" s="113">
        <f>'CFS (F1Q23)'!I54-'CFS (F4Q2022)'!I54</f>
        <v>0</v>
      </c>
      <c r="J54" s="113">
        <f>'CFS (F1Q23)'!J54-'CFS (F4Q2022)'!J54</f>
        <v>0</v>
      </c>
      <c r="K54" s="113">
        <f>'CFS (F1Q23)'!K54-'CFS (F4Q2022)'!K54</f>
        <v>0</v>
      </c>
      <c r="L54" s="113">
        <f>'CFS (F1Q23)'!L54-'CFS (F4Q2022)'!L54</f>
        <v>0</v>
      </c>
      <c r="M54" s="282">
        <f>'CFS (F1Q23)'!M54-'CFS (F4Q2022)'!M54</f>
        <v>0</v>
      </c>
      <c r="N54" s="113">
        <f>'CFS (F1Q23)'!N54-'CFS (F4Q2022)'!N54</f>
        <v>0</v>
      </c>
      <c r="O54" s="113">
        <f>'CFS (F1Q23)'!O54-'CFS (F4Q2022)'!O54</f>
        <v>0</v>
      </c>
      <c r="P54" s="113">
        <f>'CFS (F1Q23)'!P54-'CFS (F4Q2022)'!P54</f>
        <v>0</v>
      </c>
      <c r="Q54" s="113">
        <f>'CFS (F1Q23)'!Q54-'CFS (F4Q2022)'!Q54</f>
        <v>0</v>
      </c>
      <c r="R54" s="282">
        <f>'CFS (F1Q23)'!R54-'CFS (F4Q2022)'!R54</f>
        <v>0</v>
      </c>
      <c r="S54" s="113">
        <f>'CFS (F1Q23)'!S54-'CFS (F4Q2022)'!S54</f>
        <v>0</v>
      </c>
      <c r="T54" s="113">
        <f>'CFS (F1Q23)'!T54-'CFS (F4Q2022)'!T54</f>
        <v>0</v>
      </c>
      <c r="U54" s="113">
        <f>'CFS (F1Q23)'!U54-'CFS (F4Q2022)'!U54</f>
        <v>0</v>
      </c>
      <c r="V54" s="113">
        <f>'CFS (F1Q23)'!V54-'CFS (F4Q2022)'!V54</f>
        <v>0</v>
      </c>
      <c r="W54" s="282">
        <f>'CFS (F1Q23)'!W54-'CFS (F4Q2022)'!W54</f>
        <v>0</v>
      </c>
      <c r="X54" s="35">
        <f>'CFS (F1Q23)'!X54-'CFS (F4Q2022)'!X54</f>
        <v>-0.19683655536028111</v>
      </c>
      <c r="Y54" s="35">
        <f>'CFS (F1Q23)'!Y54-'CFS (F4Q2022)'!Y54</f>
        <v>0</v>
      </c>
      <c r="Z54" s="35">
        <f>'CFS (F1Q23)'!Z54-'CFS (F4Q2022)'!Z54</f>
        <v>0</v>
      </c>
      <c r="AA54" s="35">
        <f>'CFS (F1Q23)'!AA54-'CFS (F4Q2022)'!AA54</f>
        <v>0</v>
      </c>
      <c r="AB54" s="282">
        <f>'CFS (F1Q23)'!AB54-'CFS (F4Q2022)'!AB54</f>
        <v>0</v>
      </c>
      <c r="AC54" s="35">
        <f>'CFS (F1Q23)'!AC54-'CFS (F4Q2022)'!AC54</f>
        <v>0</v>
      </c>
      <c r="AD54" s="35">
        <f>'CFS (F1Q23)'!AD54-'CFS (F4Q2022)'!AD54</f>
        <v>0</v>
      </c>
      <c r="AE54" s="35">
        <f>'CFS (F1Q23)'!AE54-'CFS (F4Q2022)'!AE54</f>
        <v>0</v>
      </c>
      <c r="AF54" s="35">
        <f>'CFS (F1Q23)'!AF54-'CFS (F4Q2022)'!AF54</f>
        <v>0</v>
      </c>
      <c r="AG54" s="282">
        <f>'CFS (F1Q23)'!AG54-'CFS (F4Q2022)'!AG54</f>
        <v>0</v>
      </c>
      <c r="AH54" s="35">
        <f>'CFS (F1Q23)'!AH54-'CFS (F4Q2022)'!AH54</f>
        <v>0</v>
      </c>
      <c r="AI54" s="35">
        <f>'CFS (F1Q23)'!AI54-'CFS (F4Q2022)'!AI54</f>
        <v>0</v>
      </c>
      <c r="AJ54" s="35">
        <f>'CFS (F1Q23)'!AJ54-'CFS (F4Q2022)'!AJ54</f>
        <v>0</v>
      </c>
      <c r="AK54" s="35">
        <f>'CFS (F1Q23)'!AK54-'CFS (F4Q2022)'!AK54</f>
        <v>0</v>
      </c>
      <c r="AL54" s="282">
        <f>'CFS (F1Q23)'!AL54-'CFS (F4Q2022)'!AL54</f>
        <v>0</v>
      </c>
      <c r="AM54" s="35">
        <f>'CFS (F1Q23)'!AM54-'CFS (F4Q2022)'!AM54</f>
        <v>0</v>
      </c>
      <c r="AN54" s="35">
        <f>'CFS (F1Q23)'!AN54-'CFS (F4Q2022)'!AN54</f>
        <v>0</v>
      </c>
      <c r="AO54" s="35">
        <f>'CFS (F1Q23)'!AO54-'CFS (F4Q2022)'!AO54</f>
        <v>0</v>
      </c>
      <c r="AP54" s="35">
        <f>'CFS (F1Q23)'!AP54-'CFS (F4Q2022)'!AP54</f>
        <v>0</v>
      </c>
      <c r="AQ54" s="282">
        <f>'CFS (F1Q23)'!AQ54-'CFS (F4Q2022)'!AQ54</f>
        <v>0</v>
      </c>
      <c r="AR54" s="35">
        <f>'CFS (F1Q23)'!AR54-'CFS (F4Q2022)'!AR54</f>
        <v>0</v>
      </c>
      <c r="AS54" s="35">
        <f>'CFS (F1Q23)'!AS54-'CFS (F4Q2022)'!AS54</f>
        <v>0</v>
      </c>
      <c r="AT54" s="35">
        <f>'CFS (F1Q23)'!AT54-'CFS (F4Q2022)'!AT54</f>
        <v>0</v>
      </c>
      <c r="AU54" s="35">
        <f>'CFS (F1Q23)'!AU54-'CFS (F4Q2022)'!AU54</f>
        <v>0</v>
      </c>
      <c r="AV54" s="282">
        <f>'CFS (F1Q23)'!AV54-'CFS (F4Q2022)'!AV54</f>
        <v>0</v>
      </c>
    </row>
    <row r="55" spans="2:48" s="23" customFormat="1" outlineLevel="1" x14ac:dyDescent="0.3">
      <c r="B55" s="580" t="s">
        <v>310</v>
      </c>
      <c r="C55" s="581"/>
      <c r="D55" s="352">
        <f>'CFS (F1Q23)'!D55-'CFS (F4Q2022)'!D55</f>
        <v>0</v>
      </c>
      <c r="E55" s="352">
        <f>'CFS (F1Q23)'!E55-'CFS (F4Q2022)'!E55</f>
        <v>0</v>
      </c>
      <c r="F55" s="352">
        <f>'CFS (F1Q23)'!F55-'CFS (F4Q2022)'!F55</f>
        <v>0</v>
      </c>
      <c r="G55" s="352">
        <f>'CFS (F1Q23)'!G55-'CFS (F4Q2022)'!G55</f>
        <v>0</v>
      </c>
      <c r="H55" s="353">
        <f>'CFS (F1Q23)'!H55-'CFS (F4Q2022)'!H55</f>
        <v>0</v>
      </c>
      <c r="I55" s="352">
        <f>'CFS (F1Q23)'!I55-'CFS (F4Q2022)'!I55</f>
        <v>0</v>
      </c>
      <c r="J55" s="352">
        <f>'CFS (F1Q23)'!J55-'CFS (F4Q2022)'!J55</f>
        <v>0</v>
      </c>
      <c r="K55" s="352">
        <f>'CFS (F1Q23)'!K55-'CFS (F4Q2022)'!K55</f>
        <v>0</v>
      </c>
      <c r="L55" s="352">
        <f>'CFS (F1Q23)'!L55-'CFS (F4Q2022)'!L55</f>
        <v>0</v>
      </c>
      <c r="M55" s="353">
        <f>'CFS (F1Q23)'!M55-'CFS (F4Q2022)'!M55</f>
        <v>0</v>
      </c>
      <c r="N55" s="352">
        <f>'CFS (F1Q23)'!N55-'CFS (F4Q2022)'!N55</f>
        <v>0</v>
      </c>
      <c r="O55" s="352">
        <f>'CFS (F1Q23)'!O55-'CFS (F4Q2022)'!O55</f>
        <v>0</v>
      </c>
      <c r="P55" s="352">
        <f>'CFS (F1Q23)'!P55-'CFS (F4Q2022)'!P55</f>
        <v>0</v>
      </c>
      <c r="Q55" s="352">
        <f>'CFS (F1Q23)'!Q55-'CFS (F4Q2022)'!Q55</f>
        <v>0</v>
      </c>
      <c r="R55" s="353">
        <f>'CFS (F1Q23)'!R55-'CFS (F4Q2022)'!R55</f>
        <v>0</v>
      </c>
      <c r="S55" s="352">
        <f>'CFS (F1Q23)'!S55-'CFS (F4Q2022)'!S55</f>
        <v>0</v>
      </c>
      <c r="T55" s="352">
        <f>'CFS (F1Q23)'!T55-'CFS (F4Q2022)'!T55</f>
        <v>0</v>
      </c>
      <c r="U55" s="352">
        <f>'CFS (F1Q23)'!U55-'CFS (F4Q2022)'!U55</f>
        <v>0</v>
      </c>
      <c r="V55" s="352">
        <f>'CFS (F1Q23)'!V55-'CFS (F4Q2022)'!V55</f>
        <v>0</v>
      </c>
      <c r="W55" s="353">
        <f>'CFS (F1Q23)'!W55-'CFS (F4Q2022)'!W55</f>
        <v>0</v>
      </c>
      <c r="X55" s="352">
        <f>'CFS (F1Q23)'!X55-'CFS (F4Q2022)'!X55</f>
        <v>-0.23014562548780781</v>
      </c>
      <c r="Y55" s="352">
        <f>'CFS (F1Q23)'!Y55-'CFS (F4Q2022)'!Y55</f>
        <v>0.78045988250167042</v>
      </c>
      <c r="Z55" s="352">
        <f>'CFS (F1Q23)'!Z55-'CFS (F4Q2022)'!Z55</f>
        <v>2.7965625225053747E-2</v>
      </c>
      <c r="AA55" s="352">
        <f>'CFS (F1Q23)'!AA55-'CFS (F4Q2022)'!AA55</f>
        <v>6.1224584441711194E-2</v>
      </c>
      <c r="AB55" s="353">
        <f>'CFS (F1Q23)'!AB55-'CFS (F4Q2022)'!AB55</f>
        <v>-4.5831329007406163E-2</v>
      </c>
      <c r="AC55" s="352">
        <f>'CFS (F1Q23)'!AC55-'CFS (F4Q2022)'!AC55</f>
        <v>0.17348292829276346</v>
      </c>
      <c r="AD55" s="352">
        <f>'CFS (F1Q23)'!AD55-'CFS (F4Q2022)'!AD55</f>
        <v>-0.29138322523497617</v>
      </c>
      <c r="AE55" s="352">
        <f>'CFS (F1Q23)'!AE55-'CFS (F4Q2022)'!AE55</f>
        <v>-3.924955102528882E-3</v>
      </c>
      <c r="AF55" s="352">
        <f>'CFS (F1Q23)'!AF55-'CFS (F4Q2022)'!AF55</f>
        <v>1.1214073123103407E-2</v>
      </c>
      <c r="AG55" s="353">
        <f>'CFS (F1Q23)'!AG55-'CFS (F4Q2022)'!AG55</f>
        <v>1.3467188989807255E-2</v>
      </c>
      <c r="AH55" s="352">
        <f>'CFS (F1Q23)'!AH55-'CFS (F4Q2022)'!AH55</f>
        <v>-2.1385413729049674E-2</v>
      </c>
      <c r="AI55" s="352">
        <f>'CFS (F1Q23)'!AI55-'CFS (F4Q2022)'!AI55</f>
        <v>4.0270500380260366E-2</v>
      </c>
      <c r="AJ55" s="352">
        <f>'CFS (F1Q23)'!AJ55-'CFS (F4Q2022)'!AJ55</f>
        <v>4.0966715931820552E-3</v>
      </c>
      <c r="AK55" s="352">
        <f>'CFS (F1Q23)'!AK55-'CFS (F4Q2022)'!AK55</f>
        <v>-1.4568627587829841E-3</v>
      </c>
      <c r="AL55" s="353">
        <f>'CFS (F1Q23)'!AL55-'CFS (F4Q2022)'!AL55</f>
        <v>-3.4077914631303052E-4</v>
      </c>
      <c r="AM55" s="352">
        <f>'CFS (F1Q23)'!AM55-'CFS (F4Q2022)'!AM55</f>
        <v>-2.3364137209355151E-2</v>
      </c>
      <c r="AN55" s="352">
        <f>'CFS (F1Q23)'!AN55-'CFS (F4Q2022)'!AN55</f>
        <v>6.2804136188399973E-2</v>
      </c>
      <c r="AO55" s="352">
        <f>'CFS (F1Q23)'!AO55-'CFS (F4Q2022)'!AO55</f>
        <v>1.4051895691444383E-2</v>
      </c>
      <c r="AP55" s="352">
        <f>'CFS (F1Q23)'!AP55-'CFS (F4Q2022)'!AP55</f>
        <v>1.385794875927493E-2</v>
      </c>
      <c r="AQ55" s="353">
        <f>'CFS (F1Q23)'!AQ55-'CFS (F4Q2022)'!AQ55</f>
        <v>9.111893967999718E-3</v>
      </c>
      <c r="AR55" s="352">
        <f>'CFS (F1Q23)'!AR55-'CFS (F4Q2022)'!AR55</f>
        <v>2.6905983838878544E-2</v>
      </c>
      <c r="AS55" s="352">
        <f>'CFS (F1Q23)'!AS55-'CFS (F4Q2022)'!AS55</f>
        <v>-4.8399618785284204E-2</v>
      </c>
      <c r="AT55" s="352">
        <f>'CFS (F1Q23)'!AT55-'CFS (F4Q2022)'!AT55</f>
        <v>-3.7007767075192266E-3</v>
      </c>
      <c r="AU55" s="352">
        <f>'CFS (F1Q23)'!AU55-'CFS (F4Q2022)'!AU55</f>
        <v>5.7844587998623354E-5</v>
      </c>
      <c r="AV55" s="353">
        <f>'CFS (F1Q23)'!AV55-'CFS (F4Q2022)'!AV55</f>
        <v>-1.7482068550522811E-4</v>
      </c>
    </row>
    <row r="56" spans="2:48" outlineLevel="1" x14ac:dyDescent="0.3">
      <c r="B56" s="200" t="s">
        <v>311</v>
      </c>
      <c r="C56" s="356"/>
      <c r="D56" s="351">
        <f>'CFS (F1Q23)'!D56-'CFS (F4Q2022)'!D56</f>
        <v>0</v>
      </c>
      <c r="E56" s="351">
        <f>'CFS (F1Q23)'!E56-'CFS (F4Q2022)'!E56</f>
        <v>0</v>
      </c>
      <c r="F56" s="113">
        <f>'CFS (F1Q23)'!F56-'CFS (F4Q2022)'!F56</f>
        <v>0</v>
      </c>
      <c r="G56" s="113">
        <f>'CFS (F1Q23)'!G56-'CFS (F4Q2022)'!G56</f>
        <v>0</v>
      </c>
      <c r="H56" s="363">
        <f>'CFS (F1Q23)'!H56-'CFS (F4Q2022)'!H56</f>
        <v>0</v>
      </c>
      <c r="I56" s="354">
        <f>'CFS (F1Q23)'!I56-'CFS (F4Q2022)'!I56</f>
        <v>0</v>
      </c>
      <c r="J56" s="118">
        <f>'CFS (F1Q23)'!J56-'CFS (F4Q2022)'!J56</f>
        <v>0</v>
      </c>
      <c r="K56" s="118">
        <f>'CFS (F1Q23)'!K56-'CFS (F4Q2022)'!K56</f>
        <v>0</v>
      </c>
      <c r="L56" s="113">
        <f>'CFS (F1Q23)'!L56-'CFS (F4Q2022)'!L56</f>
        <v>0</v>
      </c>
      <c r="M56" s="353">
        <f>'CFS (F1Q23)'!M56-'CFS (F4Q2022)'!M56</f>
        <v>0</v>
      </c>
      <c r="N56" s="354">
        <f>'CFS (F1Q23)'!N56-'CFS (F4Q2022)'!N56</f>
        <v>0</v>
      </c>
      <c r="O56" s="118">
        <f>'CFS (F1Q23)'!O56-'CFS (F4Q2022)'!O56</f>
        <v>0</v>
      </c>
      <c r="P56" s="118">
        <f>'CFS (F1Q23)'!P56-'CFS (F4Q2022)'!P56</f>
        <v>0</v>
      </c>
      <c r="Q56" s="118">
        <f>'CFS (F1Q23)'!Q56-'CFS (F4Q2022)'!Q56</f>
        <v>0</v>
      </c>
      <c r="R56" s="353">
        <f>'CFS (F1Q23)'!R56-'CFS (F4Q2022)'!R56</f>
        <v>0</v>
      </c>
      <c r="S56" s="354">
        <f>'CFS (F1Q23)'!S56-'CFS (F4Q2022)'!S56</f>
        <v>0</v>
      </c>
      <c r="T56" s="118">
        <f>'CFS (F1Q23)'!T56-'CFS (F4Q2022)'!T56</f>
        <v>0</v>
      </c>
      <c r="U56" s="118">
        <f>'CFS (F1Q23)'!U56-'CFS (F4Q2022)'!U56</f>
        <v>0</v>
      </c>
      <c r="V56" s="118">
        <f>'CFS (F1Q23)'!V56-'CFS (F4Q2022)'!V56</f>
        <v>0</v>
      </c>
      <c r="W56" s="353">
        <f>'CFS (F1Q23)'!W56-'CFS (F4Q2022)'!W56</f>
        <v>0</v>
      </c>
      <c r="X56" s="355">
        <f>'CFS (F1Q23)'!X56-'CFS (F4Q2022)'!X56</f>
        <v>-1.0183119735203854E-2</v>
      </c>
      <c r="Y56" s="355">
        <f>'CFS (F1Q23)'!Y56-'CFS (F4Q2022)'!Y56</f>
        <v>3.6161334353994601E-3</v>
      </c>
      <c r="Z56" s="355">
        <f>'CFS (F1Q23)'!Z56-'CFS (F4Q2022)'!Z56</f>
        <v>3.6161334353994601E-3</v>
      </c>
      <c r="AA56" s="355">
        <f>'CFS (F1Q23)'!AA56-'CFS (F4Q2022)'!AA56</f>
        <v>3.6161334353994601E-3</v>
      </c>
      <c r="AB56" s="353">
        <f>'CFS (F1Q23)'!AB56-'CFS (F4Q2022)'!AB56</f>
        <v>2.6487386578201433E-4</v>
      </c>
      <c r="AC56" s="355">
        <f>'CFS (F1Q23)'!AC56-'CFS (F4Q2022)'!AC56</f>
        <v>0</v>
      </c>
      <c r="AD56" s="35">
        <f>'CFS (F1Q23)'!AD56-'CFS (F4Q2022)'!AD56</f>
        <v>0</v>
      </c>
      <c r="AE56" s="35">
        <f>'CFS (F1Q23)'!AE56-'CFS (F4Q2022)'!AE56</f>
        <v>0</v>
      </c>
      <c r="AF56" s="35">
        <f>'CFS (F1Q23)'!AF56-'CFS (F4Q2022)'!AF56</f>
        <v>0</v>
      </c>
      <c r="AG56" s="353">
        <f>'CFS (F1Q23)'!AG56-'CFS (F4Q2022)'!AG56</f>
        <v>0</v>
      </c>
      <c r="AH56" s="355">
        <f>'CFS (F1Q23)'!AH56-'CFS (F4Q2022)'!AH56</f>
        <v>0</v>
      </c>
      <c r="AI56" s="35">
        <f>'CFS (F1Q23)'!AI56-'CFS (F4Q2022)'!AI56</f>
        <v>0</v>
      </c>
      <c r="AJ56" s="35">
        <f>'CFS (F1Q23)'!AJ56-'CFS (F4Q2022)'!AJ56</f>
        <v>0</v>
      </c>
      <c r="AK56" s="35">
        <f>'CFS (F1Q23)'!AK56-'CFS (F4Q2022)'!AK56</f>
        <v>0</v>
      </c>
      <c r="AL56" s="353">
        <f>'CFS (F1Q23)'!AL56-'CFS (F4Q2022)'!AL56</f>
        <v>0</v>
      </c>
      <c r="AM56" s="355">
        <f>'CFS (F1Q23)'!AM56-'CFS (F4Q2022)'!AM56</f>
        <v>0</v>
      </c>
      <c r="AN56" s="35">
        <f>'CFS (F1Q23)'!AN56-'CFS (F4Q2022)'!AN56</f>
        <v>0</v>
      </c>
      <c r="AO56" s="35">
        <f>'CFS (F1Q23)'!AO56-'CFS (F4Q2022)'!AO56</f>
        <v>0</v>
      </c>
      <c r="AP56" s="35">
        <f>'CFS (F1Q23)'!AP56-'CFS (F4Q2022)'!AP56</f>
        <v>0</v>
      </c>
      <c r="AQ56" s="353">
        <f>'CFS (F1Q23)'!AQ56-'CFS (F4Q2022)'!AQ56</f>
        <v>0</v>
      </c>
      <c r="AR56" s="355">
        <f>'CFS (F1Q23)'!AR56-'CFS (F4Q2022)'!AR56</f>
        <v>0</v>
      </c>
      <c r="AS56" s="35">
        <f>'CFS (F1Q23)'!AS56-'CFS (F4Q2022)'!AS56</f>
        <v>0</v>
      </c>
      <c r="AT56" s="35">
        <f>'CFS (F1Q23)'!AT56-'CFS (F4Q2022)'!AT56</f>
        <v>0</v>
      </c>
      <c r="AU56" s="35">
        <f>'CFS (F1Q23)'!AU56-'CFS (F4Q2022)'!AU56</f>
        <v>0</v>
      </c>
      <c r="AV56" s="353">
        <f>'CFS (F1Q23)'!AV56-'CFS (F4Q2022)'!AV56</f>
        <v>0</v>
      </c>
    </row>
    <row r="57" spans="2:48" outlineLevel="1" x14ac:dyDescent="0.3">
      <c r="B57" s="200" t="s">
        <v>312</v>
      </c>
      <c r="C57" s="356"/>
      <c r="D57" s="299">
        <f>'CFS (F1Q23)'!D57-'CFS (F4Q2022)'!D57</f>
        <v>0</v>
      </c>
      <c r="E57" s="299">
        <f>'CFS (F1Q23)'!E57-'CFS (F4Q2022)'!E57</f>
        <v>0</v>
      </c>
      <c r="F57" s="146">
        <f>'CFS (F1Q23)'!F57-'CFS (F4Q2022)'!F57</f>
        <v>0</v>
      </c>
      <c r="G57" s="146">
        <f>'CFS (F1Q23)'!G57-'CFS (F4Q2022)'!G57</f>
        <v>0</v>
      </c>
      <c r="H57" s="122">
        <f>'CFS (F1Q23)'!H57-'CFS (F4Q2022)'!H57</f>
        <v>0</v>
      </c>
      <c r="I57" s="299">
        <f>'CFS (F1Q23)'!I57-'CFS (F4Q2022)'!I57</f>
        <v>0</v>
      </c>
      <c r="J57" s="146">
        <f>'CFS (F1Q23)'!J57-'CFS (F4Q2022)'!J57</f>
        <v>0</v>
      </c>
      <c r="K57" s="146">
        <f>'CFS (F1Q23)'!K57-'CFS (F4Q2022)'!K57</f>
        <v>0</v>
      </c>
      <c r="L57" s="146">
        <f>'CFS (F1Q23)'!L57-'CFS (F4Q2022)'!L57</f>
        <v>0</v>
      </c>
      <c r="M57" s="122">
        <f>'CFS (F1Q23)'!M57-'CFS (F4Q2022)'!M57</f>
        <v>0</v>
      </c>
      <c r="N57" s="299">
        <f>'CFS (F1Q23)'!N57-'CFS (F4Q2022)'!N57</f>
        <v>0</v>
      </c>
      <c r="O57" s="146">
        <f>'CFS (F1Q23)'!O57-'CFS (F4Q2022)'!O57</f>
        <v>0</v>
      </c>
      <c r="P57" s="146">
        <f>'CFS (F1Q23)'!P57-'CFS (F4Q2022)'!P57</f>
        <v>0</v>
      </c>
      <c r="Q57" s="146">
        <f>'CFS (F1Q23)'!Q57-'CFS (F4Q2022)'!Q57</f>
        <v>0</v>
      </c>
      <c r="R57" s="122">
        <f>'CFS (F1Q23)'!R57-'CFS (F4Q2022)'!R57</f>
        <v>0</v>
      </c>
      <c r="S57" s="299">
        <f>'CFS (F1Q23)'!S57-'CFS (F4Q2022)'!S57</f>
        <v>0</v>
      </c>
      <c r="T57" s="146">
        <f>'CFS (F1Q23)'!T57-'CFS (F4Q2022)'!T57</f>
        <v>0</v>
      </c>
      <c r="U57" s="146">
        <f>'CFS (F1Q23)'!U57-'CFS (F4Q2022)'!U57</f>
        <v>0</v>
      </c>
      <c r="V57" s="146">
        <f>'CFS (F1Q23)'!V57-'CFS (F4Q2022)'!V57</f>
        <v>0</v>
      </c>
      <c r="W57" s="122">
        <f>'CFS (F1Q23)'!W57-'CFS (F4Q2022)'!W57</f>
        <v>0</v>
      </c>
      <c r="X57" s="299">
        <f>'CFS (F1Q23)'!X57-'CFS (F4Q2022)'!X57</f>
        <v>190.1196922855537</v>
      </c>
      <c r="Y57" s="299">
        <f>'CFS (F1Q23)'!Y57-'CFS (F4Q2022)'!Y57</f>
        <v>98.592941670124901</v>
      </c>
      <c r="Z57" s="299">
        <f>'CFS (F1Q23)'!Z57-'CFS (F4Q2022)'!Z57</f>
        <v>98.060127553465236</v>
      </c>
      <c r="AA57" s="299">
        <f>'CFS (F1Q23)'!AA57-'CFS (F4Q2022)'!AA57</f>
        <v>97.402560199000845</v>
      </c>
      <c r="AB57" s="166">
        <f>'CFS (F1Q23)'!AB57-'CFS (F4Q2022)'!AB57</f>
        <v>484.17532170814502</v>
      </c>
      <c r="AC57" s="299">
        <f>'CFS (F1Q23)'!AC57-'CFS (F4Q2022)'!AC57</f>
        <v>99.124692285553806</v>
      </c>
      <c r="AD57" s="146">
        <f>'CFS (F1Q23)'!AD57-'CFS (F4Q2022)'!AD57</f>
        <v>98.592941670124901</v>
      </c>
      <c r="AE57" s="146">
        <f>'CFS (F1Q23)'!AE57-'CFS (F4Q2022)'!AE57</f>
        <v>-1.9398724465347641</v>
      </c>
      <c r="AF57" s="146">
        <f>'CFS (F1Q23)'!AF57-'CFS (F4Q2022)'!AF57</f>
        <v>-2.5974398009991546</v>
      </c>
      <c r="AG57" s="166">
        <f>'CFS (F1Q23)'!AG57-'CFS (F4Q2022)'!AG57</f>
        <v>193.18032170814467</v>
      </c>
      <c r="AH57" s="299">
        <f>'CFS (F1Q23)'!AH57-'CFS (F4Q2022)'!AH57</f>
        <v>-3.0964618410949925</v>
      </c>
      <c r="AI57" s="146">
        <f>'CFS (F1Q23)'!AI57-'CFS (F4Q2022)'!AI57</f>
        <v>-3.5964819252708367</v>
      </c>
      <c r="AJ57" s="146">
        <f>'CFS (F1Q23)'!AJ57-'CFS (F4Q2022)'!AJ57</f>
        <v>-3.5848722043010639</v>
      </c>
      <c r="AK57" s="146">
        <f>'CFS (F1Q23)'!AK57-'CFS (F4Q2022)'!AK57</f>
        <v>-3.7726236660246286</v>
      </c>
      <c r="AL57" s="122">
        <f>'CFS (F1Q23)'!AL57-'CFS (F4Q2022)'!AL57</f>
        <v>-14.050439636690498</v>
      </c>
      <c r="AM57" s="299">
        <f>'CFS (F1Q23)'!AM57-'CFS (F4Q2022)'!AM57</f>
        <v>-3.7990092035463476</v>
      </c>
      <c r="AN57" s="146">
        <f>'CFS (F1Q23)'!AN57-'CFS (F4Q2022)'!AN57</f>
        <v>-3.8066072219534135</v>
      </c>
      <c r="AO57" s="146">
        <f>'CFS (F1Q23)'!AO57-'CFS (F4Q2022)'!AO57</f>
        <v>-3.8143132891618734</v>
      </c>
      <c r="AP57" s="146">
        <f>'CFS (F1Q23)'!AP57-'CFS (F4Q2022)'!AP57</f>
        <v>-4.0131365069300955</v>
      </c>
      <c r="AQ57" s="122">
        <f>'CFS (F1Q23)'!AQ57-'CFS (F4Q2022)'!AQ57</f>
        <v>-15.433066221592071</v>
      </c>
      <c r="AR57" s="299">
        <f>'CFS (F1Q23)'!AR57-'CFS (F4Q2022)'!AR57</f>
        <v>-4.0211627799440066</v>
      </c>
      <c r="AS57" s="146">
        <f>'CFS (F1Q23)'!AS57-'CFS (F4Q2022)'!AS57</f>
        <v>-4.0292051055038201</v>
      </c>
      <c r="AT57" s="146">
        <f>'CFS (F1Q23)'!AT57-'CFS (F4Q2022)'!AT57</f>
        <v>-4.0372635157149261</v>
      </c>
      <c r="AU57" s="146">
        <f>'CFS (F1Q23)'!AU57-'CFS (F4Q2022)'!AU57</f>
        <v>-4.1262448036014803</v>
      </c>
      <c r="AV57" s="122">
        <f>'CFS (F1Q23)'!AV57-'CFS (F4Q2022)'!AV57</f>
        <v>-16.213876204763892</v>
      </c>
    </row>
    <row r="58" spans="2:48" outlineLevel="1" x14ac:dyDescent="0.3">
      <c r="B58" s="203" t="s">
        <v>313</v>
      </c>
      <c r="C58" s="364"/>
      <c r="D58" s="365">
        <f>'CFS (F1Q23)'!D58-'CFS (F4Q2022)'!D58</f>
        <v>0</v>
      </c>
      <c r="E58" s="365">
        <f>'CFS (F1Q23)'!E58-'CFS (F4Q2022)'!E58</f>
        <v>0</v>
      </c>
      <c r="F58" s="366">
        <f>'CFS (F1Q23)'!F58-'CFS (F4Q2022)'!F58</f>
        <v>0</v>
      </c>
      <c r="G58" s="366">
        <f>'CFS (F1Q23)'!G58-'CFS (F4Q2022)'!G58</f>
        <v>0</v>
      </c>
      <c r="H58" s="367">
        <f>'CFS (F1Q23)'!H58-'CFS (F4Q2022)'!H58</f>
        <v>0</v>
      </c>
      <c r="I58" s="365">
        <f>'CFS (F1Q23)'!I58-'CFS (F4Q2022)'!I58</f>
        <v>0</v>
      </c>
      <c r="J58" s="366">
        <f>'CFS (F1Q23)'!J58-'CFS (F4Q2022)'!J58</f>
        <v>0</v>
      </c>
      <c r="K58" s="366">
        <f>'CFS (F1Q23)'!K58-'CFS (F4Q2022)'!K58</f>
        <v>0</v>
      </c>
      <c r="L58" s="366">
        <f>'CFS (F1Q23)'!L58-'CFS (F4Q2022)'!L58</f>
        <v>0</v>
      </c>
      <c r="M58" s="367">
        <f>'CFS (F1Q23)'!M58-'CFS (F4Q2022)'!M58</f>
        <v>0</v>
      </c>
      <c r="N58" s="365">
        <f>'CFS (F1Q23)'!N58-'CFS (F4Q2022)'!N58</f>
        <v>0</v>
      </c>
      <c r="O58" s="366">
        <f>'CFS (F1Q23)'!O58-'CFS (F4Q2022)'!O58</f>
        <v>0</v>
      </c>
      <c r="P58" s="366">
        <f>'CFS (F1Q23)'!P58-'CFS (F4Q2022)'!P58</f>
        <v>0</v>
      </c>
      <c r="Q58" s="366">
        <f>'CFS (F1Q23)'!Q58-'CFS (F4Q2022)'!Q58</f>
        <v>0</v>
      </c>
      <c r="R58" s="367">
        <f>'CFS (F1Q23)'!R58-'CFS (F4Q2022)'!R58</f>
        <v>0</v>
      </c>
      <c r="S58" s="365">
        <f>'CFS (F1Q23)'!S58-'CFS (F4Q2022)'!S58</f>
        <v>0</v>
      </c>
      <c r="T58" s="366">
        <f>'CFS (F1Q23)'!T58-'CFS (F4Q2022)'!T58</f>
        <v>0</v>
      </c>
      <c r="U58" s="366">
        <f>'CFS (F1Q23)'!U58-'CFS (F4Q2022)'!U58</f>
        <v>0</v>
      </c>
      <c r="V58" s="366">
        <f>'CFS (F1Q23)'!V58-'CFS (F4Q2022)'!V58</f>
        <v>0</v>
      </c>
      <c r="W58" s="367">
        <f>'CFS (F1Q23)'!W58-'CFS (F4Q2022)'!W58</f>
        <v>0</v>
      </c>
      <c r="X58" s="365">
        <f>'CFS (F1Q23)'!X58-'CFS (F4Q2022)'!X58</f>
        <v>190.1196922855537</v>
      </c>
      <c r="Y58" s="365">
        <f>'CFS (F1Q23)'!Y58-'CFS (F4Q2022)'!Y58</f>
        <v>288.71263395567871</v>
      </c>
      <c r="Z58" s="365">
        <f>'CFS (F1Q23)'!Z58-'CFS (F4Q2022)'!Z58</f>
        <v>386.77276150914395</v>
      </c>
      <c r="AA58" s="365">
        <f>'CFS (F1Q23)'!AA58-'CFS (F4Q2022)'!AA58</f>
        <v>484.17532170814457</v>
      </c>
      <c r="AB58" s="368">
        <f>'CFS (F1Q23)'!AB58-'CFS (F4Q2022)'!AB58</f>
        <v>484.17532170814457</v>
      </c>
      <c r="AC58" s="365">
        <f>'CFS (F1Q23)'!AC58-'CFS (F4Q2022)'!AC58</f>
        <v>583.30001399369803</v>
      </c>
      <c r="AD58" s="365">
        <f>'CFS (F1Q23)'!AD58-'CFS (F4Q2022)'!AD58</f>
        <v>681.8929556638227</v>
      </c>
      <c r="AE58" s="365">
        <f>'CFS (F1Q23)'!AE58-'CFS (F4Q2022)'!AE58</f>
        <v>679.95308321728771</v>
      </c>
      <c r="AF58" s="365">
        <f>'CFS (F1Q23)'!AF58-'CFS (F4Q2022)'!AF58</f>
        <v>677.35564341628924</v>
      </c>
      <c r="AG58" s="368">
        <f>'CFS (F1Q23)'!AG58-'CFS (F4Q2022)'!AG58</f>
        <v>677.35564341628924</v>
      </c>
      <c r="AH58" s="365">
        <f>'CFS (F1Q23)'!AH58-'CFS (F4Q2022)'!AH58</f>
        <v>674.25918157519482</v>
      </c>
      <c r="AI58" s="365">
        <f>'CFS (F1Q23)'!AI58-'CFS (F4Q2022)'!AI58</f>
        <v>670.66269964992443</v>
      </c>
      <c r="AJ58" s="365">
        <f>'CFS (F1Q23)'!AJ58-'CFS (F4Q2022)'!AJ58</f>
        <v>667.07782744562428</v>
      </c>
      <c r="AK58" s="365">
        <f>'CFS (F1Q23)'!AK58-'CFS (F4Q2022)'!AK58</f>
        <v>663.30520377960056</v>
      </c>
      <c r="AL58" s="394">
        <f>'CFS (F1Q23)'!AL58-'CFS (F4Q2022)'!AL58</f>
        <v>663.30520377960056</v>
      </c>
      <c r="AM58" s="365">
        <f>'CFS (F1Q23)'!AM58-'CFS (F4Q2022)'!AM58</f>
        <v>0</v>
      </c>
      <c r="AN58" s="366">
        <f>'CFS (F1Q23)'!AN58-'CFS (F4Q2022)'!AN58</f>
        <v>0</v>
      </c>
      <c r="AO58" s="366">
        <f>'CFS (F1Q23)'!AO58-'CFS (F4Q2022)'!AO58</f>
        <v>0</v>
      </c>
      <c r="AP58" s="366">
        <f>'CFS (F1Q23)'!AP58-'CFS (F4Q2022)'!AP58</f>
        <v>0</v>
      </c>
      <c r="AQ58" s="367">
        <f>'CFS (F1Q23)'!AQ58-'CFS (F4Q2022)'!AQ58</f>
        <v>0</v>
      </c>
      <c r="AR58" s="365">
        <f>'CFS (F1Q23)'!AR58-'CFS (F4Q2022)'!AR58</f>
        <v>0</v>
      </c>
      <c r="AS58" s="366">
        <f>'CFS (F1Q23)'!AS58-'CFS (F4Q2022)'!AS58</f>
        <v>0</v>
      </c>
      <c r="AT58" s="366">
        <f>'CFS (F1Q23)'!AT58-'CFS (F4Q2022)'!AT58</f>
        <v>0</v>
      </c>
      <c r="AU58" s="366">
        <f>'CFS (F1Q23)'!AU58-'CFS (F4Q2022)'!AU58</f>
        <v>0</v>
      </c>
      <c r="AV58" s="367">
        <f>'CFS (F1Q23)'!AV58-'CFS (F4Q2022)'!AV58</f>
        <v>0</v>
      </c>
    </row>
    <row r="59" spans="2:48" x14ac:dyDescent="0.3">
      <c r="B59" s="395" t="s">
        <v>329</v>
      </c>
      <c r="C59" s="396"/>
      <c r="D59" s="397">
        <f>'CFS (F1Q23)'!D59-'CFS (F4Q2022)'!D59</f>
        <v>0</v>
      </c>
      <c r="E59" s="397">
        <f>'CFS (F1Q23)'!E59-'CFS (F4Q2022)'!E59</f>
        <v>0</v>
      </c>
      <c r="F59" s="398">
        <f>'CFS (F1Q23)'!F59-'CFS (F4Q2022)'!F59</f>
        <v>0</v>
      </c>
      <c r="G59" s="398">
        <f>'CFS (F1Q23)'!G59-'CFS (F4Q2022)'!G59</f>
        <v>0</v>
      </c>
      <c r="H59" s="398">
        <f>'CFS (F1Q23)'!H59-'CFS (F4Q2022)'!H59</f>
        <v>0</v>
      </c>
      <c r="I59" s="397">
        <f>'CFS (F1Q23)'!I59-'CFS (F4Q2022)'!I59</f>
        <v>0</v>
      </c>
      <c r="J59" s="397">
        <f>'CFS (F1Q23)'!J59-'CFS (F4Q2022)'!J59</f>
        <v>0</v>
      </c>
      <c r="K59" s="398">
        <f>'CFS (F1Q23)'!K59-'CFS (F4Q2022)'!K59</f>
        <v>0</v>
      </c>
      <c r="L59" s="398">
        <f>'CFS (F1Q23)'!L59-'CFS (F4Q2022)'!L59</f>
        <v>0</v>
      </c>
      <c r="M59" s="398">
        <f>'CFS (F1Q23)'!M59-'CFS (F4Q2022)'!M59</f>
        <v>0</v>
      </c>
      <c r="N59" s="397">
        <f>'CFS (F1Q23)'!N59-'CFS (F4Q2022)'!N59</f>
        <v>0</v>
      </c>
      <c r="O59" s="397">
        <f>'CFS (F1Q23)'!O59-'CFS (F4Q2022)'!O59</f>
        <v>0</v>
      </c>
      <c r="P59" s="398">
        <f>'CFS (F1Q23)'!P59-'CFS (F4Q2022)'!P59</f>
        <v>0</v>
      </c>
      <c r="Q59" s="398">
        <f>'CFS (F1Q23)'!Q59-'CFS (F4Q2022)'!Q59</f>
        <v>0</v>
      </c>
      <c r="R59" s="398">
        <f>'CFS (F1Q23)'!R59-'CFS (F4Q2022)'!R59</f>
        <v>0</v>
      </c>
      <c r="S59" s="397">
        <f>'CFS (F1Q23)'!S59-'CFS (F4Q2022)'!S59</f>
        <v>0</v>
      </c>
      <c r="T59" s="397">
        <f>'CFS (F1Q23)'!T59-'CFS (F4Q2022)'!T59</f>
        <v>0</v>
      </c>
      <c r="U59" s="398">
        <f>'CFS (F1Q23)'!U59-'CFS (F4Q2022)'!U59</f>
        <v>0</v>
      </c>
      <c r="V59" s="398">
        <f>'CFS (F1Q23)'!V59-'CFS (F4Q2022)'!V59</f>
        <v>0</v>
      </c>
      <c r="W59" s="398">
        <f>'CFS (F1Q23)'!W59-'CFS (F4Q2022)'!W59</f>
        <v>0</v>
      </c>
      <c r="X59" s="397">
        <f>'CFS (F1Q23)'!X59-'CFS (F4Q2022)'!X59</f>
        <v>0</v>
      </c>
      <c r="Y59" s="397">
        <f>'CFS (F1Q23)'!Y59-'CFS (F4Q2022)'!Y59</f>
        <v>0</v>
      </c>
      <c r="Z59" s="398">
        <f>'CFS (F1Q23)'!Z59-'CFS (F4Q2022)'!Z59</f>
        <v>0</v>
      </c>
      <c r="AA59" s="398">
        <f>'CFS (F1Q23)'!AA59-'CFS (F4Q2022)'!AA59</f>
        <v>0</v>
      </c>
      <c r="AB59" s="398">
        <f>'CFS (F1Q23)'!AB59-'CFS (F4Q2022)'!AB59</f>
        <v>0</v>
      </c>
      <c r="AC59" s="397">
        <f>'CFS (F1Q23)'!AC59-'CFS (F4Q2022)'!AC59</f>
        <v>0</v>
      </c>
      <c r="AD59" s="397">
        <f>'CFS (F1Q23)'!AD59-'CFS (F4Q2022)'!AD59</f>
        <v>0</v>
      </c>
      <c r="AE59" s="398">
        <f>'CFS (F1Q23)'!AE59-'CFS (F4Q2022)'!AE59</f>
        <v>0</v>
      </c>
      <c r="AF59" s="398">
        <f>'CFS (F1Q23)'!AF59-'CFS (F4Q2022)'!AF59</f>
        <v>0</v>
      </c>
      <c r="AG59" s="398">
        <f>'CFS (F1Q23)'!AG59-'CFS (F4Q2022)'!AG59</f>
        <v>0</v>
      </c>
      <c r="AH59" s="397">
        <f>'CFS (F1Q23)'!AH59-'CFS (F4Q2022)'!AH59</f>
        <v>0</v>
      </c>
      <c r="AI59" s="397">
        <f>'CFS (F1Q23)'!AI59-'CFS (F4Q2022)'!AI59</f>
        <v>0</v>
      </c>
      <c r="AJ59" s="398">
        <f>'CFS (F1Q23)'!AJ59-'CFS (F4Q2022)'!AJ59</f>
        <v>0</v>
      </c>
      <c r="AK59" s="398">
        <f>'CFS (F1Q23)'!AK59-'CFS (F4Q2022)'!AK59</f>
        <v>0</v>
      </c>
      <c r="AL59" s="403">
        <f>'CFS (F1Q23)'!AL59-'CFS (F4Q2022)'!AL59</f>
        <v>-1.3242307309973E-2</v>
      </c>
    </row>
    <row r="60" spans="2:48" x14ac:dyDescent="0.3">
      <c r="B60" s="308" t="s">
        <v>330</v>
      </c>
      <c r="D60" s="399">
        <f>'CFS (F1Q23)'!D60-'CFS (F4Q2022)'!D60</f>
        <v>0</v>
      </c>
      <c r="E60" s="399">
        <f>'CFS (F1Q23)'!E60-'CFS (F4Q2022)'!E60</f>
        <v>0</v>
      </c>
      <c r="F60" s="3">
        <f>'CFS (F1Q23)'!F60-'CFS (F4Q2022)'!F60</f>
        <v>0</v>
      </c>
      <c r="G60" s="3">
        <f>'CFS (F1Q23)'!G60-'CFS (F4Q2022)'!G60</f>
        <v>0</v>
      </c>
      <c r="H60" s="3">
        <f>'CFS (F1Q23)'!H60-'CFS (F4Q2022)'!H60</f>
        <v>0</v>
      </c>
      <c r="I60" s="399">
        <f>'CFS (F1Q23)'!I60-'CFS (F4Q2022)'!I60</f>
        <v>0</v>
      </c>
      <c r="J60" s="399">
        <f>'CFS (F1Q23)'!J60-'CFS (F4Q2022)'!J60</f>
        <v>0</v>
      </c>
      <c r="K60" s="3">
        <f>'CFS (F1Q23)'!K60-'CFS (F4Q2022)'!K60</f>
        <v>0</v>
      </c>
      <c r="L60" s="3">
        <f>'CFS (F1Q23)'!L60-'CFS (F4Q2022)'!L60</f>
        <v>0</v>
      </c>
      <c r="M60" s="3">
        <f>'CFS (F1Q23)'!M60-'CFS (F4Q2022)'!M60</f>
        <v>0</v>
      </c>
      <c r="N60" s="399">
        <f>'CFS (F1Q23)'!N60-'CFS (F4Q2022)'!N60</f>
        <v>0</v>
      </c>
      <c r="O60" s="399">
        <f>'CFS (F1Q23)'!O60-'CFS (F4Q2022)'!O60</f>
        <v>0</v>
      </c>
      <c r="P60" s="3">
        <f>'CFS (F1Q23)'!P60-'CFS (F4Q2022)'!P60</f>
        <v>0</v>
      </c>
      <c r="Q60" s="3">
        <f>'CFS (F1Q23)'!Q60-'CFS (F4Q2022)'!Q60</f>
        <v>0</v>
      </c>
      <c r="R60" s="3">
        <f>'CFS (F1Q23)'!R60-'CFS (F4Q2022)'!R60</f>
        <v>0</v>
      </c>
      <c r="S60" s="399">
        <f>'CFS (F1Q23)'!S60-'CFS (F4Q2022)'!S60</f>
        <v>0</v>
      </c>
      <c r="T60" s="399">
        <f>'CFS (F1Q23)'!T60-'CFS (F4Q2022)'!T60</f>
        <v>0</v>
      </c>
      <c r="U60" s="3">
        <f>'CFS (F1Q23)'!U60-'CFS (F4Q2022)'!U60</f>
        <v>0</v>
      </c>
      <c r="V60" s="3">
        <f>'CFS (F1Q23)'!V60-'CFS (F4Q2022)'!V60</f>
        <v>0</v>
      </c>
      <c r="W60" s="3">
        <f>'CFS (F1Q23)'!W60-'CFS (F4Q2022)'!W60</f>
        <v>0</v>
      </c>
      <c r="X60" s="399">
        <f>'CFS (F1Q23)'!X60-'CFS (F4Q2022)'!X60</f>
        <v>0</v>
      </c>
      <c r="Y60" s="399">
        <f>'CFS (F1Q23)'!Y60-'CFS (F4Q2022)'!Y60</f>
        <v>0</v>
      </c>
      <c r="Z60" s="3">
        <f>'CFS (F1Q23)'!Z60-'CFS (F4Q2022)'!Z60</f>
        <v>0</v>
      </c>
      <c r="AA60" s="3">
        <f>'CFS (F1Q23)'!AA60-'CFS (F4Q2022)'!AA60</f>
        <v>0</v>
      </c>
      <c r="AB60" s="3">
        <f>'CFS (F1Q23)'!AB60-'CFS (F4Q2022)'!AB60</f>
        <v>0</v>
      </c>
      <c r="AC60" s="399">
        <f>'CFS (F1Q23)'!AC60-'CFS (F4Q2022)'!AC60</f>
        <v>0</v>
      </c>
      <c r="AD60" s="399">
        <f>'CFS (F1Q23)'!AD60-'CFS (F4Q2022)'!AD60</f>
        <v>0</v>
      </c>
      <c r="AE60" s="3">
        <f>'CFS (F1Q23)'!AE60-'CFS (F4Q2022)'!AE60</f>
        <v>0</v>
      </c>
      <c r="AF60" s="3">
        <f>'CFS (F1Q23)'!AF60-'CFS (F4Q2022)'!AF60</f>
        <v>0</v>
      </c>
      <c r="AG60" s="3">
        <f>'CFS (F1Q23)'!AG60-'CFS (F4Q2022)'!AG60</f>
        <v>0</v>
      </c>
      <c r="AH60" s="399">
        <f>'CFS (F1Q23)'!AH60-'CFS (F4Q2022)'!AH60</f>
        <v>0</v>
      </c>
      <c r="AI60" s="399">
        <f>'CFS (F1Q23)'!AI60-'CFS (F4Q2022)'!AI60</f>
        <v>0</v>
      </c>
      <c r="AJ60" s="3">
        <f>'CFS (F1Q23)'!AJ60-'CFS (F4Q2022)'!AJ60</f>
        <v>0</v>
      </c>
      <c r="AK60" s="3">
        <f>'CFS (F1Q23)'!AK60-'CFS (F4Q2022)'!AK60</f>
        <v>0</v>
      </c>
      <c r="AL60" s="29">
        <f>'CFS (F1Q23)'!AL60-'CFS (F4Q2022)'!AL60</f>
        <v>-1.3617306062289947E-2</v>
      </c>
    </row>
    <row r="61" spans="2:48" x14ac:dyDescent="0.3">
      <c r="B61" s="311" t="s">
        <v>331</v>
      </c>
      <c r="C61" s="400"/>
      <c r="D61" s="401">
        <f>'CFS (F1Q23)'!D61-'CFS (F4Q2022)'!D61</f>
        <v>0</v>
      </c>
      <c r="E61" s="401">
        <f>'CFS (F1Q23)'!E61-'CFS (F4Q2022)'!E61</f>
        <v>0</v>
      </c>
      <c r="F61" s="402">
        <f>'CFS (F1Q23)'!F61-'CFS (F4Q2022)'!F61</f>
        <v>0</v>
      </c>
      <c r="G61" s="402">
        <f>'CFS (F1Q23)'!G61-'CFS (F4Q2022)'!G61</f>
        <v>0</v>
      </c>
      <c r="H61" s="402">
        <f>'CFS (F1Q23)'!H61-'CFS (F4Q2022)'!H61</f>
        <v>0</v>
      </c>
      <c r="I61" s="401">
        <f>'CFS (F1Q23)'!I61-'CFS (F4Q2022)'!I61</f>
        <v>0</v>
      </c>
      <c r="J61" s="401">
        <f>'CFS (F1Q23)'!J61-'CFS (F4Q2022)'!J61</f>
        <v>0</v>
      </c>
      <c r="K61" s="402">
        <f>'CFS (F1Q23)'!K61-'CFS (F4Q2022)'!K61</f>
        <v>0</v>
      </c>
      <c r="L61" s="402">
        <f>'CFS (F1Q23)'!L61-'CFS (F4Q2022)'!L61</f>
        <v>0</v>
      </c>
      <c r="M61" s="402">
        <f>'CFS (F1Q23)'!M61-'CFS (F4Q2022)'!M61</f>
        <v>0</v>
      </c>
      <c r="N61" s="401">
        <f>'CFS (F1Q23)'!N61-'CFS (F4Q2022)'!N61</f>
        <v>0</v>
      </c>
      <c r="O61" s="401">
        <f>'CFS (F1Q23)'!O61-'CFS (F4Q2022)'!O61</f>
        <v>0</v>
      </c>
      <c r="P61" s="402">
        <f>'CFS (F1Q23)'!P61-'CFS (F4Q2022)'!P61</f>
        <v>0</v>
      </c>
      <c r="Q61" s="402">
        <f>'CFS (F1Q23)'!Q61-'CFS (F4Q2022)'!Q61</f>
        <v>0</v>
      </c>
      <c r="R61" s="402">
        <f>'CFS (F1Q23)'!R61-'CFS (F4Q2022)'!R61</f>
        <v>0</v>
      </c>
      <c r="S61" s="401">
        <f>'CFS (F1Q23)'!S61-'CFS (F4Q2022)'!S61</f>
        <v>0</v>
      </c>
      <c r="T61" s="401">
        <f>'CFS (F1Q23)'!T61-'CFS (F4Q2022)'!T61</f>
        <v>0</v>
      </c>
      <c r="U61" s="402">
        <f>'CFS (F1Q23)'!U61-'CFS (F4Q2022)'!U61</f>
        <v>0</v>
      </c>
      <c r="V61" s="402">
        <f>'CFS (F1Q23)'!V61-'CFS (F4Q2022)'!V61</f>
        <v>0</v>
      </c>
      <c r="W61" s="402">
        <f>'CFS (F1Q23)'!W61-'CFS (F4Q2022)'!W61</f>
        <v>0</v>
      </c>
      <c r="X61" s="401">
        <f>'CFS (F1Q23)'!X61-'CFS (F4Q2022)'!X61</f>
        <v>0</v>
      </c>
      <c r="Y61" s="401">
        <f>'CFS (F1Q23)'!Y61-'CFS (F4Q2022)'!Y61</f>
        <v>0</v>
      </c>
      <c r="Z61" s="402">
        <f>'CFS (F1Q23)'!Z61-'CFS (F4Q2022)'!Z61</f>
        <v>0</v>
      </c>
      <c r="AA61" s="402">
        <f>'CFS (F1Q23)'!AA61-'CFS (F4Q2022)'!AA61</f>
        <v>0</v>
      </c>
      <c r="AB61" s="402">
        <f>'CFS (F1Q23)'!AB61-'CFS (F4Q2022)'!AB61</f>
        <v>0</v>
      </c>
      <c r="AC61" s="401">
        <f>'CFS (F1Q23)'!AC61-'CFS (F4Q2022)'!AC61</f>
        <v>0</v>
      </c>
      <c r="AD61" s="401">
        <f>'CFS (F1Q23)'!AD61-'CFS (F4Q2022)'!AD61</f>
        <v>0</v>
      </c>
      <c r="AE61" s="402">
        <f>'CFS (F1Q23)'!AE61-'CFS (F4Q2022)'!AE61</f>
        <v>0</v>
      </c>
      <c r="AF61" s="402">
        <f>'CFS (F1Q23)'!AF61-'CFS (F4Q2022)'!AF61</f>
        <v>0</v>
      </c>
      <c r="AG61" s="402">
        <f>'CFS (F1Q23)'!AG61-'CFS (F4Q2022)'!AG61</f>
        <v>0</v>
      </c>
      <c r="AH61" s="401">
        <f>'CFS (F1Q23)'!AH61-'CFS (F4Q2022)'!AH61</f>
        <v>0</v>
      </c>
      <c r="AI61" s="401">
        <f>'CFS (F1Q23)'!AI61-'CFS (F4Q2022)'!AI61</f>
        <v>0</v>
      </c>
      <c r="AJ61" s="402">
        <f>'CFS (F1Q23)'!AJ61-'CFS (F4Q2022)'!AJ61</f>
        <v>0</v>
      </c>
      <c r="AK61" s="402">
        <f>'CFS (F1Q23)'!AK61-'CFS (F4Q2022)'!AK61</f>
        <v>0</v>
      </c>
      <c r="AL61" s="404">
        <f>'CFS (F1Q23)'!AL61-'CFS (F4Q2022)'!AL61</f>
        <v>3.7499875231694624E-4</v>
      </c>
    </row>
    <row r="62" spans="2:48" s="23" customFormat="1" x14ac:dyDescent="0.3">
      <c r="B62" s="395" t="s">
        <v>332</v>
      </c>
      <c r="C62" s="409"/>
      <c r="D62" s="410">
        <f>'CFS (F1Q23)'!D62-'CFS (F4Q2022)'!D62</f>
        <v>0</v>
      </c>
      <c r="E62" s="410">
        <f>'CFS (F1Q23)'!E62-'CFS (F4Q2022)'!E62</f>
        <v>0</v>
      </c>
      <c r="F62" s="411">
        <f>'CFS (F1Q23)'!F62-'CFS (F4Q2022)'!F62</f>
        <v>0</v>
      </c>
      <c r="G62" s="411">
        <f>'CFS (F1Q23)'!G62-'CFS (F4Q2022)'!G62</f>
        <v>0</v>
      </c>
      <c r="H62" s="411">
        <f>'CFS (F1Q23)'!H62-'CFS (F4Q2022)'!H62</f>
        <v>0</v>
      </c>
      <c r="I62" s="410">
        <f>'CFS (F1Q23)'!I62-'CFS (F4Q2022)'!I62</f>
        <v>0</v>
      </c>
      <c r="J62" s="410">
        <f>'CFS (F1Q23)'!J62-'CFS (F4Q2022)'!J62</f>
        <v>0</v>
      </c>
      <c r="K62" s="411">
        <f>'CFS (F1Q23)'!K62-'CFS (F4Q2022)'!K62</f>
        <v>0</v>
      </c>
      <c r="L62" s="411">
        <f>'CFS (F1Q23)'!L62-'CFS (F4Q2022)'!L62</f>
        <v>0</v>
      </c>
      <c r="M62" s="411">
        <f>'CFS (F1Q23)'!M62-'CFS (F4Q2022)'!M62</f>
        <v>0</v>
      </c>
      <c r="N62" s="410">
        <f>'CFS (F1Q23)'!N62-'CFS (F4Q2022)'!N62</f>
        <v>0</v>
      </c>
      <c r="O62" s="410">
        <f>'CFS (F1Q23)'!O62-'CFS (F4Q2022)'!O62</f>
        <v>0</v>
      </c>
      <c r="P62" s="411">
        <f>'CFS (F1Q23)'!P62-'CFS (F4Q2022)'!P62</f>
        <v>0</v>
      </c>
      <c r="Q62" s="411">
        <f>'CFS (F1Q23)'!Q62-'CFS (F4Q2022)'!Q62</f>
        <v>0</v>
      </c>
      <c r="R62" s="411">
        <f>'CFS (F1Q23)'!R62-'CFS (F4Q2022)'!R62</f>
        <v>0</v>
      </c>
      <c r="S62" s="410">
        <f>'CFS (F1Q23)'!S62-'CFS (F4Q2022)'!S62</f>
        <v>0</v>
      </c>
      <c r="T62" s="410">
        <f>'CFS (F1Q23)'!T62-'CFS (F4Q2022)'!T62</f>
        <v>0</v>
      </c>
      <c r="U62" s="411">
        <f>'CFS (F1Q23)'!U62-'CFS (F4Q2022)'!U62</f>
        <v>0</v>
      </c>
      <c r="V62" s="411">
        <f>'CFS (F1Q23)'!V62-'CFS (F4Q2022)'!V62</f>
        <v>0</v>
      </c>
      <c r="W62" s="411">
        <f>'CFS (F1Q23)'!W62-'CFS (F4Q2022)'!W62</f>
        <v>0</v>
      </c>
      <c r="X62" s="410">
        <f>'CFS (F1Q23)'!X62-'CFS (F4Q2022)'!X62</f>
        <v>0</v>
      </c>
      <c r="Y62" s="410">
        <f>'CFS (F1Q23)'!Y62-'CFS (F4Q2022)'!Y62</f>
        <v>0</v>
      </c>
      <c r="Z62" s="411">
        <f>'CFS (F1Q23)'!Z62-'CFS (F4Q2022)'!Z62</f>
        <v>0</v>
      </c>
      <c r="AA62" s="411">
        <f>'CFS (F1Q23)'!AA62-'CFS (F4Q2022)'!AA62</f>
        <v>0</v>
      </c>
      <c r="AB62" s="411">
        <f>'CFS (F1Q23)'!AB62-'CFS (F4Q2022)'!AB62</f>
        <v>0</v>
      </c>
      <c r="AC62" s="410">
        <f>'CFS (F1Q23)'!AC62-'CFS (F4Q2022)'!AC62</f>
        <v>0</v>
      </c>
      <c r="AD62" s="410">
        <f>'CFS (F1Q23)'!AD62-'CFS (F4Q2022)'!AD62</f>
        <v>0</v>
      </c>
      <c r="AE62" s="411">
        <f>'CFS (F1Q23)'!AE62-'CFS (F4Q2022)'!AE62</f>
        <v>0</v>
      </c>
      <c r="AF62" s="411">
        <f>'CFS (F1Q23)'!AF62-'CFS (F4Q2022)'!AF62</f>
        <v>0</v>
      </c>
      <c r="AG62" s="411">
        <f>'CFS (F1Q23)'!AG62-'CFS (F4Q2022)'!AG62</f>
        <v>0</v>
      </c>
      <c r="AH62" s="410">
        <f>'CFS (F1Q23)'!AH62-'CFS (F4Q2022)'!AH62</f>
        <v>0</v>
      </c>
      <c r="AI62" s="410">
        <f>'CFS (F1Q23)'!AI62-'CFS (F4Q2022)'!AI62</f>
        <v>0</v>
      </c>
      <c r="AJ62" s="411">
        <f>'CFS (F1Q23)'!AJ62-'CFS (F4Q2022)'!AJ62</f>
        <v>0</v>
      </c>
      <c r="AK62" s="412">
        <f>'CFS (F1Q23)'!AK62-'CFS (F4Q2022)'!AK62</f>
        <v>0</v>
      </c>
      <c r="AL62" s="416">
        <f>'CFS (F1Q23)'!AL62-'CFS (F4Q2022)'!AL62</f>
        <v>0.10646124999999973</v>
      </c>
      <c r="AM62" s="408"/>
      <c r="AN62" s="48"/>
      <c r="AO62" s="309"/>
      <c r="AP62" s="309"/>
      <c r="AQ62" s="309"/>
      <c r="AR62" s="48"/>
      <c r="AS62" s="48"/>
      <c r="AT62" s="309"/>
      <c r="AU62" s="309"/>
      <c r="AV62" s="309"/>
    </row>
    <row r="63" spans="2:48" s="23" customFormat="1" x14ac:dyDescent="0.3">
      <c r="B63" s="311" t="s">
        <v>333</v>
      </c>
      <c r="C63" s="413"/>
      <c r="D63" s="313">
        <f>'CFS (F1Q23)'!D63-'CFS (F4Q2022)'!D63</f>
        <v>0</v>
      </c>
      <c r="E63" s="313">
        <f>'CFS (F1Q23)'!E63-'CFS (F4Q2022)'!E63</f>
        <v>0</v>
      </c>
      <c r="F63" s="314">
        <f>'CFS (F1Q23)'!F63-'CFS (F4Q2022)'!F63</f>
        <v>0</v>
      </c>
      <c r="G63" s="314">
        <f>'CFS (F1Q23)'!G63-'CFS (F4Q2022)'!G63</f>
        <v>0</v>
      </c>
      <c r="H63" s="314">
        <f>'CFS (F1Q23)'!H63-'CFS (F4Q2022)'!H63</f>
        <v>0</v>
      </c>
      <c r="I63" s="313">
        <f>'CFS (F1Q23)'!I63-'CFS (F4Q2022)'!I63</f>
        <v>0</v>
      </c>
      <c r="J63" s="313">
        <f>'CFS (F1Q23)'!J63-'CFS (F4Q2022)'!J63</f>
        <v>0</v>
      </c>
      <c r="K63" s="314">
        <f>'CFS (F1Q23)'!K63-'CFS (F4Q2022)'!K63</f>
        <v>0</v>
      </c>
      <c r="L63" s="314">
        <f>'CFS (F1Q23)'!L63-'CFS (F4Q2022)'!L63</f>
        <v>0</v>
      </c>
      <c r="M63" s="314">
        <f>'CFS (F1Q23)'!M63-'CFS (F4Q2022)'!M63</f>
        <v>0</v>
      </c>
      <c r="N63" s="313">
        <f>'CFS (F1Q23)'!N63-'CFS (F4Q2022)'!N63</f>
        <v>0</v>
      </c>
      <c r="O63" s="313">
        <f>'CFS (F1Q23)'!O63-'CFS (F4Q2022)'!O63</f>
        <v>0</v>
      </c>
      <c r="P63" s="314">
        <f>'CFS (F1Q23)'!P63-'CFS (F4Q2022)'!P63</f>
        <v>0</v>
      </c>
      <c r="Q63" s="314">
        <f>'CFS (F1Q23)'!Q63-'CFS (F4Q2022)'!Q63</f>
        <v>0</v>
      </c>
      <c r="R63" s="314">
        <f>'CFS (F1Q23)'!R63-'CFS (F4Q2022)'!R63</f>
        <v>0</v>
      </c>
      <c r="S63" s="313">
        <f>'CFS (F1Q23)'!S63-'CFS (F4Q2022)'!S63</f>
        <v>0</v>
      </c>
      <c r="T63" s="313">
        <f>'CFS (F1Q23)'!T63-'CFS (F4Q2022)'!T63</f>
        <v>0</v>
      </c>
      <c r="U63" s="314">
        <f>'CFS (F1Q23)'!U63-'CFS (F4Q2022)'!U63</f>
        <v>0</v>
      </c>
      <c r="V63" s="314">
        <f>'CFS (F1Q23)'!V63-'CFS (F4Q2022)'!V63</f>
        <v>0</v>
      </c>
      <c r="W63" s="314">
        <f>'CFS (F1Q23)'!W63-'CFS (F4Q2022)'!W63</f>
        <v>0</v>
      </c>
      <c r="X63" s="313">
        <f>'CFS (F1Q23)'!X63-'CFS (F4Q2022)'!X63</f>
        <v>0</v>
      </c>
      <c r="Y63" s="313">
        <f>'CFS (F1Q23)'!Y63-'CFS (F4Q2022)'!Y63</f>
        <v>0</v>
      </c>
      <c r="Z63" s="314">
        <f>'CFS (F1Q23)'!Z63-'CFS (F4Q2022)'!Z63</f>
        <v>0</v>
      </c>
      <c r="AA63" s="314">
        <f>'CFS (F1Q23)'!AA63-'CFS (F4Q2022)'!AA63</f>
        <v>0</v>
      </c>
      <c r="AB63" s="314">
        <f>'CFS (F1Q23)'!AB63-'CFS (F4Q2022)'!AB63</f>
        <v>0</v>
      </c>
      <c r="AC63" s="313">
        <f>'CFS (F1Q23)'!AC63-'CFS (F4Q2022)'!AC63</f>
        <v>0</v>
      </c>
      <c r="AD63" s="313">
        <f>'CFS (F1Q23)'!AD63-'CFS (F4Q2022)'!AD63</f>
        <v>0</v>
      </c>
      <c r="AE63" s="314">
        <f>'CFS (F1Q23)'!AE63-'CFS (F4Q2022)'!AE63</f>
        <v>0</v>
      </c>
      <c r="AF63" s="314">
        <f>'CFS (F1Q23)'!AF63-'CFS (F4Q2022)'!AF63</f>
        <v>0</v>
      </c>
      <c r="AG63" s="314">
        <f>'CFS (F1Q23)'!AG63-'CFS (F4Q2022)'!AG63</f>
        <v>0</v>
      </c>
      <c r="AH63" s="313">
        <f>'CFS (F1Q23)'!AH63-'CFS (F4Q2022)'!AH63</f>
        <v>0</v>
      </c>
      <c r="AI63" s="313">
        <f>'CFS (F1Q23)'!AI63-'CFS (F4Q2022)'!AI63</f>
        <v>0</v>
      </c>
      <c r="AJ63" s="314">
        <f>'CFS (F1Q23)'!AJ63-'CFS (F4Q2022)'!AJ63</f>
        <v>0</v>
      </c>
      <c r="AK63" s="414">
        <f>'CFS (F1Q23)'!AK63-'CFS (F4Q2022)'!AK63</f>
        <v>0</v>
      </c>
      <c r="AL63" s="417">
        <f>'CFS (F1Q23)'!AL63-'CFS (F4Q2022)'!AL63</f>
        <v>0.12096000000000018</v>
      </c>
      <c r="AM63" s="215"/>
      <c r="AN63" s="407"/>
      <c r="AO63" s="309"/>
      <c r="AP63" s="309"/>
      <c r="AQ63" s="309"/>
      <c r="AR63" s="48"/>
      <c r="AS63" s="48"/>
      <c r="AT63" s="309"/>
      <c r="AU63" s="309"/>
      <c r="AV63" s="309"/>
    </row>
    <row r="64" spans="2:48" s="23" customFormat="1" x14ac:dyDescent="0.3">
      <c r="B64" s="395" t="s">
        <v>343</v>
      </c>
      <c r="C64" s="409"/>
      <c r="D64" s="410">
        <f>'CFS (F1Q23)'!D64-'CFS (F4Q2022)'!D64</f>
        <v>0</v>
      </c>
      <c r="E64" s="410">
        <f>'CFS (F1Q23)'!E64-'CFS (F4Q2022)'!E64</f>
        <v>0</v>
      </c>
      <c r="F64" s="411">
        <f>'CFS (F1Q23)'!F64-'CFS (F4Q2022)'!F64</f>
        <v>0</v>
      </c>
      <c r="G64" s="411">
        <f>'CFS (F1Q23)'!G64-'CFS (F4Q2022)'!G64</f>
        <v>0</v>
      </c>
      <c r="H64" s="411">
        <f>'CFS (F1Q23)'!H64-'CFS (F4Q2022)'!H64</f>
        <v>0</v>
      </c>
      <c r="I64" s="410">
        <f>'CFS (F1Q23)'!I64-'CFS (F4Q2022)'!I64</f>
        <v>0</v>
      </c>
      <c r="J64" s="410">
        <f>'CFS (F1Q23)'!J64-'CFS (F4Q2022)'!J64</f>
        <v>0</v>
      </c>
      <c r="K64" s="411">
        <f>'CFS (F1Q23)'!K64-'CFS (F4Q2022)'!K64</f>
        <v>0</v>
      </c>
      <c r="L64" s="411">
        <f>'CFS (F1Q23)'!L64-'CFS (F4Q2022)'!L64</f>
        <v>0</v>
      </c>
      <c r="M64" s="411">
        <f>'CFS (F1Q23)'!M64-'CFS (F4Q2022)'!M64</f>
        <v>0</v>
      </c>
      <c r="N64" s="410">
        <f>'CFS (F1Q23)'!N64-'CFS (F4Q2022)'!N64</f>
        <v>0</v>
      </c>
      <c r="O64" s="410">
        <f>'CFS (F1Q23)'!O64-'CFS (F4Q2022)'!O64</f>
        <v>0</v>
      </c>
      <c r="P64" s="411">
        <f>'CFS (F1Q23)'!P64-'CFS (F4Q2022)'!P64</f>
        <v>0</v>
      </c>
      <c r="Q64" s="411">
        <f>'CFS (F1Q23)'!Q64-'CFS (F4Q2022)'!Q64</f>
        <v>0</v>
      </c>
      <c r="R64" s="411">
        <f>'CFS (F1Q23)'!R64-'CFS (F4Q2022)'!R64</f>
        <v>0</v>
      </c>
      <c r="S64" s="410">
        <f>'CFS (F1Q23)'!S64-'CFS (F4Q2022)'!S64</f>
        <v>0</v>
      </c>
      <c r="T64" s="410">
        <f>'CFS (F1Q23)'!T64-'CFS (F4Q2022)'!T64</f>
        <v>0</v>
      </c>
      <c r="U64" s="411">
        <f>'CFS (F1Q23)'!U64-'CFS (F4Q2022)'!U64</f>
        <v>0</v>
      </c>
      <c r="V64" s="411">
        <f>'CFS (F1Q23)'!V64-'CFS (F4Q2022)'!V64</f>
        <v>0</v>
      </c>
      <c r="W64" s="411">
        <f>'CFS (F1Q23)'!W64-'CFS (F4Q2022)'!W64</f>
        <v>0</v>
      </c>
      <c r="X64" s="410">
        <f>'CFS (F1Q23)'!X64-'CFS (F4Q2022)'!X64</f>
        <v>0</v>
      </c>
      <c r="Y64" s="410">
        <f>'CFS (F1Q23)'!Y64-'CFS (F4Q2022)'!Y64</f>
        <v>0</v>
      </c>
      <c r="Z64" s="411">
        <f>'CFS (F1Q23)'!Z64-'CFS (F4Q2022)'!Z64</f>
        <v>0</v>
      </c>
      <c r="AA64" s="411">
        <f>'CFS (F1Q23)'!AA64-'CFS (F4Q2022)'!AA64</f>
        <v>0</v>
      </c>
      <c r="AB64" s="411">
        <f>'CFS (F1Q23)'!AB64-'CFS (F4Q2022)'!AB64</f>
        <v>0</v>
      </c>
      <c r="AC64" s="410">
        <f>'CFS (F1Q23)'!AC64-'CFS (F4Q2022)'!AC64</f>
        <v>0</v>
      </c>
      <c r="AD64" s="410">
        <f>'CFS (F1Q23)'!AD64-'CFS (F4Q2022)'!AD64</f>
        <v>0</v>
      </c>
      <c r="AE64" s="411">
        <f>'CFS (F1Q23)'!AE64-'CFS (F4Q2022)'!AE64</f>
        <v>0</v>
      </c>
      <c r="AF64" s="411">
        <f>'CFS (F1Q23)'!AF64-'CFS (F4Q2022)'!AF64</f>
        <v>0</v>
      </c>
      <c r="AG64" s="411">
        <f>'CFS (F1Q23)'!AG64-'CFS (F4Q2022)'!AG64</f>
        <v>0</v>
      </c>
      <c r="AH64" s="410">
        <f>'CFS (F1Q23)'!AH64-'CFS (F4Q2022)'!AH64</f>
        <v>0</v>
      </c>
      <c r="AI64" s="410">
        <f>'CFS (F1Q23)'!AI64-'CFS (F4Q2022)'!AI64</f>
        <v>0</v>
      </c>
      <c r="AJ64" s="411">
        <f>'CFS (F1Q23)'!AJ64-'CFS (F4Q2022)'!AJ64</f>
        <v>0</v>
      </c>
      <c r="AK64" s="411">
        <f>'CFS (F1Q23)'!AK64-'CFS (F4Q2022)'!AK64</f>
        <v>0</v>
      </c>
      <c r="AL64" s="403">
        <f>'CFS (F1Q23)'!AL64-'CFS (F4Q2022)'!AL64</f>
        <v>-6.5279982987220819E-5</v>
      </c>
      <c r="AM64" s="16"/>
      <c r="AN64" s="48"/>
      <c r="AO64" s="309"/>
      <c r="AP64" s="309"/>
      <c r="AQ64" s="309"/>
      <c r="AR64" s="48"/>
      <c r="AS64" s="48"/>
      <c r="AT64" s="309"/>
      <c r="AU64" s="309"/>
      <c r="AV64" s="309"/>
    </row>
    <row r="65" spans="2:48" s="23" customFormat="1" x14ac:dyDescent="0.3">
      <c r="B65" s="311" t="s">
        <v>344</v>
      </c>
      <c r="C65" s="413"/>
      <c r="D65" s="313">
        <f>'CFS (F1Q23)'!D65-'CFS (F4Q2022)'!D65</f>
        <v>0</v>
      </c>
      <c r="E65" s="313">
        <f>'CFS (F1Q23)'!E65-'CFS (F4Q2022)'!E65</f>
        <v>0</v>
      </c>
      <c r="F65" s="314">
        <f>'CFS (F1Q23)'!F65-'CFS (F4Q2022)'!F65</f>
        <v>0</v>
      </c>
      <c r="G65" s="314">
        <f>'CFS (F1Q23)'!G65-'CFS (F4Q2022)'!G65</f>
        <v>0</v>
      </c>
      <c r="H65" s="314">
        <f>'CFS (F1Q23)'!H65-'CFS (F4Q2022)'!H65</f>
        <v>0</v>
      </c>
      <c r="I65" s="313">
        <f>'CFS (F1Q23)'!I65-'CFS (F4Q2022)'!I65</f>
        <v>0</v>
      </c>
      <c r="J65" s="313">
        <f>'CFS (F1Q23)'!J65-'CFS (F4Q2022)'!J65</f>
        <v>0</v>
      </c>
      <c r="K65" s="314">
        <f>'CFS (F1Q23)'!K65-'CFS (F4Q2022)'!K65</f>
        <v>0</v>
      </c>
      <c r="L65" s="314">
        <f>'CFS (F1Q23)'!L65-'CFS (F4Q2022)'!L65</f>
        <v>0</v>
      </c>
      <c r="M65" s="314">
        <f>'CFS (F1Q23)'!M65-'CFS (F4Q2022)'!M65</f>
        <v>0</v>
      </c>
      <c r="N65" s="313">
        <f>'CFS (F1Q23)'!N65-'CFS (F4Q2022)'!N65</f>
        <v>0</v>
      </c>
      <c r="O65" s="313">
        <f>'CFS (F1Q23)'!O65-'CFS (F4Q2022)'!O65</f>
        <v>0</v>
      </c>
      <c r="P65" s="314">
        <f>'CFS (F1Q23)'!P65-'CFS (F4Q2022)'!P65</f>
        <v>0</v>
      </c>
      <c r="Q65" s="314">
        <f>'CFS (F1Q23)'!Q65-'CFS (F4Q2022)'!Q65</f>
        <v>0</v>
      </c>
      <c r="R65" s="314">
        <f>'CFS (F1Q23)'!R65-'CFS (F4Q2022)'!R65</f>
        <v>0</v>
      </c>
      <c r="S65" s="313">
        <f>'CFS (F1Q23)'!S65-'CFS (F4Q2022)'!S65</f>
        <v>0</v>
      </c>
      <c r="T65" s="313">
        <f>'CFS (F1Q23)'!T65-'CFS (F4Q2022)'!T65</f>
        <v>0</v>
      </c>
      <c r="U65" s="314">
        <f>'CFS (F1Q23)'!U65-'CFS (F4Q2022)'!U65</f>
        <v>0</v>
      </c>
      <c r="V65" s="314">
        <f>'CFS (F1Q23)'!V65-'CFS (F4Q2022)'!V65</f>
        <v>0</v>
      </c>
      <c r="W65" s="314">
        <f>'CFS (F1Q23)'!W65-'CFS (F4Q2022)'!W65</f>
        <v>0</v>
      </c>
      <c r="X65" s="313">
        <f>'CFS (F1Q23)'!X65-'CFS (F4Q2022)'!X65</f>
        <v>0</v>
      </c>
      <c r="Y65" s="313">
        <f>'CFS (F1Q23)'!Y65-'CFS (F4Q2022)'!Y65</f>
        <v>0</v>
      </c>
      <c r="Z65" s="314">
        <f>'CFS (F1Q23)'!Z65-'CFS (F4Q2022)'!Z65</f>
        <v>0</v>
      </c>
      <c r="AA65" s="314">
        <f>'CFS (F1Q23)'!AA65-'CFS (F4Q2022)'!AA65</f>
        <v>0</v>
      </c>
      <c r="AB65" s="314">
        <f>'CFS (F1Q23)'!AB65-'CFS (F4Q2022)'!AB65</f>
        <v>0</v>
      </c>
      <c r="AC65" s="313">
        <f>'CFS (F1Q23)'!AC65-'CFS (F4Q2022)'!AC65</f>
        <v>0</v>
      </c>
      <c r="AD65" s="313">
        <f>'CFS (F1Q23)'!AD65-'CFS (F4Q2022)'!AD65</f>
        <v>0</v>
      </c>
      <c r="AE65" s="314">
        <f>'CFS (F1Q23)'!AE65-'CFS (F4Q2022)'!AE65</f>
        <v>0</v>
      </c>
      <c r="AF65" s="314">
        <f>'CFS (F1Q23)'!AF65-'CFS (F4Q2022)'!AF65</f>
        <v>0</v>
      </c>
      <c r="AG65" s="314">
        <f>'CFS (F1Q23)'!AG65-'CFS (F4Q2022)'!AG65</f>
        <v>0</v>
      </c>
      <c r="AH65" s="313">
        <f>'CFS (F1Q23)'!AH65-'CFS (F4Q2022)'!AH65</f>
        <v>0</v>
      </c>
      <c r="AI65" s="313">
        <f>'CFS (F1Q23)'!AI65-'CFS (F4Q2022)'!AI65</f>
        <v>0</v>
      </c>
      <c r="AJ65" s="314">
        <f>'CFS (F1Q23)'!AJ65-'CFS (F4Q2022)'!AJ65</f>
        <v>0</v>
      </c>
      <c r="AK65" s="314">
        <f>'CFS (F1Q23)'!AK65-'CFS (F4Q2022)'!AK65</f>
        <v>0</v>
      </c>
      <c r="AL65" s="425">
        <f>'CFS (F1Q23)'!AL65-'CFS (F4Q2022)'!AL65</f>
        <v>-1.1394110554086012E-3</v>
      </c>
      <c r="AM65" s="48"/>
      <c r="AN65" s="48"/>
      <c r="AO65" s="309"/>
      <c r="AP65" s="309"/>
      <c r="AQ65" s="309"/>
      <c r="AR65" s="48"/>
      <c r="AS65" s="48"/>
      <c r="AT65" s="309"/>
      <c r="AU65" s="309"/>
      <c r="AV65" s="309"/>
    </row>
  </sheetData>
  <dataConsolidate/>
  <mergeCells count="26">
    <mergeCell ref="B52:C52"/>
    <mergeCell ref="B55:C55"/>
    <mergeCell ref="B42:C42"/>
    <mergeCell ref="B44:C44"/>
    <mergeCell ref="B48:C48"/>
    <mergeCell ref="B49:C49"/>
    <mergeCell ref="B50:C50"/>
    <mergeCell ref="B51:C51"/>
    <mergeCell ref="B41:C41"/>
    <mergeCell ref="B21:C21"/>
    <mergeCell ref="B22:C22"/>
    <mergeCell ref="B25:C25"/>
    <mergeCell ref="B26:C26"/>
    <mergeCell ref="B27:C27"/>
    <mergeCell ref="B28:C28"/>
    <mergeCell ref="B29:C29"/>
    <mergeCell ref="B36:C36"/>
    <mergeCell ref="B37:C37"/>
    <mergeCell ref="B39:C39"/>
    <mergeCell ref="B40:C40"/>
    <mergeCell ref="B18:C18"/>
    <mergeCell ref="B3:C3"/>
    <mergeCell ref="B5:C5"/>
    <mergeCell ref="B14:C14"/>
    <mergeCell ref="B15:C15"/>
    <mergeCell ref="B17:C17"/>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BA3A6-E715-416D-A73C-2EF0D0FA94F1}">
  <sheetPr>
    <tabColor theme="4" tint="0.79998168889431442"/>
    <pageSetUpPr fitToPage="1"/>
  </sheetPr>
  <dimension ref="A1:AV316"/>
  <sheetViews>
    <sheetView showGridLines="0" zoomScaleNormal="100" workbookViewId="0">
      <pane xSplit="3" ySplit="4" topLeftCell="AC138"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582"/>
      <c r="B3" s="583" t="s">
        <v>18</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82"/>
      <c r="B4" s="585" t="s">
        <v>3</v>
      </c>
      <c r="C4" s="586"/>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580" t="s">
        <v>101</v>
      </c>
      <c r="C5" s="581"/>
      <c r="D5" s="105">
        <v>5370.3</v>
      </c>
      <c r="E5" s="105">
        <v>5159</v>
      </c>
      <c r="F5" s="105">
        <v>5535</v>
      </c>
      <c r="G5" s="105">
        <f>H5-F5-E5-D5</f>
        <v>5480.1000000000013</v>
      </c>
      <c r="H5" s="170">
        <v>21544.400000000001</v>
      </c>
      <c r="I5" s="105">
        <v>5780.7</v>
      </c>
      <c r="J5" s="105">
        <v>4766</v>
      </c>
      <c r="K5" s="105">
        <v>3444.4</v>
      </c>
      <c r="L5" s="105">
        <v>5173.6000000000004</v>
      </c>
      <c r="M5" s="49">
        <f>SUM(I5:L5)</f>
        <v>19164.7</v>
      </c>
      <c r="N5" s="48">
        <v>5726.5</v>
      </c>
      <c r="O5" s="48">
        <v>5653.1</v>
      </c>
      <c r="P5" s="48">
        <v>6363.1</v>
      </c>
      <c r="Q5" s="105">
        <v>6864.3</v>
      </c>
      <c r="R5" s="49">
        <f>SUM(N5:Q5)</f>
        <v>24607</v>
      </c>
      <c r="S5" s="48">
        <v>6722.4</v>
      </c>
      <c r="T5" s="48">
        <v>6276.7</v>
      </c>
      <c r="U5" s="48">
        <v>6675.5</v>
      </c>
      <c r="V5" s="48">
        <f>+V45+V78</f>
        <v>6848.8037658907733</v>
      </c>
      <c r="W5" s="49">
        <f>SUM(S5:V5)</f>
        <v>26523.403765890773</v>
      </c>
      <c r="X5" s="48">
        <f>+X45+X78</f>
        <v>7152.5480557286273</v>
      </c>
      <c r="Y5" s="48">
        <f>+Y45+Y78</f>
        <v>6857.4886027854463</v>
      </c>
      <c r="Z5" s="48">
        <f>+Z45+Z78</f>
        <v>7528.1178194557115</v>
      </c>
      <c r="AA5" s="48">
        <f>+AA45+AA78</f>
        <v>7770.5482624277374</v>
      </c>
      <c r="AB5" s="49">
        <f>SUM(X5:AA5)</f>
        <v>29308.702740397523</v>
      </c>
      <c r="AC5" s="48">
        <f>+AC45+AC78</f>
        <v>8082.0653714707933</v>
      </c>
      <c r="AD5" s="48">
        <f>+AD45+AD78</f>
        <v>7528.9186896268975</v>
      </c>
      <c r="AE5" s="48">
        <f>+AE45+AE78</f>
        <v>8269.2690708785849</v>
      </c>
      <c r="AF5" s="48">
        <f>+AF45+AF78</f>
        <v>8567.0384126600347</v>
      </c>
      <c r="AG5" s="49">
        <f>SUM(AC5:AF5)</f>
        <v>32447.291544636311</v>
      </c>
      <c r="AH5" s="48">
        <f>+AH45+AH78</f>
        <v>9031.3509318393244</v>
      </c>
      <c r="AI5" s="48">
        <f>+AI45+AI78</f>
        <v>8408.8147233096352</v>
      </c>
      <c r="AJ5" s="48">
        <f>+AJ45+AJ78</f>
        <v>9240.2278570739163</v>
      </c>
      <c r="AK5" s="48">
        <f>+AK45+AK78</f>
        <v>9596.9517827829623</v>
      </c>
      <c r="AL5" s="49">
        <f>SUM(AH5:AK5)</f>
        <v>36277.345295005834</v>
      </c>
      <c r="AM5" s="48">
        <f>+AM45+AM78</f>
        <v>9951.2465837299314</v>
      </c>
      <c r="AN5" s="48">
        <f>+AN45+AN78</f>
        <v>9227.1137384203721</v>
      </c>
      <c r="AO5" s="48">
        <f>+AO45+AO78</f>
        <v>10109.899554216639</v>
      </c>
      <c r="AP5" s="48">
        <f>+AP45+AP78</f>
        <v>10478.003443959413</v>
      </c>
      <c r="AQ5" s="49">
        <f>SUM(AM5:AP5)</f>
        <v>39766.263320326354</v>
      </c>
      <c r="AR5" s="48">
        <f>+AR45+AR78</f>
        <v>10636.367135749306</v>
      </c>
      <c r="AS5" s="48">
        <f>+AS45+AS78</f>
        <v>9856.9494839221479</v>
      </c>
      <c r="AT5" s="48">
        <f>+AT45+AT78</f>
        <v>10796.256281417584</v>
      </c>
      <c r="AU5" s="48">
        <f>+AU45+AU78</f>
        <v>11190.181518807902</v>
      </c>
      <c r="AV5" s="49">
        <f>SUM(AR5:AU5)</f>
        <v>42479.754419896941</v>
      </c>
    </row>
    <row r="6" spans="1:48" outlineLevel="1" x14ac:dyDescent="0.3">
      <c r="B6" s="580" t="s">
        <v>102</v>
      </c>
      <c r="C6" s="581"/>
      <c r="D6" s="105">
        <v>737.1</v>
      </c>
      <c r="E6" s="105">
        <v>678.2</v>
      </c>
      <c r="F6" s="105">
        <v>725</v>
      </c>
      <c r="G6" s="105">
        <f t="shared" ref="G6:G16" si="0">H6-F6-E6-D6</f>
        <v>734.69999999999993</v>
      </c>
      <c r="H6" s="170">
        <v>2875</v>
      </c>
      <c r="I6" s="105">
        <v>792</v>
      </c>
      <c r="J6" s="105">
        <v>689.8</v>
      </c>
      <c r="K6" s="105">
        <v>300.5</v>
      </c>
      <c r="L6" s="48">
        <v>544.6</v>
      </c>
      <c r="M6" s="49">
        <f t="shared" ref="M6:M7" si="1">SUM(I6:L6)</f>
        <v>2326.9</v>
      </c>
      <c r="N6" s="48">
        <v>613.79999999999995</v>
      </c>
      <c r="O6" s="48">
        <v>595</v>
      </c>
      <c r="P6" s="48">
        <v>680.2</v>
      </c>
      <c r="Q6" s="105">
        <v>794.5</v>
      </c>
      <c r="R6" s="49">
        <f>SUM(N6:Q6)</f>
        <v>2683.5</v>
      </c>
      <c r="S6" s="48">
        <v>850.8</v>
      </c>
      <c r="T6" s="48">
        <v>849.5</v>
      </c>
      <c r="U6" s="48">
        <v>956.8</v>
      </c>
      <c r="V6" s="48">
        <f>+V54+V87</f>
        <v>908.81667302605592</v>
      </c>
      <c r="W6" s="49">
        <f t="shared" ref="W6:W7" si="2">SUM(S6:V6)</f>
        <v>3565.9166730260558</v>
      </c>
      <c r="X6" s="48">
        <f>+X54+X87</f>
        <v>1001.2189702663679</v>
      </c>
      <c r="Y6" s="48">
        <f>+Y54+Y87</f>
        <v>1007.5031116484407</v>
      </c>
      <c r="Z6" s="48">
        <f>+Z54+Z87</f>
        <v>1121.5323392099008</v>
      </c>
      <c r="AA6" s="48">
        <f>+AA54+AA87</f>
        <v>1075.1217785472472</v>
      </c>
      <c r="AB6" s="49">
        <f t="shared" ref="AB6:AB7" si="3">SUM(X6:AA6)</f>
        <v>4205.3761996719568</v>
      </c>
      <c r="AC6" s="48">
        <f>+AC54+AC87</f>
        <v>1115.9362143506919</v>
      </c>
      <c r="AD6" s="48">
        <f>+AD54+AD87</f>
        <v>1123.7600876027257</v>
      </c>
      <c r="AE6" s="48">
        <f>+AE54+AE87</f>
        <v>1253.5437312013921</v>
      </c>
      <c r="AF6" s="48">
        <f>+AF54+AF87</f>
        <v>1202.3100873805458</v>
      </c>
      <c r="AG6" s="49">
        <f t="shared" ref="AG6:AG7" si="4">SUM(AC6:AF6)</f>
        <v>4695.5501205353557</v>
      </c>
      <c r="AH6" s="48">
        <f>+AH54+AH87</f>
        <v>1259.2690223110171</v>
      </c>
      <c r="AI6" s="48">
        <f>+AI54+AI87</f>
        <v>1268.7489718700565</v>
      </c>
      <c r="AJ6" s="48">
        <f>+AJ54+AJ87</f>
        <v>1416.6057338416379</v>
      </c>
      <c r="AK6" s="48">
        <f>+AK54+AK87</f>
        <v>1359.1190710594724</v>
      </c>
      <c r="AL6" s="49">
        <f t="shared" ref="AL6:AL7" si="5">SUM(AH6:AK6)</f>
        <v>5303.7427990821834</v>
      </c>
      <c r="AM6" s="48">
        <f>+AM54+AM87</f>
        <v>1399.5818264463619</v>
      </c>
      <c r="AN6" s="48">
        <f>+AN54+AN87</f>
        <v>1393.6050603962776</v>
      </c>
      <c r="AO6" s="48">
        <f>+AO54+AO87</f>
        <v>1538.7542416120527</v>
      </c>
      <c r="AP6" s="48">
        <f>+AP54+AP87</f>
        <v>1459.1976477696517</v>
      </c>
      <c r="AQ6" s="49">
        <f t="shared" ref="AQ6:AQ7" si="6">SUM(AM6:AP6)</f>
        <v>5791.1387762243439</v>
      </c>
      <c r="AR6" s="48">
        <f>+AR54+AR87</f>
        <v>1465.1062284098773</v>
      </c>
      <c r="AS6" s="48">
        <f>+AS54+AS87</f>
        <v>1458.7938710081207</v>
      </c>
      <c r="AT6" s="48">
        <f>+AT54+AT87</f>
        <v>1610.939227369021</v>
      </c>
      <c r="AU6" s="48">
        <f>+AU54+AU87</f>
        <v>1527.5841436113446</v>
      </c>
      <c r="AV6" s="49">
        <f t="shared" ref="AV6:AV7" si="7">SUM(AR6:AU6)</f>
        <v>6062.4234703983639</v>
      </c>
    </row>
    <row r="7" spans="1:48" ht="16.2" outlineLevel="1" x14ac:dyDescent="0.45">
      <c r="B7" s="580" t="s">
        <v>103</v>
      </c>
      <c r="C7" s="581"/>
      <c r="D7" s="104">
        <v>525.29999999999995</v>
      </c>
      <c r="E7" s="104">
        <v>468.7</v>
      </c>
      <c r="F7" s="104">
        <v>563</v>
      </c>
      <c r="G7" s="104">
        <f t="shared" si="0"/>
        <v>532.19999999999982</v>
      </c>
      <c r="H7" s="173">
        <v>2089.1999999999998</v>
      </c>
      <c r="I7" s="104">
        <v>524.4</v>
      </c>
      <c r="J7" s="104">
        <v>539.9</v>
      </c>
      <c r="K7" s="104">
        <v>477.2</v>
      </c>
      <c r="L7" s="52">
        <v>484.9</v>
      </c>
      <c r="M7" s="53">
        <f t="shared" si="1"/>
        <v>2026.4</v>
      </c>
      <c r="N7" s="52">
        <v>409.1</v>
      </c>
      <c r="O7" s="52">
        <v>419.9</v>
      </c>
      <c r="P7" s="52">
        <v>453.2</v>
      </c>
      <c r="Q7" s="104">
        <v>487.9</v>
      </c>
      <c r="R7" s="53">
        <f>SUM(N7:Q7)</f>
        <v>1770.1</v>
      </c>
      <c r="S7" s="52">
        <v>477.2</v>
      </c>
      <c r="T7" s="52">
        <v>509.4</v>
      </c>
      <c r="U7" s="52">
        <v>517.79999999999995</v>
      </c>
      <c r="V7" s="52">
        <f>+V55+V88+V108+V123</f>
        <v>530.10800000000006</v>
      </c>
      <c r="W7" s="173">
        <f t="shared" si="2"/>
        <v>2034.5079999999998</v>
      </c>
      <c r="X7" s="52">
        <f>+X55+X88+X108+X123</f>
        <v>514.53500000000008</v>
      </c>
      <c r="Y7" s="52">
        <f>+Y55+Y88+Y108+Y123</f>
        <v>527.98200000000008</v>
      </c>
      <c r="Z7" s="52">
        <f>+Z55+Z88+Z108+Z123</f>
        <v>541.15800000000002</v>
      </c>
      <c r="AA7" s="52">
        <f>+AA55+AA88+AA108+AA123</f>
        <v>553.38710000000015</v>
      </c>
      <c r="AB7" s="53">
        <f t="shared" si="3"/>
        <v>2137.0621000000001</v>
      </c>
      <c r="AC7" s="52">
        <f>+AC55+AC88+AC108+AC123</f>
        <v>538.26440000000014</v>
      </c>
      <c r="AD7" s="52">
        <f>+AD55+AD88+AD108+AD123</f>
        <v>552.56346000000008</v>
      </c>
      <c r="AE7" s="52">
        <f>+AE55+AE88+AE108+AE123</f>
        <v>566.17452000000003</v>
      </c>
      <c r="AF7" s="52">
        <f>+AF55+AF88+AF108+AF123</f>
        <v>579.71528800000021</v>
      </c>
      <c r="AG7" s="53">
        <f t="shared" si="4"/>
        <v>2236.7176680000007</v>
      </c>
      <c r="AH7" s="52">
        <f>+AH55+AH88+AH108+AH123</f>
        <v>567.58199600000012</v>
      </c>
      <c r="AI7" s="52">
        <f>+AI55+AI88+AI108+AI123</f>
        <v>580.59704340000019</v>
      </c>
      <c r="AJ7" s="52">
        <f>+AJ55+AJ88+AJ108+AJ123</f>
        <v>593.31856080000011</v>
      </c>
      <c r="AK7" s="52">
        <f>+AK55+AK88+AK108+AK123</f>
        <v>608.49081032000015</v>
      </c>
      <c r="AL7" s="53">
        <f t="shared" si="5"/>
        <v>2349.9884105200008</v>
      </c>
      <c r="AM7" s="52">
        <f>+AM55+AM88+AM108+AM123</f>
        <v>594.36976184000025</v>
      </c>
      <c r="AN7" s="52">
        <f>+AN55+AN88+AN108+AN123</f>
        <v>607.20447663600021</v>
      </c>
      <c r="AO7" s="52">
        <f>+AO55+AO88+AO108+AO123</f>
        <v>620.07958123200001</v>
      </c>
      <c r="AP7" s="52">
        <f>+AP55+AP88+AP108+AP123</f>
        <v>636.60205053280015</v>
      </c>
      <c r="AQ7" s="53">
        <f t="shared" si="6"/>
        <v>2458.2558702408005</v>
      </c>
      <c r="AR7" s="52">
        <f>+AR55+AR88+AR108+AR123</f>
        <v>620.6669569136003</v>
      </c>
      <c r="AS7" s="52">
        <f>+AS55+AS88+AS108+AS123</f>
        <v>633.83488747644026</v>
      </c>
      <c r="AT7" s="52">
        <f>+AT55+AT88+AT108+AT123</f>
        <v>647.37274528128012</v>
      </c>
      <c r="AU7" s="52">
        <f>+AU55+AU88+AU108+AU123</f>
        <v>665.17309938411222</v>
      </c>
      <c r="AV7" s="53">
        <f t="shared" si="7"/>
        <v>2567.0476890554328</v>
      </c>
    </row>
    <row r="8" spans="1:48" s="8" customFormat="1" x14ac:dyDescent="0.3">
      <c r="B8" s="587" t="s">
        <v>104</v>
      </c>
      <c r="C8" s="588"/>
      <c r="D8" s="103">
        <f t="shared" ref="D8:AB8" si="8">SUM(D5:D7)</f>
        <v>6632.7000000000007</v>
      </c>
      <c r="E8" s="103">
        <f t="shared" si="8"/>
        <v>6305.9</v>
      </c>
      <c r="F8" s="103">
        <f t="shared" si="8"/>
        <v>6823</v>
      </c>
      <c r="G8" s="103">
        <f t="shared" si="8"/>
        <v>6747.0000000000009</v>
      </c>
      <c r="H8" s="171">
        <f t="shared" si="8"/>
        <v>26508.600000000002</v>
      </c>
      <c r="I8" s="103">
        <f>SUM(I5:I7)</f>
        <v>7097.0999999999995</v>
      </c>
      <c r="J8" s="103">
        <f>SUM(J5:J7)</f>
        <v>5995.7</v>
      </c>
      <c r="K8" s="103">
        <f>SUM(K5:K7)</f>
        <v>4222.1000000000004</v>
      </c>
      <c r="L8" s="103">
        <f>SUM(L5:L7)</f>
        <v>6203.1</v>
      </c>
      <c r="M8" s="171">
        <f t="shared" si="8"/>
        <v>23518.000000000004</v>
      </c>
      <c r="N8" s="103">
        <f t="shared" si="8"/>
        <v>6749.4000000000005</v>
      </c>
      <c r="O8" s="103">
        <f t="shared" si="8"/>
        <v>6668</v>
      </c>
      <c r="P8" s="103">
        <f t="shared" si="8"/>
        <v>7496.5</v>
      </c>
      <c r="Q8" s="103">
        <f>SUM(Q5:Q7)</f>
        <v>8146.7</v>
      </c>
      <c r="R8" s="171">
        <f t="shared" si="8"/>
        <v>29060.6</v>
      </c>
      <c r="S8" s="103">
        <f t="shared" si="8"/>
        <v>8050.4</v>
      </c>
      <c r="T8" s="103">
        <f t="shared" si="8"/>
        <v>7635.5999999999995</v>
      </c>
      <c r="U8" s="103">
        <f t="shared" si="8"/>
        <v>8150.1</v>
      </c>
      <c r="V8" s="103">
        <f t="shared" si="8"/>
        <v>8287.728438916829</v>
      </c>
      <c r="W8" s="171">
        <f t="shared" si="8"/>
        <v>32123.828438916826</v>
      </c>
      <c r="X8" s="50">
        <f t="shared" si="8"/>
        <v>8668.3020259949953</v>
      </c>
      <c r="Y8" s="50">
        <f t="shared" si="8"/>
        <v>8392.9737144338869</v>
      </c>
      <c r="Z8" s="50">
        <f t="shared" si="8"/>
        <v>9190.8081586656117</v>
      </c>
      <c r="AA8" s="50">
        <f t="shared" si="8"/>
        <v>9399.0571409749846</v>
      </c>
      <c r="AB8" s="171">
        <f t="shared" si="8"/>
        <v>35651.14104006948</v>
      </c>
      <c r="AC8" s="50">
        <f t="shared" ref="AC8:AQ8" si="9">SUM(AC5:AC7)</f>
        <v>9736.2659858214847</v>
      </c>
      <c r="AD8" s="50">
        <f t="shared" si="9"/>
        <v>9205.2422372296223</v>
      </c>
      <c r="AE8" s="50">
        <f t="shared" si="9"/>
        <v>10088.987322079978</v>
      </c>
      <c r="AF8" s="50">
        <f t="shared" si="9"/>
        <v>10349.063788040579</v>
      </c>
      <c r="AG8" s="51">
        <f t="shared" si="9"/>
        <v>39379.559333171666</v>
      </c>
      <c r="AH8" s="50">
        <f t="shared" si="9"/>
        <v>10858.201950150342</v>
      </c>
      <c r="AI8" s="50">
        <f t="shared" si="9"/>
        <v>10258.160738579692</v>
      </c>
      <c r="AJ8" s="50">
        <f t="shared" si="9"/>
        <v>11250.152151715554</v>
      </c>
      <c r="AK8" s="50">
        <f t="shared" si="9"/>
        <v>11564.561664162435</v>
      </c>
      <c r="AL8" s="51">
        <f t="shared" si="9"/>
        <v>43931.07650460802</v>
      </c>
      <c r="AM8" s="50">
        <f t="shared" si="9"/>
        <v>11945.198172016293</v>
      </c>
      <c r="AN8" s="50">
        <f t="shared" si="9"/>
        <v>11227.923275452649</v>
      </c>
      <c r="AO8" s="50">
        <f t="shared" si="9"/>
        <v>12268.733377060691</v>
      </c>
      <c r="AP8" s="50">
        <f t="shared" si="9"/>
        <v>12573.803142261864</v>
      </c>
      <c r="AQ8" s="51">
        <f t="shared" si="9"/>
        <v>48015.657966791499</v>
      </c>
      <c r="AR8" s="50">
        <f t="shared" ref="AR8:AV8" si="10">SUM(AR5:AR7)</f>
        <v>12722.140321072784</v>
      </c>
      <c r="AS8" s="50">
        <f t="shared" si="10"/>
        <v>11949.578242406709</v>
      </c>
      <c r="AT8" s="50">
        <f t="shared" si="10"/>
        <v>13054.568254067884</v>
      </c>
      <c r="AU8" s="50">
        <f t="shared" si="10"/>
        <v>13382.938761803358</v>
      </c>
      <c r="AV8" s="51">
        <f t="shared" si="10"/>
        <v>51109.225579350743</v>
      </c>
    </row>
    <row r="9" spans="1:48" outlineLevel="1" x14ac:dyDescent="0.3">
      <c r="B9" s="589" t="s">
        <v>100</v>
      </c>
      <c r="C9" s="590"/>
      <c r="D9" s="105">
        <v>2175.8000000000002</v>
      </c>
      <c r="E9" s="105">
        <v>2012</v>
      </c>
      <c r="F9" s="105">
        <v>2199.6</v>
      </c>
      <c r="G9" s="105">
        <f t="shared" si="0"/>
        <v>2139.4999999999991</v>
      </c>
      <c r="H9" s="170">
        <v>8526.9</v>
      </c>
      <c r="I9" s="105">
        <v>2236.4</v>
      </c>
      <c r="J9" s="105">
        <v>1997.7</v>
      </c>
      <c r="K9" s="105">
        <v>1484</v>
      </c>
      <c r="L9" s="105">
        <v>1976.8</v>
      </c>
      <c r="M9" s="170">
        <f>SUM(I9:L9)</f>
        <v>7694.9000000000005</v>
      </c>
      <c r="N9" s="105">
        <v>2049.1</v>
      </c>
      <c r="O9" s="105">
        <v>1992.4</v>
      </c>
      <c r="P9" s="105">
        <v>2206</v>
      </c>
      <c r="Q9" s="105">
        <v>2491.1</v>
      </c>
      <c r="R9" s="170">
        <f>SUM(N9:Q9)</f>
        <v>8738.6</v>
      </c>
      <c r="S9" s="105">
        <v>2526.9</v>
      </c>
      <c r="T9" s="105">
        <v>2465.8000000000002</v>
      </c>
      <c r="U9" s="105">
        <v>2613.6</v>
      </c>
      <c r="V9" s="105">
        <f>+V60+V93+V110+V125</f>
        <v>2680.4740760427126</v>
      </c>
      <c r="W9" s="170">
        <f>SUM(S9:V9)</f>
        <v>10286.774076042713</v>
      </c>
      <c r="X9" s="105">
        <f>+X60+X93+X110+X125</f>
        <v>2792.2046014811281</v>
      </c>
      <c r="Y9" s="105">
        <f>+Y60+Y93+Y110+Y125</f>
        <v>2698.0110990988778</v>
      </c>
      <c r="Z9" s="105">
        <f>+Z60+Z93+Z110+Z125</f>
        <v>2952.0141051285923</v>
      </c>
      <c r="AA9" s="105">
        <f>+AA60+AA93+AA110+AA125</f>
        <v>2951.0890842542804</v>
      </c>
      <c r="AB9" s="49">
        <f>SUM(X9:AA9)</f>
        <v>11393.318889962877</v>
      </c>
      <c r="AC9" s="105">
        <f>+AC60+AC93+AC110+AC125</f>
        <v>3023.2384942526246</v>
      </c>
      <c r="AD9" s="105">
        <f>+AD60+AD93+AD110+AD125</f>
        <v>2902.466857308701</v>
      </c>
      <c r="AE9" s="105">
        <f>+AE60+AE93+AE110+AE125</f>
        <v>3218.0178890072548</v>
      </c>
      <c r="AF9" s="105">
        <f>+AF60+AF93+AF110+AF125</f>
        <v>3315.8214837705582</v>
      </c>
      <c r="AG9" s="49">
        <f>SUM(AC9:AF9)</f>
        <v>12459.544724339139</v>
      </c>
      <c r="AH9" s="105">
        <f>+AH60+AH93+AH110+AH125</f>
        <v>3349.1473466965335</v>
      </c>
      <c r="AI9" s="105">
        <f>+AI60+AI93+AI110+AI125</f>
        <v>3208.547147045143</v>
      </c>
      <c r="AJ9" s="105">
        <f>+AJ60+AJ93+AJ110+AJ125</f>
        <v>3536.0498900789989</v>
      </c>
      <c r="AK9" s="105">
        <f>+AK60+AK93+AK110+AK125</f>
        <v>3681.0028136399264</v>
      </c>
      <c r="AL9" s="49">
        <f>SUM(AH9:AK9)</f>
        <v>13774.747197460601</v>
      </c>
      <c r="AM9" s="105">
        <f>+AM60+AM93+AM110+AM125</f>
        <v>3678.0411736337292</v>
      </c>
      <c r="AN9" s="105">
        <f>+AN60+AN93+AN110+AN125</f>
        <v>3501.2840744200125</v>
      </c>
      <c r="AO9" s="105">
        <f>+AO60+AO93+AO110+AO125</f>
        <v>3847.5319249663094</v>
      </c>
      <c r="AP9" s="105">
        <f>+AP60+AP93+AP110+AP125</f>
        <v>3993.436959935877</v>
      </c>
      <c r="AQ9" s="49">
        <f>SUM(AM9:AP9)</f>
        <v>15020.294132955929</v>
      </c>
      <c r="AR9" s="105">
        <f>+AR60+AR93+AR110+AR125</f>
        <v>3911.8014904043416</v>
      </c>
      <c r="AS9" s="105">
        <f>+AS60+AS93+AS110+AS125</f>
        <v>3720.0511128171688</v>
      </c>
      <c r="AT9" s="105">
        <f>+AT60+AT93+AT110+AT125</f>
        <v>4088.08973531024</v>
      </c>
      <c r="AU9" s="105">
        <f>+AU60+AU93+AU110+AU125</f>
        <v>4244.8193493405943</v>
      </c>
      <c r="AV9" s="49">
        <f>SUM(AR9:AU9)</f>
        <v>15964.761687872344</v>
      </c>
    </row>
    <row r="10" spans="1:48" outlineLevel="1" x14ac:dyDescent="0.3">
      <c r="B10" s="38" t="s">
        <v>32</v>
      </c>
      <c r="C10" s="18"/>
      <c r="D10" s="105">
        <v>2586.8000000000002</v>
      </c>
      <c r="E10" s="105">
        <v>2554.1</v>
      </c>
      <c r="F10" s="105">
        <v>2643.2</v>
      </c>
      <c r="G10" s="105">
        <f t="shared" si="0"/>
        <v>2709.5000000000009</v>
      </c>
      <c r="H10" s="170">
        <v>10493.6</v>
      </c>
      <c r="I10" s="105">
        <v>2821.5</v>
      </c>
      <c r="J10" s="105">
        <v>2721.4</v>
      </c>
      <c r="K10" s="105">
        <v>2537.8000000000002</v>
      </c>
      <c r="L10" s="48">
        <v>2683.4</v>
      </c>
      <c r="M10" s="49">
        <f t="shared" ref="M10:M13" si="11">SUM(I10:L10)</f>
        <v>10764.1</v>
      </c>
      <c r="N10" s="48">
        <v>2867.3</v>
      </c>
      <c r="O10" s="105">
        <v>2823.3</v>
      </c>
      <c r="P10" s="105">
        <v>2966.9</v>
      </c>
      <c r="Q10" s="105">
        <v>3273.4</v>
      </c>
      <c r="R10" s="170">
        <f t="shared" ref="R10:R13" si="12">SUM(N10:Q10)</f>
        <v>11930.9</v>
      </c>
      <c r="S10" s="48">
        <v>3400</v>
      </c>
      <c r="T10" s="48">
        <v>3314.7</v>
      </c>
      <c r="U10" s="48">
        <v>3302.5</v>
      </c>
      <c r="V10" s="48">
        <f>+V62+V95</f>
        <v>3414.8150402467754</v>
      </c>
      <c r="W10" s="170">
        <f t="shared" ref="W10:W13" si="13">SUM(S10:V10)</f>
        <v>13432.015040246777</v>
      </c>
      <c r="X10" s="48">
        <f>+X62+X95</f>
        <v>3685.4801881898834</v>
      </c>
      <c r="Y10" s="48">
        <f>+Y62+Y95</f>
        <v>3621.863857006987</v>
      </c>
      <c r="Z10" s="48">
        <f>+Z62+Z95</f>
        <v>3791.4905667549974</v>
      </c>
      <c r="AA10" s="48">
        <f>+AA62+AA95</f>
        <v>3859.9983897140073</v>
      </c>
      <c r="AB10" s="49">
        <f t="shared" ref="AB10:AB13" si="14">SUM(X10:AA10)</f>
        <v>14958.833001665877</v>
      </c>
      <c r="AC10" s="48">
        <f>+AC62+AC95</f>
        <v>4089.8826101992436</v>
      </c>
      <c r="AD10" s="48">
        <f>+AD62+AD95</f>
        <v>3933.8256950432133</v>
      </c>
      <c r="AE10" s="48">
        <f>+AE62+AE95</f>
        <v>4163.9065147189303</v>
      </c>
      <c r="AF10" s="48">
        <f>+AF62+AF95</f>
        <v>4315.9635483888687</v>
      </c>
      <c r="AG10" s="49">
        <f t="shared" ref="AG10:AG14" si="15">SUM(AC10:AF10)</f>
        <v>16503.578368350256</v>
      </c>
      <c r="AH10" s="48">
        <f>+AH62+AH95</f>
        <v>4555.7736821072267</v>
      </c>
      <c r="AI10" s="48">
        <f>+AI62+AI95</f>
        <v>4378.8433292944728</v>
      </c>
      <c r="AJ10" s="48">
        <f>+AJ62+AJ95</f>
        <v>4606.890573962497</v>
      </c>
      <c r="AK10" s="48">
        <f>+AK62+AK95</f>
        <v>4819.4739979948627</v>
      </c>
      <c r="AL10" s="49">
        <f t="shared" ref="AL10:AL14" si="16">SUM(AH10:AK10)</f>
        <v>18360.981583359062</v>
      </c>
      <c r="AM10" s="48">
        <f>+AM62+AM95</f>
        <v>5015.9853796321413</v>
      </c>
      <c r="AN10" s="48">
        <f>+AN62+AN95</f>
        <v>4800.943043211957</v>
      </c>
      <c r="AO10" s="48">
        <f>+AO62+AO95</f>
        <v>5042.110056853493</v>
      </c>
      <c r="AP10" s="48">
        <f>+AP62+AP95</f>
        <v>5260.711730717212</v>
      </c>
      <c r="AQ10" s="49">
        <f t="shared" ref="AQ10:AQ14" si="17">SUM(AM10:AP10)</f>
        <v>20119.750210414804</v>
      </c>
      <c r="AR10" s="48">
        <f>+AR62+AR95</f>
        <v>5360.5936623820489</v>
      </c>
      <c r="AS10" s="48">
        <f>+AS62+AS95</f>
        <v>5127.6553297194241</v>
      </c>
      <c r="AT10" s="48">
        <f>+AT62+AT95</f>
        <v>5384.989355641309</v>
      </c>
      <c r="AU10" s="48">
        <f>+AU62+AU95</f>
        <v>5617.5289751728369</v>
      </c>
      <c r="AV10" s="49">
        <f t="shared" ref="AV10:AV14" si="18">SUM(AR10:AU10)</f>
        <v>21490.767322915621</v>
      </c>
    </row>
    <row r="11" spans="1:48" outlineLevel="1" x14ac:dyDescent="0.3">
      <c r="B11" s="38" t="s">
        <v>33</v>
      </c>
      <c r="C11" s="18"/>
      <c r="D11" s="105">
        <v>97.6</v>
      </c>
      <c r="E11" s="105">
        <v>87.1</v>
      </c>
      <c r="F11" s="105">
        <v>94.4</v>
      </c>
      <c r="G11" s="105">
        <f t="shared" si="0"/>
        <v>91.900000000000034</v>
      </c>
      <c r="H11" s="170">
        <v>371</v>
      </c>
      <c r="I11" s="105">
        <v>101.8</v>
      </c>
      <c r="J11" s="105">
        <v>95</v>
      </c>
      <c r="K11" s="105">
        <v>133.6</v>
      </c>
      <c r="L11" s="48">
        <v>99.9</v>
      </c>
      <c r="M11" s="49">
        <f t="shared" si="11"/>
        <v>430.29999999999995</v>
      </c>
      <c r="N11" s="48">
        <v>91.8</v>
      </c>
      <c r="O11" s="105">
        <v>87.7</v>
      </c>
      <c r="P11" s="105">
        <v>71.400000000000006</v>
      </c>
      <c r="Q11" s="105">
        <v>108.6</v>
      </c>
      <c r="R11" s="170">
        <f t="shared" si="12"/>
        <v>359.5</v>
      </c>
      <c r="S11" s="48">
        <v>101.7</v>
      </c>
      <c r="T11" s="48">
        <v>101.7</v>
      </c>
      <c r="U11" s="48">
        <v>135.1</v>
      </c>
      <c r="V11" s="48">
        <f>+V64+V97+V112+V126</f>
        <v>135.32630991142233</v>
      </c>
      <c r="W11" s="170">
        <f t="shared" si="13"/>
        <v>473.8263099114223</v>
      </c>
      <c r="X11" s="48">
        <f>+X64+X97+X112+X126</f>
        <v>119.63392249164208</v>
      </c>
      <c r="Y11" s="48">
        <f>+Y64+Y97+Y112+Y126</f>
        <v>112.38120296136272</v>
      </c>
      <c r="Z11" s="48">
        <f>+Z64+Z97+Z112+Z126</f>
        <v>147.10195665905303</v>
      </c>
      <c r="AA11" s="48">
        <f>+AA64+AA97+AA112+AA126</f>
        <v>138.97111750822123</v>
      </c>
      <c r="AB11" s="49">
        <f t="shared" si="14"/>
        <v>518.08819962027906</v>
      </c>
      <c r="AC11" s="48">
        <f>+AC64+AC97+AC112+AC126</f>
        <v>126.75537967623542</v>
      </c>
      <c r="AD11" s="48">
        <f>+AD64+AD97+AD112+AD126</f>
        <v>124.31897310126313</v>
      </c>
      <c r="AE11" s="48">
        <f>+AE64+AE97+AE112+AE126</f>
        <v>151.73192302219883</v>
      </c>
      <c r="AF11" s="48">
        <f>+AF64+AF97+AF112+AF126</f>
        <v>142.70666780703053</v>
      </c>
      <c r="AG11" s="49">
        <f t="shared" si="15"/>
        <v>545.51294360672784</v>
      </c>
      <c r="AH11" s="48">
        <f>+AH64+AH97+AH112+AH126</f>
        <v>134.43580305267341</v>
      </c>
      <c r="AI11" s="48">
        <f>+AI64+AI97+AI112+AI126</f>
        <v>133.81658504870623</v>
      </c>
      <c r="AJ11" s="48">
        <f>+AJ64+AJ97+AJ112+AJ126</f>
        <v>152.91518920045755</v>
      </c>
      <c r="AK11" s="48">
        <f>+AK64+AK97+AK112+AK126</f>
        <v>150.6224716147363</v>
      </c>
      <c r="AL11" s="49">
        <f t="shared" si="16"/>
        <v>571.7900489165736</v>
      </c>
      <c r="AM11" s="48">
        <f>+AM64+AM97+AM112+AM126</f>
        <v>148.2925012715591</v>
      </c>
      <c r="AN11" s="48">
        <f>+AN64+AN97+AN112+AN126</f>
        <v>146.69043608734765</v>
      </c>
      <c r="AO11" s="48">
        <f>+AO64+AO97+AO112+AO126</f>
        <v>166.74520966001205</v>
      </c>
      <c r="AP11" s="48">
        <f>+AP64+AP97+AP112+AP126</f>
        <v>163.27997382605707</v>
      </c>
      <c r="AQ11" s="49">
        <f t="shared" si="17"/>
        <v>625.00812084497579</v>
      </c>
      <c r="AR11" s="48">
        <f>+AR64+AR97+AR112+AR126</f>
        <v>157.57489229158986</v>
      </c>
      <c r="AS11" s="48">
        <f>+AS64+AS97+AS112+AS126</f>
        <v>155.77830829345254</v>
      </c>
      <c r="AT11" s="48">
        <f>+AT64+AT97+AT112+AT126</f>
        <v>177.09212998252491</v>
      </c>
      <c r="AU11" s="48">
        <f>+AU64+AU97+AU112+AU126</f>
        <v>173.40265830281751</v>
      </c>
      <c r="AV11" s="49">
        <f t="shared" si="18"/>
        <v>663.84798887038482</v>
      </c>
    </row>
    <row r="12" spans="1:48" outlineLevel="1" x14ac:dyDescent="0.3">
      <c r="B12" s="38" t="s">
        <v>34</v>
      </c>
      <c r="C12" s="18"/>
      <c r="D12" s="105">
        <v>333.4</v>
      </c>
      <c r="E12" s="105">
        <v>356.2</v>
      </c>
      <c r="F12" s="105">
        <v>343.1</v>
      </c>
      <c r="G12" s="105">
        <f t="shared" si="0"/>
        <v>344.5999999999998</v>
      </c>
      <c r="H12" s="170">
        <v>1377.3</v>
      </c>
      <c r="I12" s="105">
        <v>351</v>
      </c>
      <c r="J12" s="105">
        <v>356.3</v>
      </c>
      <c r="K12" s="105">
        <v>361</v>
      </c>
      <c r="L12" s="48">
        <v>362.9</v>
      </c>
      <c r="M12" s="49">
        <f t="shared" ref="M12" si="19">SUM(I12:L12)</f>
        <v>1431.1999999999998</v>
      </c>
      <c r="N12" s="48">
        <v>366.1</v>
      </c>
      <c r="O12" s="105">
        <v>366.7</v>
      </c>
      <c r="P12" s="105">
        <v>354.3</v>
      </c>
      <c r="Q12" s="105">
        <v>354.7</v>
      </c>
      <c r="R12" s="170">
        <f t="shared" ref="R12" si="20">SUM(N12:Q12)</f>
        <v>1441.8</v>
      </c>
      <c r="S12" s="48">
        <v>366</v>
      </c>
      <c r="T12" s="48">
        <v>367.7</v>
      </c>
      <c r="U12" s="48">
        <v>356.8</v>
      </c>
      <c r="V12" s="48">
        <f>+V66+V99+V114+V127</f>
        <v>369.17212312193374</v>
      </c>
      <c r="W12" s="170">
        <f t="shared" ref="W12" si="21">SUM(S12:V12)</f>
        <v>1459.6721231219337</v>
      </c>
      <c r="X12" s="48">
        <f t="shared" ref="X12:AA13" si="22">+X66+X99+X114+X127</f>
        <v>375.30210196547938</v>
      </c>
      <c r="Y12" s="48">
        <f t="shared" si="22"/>
        <v>391.37490633538391</v>
      </c>
      <c r="Z12" s="48">
        <f t="shared" si="22"/>
        <v>404.78952170607175</v>
      </c>
      <c r="AA12" s="48">
        <f t="shared" si="22"/>
        <v>420.9655435828563</v>
      </c>
      <c r="AB12" s="49">
        <f t="shared" ref="AB12" si="23">SUM(X12:AA12)</f>
        <v>1592.4320735897913</v>
      </c>
      <c r="AC12" s="48">
        <f t="shared" ref="AC12:AF13" si="24">+AC66+AC99+AC114+AC127</f>
        <v>437.34646088019144</v>
      </c>
      <c r="AD12" s="48">
        <f t="shared" si="24"/>
        <v>450.04201051763891</v>
      </c>
      <c r="AE12" s="48">
        <f t="shared" si="24"/>
        <v>459.74983134804819</v>
      </c>
      <c r="AF12" s="48">
        <f t="shared" si="24"/>
        <v>472.46435477520987</v>
      </c>
      <c r="AG12" s="49">
        <f t="shared" si="15"/>
        <v>1819.6026575210883</v>
      </c>
      <c r="AH12" s="48">
        <f t="shared" ref="AH12:AK13" si="25">+AH66+AH99+AH114+AH127</f>
        <v>485.4921110494052</v>
      </c>
      <c r="AI12" s="48">
        <f t="shared" si="25"/>
        <v>495.22083113045761</v>
      </c>
      <c r="AJ12" s="48">
        <f t="shared" si="25"/>
        <v>502.1832554973912</v>
      </c>
      <c r="AK12" s="48">
        <f t="shared" si="25"/>
        <v>512.3158603861765</v>
      </c>
      <c r="AL12" s="49">
        <f t="shared" si="16"/>
        <v>1995.2120580634305</v>
      </c>
      <c r="AM12" s="48">
        <f t="shared" ref="AM12:AP13" si="26">+AM66+AM99+AM114+AM127</f>
        <v>522.97205188188184</v>
      </c>
      <c r="AN12" s="48">
        <f t="shared" si="26"/>
        <v>534.34978961287891</v>
      </c>
      <c r="AO12" s="48">
        <f t="shared" si="26"/>
        <v>542.44625512752634</v>
      </c>
      <c r="AP12" s="48">
        <f t="shared" si="26"/>
        <v>553.81189912716638</v>
      </c>
      <c r="AQ12" s="49">
        <f t="shared" si="17"/>
        <v>2153.5799957494532</v>
      </c>
      <c r="AR12" s="48">
        <f t="shared" ref="AR12:AU13" si="27">+AR66+AR99+AR114+AR127</f>
        <v>565.58895381794139</v>
      </c>
      <c r="AS12" s="48">
        <f t="shared" si="27"/>
        <v>577.18545176484758</v>
      </c>
      <c r="AT12" s="48">
        <f t="shared" si="27"/>
        <v>585.28811585448</v>
      </c>
      <c r="AU12" s="48">
        <f t="shared" si="27"/>
        <v>596.88948817681307</v>
      </c>
      <c r="AV12" s="49">
        <f t="shared" si="18"/>
        <v>2324.9520096140823</v>
      </c>
    </row>
    <row r="13" spans="1:48" ht="17.25" customHeight="1" outlineLevel="1" x14ac:dyDescent="0.3">
      <c r="B13" s="38" t="s">
        <v>83</v>
      </c>
      <c r="C13" s="18"/>
      <c r="D13" s="105">
        <v>448</v>
      </c>
      <c r="E13" s="105">
        <v>458.1</v>
      </c>
      <c r="F13" s="105">
        <v>459.7</v>
      </c>
      <c r="G13" s="105">
        <f t="shared" si="0"/>
        <v>458.29999999999984</v>
      </c>
      <c r="H13" s="170">
        <v>1824.1</v>
      </c>
      <c r="I13" s="105">
        <v>434.2</v>
      </c>
      <c r="J13" s="105">
        <v>406.5</v>
      </c>
      <c r="K13" s="105">
        <v>399.9</v>
      </c>
      <c r="L13" s="48">
        <v>439</v>
      </c>
      <c r="M13" s="170">
        <f t="shared" si="11"/>
        <v>1679.6</v>
      </c>
      <c r="N13" s="48">
        <v>472.1</v>
      </c>
      <c r="O13" s="105">
        <v>464.4</v>
      </c>
      <c r="P13" s="105">
        <v>494.9</v>
      </c>
      <c r="Q13" s="105">
        <v>501.2</v>
      </c>
      <c r="R13" s="170">
        <f t="shared" si="12"/>
        <v>1932.6000000000001</v>
      </c>
      <c r="S13" s="48">
        <v>525.79999999999995</v>
      </c>
      <c r="T13" s="48">
        <v>481.5</v>
      </c>
      <c r="U13" s="48">
        <v>486.7</v>
      </c>
      <c r="V13" s="48">
        <f>+V67+V100+V115+V128</f>
        <v>585.15732864887252</v>
      </c>
      <c r="W13" s="170">
        <f t="shared" si="13"/>
        <v>2079.1573286488724</v>
      </c>
      <c r="X13" s="48">
        <f t="shared" si="22"/>
        <v>542.76112092038784</v>
      </c>
      <c r="Y13" s="48">
        <f t="shared" si="22"/>
        <v>516.12701489731307</v>
      </c>
      <c r="Z13" s="48">
        <f t="shared" si="22"/>
        <v>532.33892503138804</v>
      </c>
      <c r="AA13" s="48">
        <f t="shared" si="22"/>
        <v>553.177839499024</v>
      </c>
      <c r="AB13" s="49">
        <f t="shared" si="14"/>
        <v>2144.4049003481132</v>
      </c>
      <c r="AC13" s="48">
        <f t="shared" si="24"/>
        <v>551.42441050601303</v>
      </c>
      <c r="AD13" s="48">
        <f t="shared" si="24"/>
        <v>551.50437387975376</v>
      </c>
      <c r="AE13" s="48">
        <f t="shared" si="24"/>
        <v>549.83180838207022</v>
      </c>
      <c r="AF13" s="48">
        <f t="shared" si="24"/>
        <v>573.78728606917855</v>
      </c>
      <c r="AG13" s="49">
        <f t="shared" si="15"/>
        <v>2226.5478788370156</v>
      </c>
      <c r="AH13" s="48">
        <f t="shared" si="25"/>
        <v>567.57976542236452</v>
      </c>
      <c r="AI13" s="48">
        <f t="shared" si="25"/>
        <v>567.93530050096217</v>
      </c>
      <c r="AJ13" s="48">
        <f t="shared" si="25"/>
        <v>565.37791475381823</v>
      </c>
      <c r="AK13" s="48">
        <f t="shared" si="25"/>
        <v>591.99041389706031</v>
      </c>
      <c r="AL13" s="49">
        <f t="shared" si="16"/>
        <v>2292.8833945742053</v>
      </c>
      <c r="AM13" s="48">
        <f t="shared" si="26"/>
        <v>595.40250702208357</v>
      </c>
      <c r="AN13" s="48">
        <f t="shared" si="26"/>
        <v>593.19195021888891</v>
      </c>
      <c r="AO13" s="48">
        <f t="shared" si="26"/>
        <v>588.92307284471519</v>
      </c>
      <c r="AP13" s="48">
        <f t="shared" si="26"/>
        <v>616.15102587948604</v>
      </c>
      <c r="AQ13" s="49">
        <f t="shared" si="17"/>
        <v>2393.6685559651737</v>
      </c>
      <c r="AR13" s="48">
        <f t="shared" si="27"/>
        <v>613.23542475422789</v>
      </c>
      <c r="AS13" s="48">
        <f t="shared" si="27"/>
        <v>610.61667774298451</v>
      </c>
      <c r="AT13" s="48">
        <f t="shared" si="27"/>
        <v>606.05730142078437</v>
      </c>
      <c r="AU13" s="48">
        <f t="shared" si="27"/>
        <v>635.17649235891781</v>
      </c>
      <c r="AV13" s="49">
        <f t="shared" si="18"/>
        <v>2465.0858962769144</v>
      </c>
    </row>
    <row r="14" spans="1:48" ht="17.25" customHeight="1" outlineLevel="1" x14ac:dyDescent="0.45">
      <c r="B14" s="38" t="s">
        <v>42</v>
      </c>
      <c r="C14" s="18"/>
      <c r="D14" s="104">
        <v>43.2</v>
      </c>
      <c r="E14" s="104">
        <v>43</v>
      </c>
      <c r="F14" s="104">
        <v>37.700000000000003</v>
      </c>
      <c r="G14" s="104">
        <f t="shared" si="0"/>
        <v>11.900000000000006</v>
      </c>
      <c r="H14" s="173">
        <v>135.80000000000001</v>
      </c>
      <c r="I14" s="104">
        <v>6.3</v>
      </c>
      <c r="J14" s="104">
        <v>-0.7</v>
      </c>
      <c r="K14" s="104">
        <v>78.099999999999994</v>
      </c>
      <c r="L14" s="104">
        <v>195</v>
      </c>
      <c r="M14" s="53">
        <f t="shared" ref="M14" si="28">SUM(I14:L14)</f>
        <v>278.7</v>
      </c>
      <c r="N14" s="52">
        <v>72.2</v>
      </c>
      <c r="O14" s="104">
        <v>23</v>
      </c>
      <c r="P14" s="104">
        <v>19.8</v>
      </c>
      <c r="Q14" s="104">
        <v>55.5</v>
      </c>
      <c r="R14" s="173">
        <f t="shared" ref="R14" si="29">SUM(N14:Q14)</f>
        <v>170.5</v>
      </c>
      <c r="S14" s="52">
        <v>-7.5</v>
      </c>
      <c r="T14" s="52">
        <v>4.4000000000000004</v>
      </c>
      <c r="U14" s="52">
        <v>14</v>
      </c>
      <c r="V14" s="52">
        <f>+V69+V102+V117+V129</f>
        <v>50</v>
      </c>
      <c r="W14" s="173">
        <f t="shared" ref="W14" si="30">SUM(S14:V14)</f>
        <v>60.9</v>
      </c>
      <c r="X14" s="52">
        <f>+X69+X102+X117+X129</f>
        <v>50</v>
      </c>
      <c r="Y14" s="52">
        <f>+Y69+Y102+Y117+Y129</f>
        <v>0</v>
      </c>
      <c r="Z14" s="52">
        <f>+Z69+Z102+Z117+Z129</f>
        <v>0</v>
      </c>
      <c r="AA14" s="52">
        <f>+AA69+AA102+AA117+AA129</f>
        <v>0</v>
      </c>
      <c r="AB14" s="53">
        <f t="shared" ref="AB14" si="31">SUM(X14:AA14)</f>
        <v>50</v>
      </c>
      <c r="AC14" s="52">
        <f>+AC69+AC102+AC117+AC129</f>
        <v>0</v>
      </c>
      <c r="AD14" s="52">
        <f>+AD69+AD102+AD117+AD129</f>
        <v>0</v>
      </c>
      <c r="AE14" s="52">
        <f>+AE69+AE102+AE117+AE129</f>
        <v>0</v>
      </c>
      <c r="AF14" s="52">
        <f>+AF69+AF102+AF117+AF129</f>
        <v>0</v>
      </c>
      <c r="AG14" s="53">
        <f t="shared" si="15"/>
        <v>0</v>
      </c>
      <c r="AH14" s="52">
        <f>+AH69+AH102+AH117+AH129</f>
        <v>0</v>
      </c>
      <c r="AI14" s="52">
        <f>+AI69+AI102+AI117+AI129</f>
        <v>0</v>
      </c>
      <c r="AJ14" s="52">
        <f>+AJ69+AJ102+AJ117+AJ129</f>
        <v>0</v>
      </c>
      <c r="AK14" s="52">
        <f>+AK69+AK102+AK117+AK129</f>
        <v>0</v>
      </c>
      <c r="AL14" s="53">
        <f t="shared" si="16"/>
        <v>0</v>
      </c>
      <c r="AM14" s="52">
        <f>+AM69+AM102+AM117+AM129</f>
        <v>0</v>
      </c>
      <c r="AN14" s="52">
        <f>+AN69+AN102+AN117+AN129</f>
        <v>0</v>
      </c>
      <c r="AO14" s="52">
        <f>+AO69+AO102+AO117+AO129</f>
        <v>0</v>
      </c>
      <c r="AP14" s="52">
        <f>+AP69+AP102+AP117+AP129</f>
        <v>0</v>
      </c>
      <c r="AQ14" s="53">
        <f t="shared" si="17"/>
        <v>0</v>
      </c>
      <c r="AR14" s="52">
        <f>+AR69+AR102+AR117+AR129</f>
        <v>0</v>
      </c>
      <c r="AS14" s="52">
        <f>+AS69+AS102+AS117+AS129</f>
        <v>0</v>
      </c>
      <c r="AT14" s="52">
        <f>+AT69+AT102+AT117+AT129</f>
        <v>0</v>
      </c>
      <c r="AU14" s="52">
        <f>+AU69+AU102+AU117+AU129</f>
        <v>0</v>
      </c>
      <c r="AV14" s="53">
        <f t="shared" si="18"/>
        <v>0</v>
      </c>
    </row>
    <row r="15" spans="1:48" s="20" customFormat="1" ht="17.25" customHeight="1" x14ac:dyDescent="0.45">
      <c r="B15" s="46" t="s">
        <v>8</v>
      </c>
      <c r="C15" s="19"/>
      <c r="D15" s="106">
        <f t="shared" ref="D15:AL15" si="32">SUM(D10:D14)+D9</f>
        <v>5684.8</v>
      </c>
      <c r="E15" s="106">
        <f t="shared" si="32"/>
        <v>5510.5</v>
      </c>
      <c r="F15" s="106">
        <f t="shared" si="32"/>
        <v>5777.6999999999989</v>
      </c>
      <c r="G15" s="106">
        <f t="shared" si="32"/>
        <v>5755.7</v>
      </c>
      <c r="H15" s="175">
        <f t="shared" si="32"/>
        <v>22728.699999999997</v>
      </c>
      <c r="I15" s="106">
        <f t="shared" si="32"/>
        <v>5951.2000000000007</v>
      </c>
      <c r="J15" s="106">
        <f t="shared" si="32"/>
        <v>5576.2000000000007</v>
      </c>
      <c r="K15" s="106">
        <f t="shared" si="32"/>
        <v>4994.3999999999996</v>
      </c>
      <c r="L15" s="54">
        <f t="shared" si="32"/>
        <v>5757</v>
      </c>
      <c r="M15" s="55">
        <f t="shared" si="32"/>
        <v>22278.799999999999</v>
      </c>
      <c r="N15" s="54">
        <f t="shared" si="32"/>
        <v>5918.6</v>
      </c>
      <c r="O15" s="106">
        <f t="shared" si="32"/>
        <v>5757.5</v>
      </c>
      <c r="P15" s="106">
        <f>SUM(P10:P14)+P9</f>
        <v>6113.3000000000011</v>
      </c>
      <c r="Q15" s="106">
        <f>SUM(Q10:Q14)+Q9</f>
        <v>6784.5</v>
      </c>
      <c r="R15" s="175">
        <f t="shared" si="32"/>
        <v>24573.9</v>
      </c>
      <c r="S15" s="54">
        <f t="shared" si="32"/>
        <v>6912.9</v>
      </c>
      <c r="T15" s="54">
        <f t="shared" si="32"/>
        <v>6735.7999999999993</v>
      </c>
      <c r="U15" s="54">
        <f t="shared" si="32"/>
        <v>6908.7000000000007</v>
      </c>
      <c r="V15" s="54">
        <f t="shared" si="32"/>
        <v>7234.9448779717168</v>
      </c>
      <c r="W15" s="175">
        <f t="shared" si="32"/>
        <v>27792.344877971722</v>
      </c>
      <c r="X15" s="54">
        <f t="shared" si="32"/>
        <v>7565.381935048521</v>
      </c>
      <c r="Y15" s="54">
        <f t="shared" si="32"/>
        <v>7339.7580802999237</v>
      </c>
      <c r="Z15" s="54">
        <f t="shared" si="32"/>
        <v>7827.7350752801012</v>
      </c>
      <c r="AA15" s="54">
        <f t="shared" si="32"/>
        <v>7924.2019745583893</v>
      </c>
      <c r="AB15" s="55">
        <f t="shared" si="32"/>
        <v>30657.077065186935</v>
      </c>
      <c r="AC15" s="54">
        <f t="shared" si="32"/>
        <v>8228.6473555143093</v>
      </c>
      <c r="AD15" s="54">
        <f t="shared" si="32"/>
        <v>7962.1579098505699</v>
      </c>
      <c r="AE15" s="54">
        <f t="shared" si="32"/>
        <v>8543.2379664785039</v>
      </c>
      <c r="AF15" s="54">
        <f t="shared" si="32"/>
        <v>8820.7433408108463</v>
      </c>
      <c r="AG15" s="55">
        <f t="shared" si="32"/>
        <v>33554.78657265423</v>
      </c>
      <c r="AH15" s="54">
        <f t="shared" si="32"/>
        <v>9092.4287083282034</v>
      </c>
      <c r="AI15" s="54">
        <f t="shared" si="32"/>
        <v>8784.3631930197425</v>
      </c>
      <c r="AJ15" s="54">
        <f t="shared" si="32"/>
        <v>9363.416823493164</v>
      </c>
      <c r="AK15" s="54">
        <f t="shared" si="32"/>
        <v>9755.405557532762</v>
      </c>
      <c r="AL15" s="55">
        <f t="shared" si="32"/>
        <v>36995.61428237387</v>
      </c>
      <c r="AM15" s="54">
        <f t="shared" ref="AM15:AQ15" si="33">SUM(AM10:AM14)+AM9</f>
        <v>9960.6936134413954</v>
      </c>
      <c r="AN15" s="54">
        <f t="shared" si="33"/>
        <v>9576.4592935510864</v>
      </c>
      <c r="AO15" s="54">
        <f t="shared" si="33"/>
        <v>10187.756519452056</v>
      </c>
      <c r="AP15" s="54">
        <f t="shared" si="33"/>
        <v>10587.3915894858</v>
      </c>
      <c r="AQ15" s="55">
        <f t="shared" si="33"/>
        <v>40312.301015930338</v>
      </c>
      <c r="AR15" s="54">
        <f t="shared" ref="AR15:AV15" si="34">SUM(AR10:AR14)+AR9</f>
        <v>10608.79442365015</v>
      </c>
      <c r="AS15" s="54">
        <f t="shared" si="34"/>
        <v>10191.286880337879</v>
      </c>
      <c r="AT15" s="54">
        <f t="shared" si="34"/>
        <v>10841.516638209338</v>
      </c>
      <c r="AU15" s="54">
        <f t="shared" si="34"/>
        <v>11267.816963351979</v>
      </c>
      <c r="AV15" s="55">
        <f t="shared" si="34"/>
        <v>42909.41490554934</v>
      </c>
    </row>
    <row r="16" spans="1:48" s="23" customFormat="1" ht="17.25" customHeight="1" x14ac:dyDescent="0.45">
      <c r="B16" s="591" t="s">
        <v>36</v>
      </c>
      <c r="C16" s="592"/>
      <c r="D16" s="104">
        <v>67.8</v>
      </c>
      <c r="E16" s="104">
        <v>62.3</v>
      </c>
      <c r="F16" s="104">
        <v>76</v>
      </c>
      <c r="G16" s="104">
        <f t="shared" si="0"/>
        <v>91.899999999999991</v>
      </c>
      <c r="H16" s="173">
        <v>298</v>
      </c>
      <c r="I16" s="104">
        <v>73.900000000000006</v>
      </c>
      <c r="J16" s="104">
        <v>67.900000000000006</v>
      </c>
      <c r="K16" s="104">
        <v>68.400000000000006</v>
      </c>
      <c r="L16" s="52">
        <v>112.2</v>
      </c>
      <c r="M16" s="53">
        <f t="shared" ref="M16" si="35">SUM(I16:L16)</f>
        <v>322.40000000000003</v>
      </c>
      <c r="N16" s="52">
        <v>82.7</v>
      </c>
      <c r="O16" s="104">
        <v>77.099999999999994</v>
      </c>
      <c r="P16" s="104">
        <v>105.5</v>
      </c>
      <c r="Q16" s="104">
        <v>120</v>
      </c>
      <c r="R16" s="173">
        <f t="shared" ref="R16" si="36">SUM(N16:Q16)</f>
        <v>385.3</v>
      </c>
      <c r="S16" s="52">
        <v>40.299999999999997</v>
      </c>
      <c r="T16" s="52">
        <v>49.1</v>
      </c>
      <c r="U16" s="52">
        <v>54.1</v>
      </c>
      <c r="V16" s="52">
        <f>+V104+V119</f>
        <v>54.1</v>
      </c>
      <c r="W16" s="173">
        <f t="shared" ref="W16" si="37">SUM(S16:V16)</f>
        <v>197.6</v>
      </c>
      <c r="X16" s="52">
        <f>+X104+X119</f>
        <v>54.1</v>
      </c>
      <c r="Y16" s="52">
        <f>+Y104+Y119</f>
        <v>54.2</v>
      </c>
      <c r="Z16" s="52">
        <f>+Z104+Z119</f>
        <v>54.300000000000004</v>
      </c>
      <c r="AA16" s="52">
        <f>+AA104+AA119</f>
        <v>54.400000000000006</v>
      </c>
      <c r="AB16" s="53">
        <f t="shared" ref="AB16" si="38">SUM(X16:AA16)</f>
        <v>217.00000000000003</v>
      </c>
      <c r="AC16" s="52">
        <f>+AC104+AC119</f>
        <v>54.7</v>
      </c>
      <c r="AD16" s="52">
        <f>+AD104+AD119</f>
        <v>54.7</v>
      </c>
      <c r="AE16" s="52">
        <f>+AE104+AE119</f>
        <v>54.7</v>
      </c>
      <c r="AF16" s="52">
        <f>+AF104+AF119</f>
        <v>54.7</v>
      </c>
      <c r="AG16" s="53">
        <f t="shared" ref="AG16" si="39">SUM(AC16:AF16)</f>
        <v>218.8</v>
      </c>
      <c r="AH16" s="52">
        <f>+AH104+AH119</f>
        <v>54.7</v>
      </c>
      <c r="AI16" s="52">
        <f>+AI104+AI119</f>
        <v>54.7</v>
      </c>
      <c r="AJ16" s="52">
        <f>+AJ104+AJ119</f>
        <v>54.7</v>
      </c>
      <c r="AK16" s="52">
        <f>+AK104+AK119</f>
        <v>54.7</v>
      </c>
      <c r="AL16" s="53">
        <f t="shared" ref="AL16" si="40">SUM(AH16:AK16)</f>
        <v>218.8</v>
      </c>
      <c r="AM16" s="52">
        <f>+AM104+AM119</f>
        <v>54.7</v>
      </c>
      <c r="AN16" s="52">
        <f>+AN104+AN119</f>
        <v>54.7</v>
      </c>
      <c r="AO16" s="52">
        <f>+AO104+AO119</f>
        <v>54.7</v>
      </c>
      <c r="AP16" s="52">
        <f>+AP104+AP119</f>
        <v>54.7</v>
      </c>
      <c r="AQ16" s="53">
        <f t="shared" ref="AQ16" si="41">SUM(AM16:AP16)</f>
        <v>218.8</v>
      </c>
      <c r="AR16" s="52">
        <f>+AR104+AR119</f>
        <v>54.7</v>
      </c>
      <c r="AS16" s="52">
        <f>+AS104+AS119</f>
        <v>54.7</v>
      </c>
      <c r="AT16" s="52">
        <f>+AT104+AT119</f>
        <v>54.7</v>
      </c>
      <c r="AU16" s="52">
        <f>+AU104+AU119</f>
        <v>54.7</v>
      </c>
      <c r="AV16" s="53">
        <f t="shared" ref="AV16" si="42">SUM(AR16:AU16)</f>
        <v>218.8</v>
      </c>
    </row>
    <row r="17" spans="1:48" x14ac:dyDescent="0.3">
      <c r="B17" s="135" t="s">
        <v>10</v>
      </c>
      <c r="C17" s="136"/>
      <c r="D17" s="103">
        <f t="shared" ref="D17:AQ17" si="43">D8-D15+D16</f>
        <v>1015.7000000000005</v>
      </c>
      <c r="E17" s="103">
        <f t="shared" si="43"/>
        <v>857.69999999999959</v>
      </c>
      <c r="F17" s="103">
        <f t="shared" si="43"/>
        <v>1121.3000000000011</v>
      </c>
      <c r="G17" s="103">
        <f t="shared" si="43"/>
        <v>1083.2000000000012</v>
      </c>
      <c r="H17" s="171">
        <f t="shared" si="43"/>
        <v>4077.9000000000051</v>
      </c>
      <c r="I17" s="103">
        <f t="shared" si="43"/>
        <v>1219.7999999999988</v>
      </c>
      <c r="J17" s="103">
        <f t="shared" si="43"/>
        <v>487.39999999999907</v>
      </c>
      <c r="K17" s="103">
        <f t="shared" si="43"/>
        <v>-703.8999999999993</v>
      </c>
      <c r="L17" s="50">
        <f t="shared" si="43"/>
        <v>558.30000000000041</v>
      </c>
      <c r="M17" s="51">
        <f t="shared" si="43"/>
        <v>1561.6000000000045</v>
      </c>
      <c r="N17" s="50">
        <f t="shared" si="43"/>
        <v>913.50000000000023</v>
      </c>
      <c r="O17" s="103">
        <f t="shared" si="43"/>
        <v>987.6</v>
      </c>
      <c r="P17" s="103">
        <f>P8-P15+P16</f>
        <v>1488.6999999999989</v>
      </c>
      <c r="Q17" s="103">
        <f>Q8-Q15+Q16</f>
        <v>1482.1999999999998</v>
      </c>
      <c r="R17" s="171">
        <f t="shared" si="43"/>
        <v>4871.9999999999973</v>
      </c>
      <c r="S17" s="50">
        <f t="shared" si="43"/>
        <v>1177.8</v>
      </c>
      <c r="T17" s="50">
        <f t="shared" si="43"/>
        <v>948.9000000000002</v>
      </c>
      <c r="U17" s="50">
        <f t="shared" si="43"/>
        <v>1295.4999999999995</v>
      </c>
      <c r="V17" s="50">
        <f t="shared" si="43"/>
        <v>1106.8835609451121</v>
      </c>
      <c r="W17" s="171">
        <f t="shared" si="43"/>
        <v>4529.0835609451042</v>
      </c>
      <c r="X17" s="50">
        <f t="shared" si="43"/>
        <v>1157.0200909464743</v>
      </c>
      <c r="Y17" s="50">
        <f t="shared" si="43"/>
        <v>1107.4156341339633</v>
      </c>
      <c r="Z17" s="50">
        <f t="shared" si="43"/>
        <v>1417.3730833855104</v>
      </c>
      <c r="AA17" s="50">
        <f t="shared" si="43"/>
        <v>1529.2551664165953</v>
      </c>
      <c r="AB17" s="51">
        <f t="shared" si="43"/>
        <v>5211.0639748825452</v>
      </c>
      <c r="AC17" s="50">
        <f t="shared" si="43"/>
        <v>1562.3186303071755</v>
      </c>
      <c r="AD17" s="50">
        <f t="shared" si="43"/>
        <v>1297.7843273790525</v>
      </c>
      <c r="AE17" s="50">
        <f t="shared" si="43"/>
        <v>1600.4493556014743</v>
      </c>
      <c r="AF17" s="50">
        <f t="shared" si="43"/>
        <v>1583.020447229733</v>
      </c>
      <c r="AG17" s="51">
        <f t="shared" si="43"/>
        <v>6043.572760517437</v>
      </c>
      <c r="AH17" s="50">
        <f t="shared" si="43"/>
        <v>1820.4732418221386</v>
      </c>
      <c r="AI17" s="50">
        <f t="shared" si="43"/>
        <v>1528.4975455599499</v>
      </c>
      <c r="AJ17" s="50">
        <f t="shared" si="43"/>
        <v>1941.4353282223904</v>
      </c>
      <c r="AK17" s="50">
        <f t="shared" si="43"/>
        <v>1863.8561066296727</v>
      </c>
      <c r="AL17" s="51">
        <f t="shared" si="43"/>
        <v>7154.2622222341497</v>
      </c>
      <c r="AM17" s="50">
        <f t="shared" si="43"/>
        <v>2039.2045585748976</v>
      </c>
      <c r="AN17" s="50">
        <f t="shared" si="43"/>
        <v>1706.1639819015629</v>
      </c>
      <c r="AO17" s="50">
        <f t="shared" si="43"/>
        <v>2135.6768576086351</v>
      </c>
      <c r="AP17" s="50">
        <f t="shared" si="43"/>
        <v>2041.1115527760642</v>
      </c>
      <c r="AQ17" s="51">
        <f t="shared" si="43"/>
        <v>7922.1569508611619</v>
      </c>
      <c r="AR17" s="50">
        <f t="shared" ref="AR17:AV17" si="44">AR8-AR15+AR16</f>
        <v>2168.045897422634</v>
      </c>
      <c r="AS17" s="50">
        <f t="shared" si="44"/>
        <v>1812.9913620688305</v>
      </c>
      <c r="AT17" s="50">
        <f t="shared" si="44"/>
        <v>2267.7516158585468</v>
      </c>
      <c r="AU17" s="50">
        <f t="shared" si="44"/>
        <v>2169.8217984513785</v>
      </c>
      <c r="AV17" s="51">
        <f t="shared" si="44"/>
        <v>8418.6106738014023</v>
      </c>
    </row>
    <row r="18" spans="1:48" ht="16.2" x14ac:dyDescent="0.45">
      <c r="B18" s="123" t="s">
        <v>70</v>
      </c>
      <c r="C18" s="88"/>
      <c r="D18" s="107">
        <f>+D170</f>
        <v>138</v>
      </c>
      <c r="E18" s="107">
        <f>+E170</f>
        <v>141.4</v>
      </c>
      <c r="F18" s="107">
        <f>+F170</f>
        <v>125.30000000000001</v>
      </c>
      <c r="G18" s="107">
        <f>+G170</f>
        <v>77.399999999999991</v>
      </c>
      <c r="H18" s="176">
        <f>SUM(D18:G18)</f>
        <v>482.09999999999997</v>
      </c>
      <c r="I18" s="107">
        <f>+I170</f>
        <v>71.599999999999994</v>
      </c>
      <c r="J18" s="107">
        <f>+J170</f>
        <v>66.8</v>
      </c>
      <c r="K18" s="107">
        <f>+K170</f>
        <v>173.67999999999998</v>
      </c>
      <c r="L18" s="89">
        <f>+L170</f>
        <v>259.5</v>
      </c>
      <c r="M18" s="90">
        <f>SUM(I18:L18)</f>
        <v>571.57999999999993</v>
      </c>
      <c r="N18" s="107">
        <f>+N170</f>
        <v>134.9</v>
      </c>
      <c r="O18" s="107">
        <f>+O170</f>
        <v>88.2</v>
      </c>
      <c r="P18" s="107">
        <f>+P170</f>
        <v>51.7</v>
      </c>
      <c r="Q18" s="107">
        <f>+Q170</f>
        <v>115.2</v>
      </c>
      <c r="R18" s="176">
        <f>SUM(N18:Q18)</f>
        <v>390</v>
      </c>
      <c r="S18" s="89">
        <f>+S170</f>
        <v>35.199999999999996</v>
      </c>
      <c r="T18" s="89">
        <f>+T170</f>
        <v>47.5</v>
      </c>
      <c r="U18" s="89">
        <f>+U170</f>
        <v>77.5</v>
      </c>
      <c r="V18" s="89">
        <f>+V170</f>
        <v>114</v>
      </c>
      <c r="W18" s="176">
        <f>SUM(S18:V18)</f>
        <v>274.2</v>
      </c>
      <c r="X18" s="89">
        <f>+X170</f>
        <v>114</v>
      </c>
      <c r="Y18" s="89">
        <f>+Y170</f>
        <v>64</v>
      </c>
      <c r="Z18" s="89">
        <f>+Z170</f>
        <v>64</v>
      </c>
      <c r="AA18" s="89">
        <f>+AA170</f>
        <v>64</v>
      </c>
      <c r="AB18" s="90">
        <f>SUM(X18:AA18)</f>
        <v>306</v>
      </c>
      <c r="AC18" s="89">
        <f t="shared" ref="AC18:AF18" si="45">+AC170</f>
        <v>64</v>
      </c>
      <c r="AD18" s="89">
        <f t="shared" si="45"/>
        <v>64</v>
      </c>
      <c r="AE18" s="89">
        <f t="shared" si="45"/>
        <v>64</v>
      </c>
      <c r="AF18" s="89">
        <f t="shared" si="45"/>
        <v>64</v>
      </c>
      <c r="AG18" s="90">
        <f>SUM(AC18:AF18)</f>
        <v>256</v>
      </c>
      <c r="AH18" s="89">
        <f t="shared" ref="AH18:AK18" si="46">+AH170</f>
        <v>64</v>
      </c>
      <c r="AI18" s="89">
        <f t="shared" si="46"/>
        <v>64</v>
      </c>
      <c r="AJ18" s="89">
        <f t="shared" si="46"/>
        <v>64</v>
      </c>
      <c r="AK18" s="89">
        <f t="shared" si="46"/>
        <v>64</v>
      </c>
      <c r="AL18" s="90">
        <f>SUM(AH18:AK18)</f>
        <v>256</v>
      </c>
      <c r="AM18" s="89">
        <f t="shared" ref="AM18:AP18" si="47">+AM170</f>
        <v>64</v>
      </c>
      <c r="AN18" s="89">
        <f t="shared" si="47"/>
        <v>64</v>
      </c>
      <c r="AO18" s="89">
        <f t="shared" si="47"/>
        <v>64</v>
      </c>
      <c r="AP18" s="89">
        <f t="shared" si="47"/>
        <v>64</v>
      </c>
      <c r="AQ18" s="90">
        <f>SUM(AM18:AP18)</f>
        <v>256</v>
      </c>
      <c r="AR18" s="89">
        <f t="shared" ref="AR18:AU18" si="48">+AR170</f>
        <v>64</v>
      </c>
      <c r="AS18" s="89">
        <f t="shared" si="48"/>
        <v>64</v>
      </c>
      <c r="AT18" s="89">
        <f t="shared" si="48"/>
        <v>64</v>
      </c>
      <c r="AU18" s="89">
        <f t="shared" si="48"/>
        <v>64</v>
      </c>
      <c r="AV18" s="90">
        <f>SUM(AR18:AU18)</f>
        <v>256</v>
      </c>
    </row>
    <row r="19" spans="1:48" x14ac:dyDescent="0.3">
      <c r="B19" s="124" t="s">
        <v>71</v>
      </c>
      <c r="C19" s="79"/>
      <c r="D19" s="108">
        <f t="shared" ref="D19:AQ19" si="49">+D17+D18</f>
        <v>1153.7000000000005</v>
      </c>
      <c r="E19" s="108">
        <f t="shared" si="49"/>
        <v>999.09999999999957</v>
      </c>
      <c r="F19" s="108">
        <f t="shared" si="49"/>
        <v>1246.600000000001</v>
      </c>
      <c r="G19" s="108">
        <f t="shared" si="49"/>
        <v>1160.6000000000013</v>
      </c>
      <c r="H19" s="177">
        <f t="shared" si="49"/>
        <v>4560.0000000000055</v>
      </c>
      <c r="I19" s="108">
        <f t="shared" si="49"/>
        <v>1291.3999999999987</v>
      </c>
      <c r="J19" s="108">
        <f t="shared" si="49"/>
        <v>554.19999999999902</v>
      </c>
      <c r="K19" s="108">
        <f t="shared" si="49"/>
        <v>-530.21999999999935</v>
      </c>
      <c r="L19" s="80">
        <f t="shared" si="49"/>
        <v>817.80000000000041</v>
      </c>
      <c r="M19" s="81">
        <f t="shared" si="49"/>
        <v>2133.1800000000044</v>
      </c>
      <c r="N19" s="108">
        <f t="shared" si="49"/>
        <v>1048.4000000000003</v>
      </c>
      <c r="O19" s="108">
        <f t="shared" si="49"/>
        <v>1075.8</v>
      </c>
      <c r="P19" s="108">
        <f t="shared" si="49"/>
        <v>1540.399999999999</v>
      </c>
      <c r="Q19" s="108">
        <f t="shared" si="49"/>
        <v>1597.3999999999999</v>
      </c>
      <c r="R19" s="177">
        <f t="shared" si="49"/>
        <v>5261.9999999999973</v>
      </c>
      <c r="S19" s="80">
        <f t="shared" si="49"/>
        <v>1213</v>
      </c>
      <c r="T19" s="80">
        <f t="shared" si="49"/>
        <v>996.4000000000002</v>
      </c>
      <c r="U19" s="80">
        <f t="shared" si="49"/>
        <v>1372.9999999999995</v>
      </c>
      <c r="V19" s="80">
        <f t="shared" si="49"/>
        <v>1220.8835609451121</v>
      </c>
      <c r="W19" s="177">
        <f t="shared" si="49"/>
        <v>4803.283560945104</v>
      </c>
      <c r="X19" s="80">
        <f t="shared" si="49"/>
        <v>1271.0200909464743</v>
      </c>
      <c r="Y19" s="80">
        <f t="shared" si="49"/>
        <v>1171.4156341339633</v>
      </c>
      <c r="Z19" s="80">
        <f t="shared" si="49"/>
        <v>1481.3730833855104</v>
      </c>
      <c r="AA19" s="80">
        <f t="shared" si="49"/>
        <v>1593.2551664165953</v>
      </c>
      <c r="AB19" s="81">
        <f t="shared" si="49"/>
        <v>5517.0639748825452</v>
      </c>
      <c r="AC19" s="80">
        <f t="shared" si="49"/>
        <v>1626.3186303071755</v>
      </c>
      <c r="AD19" s="80">
        <f t="shared" si="49"/>
        <v>1361.7843273790525</v>
      </c>
      <c r="AE19" s="80">
        <f t="shared" si="49"/>
        <v>1664.4493556014743</v>
      </c>
      <c r="AF19" s="80">
        <f t="shared" si="49"/>
        <v>1647.020447229733</v>
      </c>
      <c r="AG19" s="81">
        <f t="shared" si="49"/>
        <v>6299.572760517437</v>
      </c>
      <c r="AH19" s="80">
        <f t="shared" si="49"/>
        <v>1884.4732418221386</v>
      </c>
      <c r="AI19" s="80">
        <f t="shared" si="49"/>
        <v>1592.4975455599499</v>
      </c>
      <c r="AJ19" s="80">
        <f t="shared" si="49"/>
        <v>2005.4353282223904</v>
      </c>
      <c r="AK19" s="80">
        <f t="shared" si="49"/>
        <v>1927.8561066296727</v>
      </c>
      <c r="AL19" s="81">
        <f t="shared" si="49"/>
        <v>7410.2622222341497</v>
      </c>
      <c r="AM19" s="80">
        <f t="shared" si="49"/>
        <v>2103.2045585748974</v>
      </c>
      <c r="AN19" s="80">
        <f t="shared" si="49"/>
        <v>1770.1639819015629</v>
      </c>
      <c r="AO19" s="80">
        <f t="shared" si="49"/>
        <v>2199.6768576086351</v>
      </c>
      <c r="AP19" s="80">
        <f t="shared" si="49"/>
        <v>2105.1115527760639</v>
      </c>
      <c r="AQ19" s="81">
        <f t="shared" si="49"/>
        <v>8178.1569508611619</v>
      </c>
      <c r="AR19" s="80">
        <f t="shared" ref="AR19:AV19" si="50">+AR17+AR18</f>
        <v>2232.045897422634</v>
      </c>
      <c r="AS19" s="80">
        <f t="shared" si="50"/>
        <v>1876.9913620688305</v>
      </c>
      <c r="AT19" s="80">
        <f t="shared" si="50"/>
        <v>2331.7516158585468</v>
      </c>
      <c r="AU19" s="80">
        <f t="shared" si="50"/>
        <v>2233.8217984513785</v>
      </c>
      <c r="AV19" s="81">
        <f t="shared" si="50"/>
        <v>8674.6106738014023</v>
      </c>
    </row>
    <row r="20" spans="1:48" x14ac:dyDescent="0.3">
      <c r="B20" s="38" t="s">
        <v>63</v>
      </c>
      <c r="C20" s="18"/>
      <c r="D20" s="105">
        <v>0</v>
      </c>
      <c r="E20" s="105">
        <v>21</v>
      </c>
      <c r="F20" s="105">
        <v>601.79999999999995</v>
      </c>
      <c r="G20" s="105">
        <f t="shared" ref="G20:G22" si="51">H20-F20-E20-D20</f>
        <v>0</v>
      </c>
      <c r="H20" s="170">
        <v>622.79999999999995</v>
      </c>
      <c r="I20" s="105">
        <v>0</v>
      </c>
      <c r="J20" s="105">
        <v>0</v>
      </c>
      <c r="K20" s="105">
        <v>0</v>
      </c>
      <c r="L20" s="105">
        <v>0</v>
      </c>
      <c r="M20" s="170">
        <f>SUM(I20:L20)</f>
        <v>0</v>
      </c>
      <c r="N20" s="105">
        <v>0</v>
      </c>
      <c r="O20" s="105">
        <v>0</v>
      </c>
      <c r="P20" s="105">
        <v>0</v>
      </c>
      <c r="Q20" s="105">
        <v>864.5</v>
      </c>
      <c r="R20" s="170">
        <f>SUM(N20:Q20)</f>
        <v>864.5</v>
      </c>
      <c r="S20" s="105">
        <v>0</v>
      </c>
      <c r="T20" s="105">
        <v>0</v>
      </c>
      <c r="U20" s="105">
        <v>0</v>
      </c>
      <c r="V20" s="105">
        <v>0</v>
      </c>
      <c r="W20" s="170">
        <f>SUM(S20:V20)</f>
        <v>0</v>
      </c>
      <c r="X20" s="105">
        <v>0</v>
      </c>
      <c r="Y20" s="105">
        <v>0</v>
      </c>
      <c r="Z20" s="105">
        <v>0</v>
      </c>
      <c r="AA20" s="105">
        <v>0</v>
      </c>
      <c r="AB20" s="170">
        <f>SUM(X20:AA20)</f>
        <v>0</v>
      </c>
      <c r="AC20" s="105">
        <v>0</v>
      </c>
      <c r="AD20" s="105">
        <v>0</v>
      </c>
      <c r="AE20" s="105">
        <v>0</v>
      </c>
      <c r="AF20" s="105">
        <v>0</v>
      </c>
      <c r="AG20" s="170">
        <f>SUM(AC20:AF20)</f>
        <v>0</v>
      </c>
      <c r="AH20" s="105">
        <v>0</v>
      </c>
      <c r="AI20" s="105">
        <v>0</v>
      </c>
      <c r="AJ20" s="105">
        <v>0</v>
      </c>
      <c r="AK20" s="105">
        <v>0</v>
      </c>
      <c r="AL20" s="170">
        <f>SUM(AH20:AK20)</f>
        <v>0</v>
      </c>
      <c r="AM20" s="105">
        <v>0</v>
      </c>
      <c r="AN20" s="105">
        <v>0</v>
      </c>
      <c r="AO20" s="105">
        <v>0</v>
      </c>
      <c r="AP20" s="105">
        <v>0</v>
      </c>
      <c r="AQ20" s="170">
        <f>SUM(AM20:AP20)</f>
        <v>0</v>
      </c>
      <c r="AR20" s="105">
        <v>0</v>
      </c>
      <c r="AS20" s="105">
        <v>0</v>
      </c>
      <c r="AT20" s="105">
        <v>0</v>
      </c>
      <c r="AU20" s="105">
        <v>0</v>
      </c>
      <c r="AV20" s="170">
        <f>SUM(AR20:AU20)</f>
        <v>0</v>
      </c>
    </row>
    <row r="21" spans="1:48" x14ac:dyDescent="0.3">
      <c r="B21" s="38" t="s">
        <v>37</v>
      </c>
      <c r="C21" s="18"/>
      <c r="D21" s="105">
        <v>24.8</v>
      </c>
      <c r="E21" s="105">
        <v>15.2</v>
      </c>
      <c r="F21" s="102">
        <v>40.200000000000003</v>
      </c>
      <c r="G21" s="105">
        <f t="shared" si="51"/>
        <v>16.299999999999994</v>
      </c>
      <c r="H21" s="170">
        <v>96.5</v>
      </c>
      <c r="I21" s="105">
        <v>15.9</v>
      </c>
      <c r="J21" s="105">
        <v>2</v>
      </c>
      <c r="K21" s="105">
        <v>12.7</v>
      </c>
      <c r="L21" s="105">
        <v>9.1</v>
      </c>
      <c r="M21" s="170">
        <f t="shared" ref="M21:M22" si="52">SUM(I21:L21)</f>
        <v>39.699999999999996</v>
      </c>
      <c r="N21" s="105">
        <v>15.5</v>
      </c>
      <c r="O21" s="105">
        <v>17.3</v>
      </c>
      <c r="P21" s="105">
        <v>36</v>
      </c>
      <c r="Q21" s="105">
        <v>21.5</v>
      </c>
      <c r="R21" s="170">
        <f t="shared" ref="R21" si="53">SUM(N21:Q21)</f>
        <v>90.3</v>
      </c>
      <c r="S21" s="105">
        <v>-0.1</v>
      </c>
      <c r="T21" s="105">
        <v>46.3</v>
      </c>
      <c r="U21" s="105">
        <v>19.8</v>
      </c>
      <c r="V21" s="105">
        <f>('BS 3Q2022'!U6+'BS 3Q2022'!U7+'BS 3Q2022'!U12)*'IS 3Q2022'!V144</f>
        <v>21.215247784595928</v>
      </c>
      <c r="W21" s="170">
        <f t="shared" ref="W21" si="54">SUM(S21:V21)</f>
        <v>87.215247784595931</v>
      </c>
      <c r="X21" s="105">
        <f>('BS 3Q2022'!V6+'BS 3Q2022'!V7+'BS 3Q2022'!V12)*'IS 3Q2022'!X144</f>
        <v>30.755283736014132</v>
      </c>
      <c r="Y21" s="105">
        <f>('BS 3Q2022'!X6+'BS 3Q2022'!X7+'BS 3Q2022'!X12)*'IS 3Q2022'!Y144</f>
        <v>54.517429100407341</v>
      </c>
      <c r="Z21" s="105">
        <f>('BS 3Q2022'!Y6+'BS 3Q2022'!Y7+'BS 3Q2022'!Y12)*'IS 3Q2022'!Z144</f>
        <v>47.668463360912277</v>
      </c>
      <c r="AA21" s="105">
        <f>('BS 3Q2022'!Z6+'BS 3Q2022'!Z7+'BS 3Q2022'!Z12)*'IS 3Q2022'!AA144</f>
        <v>28.034316718811734</v>
      </c>
      <c r="AB21" s="170">
        <f t="shared" ref="AB21" si="55">SUM(X21:AA21)</f>
        <v>160.9754929161455</v>
      </c>
      <c r="AC21" s="105">
        <f>('BS 3Q2022'!AA6+'BS 3Q2022'!AA7+'BS 3Q2022'!AA12)*'IS 3Q2022'!AC144</f>
        <v>33.124893625949944</v>
      </c>
      <c r="AD21" s="105">
        <f>('BS 3Q2022'!AC6+'BS 3Q2022'!AC7+'BS 3Q2022'!AC12)*'IS 3Q2022'!AD144</f>
        <v>39.980882250174879</v>
      </c>
      <c r="AE21" s="105">
        <f>('BS 3Q2022'!AD6+'BS 3Q2022'!AD7+'BS 3Q2022'!AD12)*'IS 3Q2022'!AE144</f>
        <v>37.931444644824879</v>
      </c>
      <c r="AF21" s="105">
        <f>('BS 3Q2022'!AE6+'BS 3Q2022'!AE7+'BS 3Q2022'!AE12)*'IS 3Q2022'!AF144</f>
        <v>38.2840264704503</v>
      </c>
      <c r="AG21" s="170">
        <f t="shared" ref="AG21:AG22" si="56">SUM(AC21:AF21)</f>
        <v>149.32124699140002</v>
      </c>
      <c r="AH21" s="105">
        <f>('BS 3Q2022'!AF6+'BS 3Q2022'!AF7+'BS 3Q2022'!AF12)*'IS 3Q2022'!AH144</f>
        <v>42.934701355133072</v>
      </c>
      <c r="AI21" s="105">
        <f>('BS 3Q2022'!AH6+'BS 3Q2022'!AH7+'BS 3Q2022'!AH12)*'IS 3Q2022'!AI144</f>
        <v>50.462326735658735</v>
      </c>
      <c r="AJ21" s="105">
        <f>('BS 3Q2022'!AI6+'BS 3Q2022'!AI7+'BS 3Q2022'!AI12)*'IS 3Q2022'!AJ144</f>
        <v>48.431659720053787</v>
      </c>
      <c r="AK21" s="105">
        <f>('BS 3Q2022'!AJ6+'BS 3Q2022'!AJ7+'BS 3Q2022'!AJ12)*'IS 3Q2022'!AK144</f>
        <v>51.566724219566701</v>
      </c>
      <c r="AL21" s="170">
        <f t="shared" ref="AL21:AL22" si="57">SUM(AH21:AK21)</f>
        <v>193.3954120304123</v>
      </c>
      <c r="AM21" s="105">
        <f>('BS 3Q2022'!AK6+'BS 3Q2022'!AK7+'BS 3Q2022'!AK12)*'IS 3Q2022'!AM144</f>
        <v>15.403022109276007</v>
      </c>
      <c r="AN21" s="105">
        <f>('BS 3Q2022'!AM6+'BS 3Q2022'!AM7+'BS 3Q2022'!AM12)*'IS 3Q2022'!AN144</f>
        <v>23.030870052901193</v>
      </c>
      <c r="AO21" s="105">
        <f>('BS 3Q2022'!AN6+'BS 3Q2022'!AN7+'BS 3Q2022'!AN12)*'IS 3Q2022'!AO144</f>
        <v>19.782203920447088</v>
      </c>
      <c r="AP21" s="105">
        <f>('BS 3Q2022'!AO6+'BS 3Q2022'!AO7+'BS 3Q2022'!AO12)*'IS 3Q2022'!AP144</f>
        <v>20.308443193308538</v>
      </c>
      <c r="AQ21" s="170">
        <f t="shared" ref="AQ21:AQ22" si="58">SUM(AM21:AP21)</f>
        <v>78.524539275932824</v>
      </c>
      <c r="AR21" s="105">
        <f>('BS 3Q2022'!AP6+'BS 3Q2022'!AP7+'BS 3Q2022'!AP12)*'IS 3Q2022'!AR144</f>
        <v>26.514755980221455</v>
      </c>
      <c r="AS21" s="105">
        <f>('BS 3Q2022'!AR6+'BS 3Q2022'!AR7+'BS 3Q2022'!AR12)*'IS 3Q2022'!AS144</f>
        <v>35.883987086734386</v>
      </c>
      <c r="AT21" s="105">
        <f>('BS 3Q2022'!AS6+'BS 3Q2022'!AS7+'BS 3Q2022'!AS12)*'IS 3Q2022'!AT144</f>
        <v>33.356540119039202</v>
      </c>
      <c r="AU21" s="105">
        <f>('BS 3Q2022'!AT6+'BS 3Q2022'!AT7+'BS 3Q2022'!AT12)*'IS 3Q2022'!AU144</f>
        <v>34.947476462292514</v>
      </c>
      <c r="AV21" s="170">
        <f t="shared" ref="AV21:AV22" si="59">SUM(AR21:AU21)</f>
        <v>130.70275964828755</v>
      </c>
    </row>
    <row r="22" spans="1:48" ht="16.2" x14ac:dyDescent="0.45">
      <c r="B22" s="38" t="s">
        <v>38</v>
      </c>
      <c r="C22" s="356"/>
      <c r="D22" s="104">
        <v>-75</v>
      </c>
      <c r="E22" s="104">
        <v>-73.900000000000006</v>
      </c>
      <c r="F22" s="104">
        <v>-86.4</v>
      </c>
      <c r="G22" s="104">
        <f t="shared" si="51"/>
        <v>-95.699999999999989</v>
      </c>
      <c r="H22" s="173">
        <v>-331</v>
      </c>
      <c r="I22" s="104">
        <v>-91.9</v>
      </c>
      <c r="J22" s="104">
        <v>-99.2</v>
      </c>
      <c r="K22" s="104">
        <v>-120.8</v>
      </c>
      <c r="L22" s="104">
        <v>-125</v>
      </c>
      <c r="M22" s="173">
        <f t="shared" si="52"/>
        <v>-436.90000000000003</v>
      </c>
      <c r="N22" s="104">
        <v>-120.7</v>
      </c>
      <c r="O22" s="104">
        <v>-115</v>
      </c>
      <c r="P22" s="104">
        <v>-113.4</v>
      </c>
      <c r="Q22" s="104">
        <v>-120.6</v>
      </c>
      <c r="R22" s="173">
        <f t="shared" ref="R22" si="60">SUM(N22:Q22)</f>
        <v>-469.70000000000005</v>
      </c>
      <c r="S22" s="104">
        <v>-115.3</v>
      </c>
      <c r="T22" s="104">
        <v>-119.1</v>
      </c>
      <c r="U22" s="104">
        <v>-123.1</v>
      </c>
      <c r="V22" s="104">
        <f>-('BS 3Q2022'!U28+'BS 3Q2022'!U31)*V145</f>
        <v>-119.60932925321661</v>
      </c>
      <c r="W22" s="173">
        <f t="shared" ref="W22" si="61">SUM(S22:V22)</f>
        <v>-477.10932925321663</v>
      </c>
      <c r="X22" s="104">
        <f>-('BS 3Q2022'!V28+'BS 3Q2022'!V31)*X145</f>
        <v>-119.52922600531741</v>
      </c>
      <c r="Y22" s="104">
        <f>-('BS 3Q2022'!X28+'BS 3Q2022'!X31)*Y145</f>
        <v>-121.02231600531739</v>
      </c>
      <c r="Z22" s="104">
        <f>-('BS 3Q2022'!Y28+'BS 3Q2022'!Y31)*Z145</f>
        <v>-122.51540600531739</v>
      </c>
      <c r="AA22" s="104">
        <f>-('BS 3Q2022'!Z28+'BS 3Q2022'!Z31)*AA145</f>
        <v>-124.00849600531738</v>
      </c>
      <c r="AB22" s="173">
        <f t="shared" ref="AB22" si="62">SUM(X22:AA22)</f>
        <v>-487.07544402126962</v>
      </c>
      <c r="AC22" s="104">
        <f>-('BS 3Q2022'!AA28+'BS 3Q2022'!AA31)*AC145</f>
        <v>-125.50158600531738</v>
      </c>
      <c r="AD22" s="104">
        <f>-('BS 3Q2022'!AC28+'BS 3Q2022'!AC31)*AD145</f>
        <v>-126.99467600531736</v>
      </c>
      <c r="AE22" s="104">
        <f>-('BS 3Q2022'!AD28+'BS 3Q2022'!AD31)*AE145</f>
        <v>-128.48518435720496</v>
      </c>
      <c r="AF22" s="104">
        <f>-('BS 3Q2022'!AE28+'BS 3Q2022'!AE31)*AF145</f>
        <v>-129.97824435720494</v>
      </c>
      <c r="AG22" s="173">
        <f t="shared" si="56"/>
        <v>-510.95969072504465</v>
      </c>
      <c r="AH22" s="104">
        <f>-('BS 3Q2022'!AF28+'BS 3Q2022'!AF31)*AH145</f>
        <v>-132.35185372800854</v>
      </c>
      <c r="AI22" s="104">
        <f>-('BS 3Q2022'!AH28+'BS 3Q2022'!AH31)*AI145</f>
        <v>-133.85491372800854</v>
      </c>
      <c r="AJ22" s="104">
        <f>-('BS 3Q2022'!AI28+'BS 3Q2022'!AI31)*AJ145</f>
        <v>-135.35797372800852</v>
      </c>
      <c r="AK22" s="104">
        <f>-('BS 3Q2022'!AJ28+'BS 3Q2022'!AJ31)*AK145</f>
        <v>-185.03454401480536</v>
      </c>
      <c r="AL22" s="173">
        <f t="shared" si="57"/>
        <v>-586.59928519883101</v>
      </c>
      <c r="AM22" s="104">
        <f>-('BS 3Q2022'!AK28+'BS 3Q2022'!AK31)*AM145</f>
        <v>-185.03454401480536</v>
      </c>
      <c r="AN22" s="104">
        <f>-('BS 3Q2022'!AM28+'BS 3Q2022'!AM31)*AN145</f>
        <v>-185.03454401480536</v>
      </c>
      <c r="AO22" s="104">
        <f>-('BS 3Q2022'!AN28+'BS 3Q2022'!AN31)*AO145</f>
        <v>-185.03454401480536</v>
      </c>
      <c r="AP22" s="104">
        <f>-('BS 3Q2022'!AO28+'BS 3Q2022'!AO31)*AP145</f>
        <v>-185.03454401480536</v>
      </c>
      <c r="AQ22" s="173">
        <f t="shared" si="58"/>
        <v>-740.13817605922145</v>
      </c>
      <c r="AR22" s="104">
        <f>-('BS 3Q2022'!AP28+'BS 3Q2022'!AP31)*AR145</f>
        <v>-185.03454401480536</v>
      </c>
      <c r="AS22" s="104">
        <f>-('BS 3Q2022'!AR28+'BS 3Q2022'!AR31)*AS145</f>
        <v>-185.03454401480536</v>
      </c>
      <c r="AT22" s="104">
        <f>-('BS 3Q2022'!AS28+'BS 3Q2022'!AS31)*AT145</f>
        <v>-185.03454401480536</v>
      </c>
      <c r="AU22" s="104">
        <f>-('BS 3Q2022'!AT28+'BS 3Q2022'!AT31)*AU145</f>
        <v>-185.03454401480536</v>
      </c>
      <c r="AV22" s="173">
        <f t="shared" si="59"/>
        <v>-740.13817605922145</v>
      </c>
    </row>
    <row r="23" spans="1:48" x14ac:dyDescent="0.3">
      <c r="B23" s="593" t="s">
        <v>11</v>
      </c>
      <c r="C23" s="594"/>
      <c r="D23" s="103">
        <f t="shared" ref="D23:AQ23" si="63">D17+D21+D22+D20</f>
        <v>965.50000000000045</v>
      </c>
      <c r="E23" s="103">
        <f t="shared" si="63"/>
        <v>819.99999999999966</v>
      </c>
      <c r="F23" s="103">
        <f t="shared" si="63"/>
        <v>1676.900000000001</v>
      </c>
      <c r="G23" s="103">
        <f t="shared" si="63"/>
        <v>1003.8000000000011</v>
      </c>
      <c r="H23" s="171">
        <f t="shared" si="63"/>
        <v>4466.2000000000053</v>
      </c>
      <c r="I23" s="103">
        <f t="shared" si="63"/>
        <v>1143.7999999999988</v>
      </c>
      <c r="J23" s="103">
        <f t="shared" si="63"/>
        <v>390.19999999999908</v>
      </c>
      <c r="K23" s="103">
        <f t="shared" si="63"/>
        <v>-811.9999999999992</v>
      </c>
      <c r="L23" s="50">
        <f t="shared" si="63"/>
        <v>442.40000000000043</v>
      </c>
      <c r="M23" s="51">
        <f t="shared" si="63"/>
        <v>1164.4000000000044</v>
      </c>
      <c r="N23" s="50">
        <f t="shared" si="63"/>
        <v>808.30000000000018</v>
      </c>
      <c r="O23" s="103">
        <f t="shared" si="63"/>
        <v>889.9</v>
      </c>
      <c r="P23" s="103">
        <f t="shared" si="63"/>
        <v>1411.2999999999988</v>
      </c>
      <c r="Q23" s="103">
        <f>Q17+Q21+Q22+Q20</f>
        <v>2247.6</v>
      </c>
      <c r="R23" s="171">
        <f t="shared" si="63"/>
        <v>5357.0999999999976</v>
      </c>
      <c r="S23" s="50">
        <f t="shared" si="63"/>
        <v>1062.4000000000001</v>
      </c>
      <c r="T23" s="50">
        <f t="shared" si="63"/>
        <v>876.10000000000014</v>
      </c>
      <c r="U23" s="50">
        <f t="shared" si="63"/>
        <v>1192.1999999999996</v>
      </c>
      <c r="V23" s="50">
        <f t="shared" si="63"/>
        <v>1008.4894794764914</v>
      </c>
      <c r="W23" s="171">
        <f t="shared" si="63"/>
        <v>4139.189479476483</v>
      </c>
      <c r="X23" s="50">
        <f t="shared" si="63"/>
        <v>1068.246148677171</v>
      </c>
      <c r="Y23" s="50">
        <f t="shared" si="63"/>
        <v>1040.9107472290532</v>
      </c>
      <c r="Z23" s="50">
        <f t="shared" si="63"/>
        <v>1342.5261407411053</v>
      </c>
      <c r="AA23" s="50">
        <f t="shared" si="63"/>
        <v>1433.2809871300897</v>
      </c>
      <c r="AB23" s="51">
        <f t="shared" si="63"/>
        <v>4884.9640237774211</v>
      </c>
      <c r="AC23" s="50">
        <f t="shared" si="63"/>
        <v>1469.9419379278079</v>
      </c>
      <c r="AD23" s="50">
        <f t="shared" si="63"/>
        <v>1210.7705336239098</v>
      </c>
      <c r="AE23" s="50">
        <f t="shared" si="63"/>
        <v>1509.8956158890942</v>
      </c>
      <c r="AF23" s="50">
        <f t="shared" si="63"/>
        <v>1491.3262293429784</v>
      </c>
      <c r="AG23" s="51">
        <f t="shared" si="63"/>
        <v>5681.9343167837924</v>
      </c>
      <c r="AH23" s="50">
        <f t="shared" si="63"/>
        <v>1731.056089449263</v>
      </c>
      <c r="AI23" s="50">
        <f t="shared" si="63"/>
        <v>1445.1049585676001</v>
      </c>
      <c r="AJ23" s="50">
        <f t="shared" si="63"/>
        <v>1854.5090142144356</v>
      </c>
      <c r="AK23" s="50">
        <f t="shared" si="63"/>
        <v>1730.388286834434</v>
      </c>
      <c r="AL23" s="51">
        <f t="shared" si="63"/>
        <v>6761.0583490657309</v>
      </c>
      <c r="AM23" s="50">
        <f t="shared" si="63"/>
        <v>1869.5730366693683</v>
      </c>
      <c r="AN23" s="50">
        <f t="shared" si="63"/>
        <v>1544.1603079396589</v>
      </c>
      <c r="AO23" s="50">
        <f t="shared" si="63"/>
        <v>1970.4245175142769</v>
      </c>
      <c r="AP23" s="50">
        <f t="shared" si="63"/>
        <v>1876.3854519545675</v>
      </c>
      <c r="AQ23" s="51">
        <f t="shared" si="63"/>
        <v>7260.5433140778732</v>
      </c>
      <c r="AR23" s="50">
        <f t="shared" ref="AR23:AV23" si="64">AR17+AR21+AR22+AR20</f>
        <v>2009.5261093880499</v>
      </c>
      <c r="AS23" s="50">
        <f t="shared" si="64"/>
        <v>1663.8408051407596</v>
      </c>
      <c r="AT23" s="50">
        <f t="shared" si="64"/>
        <v>2116.0736119627804</v>
      </c>
      <c r="AU23" s="50">
        <f t="shared" si="64"/>
        <v>2019.7347308988656</v>
      </c>
      <c r="AV23" s="51">
        <f t="shared" si="64"/>
        <v>7809.1752573904687</v>
      </c>
    </row>
    <row r="24" spans="1:48" ht="16.2" x14ac:dyDescent="0.45">
      <c r="B24" s="595" t="s">
        <v>5</v>
      </c>
      <c r="C24" s="596"/>
      <c r="D24" s="104">
        <v>205.1</v>
      </c>
      <c r="E24" s="104">
        <v>161.19999999999999</v>
      </c>
      <c r="F24" s="104">
        <v>303.7</v>
      </c>
      <c r="G24" s="104">
        <f t="shared" ref="G24" si="65">H24-F24-E24-D24</f>
        <v>201.60000000000011</v>
      </c>
      <c r="H24" s="173">
        <v>871.6</v>
      </c>
      <c r="I24" s="104">
        <v>258.5</v>
      </c>
      <c r="J24" s="104">
        <v>65.400000000000006</v>
      </c>
      <c r="K24" s="104">
        <v>-133.9</v>
      </c>
      <c r="L24" s="52">
        <v>49.7</v>
      </c>
      <c r="M24" s="53">
        <f>SUM(I24:L24)</f>
        <v>239.7</v>
      </c>
      <c r="N24" s="52">
        <v>186.1</v>
      </c>
      <c r="O24" s="104">
        <v>230.5</v>
      </c>
      <c r="P24" s="104">
        <v>257.10000000000002</v>
      </c>
      <c r="Q24" s="104">
        <v>483</v>
      </c>
      <c r="R24" s="173">
        <f>SUM(N24:Q24)</f>
        <v>1156.7</v>
      </c>
      <c r="S24" s="52">
        <v>246.3</v>
      </c>
      <c r="T24" s="52">
        <v>201.1</v>
      </c>
      <c r="U24" s="52">
        <v>278.5</v>
      </c>
      <c r="V24" s="52">
        <f>+V23*V143</f>
        <v>242.03747507435793</v>
      </c>
      <c r="W24" s="173">
        <f>SUM(S24:V24)</f>
        <v>967.93747507435796</v>
      </c>
      <c r="X24" s="52">
        <f>+X23*X143</f>
        <v>261.72030642590693</v>
      </c>
      <c r="Y24" s="52">
        <f>+Y23*Y143</f>
        <v>255.02313307111802</v>
      </c>
      <c r="Z24" s="52">
        <f>+Z23*Z143</f>
        <v>328.91890448157079</v>
      </c>
      <c r="AA24" s="52">
        <f>+AA23*AA143</f>
        <v>351.15384184687196</v>
      </c>
      <c r="AB24" s="53">
        <f>SUM(X24:AA24)</f>
        <v>1196.8161858254678</v>
      </c>
      <c r="AC24" s="52">
        <f>+AC23*AC143</f>
        <v>360.13577479231293</v>
      </c>
      <c r="AD24" s="52">
        <f>+AD23*AD143</f>
        <v>296.63878073785793</v>
      </c>
      <c r="AE24" s="52">
        <f>+AE23*AE143</f>
        <v>369.92442589282808</v>
      </c>
      <c r="AF24" s="52">
        <f>+AF23*AF143</f>
        <v>365.37492618902968</v>
      </c>
      <c r="AG24" s="53">
        <f>SUM(AC24:AF24)</f>
        <v>1392.0739076120285</v>
      </c>
      <c r="AH24" s="52">
        <f>+AH23*AH143</f>
        <v>424.10874191506946</v>
      </c>
      <c r="AI24" s="52">
        <f>+AI23*AI143</f>
        <v>354.05071484906199</v>
      </c>
      <c r="AJ24" s="52">
        <f>+AJ23*AJ143</f>
        <v>454.35470848253675</v>
      </c>
      <c r="AK24" s="52">
        <f>+AK23*AK143</f>
        <v>423.94513027443634</v>
      </c>
      <c r="AL24" s="53">
        <f>SUM(AH24:AK24)</f>
        <v>1656.4592955211047</v>
      </c>
      <c r="AM24" s="52">
        <f>+AM23*AM143</f>
        <v>458.04539398399521</v>
      </c>
      <c r="AN24" s="52">
        <f>+AN23*AN143</f>
        <v>378.31927544521642</v>
      </c>
      <c r="AO24" s="52">
        <f>+AO23*AO143</f>
        <v>482.75400679099783</v>
      </c>
      <c r="AP24" s="52">
        <f>+AP23*AP143</f>
        <v>459.71443572886903</v>
      </c>
      <c r="AQ24" s="53">
        <f>SUM(AM24:AP24)</f>
        <v>1778.8331119490786</v>
      </c>
      <c r="AR24" s="52">
        <f>+AR23*AR143</f>
        <v>492.33389680007224</v>
      </c>
      <c r="AS24" s="52">
        <f>+AS23*AS143</f>
        <v>407.64099725948608</v>
      </c>
      <c r="AT24" s="52">
        <f>+AT23*AT143</f>
        <v>518.43803493088114</v>
      </c>
      <c r="AU24" s="52">
        <f>+AU23*AU143</f>
        <v>494.83500907022204</v>
      </c>
      <c r="AV24" s="53">
        <f>SUM(AR24:AU24)</f>
        <v>1913.2479380606615</v>
      </c>
    </row>
    <row r="25" spans="1:48" x14ac:dyDescent="0.3">
      <c r="A25" s="23"/>
      <c r="B25" s="593" t="s">
        <v>39</v>
      </c>
      <c r="C25" s="594"/>
      <c r="D25" s="103">
        <f t="shared" ref="D25:AQ25" si="66">+D23-D24</f>
        <v>760.40000000000043</v>
      </c>
      <c r="E25" s="103">
        <f t="shared" si="66"/>
        <v>658.79999999999973</v>
      </c>
      <c r="F25" s="103">
        <f t="shared" si="66"/>
        <v>1373.200000000001</v>
      </c>
      <c r="G25" s="103">
        <f t="shared" si="66"/>
        <v>802.20000000000095</v>
      </c>
      <c r="H25" s="171">
        <f t="shared" si="66"/>
        <v>3594.6000000000054</v>
      </c>
      <c r="I25" s="103">
        <f t="shared" si="66"/>
        <v>885.29999999999882</v>
      </c>
      <c r="J25" s="103">
        <f t="shared" si="66"/>
        <v>324.79999999999905</v>
      </c>
      <c r="K25" s="103">
        <f t="shared" si="66"/>
        <v>-678.09999999999923</v>
      </c>
      <c r="L25" s="50">
        <f t="shared" si="66"/>
        <v>392.70000000000044</v>
      </c>
      <c r="M25" s="51">
        <f t="shared" si="66"/>
        <v>924.70000000000437</v>
      </c>
      <c r="N25" s="50">
        <f t="shared" si="66"/>
        <v>622.20000000000016</v>
      </c>
      <c r="O25" s="103">
        <f t="shared" si="66"/>
        <v>659.4</v>
      </c>
      <c r="P25" s="103">
        <f t="shared" si="66"/>
        <v>1154.1999999999989</v>
      </c>
      <c r="Q25" s="103">
        <f>+Q23-Q24</f>
        <v>1764.6</v>
      </c>
      <c r="R25" s="171">
        <f t="shared" si="66"/>
        <v>4200.3999999999978</v>
      </c>
      <c r="S25" s="50">
        <f t="shared" si="66"/>
        <v>816.10000000000014</v>
      </c>
      <c r="T25" s="50">
        <f t="shared" si="66"/>
        <v>675.00000000000011</v>
      </c>
      <c r="U25" s="50">
        <f t="shared" si="66"/>
        <v>913.69999999999959</v>
      </c>
      <c r="V25" s="50">
        <f t="shared" si="66"/>
        <v>766.45200440213353</v>
      </c>
      <c r="W25" s="171">
        <f t="shared" si="66"/>
        <v>3171.2520044021248</v>
      </c>
      <c r="X25" s="50">
        <f t="shared" si="66"/>
        <v>806.52584225126407</v>
      </c>
      <c r="Y25" s="50">
        <f t="shared" si="66"/>
        <v>785.8876141579351</v>
      </c>
      <c r="Z25" s="50">
        <f t="shared" si="66"/>
        <v>1013.6072362595346</v>
      </c>
      <c r="AA25" s="50">
        <f t="shared" si="66"/>
        <v>1082.1271452832177</v>
      </c>
      <c r="AB25" s="51">
        <f t="shared" si="66"/>
        <v>3688.1478379519531</v>
      </c>
      <c r="AC25" s="50">
        <f t="shared" si="66"/>
        <v>1109.8061631354949</v>
      </c>
      <c r="AD25" s="50">
        <f t="shared" si="66"/>
        <v>914.13175288605191</v>
      </c>
      <c r="AE25" s="50">
        <f t="shared" si="66"/>
        <v>1139.971189996266</v>
      </c>
      <c r="AF25" s="103">
        <f t="shared" si="66"/>
        <v>1125.9513031539486</v>
      </c>
      <c r="AG25" s="171">
        <f t="shared" si="66"/>
        <v>4289.8604091717643</v>
      </c>
      <c r="AH25" s="103">
        <f t="shared" si="66"/>
        <v>1306.9473475341936</v>
      </c>
      <c r="AI25" s="103">
        <f t="shared" si="66"/>
        <v>1091.0542437185381</v>
      </c>
      <c r="AJ25" s="103">
        <f t="shared" si="66"/>
        <v>1400.1543057318988</v>
      </c>
      <c r="AK25" s="103">
        <f t="shared" si="66"/>
        <v>1306.4431565599975</v>
      </c>
      <c r="AL25" s="51">
        <f t="shared" si="66"/>
        <v>5104.5990535446263</v>
      </c>
      <c r="AM25" s="103">
        <f t="shared" si="66"/>
        <v>1411.5276426853732</v>
      </c>
      <c r="AN25" s="103">
        <f t="shared" si="66"/>
        <v>1165.8410324944425</v>
      </c>
      <c r="AO25" s="103">
        <f t="shared" si="66"/>
        <v>1487.670510723279</v>
      </c>
      <c r="AP25" s="103">
        <f t="shared" si="66"/>
        <v>1416.6710162256986</v>
      </c>
      <c r="AQ25" s="51">
        <f t="shared" si="66"/>
        <v>5481.7102021287947</v>
      </c>
      <c r="AR25" s="103">
        <f t="shared" ref="AR25:AV25" si="67">+AR23-AR24</f>
        <v>1517.1922125879778</v>
      </c>
      <c r="AS25" s="103">
        <f t="shared" si="67"/>
        <v>1256.1998078812735</v>
      </c>
      <c r="AT25" s="103">
        <f t="shared" si="67"/>
        <v>1597.6355770318992</v>
      </c>
      <c r="AU25" s="103">
        <f t="shared" si="67"/>
        <v>1524.8997218286436</v>
      </c>
      <c r="AV25" s="51">
        <f t="shared" si="67"/>
        <v>5895.9273193298068</v>
      </c>
    </row>
    <row r="26" spans="1:48" ht="16.2" x14ac:dyDescent="0.45">
      <c r="A26" s="23"/>
      <c r="B26" s="210" t="s">
        <v>40</v>
      </c>
      <c r="C26" s="201"/>
      <c r="D26" s="104">
        <v>-0.2</v>
      </c>
      <c r="E26" s="104">
        <v>-4.4000000000000004</v>
      </c>
      <c r="F26" s="104">
        <v>0.4</v>
      </c>
      <c r="G26" s="104">
        <f t="shared" ref="G26" si="68">H26-F26-E26-D26</f>
        <v>-0.39999999999999963</v>
      </c>
      <c r="H26" s="173">
        <v>-4.5999999999999996</v>
      </c>
      <c r="I26" s="104">
        <v>-0.4</v>
      </c>
      <c r="J26" s="104">
        <v>-3.6</v>
      </c>
      <c r="K26" s="104">
        <v>0.3</v>
      </c>
      <c r="L26" s="104">
        <v>0.1</v>
      </c>
      <c r="M26" s="173">
        <f>SUM(I26:L26)</f>
        <v>-3.6</v>
      </c>
      <c r="N26" s="104">
        <v>0</v>
      </c>
      <c r="O26" s="104">
        <v>0</v>
      </c>
      <c r="P26" s="104">
        <v>0.8</v>
      </c>
      <c r="Q26" s="104">
        <v>0.2</v>
      </c>
      <c r="R26" s="173">
        <f>SUM(N26:Q26)</f>
        <v>1</v>
      </c>
      <c r="S26" s="104">
        <v>0.2</v>
      </c>
      <c r="T26" s="104">
        <f>AVERAGE(S26,Q26,P26,O26)</f>
        <v>0.30000000000000004</v>
      </c>
      <c r="U26" s="104">
        <v>0.8</v>
      </c>
      <c r="V26" s="104">
        <f>AVERAGE(U26,T26,S26,Q26)</f>
        <v>0.375</v>
      </c>
      <c r="W26" s="173">
        <f>SUM(S26:V26)</f>
        <v>1.675</v>
      </c>
      <c r="X26" s="104">
        <f>AVERAGE(V26,U26,T26,S26)</f>
        <v>0.41875000000000001</v>
      </c>
      <c r="Y26" s="104">
        <f>AVERAGE(X26,V26,U26,T26)</f>
        <v>0.47343750000000001</v>
      </c>
      <c r="Z26" s="104">
        <f>AVERAGE(Y26,X26,V26,U26)</f>
        <v>0.51679687500000004</v>
      </c>
      <c r="AA26" s="104">
        <f>AVERAGE(Z26,Y26,X26,V26)</f>
        <v>0.44599609374999999</v>
      </c>
      <c r="AB26" s="173">
        <f>SUM(X26:AA26)</f>
        <v>1.8549804687500002</v>
      </c>
      <c r="AC26" s="104">
        <f>AVERAGE(AA26,Z26,Y26,X26)</f>
        <v>0.4637451171875</v>
      </c>
      <c r="AD26" s="104">
        <f>AVERAGE(AC26,AA26,Z26,Y26)</f>
        <v>0.47499389648437501</v>
      </c>
      <c r="AE26" s="104">
        <f>AVERAGE(AD26,AC26,AA26,Z26)</f>
        <v>0.47538299560546876</v>
      </c>
      <c r="AF26" s="104">
        <f>AVERAGE(AE26,AD26,AC26,AA26)</f>
        <v>0.46502952575683593</v>
      </c>
      <c r="AG26" s="173">
        <f>SUM(AC26:AF26)</f>
        <v>1.8791515350341796</v>
      </c>
      <c r="AH26" s="104">
        <f>AVERAGE(AF26,AE26,AD26,AC26)</f>
        <v>0.46978788375854491</v>
      </c>
      <c r="AI26" s="104">
        <f>AVERAGE(AH26,AF26,AE26,AD26)</f>
        <v>0.47129857540130615</v>
      </c>
      <c r="AJ26" s="104">
        <f>AVERAGE(AI26,AH26,AF26,AE26)</f>
        <v>0.47037474513053895</v>
      </c>
      <c r="AK26" s="104">
        <f>AVERAGE(AJ26,AI26,AH26,AF26)</f>
        <v>0.4691226825118065</v>
      </c>
      <c r="AL26" s="53">
        <f>SUM(AH26:AK26)</f>
        <v>1.8805838868021965</v>
      </c>
      <c r="AM26" s="104">
        <f>AVERAGE(AK26,AJ26,AI26,AH26)</f>
        <v>0.47014597170054911</v>
      </c>
      <c r="AN26" s="104">
        <f>AVERAGE(AM26,AK26,AJ26,AI26)</f>
        <v>0.47023549368605017</v>
      </c>
      <c r="AO26" s="104">
        <f>AVERAGE(AN26,AM26,AK26,AJ26)</f>
        <v>0.46996972325723618</v>
      </c>
      <c r="AP26" s="104">
        <f>AVERAGE(AO26,AN26,AM26,AK26)</f>
        <v>0.4698684677889105</v>
      </c>
      <c r="AQ26" s="53">
        <f>SUM(AM26:AP26)</f>
        <v>1.880219656432746</v>
      </c>
      <c r="AR26" s="104">
        <f>AVERAGE(AP26,AO26,AN26,AM26)</f>
        <v>0.47005491410818651</v>
      </c>
      <c r="AS26" s="104">
        <f>AVERAGE(AR26,AP26,AO26,AN26)</f>
        <v>0.47003214971009583</v>
      </c>
      <c r="AT26" s="104">
        <f>AVERAGE(AS26,AR26,AP26,AO26)</f>
        <v>0.46998131371610724</v>
      </c>
      <c r="AU26" s="104">
        <f>AVERAGE(AT26,AS26,AR26,AP26)</f>
        <v>0.46998421133082502</v>
      </c>
      <c r="AV26" s="53">
        <f>SUM(AR26:AU26)</f>
        <v>1.8800525888652146</v>
      </c>
    </row>
    <row r="27" spans="1:48" s="8" customFormat="1" x14ac:dyDescent="0.3">
      <c r="A27" s="20"/>
      <c r="B27" s="209" t="s">
        <v>16</v>
      </c>
      <c r="C27" s="202"/>
      <c r="D27" s="103">
        <f t="shared" ref="D27:AQ27" si="69">+D25-D26</f>
        <v>760.60000000000048</v>
      </c>
      <c r="E27" s="103">
        <f t="shared" si="69"/>
        <v>663.1999999999997</v>
      </c>
      <c r="F27" s="103">
        <f t="shared" si="69"/>
        <v>1372.8000000000009</v>
      </c>
      <c r="G27" s="103">
        <f t="shared" si="69"/>
        <v>802.60000000000093</v>
      </c>
      <c r="H27" s="171">
        <f t="shared" si="69"/>
        <v>3599.2000000000053</v>
      </c>
      <c r="I27" s="103">
        <f t="shared" si="69"/>
        <v>885.69999999999879</v>
      </c>
      <c r="J27" s="103">
        <f t="shared" si="69"/>
        <v>328.39999999999907</v>
      </c>
      <c r="K27" s="103">
        <f t="shared" si="69"/>
        <v>-678.39999999999918</v>
      </c>
      <c r="L27" s="50">
        <f t="shared" si="69"/>
        <v>392.60000000000042</v>
      </c>
      <c r="M27" s="51">
        <f t="shared" si="69"/>
        <v>928.30000000000439</v>
      </c>
      <c r="N27" s="50">
        <f t="shared" si="69"/>
        <v>622.20000000000016</v>
      </c>
      <c r="O27" s="103">
        <f t="shared" si="69"/>
        <v>659.4</v>
      </c>
      <c r="P27" s="103">
        <f t="shared" si="69"/>
        <v>1153.399999999999</v>
      </c>
      <c r="Q27" s="103">
        <f t="shared" si="69"/>
        <v>1764.3999999999999</v>
      </c>
      <c r="R27" s="171">
        <f t="shared" si="69"/>
        <v>4199.3999999999978</v>
      </c>
      <c r="S27" s="50">
        <f t="shared" si="69"/>
        <v>815.90000000000009</v>
      </c>
      <c r="T27" s="50">
        <f t="shared" si="69"/>
        <v>674.70000000000016</v>
      </c>
      <c r="U27" s="50">
        <f t="shared" si="69"/>
        <v>912.89999999999964</v>
      </c>
      <c r="V27" s="50">
        <f t="shared" si="69"/>
        <v>766.07700440213353</v>
      </c>
      <c r="W27" s="171">
        <f t="shared" si="69"/>
        <v>3169.5770044021247</v>
      </c>
      <c r="X27" s="50">
        <f t="shared" si="69"/>
        <v>806.10709225126402</v>
      </c>
      <c r="Y27" s="50">
        <f t="shared" si="69"/>
        <v>785.41417665793506</v>
      </c>
      <c r="Z27" s="50">
        <f t="shared" si="69"/>
        <v>1013.0904393845346</v>
      </c>
      <c r="AA27" s="50">
        <f t="shared" si="69"/>
        <v>1081.6811491894678</v>
      </c>
      <c r="AB27" s="51">
        <f t="shared" si="69"/>
        <v>3686.2928574832031</v>
      </c>
      <c r="AC27" s="50">
        <f t="shared" si="69"/>
        <v>1109.3424180183074</v>
      </c>
      <c r="AD27" s="50">
        <f t="shared" si="69"/>
        <v>913.65675898956749</v>
      </c>
      <c r="AE27" s="50">
        <f t="shared" si="69"/>
        <v>1139.4958070006605</v>
      </c>
      <c r="AF27" s="50">
        <f t="shared" si="69"/>
        <v>1125.4862736281918</v>
      </c>
      <c r="AG27" s="51">
        <f t="shared" si="69"/>
        <v>4287.9812576367303</v>
      </c>
      <c r="AH27" s="50">
        <f t="shared" si="69"/>
        <v>1306.4775596504351</v>
      </c>
      <c r="AI27" s="50">
        <f t="shared" si="69"/>
        <v>1090.5829451431368</v>
      </c>
      <c r="AJ27" s="50">
        <f t="shared" si="69"/>
        <v>1399.6839309867682</v>
      </c>
      <c r="AK27" s="50">
        <f t="shared" si="69"/>
        <v>1305.9740338774857</v>
      </c>
      <c r="AL27" s="51">
        <f t="shared" si="69"/>
        <v>5102.7184696578242</v>
      </c>
      <c r="AM27" s="50">
        <f t="shared" si="69"/>
        <v>1411.0574967136727</v>
      </c>
      <c r="AN27" s="50">
        <f t="shared" si="69"/>
        <v>1165.3707970007565</v>
      </c>
      <c r="AO27" s="50">
        <f t="shared" si="69"/>
        <v>1487.2005410000218</v>
      </c>
      <c r="AP27" s="50">
        <f t="shared" si="69"/>
        <v>1416.2011477579097</v>
      </c>
      <c r="AQ27" s="51">
        <f t="shared" si="69"/>
        <v>5479.8299824723617</v>
      </c>
      <c r="AR27" s="50">
        <f t="shared" ref="AR27:AV27" si="70">+AR25-AR26</f>
        <v>1516.7221576738696</v>
      </c>
      <c r="AS27" s="50">
        <f t="shared" si="70"/>
        <v>1255.7297757315634</v>
      </c>
      <c r="AT27" s="50">
        <f t="shared" si="70"/>
        <v>1597.1655957181831</v>
      </c>
      <c r="AU27" s="50">
        <f t="shared" si="70"/>
        <v>1524.4297376173126</v>
      </c>
      <c r="AV27" s="51">
        <f t="shared" si="70"/>
        <v>5894.0472667409413</v>
      </c>
    </row>
    <row r="28" spans="1:48" s="8" customFormat="1" ht="16.2" x14ac:dyDescent="0.45">
      <c r="A28" s="20"/>
      <c r="B28" s="87" t="s">
        <v>72</v>
      </c>
      <c r="C28" s="84"/>
      <c r="D28" s="109">
        <f t="shared" ref="D28:AA28" si="71">-D171-D172</f>
        <v>41.449999999998646</v>
      </c>
      <c r="E28" s="109">
        <f t="shared" si="71"/>
        <v>-54.179999999999545</v>
      </c>
      <c r="F28" s="109">
        <f t="shared" si="71"/>
        <v>-544.16000000000076</v>
      </c>
      <c r="G28" s="109">
        <f t="shared" si="71"/>
        <v>-30</v>
      </c>
      <c r="H28" s="178">
        <f>SUM(D28:G28)</f>
        <v>-586.89000000000169</v>
      </c>
      <c r="I28" s="109">
        <f t="shared" si="71"/>
        <v>-11</v>
      </c>
      <c r="J28" s="109">
        <f t="shared" si="71"/>
        <v>-23</v>
      </c>
      <c r="K28" s="109">
        <f t="shared" si="71"/>
        <v>-35.055</v>
      </c>
      <c r="L28" s="91">
        <f>-L171-L172</f>
        <v>-50.810000000000372</v>
      </c>
      <c r="M28" s="92">
        <f>SUM(I28:L28)</f>
        <v>-119.86500000000038</v>
      </c>
      <c r="N28" s="109">
        <f t="shared" si="71"/>
        <v>-35.49</v>
      </c>
      <c r="O28" s="109">
        <f t="shared" si="71"/>
        <v>-11.847999999999999</v>
      </c>
      <c r="P28" s="109">
        <f t="shared" si="71"/>
        <v>-11.862</v>
      </c>
      <c r="Q28" s="109">
        <f t="shared" si="71"/>
        <v>-696.10940000000005</v>
      </c>
      <c r="R28" s="178">
        <f>SUM(N28:Q28)</f>
        <v>-755.3094000000001</v>
      </c>
      <c r="S28" s="91">
        <f t="shared" si="71"/>
        <v>-3.9480000000003299</v>
      </c>
      <c r="T28" s="91">
        <f t="shared" si="71"/>
        <v>-46.156000000000006</v>
      </c>
      <c r="U28" s="91">
        <f t="shared" si="71"/>
        <v>-23.02</v>
      </c>
      <c r="V28" s="91">
        <f t="shared" si="71"/>
        <v>-33.861677419354834</v>
      </c>
      <c r="W28" s="178">
        <f>SUM(S28:V28)</f>
        <v>-106.98567741935517</v>
      </c>
      <c r="X28" s="91">
        <f t="shared" si="71"/>
        <v>-33.861677419354834</v>
      </c>
      <c r="Y28" s="91">
        <f t="shared" si="71"/>
        <v>-19.010064516129031</v>
      </c>
      <c r="Z28" s="91">
        <f t="shared" si="71"/>
        <v>-19.010064516129031</v>
      </c>
      <c r="AA28" s="91">
        <f t="shared" si="71"/>
        <v>-19.010064516129031</v>
      </c>
      <c r="AB28" s="92">
        <f>SUM(X28:AA28)</f>
        <v>-90.891870967741937</v>
      </c>
      <c r="AC28" s="91">
        <f t="shared" ref="AC28:AF28" si="72">-AC171-AC172</f>
        <v>-19.010064516129031</v>
      </c>
      <c r="AD28" s="91">
        <f t="shared" si="72"/>
        <v>-19.010064516129031</v>
      </c>
      <c r="AE28" s="91">
        <f t="shared" si="72"/>
        <v>-19.010064516129031</v>
      </c>
      <c r="AF28" s="91">
        <f t="shared" si="72"/>
        <v>-19.010064516129031</v>
      </c>
      <c r="AG28" s="92">
        <f>SUM(AC28:AF28)</f>
        <v>-76.040258064516124</v>
      </c>
      <c r="AH28" s="91">
        <f t="shared" ref="AH28:AK28" si="73">-AH171-AH172</f>
        <v>-19.010064516129031</v>
      </c>
      <c r="AI28" s="91">
        <f t="shared" si="73"/>
        <v>-19.010064516129031</v>
      </c>
      <c r="AJ28" s="91">
        <f t="shared" si="73"/>
        <v>-19.010064516129031</v>
      </c>
      <c r="AK28" s="91">
        <f t="shared" si="73"/>
        <v>-19.010064516129031</v>
      </c>
      <c r="AL28" s="92">
        <f>SUM(AH28:AK28)</f>
        <v>-76.040258064516124</v>
      </c>
      <c r="AM28" s="91">
        <f t="shared" ref="AM28:AP28" si="74">-AM171-AM172</f>
        <v>-19.010064516129031</v>
      </c>
      <c r="AN28" s="91">
        <f t="shared" si="74"/>
        <v>-19.010064516129031</v>
      </c>
      <c r="AO28" s="91">
        <f t="shared" si="74"/>
        <v>-19.010064516129031</v>
      </c>
      <c r="AP28" s="91">
        <f t="shared" si="74"/>
        <v>-19.010064516129031</v>
      </c>
      <c r="AQ28" s="92">
        <f>SUM(AM28:AP28)</f>
        <v>-76.040258064516124</v>
      </c>
      <c r="AR28" s="91">
        <f t="shared" ref="AR28:AU28" si="75">-AR171-AR172</f>
        <v>-19.010064516129031</v>
      </c>
      <c r="AS28" s="91">
        <f t="shared" si="75"/>
        <v>-19.010064516129031</v>
      </c>
      <c r="AT28" s="91">
        <f t="shared" si="75"/>
        <v>-19.010064516129031</v>
      </c>
      <c r="AU28" s="91">
        <f t="shared" si="75"/>
        <v>-19.010064516129031</v>
      </c>
      <c r="AV28" s="92">
        <f>SUM(AR28:AU28)</f>
        <v>-76.040258064516124</v>
      </c>
    </row>
    <row r="29" spans="1:48" s="8" customFormat="1" x14ac:dyDescent="0.3">
      <c r="A29" s="20"/>
      <c r="B29" s="85" t="s">
        <v>73</v>
      </c>
      <c r="C29" s="86"/>
      <c r="D29" s="108">
        <f t="shared" ref="D29:AQ29" si="76">+D19+D20+D21+D22-D24-D26+D28</f>
        <v>940.04999999999916</v>
      </c>
      <c r="E29" s="108">
        <f t="shared" si="76"/>
        <v>750.42000000000007</v>
      </c>
      <c r="F29" s="108">
        <f t="shared" si="76"/>
        <v>953.94</v>
      </c>
      <c r="G29" s="108">
        <f t="shared" si="76"/>
        <v>850.00000000000102</v>
      </c>
      <c r="H29" s="177">
        <f t="shared" si="76"/>
        <v>3494.4100000000039</v>
      </c>
      <c r="I29" s="108">
        <f t="shared" si="76"/>
        <v>946.2999999999987</v>
      </c>
      <c r="J29" s="108">
        <f t="shared" si="76"/>
        <v>372.19999999999902</v>
      </c>
      <c r="K29" s="108">
        <f t="shared" si="76"/>
        <v>-539.7749999999993</v>
      </c>
      <c r="L29" s="80">
        <f>+L19+L20+L21+L22-L24-L26+L28</f>
        <v>601.29</v>
      </c>
      <c r="M29" s="81">
        <f t="shared" si="76"/>
        <v>1380.0150000000035</v>
      </c>
      <c r="N29" s="108">
        <f t="shared" si="76"/>
        <v>721.61000000000024</v>
      </c>
      <c r="O29" s="108">
        <f t="shared" si="76"/>
        <v>735.75199999999995</v>
      </c>
      <c r="P29" s="108">
        <f t="shared" si="76"/>
        <v>1193.2379999999987</v>
      </c>
      <c r="Q29" s="108">
        <f t="shared" si="76"/>
        <v>1183.4905999999996</v>
      </c>
      <c r="R29" s="177">
        <f t="shared" si="76"/>
        <v>3834.0905999999977</v>
      </c>
      <c r="S29" s="80">
        <f t="shared" si="76"/>
        <v>847.15199999999982</v>
      </c>
      <c r="T29" s="80">
        <f t="shared" si="76"/>
        <v>676.04400000000032</v>
      </c>
      <c r="U29" s="80">
        <f t="shared" si="76"/>
        <v>967.37999999999965</v>
      </c>
      <c r="V29" s="80">
        <f t="shared" si="76"/>
        <v>846.21532698277872</v>
      </c>
      <c r="W29" s="177">
        <f t="shared" si="76"/>
        <v>3336.7913269827695</v>
      </c>
      <c r="X29" s="80">
        <f t="shared" si="76"/>
        <v>886.24541483190922</v>
      </c>
      <c r="Y29" s="80">
        <f t="shared" si="76"/>
        <v>830.40411214180608</v>
      </c>
      <c r="Z29" s="80">
        <f t="shared" si="76"/>
        <v>1058.0803748684057</v>
      </c>
      <c r="AA29" s="80">
        <f t="shared" si="76"/>
        <v>1126.6710846733388</v>
      </c>
      <c r="AB29" s="81">
        <f t="shared" si="76"/>
        <v>3901.4009865154612</v>
      </c>
      <c r="AC29" s="80">
        <f t="shared" si="76"/>
        <v>1154.3323535021784</v>
      </c>
      <c r="AD29" s="80">
        <f t="shared" si="76"/>
        <v>958.64669447343852</v>
      </c>
      <c r="AE29" s="80">
        <f t="shared" si="76"/>
        <v>1184.4857424845316</v>
      </c>
      <c r="AF29" s="80">
        <f t="shared" si="76"/>
        <v>1170.4762091120629</v>
      </c>
      <c r="AG29" s="81">
        <f t="shared" si="76"/>
        <v>4467.9409995722144</v>
      </c>
      <c r="AH29" s="80">
        <f t="shared" si="76"/>
        <v>1351.4674951343061</v>
      </c>
      <c r="AI29" s="80">
        <f t="shared" si="76"/>
        <v>1135.5728806270079</v>
      </c>
      <c r="AJ29" s="80">
        <f t="shared" si="76"/>
        <v>1444.6738664706393</v>
      </c>
      <c r="AK29" s="80">
        <f t="shared" si="76"/>
        <v>1350.9639693613567</v>
      </c>
      <c r="AL29" s="81">
        <f t="shared" si="76"/>
        <v>5282.6782115933083</v>
      </c>
      <c r="AM29" s="80">
        <f t="shared" si="76"/>
        <v>1456.0474321975437</v>
      </c>
      <c r="AN29" s="80">
        <f t="shared" si="76"/>
        <v>1210.3607324846275</v>
      </c>
      <c r="AO29" s="80">
        <f t="shared" si="76"/>
        <v>1532.1904764838928</v>
      </c>
      <c r="AP29" s="80">
        <f t="shared" si="76"/>
        <v>1461.1910832417802</v>
      </c>
      <c r="AQ29" s="81">
        <f t="shared" si="76"/>
        <v>5659.7897244078458</v>
      </c>
      <c r="AR29" s="80">
        <f t="shared" ref="AR29:AV29" si="77">+AR19+AR20+AR21+AR22-AR24-AR26+AR28</f>
        <v>1561.7120931577406</v>
      </c>
      <c r="AS29" s="80">
        <f t="shared" si="77"/>
        <v>1300.7197112154345</v>
      </c>
      <c r="AT29" s="80">
        <f t="shared" si="77"/>
        <v>1642.1555312020541</v>
      </c>
      <c r="AU29" s="80">
        <f t="shared" si="77"/>
        <v>1569.4196731011837</v>
      </c>
      <c r="AV29" s="81">
        <f t="shared" si="77"/>
        <v>6074.0070086764254</v>
      </c>
    </row>
    <row r="30" spans="1:48" x14ac:dyDescent="0.3">
      <c r="B30" s="580" t="s">
        <v>0</v>
      </c>
      <c r="C30" s="581"/>
      <c r="D30" s="101">
        <v>1242</v>
      </c>
      <c r="E30" s="101">
        <v>1239.2</v>
      </c>
      <c r="F30" s="101">
        <v>1211</v>
      </c>
      <c r="G30" s="101">
        <v>1210.7904210526317</v>
      </c>
      <c r="H30" s="169">
        <v>1221.2</v>
      </c>
      <c r="I30" s="101">
        <v>1180.4000000000001</v>
      </c>
      <c r="J30" s="101">
        <v>1171.8</v>
      </c>
      <c r="K30" s="101">
        <v>1168.5</v>
      </c>
      <c r="L30" s="101">
        <v>1167.3874645009873</v>
      </c>
      <c r="M30" s="17">
        <f>+(I27/M27*I30)+(J27/M27*J30)+(K27/M27*K30)+(L27/M27*L30)</f>
        <v>1180.550811766758</v>
      </c>
      <c r="N30" s="101">
        <v>1175</v>
      </c>
      <c r="O30" s="101">
        <v>1177.5</v>
      </c>
      <c r="P30" s="101">
        <v>1178.5</v>
      </c>
      <c r="Q30" s="101">
        <v>1179.5008492569002</v>
      </c>
      <c r="R30" s="169">
        <f>+(N27/R27*N30)+(O27/R27*O30)+(P27/R27*P30)+(Q27/R27*Q30)</f>
        <v>1178.2449155662418</v>
      </c>
      <c r="S30" s="16">
        <v>1169.5999999999999</v>
      </c>
      <c r="T30" s="16">
        <v>1149.2</v>
      </c>
      <c r="U30" s="16">
        <v>1147</v>
      </c>
      <c r="V30" s="16">
        <f>U30*(1+V151)-V155-V158-V161</f>
        <v>1149.2940000000001</v>
      </c>
      <c r="W30" s="169">
        <f>+(S27/W27*S30)+(T27/W27*T30)+(U27/W27*U30)+(V27/W27*V30)</f>
        <v>1153.840364066876</v>
      </c>
      <c r="X30" s="16">
        <f>V30*(1+X151)-X155-X158-X161</f>
        <v>1151.5925880000002</v>
      </c>
      <c r="Y30" s="16">
        <f>X30*(1+Y151)-Y155-Y158-Y161</f>
        <v>1153.8957731760001</v>
      </c>
      <c r="Z30" s="16">
        <f>Y30*(1+Z151)-Z155-Z158-Z161</f>
        <v>1156.2035647223522</v>
      </c>
      <c r="AA30" s="16">
        <f>Z30*(1+AA151)-AA155-AA158-AA161</f>
        <v>1158.5159718517968</v>
      </c>
      <c r="AB30" s="17">
        <f>+(X27/AB27*X30)+(Y27/AB27*Y30)+(Z27/AB27*Z30)+(AA27/AB27*AA30)</f>
        <v>1155.382081961412</v>
      </c>
      <c r="AC30" s="16">
        <f>AA30*(1+AC151)-AC155-AC158-AC161</f>
        <v>1160.8330037955004</v>
      </c>
      <c r="AD30" s="16">
        <f>AC30*(1+AD151)-AD155-AD158-AD161</f>
        <v>1163.1546698030913</v>
      </c>
      <c r="AE30" s="16">
        <f>AD30*(1+AE151)-AE155-AE158-AE161</f>
        <v>1164.5668652818176</v>
      </c>
      <c r="AF30" s="16">
        <f>AE30*(1+AF151)-AF155-AF158-AF161</f>
        <v>1165.9818851515013</v>
      </c>
      <c r="AG30" s="17">
        <f>+(AC27/AG27*AC30)+(AD27/AG27*AD30)+(AE27/AG27*AE30)+(AF27/AG27*AF30)</f>
        <v>1163.6713838878973</v>
      </c>
      <c r="AH30" s="16">
        <f>AF30*(1+AH151)-AH155-AH158-AH161</f>
        <v>1167.4432642923948</v>
      </c>
      <c r="AI30" s="16">
        <f>AH30*(1+AI151)-AI155-AI158-AI161</f>
        <v>1168.9075661915701</v>
      </c>
      <c r="AJ30" s="16">
        <f>AI30*(1+AJ151)-AJ155-AJ158-AJ161</f>
        <v>1126.0568296284789</v>
      </c>
      <c r="AK30" s="16">
        <f>AJ30*(1+AK151)-AK155-AK158-AK161</f>
        <v>1083.1203915922615</v>
      </c>
      <c r="AL30" s="17">
        <f>+(AH27/AL27*AH30)+(AI27/AL27*AI30)+(AJ27/AL27*AJ30)+(AK27/AL27*AK30)</f>
        <v>1134.8225214314575</v>
      </c>
      <c r="AM30" s="16">
        <f>AK30*(1+AM151)-AM155-AM158-AM161</f>
        <v>1083.198343019187</v>
      </c>
      <c r="AN30" s="16">
        <f>AM30*(1+AN151)-AN155-AN158-AN161</f>
        <v>1083.2764503489661</v>
      </c>
      <c r="AO30" s="16">
        <f>AN30*(1+AO151)-AO155-AO158-AO161</f>
        <v>1083.354713893405</v>
      </c>
      <c r="AP30" s="16">
        <f>AO30*(1+AP151)-AP155-AP158-AP161</f>
        <v>1083.4331339649327</v>
      </c>
      <c r="AQ30" s="17">
        <f>+(AM27/AQ27*AM30)+(AN27/AQ27*AN30)+(AO27/AQ27*AO30)+(AP27/AQ27*AP30)</f>
        <v>1083.3180711966736</v>
      </c>
      <c r="AR30" s="16">
        <f>AP30*(1+AR151)-AR155-AR158-AR161</f>
        <v>1083.552657726726</v>
      </c>
      <c r="AS30" s="16">
        <f>AR30*(1+AS151)-AS155-AS158-AS161</f>
        <v>1083.6724205360429</v>
      </c>
      <c r="AT30" s="16">
        <f>AS30*(1+AT151)-AT155-AT158-AT161</f>
        <v>1083.7924228709783</v>
      </c>
      <c r="AU30" s="16">
        <f>AT30*(1+AU151)-AU155-AU158-AU161</f>
        <v>1083.9126652105836</v>
      </c>
      <c r="AV30" s="17">
        <f>+(AR27/AV27*AR30)+(AS27/AV27*AS30)+(AT27/AV27*AT30)+(AU27/AV27*AU30)</f>
        <v>1083.7362566071399</v>
      </c>
    </row>
    <row r="31" spans="1:48" ht="15.75" customHeight="1" x14ac:dyDescent="0.3">
      <c r="B31" s="580" t="s">
        <v>1</v>
      </c>
      <c r="C31" s="581"/>
      <c r="D31" s="101">
        <v>1253.4000000000001</v>
      </c>
      <c r="E31" s="101">
        <v>1250.7</v>
      </c>
      <c r="F31" s="101">
        <v>1223</v>
      </c>
      <c r="G31" s="101">
        <v>1222.8144210526316</v>
      </c>
      <c r="H31" s="169">
        <v>1233.2</v>
      </c>
      <c r="I31" s="101">
        <v>1191</v>
      </c>
      <c r="J31" s="101">
        <v>1180.7</v>
      </c>
      <c r="K31" s="101">
        <v>1168.5</v>
      </c>
      <c r="L31" s="101">
        <v>1179</v>
      </c>
      <c r="M31" s="17">
        <f>+(I27/M27*I31)+(J27/M27*J31)+(K27/M27*K31)+(L27/M27*L31)</f>
        <v>1198.7240978132002</v>
      </c>
      <c r="N31" s="101">
        <v>1183</v>
      </c>
      <c r="O31" s="101">
        <v>1184.8</v>
      </c>
      <c r="P31" s="101">
        <v>1186.2</v>
      </c>
      <c r="Q31" s="101">
        <v>1187.9000000000001</v>
      </c>
      <c r="R31" s="169">
        <f>+(N27/R27*N31)+(O27/R27*O31)+(P27/R27*P31)+(Q27/R27*Q31)</f>
        <v>1186.2203076629999</v>
      </c>
      <c r="S31" s="16">
        <v>1176.5999999999999</v>
      </c>
      <c r="T31" s="16">
        <v>1153.9000000000001</v>
      </c>
      <c r="U31" s="16">
        <v>1151</v>
      </c>
      <c r="V31" s="16">
        <f>U31*(1+V152)-V155-V158-V161</f>
        <v>1152.1509999999998</v>
      </c>
      <c r="W31" s="169">
        <f>+(S27/W27*S31)+(T27/W27*T31)+(U27/W27*U31)+(V27/W27*V31)</f>
        <v>1158.4853599073713</v>
      </c>
      <c r="X31" s="16">
        <f>V31*(1+X152)-X155-X158-X161</f>
        <v>1153.3031509999996</v>
      </c>
      <c r="Y31" s="16">
        <f>X31*(1+Y152)-Y155-Y158-Y161</f>
        <v>1154.4564541509994</v>
      </c>
      <c r="Z31" s="16">
        <f>Y31*(1+Z152)-Z155-Z158-Z161</f>
        <v>1155.6109106051504</v>
      </c>
      <c r="AA31" s="16">
        <f>Z31*(1+AA152)-AA155-AA158-AA161</f>
        <v>1156.7665215157554</v>
      </c>
      <c r="AB31" s="17">
        <f>+(X27/AB27*X31)+(Y27/AB27*Y31)+(Z27/AB27*Z31)+(AA27/AB27*AA31)</f>
        <v>1155.1993791910168</v>
      </c>
      <c r="AC31" s="16">
        <f>AA31*(1+AC152)-AC155-AC158-AC161</f>
        <v>1157.923288037271</v>
      </c>
      <c r="AD31" s="16">
        <f>AC31*(1+AD152)-AD155-AD158-AD161</f>
        <v>1159.0812113253082</v>
      </c>
      <c r="AE31" s="16">
        <f>AD31*(1+AE152)-AE155-AE158-AE161</f>
        <v>1159.3261786757535</v>
      </c>
      <c r="AF31" s="16">
        <f>AE31*(1+AF152)-AF155-AF158-AF161</f>
        <v>1159.5713909935491</v>
      </c>
      <c r="AG31" s="17">
        <f>+(AC27/AG27*AC31)+(AD27/AG27*AD31)+(AE27/AG27*AE31)+(AF27/AG27*AF31)</f>
        <v>1158.9754031055252</v>
      </c>
      <c r="AH31" s="16">
        <f>AF31*(1+AH152)-AH155-AH158-AH161</f>
        <v>1159.8603777551332</v>
      </c>
      <c r="AI31" s="16">
        <f>AH31*(1+AI152)-AI155-AI158-AI161</f>
        <v>1160.1496535034787</v>
      </c>
      <c r="AJ31" s="16">
        <f>AI31*(1+AJ152)-AJ155-AJ158-AJ161</f>
        <v>1116.1212514615077</v>
      </c>
      <c r="AK31" s="16">
        <f>AJ31*(1+AK152)-AK155-AK158-AK161</f>
        <v>1072.0488210174947</v>
      </c>
      <c r="AL31" s="17">
        <f>+(AH27/AL27*AH31)+(AI27/AL27*AI31)+(AJ27/AL27*AJ31)+(AK27/AL27*AK31)</f>
        <v>1125.4502712503768</v>
      </c>
      <c r="AM31" s="16">
        <f>AK31*(1+AM152)-AM155-AM158-AM161</f>
        <v>1071.032580482253</v>
      </c>
      <c r="AN31" s="16">
        <f>AM31*(1+AN152)-AN155-AN158-AN161</f>
        <v>1070.015323706476</v>
      </c>
      <c r="AO31" s="16">
        <f>AN31*(1+AO152)-AO155-AO158-AO161</f>
        <v>1068.9970496739234</v>
      </c>
      <c r="AP31" s="16">
        <f>AO31*(1+AP152)-AP155-AP158-AP161</f>
        <v>1067.977757367338</v>
      </c>
      <c r="AQ31" s="17">
        <f>+(AM27/AQ27*AM31)+(AN27/AQ27*AN31)+(AO27/AQ27*AO31)+(AP27/AQ27*AP31)</f>
        <v>1069.4743263233165</v>
      </c>
      <c r="AR31" s="16">
        <f>AP31*(1+AR152)-AR155-AR158-AR161</f>
        <v>1066.9983926185687</v>
      </c>
      <c r="AS31" s="16">
        <f>AR31*(1+AS152)-AS155-AS158-AS161</f>
        <v>1066.0180485050505</v>
      </c>
      <c r="AT31" s="16">
        <f>AS31*(1+AT152)-AT155-AT158-AT161</f>
        <v>1065.0367240474188</v>
      </c>
      <c r="AU31" s="16">
        <f>AT31*(1+AU152)-AU155-AU158-AU161</f>
        <v>1064.0544182653296</v>
      </c>
      <c r="AV31" s="17">
        <f>+(AR27/AV27*AR31)+(AS27/AV27*AS31)+(AT27/AV27*AT31)+(AU27/AV27*AU31)</f>
        <v>1065.4965317586</v>
      </c>
    </row>
    <row r="32" spans="1:48" ht="15.75" customHeight="1" x14ac:dyDescent="0.3">
      <c r="B32" s="587" t="s">
        <v>6</v>
      </c>
      <c r="C32" s="588"/>
      <c r="D32" s="110">
        <f t="shared" ref="D32:AQ32" si="78">D27/D30</f>
        <v>0.61239935587761718</v>
      </c>
      <c r="E32" s="110">
        <f t="shared" si="78"/>
        <v>0.53518398967075509</v>
      </c>
      <c r="F32" s="110">
        <f t="shared" si="78"/>
        <v>1.1336085879438487</v>
      </c>
      <c r="G32" s="110">
        <f t="shared" si="78"/>
        <v>0.66287276975832043</v>
      </c>
      <c r="H32" s="174">
        <f t="shared" si="78"/>
        <v>2.947264985260404</v>
      </c>
      <c r="I32" s="110">
        <f t="shared" si="78"/>
        <v>0.75033886818027684</v>
      </c>
      <c r="J32" s="110">
        <f t="shared" si="78"/>
        <v>0.28025260283324721</v>
      </c>
      <c r="K32" s="110">
        <f t="shared" si="78"/>
        <v>-0.58057338468121455</v>
      </c>
      <c r="L32" s="110">
        <f t="shared" si="78"/>
        <v>0.3363065065700544</v>
      </c>
      <c r="M32" s="25">
        <f t="shared" si="78"/>
        <v>0.78632786555858059</v>
      </c>
      <c r="N32" s="110">
        <f t="shared" si="78"/>
        <v>0.52953191489361717</v>
      </c>
      <c r="O32" s="110">
        <f t="shared" si="78"/>
        <v>0.55999999999999994</v>
      </c>
      <c r="P32" s="110">
        <f t="shared" si="78"/>
        <v>0.97870173949936268</v>
      </c>
      <c r="Q32" s="110">
        <f t="shared" si="78"/>
        <v>1.495887011112873</v>
      </c>
      <c r="R32" s="174">
        <f t="shared" si="78"/>
        <v>3.5641146798260079</v>
      </c>
      <c r="S32" s="24">
        <f t="shared" si="78"/>
        <v>0.69758891928864586</v>
      </c>
      <c r="T32" s="24">
        <f t="shared" si="78"/>
        <v>0.58710407239819018</v>
      </c>
      <c r="U32" s="24">
        <f t="shared" si="78"/>
        <v>0.79590235396686981</v>
      </c>
      <c r="V32" s="24">
        <f t="shared" si="78"/>
        <v>0.6665631286704129</v>
      </c>
      <c r="W32" s="174">
        <f t="shared" si="78"/>
        <v>2.7469805209712854</v>
      </c>
      <c r="X32" s="24">
        <f t="shared" si="78"/>
        <v>0.69999329680581779</v>
      </c>
      <c r="Y32" s="24">
        <f t="shared" si="78"/>
        <v>0.68066301559988318</v>
      </c>
      <c r="Z32" s="24">
        <f t="shared" si="78"/>
        <v>0.87622151522064851</v>
      </c>
      <c r="AA32" s="24">
        <f t="shared" si="78"/>
        <v>0.93367823618390455</v>
      </c>
      <c r="AB32" s="25">
        <f t="shared" si="78"/>
        <v>3.190540094948711</v>
      </c>
      <c r="AC32" s="24">
        <f t="shared" si="78"/>
        <v>0.95564341674570108</v>
      </c>
      <c r="AD32" s="24">
        <f t="shared" si="78"/>
        <v>0.78549893897106482</v>
      </c>
      <c r="AE32" s="24">
        <f t="shared" si="78"/>
        <v>0.97847177433209032</v>
      </c>
      <c r="AF32" s="24">
        <f t="shared" si="78"/>
        <v>0.96526909033578367</v>
      </c>
      <c r="AG32" s="25">
        <f t="shared" si="78"/>
        <v>3.6848729950807271</v>
      </c>
      <c r="AH32" s="24">
        <f t="shared" si="78"/>
        <v>1.1190929783147201</v>
      </c>
      <c r="AI32" s="24">
        <f t="shared" si="78"/>
        <v>0.9329933150286438</v>
      </c>
      <c r="AJ32" s="24">
        <f t="shared" si="78"/>
        <v>1.2429958188243193</v>
      </c>
      <c r="AK32" s="24">
        <f t="shared" si="78"/>
        <v>1.205751497262104</v>
      </c>
      <c r="AL32" s="25">
        <f t="shared" si="78"/>
        <v>4.496490308653101</v>
      </c>
      <c r="AM32" s="24">
        <f t="shared" si="78"/>
        <v>1.3026769342913205</v>
      </c>
      <c r="AN32" s="24">
        <f t="shared" si="78"/>
        <v>1.0757833760951274</v>
      </c>
      <c r="AO32" s="24">
        <f t="shared" si="78"/>
        <v>1.37277340646376</v>
      </c>
      <c r="AP32" s="24">
        <f t="shared" si="78"/>
        <v>1.3071421792087703</v>
      </c>
      <c r="AQ32" s="25">
        <f t="shared" si="78"/>
        <v>5.0583758622425057</v>
      </c>
      <c r="AR32" s="24">
        <f t="shared" ref="AR32:AV32" si="79">AR27/AR30</f>
        <v>1.3997678348700886</v>
      </c>
      <c r="AS32" s="24">
        <f t="shared" si="79"/>
        <v>1.1587724776740298</v>
      </c>
      <c r="AT32" s="24">
        <f t="shared" si="79"/>
        <v>1.4736821941301947</v>
      </c>
      <c r="AU32" s="24">
        <f t="shared" si="79"/>
        <v>1.406413806707522</v>
      </c>
      <c r="AV32" s="25">
        <f t="shared" si="79"/>
        <v>5.4386362279633174</v>
      </c>
    </row>
    <row r="33" spans="2:48" x14ac:dyDescent="0.3">
      <c r="B33" s="587" t="s">
        <v>7</v>
      </c>
      <c r="C33" s="588"/>
      <c r="D33" s="110">
        <f t="shared" ref="D33:AQ33" si="80">D27/D31</f>
        <v>0.60682942396681061</v>
      </c>
      <c r="E33" s="110">
        <f t="shared" si="80"/>
        <v>0.53026305269049312</v>
      </c>
      <c r="F33" s="110">
        <f t="shared" si="80"/>
        <v>1.1224856909239582</v>
      </c>
      <c r="G33" s="110">
        <f t="shared" si="80"/>
        <v>0.65635470614510849</v>
      </c>
      <c r="H33" s="174">
        <f t="shared" si="80"/>
        <v>2.9185857930587131</v>
      </c>
      <c r="I33" s="110">
        <f t="shared" si="80"/>
        <v>0.74366078925272783</v>
      </c>
      <c r="J33" s="110">
        <f t="shared" si="80"/>
        <v>0.27814008638942922</v>
      </c>
      <c r="K33" s="110">
        <f t="shared" si="80"/>
        <v>-0.58057338468121455</v>
      </c>
      <c r="L33" s="110">
        <f t="shared" si="80"/>
        <v>0.3329940627650555</v>
      </c>
      <c r="M33" s="174">
        <f t="shared" si="80"/>
        <v>0.7744067226924668</v>
      </c>
      <c r="N33" s="110">
        <f t="shared" si="80"/>
        <v>0.52595097210481845</v>
      </c>
      <c r="O33" s="110">
        <f t="shared" si="80"/>
        <v>0.55654962862930457</v>
      </c>
      <c r="P33" s="110">
        <f t="shared" si="80"/>
        <v>0.97234867644579237</v>
      </c>
      <c r="Q33" s="110">
        <f t="shared" si="80"/>
        <v>1.4853102112972469</v>
      </c>
      <c r="R33" s="174">
        <f t="shared" si="80"/>
        <v>3.5401518359379072</v>
      </c>
      <c r="S33" s="24">
        <f t="shared" si="80"/>
        <v>0.69343872174060861</v>
      </c>
      <c r="T33" s="24">
        <f t="shared" si="80"/>
        <v>0.58471271340670783</v>
      </c>
      <c r="U33" s="24">
        <f t="shared" si="80"/>
        <v>0.79313640312771472</v>
      </c>
      <c r="V33" s="24">
        <f t="shared" si="80"/>
        <v>0.66491024562069867</v>
      </c>
      <c r="W33" s="174">
        <f t="shared" si="80"/>
        <v>2.7359663868825703</v>
      </c>
      <c r="X33" s="24">
        <f t="shared" si="80"/>
        <v>0.69895507660089995</v>
      </c>
      <c r="Y33" s="24">
        <f t="shared" si="80"/>
        <v>0.68033244028726725</v>
      </c>
      <c r="Z33" s="24">
        <f t="shared" si="80"/>
        <v>0.87667088471327859</v>
      </c>
      <c r="AA33" s="24">
        <f t="shared" si="80"/>
        <v>0.93509029615768935</v>
      </c>
      <c r="AB33" s="25">
        <f t="shared" si="80"/>
        <v>3.1910447009283409</v>
      </c>
      <c r="AC33" s="24">
        <f t="shared" si="80"/>
        <v>0.95804482859887008</v>
      </c>
      <c r="AD33" s="24">
        <f t="shared" si="80"/>
        <v>0.78825948523907197</v>
      </c>
      <c r="AE33" s="24">
        <f t="shared" si="80"/>
        <v>0.98289491599530321</v>
      </c>
      <c r="AF33" s="24">
        <f t="shared" si="80"/>
        <v>0.97060541711351445</v>
      </c>
      <c r="AG33" s="25">
        <f t="shared" si="80"/>
        <v>3.6998035041528037</v>
      </c>
      <c r="AH33" s="24">
        <f t="shared" si="80"/>
        <v>1.1264093374575601</v>
      </c>
      <c r="AI33" s="24">
        <f t="shared" si="80"/>
        <v>0.94003643568718842</v>
      </c>
      <c r="AJ33" s="24">
        <f t="shared" si="80"/>
        <v>1.2540608192469669</v>
      </c>
      <c r="AK33" s="24">
        <f t="shared" si="80"/>
        <v>1.2182038805266067</v>
      </c>
      <c r="AL33" s="25">
        <f t="shared" si="80"/>
        <v>4.5339350835898751</v>
      </c>
      <c r="AM33" s="24">
        <f t="shared" si="80"/>
        <v>1.3174739241623414</v>
      </c>
      <c r="AN33" s="24">
        <f t="shared" si="80"/>
        <v>1.0891159885112431</v>
      </c>
      <c r="AO33" s="24">
        <f t="shared" si="80"/>
        <v>1.3912110809413958</v>
      </c>
      <c r="AP33" s="24">
        <f t="shared" si="80"/>
        <v>1.3260586543009789</v>
      </c>
      <c r="AQ33" s="25">
        <f t="shared" si="80"/>
        <v>5.1238536985840044</v>
      </c>
      <c r="AR33" s="24">
        <f t="shared" ref="AR33:AV33" si="81">AR27/AR31</f>
        <v>1.421484950836349</v>
      </c>
      <c r="AS33" s="24">
        <f t="shared" si="81"/>
        <v>1.1779629599072536</v>
      </c>
      <c r="AT33" s="24">
        <f t="shared" si="81"/>
        <v>1.4996342939692586</v>
      </c>
      <c r="AU33" s="24">
        <f t="shared" si="81"/>
        <v>1.4326614423560291</v>
      </c>
      <c r="AV33" s="25">
        <f t="shared" si="81"/>
        <v>5.5317376369239115</v>
      </c>
    </row>
    <row r="34" spans="2:48" x14ac:dyDescent="0.3">
      <c r="B34" s="93" t="s">
        <v>74</v>
      </c>
      <c r="C34" s="100"/>
      <c r="D34" s="111">
        <f t="shared" ref="D34:AQ34" si="82">+D29/D31</f>
        <v>0.74999999999999922</v>
      </c>
      <c r="E34" s="111">
        <f t="shared" si="82"/>
        <v>0.60000000000000009</v>
      </c>
      <c r="F34" s="111">
        <f t="shared" si="82"/>
        <v>0.78</v>
      </c>
      <c r="G34" s="111">
        <f t="shared" si="82"/>
        <v>0.69511774261567683</v>
      </c>
      <c r="H34" s="172">
        <f t="shared" si="82"/>
        <v>2.8336117418099285</v>
      </c>
      <c r="I34" s="111">
        <f t="shared" si="82"/>
        <v>0.79454240134340781</v>
      </c>
      <c r="J34" s="111">
        <f t="shared" si="82"/>
        <v>0.31523672397730074</v>
      </c>
      <c r="K34" s="111">
        <f t="shared" si="82"/>
        <v>-0.46193838254171954</v>
      </c>
      <c r="L34" s="111">
        <f t="shared" si="82"/>
        <v>0.51</v>
      </c>
      <c r="M34" s="172">
        <f t="shared" si="82"/>
        <v>1.1512365543643674</v>
      </c>
      <c r="N34" s="111">
        <f t="shared" si="82"/>
        <v>0.60998309382924787</v>
      </c>
      <c r="O34" s="111">
        <f t="shared" si="82"/>
        <v>0.62099257258609042</v>
      </c>
      <c r="P34" s="111">
        <f t="shared" si="82"/>
        <v>1.0059332321699532</v>
      </c>
      <c r="Q34" s="111">
        <f t="shared" si="82"/>
        <v>0.99628807138648001</v>
      </c>
      <c r="R34" s="172">
        <f>+R29/R31+0.01</f>
        <v>3.2421909979383412</v>
      </c>
      <c r="S34" s="111">
        <f t="shared" si="82"/>
        <v>0.71999999999999986</v>
      </c>
      <c r="T34" s="111">
        <f t="shared" si="82"/>
        <v>0.58587745905191113</v>
      </c>
      <c r="U34" s="111">
        <f t="shared" si="82"/>
        <v>0.84046915725456095</v>
      </c>
      <c r="V34" s="419">
        <f t="shared" si="82"/>
        <v>0.73446564467919473</v>
      </c>
      <c r="W34" s="172">
        <f t="shared" si="82"/>
        <v>2.8803051315638277</v>
      </c>
      <c r="X34" s="82">
        <f t="shared" si="82"/>
        <v>0.76844098974625064</v>
      </c>
      <c r="Y34" s="82">
        <f t="shared" si="82"/>
        <v>0.71930310507250339</v>
      </c>
      <c r="Z34" s="82">
        <f t="shared" si="82"/>
        <v>0.91560261776546259</v>
      </c>
      <c r="AA34" s="82">
        <f t="shared" si="82"/>
        <v>0.97398313636966138</v>
      </c>
      <c r="AB34" s="83">
        <f t="shared" si="82"/>
        <v>3.3772533614479627</v>
      </c>
      <c r="AC34" s="82">
        <f t="shared" si="82"/>
        <v>0.9968988148246164</v>
      </c>
      <c r="AD34" s="82">
        <f t="shared" si="82"/>
        <v>0.82707465629376364</v>
      </c>
      <c r="AE34" s="82">
        <f t="shared" si="82"/>
        <v>1.0217018853464663</v>
      </c>
      <c r="AF34" s="82">
        <f t="shared" si="82"/>
        <v>1.0094041800299767</v>
      </c>
      <c r="AG34" s="83">
        <f t="shared" si="82"/>
        <v>3.8550783628368399</v>
      </c>
      <c r="AH34" s="82">
        <f t="shared" si="82"/>
        <v>1.1651984334097363</v>
      </c>
      <c r="AI34" s="82">
        <f t="shared" si="82"/>
        <v>0.97881585983131347</v>
      </c>
      <c r="AJ34" s="82">
        <f t="shared" si="82"/>
        <v>1.2943700019858126</v>
      </c>
      <c r="AK34" s="82">
        <f t="shared" si="82"/>
        <v>1.2601701926962059</v>
      </c>
      <c r="AL34" s="415">
        <f t="shared" si="82"/>
        <v>4.6938353000033004</v>
      </c>
      <c r="AM34" s="82">
        <f t="shared" si="82"/>
        <v>1.3594800557252238</v>
      </c>
      <c r="AN34" s="82">
        <f t="shared" si="82"/>
        <v>1.1311620550367472</v>
      </c>
      <c r="AO34" s="82">
        <f t="shared" si="82"/>
        <v>1.4332971984826877</v>
      </c>
      <c r="AP34" s="82">
        <f t="shared" si="82"/>
        <v>1.3681849393977537</v>
      </c>
      <c r="AQ34" s="83">
        <f t="shared" si="82"/>
        <v>5.2921230412938547</v>
      </c>
      <c r="AR34" s="82">
        <f t="shared" ref="AR34:AV34" si="83">+AR29/AR31</f>
        <v>1.4636499023443446</v>
      </c>
      <c r="AS34" s="82">
        <f t="shared" si="83"/>
        <v>1.2201666876461632</v>
      </c>
      <c r="AT34" s="82">
        <f t="shared" si="83"/>
        <v>1.5418769082078527</v>
      </c>
      <c r="AU34" s="82">
        <f t="shared" si="83"/>
        <v>1.4749430538146007</v>
      </c>
      <c r="AV34" s="83">
        <f t="shared" si="83"/>
        <v>5.7006351758379621</v>
      </c>
    </row>
    <row r="35" spans="2:48" x14ac:dyDescent="0.3">
      <c r="B35" s="38" t="s">
        <v>41</v>
      </c>
      <c r="C35" s="207"/>
      <c r="D35" s="239">
        <v>0.36</v>
      </c>
      <c r="E35" s="239">
        <v>0.36</v>
      </c>
      <c r="F35" s="239">
        <v>0.36</v>
      </c>
      <c r="G35" s="239">
        <v>0.41</v>
      </c>
      <c r="H35" s="174">
        <f>+SUM(D35:G35)</f>
        <v>1.49</v>
      </c>
      <c r="I35" s="239">
        <v>0.41</v>
      </c>
      <c r="J35" s="239">
        <v>0.41</v>
      </c>
      <c r="K35" s="239">
        <v>0.41</v>
      </c>
      <c r="L35" s="239">
        <f>K35*1.1</f>
        <v>0.45100000000000001</v>
      </c>
      <c r="M35" s="25">
        <f>+SUM(I35:L35)</f>
        <v>1.681</v>
      </c>
      <c r="N35" s="239">
        <f>+L35</f>
        <v>0.45100000000000001</v>
      </c>
      <c r="O35" s="239">
        <v>0.45</v>
      </c>
      <c r="P35" s="239">
        <v>0.45</v>
      </c>
      <c r="Q35" s="239">
        <v>0.49</v>
      </c>
      <c r="R35" s="25">
        <f>+SUM(N35:Q35)</f>
        <v>1.841</v>
      </c>
      <c r="S35" s="239">
        <v>0.49</v>
      </c>
      <c r="T35" s="239">
        <v>0.49</v>
      </c>
      <c r="U35" s="239">
        <v>0.49</v>
      </c>
      <c r="V35" s="240">
        <f>1.05*U35</f>
        <v>0.51449999999999996</v>
      </c>
      <c r="W35" s="25">
        <f>+SUM(S35:V35)</f>
        <v>1.9844999999999999</v>
      </c>
      <c r="X35" s="240">
        <f>+V35</f>
        <v>0.51449999999999996</v>
      </c>
      <c r="Y35" s="240">
        <f>+X35</f>
        <v>0.51449999999999996</v>
      </c>
      <c r="Z35" s="240">
        <f>+Y35</f>
        <v>0.51449999999999996</v>
      </c>
      <c r="AA35" s="240">
        <f>1.05*Z35</f>
        <v>0.54022499999999996</v>
      </c>
      <c r="AB35" s="25">
        <f>+SUM(X35:AA35)</f>
        <v>2.0837249999999998</v>
      </c>
      <c r="AC35" s="240">
        <f>+AA35</f>
        <v>0.54022499999999996</v>
      </c>
      <c r="AD35" s="240">
        <f>+AC35</f>
        <v>0.54022499999999996</v>
      </c>
      <c r="AE35" s="240">
        <f>+AD35</f>
        <v>0.54022499999999996</v>
      </c>
      <c r="AF35" s="240">
        <f>1.05*AE35</f>
        <v>0.56723625</v>
      </c>
      <c r="AG35" s="25">
        <f>+SUM(AC35:AF35)</f>
        <v>2.18791125</v>
      </c>
      <c r="AH35" s="240">
        <f>+AF35</f>
        <v>0.56723625</v>
      </c>
      <c r="AI35" s="240">
        <f>+AH35</f>
        <v>0.56723625</v>
      </c>
      <c r="AJ35" s="240">
        <f>+AI35</f>
        <v>0.56723625</v>
      </c>
      <c r="AK35" s="240">
        <f>1.05*AJ35</f>
        <v>0.59559806250000003</v>
      </c>
      <c r="AL35" s="25">
        <f>+SUM(AH35:AK35)</f>
        <v>2.2973068125</v>
      </c>
      <c r="AM35" s="240">
        <f>+AK35</f>
        <v>0.59559806250000003</v>
      </c>
      <c r="AN35" s="240">
        <f>+AM35</f>
        <v>0.59559806250000003</v>
      </c>
      <c r="AO35" s="240">
        <f>+AN35</f>
        <v>0.59559806250000003</v>
      </c>
      <c r="AP35" s="240">
        <f>1.02*AO35</f>
        <v>0.60751002375000007</v>
      </c>
      <c r="AQ35" s="25">
        <f>+SUM(AM35:AP35)</f>
        <v>2.3943042112500001</v>
      </c>
      <c r="AR35" s="240">
        <f>+AP35</f>
        <v>0.60751002375000007</v>
      </c>
      <c r="AS35" s="240">
        <f>+AR35</f>
        <v>0.60751002375000007</v>
      </c>
      <c r="AT35" s="240">
        <f>+AS35</f>
        <v>0.60751002375000007</v>
      </c>
      <c r="AU35" s="240">
        <f>1.02*AT35</f>
        <v>0.61966022422500011</v>
      </c>
      <c r="AV35" s="25">
        <f>+SUM(AR35:AU35)</f>
        <v>2.4421902954750001</v>
      </c>
    </row>
    <row r="36" spans="2:48" s="241" customFormat="1" x14ac:dyDescent="0.3">
      <c r="B36" s="242" t="s">
        <v>170</v>
      </c>
      <c r="C36" s="243"/>
      <c r="D36" s="211"/>
      <c r="E36" s="211"/>
      <c r="F36" s="211"/>
      <c r="G36" s="211"/>
      <c r="H36" s="244">
        <f>H35/H33</f>
        <v>0.51052122693931912</v>
      </c>
      <c r="I36" s="211"/>
      <c r="J36" s="211"/>
      <c r="K36" s="211"/>
      <c r="L36" s="211"/>
      <c r="M36" s="244">
        <f>M35/M33</f>
        <v>2.1706939657696651</v>
      </c>
      <c r="N36" s="211"/>
      <c r="O36" s="211"/>
      <c r="P36" s="211"/>
      <c r="Q36" s="211"/>
      <c r="R36" s="244">
        <f>R35/R33</f>
        <v>0.52003419212449009</v>
      </c>
      <c r="S36" s="211"/>
      <c r="T36" s="211"/>
      <c r="U36" s="211"/>
      <c r="V36" s="211"/>
      <c r="W36" s="244">
        <f>W35/W33</f>
        <v>0.72533785850387944</v>
      </c>
      <c r="X36" s="211"/>
      <c r="Y36" s="211"/>
      <c r="Z36" s="211"/>
      <c r="AA36" s="211"/>
      <c r="AB36" s="244">
        <f>AB35/AB33</f>
        <v>0.65299147937156787</v>
      </c>
      <c r="AC36" s="211"/>
      <c r="AD36" s="211"/>
      <c r="AE36" s="211"/>
      <c r="AF36" s="211"/>
      <c r="AG36" s="244">
        <f>AG35/AG33</f>
        <v>0.59135877014663163</v>
      </c>
      <c r="AH36" s="211"/>
      <c r="AI36" s="211"/>
      <c r="AJ36" s="211"/>
      <c r="AK36" s="211"/>
      <c r="AL36" s="428">
        <f>AL35/AL33</f>
        <v>0.5066915979487383</v>
      </c>
      <c r="AM36" s="211"/>
      <c r="AN36" s="211"/>
      <c r="AO36" s="211"/>
      <c r="AP36" s="211"/>
      <c r="AQ36" s="244">
        <f>AQ35/AQ33</f>
        <v>0.46728582666434737</v>
      </c>
      <c r="AR36" s="211"/>
      <c r="AS36" s="211"/>
      <c r="AT36" s="211"/>
      <c r="AU36" s="211"/>
      <c r="AV36" s="244">
        <f>AV35/AV33</f>
        <v>0.44148700747728398</v>
      </c>
    </row>
    <row r="37" spans="2:48" s="63" customFormat="1" x14ac:dyDescent="0.3">
      <c r="B37" s="198"/>
      <c r="C37" s="371"/>
      <c r="D37" s="372"/>
      <c r="E37" s="196"/>
      <c r="F37" s="196"/>
      <c r="G37" s="196">
        <f>G35/F35-1</f>
        <v>0.13888888888888884</v>
      </c>
      <c r="H37" s="196"/>
      <c r="I37" s="196"/>
      <c r="J37" s="196"/>
      <c r="K37" s="196"/>
      <c r="L37" s="196">
        <f>L35/K35-1</f>
        <v>0.10000000000000009</v>
      </c>
      <c r="M37" s="196"/>
      <c r="N37" s="196"/>
      <c r="O37" s="196"/>
      <c r="P37" s="196"/>
      <c r="Q37" s="196">
        <f>Q35/P35-1</f>
        <v>8.8888888888888795E-2</v>
      </c>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583" t="s">
        <v>13</v>
      </c>
      <c r="C38" s="584"/>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5" t="s">
        <v>20</v>
      </c>
      <c r="W38" s="41" t="s">
        <v>20</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85"/>
      <c r="C39" s="586"/>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2" t="s">
        <v>25</v>
      </c>
      <c r="W39" s="42" t="s">
        <v>26</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99" t="s">
        <v>174</v>
      </c>
      <c r="C40" s="600"/>
      <c r="D40" s="14"/>
      <c r="E40" s="14"/>
      <c r="F40" s="14"/>
      <c r="G40" s="14"/>
      <c r="H40" s="40"/>
      <c r="I40" s="14"/>
      <c r="J40" s="14"/>
      <c r="K40" s="14"/>
      <c r="L40" s="14"/>
      <c r="M40" s="40"/>
      <c r="N40" s="14"/>
      <c r="O40" s="14"/>
      <c r="P40" s="14"/>
      <c r="Q40" s="14"/>
      <c r="R40" s="40"/>
      <c r="S40" s="14"/>
      <c r="T40" s="14"/>
      <c r="U40" s="14"/>
      <c r="V40" s="12"/>
      <c r="W40" s="42"/>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601" t="s">
        <v>175</v>
      </c>
      <c r="C41" s="602"/>
      <c r="D41" s="21">
        <v>9777</v>
      </c>
      <c r="E41" s="21">
        <v>9776</v>
      </c>
      <c r="F41" s="116">
        <v>9857</v>
      </c>
      <c r="G41" s="21">
        <v>9974</v>
      </c>
      <c r="H41" s="57"/>
      <c r="I41" s="21">
        <v>10020</v>
      </c>
      <c r="J41" s="21">
        <v>10051</v>
      </c>
      <c r="K41" s="21">
        <v>10017</v>
      </c>
      <c r="L41" s="21">
        <v>10109</v>
      </c>
      <c r="M41" s="57"/>
      <c r="N41" s="21">
        <v>10029</v>
      </c>
      <c r="O41" s="21">
        <f>+N41+O42</f>
        <v>9820</v>
      </c>
      <c r="P41" s="21">
        <f>+O41+P42</f>
        <v>9860</v>
      </c>
      <c r="Q41" s="21">
        <f>+P41+Q42</f>
        <v>9861</v>
      </c>
      <c r="R41" s="191"/>
      <c r="S41" s="21">
        <f>+Q41+S42</f>
        <v>9900</v>
      </c>
      <c r="T41" s="21">
        <f>+S41+T42</f>
        <v>9954</v>
      </c>
      <c r="U41" s="21">
        <f>+T41+U42</f>
        <v>10050</v>
      </c>
      <c r="V41" s="21">
        <f>+U41+V42</f>
        <v>10146</v>
      </c>
      <c r="W41" s="191">
        <f>V41</f>
        <v>10146</v>
      </c>
      <c r="X41" s="21">
        <f>+V41+X42</f>
        <v>10206.5</v>
      </c>
      <c r="Y41" s="21">
        <f>+X41+Y42</f>
        <v>10267</v>
      </c>
      <c r="Z41" s="21">
        <f>+Y41+Z42</f>
        <v>10327.5</v>
      </c>
      <c r="AA41" s="21">
        <f>+Z41+AA42</f>
        <v>10388</v>
      </c>
      <c r="AB41" s="191">
        <f>AA41</f>
        <v>10388</v>
      </c>
      <c r="AC41" s="21">
        <f>+AA41+AC42</f>
        <v>10460</v>
      </c>
      <c r="AD41" s="21">
        <f>+AC41+AD42</f>
        <v>10532</v>
      </c>
      <c r="AE41" s="21">
        <f>+AD41+AE42</f>
        <v>10605</v>
      </c>
      <c r="AF41" s="21">
        <f>+AE41+AF42</f>
        <v>10678</v>
      </c>
      <c r="AG41" s="191">
        <f>AF41</f>
        <v>10678</v>
      </c>
      <c r="AH41" s="21">
        <f>+AF41+AH42</f>
        <v>10764</v>
      </c>
      <c r="AI41" s="21">
        <f>+AH41+AI42</f>
        <v>10850</v>
      </c>
      <c r="AJ41" s="21">
        <f>+AI41+AJ42</f>
        <v>10936</v>
      </c>
      <c r="AK41" s="21">
        <f>+AJ41+AK42</f>
        <v>11022</v>
      </c>
      <c r="AL41" s="191">
        <f>AK41</f>
        <v>11022</v>
      </c>
      <c r="AM41" s="21">
        <f>+AK41+AM42</f>
        <v>11118</v>
      </c>
      <c r="AN41" s="21">
        <f>+AM41+AN42</f>
        <v>11214</v>
      </c>
      <c r="AO41" s="21">
        <f>+AN41+AO42</f>
        <v>11310</v>
      </c>
      <c r="AP41" s="21">
        <f>+AO41+AP42</f>
        <v>11406</v>
      </c>
      <c r="AQ41" s="191">
        <f>AP41</f>
        <v>11406</v>
      </c>
      <c r="AR41" s="21">
        <f>+AP41+AR42</f>
        <v>11502</v>
      </c>
      <c r="AS41" s="21">
        <f>+AR41+AS42</f>
        <v>11598</v>
      </c>
      <c r="AT41" s="21">
        <f>+AS41+AT42</f>
        <v>11694</v>
      </c>
      <c r="AU41" s="21">
        <f>+AT41+AU42</f>
        <v>11790</v>
      </c>
      <c r="AV41" s="191">
        <f>AU41</f>
        <v>11790</v>
      </c>
    </row>
    <row r="42" spans="2:48" outlineLevel="1" x14ac:dyDescent="0.3">
      <c r="B42" s="180" t="s">
        <v>46</v>
      </c>
      <c r="C42" s="201"/>
      <c r="D42" s="101">
        <f>+D41-9690</f>
        <v>87</v>
      </c>
      <c r="E42" s="101">
        <f>E41-D41</f>
        <v>-1</v>
      </c>
      <c r="F42" s="101">
        <f>F41-E41</f>
        <v>81</v>
      </c>
      <c r="G42" s="101">
        <f>G41-F41</f>
        <v>117</v>
      </c>
      <c r="H42" s="122">
        <f>+SUM(D42:G42)</f>
        <v>284</v>
      </c>
      <c r="I42" s="101">
        <f>I41-G41</f>
        <v>46</v>
      </c>
      <c r="J42" s="101">
        <f>J41-I41</f>
        <v>31</v>
      </c>
      <c r="K42" s="101">
        <f>K41-J41</f>
        <v>-34</v>
      </c>
      <c r="L42" s="101">
        <f>L41-K41</f>
        <v>92</v>
      </c>
      <c r="M42" s="122"/>
      <c r="N42" s="101">
        <v>-80</v>
      </c>
      <c r="O42" s="101">
        <v>-209</v>
      </c>
      <c r="P42" s="101">
        <v>40</v>
      </c>
      <c r="Q42" s="101">
        <v>1</v>
      </c>
      <c r="R42" s="26"/>
      <c r="S42" s="101">
        <v>39</v>
      </c>
      <c r="T42" s="101">
        <v>54</v>
      </c>
      <c r="U42" s="101">
        <v>96</v>
      </c>
      <c r="V42" s="33">
        <v>96</v>
      </c>
      <c r="W42" s="122">
        <f>+SUM(S42:V42)</f>
        <v>285</v>
      </c>
      <c r="X42" s="33">
        <v>60.5</v>
      </c>
      <c r="Y42" s="33">
        <v>60.5</v>
      </c>
      <c r="Z42" s="33">
        <v>60.5</v>
      </c>
      <c r="AA42" s="33">
        <v>60.5</v>
      </c>
      <c r="AB42" s="26">
        <f>+SUM(X42:AA42)</f>
        <v>242</v>
      </c>
      <c r="AC42" s="33">
        <v>72</v>
      </c>
      <c r="AD42" s="33">
        <v>72</v>
      </c>
      <c r="AE42" s="33">
        <v>73</v>
      </c>
      <c r="AF42" s="33">
        <v>73</v>
      </c>
      <c r="AG42" s="26">
        <f>+SUM(AC42:AF42)</f>
        <v>290</v>
      </c>
      <c r="AH42" s="33">
        <v>86</v>
      </c>
      <c r="AI42" s="33">
        <v>86</v>
      </c>
      <c r="AJ42" s="33">
        <v>86</v>
      </c>
      <c r="AK42" s="33">
        <v>86</v>
      </c>
      <c r="AL42" s="26">
        <f>+SUM(AH42:AK42)</f>
        <v>344</v>
      </c>
      <c r="AM42" s="33">
        <v>96</v>
      </c>
      <c r="AN42" s="33">
        <v>96</v>
      </c>
      <c r="AO42" s="33">
        <v>96</v>
      </c>
      <c r="AP42" s="33">
        <v>96</v>
      </c>
      <c r="AQ42" s="26">
        <f>+SUM(AM42:AP42)</f>
        <v>384</v>
      </c>
      <c r="AR42" s="33">
        <v>96</v>
      </c>
      <c r="AS42" s="33">
        <v>96</v>
      </c>
      <c r="AT42" s="33">
        <v>96</v>
      </c>
      <c r="AU42" s="33">
        <v>96</v>
      </c>
      <c r="AV42" s="26">
        <f>+SUM(AR42:AU42)</f>
        <v>384</v>
      </c>
    </row>
    <row r="43" spans="2:48" outlineLevel="1" x14ac:dyDescent="0.3">
      <c r="B43" s="180" t="s">
        <v>201</v>
      </c>
      <c r="C43" s="201"/>
      <c r="D43" s="101"/>
      <c r="E43" s="101">
        <f>AVERAGE(D41,E41)</f>
        <v>9776.5</v>
      </c>
      <c r="F43" s="101">
        <f t="shared" ref="F43:G43" si="84">AVERAGE(E41,F41)</f>
        <v>9816.5</v>
      </c>
      <c r="G43" s="101">
        <f t="shared" si="84"/>
        <v>9915.5</v>
      </c>
      <c r="H43" s="122"/>
      <c r="I43" s="101">
        <f>AVERAGE(G41,I41)</f>
        <v>9997</v>
      </c>
      <c r="J43" s="101">
        <f>AVERAGE(I41,J41)</f>
        <v>10035.5</v>
      </c>
      <c r="K43" s="101">
        <f t="shared" ref="K43:L43" si="85">AVERAGE(J41,K41)</f>
        <v>10034</v>
      </c>
      <c r="L43" s="101">
        <f t="shared" si="85"/>
        <v>10063</v>
      </c>
      <c r="M43" s="122"/>
      <c r="N43" s="101">
        <f>AVERAGE(L41,N41)</f>
        <v>10069</v>
      </c>
      <c r="O43" s="101">
        <f>AVERAGE(N41,O41)</f>
        <v>9924.5</v>
      </c>
      <c r="P43" s="101">
        <f t="shared" ref="P43:Q43" si="86">AVERAGE(O41,P41)</f>
        <v>9840</v>
      </c>
      <c r="Q43" s="101">
        <f t="shared" si="86"/>
        <v>9860.5</v>
      </c>
      <c r="R43" s="122"/>
      <c r="S43" s="101">
        <f>AVERAGE(Q41,S41)</f>
        <v>9880.5</v>
      </c>
      <c r="T43" s="101">
        <f>AVERAGE(S41,T41)</f>
        <v>9927</v>
      </c>
      <c r="U43" s="101">
        <f t="shared" ref="U43:V43" si="87">AVERAGE(T41,U41)</f>
        <v>10002</v>
      </c>
      <c r="V43" s="101">
        <f t="shared" si="87"/>
        <v>10098</v>
      </c>
      <c r="W43" s="122"/>
      <c r="X43" s="101">
        <f>AVERAGE(V41,X41)</f>
        <v>10176.25</v>
      </c>
      <c r="Y43" s="101">
        <f>AVERAGE(X41,Y41)</f>
        <v>10236.75</v>
      </c>
      <c r="Z43" s="101">
        <f t="shared" ref="Z43:AA43" si="88">AVERAGE(Y41,Z41)</f>
        <v>10297.25</v>
      </c>
      <c r="AA43" s="101">
        <f t="shared" si="88"/>
        <v>10357.75</v>
      </c>
      <c r="AB43" s="122"/>
      <c r="AC43" s="101">
        <f>AVERAGE(AA41,AC41)</f>
        <v>10424</v>
      </c>
      <c r="AD43" s="101">
        <f>AVERAGE(AC41,AD41)</f>
        <v>10496</v>
      </c>
      <c r="AE43" s="101">
        <f t="shared" ref="AE43" si="89">AVERAGE(AD41,AE41)</f>
        <v>10568.5</v>
      </c>
      <c r="AF43" s="101">
        <f t="shared" ref="AF43" si="90">AVERAGE(AE41,AF41)</f>
        <v>10641.5</v>
      </c>
      <c r="AG43" s="122"/>
      <c r="AH43" s="101">
        <f>AVERAGE(AF41,AH41)</f>
        <v>10721</v>
      </c>
      <c r="AI43" s="101">
        <f>AVERAGE(AH41,AI41)</f>
        <v>10807</v>
      </c>
      <c r="AJ43" s="101">
        <f t="shared" ref="AJ43" si="91">AVERAGE(AI41,AJ41)</f>
        <v>10893</v>
      </c>
      <c r="AK43" s="101">
        <f t="shared" ref="AK43" si="92">AVERAGE(AJ41,AK41)</f>
        <v>10979</v>
      </c>
      <c r="AL43" s="122"/>
      <c r="AM43" s="101">
        <f>AVERAGE(AK41,AM41)</f>
        <v>11070</v>
      </c>
      <c r="AN43" s="101">
        <f>AVERAGE(AM41,AN41)</f>
        <v>11166</v>
      </c>
      <c r="AO43" s="101">
        <f t="shared" ref="AO43" si="93">AVERAGE(AN41,AO41)</f>
        <v>11262</v>
      </c>
      <c r="AP43" s="101">
        <f t="shared" ref="AP43" si="94">AVERAGE(AO41,AP41)</f>
        <v>11358</v>
      </c>
      <c r="AQ43" s="122"/>
      <c r="AR43" s="101">
        <f>AVERAGE(AP41,AR41)</f>
        <v>11454</v>
      </c>
      <c r="AS43" s="101">
        <f>AVERAGE(AR41,AS41)</f>
        <v>11550</v>
      </c>
      <c r="AT43" s="101">
        <f t="shared" ref="AT43" si="95">AVERAGE(AS41,AT41)</f>
        <v>11646</v>
      </c>
      <c r="AU43" s="101">
        <f t="shared" ref="AU43" si="96">AVERAGE(AT41,AU41)</f>
        <v>11742</v>
      </c>
      <c r="AV43" s="122"/>
    </row>
    <row r="44" spans="2:48" s="8" customFormat="1" outlineLevel="1" x14ac:dyDescent="0.3">
      <c r="B44" s="180" t="s">
        <v>205</v>
      </c>
      <c r="C44" s="206"/>
      <c r="D44" s="43"/>
      <c r="E44" s="43">
        <f>+E45/E43</f>
        <v>0.39376054825346496</v>
      </c>
      <c r="F44" s="43">
        <f>+F45/F43</f>
        <v>0.42603779351092547</v>
      </c>
      <c r="G44" s="43">
        <f>+G45/G43</f>
        <v>0.4199687358176592</v>
      </c>
      <c r="H44" s="97"/>
      <c r="I44" s="43">
        <f>+I45/I43</f>
        <v>0.44723417025107531</v>
      </c>
      <c r="J44" s="43">
        <f>+J45/J43</f>
        <v>0.38499327387773402</v>
      </c>
      <c r="K44" s="43">
        <f>+K45/K43</f>
        <v>0.25601953358580826</v>
      </c>
      <c r="L44" s="43">
        <f>+L45/L43</f>
        <v>0.3851038457716387</v>
      </c>
      <c r="M44" s="97"/>
      <c r="N44" s="43">
        <f>+N45/N43</f>
        <v>0.42554374813784884</v>
      </c>
      <c r="O44" s="43">
        <f>+O45/O43</f>
        <v>0.43008715804322634</v>
      </c>
      <c r="P44" s="43">
        <f>+P45/P43</f>
        <v>0.50099593495934958</v>
      </c>
      <c r="Q44" s="43">
        <f>+Q45/Q43</f>
        <v>0.53286344505856698</v>
      </c>
      <c r="R44" s="97"/>
      <c r="S44" s="43">
        <f>+S45/S43</f>
        <v>0.52771620869389202</v>
      </c>
      <c r="T44" s="43">
        <f>+T45/T43</f>
        <v>0.49725999798529263</v>
      </c>
      <c r="U44" s="43">
        <f>+U45/U43</f>
        <v>0.55120975804839034</v>
      </c>
      <c r="V44" s="219">
        <f>Q44*1.01</f>
        <v>0.5381920795091526</v>
      </c>
      <c r="W44" s="132"/>
      <c r="X44" s="219">
        <f>S44*1.07</f>
        <v>0.5646563433024645</v>
      </c>
      <c r="Y44" s="219">
        <f>T44*1.07</f>
        <v>0.53206819784426318</v>
      </c>
      <c r="Z44" s="219">
        <f>U44*1.05</f>
        <v>0.57877024595080984</v>
      </c>
      <c r="AA44" s="219">
        <f>V44*1.05</f>
        <v>0.56510168348461021</v>
      </c>
      <c r="AB44" s="97"/>
      <c r="AC44" s="219">
        <f>X44*1.05</f>
        <v>0.59288916046758777</v>
      </c>
      <c r="AD44" s="219">
        <f>Y44*1.05</f>
        <v>0.55867160773647639</v>
      </c>
      <c r="AE44" s="219">
        <f>Z44*1.05</f>
        <v>0.60770875824835036</v>
      </c>
      <c r="AF44" s="219">
        <f>AA44*1.05</f>
        <v>0.59335676765884071</v>
      </c>
      <c r="AG44" s="97"/>
      <c r="AH44" s="219">
        <f>AC44*1.07</f>
        <v>0.63439140170031894</v>
      </c>
      <c r="AI44" s="219">
        <f>AD44*1.07</f>
        <v>0.59777862027802975</v>
      </c>
      <c r="AJ44" s="219">
        <f>AE44*1.07</f>
        <v>0.65024837132573488</v>
      </c>
      <c r="AK44" s="219">
        <f>AF44*1.07</f>
        <v>0.63489174139495963</v>
      </c>
      <c r="AL44" s="97"/>
      <c r="AM44" s="219">
        <f>AH44*1.05</f>
        <v>0.66611097178533496</v>
      </c>
      <c r="AN44" s="219">
        <f>AI44*1.05</f>
        <v>0.6276675512919313</v>
      </c>
      <c r="AO44" s="219">
        <f>AJ44*1.05</f>
        <v>0.6827607898920216</v>
      </c>
      <c r="AP44" s="219">
        <f>AK44*1.05</f>
        <v>0.66663632846470766</v>
      </c>
      <c r="AQ44" s="97"/>
      <c r="AR44" s="219">
        <f>AM44*1.03</f>
        <v>0.68609430093889501</v>
      </c>
      <c r="AS44" s="219">
        <f>AN44*1.03</f>
        <v>0.64649757783068929</v>
      </c>
      <c r="AT44" s="219">
        <f>AO44*1.03</f>
        <v>0.70324361358878229</v>
      </c>
      <c r="AU44" s="219">
        <f>AP44*1.03</f>
        <v>0.68663541831864894</v>
      </c>
      <c r="AV44" s="97"/>
    </row>
    <row r="45" spans="2:48" s="8" customFormat="1" outlineLevel="1" x14ac:dyDescent="0.3">
      <c r="B45" s="587" t="s">
        <v>176</v>
      </c>
      <c r="C45" s="588"/>
      <c r="D45" s="50">
        <v>4092.2</v>
      </c>
      <c r="E45" s="50">
        <v>3849.6</v>
      </c>
      <c r="F45" s="50">
        <v>4182.2</v>
      </c>
      <c r="G45" s="50">
        <v>4164.2</v>
      </c>
      <c r="H45" s="97">
        <f>SUM(D45:G45)</f>
        <v>16288.2</v>
      </c>
      <c r="I45" s="50">
        <v>4471</v>
      </c>
      <c r="J45" s="50">
        <v>3863.6</v>
      </c>
      <c r="K45" s="103">
        <v>2568.9</v>
      </c>
      <c r="L45" s="50">
        <v>3875.3</v>
      </c>
      <c r="M45" s="97"/>
      <c r="N45" s="50">
        <v>4284.8</v>
      </c>
      <c r="O45" s="50">
        <v>4268.3999999999996</v>
      </c>
      <c r="P45" s="50">
        <v>4929.8</v>
      </c>
      <c r="Q45" s="103">
        <v>5254.3</v>
      </c>
      <c r="R45" s="132">
        <f>SUM(N45:Q45)</f>
        <v>18737.3</v>
      </c>
      <c r="S45" s="50">
        <v>5214.1000000000004</v>
      </c>
      <c r="T45" s="50">
        <v>4936.3</v>
      </c>
      <c r="U45" s="50">
        <v>5513.2</v>
      </c>
      <c r="V45" s="50">
        <f>V44*V43</f>
        <v>5434.6636188834227</v>
      </c>
      <c r="W45" s="132">
        <f>SUM(S45:V45)</f>
        <v>21098.263618883426</v>
      </c>
      <c r="X45" s="50">
        <f>X44*X43</f>
        <v>5746.0841135317041</v>
      </c>
      <c r="Y45" s="50">
        <f>Y44*Y43</f>
        <v>5446.6491242822613</v>
      </c>
      <c r="Z45" s="50">
        <f>Z44*Z43</f>
        <v>5959.741915116977</v>
      </c>
      <c r="AA45" s="50">
        <f>AA44*AA43</f>
        <v>5853.1819621127215</v>
      </c>
      <c r="AB45" s="97">
        <f>SUM(X45:AA45)</f>
        <v>23005.657115043665</v>
      </c>
      <c r="AC45" s="50">
        <f>AC44*AC43</f>
        <v>6180.2766087141354</v>
      </c>
      <c r="AD45" s="50">
        <f>AD44*AD43</f>
        <v>5863.8171948020563</v>
      </c>
      <c r="AE45" s="50">
        <f>AE44*AE43</f>
        <v>6422.5700115476911</v>
      </c>
      <c r="AF45" s="50">
        <f>AF44*AF43</f>
        <v>6314.2060430415531</v>
      </c>
      <c r="AG45" s="97">
        <f>SUM(AC45:AF45)</f>
        <v>24780.869858105434</v>
      </c>
      <c r="AH45" s="50">
        <f>AH44*AH43</f>
        <v>6801.3102176291195</v>
      </c>
      <c r="AI45" s="50">
        <f>AI44*AI43</f>
        <v>6460.1935493446672</v>
      </c>
      <c r="AJ45" s="50">
        <f>AJ44*AJ43</f>
        <v>7083.1555088512296</v>
      </c>
      <c r="AK45" s="50">
        <f>AK44*AK43</f>
        <v>6970.4764287752614</v>
      </c>
      <c r="AL45" s="97">
        <f>SUM(AH45:AK45)</f>
        <v>27315.135704600278</v>
      </c>
      <c r="AM45" s="50">
        <f>AM44*AM43</f>
        <v>7373.8484576636583</v>
      </c>
      <c r="AN45" s="50">
        <f>AN44*AN43</f>
        <v>7008.5358777257052</v>
      </c>
      <c r="AO45" s="50">
        <f>AO44*AO43</f>
        <v>7689.2520157639474</v>
      </c>
      <c r="AP45" s="50">
        <f>AP44*AP43</f>
        <v>7571.6554187021493</v>
      </c>
      <c r="AQ45" s="97">
        <f>SUM(AM45:AP45)</f>
        <v>29643.291769855463</v>
      </c>
      <c r="AR45" s="50">
        <f>AR44*AR43</f>
        <v>7858.5241229541034</v>
      </c>
      <c r="AS45" s="50">
        <f>AS44*AS43</f>
        <v>7467.0470239444612</v>
      </c>
      <c r="AT45" s="50">
        <f>AT44*AT43</f>
        <v>8189.9751238549588</v>
      </c>
      <c r="AU45" s="50">
        <f>AU44*AU43</f>
        <v>8062.4730818975759</v>
      </c>
      <c r="AV45" s="97">
        <f>SUM(AR45:AU45)</f>
        <v>31578.019352651099</v>
      </c>
    </row>
    <row r="46" spans="2:48" s="8" customFormat="1" outlineLevel="1" x14ac:dyDescent="0.3">
      <c r="B46" s="38" t="s">
        <v>200</v>
      </c>
      <c r="C46" s="206"/>
      <c r="D46" s="43"/>
      <c r="E46" s="43"/>
      <c r="F46" s="43"/>
      <c r="G46" s="43"/>
      <c r="H46" s="97"/>
      <c r="I46" s="27">
        <f>I45/D45-1</f>
        <v>9.2566345730902722E-2</v>
      </c>
      <c r="J46" s="27">
        <f>J45/E45-1</f>
        <v>3.6367414796343311E-3</v>
      </c>
      <c r="K46" s="27">
        <f>K45/F45-1</f>
        <v>-0.38575390942566112</v>
      </c>
      <c r="L46" s="27">
        <f>L45/G45-1</f>
        <v>-6.9377071226165765E-2</v>
      </c>
      <c r="M46" s="97"/>
      <c r="N46" s="27">
        <f>N45/I45-1</f>
        <v>-4.1646164169089617E-2</v>
      </c>
      <c r="O46" s="27">
        <f>O45/J45-1</f>
        <v>0.10477275080236037</v>
      </c>
      <c r="P46" s="27">
        <f>P45/K45-1</f>
        <v>0.91903149207832135</v>
      </c>
      <c r="Q46" s="27">
        <f>Q45/L45-1</f>
        <v>0.35584341857404578</v>
      </c>
      <c r="R46" s="97"/>
      <c r="S46" s="27">
        <f>S45/N45-1</f>
        <v>0.21688293502613898</v>
      </c>
      <c r="T46" s="27">
        <f>T45/O45-1</f>
        <v>0.15647549433042851</v>
      </c>
      <c r="U46" s="27">
        <f>U45/P45-1</f>
        <v>0.11834151486875721</v>
      </c>
      <c r="V46" s="27">
        <f>V45/Q45-1</f>
        <v>3.4326859692713096E-2</v>
      </c>
      <c r="W46" s="98">
        <f>W45/R45-1</f>
        <v>0.12600340598076709</v>
      </c>
      <c r="X46" s="27">
        <f t="shared" ref="X46:AV46" si="97">X45/S45-1</f>
        <v>0.10202798441374417</v>
      </c>
      <c r="Y46" s="27">
        <f t="shared" si="97"/>
        <v>0.10338697491689341</v>
      </c>
      <c r="Z46" s="27">
        <f t="shared" si="97"/>
        <v>8.0995050989802087E-2</v>
      </c>
      <c r="AA46" s="27">
        <f t="shared" si="97"/>
        <v>7.700906120023765E-2</v>
      </c>
      <c r="AB46" s="98">
        <f t="shared" si="97"/>
        <v>9.0405235739545731E-2</v>
      </c>
      <c r="AC46" s="27">
        <f t="shared" si="97"/>
        <v>7.5563198624247763E-2</v>
      </c>
      <c r="AD46" s="27">
        <f t="shared" si="97"/>
        <v>7.6591691699025688E-2</v>
      </c>
      <c r="AE46" s="27">
        <f t="shared" si="97"/>
        <v>7.7659083735948986E-2</v>
      </c>
      <c r="AF46" s="27">
        <f t="shared" si="97"/>
        <v>7.8764693104197203E-2</v>
      </c>
      <c r="AG46" s="98">
        <f t="shared" si="97"/>
        <v>7.716418332171604E-2</v>
      </c>
      <c r="AH46" s="27">
        <f t="shared" si="97"/>
        <v>0.10048637759017653</v>
      </c>
      <c r="AI46" s="27">
        <f t="shared" si="97"/>
        <v>0.10170445884146329</v>
      </c>
      <c r="AJ46" s="27">
        <f t="shared" si="97"/>
        <v>0.10285376354260278</v>
      </c>
      <c r="AK46" s="27">
        <f t="shared" si="97"/>
        <v>0.10393553540384359</v>
      </c>
      <c r="AL46" s="98">
        <f t="shared" si="97"/>
        <v>0.10226702537102117</v>
      </c>
      <c r="AM46" s="27">
        <f t="shared" si="97"/>
        <v>8.4180580169760377E-2</v>
      </c>
      <c r="AN46" s="27">
        <f t="shared" si="97"/>
        <v>8.4880170260016818E-2</v>
      </c>
      <c r="AO46" s="27">
        <f t="shared" si="97"/>
        <v>8.5568713852933076E-2</v>
      </c>
      <c r="AP46" s="27">
        <f t="shared" si="97"/>
        <v>8.624647053465706E-2</v>
      </c>
      <c r="AQ46" s="98">
        <f t="shared" si="97"/>
        <v>8.5233186846774167E-2</v>
      </c>
      <c r="AR46" s="27">
        <f t="shared" si="97"/>
        <v>6.5728997289972835E-2</v>
      </c>
      <c r="AS46" s="27">
        <f t="shared" si="97"/>
        <v>6.5421816227834606E-2</v>
      </c>
      <c r="AT46" s="27">
        <f t="shared" si="97"/>
        <v>6.5119872136387924E-2</v>
      </c>
      <c r="AU46" s="27">
        <f t="shared" si="97"/>
        <v>6.4823032223983112E-2</v>
      </c>
      <c r="AV46" s="98">
        <f t="shared" si="97"/>
        <v>6.5266961504021559E-2</v>
      </c>
    </row>
    <row r="47" spans="2:48" outlineLevel="1" x14ac:dyDescent="0.3">
      <c r="B47" s="220" t="s">
        <v>44</v>
      </c>
      <c r="C47" s="221"/>
      <c r="D47" s="222">
        <v>0.04</v>
      </c>
      <c r="E47" s="222">
        <v>0</v>
      </c>
      <c r="F47" s="222">
        <v>0.03</v>
      </c>
      <c r="G47" s="222">
        <v>0.03</v>
      </c>
      <c r="H47" s="223"/>
      <c r="I47" s="222">
        <v>0.02</v>
      </c>
      <c r="J47" s="222">
        <v>-7.0000000000000007E-2</v>
      </c>
      <c r="K47" s="222">
        <v>-0.53</v>
      </c>
      <c r="L47" s="224">
        <v>-0.25</v>
      </c>
      <c r="M47" s="223"/>
      <c r="N47" s="222">
        <v>-0.21</v>
      </c>
      <c r="O47" s="222">
        <v>-0.1</v>
      </c>
      <c r="P47" s="222">
        <v>0.82</v>
      </c>
      <c r="Q47" s="222">
        <v>0.18</v>
      </c>
      <c r="R47" s="225"/>
      <c r="S47" s="224">
        <v>0.12</v>
      </c>
      <c r="T47" s="224">
        <v>0.05</v>
      </c>
      <c r="U47" s="224">
        <v>0.01</v>
      </c>
      <c r="V47" s="224"/>
      <c r="W47" s="223"/>
      <c r="X47" s="224"/>
      <c r="Y47" s="224"/>
      <c r="Z47" s="224"/>
      <c r="AA47" s="224"/>
      <c r="AB47" s="376">
        <f>AB59/W59-1</f>
        <v>9.1365004210739231E-2</v>
      </c>
      <c r="AC47" s="224"/>
      <c r="AD47" s="224"/>
      <c r="AE47" s="224"/>
      <c r="AF47" s="224"/>
      <c r="AG47" s="225"/>
      <c r="AH47" s="224"/>
      <c r="AI47" s="224"/>
      <c r="AJ47" s="224"/>
      <c r="AK47" s="224"/>
      <c r="AL47" s="225"/>
      <c r="AM47" s="224"/>
      <c r="AN47" s="224"/>
      <c r="AO47" s="224"/>
      <c r="AP47" s="224"/>
      <c r="AQ47" s="225"/>
      <c r="AR47" s="224"/>
      <c r="AS47" s="224"/>
      <c r="AT47" s="224"/>
      <c r="AU47" s="224"/>
      <c r="AV47" s="225"/>
    </row>
    <row r="48" spans="2:48" outlineLevel="1" x14ac:dyDescent="0.3">
      <c r="B48" s="38" t="s">
        <v>43</v>
      </c>
      <c r="C48" s="207"/>
      <c r="D48" s="226">
        <v>0</v>
      </c>
      <c r="E48" s="226">
        <v>0.04</v>
      </c>
      <c r="F48" s="226">
        <v>0.04</v>
      </c>
      <c r="G48" s="226">
        <v>0.03</v>
      </c>
      <c r="H48" s="217"/>
      <c r="I48" s="226">
        <v>0.03</v>
      </c>
      <c r="J48" s="226">
        <v>0.05</v>
      </c>
      <c r="K48" s="226">
        <v>0.27</v>
      </c>
      <c r="L48" s="227">
        <v>0.21</v>
      </c>
      <c r="M48" s="217"/>
      <c r="N48" s="226">
        <v>0.2</v>
      </c>
      <c r="O48" s="226">
        <v>0.22</v>
      </c>
      <c r="P48" s="226">
        <v>0.01</v>
      </c>
      <c r="Q48" s="226">
        <v>0.03</v>
      </c>
      <c r="R48" s="218"/>
      <c r="S48" s="227">
        <v>0.06</v>
      </c>
      <c r="T48" s="227">
        <v>7.0000000000000007E-2</v>
      </c>
      <c r="U48" s="228">
        <v>0.08</v>
      </c>
      <c r="V48" s="228"/>
      <c r="W48" s="148"/>
      <c r="X48" s="228"/>
      <c r="Y48" s="228"/>
      <c r="Z48" s="228"/>
      <c r="AA48" s="228"/>
      <c r="AB48" s="362"/>
      <c r="AC48" s="228"/>
      <c r="AD48" s="228"/>
      <c r="AE48" s="228"/>
      <c r="AF48" s="228"/>
      <c r="AG48" s="60"/>
      <c r="AH48" s="228"/>
      <c r="AI48" s="228"/>
      <c r="AJ48" s="228"/>
      <c r="AK48" s="228"/>
      <c r="AL48" s="60"/>
      <c r="AM48" s="228"/>
      <c r="AN48" s="228"/>
      <c r="AO48" s="228"/>
      <c r="AP48" s="228"/>
      <c r="AQ48" s="60"/>
      <c r="AR48" s="228"/>
      <c r="AS48" s="228"/>
      <c r="AT48" s="228"/>
      <c r="AU48" s="228"/>
      <c r="AV48" s="60"/>
    </row>
    <row r="49" spans="2:48" s="8" customFormat="1" outlineLevel="1" x14ac:dyDescent="0.3">
      <c r="B49" s="229" t="s">
        <v>45</v>
      </c>
      <c r="C49" s="230"/>
      <c r="D49" s="231">
        <v>0.04</v>
      </c>
      <c r="E49" s="231">
        <v>4.2999999999999997E-2</v>
      </c>
      <c r="F49" s="231">
        <v>7.0000000000000007E-2</v>
      </c>
      <c r="G49" s="231">
        <v>0.06</v>
      </c>
      <c r="H49" s="232"/>
      <c r="I49" s="231">
        <v>0.06</v>
      </c>
      <c r="J49" s="231">
        <v>-0.03</v>
      </c>
      <c r="K49" s="231">
        <v>-0.41</v>
      </c>
      <c r="L49" s="233">
        <v>-0.09</v>
      </c>
      <c r="M49" s="234"/>
      <c r="N49" s="233">
        <v>-0.06</v>
      </c>
      <c r="O49" s="233">
        <v>0.09</v>
      </c>
      <c r="P49" s="231">
        <v>0.84</v>
      </c>
      <c r="Q49" s="231">
        <v>0.22</v>
      </c>
      <c r="R49" s="235"/>
      <c r="S49" s="233">
        <v>0.18</v>
      </c>
      <c r="T49" s="233">
        <v>0.12</v>
      </c>
      <c r="U49" s="231">
        <v>0.09</v>
      </c>
      <c r="V49" s="231"/>
      <c r="W49" s="232"/>
      <c r="X49" s="233"/>
      <c r="Y49" s="233"/>
      <c r="Z49" s="233"/>
      <c r="AA49" s="233"/>
      <c r="AB49" s="361"/>
      <c r="AC49" s="233"/>
      <c r="AD49" s="233"/>
      <c r="AE49" s="233"/>
      <c r="AF49" s="233"/>
      <c r="AG49" s="232"/>
      <c r="AH49" s="233"/>
      <c r="AI49" s="233"/>
      <c r="AJ49" s="233"/>
      <c r="AK49" s="233"/>
      <c r="AL49" s="232"/>
      <c r="AM49" s="233"/>
      <c r="AN49" s="233"/>
      <c r="AO49" s="233"/>
      <c r="AP49" s="233"/>
      <c r="AQ49" s="232"/>
      <c r="AR49" s="233"/>
      <c r="AS49" s="233"/>
      <c r="AT49" s="233"/>
      <c r="AU49" s="233"/>
      <c r="AV49" s="232"/>
    </row>
    <row r="50" spans="2:48" s="8" customFormat="1" outlineLevel="1" x14ac:dyDescent="0.3">
      <c r="B50" s="597" t="s">
        <v>177</v>
      </c>
      <c r="C50" s="598"/>
      <c r="D50" s="67">
        <v>7876</v>
      </c>
      <c r="E50" s="67">
        <v>7943</v>
      </c>
      <c r="F50" s="117">
        <v>7996</v>
      </c>
      <c r="G50" s="67">
        <v>8093</v>
      </c>
      <c r="H50" s="68"/>
      <c r="I50" s="67">
        <v>8183</v>
      </c>
      <c r="J50" s="67">
        <v>8220</v>
      </c>
      <c r="K50" s="67">
        <v>8218</v>
      </c>
      <c r="L50" s="67">
        <v>6831</v>
      </c>
      <c r="M50" s="68"/>
      <c r="N50" s="67">
        <v>8279</v>
      </c>
      <c r="O50" s="67">
        <f>+N50+O51</f>
        <v>8300</v>
      </c>
      <c r="P50" s="67">
        <f t="shared" ref="P50" si="98">+O50+P51</f>
        <v>8315</v>
      </c>
      <c r="Q50" s="67">
        <v>6965</v>
      </c>
      <c r="R50" s="192"/>
      <c r="S50" s="67">
        <f>+Q50+S51</f>
        <v>6988</v>
      </c>
      <c r="T50" s="67">
        <f>+S50+T51</f>
        <v>6972</v>
      </c>
      <c r="U50" s="67">
        <f t="shared" ref="U50:V50" si="99">+T50+U51</f>
        <v>7000</v>
      </c>
      <c r="V50" s="67">
        <f t="shared" si="99"/>
        <v>7028</v>
      </c>
      <c r="W50" s="253">
        <f>V50</f>
        <v>7028</v>
      </c>
      <c r="X50" s="67">
        <f>+V50+X51</f>
        <v>7096</v>
      </c>
      <c r="Y50" s="67">
        <f>+X50+Y51</f>
        <v>7164</v>
      </c>
      <c r="Z50" s="67">
        <f t="shared" ref="Z50:AA50" si="100">+Y50+Z51</f>
        <v>7232</v>
      </c>
      <c r="AA50" s="67">
        <f t="shared" si="100"/>
        <v>7301</v>
      </c>
      <c r="AB50" s="192">
        <f>AA50</f>
        <v>7301</v>
      </c>
      <c r="AC50" s="67">
        <f>+AA50+AC51</f>
        <v>7383</v>
      </c>
      <c r="AD50" s="67">
        <f>+AC50+AD51</f>
        <v>7465</v>
      </c>
      <c r="AE50" s="67">
        <f t="shared" ref="AE50" si="101">+AD50+AE51</f>
        <v>7547</v>
      </c>
      <c r="AF50" s="67">
        <f t="shared" ref="AF50" si="102">+AE50+AF51</f>
        <v>7630</v>
      </c>
      <c r="AG50" s="192">
        <f>AF50</f>
        <v>7630</v>
      </c>
      <c r="AH50" s="67">
        <f>+AF50+AH51</f>
        <v>7727</v>
      </c>
      <c r="AI50" s="67">
        <f>+AH50+AI51</f>
        <v>7824</v>
      </c>
      <c r="AJ50" s="67">
        <f t="shared" ref="AJ50" si="103">+AI50+AJ51</f>
        <v>7921</v>
      </c>
      <c r="AK50" s="67">
        <f t="shared" ref="AK50" si="104">+AJ50+AK51</f>
        <v>8018</v>
      </c>
      <c r="AL50" s="192">
        <f>AK50</f>
        <v>8018</v>
      </c>
      <c r="AM50" s="67">
        <f>+AK50+AM51</f>
        <v>8046</v>
      </c>
      <c r="AN50" s="67">
        <f>+AM50+AN51</f>
        <v>8074</v>
      </c>
      <c r="AO50" s="67">
        <f t="shared" ref="AO50" si="105">+AN50+AO51</f>
        <v>8102</v>
      </c>
      <c r="AP50" s="67">
        <f t="shared" ref="AP50" si="106">+AO50+AP51</f>
        <v>8130</v>
      </c>
      <c r="AQ50" s="192">
        <f>AP50</f>
        <v>8130</v>
      </c>
      <c r="AR50" s="67">
        <f>+AP50+AR51</f>
        <v>8158</v>
      </c>
      <c r="AS50" s="67">
        <f>+AR50+AS51</f>
        <v>8186</v>
      </c>
      <c r="AT50" s="67">
        <f t="shared" ref="AT50" si="107">+AS50+AT51</f>
        <v>8214</v>
      </c>
      <c r="AU50" s="67">
        <f t="shared" ref="AU50" si="108">+AT50+AU51</f>
        <v>8242</v>
      </c>
      <c r="AV50" s="192">
        <f>AU50</f>
        <v>8242</v>
      </c>
    </row>
    <row r="51" spans="2:48" outlineLevel="1" x14ac:dyDescent="0.3">
      <c r="B51" s="180" t="s">
        <v>47</v>
      </c>
      <c r="C51" s="201"/>
      <c r="D51" s="101">
        <f>+D50-7770</f>
        <v>106</v>
      </c>
      <c r="E51" s="101">
        <f>E50-D50</f>
        <v>67</v>
      </c>
      <c r="F51" s="101">
        <f t="shared" ref="F51:G51" si="109">F50-E50</f>
        <v>53</v>
      </c>
      <c r="G51" s="101">
        <f t="shared" si="109"/>
        <v>97</v>
      </c>
      <c r="H51" s="122">
        <f>+SUM(D51:G51)</f>
        <v>323</v>
      </c>
      <c r="I51" s="101">
        <f>I50-G50</f>
        <v>90</v>
      </c>
      <c r="J51" s="101">
        <f t="shared" ref="J51:K51" si="110">J50-I50</f>
        <v>37</v>
      </c>
      <c r="K51" s="101">
        <f t="shared" si="110"/>
        <v>-2</v>
      </c>
      <c r="L51" s="101">
        <v>32</v>
      </c>
      <c r="M51" s="122"/>
      <c r="N51" s="101">
        <v>34</v>
      </c>
      <c r="O51" s="101">
        <v>21</v>
      </c>
      <c r="P51" s="101">
        <v>15</v>
      </c>
      <c r="Q51" s="101">
        <v>73</v>
      </c>
      <c r="R51" s="26"/>
      <c r="S51" s="101">
        <v>23</v>
      </c>
      <c r="T51" s="101">
        <v>-16</v>
      </c>
      <c r="U51" s="101">
        <v>28</v>
      </c>
      <c r="V51" s="33">
        <v>28</v>
      </c>
      <c r="W51" s="122">
        <f>+SUM(S51:V51)</f>
        <v>63</v>
      </c>
      <c r="X51" s="33">
        <v>68</v>
      </c>
      <c r="Y51" s="33">
        <v>68</v>
      </c>
      <c r="Z51" s="33">
        <v>68</v>
      </c>
      <c r="AA51" s="33">
        <v>69</v>
      </c>
      <c r="AB51" s="26">
        <f>+SUM(X51:AA51)</f>
        <v>273</v>
      </c>
      <c r="AC51" s="33">
        <v>82</v>
      </c>
      <c r="AD51" s="33">
        <v>82</v>
      </c>
      <c r="AE51" s="33">
        <v>82</v>
      </c>
      <c r="AF51" s="33">
        <v>83</v>
      </c>
      <c r="AG51" s="26">
        <f>+SUM(AC51:AF51)</f>
        <v>329</v>
      </c>
      <c r="AH51" s="33">
        <v>97</v>
      </c>
      <c r="AI51" s="33">
        <v>97</v>
      </c>
      <c r="AJ51" s="33">
        <v>97</v>
      </c>
      <c r="AK51" s="33">
        <v>97</v>
      </c>
      <c r="AL51" s="26">
        <f>+SUM(AH51:AK51)</f>
        <v>388</v>
      </c>
      <c r="AM51" s="33">
        <v>28</v>
      </c>
      <c r="AN51" s="33">
        <v>28</v>
      </c>
      <c r="AO51" s="33">
        <v>28</v>
      </c>
      <c r="AP51" s="33">
        <v>28</v>
      </c>
      <c r="AQ51" s="26">
        <f>+SUM(AM51:AP51)</f>
        <v>112</v>
      </c>
      <c r="AR51" s="33">
        <v>28</v>
      </c>
      <c r="AS51" s="33">
        <v>28</v>
      </c>
      <c r="AT51" s="33">
        <v>28</v>
      </c>
      <c r="AU51" s="33">
        <v>28</v>
      </c>
      <c r="AV51" s="26">
        <f>+SUM(AR51:AU51)</f>
        <v>112</v>
      </c>
    </row>
    <row r="52" spans="2:48" outlineLevel="1" x14ac:dyDescent="0.3">
      <c r="B52" s="180" t="s">
        <v>49</v>
      </c>
      <c r="C52" s="201"/>
      <c r="D52" s="16">
        <f>AVERAGE(D50,7770)</f>
        <v>7823</v>
      </c>
      <c r="E52" s="16">
        <f>AVERAGE(E50,D50)</f>
        <v>7909.5</v>
      </c>
      <c r="F52" s="16">
        <f t="shared" ref="F52:G52" si="111">AVERAGE(F50,E50)</f>
        <v>7969.5</v>
      </c>
      <c r="G52" s="16">
        <f t="shared" si="111"/>
        <v>8044.5</v>
      </c>
      <c r="H52" s="26"/>
      <c r="I52" s="16">
        <f>AVERAGE(I50,G50)</f>
        <v>8138</v>
      </c>
      <c r="J52" s="16">
        <f>AVERAGE(J50,I50)</f>
        <v>8201.5</v>
      </c>
      <c r="K52" s="16">
        <f t="shared" ref="K52:L52" si="112">AVERAGE(K50,J50)</f>
        <v>8219</v>
      </c>
      <c r="L52" s="16">
        <f t="shared" si="112"/>
        <v>7524.5</v>
      </c>
      <c r="M52" s="6"/>
      <c r="N52" s="16">
        <f>AVERAGE(N50,L50)</f>
        <v>7555</v>
      </c>
      <c r="O52" s="16">
        <f>AVERAGE(O50,N50)</f>
        <v>8289.5</v>
      </c>
      <c r="P52" s="16">
        <f t="shared" ref="P52:Q52" si="113">AVERAGE(P50,O50)</f>
        <v>8307.5</v>
      </c>
      <c r="Q52" s="16">
        <f t="shared" si="113"/>
        <v>7640</v>
      </c>
      <c r="R52" s="6"/>
      <c r="S52" s="16">
        <f>AVERAGE(S50,Q50)</f>
        <v>6976.5</v>
      </c>
      <c r="T52" s="16">
        <f>AVERAGE(T50,S50)</f>
        <v>6980</v>
      </c>
      <c r="U52" s="16">
        <f t="shared" ref="U52:V52" si="114">AVERAGE(U50,T50)</f>
        <v>6986</v>
      </c>
      <c r="V52" s="16">
        <f t="shared" si="114"/>
        <v>7014</v>
      </c>
      <c r="W52" s="130"/>
      <c r="X52" s="16">
        <f>AVERAGE(X50,V50)</f>
        <v>7062</v>
      </c>
      <c r="Y52" s="16">
        <f>AVERAGE(Y50,X50)</f>
        <v>7130</v>
      </c>
      <c r="Z52" s="16">
        <f t="shared" ref="Z52:AA52" si="115">AVERAGE(Z50,Y50)</f>
        <v>7198</v>
      </c>
      <c r="AA52" s="16">
        <f t="shared" si="115"/>
        <v>7266.5</v>
      </c>
      <c r="AB52" s="6"/>
      <c r="AC52" s="16">
        <f>AVERAGE(AC50,AA50)</f>
        <v>7342</v>
      </c>
      <c r="AD52" s="16">
        <f>AVERAGE(AD50,AC50)</f>
        <v>7424</v>
      </c>
      <c r="AE52" s="16">
        <f t="shared" ref="AE52" si="116">AVERAGE(AE50,AD50)</f>
        <v>7506</v>
      </c>
      <c r="AF52" s="16">
        <f t="shared" ref="AF52" si="117">AVERAGE(AF50,AE50)</f>
        <v>7588.5</v>
      </c>
      <c r="AG52" s="6"/>
      <c r="AH52" s="16">
        <f>AVERAGE(AH50,AF50)</f>
        <v>7678.5</v>
      </c>
      <c r="AI52" s="16">
        <f>AVERAGE(AI50,AH50)</f>
        <v>7775.5</v>
      </c>
      <c r="AJ52" s="16">
        <f t="shared" ref="AJ52" si="118">AVERAGE(AJ50,AI50)</f>
        <v>7872.5</v>
      </c>
      <c r="AK52" s="16">
        <f t="shared" ref="AK52" si="119">AVERAGE(AK50,AJ50)</f>
        <v>7969.5</v>
      </c>
      <c r="AL52" s="6"/>
      <c r="AM52" s="16">
        <f>AVERAGE(AM50,AK50)</f>
        <v>8032</v>
      </c>
      <c r="AN52" s="16">
        <f>AVERAGE(AN50,AM50)</f>
        <v>8060</v>
      </c>
      <c r="AO52" s="16">
        <f t="shared" ref="AO52" si="120">AVERAGE(AO50,AN50)</f>
        <v>8088</v>
      </c>
      <c r="AP52" s="16">
        <f t="shared" ref="AP52" si="121">AVERAGE(AP50,AO50)</f>
        <v>8116</v>
      </c>
      <c r="AQ52" s="6"/>
      <c r="AR52" s="16">
        <f>AVERAGE(AR50,AP50)</f>
        <v>8144</v>
      </c>
      <c r="AS52" s="16">
        <f>AVERAGE(AS50,AR50)</f>
        <v>8172</v>
      </c>
      <c r="AT52" s="16">
        <f t="shared" ref="AT52" si="122">AVERAGE(AT50,AS50)</f>
        <v>8200</v>
      </c>
      <c r="AU52" s="16">
        <f t="shared" ref="AU52" si="123">AVERAGE(AU50,AT50)</f>
        <v>8228</v>
      </c>
      <c r="AV52" s="6"/>
    </row>
    <row r="53" spans="2:48" outlineLevel="1" x14ac:dyDescent="0.3">
      <c r="B53" s="180" t="s">
        <v>202</v>
      </c>
      <c r="C53" s="201"/>
      <c r="D53" s="43">
        <f>+D54/D52</f>
        <v>6.5780391154288645E-2</v>
      </c>
      <c r="E53" s="43">
        <f>+E54/E52</f>
        <v>5.8549845122953414E-2</v>
      </c>
      <c r="F53" s="43">
        <f>+F54/F52</f>
        <v>6.2274923144488362E-2</v>
      </c>
      <c r="G53" s="114">
        <f t="shared" ref="G53:S53" si="124">+G54/G52</f>
        <v>6.016533034992852E-2</v>
      </c>
      <c r="H53" s="127"/>
      <c r="I53" s="114">
        <f t="shared" si="124"/>
        <v>6.6023593020398133E-2</v>
      </c>
      <c r="J53" s="114">
        <f t="shared" si="124"/>
        <v>5.6599402548314331E-2</v>
      </c>
      <c r="K53" s="114">
        <f t="shared" si="124"/>
        <v>2.8653120817617714E-2</v>
      </c>
      <c r="L53" s="114">
        <f t="shared" si="124"/>
        <v>4.4773739118878331E-2</v>
      </c>
      <c r="M53" s="6"/>
      <c r="N53" s="114">
        <f t="shared" si="124"/>
        <v>5.5089344804765052E-2</v>
      </c>
      <c r="O53" s="114">
        <f t="shared" si="124"/>
        <v>4.7554134748778572E-2</v>
      </c>
      <c r="P53" s="114">
        <f t="shared" si="124"/>
        <v>5.6394823954258204E-2</v>
      </c>
      <c r="Q53" s="114">
        <f t="shared" si="124"/>
        <v>6.6295811518324602E-2</v>
      </c>
      <c r="R53" s="6"/>
      <c r="S53" s="114">
        <f t="shared" si="124"/>
        <v>7.3948254855586606E-2</v>
      </c>
      <c r="T53" s="114">
        <f>+T54/T52</f>
        <v>7.2636103151862461E-2</v>
      </c>
      <c r="U53" s="114">
        <f>+U54/U52</f>
        <v>7.7898654451760668E-2</v>
      </c>
      <c r="V53" s="62">
        <f>Q53*1.1</f>
        <v>7.2925392670157074E-2</v>
      </c>
      <c r="W53" s="130"/>
      <c r="X53" s="62">
        <f>S53*1.1</f>
        <v>8.1343080341145277E-2</v>
      </c>
      <c r="Y53" s="62">
        <f>T53*1.1</f>
        <v>7.9899713467048716E-2</v>
      </c>
      <c r="Z53" s="62">
        <f>U53*1.05</f>
        <v>8.1793587174348703E-2</v>
      </c>
      <c r="AA53" s="62">
        <f>V53*1.05</f>
        <v>7.6571662303664925E-2</v>
      </c>
      <c r="AB53" s="378"/>
      <c r="AC53" s="62">
        <f>X53*1.05</f>
        <v>8.5410234358202539E-2</v>
      </c>
      <c r="AD53" s="62">
        <f>Y53*1.05</f>
        <v>8.3894699140401152E-2</v>
      </c>
      <c r="AE53" s="62">
        <f>Z53*1.05</f>
        <v>8.5883266533066147E-2</v>
      </c>
      <c r="AF53" s="62">
        <f>AA53*1.05</f>
        <v>8.0400245418848174E-2</v>
      </c>
      <c r="AG53" s="378"/>
      <c r="AH53" s="62">
        <f>AC53*1.07</f>
        <v>9.1388950763276716E-2</v>
      </c>
      <c r="AI53" s="62">
        <f>AD53*1.07</f>
        <v>8.9767328080229233E-2</v>
      </c>
      <c r="AJ53" s="62">
        <f>AE53*1.07</f>
        <v>9.1895095190380777E-2</v>
      </c>
      <c r="AK53" s="62">
        <f>AF53*1.07</f>
        <v>8.6028262598167551E-2</v>
      </c>
      <c r="AL53" s="379"/>
      <c r="AM53" s="219">
        <f>AH53*1.05</f>
        <v>9.5958398301440553E-2</v>
      </c>
      <c r="AN53" s="219">
        <f>AI53*1.05</f>
        <v>9.4255694484240704E-2</v>
      </c>
      <c r="AO53" s="219">
        <f>AJ53*1.05</f>
        <v>9.6489849949899814E-2</v>
      </c>
      <c r="AP53" s="219">
        <f>AK53*1.05</f>
        <v>9.0329675728075931E-2</v>
      </c>
      <c r="AQ53" s="97"/>
      <c r="AR53" s="219">
        <f>AM53*1.03</f>
        <v>9.8837150250483771E-2</v>
      </c>
      <c r="AS53" s="219">
        <f>AN53*1.03</f>
        <v>9.7083365318767934E-2</v>
      </c>
      <c r="AT53" s="219">
        <f>AO53*1.03</f>
        <v>9.938454544839681E-2</v>
      </c>
      <c r="AU53" s="219">
        <f>AP53*1.03</f>
        <v>9.3039565999918208E-2</v>
      </c>
      <c r="AV53" s="6"/>
    </row>
    <row r="54" spans="2:48" s="8" customFormat="1" outlineLevel="1" x14ac:dyDescent="0.3">
      <c r="B54" s="603" t="s">
        <v>178</v>
      </c>
      <c r="C54" s="604"/>
      <c r="D54" s="115">
        <v>514.6</v>
      </c>
      <c r="E54" s="115">
        <v>463.1</v>
      </c>
      <c r="F54" s="115">
        <v>496.3</v>
      </c>
      <c r="G54" s="115">
        <v>484</v>
      </c>
      <c r="H54" s="153"/>
      <c r="I54" s="115">
        <v>537.29999999999995</v>
      </c>
      <c r="J54" s="115">
        <v>464.2</v>
      </c>
      <c r="K54" s="115">
        <v>235.5</v>
      </c>
      <c r="L54" s="72">
        <v>336.9</v>
      </c>
      <c r="M54" s="73"/>
      <c r="N54" s="72">
        <v>416.2</v>
      </c>
      <c r="O54" s="72">
        <v>394.2</v>
      </c>
      <c r="P54" s="72">
        <v>468.5</v>
      </c>
      <c r="Q54" s="115">
        <v>506.5</v>
      </c>
      <c r="R54" s="73"/>
      <c r="S54" s="72">
        <v>515.9</v>
      </c>
      <c r="T54" s="72">
        <v>507</v>
      </c>
      <c r="U54" s="72">
        <v>544.20000000000005</v>
      </c>
      <c r="V54" s="72">
        <f t="shared" ref="V54" si="125">+V52*V53</f>
        <v>511.49870418848172</v>
      </c>
      <c r="W54" s="213">
        <f>SUM(S54:V54)</f>
        <v>2078.5987041884819</v>
      </c>
      <c r="X54" s="72">
        <f>+X52*X53</f>
        <v>574.4448333691679</v>
      </c>
      <c r="Y54" s="72">
        <f>+Y52*Y53</f>
        <v>569.68495702005737</v>
      </c>
      <c r="Z54" s="72">
        <f t="shared" ref="Z54:AA54" si="126">+Z52*Z53</f>
        <v>588.75024048096202</v>
      </c>
      <c r="AA54" s="72">
        <f t="shared" si="126"/>
        <v>556.40798412958122</v>
      </c>
      <c r="AB54" s="73">
        <f>SUM(X54:AA54)</f>
        <v>2289.2880149997686</v>
      </c>
      <c r="AC54" s="72">
        <f>+AC52*AC53</f>
        <v>627.08194065792304</v>
      </c>
      <c r="AD54" s="72">
        <f>+AD52*AD53</f>
        <v>622.83424641833813</v>
      </c>
      <c r="AE54" s="72">
        <f t="shared" ref="AE54:AF54" si="127">+AE52*AE53</f>
        <v>644.6397985971945</v>
      </c>
      <c r="AF54" s="72">
        <f t="shared" si="127"/>
        <v>610.11726236092932</v>
      </c>
      <c r="AG54" s="73">
        <f>SUM(AC54:AF54)</f>
        <v>2504.6732480343853</v>
      </c>
      <c r="AH54" s="72">
        <f>+AH52*AH53</f>
        <v>701.7300584358203</v>
      </c>
      <c r="AI54" s="72">
        <f>+AI52*AI53</f>
        <v>697.98585948782238</v>
      </c>
      <c r="AJ54" s="72">
        <f t="shared" ref="AJ54:AK54" si="128">+AJ52*AJ53</f>
        <v>723.44413688627264</v>
      </c>
      <c r="AK54" s="72">
        <f t="shared" si="128"/>
        <v>685.60223877609633</v>
      </c>
      <c r="AL54" s="73">
        <f>SUM(AH54:AK54)</f>
        <v>2808.7622935860118</v>
      </c>
      <c r="AM54" s="72">
        <f>+AM52*AM53</f>
        <v>770.73785515717054</v>
      </c>
      <c r="AN54" s="72">
        <f>+AN52*AN53</f>
        <v>759.7008975429801</v>
      </c>
      <c r="AO54" s="72">
        <f t="shared" ref="AO54:AP54" si="129">+AO52*AO53</f>
        <v>780.40990639478969</v>
      </c>
      <c r="AP54" s="72">
        <f t="shared" si="129"/>
        <v>733.11564820906426</v>
      </c>
      <c r="AQ54" s="73">
        <f>SUM(AM54:AP54)</f>
        <v>3043.9643073040047</v>
      </c>
      <c r="AR54" s="72">
        <f>+AR52*AR53</f>
        <v>804.92975163993981</v>
      </c>
      <c r="AS54" s="72">
        <f>+AS52*AS53</f>
        <v>793.36526138497152</v>
      </c>
      <c r="AT54" s="72">
        <f t="shared" ref="AT54:AU54" si="130">+AT52*AT53</f>
        <v>814.95327267685389</v>
      </c>
      <c r="AU54" s="72">
        <f t="shared" si="130"/>
        <v>765.52954904732701</v>
      </c>
      <c r="AV54" s="73">
        <f>SUM(AR54:AU54)</f>
        <v>3178.7778347490921</v>
      </c>
    </row>
    <row r="55" spans="2:48" s="8" customFormat="1" outlineLevel="1" x14ac:dyDescent="0.3">
      <c r="B55" s="587" t="s">
        <v>179</v>
      </c>
      <c r="C55" s="588"/>
      <c r="D55" s="103">
        <v>5.7</v>
      </c>
      <c r="E55" s="103">
        <v>1.4</v>
      </c>
      <c r="F55" s="103">
        <v>2.6</v>
      </c>
      <c r="G55" s="103">
        <v>3.2</v>
      </c>
      <c r="H55" s="154"/>
      <c r="I55" s="103">
        <v>2.6</v>
      </c>
      <c r="J55" s="103">
        <v>2.2000000000000002</v>
      </c>
      <c r="K55" s="103">
        <v>1.1000000000000001</v>
      </c>
      <c r="L55" s="50">
        <v>1.7</v>
      </c>
      <c r="M55" s="97"/>
      <c r="N55" s="50">
        <v>2.2000000000000002</v>
      </c>
      <c r="O55" s="50">
        <v>2</v>
      </c>
      <c r="P55" s="50">
        <v>2</v>
      </c>
      <c r="Q55" s="103">
        <v>2.2000000000000002</v>
      </c>
      <c r="R55" s="191"/>
      <c r="S55" s="50">
        <v>2.2999999999999998</v>
      </c>
      <c r="T55" s="50">
        <v>2.4</v>
      </c>
      <c r="U55" s="50">
        <v>1</v>
      </c>
      <c r="V55" s="50">
        <f t="shared" ref="V55" si="131">+Q55*(1+V56)</f>
        <v>1.9800000000000002</v>
      </c>
      <c r="W55" s="166">
        <f>SUM(S55:V55)</f>
        <v>7.68</v>
      </c>
      <c r="X55" s="50">
        <f>+S55*(1+X56)</f>
        <v>1.9549999999999998</v>
      </c>
      <c r="Y55" s="50">
        <f>+T55*(1+Y56)</f>
        <v>1.968</v>
      </c>
      <c r="Z55" s="50">
        <f>+U55*(1+Z56)</f>
        <v>1.95</v>
      </c>
      <c r="AA55" s="50">
        <f t="shared" ref="AA55" si="132">+V55*(1+AA56)</f>
        <v>1.9800000000000002</v>
      </c>
      <c r="AB55" s="191">
        <f>SUM(X55:AA55)</f>
        <v>7.8530000000000006</v>
      </c>
      <c r="AC55" s="50">
        <f>+X55*(1+AC56)</f>
        <v>1.9549999999999998</v>
      </c>
      <c r="AD55" s="50">
        <f>+Y55*(1+AD56)</f>
        <v>1.968</v>
      </c>
      <c r="AE55" s="50">
        <f>+Z55*(1+AE56)</f>
        <v>1.95</v>
      </c>
      <c r="AF55" s="50">
        <f t="shared" ref="AF55" si="133">+AA55*(1+AF56)</f>
        <v>1.9800000000000002</v>
      </c>
      <c r="AG55" s="191">
        <f>SUM(AC55:AF55)</f>
        <v>7.8530000000000006</v>
      </c>
      <c r="AH55" s="50">
        <f>+AC55*(1+AH56)</f>
        <v>1.9549999999999998</v>
      </c>
      <c r="AI55" s="50">
        <f>+AD55*(1+AI56)</f>
        <v>1.968</v>
      </c>
      <c r="AJ55" s="50">
        <f>+AE55*(1+AJ56)</f>
        <v>1.95</v>
      </c>
      <c r="AK55" s="50">
        <f t="shared" ref="AK55" si="134">+AF55*(1+AK56)</f>
        <v>1.9800000000000002</v>
      </c>
      <c r="AL55" s="191">
        <f>SUM(AH55:AK55)</f>
        <v>7.8530000000000006</v>
      </c>
      <c r="AM55" s="50">
        <f>+AH55*(1+AM56)</f>
        <v>1.9549999999999998</v>
      </c>
      <c r="AN55" s="50">
        <f>+AI55*(1+AN56)</f>
        <v>1.968</v>
      </c>
      <c r="AO55" s="50">
        <f>+AJ55*(1+AO56)</f>
        <v>1.95</v>
      </c>
      <c r="AP55" s="50">
        <f t="shared" ref="AP55" si="135">+AK55*(1+AP56)</f>
        <v>1.9800000000000002</v>
      </c>
      <c r="AQ55" s="191">
        <f>SUM(AM55:AP55)</f>
        <v>7.8530000000000006</v>
      </c>
      <c r="AR55" s="50">
        <f>+AM55*(1+AR56)</f>
        <v>1.9549999999999998</v>
      </c>
      <c r="AS55" s="50">
        <f>+AN55*(1+AS56)</f>
        <v>1.968</v>
      </c>
      <c r="AT55" s="50">
        <f>+AO55*(1+AT56)</f>
        <v>1.95</v>
      </c>
      <c r="AU55" s="50">
        <f t="shared" ref="AU55" si="136">+AP55*(1+AU56)</f>
        <v>1.9800000000000002</v>
      </c>
      <c r="AV55" s="191">
        <f>SUM(AR55:AU55)</f>
        <v>7.8530000000000006</v>
      </c>
    </row>
    <row r="56" spans="2:48" outlineLevel="1" x14ac:dyDescent="0.3">
      <c r="B56" s="69" t="s">
        <v>50</v>
      </c>
      <c r="C56" s="70"/>
      <c r="D56" s="120"/>
      <c r="E56" s="120"/>
      <c r="F56" s="120"/>
      <c r="G56" s="120"/>
      <c r="H56" s="155"/>
      <c r="I56" s="120">
        <f>I55/D55-1</f>
        <v>-0.54385964912280704</v>
      </c>
      <c r="J56" s="120">
        <f t="shared" ref="J56" si="137">J55/E55-1</f>
        <v>0.57142857142857162</v>
      </c>
      <c r="K56" s="120">
        <f>K55/F55-1</f>
        <v>-0.57692307692307687</v>
      </c>
      <c r="L56" s="120">
        <f>L55/G55-1</f>
        <v>-0.46875</v>
      </c>
      <c r="M56" s="58"/>
      <c r="N56" s="120">
        <f>N55/I55-1</f>
        <v>-0.15384615384615385</v>
      </c>
      <c r="O56" s="120">
        <f t="shared" ref="O56" si="138">O55/J55-1</f>
        <v>-9.0909090909090939E-2</v>
      </c>
      <c r="P56" s="120">
        <f>P55/K55-1</f>
        <v>0.81818181818181812</v>
      </c>
      <c r="Q56" s="120">
        <f>Q55/L55-1</f>
        <v>0.29411764705882359</v>
      </c>
      <c r="R56" s="58"/>
      <c r="S56" s="120">
        <f>S55/N55-1</f>
        <v>4.5454545454545192E-2</v>
      </c>
      <c r="T56" s="120">
        <f t="shared" ref="T56:U56" si="139">T55/O55-1</f>
        <v>0.19999999999999996</v>
      </c>
      <c r="U56" s="120">
        <f t="shared" si="139"/>
        <v>-0.5</v>
      </c>
      <c r="V56" s="71">
        <v>-0.1</v>
      </c>
      <c r="W56" s="155"/>
      <c r="X56" s="71">
        <v>-0.15</v>
      </c>
      <c r="Y56" s="71">
        <v>-0.18</v>
      </c>
      <c r="Z56" s="71">
        <v>0.95</v>
      </c>
      <c r="AA56" s="71">
        <v>0</v>
      </c>
      <c r="AB56" s="374"/>
      <c r="AC56" s="71">
        <v>0</v>
      </c>
      <c r="AD56" s="71">
        <v>0</v>
      </c>
      <c r="AE56" s="71">
        <v>0</v>
      </c>
      <c r="AF56" s="71">
        <v>0</v>
      </c>
      <c r="AG56" s="58"/>
      <c r="AH56" s="71">
        <v>0</v>
      </c>
      <c r="AI56" s="71">
        <v>0</v>
      </c>
      <c r="AJ56" s="71">
        <v>0</v>
      </c>
      <c r="AK56" s="71">
        <v>0</v>
      </c>
      <c r="AL56" s="58"/>
      <c r="AM56" s="71">
        <v>0</v>
      </c>
      <c r="AN56" s="71">
        <v>0</v>
      </c>
      <c r="AO56" s="71">
        <v>0</v>
      </c>
      <c r="AP56" s="71">
        <v>0</v>
      </c>
      <c r="AQ56" s="58"/>
      <c r="AR56" s="71">
        <v>0</v>
      </c>
      <c r="AS56" s="71">
        <v>0</v>
      </c>
      <c r="AT56" s="71">
        <v>0</v>
      </c>
      <c r="AU56" s="71">
        <v>0</v>
      </c>
      <c r="AV56" s="58"/>
    </row>
    <row r="57" spans="2:48" outlineLevel="1" x14ac:dyDescent="0.3">
      <c r="B57" s="180" t="s">
        <v>180</v>
      </c>
      <c r="C57" s="207"/>
      <c r="D57" s="101">
        <f t="shared" ref="D57:G58" si="140">+D50+D41</f>
        <v>17653</v>
      </c>
      <c r="E57" s="101">
        <f t="shared" si="140"/>
        <v>17719</v>
      </c>
      <c r="F57" s="101">
        <f t="shared" si="140"/>
        <v>17853</v>
      </c>
      <c r="G57" s="101">
        <f t="shared" si="140"/>
        <v>18067</v>
      </c>
      <c r="H57" s="122"/>
      <c r="I57" s="101">
        <f t="shared" ref="I57:L58" si="141">+I50+I41</f>
        <v>18203</v>
      </c>
      <c r="J57" s="101">
        <f t="shared" si="141"/>
        <v>18271</v>
      </c>
      <c r="K57" s="101">
        <f t="shared" si="141"/>
        <v>18235</v>
      </c>
      <c r="L57" s="16">
        <f t="shared" si="141"/>
        <v>16940</v>
      </c>
      <c r="M57" s="6"/>
      <c r="N57" s="16">
        <f t="shared" ref="N57:Q58" si="142">+N50+N41</f>
        <v>18308</v>
      </c>
      <c r="O57" s="16">
        <f t="shared" si="142"/>
        <v>18120</v>
      </c>
      <c r="P57" s="16">
        <f t="shared" si="142"/>
        <v>18175</v>
      </c>
      <c r="Q57" s="101">
        <f t="shared" si="142"/>
        <v>16826</v>
      </c>
      <c r="R57" s="6"/>
      <c r="S57" s="16">
        <f t="shared" ref="S57:V58" si="143">+S50+S41</f>
        <v>16888</v>
      </c>
      <c r="T57" s="16">
        <f t="shared" si="143"/>
        <v>16926</v>
      </c>
      <c r="U57" s="16">
        <f t="shared" si="143"/>
        <v>17050</v>
      </c>
      <c r="V57" s="16">
        <f t="shared" si="143"/>
        <v>17174</v>
      </c>
      <c r="W57" s="254">
        <f>W58/Q57</f>
        <v>2.0682277427790323E-2</v>
      </c>
      <c r="X57" s="16">
        <f t="shared" ref="X57:AA58" si="144">+X50+X41</f>
        <v>17302.5</v>
      </c>
      <c r="Y57" s="16">
        <f t="shared" si="144"/>
        <v>17431</v>
      </c>
      <c r="Z57" s="16">
        <f t="shared" si="144"/>
        <v>17559.5</v>
      </c>
      <c r="AA57" s="16">
        <f t="shared" si="144"/>
        <v>17689</v>
      </c>
      <c r="AB57" s="254">
        <f>AB58/V57</f>
        <v>2.9987189938278792E-2</v>
      </c>
      <c r="AC57" s="16">
        <f t="shared" ref="AC57:AF57" si="145">+AC50+AC41</f>
        <v>17843</v>
      </c>
      <c r="AD57" s="16">
        <f t="shared" si="145"/>
        <v>17997</v>
      </c>
      <c r="AE57" s="16">
        <f t="shared" si="145"/>
        <v>18152</v>
      </c>
      <c r="AF57" s="16">
        <f t="shared" si="145"/>
        <v>18308</v>
      </c>
      <c r="AG57" s="254">
        <f>AG58/AA57</f>
        <v>3.499349878455537E-2</v>
      </c>
      <c r="AH57" s="16">
        <f t="shared" ref="AH57:AK57" si="146">+AH50+AH41</f>
        <v>18491</v>
      </c>
      <c r="AI57" s="16">
        <f t="shared" si="146"/>
        <v>18674</v>
      </c>
      <c r="AJ57" s="16">
        <f t="shared" si="146"/>
        <v>18857</v>
      </c>
      <c r="AK57" s="16">
        <f t="shared" si="146"/>
        <v>19040</v>
      </c>
      <c r="AL57" s="254">
        <f>AL58/AF57</f>
        <v>3.9982521302162989E-2</v>
      </c>
      <c r="AM57" s="16">
        <f t="shared" ref="AM57:AP57" si="147">+AM50+AM41</f>
        <v>19164</v>
      </c>
      <c r="AN57" s="16">
        <f t="shared" si="147"/>
        <v>19288</v>
      </c>
      <c r="AO57" s="16">
        <f t="shared" si="147"/>
        <v>19412</v>
      </c>
      <c r="AP57" s="16">
        <f t="shared" si="147"/>
        <v>19536</v>
      </c>
      <c r="AQ57" s="254">
        <f>AQ58/AK57</f>
        <v>2.6050420168067228E-2</v>
      </c>
      <c r="AR57" s="16">
        <f t="shared" ref="AR57:AU57" si="148">+AR50+AR41</f>
        <v>19660</v>
      </c>
      <c r="AS57" s="16">
        <f t="shared" si="148"/>
        <v>19784</v>
      </c>
      <c r="AT57" s="16">
        <f t="shared" si="148"/>
        <v>19908</v>
      </c>
      <c r="AU57" s="16">
        <f t="shared" si="148"/>
        <v>20032</v>
      </c>
      <c r="AV57" s="254">
        <f>AV58/AP57</f>
        <v>2.5389025389025387E-2</v>
      </c>
    </row>
    <row r="58" spans="2:48" outlineLevel="1" x14ac:dyDescent="0.3">
      <c r="B58" s="180" t="s">
        <v>181</v>
      </c>
      <c r="C58" s="207"/>
      <c r="D58" s="101">
        <f t="shared" si="140"/>
        <v>193</v>
      </c>
      <c r="E58" s="101">
        <f t="shared" si="140"/>
        <v>66</v>
      </c>
      <c r="F58" s="101">
        <f t="shared" si="140"/>
        <v>134</v>
      </c>
      <c r="G58" s="101">
        <f t="shared" si="140"/>
        <v>214</v>
      </c>
      <c r="H58" s="122">
        <f>+H51+H42</f>
        <v>607</v>
      </c>
      <c r="I58" s="101">
        <f t="shared" si="141"/>
        <v>136</v>
      </c>
      <c r="J58" s="101">
        <f t="shared" si="141"/>
        <v>68</v>
      </c>
      <c r="K58" s="101">
        <f t="shared" si="141"/>
        <v>-36</v>
      </c>
      <c r="L58" s="16">
        <f t="shared" si="141"/>
        <v>124</v>
      </c>
      <c r="M58" s="122"/>
      <c r="N58" s="16">
        <f t="shared" si="142"/>
        <v>-46</v>
      </c>
      <c r="O58" s="16">
        <f t="shared" si="142"/>
        <v>-188</v>
      </c>
      <c r="P58" s="16">
        <f t="shared" si="142"/>
        <v>55</v>
      </c>
      <c r="Q58" s="101">
        <f t="shared" si="142"/>
        <v>74</v>
      </c>
      <c r="R58" s="122"/>
      <c r="S58" s="16">
        <f t="shared" si="143"/>
        <v>62</v>
      </c>
      <c r="T58" s="16">
        <f t="shared" si="143"/>
        <v>38</v>
      </c>
      <c r="U58" s="16">
        <f t="shared" si="143"/>
        <v>124</v>
      </c>
      <c r="V58" s="16">
        <f t="shared" si="143"/>
        <v>124</v>
      </c>
      <c r="W58" s="122">
        <f>+W51+W42</f>
        <v>348</v>
      </c>
      <c r="X58" s="16">
        <f t="shared" si="144"/>
        <v>128.5</v>
      </c>
      <c r="Y58" s="16">
        <f t="shared" si="144"/>
        <v>128.5</v>
      </c>
      <c r="Z58" s="16">
        <f t="shared" si="144"/>
        <v>128.5</v>
      </c>
      <c r="AA58" s="16">
        <f t="shared" si="144"/>
        <v>129.5</v>
      </c>
      <c r="AB58" s="122">
        <f>+AB51+AB42</f>
        <v>515</v>
      </c>
      <c r="AC58" s="16">
        <f t="shared" ref="AC58:AF58" si="149">+AC51+AC42</f>
        <v>154</v>
      </c>
      <c r="AD58" s="16">
        <f t="shared" si="149"/>
        <v>154</v>
      </c>
      <c r="AE58" s="16">
        <f t="shared" si="149"/>
        <v>155</v>
      </c>
      <c r="AF58" s="16">
        <f t="shared" si="149"/>
        <v>156</v>
      </c>
      <c r="AG58" s="122">
        <f>+AG51+AG42</f>
        <v>619</v>
      </c>
      <c r="AH58" s="16">
        <f t="shared" ref="AH58:AK58" si="150">+AH51+AH42</f>
        <v>183</v>
      </c>
      <c r="AI58" s="16">
        <f t="shared" si="150"/>
        <v>183</v>
      </c>
      <c r="AJ58" s="16">
        <f t="shared" si="150"/>
        <v>183</v>
      </c>
      <c r="AK58" s="16">
        <f t="shared" si="150"/>
        <v>183</v>
      </c>
      <c r="AL58" s="122">
        <f>+AL51+AL42</f>
        <v>732</v>
      </c>
      <c r="AM58" s="16">
        <f t="shared" ref="AM58:AP58" si="151">+AM51+AM42</f>
        <v>124</v>
      </c>
      <c r="AN58" s="16">
        <f t="shared" si="151"/>
        <v>124</v>
      </c>
      <c r="AO58" s="16">
        <f t="shared" si="151"/>
        <v>124</v>
      </c>
      <c r="AP58" s="16">
        <f t="shared" si="151"/>
        <v>124</v>
      </c>
      <c r="AQ58" s="122">
        <f>+AQ51+AQ42</f>
        <v>496</v>
      </c>
      <c r="AR58" s="16">
        <f t="shared" ref="AR58:AU58" si="152">+AR51+AR42</f>
        <v>124</v>
      </c>
      <c r="AS58" s="16">
        <f t="shared" si="152"/>
        <v>124</v>
      </c>
      <c r="AT58" s="16">
        <f t="shared" si="152"/>
        <v>124</v>
      </c>
      <c r="AU58" s="16">
        <f t="shared" si="152"/>
        <v>124</v>
      </c>
      <c r="AV58" s="122">
        <f>+AV51+AV42</f>
        <v>496</v>
      </c>
    </row>
    <row r="59" spans="2:48" outlineLevel="1" x14ac:dyDescent="0.3">
      <c r="B59" s="605" t="s">
        <v>182</v>
      </c>
      <c r="C59" s="606"/>
      <c r="D59" s="115">
        <f>+D55+D54+D45</f>
        <v>4612.5</v>
      </c>
      <c r="E59" s="115">
        <f>+E55+E54+E45</f>
        <v>4314.1000000000004</v>
      </c>
      <c r="F59" s="115">
        <f>+F55+F54+F45</f>
        <v>4681.0999999999995</v>
      </c>
      <c r="G59" s="115">
        <f>+G55+G54+G45</f>
        <v>4651.3999999999996</v>
      </c>
      <c r="H59" s="132">
        <f>SUM(D59:G59)</f>
        <v>18259.099999999999</v>
      </c>
      <c r="I59" s="115">
        <f>+I55+I54+I45</f>
        <v>5010.8999999999996</v>
      </c>
      <c r="J59" s="115">
        <f>+J55+J54+J45</f>
        <v>4330</v>
      </c>
      <c r="K59" s="115">
        <f>+K55+K54+K45</f>
        <v>2805.5</v>
      </c>
      <c r="L59" s="72">
        <f>+L55+L54+L45</f>
        <v>4213.9000000000005</v>
      </c>
      <c r="M59" s="97"/>
      <c r="N59" s="72">
        <f>+N55+N54+N45</f>
        <v>4703.2</v>
      </c>
      <c r="O59" s="72">
        <f>+O55+O54+O45</f>
        <v>4664.5999999999995</v>
      </c>
      <c r="P59" s="72">
        <f>+P55+P54+P45</f>
        <v>5400.3</v>
      </c>
      <c r="Q59" s="115">
        <f>+Q55+Q54+Q45</f>
        <v>5763</v>
      </c>
      <c r="R59" s="97"/>
      <c r="S59" s="72">
        <f>+S55+S54+S45</f>
        <v>5732.3</v>
      </c>
      <c r="T59" s="72">
        <f>+T55+T54+T45</f>
        <v>5445.7</v>
      </c>
      <c r="U59" s="72">
        <f>+U55+U54+U45</f>
        <v>6058.4</v>
      </c>
      <c r="V59" s="72">
        <f>+V55+V54+V45</f>
        <v>5948.1423230719047</v>
      </c>
      <c r="W59" s="97">
        <f>SUM(S59:V59)</f>
        <v>23184.542323071906</v>
      </c>
      <c r="X59" s="72">
        <f>+X55+X54+X45</f>
        <v>6322.4839469008721</v>
      </c>
      <c r="Y59" s="72">
        <f>+Y55+Y54+Y45</f>
        <v>6018.3020813023186</v>
      </c>
      <c r="Z59" s="72">
        <f>+Z55+Z54+Z45</f>
        <v>6550.4421555979388</v>
      </c>
      <c r="AA59" s="72">
        <f>+AA55+AA54+AA45</f>
        <v>6411.5699462423026</v>
      </c>
      <c r="AB59" s="97">
        <f>SUM(X59:AA59)</f>
        <v>25302.798130043433</v>
      </c>
      <c r="AC59" s="72">
        <f>+AC55+AC54+AC45</f>
        <v>6809.3135493720583</v>
      </c>
      <c r="AD59" s="72">
        <f>+AD55+AD54+AD45</f>
        <v>6488.619441220394</v>
      </c>
      <c r="AE59" s="72">
        <f>+AE55+AE54+AE45</f>
        <v>7069.1598101448853</v>
      </c>
      <c r="AF59" s="72">
        <f>+AF55+AF54+AF45</f>
        <v>6926.3033054024827</v>
      </c>
      <c r="AG59" s="97">
        <f>SUM(AC59:AF59)</f>
        <v>27293.396106139819</v>
      </c>
      <c r="AH59" s="72">
        <f>+AH55+AH54+AH45</f>
        <v>7504.9952760649394</v>
      </c>
      <c r="AI59" s="72">
        <f>+AI55+AI54+AI45</f>
        <v>7160.1474088324894</v>
      </c>
      <c r="AJ59" s="72">
        <f>+AJ55+AJ54+AJ45</f>
        <v>7808.549645737502</v>
      </c>
      <c r="AK59" s="72">
        <f>+AK55+AK54+AK45</f>
        <v>7658.0586675513578</v>
      </c>
      <c r="AL59" s="97">
        <f>SUM(AH59:AK59)</f>
        <v>30131.75099818629</v>
      </c>
      <c r="AM59" s="72">
        <f>+AM55+AM54+AM45</f>
        <v>8146.5413128208293</v>
      </c>
      <c r="AN59" s="72">
        <f>+AN55+AN54+AN45</f>
        <v>7770.2047752686849</v>
      </c>
      <c r="AO59" s="72">
        <f>+AO55+AO54+AO45</f>
        <v>8471.6119221587378</v>
      </c>
      <c r="AP59" s="72">
        <f>+AP55+AP54+AP45</f>
        <v>8306.7510669112144</v>
      </c>
      <c r="AQ59" s="97">
        <f>SUM(AM59:AP59)</f>
        <v>32695.109077159468</v>
      </c>
      <c r="AR59" s="72">
        <f>+AR55+AR54+AR45</f>
        <v>8665.4088745940426</v>
      </c>
      <c r="AS59" s="72">
        <f>+AS55+AS54+AS45</f>
        <v>8262.3802853294328</v>
      </c>
      <c r="AT59" s="72">
        <f>+AT55+AT54+AT45</f>
        <v>9006.8783965318125</v>
      </c>
      <c r="AU59" s="72">
        <f>+AU55+AU54+AU45</f>
        <v>8829.9826309449036</v>
      </c>
      <c r="AV59" s="97">
        <f>SUM(AR59:AU59)</f>
        <v>34764.650187400191</v>
      </c>
    </row>
    <row r="60" spans="2:48" outlineLevel="1" x14ac:dyDescent="0.3">
      <c r="B60" s="607" t="s">
        <v>100</v>
      </c>
      <c r="C60" s="608"/>
      <c r="D60" s="105">
        <v>1351.3</v>
      </c>
      <c r="E60" s="105">
        <v>1220.5</v>
      </c>
      <c r="F60" s="105">
        <v>1324</v>
      </c>
      <c r="G60" s="105">
        <v>1278.9000000000001</v>
      </c>
      <c r="H60" s="129"/>
      <c r="I60" s="105">
        <v>1388.4</v>
      </c>
      <c r="J60" s="105">
        <v>1248.2</v>
      </c>
      <c r="K60" s="105">
        <v>805.6</v>
      </c>
      <c r="L60" s="48">
        <v>1158.3</v>
      </c>
      <c r="M60" s="76"/>
      <c r="N60" s="48">
        <v>1276.2</v>
      </c>
      <c r="O60" s="48">
        <v>1227.5999999999999</v>
      </c>
      <c r="P60" s="48">
        <v>1416.2</v>
      </c>
      <c r="Q60" s="105">
        <v>1580.3</v>
      </c>
      <c r="R60" s="76"/>
      <c r="S60" s="48">
        <v>1629.4</v>
      </c>
      <c r="T60" s="48">
        <v>1564</v>
      </c>
      <c r="U60" s="48">
        <v>1713.2</v>
      </c>
      <c r="V60" s="48">
        <f t="shared" ref="V60:AA60" si="153">V61*V59</f>
        <v>1705.4205475878575</v>
      </c>
      <c r="W60" s="76">
        <f>SUM(S60:V60)</f>
        <v>6612.0205475878574</v>
      </c>
      <c r="X60" s="48">
        <f t="shared" si="153"/>
        <v>1828.7715605820317</v>
      </c>
      <c r="Y60" s="48">
        <f t="shared" si="153"/>
        <v>1743.4965430095665</v>
      </c>
      <c r="Z60" s="48">
        <f t="shared" si="153"/>
        <v>1868.7162448598765</v>
      </c>
      <c r="AA60" s="48">
        <f t="shared" si="153"/>
        <v>1774.1764150697893</v>
      </c>
      <c r="AB60" s="76">
        <f>SUM(X60:AA60)</f>
        <v>7215.160763521264</v>
      </c>
      <c r="AC60" s="48">
        <f t="shared" ref="AC60:AF60" si="154">AC61*AC59</f>
        <v>1901.493354683374</v>
      </c>
      <c r="AD60" s="48">
        <f t="shared" si="154"/>
        <v>1873.2584274574945</v>
      </c>
      <c r="AE60" s="48">
        <f t="shared" si="154"/>
        <v>2009.627341118264</v>
      </c>
      <c r="AF60" s="48">
        <f t="shared" si="154"/>
        <v>1985.8737962676512</v>
      </c>
      <c r="AG60" s="76">
        <f>SUM(AC60:AF60)</f>
        <v>7770.2529195267834</v>
      </c>
      <c r="AH60" s="48">
        <f t="shared" ref="AH60:AK60" si="155">AH61*AH59</f>
        <v>2088.2567200415697</v>
      </c>
      <c r="AI60" s="48">
        <f t="shared" si="155"/>
        <v>2059.9677827985665</v>
      </c>
      <c r="AJ60" s="48">
        <f t="shared" si="155"/>
        <v>2212.0132232378774</v>
      </c>
      <c r="AK60" s="48">
        <f t="shared" si="155"/>
        <v>2188.0208435700229</v>
      </c>
      <c r="AL60" s="76">
        <f>SUM(AH60:AK60)</f>
        <v>8548.2585696480364</v>
      </c>
      <c r="AM60" s="48">
        <f t="shared" ref="AM60:AP60" si="156">AM61*AM59</f>
        <v>2266.7662024851043</v>
      </c>
      <c r="AN60" s="48">
        <f t="shared" si="156"/>
        <v>2235.4807225136465</v>
      </c>
      <c r="AO60" s="48">
        <f t="shared" si="156"/>
        <v>2399.8461230484872</v>
      </c>
      <c r="AP60" s="48">
        <f t="shared" si="156"/>
        <v>2373.3618748262707</v>
      </c>
      <c r="AQ60" s="76">
        <f>SUM(AM60:AP60)</f>
        <v>9275.4549228735086</v>
      </c>
      <c r="AR60" s="48">
        <f t="shared" ref="AR60:AU60" si="157">AR61*AR59</f>
        <v>2411.1405335576505</v>
      </c>
      <c r="AS60" s="48">
        <f t="shared" si="157"/>
        <v>2377.0791612492685</v>
      </c>
      <c r="AT60" s="48">
        <f t="shared" si="157"/>
        <v>2551.4769089160632</v>
      </c>
      <c r="AU60" s="48">
        <f t="shared" si="157"/>
        <v>2522.8568862670118</v>
      </c>
      <c r="AV60" s="76">
        <f>SUM(AR60:AU60)</f>
        <v>9862.553489989994</v>
      </c>
    </row>
    <row r="61" spans="2:48" s="184" customFormat="1" outlineLevel="1" x14ac:dyDescent="0.3">
      <c r="B61" s="181" t="s">
        <v>151</v>
      </c>
      <c r="C61" s="185"/>
      <c r="D61" s="167">
        <f>D60/D59</f>
        <v>0.29296476964769647</v>
      </c>
      <c r="E61" s="167">
        <f t="shared" ref="E61:U61" si="158">E60/E59</f>
        <v>0.28290952921814511</v>
      </c>
      <c r="F61" s="167">
        <f t="shared" si="158"/>
        <v>0.28283950353549381</v>
      </c>
      <c r="G61" s="167">
        <f t="shared" si="158"/>
        <v>0.27494947757664362</v>
      </c>
      <c r="H61" s="186"/>
      <c r="I61" s="167">
        <f t="shared" si="158"/>
        <v>0.27707597437586068</v>
      </c>
      <c r="J61" s="167">
        <f t="shared" si="158"/>
        <v>0.28826789838337186</v>
      </c>
      <c r="K61" s="167">
        <f t="shared" si="158"/>
        <v>0.28715024059882377</v>
      </c>
      <c r="L61" s="187">
        <f t="shared" si="158"/>
        <v>0.27487600560051256</v>
      </c>
      <c r="M61" s="188"/>
      <c r="N61" s="187">
        <f t="shared" si="158"/>
        <v>0.27134716788569485</v>
      </c>
      <c r="O61" s="167">
        <f t="shared" si="158"/>
        <v>0.26317369120610556</v>
      </c>
      <c r="P61" s="167">
        <f t="shared" si="158"/>
        <v>0.26224469010980872</v>
      </c>
      <c r="Q61" s="167">
        <f t="shared" si="158"/>
        <v>0.27421481867083114</v>
      </c>
      <c r="R61" s="188"/>
      <c r="S61" s="187">
        <f t="shared" si="158"/>
        <v>0.28424890532595992</v>
      </c>
      <c r="T61" s="167">
        <f t="shared" si="158"/>
        <v>0.28719907449914611</v>
      </c>
      <c r="U61" s="167">
        <f t="shared" si="158"/>
        <v>0.28278093225934242</v>
      </c>
      <c r="V61" s="189">
        <f>Q61+1.25%</f>
        <v>0.28671481867083115</v>
      </c>
      <c r="W61" s="188">
        <f t="shared" ref="W61" si="159">W60/W59</f>
        <v>0.2851909024319173</v>
      </c>
      <c r="X61" s="189">
        <f>S61+0.5%</f>
        <v>0.28924890532595993</v>
      </c>
      <c r="Y61" s="189">
        <f>T61+0.25%</f>
        <v>0.28969907449914611</v>
      </c>
      <c r="Z61" s="189">
        <f>U61+0.25%</f>
        <v>0.28528093225934242</v>
      </c>
      <c r="AA61" s="189">
        <f>V61-1%</f>
        <v>0.27671481867083114</v>
      </c>
      <c r="AB61" s="188">
        <f t="shared" ref="AB61" si="160">AB60/AB59</f>
        <v>0.28515268257838638</v>
      </c>
      <c r="AC61" s="189">
        <f>X61-1%</f>
        <v>0.27924890532595992</v>
      </c>
      <c r="AD61" s="189">
        <f>Y61-0.1%</f>
        <v>0.28869907449914611</v>
      </c>
      <c r="AE61" s="189">
        <f>Z61-0.1%</f>
        <v>0.28428093225934242</v>
      </c>
      <c r="AF61" s="189">
        <f>AA61+1%</f>
        <v>0.28671481867083115</v>
      </c>
      <c r="AG61" s="188">
        <f t="shared" ref="AG61" si="161">AG60/AG59</f>
        <v>0.28469351667742138</v>
      </c>
      <c r="AH61" s="189">
        <f t="shared" ref="AH61:AK61" si="162">AC61-0.1%</f>
        <v>0.27824890532595992</v>
      </c>
      <c r="AI61" s="189">
        <f t="shared" si="162"/>
        <v>0.28769907449914611</v>
      </c>
      <c r="AJ61" s="189">
        <f t="shared" si="162"/>
        <v>0.28328093225934242</v>
      </c>
      <c r="AK61" s="189">
        <f t="shared" si="162"/>
        <v>0.28571481867083115</v>
      </c>
      <c r="AL61" s="188">
        <f t="shared" ref="AL61" si="163">AL60/AL59</f>
        <v>0.28369604442047125</v>
      </c>
      <c r="AM61" s="189">
        <f>AH61</f>
        <v>0.27824890532595992</v>
      </c>
      <c r="AN61" s="189">
        <f t="shared" ref="AN61" si="164">AI61</f>
        <v>0.28769907449914611</v>
      </c>
      <c r="AO61" s="189">
        <f t="shared" ref="AO61" si="165">AJ61</f>
        <v>0.28328093225934242</v>
      </c>
      <c r="AP61" s="189">
        <f t="shared" ref="AP61" si="166">AK61</f>
        <v>0.28571481867083115</v>
      </c>
      <c r="AQ61" s="188">
        <f t="shared" ref="AQ61" si="167">AQ60/AQ59</f>
        <v>0.28369548793930355</v>
      </c>
      <c r="AR61" s="189">
        <f>AM61</f>
        <v>0.27824890532595992</v>
      </c>
      <c r="AS61" s="189">
        <f t="shared" ref="AS61" si="168">AN61</f>
        <v>0.28769907449914611</v>
      </c>
      <c r="AT61" s="189">
        <f t="shared" ref="AT61" si="169">AO61</f>
        <v>0.28328093225934242</v>
      </c>
      <c r="AU61" s="189">
        <f t="shared" ref="AU61" si="170">AP61</f>
        <v>0.28571481867083115</v>
      </c>
      <c r="AV61" s="188">
        <f t="shared" ref="AV61" si="171">AV60/AV59</f>
        <v>0.28369488652483249</v>
      </c>
    </row>
    <row r="62" spans="2:48" outlineLevel="1" x14ac:dyDescent="0.3">
      <c r="B62" s="180" t="s">
        <v>32</v>
      </c>
      <c r="C62" s="18"/>
      <c r="D62" s="48">
        <v>1983.1</v>
      </c>
      <c r="E62" s="48">
        <v>1935.7</v>
      </c>
      <c r="F62" s="48">
        <v>2034</v>
      </c>
      <c r="G62" s="48">
        <v>2112.1</v>
      </c>
      <c r="H62" s="49"/>
      <c r="I62" s="48">
        <v>2214.4</v>
      </c>
      <c r="J62" s="48">
        <v>2158.6</v>
      </c>
      <c r="K62" s="48">
        <v>2054.4</v>
      </c>
      <c r="L62" s="48">
        <v>2060.6999999999998</v>
      </c>
      <c r="M62" s="165"/>
      <c r="N62" s="48">
        <v>2238.8000000000002</v>
      </c>
      <c r="O62" s="48">
        <v>2203.1</v>
      </c>
      <c r="P62" s="48">
        <v>2346.8000000000002</v>
      </c>
      <c r="Q62" s="105">
        <v>2570.8000000000002</v>
      </c>
      <c r="R62" s="49"/>
      <c r="S62" s="48">
        <v>2702.4</v>
      </c>
      <c r="T62" s="48">
        <v>2625.4</v>
      </c>
      <c r="U62" s="48">
        <v>2670</v>
      </c>
      <c r="V62" s="48">
        <f>V63*V45</f>
        <v>2726.9807861340696</v>
      </c>
      <c r="W62" s="49">
        <f>SUM(S62:V62)</f>
        <v>10724.78078613407</v>
      </c>
      <c r="X62" s="48">
        <f>X63*X45</f>
        <v>3006.850845647361</v>
      </c>
      <c r="Y62" s="48">
        <f>Y63*Y45</f>
        <v>2910.4487867575176</v>
      </c>
      <c r="Z62" s="48">
        <f>Z63*Z45</f>
        <v>2945.8542052939415</v>
      </c>
      <c r="AA62" s="48">
        <f>AA63*AA45</f>
        <v>2936.9830163853408</v>
      </c>
      <c r="AB62" s="49">
        <f>SUM(X62:AA62)</f>
        <v>11800.136854084159</v>
      </c>
      <c r="AC62" s="48">
        <f>AC63*AC45</f>
        <v>3172.2553472433583</v>
      </c>
      <c r="AD62" s="48">
        <f>AD63*AD45</f>
        <v>3127.5011657438504</v>
      </c>
      <c r="AE62" s="48">
        <f>AE63*AE45</f>
        <v>3168.2039736852134</v>
      </c>
      <c r="AF62" s="48">
        <f>AF63*AF45</f>
        <v>3231.4556427535872</v>
      </c>
      <c r="AG62" s="49">
        <f>SUM(AC62:AF62)</f>
        <v>12699.416129426008</v>
      </c>
      <c r="AH62" s="48">
        <f>AH63*AH45</f>
        <v>3484.222485661282</v>
      </c>
      <c r="AI62" s="48">
        <f>AI63*AI45</f>
        <v>3439.12178578253</v>
      </c>
      <c r="AJ62" s="48">
        <f>AJ63*AJ45</f>
        <v>3486.9825205405159</v>
      </c>
      <c r="AK62" s="48">
        <f>AK63*AK45</f>
        <v>3560.3482386881774</v>
      </c>
      <c r="AL62" s="49">
        <f>SUM(AH62:AK62)</f>
        <v>13970.675030672504</v>
      </c>
      <c r="AM62" s="48">
        <f>AM63*AM45</f>
        <v>3777.5263559447735</v>
      </c>
      <c r="AN62" s="48">
        <f>AN63*AN45</f>
        <v>3731.0350285046843</v>
      </c>
      <c r="AO62" s="48">
        <f>AO63*AO45</f>
        <v>3785.3591300508269</v>
      </c>
      <c r="AP62" s="48">
        <f>AP63*AP45</f>
        <v>3867.4157081493158</v>
      </c>
      <c r="AQ62" s="49">
        <f>SUM(AM62:AP62)</f>
        <v>15161.336222649601</v>
      </c>
      <c r="AR62" s="48">
        <f>AR63*AR45</f>
        <v>4025.8193755574684</v>
      </c>
      <c r="AS62" s="48">
        <f>AS63*AS45</f>
        <v>3975.1261164791313</v>
      </c>
      <c r="AT62" s="48">
        <f>AT63*AT45</f>
        <v>4031.8612325900453</v>
      </c>
      <c r="AU62" s="48">
        <f>AU63*AU45</f>
        <v>4118.1133212222176</v>
      </c>
      <c r="AV62" s="49">
        <f>SUM(AR62:AU62)</f>
        <v>16150.920045848863</v>
      </c>
    </row>
    <row r="63" spans="2:48" s="184" customFormat="1" outlineLevel="1" x14ac:dyDescent="0.3">
      <c r="B63" s="181" t="s">
        <v>150</v>
      </c>
      <c r="C63" s="190"/>
      <c r="D63" s="187">
        <f>D62/D45</f>
        <v>0.48460485802257952</v>
      </c>
      <c r="E63" s="187">
        <f>E62/E45</f>
        <v>0.50283146300914383</v>
      </c>
      <c r="F63" s="187">
        <f>F62/F45</f>
        <v>0.48634689876141746</v>
      </c>
      <c r="G63" s="187">
        <f>G62/G45</f>
        <v>0.5072042649248355</v>
      </c>
      <c r="H63" s="188"/>
      <c r="I63" s="187">
        <f>I62/I45</f>
        <v>0.49528069783046302</v>
      </c>
      <c r="J63" s="187">
        <f>J62/J45</f>
        <v>0.55870172895744896</v>
      </c>
      <c r="K63" s="187">
        <f>K62/K45</f>
        <v>0.79971972439565575</v>
      </c>
      <c r="L63" s="187">
        <f>L62/L45</f>
        <v>0.53175238046086748</v>
      </c>
      <c r="M63" s="188"/>
      <c r="N63" s="187">
        <f>N62/N45</f>
        <v>0.52249813293502612</v>
      </c>
      <c r="O63" s="187">
        <f>O62/O45</f>
        <v>0.51614187986130633</v>
      </c>
      <c r="P63" s="187">
        <f>P62/P45</f>
        <v>0.47604365288652684</v>
      </c>
      <c r="Q63" s="167">
        <f>Q62/Q45</f>
        <v>0.48927545058333177</v>
      </c>
      <c r="R63" s="188"/>
      <c r="S63" s="187">
        <f>S62/S45</f>
        <v>0.51828695268598601</v>
      </c>
      <c r="T63" s="187">
        <f>T62/T45</f>
        <v>0.53185584344549564</v>
      </c>
      <c r="U63" s="187">
        <f>U62/U45</f>
        <v>0.48429224406878041</v>
      </c>
      <c r="V63" s="189">
        <f>Q63+1.25%</f>
        <v>0.50177545058333173</v>
      </c>
      <c r="W63" s="188">
        <f>W62/W45</f>
        <v>0.50832528116366638</v>
      </c>
      <c r="X63" s="189">
        <f>S63+0.5%</f>
        <v>0.52328695268598602</v>
      </c>
      <c r="Y63" s="189">
        <f>T63+0.25%</f>
        <v>0.53435584344549558</v>
      </c>
      <c r="Z63" s="189">
        <f>U63+1%</f>
        <v>0.49429224406878042</v>
      </c>
      <c r="AA63" s="189">
        <f>V63</f>
        <v>0.50177545058333173</v>
      </c>
      <c r="AB63" s="188">
        <f>AB62/AB45</f>
        <v>0.51292326904967711</v>
      </c>
      <c r="AC63" s="189">
        <f>X63-1%</f>
        <v>0.51328695268598601</v>
      </c>
      <c r="AD63" s="189">
        <f>Y63-0.1%</f>
        <v>0.53335584344549558</v>
      </c>
      <c r="AE63" s="189">
        <f>Z63-0.1%</f>
        <v>0.49329224406878042</v>
      </c>
      <c r="AF63" s="189">
        <f>AA63+1%</f>
        <v>0.51177545058333174</v>
      </c>
      <c r="AG63" s="188">
        <f>AG62/AG45</f>
        <v>0.5124685373089205</v>
      </c>
      <c r="AH63" s="189">
        <f t="shared" ref="AH63" si="172">AC63-0.1%</f>
        <v>0.51228695268598601</v>
      </c>
      <c r="AI63" s="189">
        <f t="shared" ref="AI63" si="173">AD63-0.1%</f>
        <v>0.53235584344549558</v>
      </c>
      <c r="AJ63" s="189">
        <f t="shared" ref="AJ63" si="174">AE63-0.1%</f>
        <v>0.49229224406878042</v>
      </c>
      <c r="AK63" s="189">
        <f t="shared" ref="AK63" si="175">AF63-0.1%</f>
        <v>0.51077545058333174</v>
      </c>
      <c r="AL63" s="188">
        <f>AL62/AL45</f>
        <v>0.51146277220653291</v>
      </c>
      <c r="AM63" s="189">
        <f>AH63</f>
        <v>0.51228695268598601</v>
      </c>
      <c r="AN63" s="189">
        <f t="shared" ref="AN63" si="176">AI63</f>
        <v>0.53235584344549558</v>
      </c>
      <c r="AO63" s="189">
        <f t="shared" ref="AO63" si="177">AJ63</f>
        <v>0.49229224406878042</v>
      </c>
      <c r="AP63" s="189">
        <f t="shared" ref="AP63" si="178">AK63</f>
        <v>0.51077545058333174</v>
      </c>
      <c r="AQ63" s="188">
        <f>AQ62/AQ45</f>
        <v>0.51145926506270478</v>
      </c>
      <c r="AR63" s="189">
        <f>AM63</f>
        <v>0.51228695268598601</v>
      </c>
      <c r="AS63" s="189">
        <f t="shared" ref="AS63" si="179">AN63</f>
        <v>0.53235584344549558</v>
      </c>
      <c r="AT63" s="189">
        <f t="shared" ref="AT63" si="180">AO63</f>
        <v>0.49229224406878042</v>
      </c>
      <c r="AU63" s="189">
        <f t="shared" ref="AU63" si="181">AP63</f>
        <v>0.51077545058333174</v>
      </c>
      <c r="AV63" s="188">
        <f>AV62/AV45</f>
        <v>0.51146083183627311</v>
      </c>
    </row>
    <row r="64" spans="2:48" outlineLevel="1" x14ac:dyDescent="0.3">
      <c r="B64" s="180" t="s">
        <v>33</v>
      </c>
      <c r="C64" s="18"/>
      <c r="D64" s="48">
        <v>44.5</v>
      </c>
      <c r="E64" s="48">
        <v>39.4</v>
      </c>
      <c r="F64" s="48">
        <v>41.7</v>
      </c>
      <c r="G64" s="48">
        <v>34.200000000000003</v>
      </c>
      <c r="H64" s="49"/>
      <c r="I64" s="48">
        <v>42.5</v>
      </c>
      <c r="J64" s="48">
        <v>41.8</v>
      </c>
      <c r="K64" s="48">
        <v>40.700000000000003</v>
      </c>
      <c r="L64" s="48">
        <v>38</v>
      </c>
      <c r="M64" s="49"/>
      <c r="N64" s="48">
        <v>42.8</v>
      </c>
      <c r="O64" s="48">
        <v>41.9</v>
      </c>
      <c r="P64" s="48">
        <v>39.700000000000003</v>
      </c>
      <c r="Q64" s="105">
        <v>47.3</v>
      </c>
      <c r="R64" s="49"/>
      <c r="S64" s="48">
        <v>48.2</v>
      </c>
      <c r="T64" s="48">
        <v>47.1</v>
      </c>
      <c r="U64" s="48">
        <v>55.4</v>
      </c>
      <c r="V64" s="48">
        <f t="shared" ref="V64" si="182">V59*V65</f>
        <v>53.533280907647139</v>
      </c>
      <c r="W64" s="49">
        <f>SUM(S64:V64)</f>
        <v>204.23328090764716</v>
      </c>
      <c r="X64" s="48">
        <f>X59*X65</f>
        <v>53.162557130754159</v>
      </c>
      <c r="Y64" s="48">
        <f>Y59*Y65</f>
        <v>52.0524501954458</v>
      </c>
      <c r="Z64" s="48">
        <f t="shared" ref="Z64:AA64" si="183">Z59*Z65</f>
        <v>59.899395124145947</v>
      </c>
      <c r="AA64" s="48">
        <f t="shared" si="183"/>
        <v>57.704129516180721</v>
      </c>
      <c r="AB64" s="49">
        <f>SUM(X64:AA64)</f>
        <v>222.81853196652662</v>
      </c>
      <c r="AC64" s="48">
        <f>AC59*AC65</f>
        <v>57.256060059615379</v>
      </c>
      <c r="AD64" s="48">
        <f>AD59*AD65</f>
        <v>56.120237192919291</v>
      </c>
      <c r="AE64" s="48">
        <f t="shared" ref="AE64:AF64" si="184">AE59*AE65</f>
        <v>64.642719774532324</v>
      </c>
      <c r="AF64" s="48">
        <f t="shared" si="184"/>
        <v>62.336729748622339</v>
      </c>
      <c r="AG64" s="49">
        <f>SUM(AC64:AF64)</f>
        <v>240.35574677568931</v>
      </c>
      <c r="AH64" s="48">
        <f>AH59*AH65</f>
        <v>63.105694451848315</v>
      </c>
      <c r="AI64" s="48">
        <f>AI59*AI65</f>
        <v>61.928299934996467</v>
      </c>
      <c r="AJ64" s="48">
        <f t="shared" ref="AJ64:AK64" si="185">AJ59*AJ65</f>
        <v>71.403943347064839</v>
      </c>
      <c r="AK64" s="48">
        <f t="shared" si="185"/>
        <v>68.922528007962214</v>
      </c>
      <c r="AL64" s="49">
        <f>SUM(AH64:AK64)</f>
        <v>265.36046574187185</v>
      </c>
      <c r="AM64" s="48">
        <f>AM59*AM65</f>
        <v>68.500129315975087</v>
      </c>
      <c r="AN64" s="48">
        <f>AN59*AN65</f>
        <v>67.204701859293579</v>
      </c>
      <c r="AO64" s="48">
        <f t="shared" ref="AO64:AP64" si="186">AO59*AO65</f>
        <v>77.467202642214787</v>
      </c>
      <c r="AP64" s="48">
        <f t="shared" si="186"/>
        <v>74.76075960220092</v>
      </c>
      <c r="AQ64" s="49">
        <f>SUM(AM64:AP64)</f>
        <v>287.93279341968434</v>
      </c>
      <c r="AR64" s="48">
        <f>AR59*AR65</f>
        <v>72.863023176636403</v>
      </c>
      <c r="AS64" s="48">
        <f>AS59*AS65</f>
        <v>71.461540562097852</v>
      </c>
      <c r="AT64" s="48">
        <f t="shared" ref="AT64:AU64" si="187">AT59*AT65</f>
        <v>82.36185513796751</v>
      </c>
      <c r="AU64" s="48">
        <f t="shared" si="187"/>
        <v>79.46984367850412</v>
      </c>
      <c r="AV64" s="49">
        <f>SUM(AR64:AU64)</f>
        <v>306.15626255520584</v>
      </c>
    </row>
    <row r="65" spans="2:48" s="184" customFormat="1" outlineLevel="1" x14ac:dyDescent="0.3">
      <c r="B65" s="181" t="s">
        <v>152</v>
      </c>
      <c r="C65" s="190"/>
      <c r="D65" s="187">
        <f>D64/D59</f>
        <v>9.6476964769647705E-3</v>
      </c>
      <c r="E65" s="187">
        <f t="shared" ref="E65:U65" si="188">E64/E59</f>
        <v>9.1328434667717479E-3</v>
      </c>
      <c r="F65" s="187">
        <f t="shared" si="188"/>
        <v>8.908162611352034E-3</v>
      </c>
      <c r="G65" s="187">
        <f t="shared" si="188"/>
        <v>7.352625016124179E-3</v>
      </c>
      <c r="H65" s="188"/>
      <c r="I65" s="187">
        <f t="shared" si="188"/>
        <v>8.4815103075295863E-3</v>
      </c>
      <c r="J65" s="187">
        <f t="shared" si="188"/>
        <v>9.6535796766743648E-3</v>
      </c>
      <c r="K65" s="187">
        <f t="shared" si="188"/>
        <v>1.4507217964712174E-2</v>
      </c>
      <c r="L65" s="187">
        <f t="shared" si="188"/>
        <v>9.017774508175324E-3</v>
      </c>
      <c r="M65" s="188"/>
      <c r="N65" s="187">
        <f t="shared" si="188"/>
        <v>9.1001871066507915E-3</v>
      </c>
      <c r="O65" s="187">
        <f t="shared" si="188"/>
        <v>8.982549414740814E-3</v>
      </c>
      <c r="P65" s="187">
        <f t="shared" si="188"/>
        <v>7.3514434383275002E-3</v>
      </c>
      <c r="Q65" s="167">
        <f t="shared" si="188"/>
        <v>8.2075307999305916E-3</v>
      </c>
      <c r="R65" s="188"/>
      <c r="S65" s="187">
        <f t="shared" si="188"/>
        <v>8.4084922282504412E-3</v>
      </c>
      <c r="T65" s="187">
        <f t="shared" si="188"/>
        <v>8.6490258368988378E-3</v>
      </c>
      <c r="U65" s="187">
        <f t="shared" si="188"/>
        <v>9.1443285355869534E-3</v>
      </c>
      <c r="V65" s="189">
        <v>8.9999999999999993E-3</v>
      </c>
      <c r="W65" s="188">
        <f t="shared" ref="W65" si="189">W64/W59</f>
        <v>8.8090279317011178E-3</v>
      </c>
      <c r="X65" s="189">
        <f>S65</f>
        <v>8.4084922282504412E-3</v>
      </c>
      <c r="Y65" s="189">
        <f t="shared" ref="Y65" si="190">T65</f>
        <v>8.6490258368988378E-3</v>
      </c>
      <c r="Z65" s="189">
        <f t="shared" ref="Z65" si="191">U65</f>
        <v>9.1443285355869534E-3</v>
      </c>
      <c r="AA65" s="189">
        <f t="shared" ref="AA65" si="192">V65</f>
        <v>8.9999999999999993E-3</v>
      </c>
      <c r="AB65" s="188">
        <f t="shared" ref="AB65" si="193">AB64/AB59</f>
        <v>8.8060826641130126E-3</v>
      </c>
      <c r="AC65" s="189">
        <f>X65</f>
        <v>8.4084922282504412E-3</v>
      </c>
      <c r="AD65" s="189">
        <f t="shared" ref="AD65" si="194">Y65</f>
        <v>8.6490258368988378E-3</v>
      </c>
      <c r="AE65" s="189">
        <f t="shared" ref="AE65" si="195">Z65</f>
        <v>9.1443285355869534E-3</v>
      </c>
      <c r="AF65" s="189">
        <f t="shared" ref="AF65" si="196">AA65</f>
        <v>8.9999999999999993E-3</v>
      </c>
      <c r="AG65" s="188">
        <f t="shared" ref="AG65" si="197">AG64/AG59</f>
        <v>8.8063700772517562E-3</v>
      </c>
      <c r="AH65" s="189">
        <f>AC65</f>
        <v>8.4084922282504412E-3</v>
      </c>
      <c r="AI65" s="189">
        <f t="shared" ref="AI65" si="198">AD65</f>
        <v>8.6490258368988378E-3</v>
      </c>
      <c r="AJ65" s="189">
        <f t="shared" ref="AJ65" si="199">AE65</f>
        <v>9.1443285355869534E-3</v>
      </c>
      <c r="AK65" s="189">
        <f t="shared" ref="AK65" si="200">AF65</f>
        <v>8.9999999999999993E-3</v>
      </c>
      <c r="AL65" s="188">
        <f t="shared" ref="AL65" si="201">AL64/AL59</f>
        <v>8.8066725945612854E-3</v>
      </c>
      <c r="AM65" s="189">
        <f>AH65</f>
        <v>8.4084922282504412E-3</v>
      </c>
      <c r="AN65" s="189">
        <f t="shared" ref="AN65" si="202">AI65</f>
        <v>8.6490258368988378E-3</v>
      </c>
      <c r="AO65" s="189">
        <f t="shared" ref="AO65" si="203">AJ65</f>
        <v>9.1443285355869534E-3</v>
      </c>
      <c r="AP65" s="189">
        <f t="shared" ref="AP65" si="204">AK65</f>
        <v>8.9999999999999993E-3</v>
      </c>
      <c r="AQ65" s="188">
        <f t="shared" ref="AQ65" si="205">AQ64/AQ59</f>
        <v>8.8066014014564591E-3</v>
      </c>
      <c r="AR65" s="189">
        <f>AM65</f>
        <v>8.4084922282504412E-3</v>
      </c>
      <c r="AS65" s="189">
        <f t="shared" ref="AS65" si="206">AN65</f>
        <v>8.6490258368988378E-3</v>
      </c>
      <c r="AT65" s="189">
        <f t="shared" ref="AT65" si="207">AO65</f>
        <v>9.1443285355869534E-3</v>
      </c>
      <c r="AU65" s="189">
        <f t="shared" ref="AU65" si="208">AP65</f>
        <v>8.9999999999999993E-3</v>
      </c>
      <c r="AV65" s="188">
        <f t="shared" ref="AV65" si="209">AV64/AV59</f>
        <v>8.8065394274027976E-3</v>
      </c>
    </row>
    <row r="66" spans="2:48" outlineLevel="1" x14ac:dyDescent="0.3">
      <c r="B66" s="180" t="s">
        <v>34</v>
      </c>
      <c r="C66" s="18"/>
      <c r="D66" s="358">
        <v>166.9</v>
      </c>
      <c r="E66" s="358">
        <v>173</v>
      </c>
      <c r="F66" s="358">
        <v>175.6</v>
      </c>
      <c r="G66" s="358">
        <v>180.6</v>
      </c>
      <c r="H66" s="130"/>
      <c r="I66" s="358">
        <v>189.2</v>
      </c>
      <c r="J66" s="358">
        <v>191.5</v>
      </c>
      <c r="K66" s="358">
        <v>191.3</v>
      </c>
      <c r="L66" s="358">
        <v>190.1</v>
      </c>
      <c r="M66" s="359"/>
      <c r="N66" s="358">
        <v>188.9</v>
      </c>
      <c r="O66" s="358">
        <v>186</v>
      </c>
      <c r="P66" s="358">
        <v>188.9</v>
      </c>
      <c r="Q66" s="358">
        <v>189.9</v>
      </c>
      <c r="R66" s="170"/>
      <c r="S66" s="358">
        <v>200</v>
      </c>
      <c r="T66" s="358">
        <v>202</v>
      </c>
      <c r="U66" s="358">
        <v>201.2</v>
      </c>
      <c r="V66" s="358">
        <f>(U66/(U66+U99+U114+U127))*'CFS 3Q2022'!V7*0.95</f>
        <v>208.17665687257025</v>
      </c>
      <c r="W66" s="170">
        <f t="shared" ref="W66:W67" si="210">SUM(S66:V66)</f>
        <v>811.37665687257027</v>
      </c>
      <c r="X66" s="358">
        <f>(V66/(V66+V99+V114+V127))*'CFS 3Q2022'!X7*0.95</f>
        <v>211.63336018905395</v>
      </c>
      <c r="Y66" s="358">
        <f>(X66/(X66+X99+X114+X127))*'CFS 3Q2022'!Y7*0.95</f>
        <v>220.6968361958499</v>
      </c>
      <c r="Z66" s="358">
        <f>(Y66/(Y66+Y99+Y114+Y127))*'CFS 3Q2022'!Z7*0.95</f>
        <v>228.26135584994856</v>
      </c>
      <c r="AA66" s="358">
        <f>(Z66/(Z66+Z99+Z114+Z127))*'CFS 3Q2022'!AA7*0.95</f>
        <v>237.38303634773175</v>
      </c>
      <c r="AB66" s="170">
        <f t="shared" ref="AB66:AB67" si="211">SUM(X66:AA66)</f>
        <v>897.97458858258415</v>
      </c>
      <c r="AC66" s="358">
        <f>(AA66/(AA66+AA99+AA114+AA127))*'CFS 3Q2022'!AC7*0.95</f>
        <v>246.6202576488075</v>
      </c>
      <c r="AD66" s="358">
        <f>(AC66/(AC66+AC99+AC114+AC127))*'CFS 3Q2022'!AD7*0.95</f>
        <v>253.77929516857887</v>
      </c>
      <c r="AE66" s="358">
        <f>(AD66/(AD66+AD99+AD114+AD127))*'CFS 3Q2022'!AE7*0.95</f>
        <v>259.25354839469531</v>
      </c>
      <c r="AF66" s="358">
        <f>(AE66/(AE66+AE99+AE114+AE127))*'CFS 3Q2022'!AF7*0.95</f>
        <v>266.42328526001182</v>
      </c>
      <c r="AG66" s="170">
        <f t="shared" ref="AG66:AG67" si="212">SUM(AC66:AF66)</f>
        <v>1026.0763864720936</v>
      </c>
      <c r="AH66" s="358">
        <f>(AF66/(AF66+AF99+AF114+AF127))*'CFS 3Q2022'!AH7*0.95</f>
        <v>273.76965454916007</v>
      </c>
      <c r="AI66" s="358">
        <f>(AH66/(AH66+AH99+AH114+AH127))*'CFS 3Q2022'!AI7*0.95</f>
        <v>279.25569289082978</v>
      </c>
      <c r="AJ66" s="358">
        <f>(AI66/(AI66+AI99+AI114+AI127))*'CFS 3Q2022'!AJ7*0.95</f>
        <v>283.18181335783379</v>
      </c>
      <c r="AK66" s="358">
        <f>(AJ66/(AJ66+AJ99+AJ114+AJ127))*'CFS 3Q2022'!AK7*0.95</f>
        <v>288.89560288592685</v>
      </c>
      <c r="AL66" s="170">
        <f t="shared" ref="AL66:AL67" si="213">SUM(AH66:AK66)</f>
        <v>1125.1027636837505</v>
      </c>
      <c r="AM66" s="358">
        <f>(AK66/(AK66+AK99+AK114+AK127))*'CFS 3Q2022'!AM7*0.95</f>
        <v>294.90464360603869</v>
      </c>
      <c r="AN66" s="358">
        <f>(AM66/(AM66+AM99+AM114+AM127))*'CFS 3Q2022'!AN7*0.95</f>
        <v>301.32056521892156</v>
      </c>
      <c r="AO66" s="358">
        <f>(AN66/(AN66+AN99+AN114+AN127))*'CFS 3Q2022'!AO7*0.95</f>
        <v>305.88617301473738</v>
      </c>
      <c r="AP66" s="358">
        <f>(AO66/(AO66+AO99+AO114+AO127))*'CFS 3Q2022'!AP7*0.95</f>
        <v>312.29527495623836</v>
      </c>
      <c r="AQ66" s="170">
        <f t="shared" ref="AQ66:AQ67" si="214">SUM(AM66:AP66)</f>
        <v>1214.4066567959358</v>
      </c>
      <c r="AR66" s="358">
        <f>(AP66/(AP66+AP99+AP114+AP127))*'CFS 3Q2022'!AR7*0.95</f>
        <v>318.93637193993783</v>
      </c>
      <c r="AS66" s="358">
        <f>(AR66/(AR66+AR99+AR114+AR127))*'CFS 3Q2022'!AS7*0.95</f>
        <v>325.47565273286807</v>
      </c>
      <c r="AT66" s="358">
        <f>(AS66/(AS66+AS99+AS114+AS127))*'CFS 3Q2022'!AT7*0.95</f>
        <v>330.04475591345675</v>
      </c>
      <c r="AU66" s="358">
        <f>(AT66/(AT66+AT99+AT114+AT127))*'CFS 3Q2022'!AU7*0.95</f>
        <v>336.58678537324772</v>
      </c>
      <c r="AV66" s="170">
        <f t="shared" ref="AV66:AV67" si="215">SUM(AR66:AU66)</f>
        <v>1311.0435659595105</v>
      </c>
    </row>
    <row r="67" spans="2:48" outlineLevel="1" x14ac:dyDescent="0.3">
      <c r="B67" s="180" t="s">
        <v>35</v>
      </c>
      <c r="C67" s="18"/>
      <c r="D67" s="48">
        <v>75.099999999999994</v>
      </c>
      <c r="E67" s="48">
        <v>70.900000000000006</v>
      </c>
      <c r="F67" s="48">
        <v>72</v>
      </c>
      <c r="G67" s="48">
        <v>106</v>
      </c>
      <c r="H67" s="49"/>
      <c r="I67" s="48">
        <v>72.400000000000006</v>
      </c>
      <c r="J67" s="48">
        <v>68.2</v>
      </c>
      <c r="K67" s="48">
        <v>62.2</v>
      </c>
      <c r="L67" s="48">
        <v>65.2</v>
      </c>
      <c r="M67" s="165"/>
      <c r="N67" s="48">
        <v>70.8</v>
      </c>
      <c r="O67" s="48">
        <v>77.7</v>
      </c>
      <c r="P67" s="48">
        <v>73.2</v>
      </c>
      <c r="Q67" s="105">
        <v>78.400000000000006</v>
      </c>
      <c r="R67" s="49"/>
      <c r="S67" s="48">
        <v>76.7</v>
      </c>
      <c r="T67" s="48">
        <v>71.3</v>
      </c>
      <c r="U67" s="48">
        <v>76.5</v>
      </c>
      <c r="V67" s="48">
        <f t="shared" ref="V67" si="216">V68*V59</f>
        <v>155.27045995612178</v>
      </c>
      <c r="W67" s="49">
        <f t="shared" si="210"/>
        <v>379.77045995612178</v>
      </c>
      <c r="X67" s="48">
        <f>X68*X59</f>
        <v>116.20926894464634</v>
      </c>
      <c r="Y67" s="48">
        <f>Y68*Y59</f>
        <v>93.842776412072908</v>
      </c>
      <c r="Z67" s="48">
        <f t="shared" ref="Z67:AA67" si="217">Z68*Z59</f>
        <v>99.089169053203605</v>
      </c>
      <c r="AA67" s="48">
        <f t="shared" si="217"/>
        <v>103.25208707025553</v>
      </c>
      <c r="AB67" s="49">
        <f t="shared" si="211"/>
        <v>412.39330148017837</v>
      </c>
      <c r="AC67" s="48">
        <f>AC68*AC59</f>
        <v>104.72941146746817</v>
      </c>
      <c r="AD67" s="48">
        <f>AD68*AD59</f>
        <v>114.15362637838234</v>
      </c>
      <c r="AE67" s="48">
        <f t="shared" ref="AE67:AF67" si="218">AE68*AE59</f>
        <v>99.866701136728594</v>
      </c>
      <c r="AF67" s="48">
        <f t="shared" si="218"/>
        <v>104.61506299967142</v>
      </c>
      <c r="AG67" s="49">
        <f t="shared" si="212"/>
        <v>423.36480198225053</v>
      </c>
      <c r="AH67" s="48">
        <f>AH68*AH59</f>
        <v>107.92422275442107</v>
      </c>
      <c r="AI67" s="48">
        <f>AI68*AI59</f>
        <v>118.80760266902939</v>
      </c>
      <c r="AJ67" s="48">
        <f t="shared" ref="AJ67:AK67" si="219">AJ68*AJ59</f>
        <v>102.50358287432111</v>
      </c>
      <c r="AK67" s="48">
        <f t="shared" si="219"/>
        <v>108.00945611427655</v>
      </c>
      <c r="AL67" s="49">
        <f t="shared" si="213"/>
        <v>437.24486441204812</v>
      </c>
      <c r="AM67" s="48">
        <f>AM68*AM59</f>
        <v>117.14985912475628</v>
      </c>
      <c r="AN67" s="48">
        <f>AN68*AN59</f>
        <v>128.93022292506743</v>
      </c>
      <c r="AO67" s="48">
        <f t="shared" ref="AO67:AP67" si="220">AO68*AO59</f>
        <v>111.20766520529294</v>
      </c>
      <c r="AP67" s="48">
        <f t="shared" si="220"/>
        <v>117.15863037396215</v>
      </c>
      <c r="AQ67" s="49">
        <f t="shared" si="214"/>
        <v>474.44637762907882</v>
      </c>
      <c r="AR67" s="48">
        <f>AR68*AR59</f>
        <v>124.61133994612956</v>
      </c>
      <c r="AS67" s="48">
        <f>AS68*AS59</f>
        <v>137.09684144615997</v>
      </c>
      <c r="AT67" s="48">
        <f t="shared" ref="AT67:AU67" si="221">AT68*AT59</f>
        <v>118.23415974076619</v>
      </c>
      <c r="AU67" s="48">
        <f t="shared" si="221"/>
        <v>124.53830179023915</v>
      </c>
      <c r="AV67" s="49">
        <f t="shared" si="215"/>
        <v>504.48064292329485</v>
      </c>
    </row>
    <row r="68" spans="2:48" s="184" customFormat="1" outlineLevel="1" x14ac:dyDescent="0.3">
      <c r="B68" s="181" t="s">
        <v>153</v>
      </c>
      <c r="C68" s="190"/>
      <c r="D68" s="187">
        <f>D67/D59</f>
        <v>1.6281842818428184E-2</v>
      </c>
      <c r="E68" s="187">
        <f t="shared" ref="E68:Q68" si="222">E67/E59</f>
        <v>1.6434482279038501E-2</v>
      </c>
      <c r="F68" s="187">
        <f t="shared" si="222"/>
        <v>1.5381000192262503E-2</v>
      </c>
      <c r="G68" s="187">
        <f t="shared" si="222"/>
        <v>2.2788837769273769E-2</v>
      </c>
      <c r="H68" s="188"/>
      <c r="I68" s="187">
        <f t="shared" si="222"/>
        <v>1.4448502265062167E-2</v>
      </c>
      <c r="J68" s="187">
        <f t="shared" si="222"/>
        <v>1.5750577367205542E-2</v>
      </c>
      <c r="K68" s="187">
        <f t="shared" si="222"/>
        <v>2.2170736054179293E-2</v>
      </c>
      <c r="L68" s="187">
        <f t="shared" si="222"/>
        <v>1.5472602577185029E-2</v>
      </c>
      <c r="M68" s="188"/>
      <c r="N68" s="187">
        <f t="shared" si="222"/>
        <v>1.5053580540908319E-2</v>
      </c>
      <c r="O68" s="187">
        <f t="shared" si="222"/>
        <v>1.6657376838314114E-2</v>
      </c>
      <c r="P68" s="187">
        <f t="shared" si="222"/>
        <v>1.3554802510971613E-2</v>
      </c>
      <c r="Q68" s="167">
        <f t="shared" si="222"/>
        <v>1.3604025681068889E-2</v>
      </c>
      <c r="R68" s="188"/>
      <c r="S68" s="187">
        <f t="shared" ref="S68:U68" si="223">S67/S59</f>
        <v>1.3380318545784415E-2</v>
      </c>
      <c r="T68" s="187">
        <f t="shared" si="223"/>
        <v>1.3092898984519897E-2</v>
      </c>
      <c r="U68" s="187">
        <f t="shared" si="223"/>
        <v>1.2627096263039747E-2</v>
      </c>
      <c r="V68" s="189">
        <f>Q68+1.25%</f>
        <v>2.6104025681068892E-2</v>
      </c>
      <c r="W68" s="188">
        <f t="shared" ref="W68" si="224">W67/W59</f>
        <v>1.638033025039258E-2</v>
      </c>
      <c r="X68" s="189">
        <f>S68+0.5%</f>
        <v>1.8380318545784414E-2</v>
      </c>
      <c r="Y68" s="189">
        <f>T68+0.25%</f>
        <v>1.5592898984519897E-2</v>
      </c>
      <c r="Z68" s="189">
        <f>U68+0.25%</f>
        <v>1.5127096263039748E-2</v>
      </c>
      <c r="AA68" s="189">
        <f>V68-1%</f>
        <v>1.610402568106889E-2</v>
      </c>
      <c r="AB68" s="188">
        <f t="shared" ref="AB68" si="225">AB67/AB59</f>
        <v>1.6298327930400733E-2</v>
      </c>
      <c r="AC68" s="189">
        <f>X68-0.3%</f>
        <v>1.5380318545784415E-2</v>
      </c>
      <c r="AD68" s="189">
        <f>Y68+0.2%</f>
        <v>1.7592898984519899E-2</v>
      </c>
      <c r="AE68" s="189">
        <f>Z68-0.1%</f>
        <v>1.4127096263039748E-2</v>
      </c>
      <c r="AF68" s="189">
        <f>AA68-0.1%</f>
        <v>1.5104025681068889E-2</v>
      </c>
      <c r="AG68" s="188">
        <f t="shared" ref="AG68" si="226">AG67/AG59</f>
        <v>1.5511620479029065E-2</v>
      </c>
      <c r="AH68" s="189">
        <f t="shared" ref="AH68" si="227">AC68-0.1%</f>
        <v>1.4380318545784414E-2</v>
      </c>
      <c r="AI68" s="189">
        <f t="shared" ref="AI68" si="228">AD68-0.1%</f>
        <v>1.6592898984519898E-2</v>
      </c>
      <c r="AJ68" s="189">
        <f t="shared" ref="AJ68" si="229">AE68-0.1%</f>
        <v>1.3127096263039748E-2</v>
      </c>
      <c r="AK68" s="189">
        <f t="shared" ref="AK68" si="230">AF68-0.1%</f>
        <v>1.4104025681068888E-2</v>
      </c>
      <c r="AL68" s="188">
        <f t="shared" ref="AL68" si="231">AL67/AL59</f>
        <v>1.4511100414920031E-2</v>
      </c>
      <c r="AM68" s="189">
        <f>AH68</f>
        <v>1.4380318545784414E-2</v>
      </c>
      <c r="AN68" s="189">
        <f t="shared" ref="AN68" si="232">AI68</f>
        <v>1.6592898984519898E-2</v>
      </c>
      <c r="AO68" s="189">
        <f t="shared" ref="AO68" si="233">AJ68</f>
        <v>1.3127096263039748E-2</v>
      </c>
      <c r="AP68" s="189">
        <f t="shared" ref="AP68" si="234">AK68</f>
        <v>1.4104025681068888E-2</v>
      </c>
      <c r="AQ68" s="188">
        <f t="shared" ref="AQ68" si="235">AQ67/AQ59</f>
        <v>1.4511233974151905E-2</v>
      </c>
      <c r="AR68" s="189">
        <f>AM68</f>
        <v>1.4380318545784414E-2</v>
      </c>
      <c r="AS68" s="189">
        <f t="shared" ref="AS68" si="236">AN68</f>
        <v>1.6592898984519898E-2</v>
      </c>
      <c r="AT68" s="189">
        <f t="shared" ref="AT68" si="237">AO68</f>
        <v>1.3127096263039748E-2</v>
      </c>
      <c r="AU68" s="189">
        <f t="shared" ref="AU68" si="238">AP68</f>
        <v>1.4104025681068888E-2</v>
      </c>
      <c r="AV68" s="188">
        <f t="shared" ref="AV68" si="239">AV67/AV59</f>
        <v>1.4511310777006885E-2</v>
      </c>
    </row>
    <row r="69" spans="2:48" ht="16.2" outlineLevel="1" x14ac:dyDescent="0.45">
      <c r="B69" s="180" t="s">
        <v>42</v>
      </c>
      <c r="C69" s="18"/>
      <c r="D69" s="119">
        <v>22.9</v>
      </c>
      <c r="E69" s="119">
        <v>18.2</v>
      </c>
      <c r="F69" s="119">
        <v>15.1</v>
      </c>
      <c r="G69" s="119">
        <v>0.7</v>
      </c>
      <c r="H69" s="131"/>
      <c r="I69" s="119">
        <v>5.2</v>
      </c>
      <c r="J69" s="119">
        <v>0.5</v>
      </c>
      <c r="K69" s="119">
        <v>56.2</v>
      </c>
      <c r="L69" s="119">
        <v>195.6</v>
      </c>
      <c r="M69" s="357"/>
      <c r="N69" s="119">
        <v>72.2</v>
      </c>
      <c r="O69" s="119">
        <v>23</v>
      </c>
      <c r="P69" s="119">
        <v>19.8</v>
      </c>
      <c r="Q69" s="119">
        <v>40.5</v>
      </c>
      <c r="R69" s="173"/>
      <c r="S69" s="119">
        <v>-7.5</v>
      </c>
      <c r="T69" s="119">
        <v>4.4000000000000004</v>
      </c>
      <c r="U69" s="119">
        <v>12</v>
      </c>
      <c r="V69" s="119">
        <f>IFERROR((V163*(U69/U163)),0)</f>
        <v>42.857142857142854</v>
      </c>
      <c r="W69" s="173">
        <f>SUM(S69:V69)</f>
        <v>51.757142857142853</v>
      </c>
      <c r="X69" s="119">
        <f>IFERROR((X163*(V69/V163)),0)</f>
        <v>42.857142857142854</v>
      </c>
      <c r="Y69" s="119">
        <f t="shared" ref="Y69:AA69" si="240">IFERROR((Y163*(X69/X163)),0)</f>
        <v>0</v>
      </c>
      <c r="Z69" s="119">
        <f t="shared" si="240"/>
        <v>0</v>
      </c>
      <c r="AA69" s="119">
        <f t="shared" si="240"/>
        <v>0</v>
      </c>
      <c r="AB69" s="173">
        <f>SUM(X69:AA69)</f>
        <v>42.857142857142854</v>
      </c>
      <c r="AC69" s="119">
        <f>IFERROR((AC163*(AA69/AA163)),0)</f>
        <v>0</v>
      </c>
      <c r="AD69" s="119">
        <f t="shared" ref="AD69:AF69" si="241">IFERROR((AD163*(AC69/AC163)),0)</f>
        <v>0</v>
      </c>
      <c r="AE69" s="119">
        <f t="shared" si="241"/>
        <v>0</v>
      </c>
      <c r="AF69" s="119">
        <f t="shared" si="241"/>
        <v>0</v>
      </c>
      <c r="AG69" s="173">
        <f>SUM(AC69:AF69)</f>
        <v>0</v>
      </c>
      <c r="AH69" s="119">
        <f>IFERROR((AH163*(AF69/AF163)),0)</f>
        <v>0</v>
      </c>
      <c r="AI69" s="119">
        <f t="shared" ref="AI69:AK69" si="242">IFERROR((AI163*(AH69/AH163)),0)</f>
        <v>0</v>
      </c>
      <c r="AJ69" s="119">
        <f t="shared" si="242"/>
        <v>0</v>
      </c>
      <c r="AK69" s="119">
        <f t="shared" si="242"/>
        <v>0</v>
      </c>
      <c r="AL69" s="173">
        <f>SUM(AH69:AK69)</f>
        <v>0</v>
      </c>
      <c r="AM69" s="119">
        <f>IFERROR((AM163*(AK69/AK163)),0)</f>
        <v>0</v>
      </c>
      <c r="AN69" s="119">
        <f t="shared" ref="AN69:AP69" si="243">IFERROR((AN163*(AM69/AM163)),0)</f>
        <v>0</v>
      </c>
      <c r="AO69" s="119">
        <f t="shared" si="243"/>
        <v>0</v>
      </c>
      <c r="AP69" s="119">
        <f t="shared" si="243"/>
        <v>0</v>
      </c>
      <c r="AQ69" s="173">
        <f>SUM(AM69:AP69)</f>
        <v>0</v>
      </c>
      <c r="AR69" s="119">
        <f>IFERROR((AR163*(AP69/AP163)),0)</f>
        <v>0</v>
      </c>
      <c r="AS69" s="119">
        <f t="shared" ref="AS69:AU69" si="244">IFERROR((AS163*(AR69/AR163)),0)</f>
        <v>0</v>
      </c>
      <c r="AT69" s="119">
        <f t="shared" si="244"/>
        <v>0</v>
      </c>
      <c r="AU69" s="119">
        <f t="shared" si="244"/>
        <v>0</v>
      </c>
      <c r="AV69" s="173">
        <f>SUM(AR69:AU69)</f>
        <v>0</v>
      </c>
    </row>
    <row r="70" spans="2:48" outlineLevel="1" x14ac:dyDescent="0.3">
      <c r="B70" s="46" t="s">
        <v>183</v>
      </c>
      <c r="C70" s="19"/>
      <c r="D70" s="103">
        <f>+D60+D62+D64+D66+D67+D69</f>
        <v>3643.7999999999997</v>
      </c>
      <c r="E70" s="103">
        <f t="shared" ref="E70:G70" si="245">+E60+E62+E64+E66+E67+E69</f>
        <v>3457.7</v>
      </c>
      <c r="F70" s="103">
        <f t="shared" si="245"/>
        <v>3662.3999999999996</v>
      </c>
      <c r="G70" s="103">
        <f t="shared" si="245"/>
        <v>3712.4999999999995</v>
      </c>
      <c r="H70" s="166">
        <f>+H60+H62+H64+H66+H67+H69</f>
        <v>0</v>
      </c>
      <c r="I70" s="103">
        <f t="shared" ref="I70:L70" si="246">+I60+I62+I64+I66+I67+I69</f>
        <v>3912.1</v>
      </c>
      <c r="J70" s="103">
        <f t="shared" si="246"/>
        <v>3708.8</v>
      </c>
      <c r="K70" s="103">
        <f t="shared" si="246"/>
        <v>3210.3999999999996</v>
      </c>
      <c r="L70" s="50">
        <f t="shared" si="246"/>
        <v>3707.8999999999996</v>
      </c>
      <c r="M70" s="191"/>
      <c r="N70" s="50">
        <f t="shared" ref="N70:Q70" si="247">+N60+N62+N64+N66+N67+N69</f>
        <v>3889.7000000000003</v>
      </c>
      <c r="O70" s="50">
        <f t="shared" si="247"/>
        <v>3759.2999999999997</v>
      </c>
      <c r="P70" s="50">
        <f t="shared" si="247"/>
        <v>4084.6</v>
      </c>
      <c r="Q70" s="103">
        <f t="shared" si="247"/>
        <v>4507.2</v>
      </c>
      <c r="R70" s="191"/>
      <c r="S70" s="50">
        <f>+S60+S62+S64+S66+S67+S69</f>
        <v>4649.2</v>
      </c>
      <c r="T70" s="50">
        <f t="shared" ref="T70:AK70" si="248">+T60+T62+T64+T66+T67+T69</f>
        <v>4514.2</v>
      </c>
      <c r="U70" s="50">
        <f t="shared" si="248"/>
        <v>4728.2999999999993</v>
      </c>
      <c r="V70" s="50">
        <f>+V60+V62+V64+V66+V67+V69</f>
        <v>4892.2388743154106</v>
      </c>
      <c r="W70" s="191">
        <f>+W60+W62+W64+W66+W67+W69</f>
        <v>18783.938874315409</v>
      </c>
      <c r="X70" s="50">
        <f t="shared" si="248"/>
        <v>5259.4847353509904</v>
      </c>
      <c r="Y70" s="50">
        <f t="shared" si="248"/>
        <v>5020.5373925704534</v>
      </c>
      <c r="Z70" s="50">
        <f t="shared" si="248"/>
        <v>5201.8203701811171</v>
      </c>
      <c r="AA70" s="50">
        <f t="shared" si="248"/>
        <v>5109.4986843892984</v>
      </c>
      <c r="AB70" s="191">
        <f>+AB60+AB62+AB64+AB66+AB67+AB69</f>
        <v>20591.341182491851</v>
      </c>
      <c r="AC70" s="50">
        <f t="shared" si="248"/>
        <v>5482.3544311026226</v>
      </c>
      <c r="AD70" s="50">
        <f t="shared" si="248"/>
        <v>5424.8127519412246</v>
      </c>
      <c r="AE70" s="50">
        <f t="shared" si="248"/>
        <v>5601.5942841094338</v>
      </c>
      <c r="AF70" s="50">
        <f t="shared" si="248"/>
        <v>5650.7045170295441</v>
      </c>
      <c r="AG70" s="191">
        <f>+AG60+AG62+AG64+AG66+AG67+AG69</f>
        <v>22159.465984182825</v>
      </c>
      <c r="AH70" s="50">
        <f t="shared" si="248"/>
        <v>6017.2787774582812</v>
      </c>
      <c r="AI70" s="50">
        <f t="shared" si="248"/>
        <v>5959.0811640759521</v>
      </c>
      <c r="AJ70" s="50">
        <f t="shared" si="248"/>
        <v>6156.0850833576133</v>
      </c>
      <c r="AK70" s="50">
        <f t="shared" si="248"/>
        <v>6214.1966692663655</v>
      </c>
      <c r="AL70" s="191">
        <f>+AL60+AL62+AL64+AL66+AL67+AL69</f>
        <v>24346.64169415821</v>
      </c>
      <c r="AM70" s="50">
        <f t="shared" ref="AM70:AP70" si="249">+AM60+AM62+AM64+AM66+AM67+AM69</f>
        <v>6524.8471904766475</v>
      </c>
      <c r="AN70" s="50">
        <f t="shared" si="249"/>
        <v>6463.9712410216134</v>
      </c>
      <c r="AO70" s="50">
        <f t="shared" si="249"/>
        <v>6679.7662939615593</v>
      </c>
      <c r="AP70" s="50">
        <f t="shared" si="249"/>
        <v>6744.9922479079878</v>
      </c>
      <c r="AQ70" s="191">
        <f>+AQ60+AQ62+AQ64+AQ66+AQ67+AQ69</f>
        <v>26413.576973367806</v>
      </c>
      <c r="AR70" s="50">
        <f t="shared" ref="AR70:AU70" si="250">+AR60+AR62+AR64+AR66+AR67+AR69</f>
        <v>6953.3706441778231</v>
      </c>
      <c r="AS70" s="50">
        <f t="shared" si="250"/>
        <v>6886.2393124695263</v>
      </c>
      <c r="AT70" s="50">
        <f t="shared" si="250"/>
        <v>7113.9789122982984</v>
      </c>
      <c r="AU70" s="50">
        <f t="shared" si="250"/>
        <v>7181.5651383312206</v>
      </c>
      <c r="AV70" s="191">
        <f>+AV60+AV62+AV64+AV66+AV67+AV69</f>
        <v>28135.154007276869</v>
      </c>
    </row>
    <row r="71" spans="2:48" outlineLevel="1" x14ac:dyDescent="0.3">
      <c r="B71" s="46" t="s">
        <v>184</v>
      </c>
      <c r="C71" s="44"/>
      <c r="D71" s="156">
        <f t="shared" ref="D71:G71" si="251">+D59-D70</f>
        <v>968.70000000000027</v>
      </c>
      <c r="E71" s="156">
        <f t="shared" si="251"/>
        <v>856.40000000000055</v>
      </c>
      <c r="F71" s="156">
        <f t="shared" si="251"/>
        <v>1018.6999999999998</v>
      </c>
      <c r="G71" s="156">
        <f t="shared" si="251"/>
        <v>938.90000000000009</v>
      </c>
      <c r="H71" s="132">
        <f>SUM(D71:G71)</f>
        <v>3782.7000000000007</v>
      </c>
      <c r="I71" s="156">
        <f t="shared" ref="I71:L71" si="252">+I59-I70</f>
        <v>1098.7999999999997</v>
      </c>
      <c r="J71" s="156">
        <f t="shared" si="252"/>
        <v>621.19999999999982</v>
      </c>
      <c r="K71" s="156">
        <f t="shared" si="252"/>
        <v>-404.89999999999964</v>
      </c>
      <c r="L71" s="74">
        <f t="shared" si="252"/>
        <v>506.00000000000091</v>
      </c>
      <c r="M71" s="97"/>
      <c r="N71" s="74">
        <f>+N59-N70</f>
        <v>813.49999999999955</v>
      </c>
      <c r="O71" s="74">
        <f t="shared" ref="O71:Q71" si="253">+O59-O70</f>
        <v>905.29999999999973</v>
      </c>
      <c r="P71" s="74">
        <f t="shared" si="253"/>
        <v>1315.7000000000003</v>
      </c>
      <c r="Q71" s="74">
        <f t="shared" si="253"/>
        <v>1255.8000000000002</v>
      </c>
      <c r="R71" s="97"/>
      <c r="S71" s="74">
        <f t="shared" ref="S71:U71" si="254">+S59-S70</f>
        <v>1083.1000000000004</v>
      </c>
      <c r="T71" s="74">
        <f t="shared" si="254"/>
        <v>931.5</v>
      </c>
      <c r="U71" s="74">
        <f t="shared" si="254"/>
        <v>1330.1000000000004</v>
      </c>
      <c r="V71" s="156">
        <f>+V59-V70</f>
        <v>1055.9034487564941</v>
      </c>
      <c r="W71" s="97">
        <f>SUM(S71:V71)</f>
        <v>4400.6034487564948</v>
      </c>
      <c r="X71" s="74">
        <f t="shared" ref="X71:AA71" si="255">+X59-X70</f>
        <v>1062.9992115498817</v>
      </c>
      <c r="Y71" s="74">
        <f t="shared" si="255"/>
        <v>997.76468873186514</v>
      </c>
      <c r="Z71" s="74">
        <f t="shared" si="255"/>
        <v>1348.6217854168217</v>
      </c>
      <c r="AA71" s="74">
        <f t="shared" si="255"/>
        <v>1302.0712618530042</v>
      </c>
      <c r="AB71" s="97">
        <f>SUM(X71:AA71)</f>
        <v>4711.4569475515727</v>
      </c>
      <c r="AC71" s="74">
        <f t="shared" ref="AC71:AF71" si="256">+AC59-AC70</f>
        <v>1326.9591182694357</v>
      </c>
      <c r="AD71" s="74">
        <f t="shared" si="256"/>
        <v>1063.8066892791694</v>
      </c>
      <c r="AE71" s="74">
        <f t="shared" si="256"/>
        <v>1467.5655260354515</v>
      </c>
      <c r="AF71" s="74">
        <f t="shared" si="256"/>
        <v>1275.5987883729385</v>
      </c>
      <c r="AG71" s="97">
        <f>SUM(AC71:AF71)</f>
        <v>5133.9301219569952</v>
      </c>
      <c r="AH71" s="74">
        <f t="shared" ref="AH71:AK71" si="257">+AH59-AH70</f>
        <v>1487.7164986066582</v>
      </c>
      <c r="AI71" s="74">
        <f t="shared" si="257"/>
        <v>1201.0662447565373</v>
      </c>
      <c r="AJ71" s="74">
        <f t="shared" si="257"/>
        <v>1652.4645623798888</v>
      </c>
      <c r="AK71" s="74">
        <f t="shared" si="257"/>
        <v>1443.8619982849923</v>
      </c>
      <c r="AL71" s="97">
        <f>SUM(AH71:AK71)</f>
        <v>5785.1093040280766</v>
      </c>
      <c r="AM71" s="74">
        <f t="shared" ref="AM71:AP71" si="258">+AM59-AM70</f>
        <v>1621.6941223441818</v>
      </c>
      <c r="AN71" s="74">
        <f t="shared" si="258"/>
        <v>1306.2335342470715</v>
      </c>
      <c r="AO71" s="74">
        <f t="shared" si="258"/>
        <v>1791.8456281971785</v>
      </c>
      <c r="AP71" s="74">
        <f t="shared" si="258"/>
        <v>1561.7588190032266</v>
      </c>
      <c r="AQ71" s="97">
        <f>SUM(AM71:AP71)</f>
        <v>6281.5321037916583</v>
      </c>
      <c r="AR71" s="74">
        <f t="shared" ref="AR71:AU71" si="259">+AR59-AR70</f>
        <v>1712.0382304162194</v>
      </c>
      <c r="AS71" s="74">
        <f t="shared" si="259"/>
        <v>1376.1409728599065</v>
      </c>
      <c r="AT71" s="74">
        <f t="shared" si="259"/>
        <v>1892.8994842335142</v>
      </c>
      <c r="AU71" s="74">
        <f t="shared" si="259"/>
        <v>1648.417492613683</v>
      </c>
      <c r="AV71" s="97">
        <f>SUM(AR71:AU71)</f>
        <v>6629.496180123323</v>
      </c>
    </row>
    <row r="72" spans="2:48" outlineLevel="1" x14ac:dyDescent="0.3">
      <c r="B72" s="46" t="s">
        <v>185</v>
      </c>
      <c r="C72" s="44"/>
      <c r="D72" s="157">
        <f t="shared" ref="D72:G72" si="260">+D71/D59</f>
        <v>0.21001626016260169</v>
      </c>
      <c r="E72" s="157">
        <f t="shared" si="260"/>
        <v>0.19851185647064287</v>
      </c>
      <c r="F72" s="157">
        <f t="shared" si="260"/>
        <v>0.21761979022024736</v>
      </c>
      <c r="G72" s="157">
        <f t="shared" si="260"/>
        <v>0.20185320548652022</v>
      </c>
      <c r="H72" s="133">
        <f>H71/H59</f>
        <v>0.20716793270205</v>
      </c>
      <c r="I72" s="157">
        <f t="shared" ref="I72:L72" si="261">+I71/I59</f>
        <v>0.21928196531561192</v>
      </c>
      <c r="J72" s="157">
        <f t="shared" si="261"/>
        <v>0.14346420323325632</v>
      </c>
      <c r="K72" s="157">
        <f t="shared" si="261"/>
        <v>-0.14432364997326666</v>
      </c>
      <c r="L72" s="75">
        <f t="shared" si="261"/>
        <v>0.12007878687201899</v>
      </c>
      <c r="M72" s="98"/>
      <c r="N72" s="75">
        <f>+N71/N59</f>
        <v>0.17296734138458913</v>
      </c>
      <c r="O72" s="75">
        <f t="shared" ref="O72:Q72" si="262">+O71/O59</f>
        <v>0.19407880632851687</v>
      </c>
      <c r="P72" s="75">
        <f t="shared" si="262"/>
        <v>0.24363461289187641</v>
      </c>
      <c r="Q72" s="75">
        <f t="shared" si="262"/>
        <v>0.21790733992712133</v>
      </c>
      <c r="R72" s="98"/>
      <c r="S72" s="75">
        <f t="shared" ref="S72:V72" si="263">+S71/S59</f>
        <v>0.188946845070914</v>
      </c>
      <c r="T72" s="75">
        <f t="shared" si="263"/>
        <v>0.17105238995905026</v>
      </c>
      <c r="U72" s="75">
        <f t="shared" si="263"/>
        <v>0.21954641489502186</v>
      </c>
      <c r="V72" s="75">
        <f t="shared" si="263"/>
        <v>0.17751818826876609</v>
      </c>
      <c r="W72" s="98">
        <f>W71/W59</f>
        <v>0.1898076480197442</v>
      </c>
      <c r="X72" s="75">
        <f t="shared" ref="X72:AA72" si="264">+X71/X59</f>
        <v>0.16812999771568232</v>
      </c>
      <c r="Y72" s="75">
        <f t="shared" si="264"/>
        <v>0.16578840265126005</v>
      </c>
      <c r="Z72" s="75">
        <f t="shared" si="264"/>
        <v>0.20588255775441108</v>
      </c>
      <c r="AA72" s="75">
        <f t="shared" si="264"/>
        <v>0.2030815030905376</v>
      </c>
      <c r="AB72" s="98">
        <f>AB71/AB59</f>
        <v>0.18620300108063526</v>
      </c>
      <c r="AC72" s="75">
        <f t="shared" ref="AC72:AF72" si="265">+AC71/AC59</f>
        <v>0.19487413946326576</v>
      </c>
      <c r="AD72" s="75">
        <f t="shared" si="265"/>
        <v>0.16394961962495466</v>
      </c>
      <c r="AE72" s="75">
        <f t="shared" si="265"/>
        <v>0.20760112452534485</v>
      </c>
      <c r="AF72" s="75">
        <f t="shared" si="265"/>
        <v>0.18416733026663412</v>
      </c>
      <c r="AG72" s="98">
        <f>AG71/AG59</f>
        <v>0.18810155035276413</v>
      </c>
      <c r="AH72" s="75">
        <f t="shared" ref="AH72:AK72" si="266">+AH71/AH59</f>
        <v>0.19823017122359948</v>
      </c>
      <c r="AI72" s="75">
        <f t="shared" si="266"/>
        <v>0.16774322876019943</v>
      </c>
      <c r="AJ72" s="75">
        <f t="shared" si="266"/>
        <v>0.21162246990155581</v>
      </c>
      <c r="AK72" s="75">
        <f t="shared" si="266"/>
        <v>0.18854151697778296</v>
      </c>
      <c r="AL72" s="98">
        <f>AL71/AL59</f>
        <v>0.19199379765139762</v>
      </c>
      <c r="AM72" s="75">
        <f t="shared" ref="AM72:AP72" si="267">+AM71/AM59</f>
        <v>0.19906535302190131</v>
      </c>
      <c r="AN72" s="75">
        <f t="shared" si="267"/>
        <v>0.16810799355051789</v>
      </c>
      <c r="AO72" s="75">
        <f t="shared" si="267"/>
        <v>0.21151176950284334</v>
      </c>
      <c r="AP72" s="75">
        <f t="shared" si="267"/>
        <v>0.18801078862520332</v>
      </c>
      <c r="AQ72" s="98">
        <f>AQ71/AQ59</f>
        <v>0.1921245189599286</v>
      </c>
      <c r="AR72" s="75">
        <f t="shared" ref="AR72:AU72" si="268">+AR71/AR59</f>
        <v>0.19757154627010315</v>
      </c>
      <c r="AS72" s="75">
        <f t="shared" si="268"/>
        <v>0.16655502716370527</v>
      </c>
      <c r="AT72" s="75">
        <f t="shared" si="268"/>
        <v>0.21016154553195632</v>
      </c>
      <c r="AU72" s="75">
        <f t="shared" si="268"/>
        <v>0.18668411496493334</v>
      </c>
      <c r="AV72" s="98">
        <f>AV71/AV59</f>
        <v>0.19069647312389934</v>
      </c>
    </row>
    <row r="73" spans="2:48" ht="17.399999999999999" x14ac:dyDescent="0.45">
      <c r="B73" s="599" t="s">
        <v>114</v>
      </c>
      <c r="C73" s="600"/>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2" t="s">
        <v>25</v>
      </c>
      <c r="W73" s="42" t="s">
        <v>26</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601" t="s">
        <v>115</v>
      </c>
      <c r="C74" s="602"/>
      <c r="D74" s="21">
        <v>5839</v>
      </c>
      <c r="E74" s="21">
        <v>5879</v>
      </c>
      <c r="F74" s="116">
        <v>5646</v>
      </c>
      <c r="G74" s="21">
        <v>5860</v>
      </c>
      <c r="H74" s="191">
        <f>G74</f>
        <v>5860</v>
      </c>
      <c r="I74" s="21">
        <v>6059</v>
      </c>
      <c r="J74" s="21">
        <v>6137</v>
      </c>
      <c r="K74" s="21">
        <v>6254</v>
      </c>
      <c r="L74" s="21">
        <v>6528</v>
      </c>
      <c r="M74" s="191">
        <f>L74</f>
        <v>6528</v>
      </c>
      <c r="N74" s="21">
        <v>6713</v>
      </c>
      <c r="O74" s="21">
        <f>+N74+O75</f>
        <v>6836</v>
      </c>
      <c r="P74" s="21">
        <f t="shared" ref="P74:Q74" si="269">+O74+P75</f>
        <v>7013</v>
      </c>
      <c r="Q74" s="21">
        <f t="shared" si="269"/>
        <v>7272</v>
      </c>
      <c r="R74" s="191">
        <f>Q74</f>
        <v>7272</v>
      </c>
      <c r="S74" s="21">
        <f>+Q74+S75</f>
        <v>7485</v>
      </c>
      <c r="T74" s="21">
        <f>+S74+T75</f>
        <v>7587</v>
      </c>
      <c r="U74" s="21">
        <f t="shared" ref="U74:V74" si="270">+T74+U75</f>
        <v>7717</v>
      </c>
      <c r="V74" s="21">
        <f t="shared" si="270"/>
        <v>7967</v>
      </c>
      <c r="W74" s="191">
        <f>V74</f>
        <v>7967</v>
      </c>
      <c r="X74" s="21">
        <f>+V74+X75</f>
        <v>8222</v>
      </c>
      <c r="Y74" s="21">
        <f>+X74+Y75</f>
        <v>8477</v>
      </c>
      <c r="Z74" s="21">
        <f t="shared" ref="Z74:AA74" si="271">+Y74+Z75</f>
        <v>8732</v>
      </c>
      <c r="AA74" s="21">
        <f t="shared" si="271"/>
        <v>8989</v>
      </c>
      <c r="AB74" s="191">
        <f>AA74</f>
        <v>8989</v>
      </c>
      <c r="AC74" s="21">
        <f>+AA74+AC75</f>
        <v>9253</v>
      </c>
      <c r="AD74" s="21">
        <f>+AC74+AD75</f>
        <v>9517</v>
      </c>
      <c r="AE74" s="21">
        <f t="shared" ref="AE74" si="272">+AD74+AE75</f>
        <v>9781</v>
      </c>
      <c r="AF74" s="21">
        <f t="shared" ref="AF74" si="273">+AE74+AF75</f>
        <v>10049</v>
      </c>
      <c r="AG74" s="191">
        <f>AF74</f>
        <v>10049</v>
      </c>
      <c r="AH74" s="21">
        <f>+AF74+AH75</f>
        <v>10323</v>
      </c>
      <c r="AI74" s="21">
        <f>+AH74+AI75</f>
        <v>10597</v>
      </c>
      <c r="AJ74" s="21">
        <f t="shared" ref="AJ74" si="274">+AI74+AJ75</f>
        <v>10871</v>
      </c>
      <c r="AK74" s="21">
        <f t="shared" ref="AK74" si="275">+AJ74+AK75</f>
        <v>11147</v>
      </c>
      <c r="AL74" s="191">
        <f>AK74</f>
        <v>11147</v>
      </c>
      <c r="AM74" s="21">
        <f>+AK74+AM75</f>
        <v>11277</v>
      </c>
      <c r="AN74" s="21">
        <f>+AM74+AN75</f>
        <v>11407</v>
      </c>
      <c r="AO74" s="21">
        <f t="shared" ref="AO74" si="276">+AN74+AO75</f>
        <v>11537</v>
      </c>
      <c r="AP74" s="21">
        <f t="shared" ref="AP74" si="277">+AO74+AP75</f>
        <v>11667</v>
      </c>
      <c r="AQ74" s="191">
        <f>AP74</f>
        <v>11667</v>
      </c>
      <c r="AR74" s="21">
        <f>+AP74+AR75</f>
        <v>11797</v>
      </c>
      <c r="AS74" s="21">
        <f>+AR74+AS75</f>
        <v>11927</v>
      </c>
      <c r="AT74" s="21">
        <f t="shared" ref="AT74" si="278">+AS74+AT75</f>
        <v>12057</v>
      </c>
      <c r="AU74" s="21">
        <f t="shared" ref="AU74" si="279">+AT74+AU75</f>
        <v>12187</v>
      </c>
      <c r="AV74" s="191">
        <f>AU74</f>
        <v>12187</v>
      </c>
    </row>
    <row r="75" spans="2:48" outlineLevel="1" x14ac:dyDescent="0.3">
      <c r="B75" s="180" t="s">
        <v>46</v>
      </c>
      <c r="C75" s="201"/>
      <c r="D75" s="101">
        <f>+D74-5651</f>
        <v>188</v>
      </c>
      <c r="E75" s="101">
        <f>+E74-D74</f>
        <v>40</v>
      </c>
      <c r="F75" s="101">
        <f t="shared" ref="F75:G75" si="280">+F74-E74</f>
        <v>-233</v>
      </c>
      <c r="G75" s="101">
        <f t="shared" si="280"/>
        <v>214</v>
      </c>
      <c r="H75" s="26">
        <f>+SUM(D75:G75)</f>
        <v>209</v>
      </c>
      <c r="I75" s="101">
        <f>+I74-G74</f>
        <v>199</v>
      </c>
      <c r="J75" s="101">
        <f t="shared" ref="J75:L75" si="281">+J74-I74</f>
        <v>78</v>
      </c>
      <c r="K75" s="101">
        <f t="shared" si="281"/>
        <v>117</v>
      </c>
      <c r="L75" s="101">
        <f t="shared" si="281"/>
        <v>274</v>
      </c>
      <c r="M75" s="26">
        <f>+SUM(I75:L75)</f>
        <v>668</v>
      </c>
      <c r="N75" s="101">
        <v>185</v>
      </c>
      <c r="O75" s="101">
        <v>123</v>
      </c>
      <c r="P75" s="101">
        <v>177</v>
      </c>
      <c r="Q75" s="101">
        <v>259</v>
      </c>
      <c r="R75" s="26">
        <f>+SUM(N75:Q75)</f>
        <v>744</v>
      </c>
      <c r="S75" s="101">
        <v>213</v>
      </c>
      <c r="T75" s="101">
        <v>102</v>
      </c>
      <c r="U75" s="101">
        <v>130</v>
      </c>
      <c r="V75" s="33">
        <v>250</v>
      </c>
      <c r="W75" s="122">
        <f>+SUM(S75:V75)</f>
        <v>695</v>
      </c>
      <c r="X75" s="33">
        <v>255</v>
      </c>
      <c r="Y75" s="33">
        <v>255</v>
      </c>
      <c r="Z75" s="33">
        <v>255</v>
      </c>
      <c r="AA75" s="33">
        <v>257</v>
      </c>
      <c r="AB75" s="26">
        <f>+SUM(X75:AA75)</f>
        <v>1022</v>
      </c>
      <c r="AC75" s="33">
        <v>264</v>
      </c>
      <c r="AD75" s="33">
        <v>264</v>
      </c>
      <c r="AE75" s="33">
        <v>264</v>
      </c>
      <c r="AF75" s="33">
        <v>268</v>
      </c>
      <c r="AG75" s="26">
        <f>+SUM(AC75:AF75)</f>
        <v>1060</v>
      </c>
      <c r="AH75" s="95">
        <v>274</v>
      </c>
      <c r="AI75" s="33">
        <v>274</v>
      </c>
      <c r="AJ75" s="33">
        <v>274</v>
      </c>
      <c r="AK75" s="33">
        <v>276</v>
      </c>
      <c r="AL75" s="26">
        <f>+SUM(AH75:AK75)</f>
        <v>1098</v>
      </c>
      <c r="AM75" s="33">
        <v>130</v>
      </c>
      <c r="AN75" s="33">
        <v>130</v>
      </c>
      <c r="AO75" s="33">
        <v>130</v>
      </c>
      <c r="AP75" s="33">
        <v>130</v>
      </c>
      <c r="AQ75" s="26">
        <f>+SUM(AM75:AP75)</f>
        <v>520</v>
      </c>
      <c r="AR75" s="33">
        <v>130</v>
      </c>
      <c r="AS75" s="33">
        <v>130</v>
      </c>
      <c r="AT75" s="33">
        <v>130</v>
      </c>
      <c r="AU75" s="33">
        <v>130</v>
      </c>
      <c r="AV75" s="26">
        <f>+SUM(AR75:AU75)</f>
        <v>520</v>
      </c>
    </row>
    <row r="76" spans="2:48" outlineLevel="1" x14ac:dyDescent="0.3">
      <c r="B76" s="180" t="s">
        <v>201</v>
      </c>
      <c r="C76" s="201"/>
      <c r="D76" s="101"/>
      <c r="E76" s="101">
        <f>AVERAGE(D74,E74)</f>
        <v>5859</v>
      </c>
      <c r="F76" s="101">
        <f t="shared" ref="F76:G76" si="282">AVERAGE(E74,F74)</f>
        <v>5762.5</v>
      </c>
      <c r="G76" s="101">
        <f t="shared" si="282"/>
        <v>5753</v>
      </c>
      <c r="H76" s="26"/>
      <c r="I76" s="101">
        <f>AVERAGE(G74,I74)</f>
        <v>5959.5</v>
      </c>
      <c r="J76" s="101">
        <f t="shared" ref="J76:L76" si="283">AVERAGE(I74,J74)</f>
        <v>6098</v>
      </c>
      <c r="K76" s="101">
        <f t="shared" si="283"/>
        <v>6195.5</v>
      </c>
      <c r="L76" s="101">
        <f t="shared" si="283"/>
        <v>6391</v>
      </c>
      <c r="M76" s="26"/>
      <c r="N76" s="101">
        <f>AVERAGE(L74,N74)</f>
        <v>6620.5</v>
      </c>
      <c r="O76" s="101">
        <f t="shared" ref="O76:Q76" si="284">AVERAGE(N74,O74)</f>
        <v>6774.5</v>
      </c>
      <c r="P76" s="101">
        <f t="shared" si="284"/>
        <v>6924.5</v>
      </c>
      <c r="Q76" s="101">
        <f t="shared" si="284"/>
        <v>7142.5</v>
      </c>
      <c r="R76" s="26"/>
      <c r="S76" s="101">
        <f>AVERAGE(Q74,S74)</f>
        <v>7378.5</v>
      </c>
      <c r="T76" s="101">
        <f>AVERAGE(S74,T74)</f>
        <v>7536</v>
      </c>
      <c r="U76" s="101">
        <f t="shared" ref="U76:V76" si="285">AVERAGE(T74,U74)</f>
        <v>7652</v>
      </c>
      <c r="V76" s="101">
        <f t="shared" si="285"/>
        <v>7842</v>
      </c>
      <c r="W76" s="122"/>
      <c r="X76" s="101">
        <f>AVERAGE(V74,X74)</f>
        <v>8094.5</v>
      </c>
      <c r="Y76" s="101">
        <f t="shared" ref="Y76:AA76" si="286">AVERAGE(X74,Y74)</f>
        <v>8349.5</v>
      </c>
      <c r="Z76" s="101">
        <f t="shared" si="286"/>
        <v>8604.5</v>
      </c>
      <c r="AA76" s="101">
        <f t="shared" si="286"/>
        <v>8860.5</v>
      </c>
      <c r="AB76" s="26"/>
      <c r="AC76" s="101">
        <f>AVERAGE(AA74,AC74)</f>
        <v>9121</v>
      </c>
      <c r="AD76" s="101">
        <f t="shared" ref="AD76" si="287">AVERAGE(AC74,AD74)</f>
        <v>9385</v>
      </c>
      <c r="AE76" s="101">
        <f t="shared" ref="AE76" si="288">AVERAGE(AD74,AE74)</f>
        <v>9649</v>
      </c>
      <c r="AF76" s="101">
        <f t="shared" ref="AF76" si="289">AVERAGE(AE74,AF74)</f>
        <v>9915</v>
      </c>
      <c r="AG76" s="26"/>
      <c r="AH76" s="101">
        <f>AVERAGE(AF74,AH74)</f>
        <v>10186</v>
      </c>
      <c r="AI76" s="101">
        <f t="shared" ref="AI76" si="290">AVERAGE(AH74,AI74)</f>
        <v>10460</v>
      </c>
      <c r="AJ76" s="101">
        <f t="shared" ref="AJ76" si="291">AVERAGE(AI74,AJ74)</f>
        <v>10734</v>
      </c>
      <c r="AK76" s="101">
        <f t="shared" ref="AK76" si="292">AVERAGE(AJ74,AK74)</f>
        <v>11009</v>
      </c>
      <c r="AL76" s="26"/>
      <c r="AM76" s="101">
        <f>AVERAGE(AK74,AM74)</f>
        <v>11212</v>
      </c>
      <c r="AN76" s="101">
        <f t="shared" ref="AN76" si="293">AVERAGE(AM74,AN74)</f>
        <v>11342</v>
      </c>
      <c r="AO76" s="101">
        <f t="shared" ref="AO76" si="294">AVERAGE(AN74,AO74)</f>
        <v>11472</v>
      </c>
      <c r="AP76" s="101">
        <f t="shared" ref="AP76" si="295">AVERAGE(AO74,AP74)</f>
        <v>11602</v>
      </c>
      <c r="AQ76" s="26"/>
      <c r="AR76" s="101">
        <f>AVERAGE(AP74,AR74)</f>
        <v>11732</v>
      </c>
      <c r="AS76" s="101">
        <f t="shared" ref="AS76" si="296">AVERAGE(AR74,AS74)</f>
        <v>11862</v>
      </c>
      <c r="AT76" s="101">
        <f t="shared" ref="AT76" si="297">AVERAGE(AS74,AT74)</f>
        <v>11992</v>
      </c>
      <c r="AU76" s="101">
        <f t="shared" ref="AU76" si="298">AVERAGE(AT74,AU74)</f>
        <v>12122</v>
      </c>
      <c r="AV76" s="26"/>
    </row>
    <row r="77" spans="2:48" s="20" customFormat="1" outlineLevel="1" x14ac:dyDescent="0.3">
      <c r="B77" s="180" t="s">
        <v>206</v>
      </c>
      <c r="C77" s="206"/>
      <c r="D77" s="43"/>
      <c r="E77" s="43">
        <f>+E78/E76</f>
        <v>0.22348523638846221</v>
      </c>
      <c r="F77" s="114">
        <f>+F78/F76</f>
        <v>0.2347592190889371</v>
      </c>
      <c r="G77" s="43">
        <f>+G78/G76</f>
        <v>0.22873283504258649</v>
      </c>
      <c r="H77" s="97"/>
      <c r="I77" s="43">
        <f>+I78/I76</f>
        <v>0.21976675895628828</v>
      </c>
      <c r="J77" s="43">
        <f>+J78/J76</f>
        <v>0.14798294522794359</v>
      </c>
      <c r="K77" s="43">
        <f>+K78/K76</f>
        <v>0.14131224275683965</v>
      </c>
      <c r="L77" s="43">
        <f>+L78/L76</f>
        <v>0.20314504772336098</v>
      </c>
      <c r="M77" s="97"/>
      <c r="N77" s="43">
        <f>+N78/N76</f>
        <v>0.21776300883619062</v>
      </c>
      <c r="O77" s="43">
        <f>+O78/O76</f>
        <v>0.20439884862351465</v>
      </c>
      <c r="P77" s="43">
        <f>+P78/P76</f>
        <v>0.20698967434471802</v>
      </c>
      <c r="Q77" s="43">
        <f>+Q78/Q76</f>
        <v>0.22541127056352817</v>
      </c>
      <c r="R77" s="97"/>
      <c r="S77" s="43">
        <f>+S78/S76</f>
        <v>0.20441824219014704</v>
      </c>
      <c r="T77" s="43">
        <f>+T78/T76</f>
        <v>0.17786624203821658</v>
      </c>
      <c r="U77" s="43">
        <f>+U78/U76</f>
        <v>0.15189492943021432</v>
      </c>
      <c r="V77" s="62">
        <f>Q77*0.8</f>
        <v>0.18032901645082255</v>
      </c>
      <c r="W77" s="132"/>
      <c r="X77" s="62">
        <f>S77*0.85</f>
        <v>0.17375550586162497</v>
      </c>
      <c r="Y77" s="62">
        <f>T77*0.95</f>
        <v>0.16897292993630575</v>
      </c>
      <c r="Z77" s="62">
        <f>U77*1.2</f>
        <v>0.18227391531625717</v>
      </c>
      <c r="AA77" s="62">
        <f>V77*1.2</f>
        <v>0.21639481974098707</v>
      </c>
      <c r="AB77" s="97"/>
      <c r="AC77" s="62">
        <f>X77*1.2</f>
        <v>0.20850660703394996</v>
      </c>
      <c r="AD77" s="62">
        <f>Y77*1.05</f>
        <v>0.17742157643312104</v>
      </c>
      <c r="AE77" s="62">
        <f>Z77*1.05</f>
        <v>0.19138761108207003</v>
      </c>
      <c r="AF77" s="62">
        <f>AA77*1.05</f>
        <v>0.22721456072803642</v>
      </c>
      <c r="AG77" s="97"/>
      <c r="AH77" s="62">
        <f>AC77*1.05</f>
        <v>0.21893193738564748</v>
      </c>
      <c r="AI77" s="62">
        <f t="shared" ref="AI77" si="299">AD77*1.05</f>
        <v>0.18629265525477709</v>
      </c>
      <c r="AJ77" s="62">
        <f t="shared" ref="AJ77" si="300">AE77*1.05</f>
        <v>0.20095699163617353</v>
      </c>
      <c r="AK77" s="62">
        <f t="shared" ref="AK77" si="301">AF77*1.05</f>
        <v>0.23857528876443826</v>
      </c>
      <c r="AL77" s="97"/>
      <c r="AM77" s="62">
        <f>AH77*1.05</f>
        <v>0.22987853425492985</v>
      </c>
      <c r="AN77" s="62">
        <f>AI77*1.05</f>
        <v>0.19560728801751595</v>
      </c>
      <c r="AO77" s="62">
        <f>AJ77*1.05</f>
        <v>0.21100484121798221</v>
      </c>
      <c r="AP77" s="62">
        <f>AK77*1.05</f>
        <v>0.25050405320266017</v>
      </c>
      <c r="AQ77" s="97"/>
      <c r="AR77" s="62">
        <f>AM77*1.03</f>
        <v>0.23677489028257775</v>
      </c>
      <c r="AS77" s="62">
        <f>AN77*1.03</f>
        <v>0.20147550665804143</v>
      </c>
      <c r="AT77" s="62">
        <f>AO77*1.03</f>
        <v>0.21733498645452168</v>
      </c>
      <c r="AU77" s="62">
        <f>AP77*1.03</f>
        <v>0.25801917479873998</v>
      </c>
      <c r="AV77" s="97"/>
    </row>
    <row r="78" spans="2:48" s="8" customFormat="1" outlineLevel="1" x14ac:dyDescent="0.3">
      <c r="B78" s="587" t="s">
        <v>116</v>
      </c>
      <c r="C78" s="588"/>
      <c r="D78" s="50">
        <v>1278.0999999999999</v>
      </c>
      <c r="E78" s="50">
        <v>1309.4000000000001</v>
      </c>
      <c r="F78" s="103">
        <v>1352.8</v>
      </c>
      <c r="G78" s="50">
        <v>1315.9</v>
      </c>
      <c r="H78" s="97">
        <f>SUM(D78:G78)</f>
        <v>5256.2000000000007</v>
      </c>
      <c r="I78" s="50">
        <v>1309.7</v>
      </c>
      <c r="J78" s="50">
        <v>902.4</v>
      </c>
      <c r="K78" s="103">
        <v>875.5</v>
      </c>
      <c r="L78" s="50">
        <v>1298.3</v>
      </c>
      <c r="M78" s="97">
        <f>SUM(I78:L78)</f>
        <v>4385.8999999999996</v>
      </c>
      <c r="N78" s="50">
        <v>1441.7</v>
      </c>
      <c r="O78" s="50">
        <v>1384.7</v>
      </c>
      <c r="P78" s="50">
        <v>1433.3</v>
      </c>
      <c r="Q78" s="103">
        <v>1610</v>
      </c>
      <c r="R78" s="97">
        <f>SUM(N78:Q78)</f>
        <v>5869.7</v>
      </c>
      <c r="S78" s="50">
        <v>1508.3</v>
      </c>
      <c r="T78" s="50">
        <v>1340.4</v>
      </c>
      <c r="U78" s="50">
        <v>1162.3</v>
      </c>
      <c r="V78" s="50">
        <f>V77*V76</f>
        <v>1414.1401470073504</v>
      </c>
      <c r="W78" s="132">
        <f>SUM(S78:V78)</f>
        <v>5425.1401470073506</v>
      </c>
      <c r="X78" s="50">
        <f>X77*X76</f>
        <v>1406.4639421969234</v>
      </c>
      <c r="Y78" s="50">
        <f>Y77*Y76</f>
        <v>1410.8394785031849</v>
      </c>
      <c r="Z78" s="50">
        <f>Z77*Z76</f>
        <v>1568.3759043387347</v>
      </c>
      <c r="AA78" s="50">
        <f>AA77*AA76</f>
        <v>1917.3663003150159</v>
      </c>
      <c r="AB78" s="97">
        <f>SUM(X78:AA78)</f>
        <v>6303.0456253538587</v>
      </c>
      <c r="AC78" s="50">
        <f>AC77*AC76</f>
        <v>1901.7887627566577</v>
      </c>
      <c r="AD78" s="50">
        <f>AD77*AD76</f>
        <v>1665.101494824841</v>
      </c>
      <c r="AE78" s="50">
        <f>AE77*AE76</f>
        <v>1846.6990593308938</v>
      </c>
      <c r="AF78" s="50">
        <f>AF77*AF76</f>
        <v>2252.8323696184812</v>
      </c>
      <c r="AG78" s="97">
        <f>SUM(AC78:AF78)</f>
        <v>7666.4216865308736</v>
      </c>
      <c r="AH78" s="50">
        <f>AH77*AH76</f>
        <v>2230.0407142102054</v>
      </c>
      <c r="AI78" s="50">
        <f>AI77*AI76</f>
        <v>1948.6211739649684</v>
      </c>
      <c r="AJ78" s="50">
        <f>AJ77*AJ76</f>
        <v>2157.0723482226867</v>
      </c>
      <c r="AK78" s="50">
        <f>AK77*AK76</f>
        <v>2626.4753540077008</v>
      </c>
      <c r="AL78" s="97">
        <f>SUM(AH78:AK78)</f>
        <v>8962.2095904055604</v>
      </c>
      <c r="AM78" s="50">
        <f>AM77*AM76</f>
        <v>2577.3981260662736</v>
      </c>
      <c r="AN78" s="50">
        <f>AN77*AN76</f>
        <v>2218.577860694666</v>
      </c>
      <c r="AO78" s="50">
        <f>AO77*AO76</f>
        <v>2420.6475384526921</v>
      </c>
      <c r="AP78" s="50">
        <f>AP77*AP76</f>
        <v>2906.3480252572631</v>
      </c>
      <c r="AQ78" s="97">
        <f>SUM(AM78:AP78)</f>
        <v>10122.971550470895</v>
      </c>
      <c r="AR78" s="50">
        <f>AR77*AR76</f>
        <v>2777.8430127952024</v>
      </c>
      <c r="AS78" s="50">
        <f>AS77*AS76</f>
        <v>2389.9024599776876</v>
      </c>
      <c r="AT78" s="50">
        <f>AT77*AT76</f>
        <v>2606.2811575626238</v>
      </c>
      <c r="AU78" s="50">
        <f>AU77*AU76</f>
        <v>3127.7084369103259</v>
      </c>
      <c r="AV78" s="97">
        <f>SUM(AR78:AU78)</f>
        <v>10901.73506724584</v>
      </c>
    </row>
    <row r="79" spans="2:48" s="8" customFormat="1" outlineLevel="1" x14ac:dyDescent="0.3">
      <c r="B79" s="38" t="s">
        <v>200</v>
      </c>
      <c r="C79" s="206"/>
      <c r="D79" s="43"/>
      <c r="E79" s="43"/>
      <c r="F79" s="43"/>
      <c r="G79" s="43"/>
      <c r="H79" s="97"/>
      <c r="I79" s="27">
        <f>I78/D78-1</f>
        <v>2.4724199984351936E-2</v>
      </c>
      <c r="J79" s="27">
        <f>J78/E78-1</f>
        <v>-0.31082938750572786</v>
      </c>
      <c r="K79" s="27">
        <f>K78/F78-1</f>
        <v>-0.35282377291543465</v>
      </c>
      <c r="L79" s="27">
        <f>L78/G78-1</f>
        <v>-1.3374876510373279E-2</v>
      </c>
      <c r="M79" s="97"/>
      <c r="N79" s="27">
        <f>N78/I78-1</f>
        <v>0.10078643964266631</v>
      </c>
      <c r="O79" s="27">
        <f>O78/J78-1</f>
        <v>0.53446365248226968</v>
      </c>
      <c r="P79" s="27">
        <f>P78/K78-1</f>
        <v>0.63712164477441457</v>
      </c>
      <c r="Q79" s="27">
        <f>Q78/L78-1</f>
        <v>0.24008318570438281</v>
      </c>
      <c r="R79" s="97"/>
      <c r="S79" s="27">
        <f t="shared" ref="S79:AP79" si="302">S78/N78-1</f>
        <v>4.6195463688700755E-2</v>
      </c>
      <c r="T79" s="27">
        <f t="shared" si="302"/>
        <v>-3.1992489347873132E-2</v>
      </c>
      <c r="U79" s="27">
        <f t="shared" si="302"/>
        <v>-0.18907416451545389</v>
      </c>
      <c r="V79" s="27">
        <f t="shared" si="302"/>
        <v>-0.12165208260413019</v>
      </c>
      <c r="W79" s="375">
        <f t="shared" si="302"/>
        <v>-7.5738087635253803E-2</v>
      </c>
      <c r="X79" s="27">
        <f t="shared" si="302"/>
        <v>-6.7517110523819257E-2</v>
      </c>
      <c r="Y79" s="27">
        <f t="shared" si="302"/>
        <v>5.2551088110403432E-2</v>
      </c>
      <c r="Z79" s="27">
        <f t="shared" si="302"/>
        <v>0.34937271301620476</v>
      </c>
      <c r="AA79" s="27">
        <f t="shared" si="302"/>
        <v>0.35585309869931159</v>
      </c>
      <c r="AB79" s="375">
        <f t="shared" si="302"/>
        <v>0.16182171419678149</v>
      </c>
      <c r="AC79" s="27">
        <f t="shared" si="302"/>
        <v>0.35217740441040202</v>
      </c>
      <c r="AD79" s="27">
        <f t="shared" si="302"/>
        <v>0.18022037247739386</v>
      </c>
      <c r="AE79" s="27">
        <f t="shared" si="302"/>
        <v>0.17745946888256148</v>
      </c>
      <c r="AF79" s="27">
        <f t="shared" si="302"/>
        <v>0.17496190959878111</v>
      </c>
      <c r="AG79" s="375">
        <f t="shared" si="302"/>
        <v>0.21630433003576321</v>
      </c>
      <c r="AH79" s="27">
        <f t="shared" si="302"/>
        <v>0.17260168841135859</v>
      </c>
      <c r="AI79" s="27">
        <f t="shared" si="302"/>
        <v>0.17027171017581244</v>
      </c>
      <c r="AJ79" s="27">
        <f t="shared" si="302"/>
        <v>0.1680692299720179</v>
      </c>
      <c r="AK79" s="27">
        <f t="shared" si="302"/>
        <v>0.16585476550680789</v>
      </c>
      <c r="AL79" s="375">
        <f t="shared" si="302"/>
        <v>0.16902121444105478</v>
      </c>
      <c r="AM79" s="27">
        <f t="shared" si="302"/>
        <v>0.15576281170233641</v>
      </c>
      <c r="AN79" s="27">
        <f t="shared" si="302"/>
        <v>0.13853728489483763</v>
      </c>
      <c r="AO79" s="27">
        <f t="shared" si="302"/>
        <v>0.12219116825041931</v>
      </c>
      <c r="AP79" s="27">
        <f t="shared" si="302"/>
        <v>0.10655827050594957</v>
      </c>
      <c r="AQ79" s="97"/>
      <c r="AR79" s="27">
        <f>AR78/AM78-1</f>
        <v>7.7770246164823531E-2</v>
      </c>
      <c r="AS79" s="27">
        <f>AS78/AN78-1</f>
        <v>7.7222712043731212E-2</v>
      </c>
      <c r="AT79" s="27">
        <f>AT78/AO78-1</f>
        <v>7.6687587168758675E-2</v>
      </c>
      <c r="AU79" s="27">
        <f>AU78/AP78-1</f>
        <v>7.6164454404413107E-2</v>
      </c>
      <c r="AV79" s="97"/>
    </row>
    <row r="80" spans="2:48" outlineLevel="1" x14ac:dyDescent="0.3">
      <c r="B80" s="236" t="s">
        <v>44</v>
      </c>
      <c r="C80" s="221"/>
      <c r="D80" s="222">
        <v>0.01</v>
      </c>
      <c r="E80" s="222">
        <v>0</v>
      </c>
      <c r="F80" s="222">
        <v>0.01</v>
      </c>
      <c r="G80" s="222">
        <v>0.01</v>
      </c>
      <c r="H80" s="223"/>
      <c r="I80" s="222">
        <v>-0.01</v>
      </c>
      <c r="J80" s="222">
        <v>-0.32</v>
      </c>
      <c r="K80" s="222">
        <v>-0.44</v>
      </c>
      <c r="L80" s="224">
        <v>-0.15</v>
      </c>
      <c r="M80" s="223"/>
      <c r="N80" s="222">
        <v>-0.03</v>
      </c>
      <c r="O80" s="222">
        <v>0.26</v>
      </c>
      <c r="P80" s="222">
        <v>0.55000000000000004</v>
      </c>
      <c r="Q80" s="222">
        <v>0.06</v>
      </c>
      <c r="R80" s="225"/>
      <c r="S80" s="224">
        <v>0.02</v>
      </c>
      <c r="T80" s="224">
        <v>-0.03</v>
      </c>
      <c r="U80" s="224">
        <v>-0.18</v>
      </c>
      <c r="V80" s="224"/>
      <c r="W80" s="223"/>
      <c r="X80" s="224"/>
      <c r="Y80" s="224"/>
      <c r="Z80" s="224"/>
      <c r="AA80" s="224"/>
      <c r="AB80" s="225"/>
      <c r="AC80" s="224"/>
      <c r="AD80" s="224"/>
      <c r="AE80" s="224"/>
      <c r="AF80" s="224"/>
      <c r="AG80" s="225"/>
      <c r="AH80" s="224"/>
      <c r="AI80" s="224"/>
      <c r="AJ80" s="224"/>
      <c r="AK80" s="224"/>
      <c r="AL80" s="225"/>
      <c r="AM80" s="224"/>
      <c r="AN80" s="224"/>
      <c r="AO80" s="224"/>
      <c r="AP80" s="224"/>
      <c r="AQ80" s="225"/>
      <c r="AR80" s="224"/>
      <c r="AS80" s="224"/>
      <c r="AT80" s="224"/>
      <c r="AU80" s="224"/>
      <c r="AV80" s="225"/>
    </row>
    <row r="81" spans="1:48" outlineLevel="1" x14ac:dyDescent="0.3">
      <c r="B81" s="180" t="s">
        <v>43</v>
      </c>
      <c r="C81" s="207"/>
      <c r="D81" s="151">
        <v>0.01</v>
      </c>
      <c r="E81" s="151">
        <v>0.02</v>
      </c>
      <c r="F81" s="151">
        <v>0.03</v>
      </c>
      <c r="G81" s="151">
        <v>0.03</v>
      </c>
      <c r="H81" s="60"/>
      <c r="I81" s="151">
        <v>0.02</v>
      </c>
      <c r="J81" s="151">
        <v>0.01</v>
      </c>
      <c r="K81" s="151">
        <v>0.13</v>
      </c>
      <c r="L81" s="59">
        <v>7.0000000000000007E-2</v>
      </c>
      <c r="M81" s="60"/>
      <c r="N81" s="151">
        <v>-0.1</v>
      </c>
      <c r="O81" s="59">
        <v>7.0000000000000007E-2</v>
      </c>
      <c r="P81" s="59">
        <v>-0.09</v>
      </c>
      <c r="Q81" s="151">
        <v>-0.02</v>
      </c>
      <c r="R81" s="60"/>
      <c r="S81" s="59">
        <v>-0.05</v>
      </c>
      <c r="T81" s="59">
        <v>-0.05</v>
      </c>
      <c r="U81" s="59">
        <v>-0.15</v>
      </c>
      <c r="V81" s="59"/>
      <c r="W81" s="148"/>
      <c r="X81" s="59"/>
      <c r="Y81" s="59"/>
      <c r="Z81" s="59"/>
      <c r="AA81" s="59"/>
      <c r="AB81" s="60"/>
      <c r="AC81" s="59"/>
      <c r="AD81" s="59"/>
      <c r="AE81" s="59"/>
      <c r="AF81" s="59"/>
      <c r="AG81" s="60"/>
      <c r="AH81" s="59"/>
      <c r="AI81" s="59"/>
      <c r="AJ81" s="59"/>
      <c r="AK81" s="59"/>
      <c r="AL81" s="60"/>
      <c r="AM81" s="59"/>
      <c r="AN81" s="59"/>
      <c r="AO81" s="59"/>
      <c r="AP81" s="59"/>
      <c r="AQ81" s="60"/>
      <c r="AR81" s="59"/>
      <c r="AS81" s="59"/>
      <c r="AT81" s="59"/>
      <c r="AU81" s="59"/>
      <c r="AV81" s="60"/>
    </row>
    <row r="82" spans="1:48" s="8" customFormat="1" outlineLevel="1" x14ac:dyDescent="0.3">
      <c r="B82" s="208" t="s">
        <v>45</v>
      </c>
      <c r="C82" s="206"/>
      <c r="D82" s="152">
        <v>0.02</v>
      </c>
      <c r="E82" s="152">
        <v>0.02</v>
      </c>
      <c r="F82" s="152">
        <v>0.05</v>
      </c>
      <c r="G82" s="152">
        <v>0.03</v>
      </c>
      <c r="H82" s="61"/>
      <c r="I82" s="152">
        <v>0.01</v>
      </c>
      <c r="J82" s="152">
        <v>-0.31</v>
      </c>
      <c r="K82" s="152">
        <v>-0.37</v>
      </c>
      <c r="L82" s="157">
        <v>-0.1</v>
      </c>
      <c r="M82" s="61"/>
      <c r="N82" s="152">
        <v>0.08</v>
      </c>
      <c r="O82" s="152">
        <v>0.35</v>
      </c>
      <c r="P82" s="152">
        <v>0.41</v>
      </c>
      <c r="Q82" s="152">
        <v>0.03</v>
      </c>
      <c r="R82" s="377">
        <f>R92/M92-1</f>
        <v>0.32353965857623956</v>
      </c>
      <c r="S82" s="152">
        <v>-0.03</v>
      </c>
      <c r="T82" s="152">
        <v>-0.08</v>
      </c>
      <c r="U82" s="152">
        <v>-0.04</v>
      </c>
      <c r="V82" s="152"/>
      <c r="W82" s="377">
        <f>W92/R92-1</f>
        <v>2.1698124630008753E-2</v>
      </c>
      <c r="X82" s="157"/>
      <c r="Y82" s="157"/>
      <c r="Z82" s="157"/>
      <c r="AA82" s="157"/>
      <c r="AB82" s="377">
        <f>AB92/W92-1</f>
        <v>0.18596828727514603</v>
      </c>
      <c r="AC82" s="157"/>
      <c r="AD82" s="157"/>
      <c r="AE82" s="157"/>
      <c r="AF82" s="157"/>
      <c r="AG82" s="377">
        <f>AG92/AB92-1</f>
        <v>0.19889504341978603</v>
      </c>
      <c r="AH82" s="157"/>
      <c r="AI82" s="157"/>
      <c r="AJ82" s="157"/>
      <c r="AK82" s="157"/>
      <c r="AL82" s="377">
        <f>AL92/AG92-1</f>
        <v>0.16298126736888419</v>
      </c>
      <c r="AM82" s="157"/>
      <c r="AN82" s="157"/>
      <c r="AO82" s="157"/>
      <c r="AP82" s="157">
        <v>0.04</v>
      </c>
      <c r="AQ82" s="134"/>
      <c r="AR82" s="157"/>
      <c r="AS82" s="157"/>
      <c r="AT82" s="157"/>
      <c r="AU82" s="157">
        <v>0.04</v>
      </c>
      <c r="AV82" s="61"/>
    </row>
    <row r="83" spans="1:48" s="8" customFormat="1" outlineLevel="1" x14ac:dyDescent="0.3">
      <c r="B83" s="597" t="s">
        <v>117</v>
      </c>
      <c r="C83" s="598"/>
      <c r="D83" s="117">
        <v>6373</v>
      </c>
      <c r="E83" s="117">
        <v>6586</v>
      </c>
      <c r="F83" s="117">
        <v>7127</v>
      </c>
      <c r="G83" s="117">
        <v>7329</v>
      </c>
      <c r="H83" s="192">
        <f>G83</f>
        <v>7329</v>
      </c>
      <c r="I83" s="117">
        <v>7533</v>
      </c>
      <c r="J83" s="117">
        <v>7642</v>
      </c>
      <c r="K83" s="117">
        <v>7691</v>
      </c>
      <c r="L83" s="117">
        <v>9735</v>
      </c>
      <c r="M83" s="192">
        <f>L83</f>
        <v>9735</v>
      </c>
      <c r="N83" s="117">
        <v>7917</v>
      </c>
      <c r="O83" s="67">
        <f>+N83+O84</f>
        <v>7987</v>
      </c>
      <c r="P83" s="67">
        <f t="shared" ref="P83" si="303">+O83+P84</f>
        <v>8107</v>
      </c>
      <c r="Q83" s="67">
        <v>9735</v>
      </c>
      <c r="R83" s="192">
        <f>Q83</f>
        <v>9735</v>
      </c>
      <c r="S83" s="67">
        <f>+Q83+S84</f>
        <v>9944</v>
      </c>
      <c r="T83" s="67">
        <f>+S83+T84</f>
        <v>10117</v>
      </c>
      <c r="U83" s="67">
        <f t="shared" ref="U83:V83" si="304">+T83+U84</f>
        <v>10181</v>
      </c>
      <c r="V83" s="67">
        <f t="shared" si="304"/>
        <v>10331</v>
      </c>
      <c r="W83" s="253">
        <f>V83</f>
        <v>10331</v>
      </c>
      <c r="X83" s="67">
        <f>+V83+X84</f>
        <v>10567</v>
      </c>
      <c r="Y83" s="67">
        <f>+X83+Y84</f>
        <v>10803</v>
      </c>
      <c r="Z83" s="67">
        <f t="shared" ref="Z83:AA83" si="305">+Y83+Z84</f>
        <v>11039</v>
      </c>
      <c r="AA83" s="67">
        <f t="shared" si="305"/>
        <v>11277</v>
      </c>
      <c r="AB83" s="192">
        <f>AA83</f>
        <v>11277</v>
      </c>
      <c r="AC83" s="67">
        <f>+AA83+AC84</f>
        <v>11521</v>
      </c>
      <c r="AD83" s="67">
        <f>+AC83+AD84</f>
        <v>11765</v>
      </c>
      <c r="AE83" s="67">
        <f t="shared" ref="AE83" si="306">+AD83+AE84</f>
        <v>12009</v>
      </c>
      <c r="AF83" s="67">
        <f t="shared" ref="AF83" si="307">+AE83+AF84</f>
        <v>12255</v>
      </c>
      <c r="AG83" s="192">
        <f>AF83</f>
        <v>12255</v>
      </c>
      <c r="AH83" s="67">
        <f>+AF83+AH84</f>
        <v>12508</v>
      </c>
      <c r="AI83" s="67">
        <f>+AH83+AI84</f>
        <v>12761</v>
      </c>
      <c r="AJ83" s="67">
        <f t="shared" ref="AJ83" si="308">+AI83+AJ84</f>
        <v>13014</v>
      </c>
      <c r="AK83" s="67">
        <f t="shared" ref="AK83" si="309">+AJ83+AK84</f>
        <v>13268</v>
      </c>
      <c r="AL83" s="192">
        <f>AK83</f>
        <v>13268</v>
      </c>
      <c r="AM83" s="67">
        <f>+AK83+AM84</f>
        <v>13332</v>
      </c>
      <c r="AN83" s="67">
        <f>+AM83+AN84</f>
        <v>13396</v>
      </c>
      <c r="AO83" s="67">
        <f t="shared" ref="AO83" si="310">+AN83+AO84</f>
        <v>13460</v>
      </c>
      <c r="AP83" s="67">
        <f t="shared" ref="AP83" si="311">+AO83+AP84</f>
        <v>13524</v>
      </c>
      <c r="AQ83" s="192">
        <f>AP83</f>
        <v>13524</v>
      </c>
      <c r="AR83" s="67">
        <f>+AP83+AR84</f>
        <v>13588</v>
      </c>
      <c r="AS83" s="67">
        <f>+AR83+AS84</f>
        <v>13652</v>
      </c>
      <c r="AT83" s="67">
        <f t="shared" ref="AT83" si="312">+AS83+AT84</f>
        <v>13716</v>
      </c>
      <c r="AU83" s="67">
        <f t="shared" ref="AU83" si="313">+AT83+AU84</f>
        <v>13780</v>
      </c>
      <c r="AV83" s="192">
        <f>AU83</f>
        <v>13780</v>
      </c>
    </row>
    <row r="84" spans="1:48" outlineLevel="1" x14ac:dyDescent="0.3">
      <c r="B84" s="180" t="s">
        <v>47</v>
      </c>
      <c r="C84" s="201"/>
      <c r="D84" s="101">
        <f>+D83-6201</f>
        <v>172</v>
      </c>
      <c r="E84" s="101">
        <f>+E83-D83</f>
        <v>213</v>
      </c>
      <c r="F84" s="101">
        <f t="shared" ref="F84:G84" si="314">+F83-E83</f>
        <v>541</v>
      </c>
      <c r="G84" s="101">
        <f t="shared" si="314"/>
        <v>202</v>
      </c>
      <c r="H84" s="122">
        <f>+SUM(D84:G84)</f>
        <v>1128</v>
      </c>
      <c r="I84" s="101">
        <f>+I83-G83</f>
        <v>204</v>
      </c>
      <c r="J84" s="101">
        <f t="shared" ref="J84:K84" si="315">+J83-I83</f>
        <v>109</v>
      </c>
      <c r="K84" s="101">
        <f t="shared" si="315"/>
        <v>49</v>
      </c>
      <c r="L84" s="101">
        <v>82</v>
      </c>
      <c r="M84" s="122">
        <f>+SUM(I84:L84)</f>
        <v>444</v>
      </c>
      <c r="N84" s="101">
        <v>139</v>
      </c>
      <c r="O84" s="101">
        <v>70</v>
      </c>
      <c r="P84" s="101">
        <v>120</v>
      </c>
      <c r="Q84" s="101">
        <v>205</v>
      </c>
      <c r="R84" s="122">
        <f>+SUM(N84:Q84)</f>
        <v>534</v>
      </c>
      <c r="S84" s="101">
        <v>209</v>
      </c>
      <c r="T84" s="101">
        <v>173</v>
      </c>
      <c r="U84" s="101">
        <v>64</v>
      </c>
      <c r="V84" s="33">
        <v>150</v>
      </c>
      <c r="W84" s="122">
        <f>+SUM(S84:V84)</f>
        <v>596</v>
      </c>
      <c r="X84" s="33">
        <v>236</v>
      </c>
      <c r="Y84" s="33">
        <v>236</v>
      </c>
      <c r="Z84" s="33">
        <v>236</v>
      </c>
      <c r="AA84" s="33">
        <v>238</v>
      </c>
      <c r="AB84" s="122">
        <f>+SUM(X84:AA84)</f>
        <v>946</v>
      </c>
      <c r="AC84" s="33">
        <v>244</v>
      </c>
      <c r="AD84" s="33">
        <v>244</v>
      </c>
      <c r="AE84" s="33">
        <v>244</v>
      </c>
      <c r="AF84" s="33">
        <v>246</v>
      </c>
      <c r="AG84" s="122">
        <f>+SUM(AC84:AF84)</f>
        <v>978</v>
      </c>
      <c r="AH84" s="33">
        <v>253</v>
      </c>
      <c r="AI84" s="33">
        <v>253</v>
      </c>
      <c r="AJ84" s="33">
        <v>253</v>
      </c>
      <c r="AK84" s="33">
        <v>254</v>
      </c>
      <c r="AL84" s="122">
        <f>+SUM(AH84:AK84)</f>
        <v>1013</v>
      </c>
      <c r="AM84" s="33">
        <v>64</v>
      </c>
      <c r="AN84" s="33">
        <v>64</v>
      </c>
      <c r="AO84" s="33">
        <v>64</v>
      </c>
      <c r="AP84" s="33">
        <v>64</v>
      </c>
      <c r="AQ84" s="122">
        <f>+SUM(AM84:AP84)</f>
        <v>256</v>
      </c>
      <c r="AR84" s="33">
        <v>64</v>
      </c>
      <c r="AS84" s="33">
        <v>64</v>
      </c>
      <c r="AT84" s="33">
        <v>64</v>
      </c>
      <c r="AU84" s="33">
        <v>64</v>
      </c>
      <c r="AV84" s="122">
        <f>+SUM(AR84:AU84)</f>
        <v>256</v>
      </c>
    </row>
    <row r="85" spans="1:48" outlineLevel="1" x14ac:dyDescent="0.3">
      <c r="B85" s="180" t="s">
        <v>49</v>
      </c>
      <c r="C85" s="201"/>
      <c r="D85" s="16">
        <f>AVERAGE(D83,6201)</f>
        <v>6287</v>
      </c>
      <c r="E85" s="16">
        <f>AVERAGE(E83,D83)</f>
        <v>6479.5</v>
      </c>
      <c r="F85" s="16">
        <f t="shared" ref="F85:G85" si="316">AVERAGE(F83,E83)</f>
        <v>6856.5</v>
      </c>
      <c r="G85" s="16">
        <f t="shared" si="316"/>
        <v>7228</v>
      </c>
      <c r="H85" s="26"/>
      <c r="I85" s="16">
        <f>AVERAGE(I83,G83)</f>
        <v>7431</v>
      </c>
      <c r="J85" s="16">
        <f>AVERAGE(J83,I83)</f>
        <v>7587.5</v>
      </c>
      <c r="K85" s="16">
        <f t="shared" ref="K85:L85" si="317">AVERAGE(K83,J83)</f>
        <v>7666.5</v>
      </c>
      <c r="L85" s="16">
        <f t="shared" si="317"/>
        <v>8713</v>
      </c>
      <c r="M85" s="6"/>
      <c r="N85" s="16">
        <f>AVERAGE(N83,L83)</f>
        <v>8826</v>
      </c>
      <c r="O85" s="16">
        <f>AVERAGE(O83,N83)</f>
        <v>7952</v>
      </c>
      <c r="P85" s="16">
        <f t="shared" ref="P85:Q85" si="318">AVERAGE(P83,O83)</f>
        <v>8047</v>
      </c>
      <c r="Q85" s="16">
        <f t="shared" si="318"/>
        <v>8921</v>
      </c>
      <c r="R85" s="6"/>
      <c r="S85" s="16">
        <f>AVERAGE(S83,Q83)</f>
        <v>9839.5</v>
      </c>
      <c r="T85" s="16">
        <f>AVERAGE(T83,S83)</f>
        <v>10030.5</v>
      </c>
      <c r="U85" s="16">
        <f t="shared" ref="U85:V85" si="319">AVERAGE(U83,T83)</f>
        <v>10149</v>
      </c>
      <c r="V85" s="16">
        <f t="shared" si="319"/>
        <v>10256</v>
      </c>
      <c r="W85" s="130"/>
      <c r="X85" s="16">
        <f>AVERAGE(X83,V83)</f>
        <v>10449</v>
      </c>
      <c r="Y85" s="16">
        <f>AVERAGE(Y83,X83)</f>
        <v>10685</v>
      </c>
      <c r="Z85" s="16">
        <f t="shared" ref="Z85:AA85" si="320">AVERAGE(Z83,Y83)</f>
        <v>10921</v>
      </c>
      <c r="AA85" s="16">
        <f t="shared" si="320"/>
        <v>11158</v>
      </c>
      <c r="AB85" s="6"/>
      <c r="AC85" s="16">
        <f>AVERAGE(AC83,AA83)</f>
        <v>11399</v>
      </c>
      <c r="AD85" s="16">
        <f>AVERAGE(AD83,AC83)</f>
        <v>11643</v>
      </c>
      <c r="AE85" s="16">
        <f t="shared" ref="AE85" si="321">AVERAGE(AE83,AD83)</f>
        <v>11887</v>
      </c>
      <c r="AF85" s="16">
        <f t="shared" ref="AF85" si="322">AVERAGE(AF83,AE83)</f>
        <v>12132</v>
      </c>
      <c r="AG85" s="6"/>
      <c r="AH85" s="16">
        <f>AVERAGE(AH83,AF83)</f>
        <v>12381.5</v>
      </c>
      <c r="AI85" s="16">
        <f>AVERAGE(AI83,AH83)</f>
        <v>12634.5</v>
      </c>
      <c r="AJ85" s="16">
        <f t="shared" ref="AJ85" si="323">AVERAGE(AJ83,AI83)</f>
        <v>12887.5</v>
      </c>
      <c r="AK85" s="16">
        <f t="shared" ref="AK85" si="324">AVERAGE(AK83,AJ83)</f>
        <v>13141</v>
      </c>
      <c r="AL85" s="6"/>
      <c r="AM85" s="16">
        <f>AVERAGE(AM83,AK83)</f>
        <v>13300</v>
      </c>
      <c r="AN85" s="16">
        <f>AVERAGE(AN83,AM83)</f>
        <v>13364</v>
      </c>
      <c r="AO85" s="16">
        <f t="shared" ref="AO85" si="325">AVERAGE(AO83,AN83)</f>
        <v>13428</v>
      </c>
      <c r="AP85" s="16">
        <f t="shared" ref="AP85" si="326">AVERAGE(AP83,AO83)</f>
        <v>13492</v>
      </c>
      <c r="AQ85" s="6"/>
      <c r="AR85" s="16">
        <f>AVERAGE(AR83,AP83)</f>
        <v>13556</v>
      </c>
      <c r="AS85" s="16">
        <f>AVERAGE(AS83,AR83)</f>
        <v>13620</v>
      </c>
      <c r="AT85" s="16">
        <f t="shared" ref="AT85" si="327">AVERAGE(AT83,AS83)</f>
        <v>13684</v>
      </c>
      <c r="AU85" s="16">
        <f t="shared" ref="AU85" si="328">AVERAGE(AU83,AT83)</f>
        <v>13748</v>
      </c>
      <c r="AV85" s="6"/>
    </row>
    <row r="86" spans="1:48" outlineLevel="1" x14ac:dyDescent="0.3">
      <c r="B86" s="180" t="s">
        <v>48</v>
      </c>
      <c r="C86" s="201"/>
      <c r="D86" s="43">
        <f>+D87/D85</f>
        <v>3.5390488309209482E-2</v>
      </c>
      <c r="E86" s="114">
        <f>+E87/E85</f>
        <v>3.3197005941816495E-2</v>
      </c>
      <c r="F86" s="114">
        <f>+F87/F85</f>
        <v>3.335521038430686E-2</v>
      </c>
      <c r="G86" s="114">
        <f>+G87/G85</f>
        <v>3.468456004427227E-2</v>
      </c>
      <c r="H86" s="26"/>
      <c r="I86" s="114">
        <f t="shared" ref="I86:S86" si="329">+I87/I85</f>
        <v>3.4275333064190554E-2</v>
      </c>
      <c r="J86" s="114">
        <f t="shared" si="329"/>
        <v>2.97331136738056E-2</v>
      </c>
      <c r="K86" s="114">
        <f t="shared" si="329"/>
        <v>8.4784451835909474E-3</v>
      </c>
      <c r="L86" s="114">
        <f t="shared" si="329"/>
        <v>2.3837943303110294E-2</v>
      </c>
      <c r="M86" s="6"/>
      <c r="N86" s="114">
        <f t="shared" si="329"/>
        <v>2.2388397915250397E-2</v>
      </c>
      <c r="O86" s="114">
        <f t="shared" si="329"/>
        <v>2.5251509054325959E-2</v>
      </c>
      <c r="P86" s="114">
        <f t="shared" si="329"/>
        <v>2.6307940847520812E-2</v>
      </c>
      <c r="Q86" s="114">
        <f t="shared" si="329"/>
        <v>3.228337630310503E-2</v>
      </c>
      <c r="R86" s="6"/>
      <c r="S86" s="114">
        <f t="shared" si="329"/>
        <v>3.4036282331419275E-2</v>
      </c>
      <c r="T86" s="114">
        <f>+T87/T85</f>
        <v>3.4145855141817456E-2</v>
      </c>
      <c r="U86" s="114">
        <f>+U87/U85</f>
        <v>4.065425165040891E-2</v>
      </c>
      <c r="V86" s="62">
        <f>Q86*1.2</f>
        <v>3.8740051563726036E-2</v>
      </c>
      <c r="W86" s="130"/>
      <c r="X86" s="62">
        <f>S86*1.2</f>
        <v>4.0843538797703131E-2</v>
      </c>
      <c r="Y86" s="62">
        <f>T86*1.2</f>
        <v>4.0975026170180943E-2</v>
      </c>
      <c r="Z86" s="62">
        <f>U86*1.2</f>
        <v>4.8785101980490693E-2</v>
      </c>
      <c r="AA86" s="62">
        <f>V86*1.2</f>
        <v>4.648806187647124E-2</v>
      </c>
      <c r="AB86" s="6"/>
      <c r="AC86" s="62">
        <f>X86*1.05</f>
        <v>4.2885715737588287E-2</v>
      </c>
      <c r="AD86" s="62">
        <f>Y86*1.05</f>
        <v>4.302377747868999E-2</v>
      </c>
      <c r="AE86" s="62">
        <f>Z86*1.05</f>
        <v>5.1224357079515233E-2</v>
      </c>
      <c r="AF86" s="62">
        <f>AA86*1.05</f>
        <v>4.8812464970294803E-2</v>
      </c>
      <c r="AG86" s="6"/>
      <c r="AH86" s="62">
        <f>AC86*1.05</f>
        <v>4.5030001524467705E-2</v>
      </c>
      <c r="AI86" s="62">
        <f t="shared" ref="AI86:AK86" si="330">AD86*1.05</f>
        <v>4.5174966352624489E-2</v>
      </c>
      <c r="AJ86" s="62">
        <f t="shared" si="330"/>
        <v>5.3785574933490995E-2</v>
      </c>
      <c r="AK86" s="62">
        <f t="shared" si="330"/>
        <v>5.1253088218809542E-2</v>
      </c>
      <c r="AL86" s="6"/>
      <c r="AM86" s="62">
        <f>AH86*1.05</f>
        <v>4.7281501600691091E-2</v>
      </c>
      <c r="AN86" s="62">
        <f>AI86*1.05</f>
        <v>4.7433714670255714E-2</v>
      </c>
      <c r="AO86" s="62">
        <f>AJ86*1.05</f>
        <v>5.6474853680165547E-2</v>
      </c>
      <c r="AP86" s="62">
        <f>AK86*1.05</f>
        <v>5.3815742629750023E-2</v>
      </c>
      <c r="AQ86" s="6"/>
      <c r="AR86" s="62">
        <f>AM86*1.03</f>
        <v>4.8699946648711821E-2</v>
      </c>
      <c r="AS86" s="62">
        <f>AN86*1.03</f>
        <v>4.8856726110363388E-2</v>
      </c>
      <c r="AT86" s="62">
        <f>AO86*1.03</f>
        <v>5.8169099290570514E-2</v>
      </c>
      <c r="AU86" s="62">
        <f>AP86*1.03</f>
        <v>5.5430214908642528E-2</v>
      </c>
      <c r="AV86" s="6"/>
    </row>
    <row r="87" spans="1:48" s="8" customFormat="1" outlineLevel="1" x14ac:dyDescent="0.3">
      <c r="B87" s="603" t="s">
        <v>118</v>
      </c>
      <c r="C87" s="604"/>
      <c r="D87" s="115">
        <v>222.5</v>
      </c>
      <c r="E87" s="115">
        <v>215.1</v>
      </c>
      <c r="F87" s="115">
        <v>228.7</v>
      </c>
      <c r="G87" s="115">
        <v>250.7</v>
      </c>
      <c r="H87" s="73">
        <f>SUM(D87:G87)</f>
        <v>917</v>
      </c>
      <c r="I87" s="115">
        <v>254.7</v>
      </c>
      <c r="J87" s="115">
        <v>225.6</v>
      </c>
      <c r="K87" s="115">
        <v>65</v>
      </c>
      <c r="L87" s="72">
        <v>207.7</v>
      </c>
      <c r="M87" s="73">
        <f>SUM(I87:L87)</f>
        <v>753</v>
      </c>
      <c r="N87" s="72">
        <v>197.6</v>
      </c>
      <c r="O87" s="72">
        <v>200.8</v>
      </c>
      <c r="P87" s="72">
        <v>211.7</v>
      </c>
      <c r="Q87" s="115">
        <v>288</v>
      </c>
      <c r="R87" s="73">
        <f>SUM(N87:Q87)</f>
        <v>898.09999999999991</v>
      </c>
      <c r="S87" s="72">
        <v>334.9</v>
      </c>
      <c r="T87" s="72">
        <v>342.5</v>
      </c>
      <c r="U87" s="72">
        <v>412.6</v>
      </c>
      <c r="V87" s="72">
        <f t="shared" ref="V87" si="331">+V85*V86</f>
        <v>397.3179688375742</v>
      </c>
      <c r="W87" s="213">
        <f>SUM(S87:V87)</f>
        <v>1487.3179688375742</v>
      </c>
      <c r="X87" s="72">
        <f>+X85*X86</f>
        <v>426.77413689720004</v>
      </c>
      <c r="Y87" s="72">
        <f>+Y85*Y86</f>
        <v>437.81815462838335</v>
      </c>
      <c r="Z87" s="72">
        <f t="shared" ref="Z87:AA87" si="332">+Z85*Z86</f>
        <v>532.78209872893888</v>
      </c>
      <c r="AA87" s="72">
        <f t="shared" si="332"/>
        <v>518.71379441766612</v>
      </c>
      <c r="AB87" s="73">
        <f>SUM(X87:AA87)</f>
        <v>1916.0881846721884</v>
      </c>
      <c r="AC87" s="72">
        <f>+AC85*AC86</f>
        <v>488.85427369276886</v>
      </c>
      <c r="AD87" s="72">
        <f>+AD85*AD86</f>
        <v>500.92584118438754</v>
      </c>
      <c r="AE87" s="72">
        <f t="shared" ref="AE87:AF87" si="333">+AE85*AE86</f>
        <v>608.90393260419762</v>
      </c>
      <c r="AF87" s="72">
        <f t="shared" si="333"/>
        <v>592.19282501961652</v>
      </c>
      <c r="AG87" s="73">
        <f>SUM(AC87:AF87)</f>
        <v>2190.8768725009704</v>
      </c>
      <c r="AH87" s="72">
        <f>+AH85*AH86</f>
        <v>557.53896387519694</v>
      </c>
      <c r="AI87" s="72">
        <f>+AI85*AI86</f>
        <v>570.76311238223411</v>
      </c>
      <c r="AJ87" s="72">
        <f t="shared" ref="AJ87:AK87" si="334">+AJ85*AJ86</f>
        <v>693.16159695536521</v>
      </c>
      <c r="AK87" s="72">
        <f t="shared" si="334"/>
        <v>673.51683228337617</v>
      </c>
      <c r="AL87" s="73">
        <f>SUM(AH87:AK87)</f>
        <v>2494.9805054961726</v>
      </c>
      <c r="AM87" s="72">
        <f>+AM85*AM86</f>
        <v>628.84397128919147</v>
      </c>
      <c r="AN87" s="72">
        <f>+AN85*AN86</f>
        <v>633.90416285329741</v>
      </c>
      <c r="AO87" s="72">
        <f t="shared" ref="AO87:AP87" si="335">+AO85*AO86</f>
        <v>758.34433521726294</v>
      </c>
      <c r="AP87" s="72">
        <f t="shared" si="335"/>
        <v>726.08199956058729</v>
      </c>
      <c r="AQ87" s="73">
        <f>SUM(AM87:AP87)</f>
        <v>2747.1744689203388</v>
      </c>
      <c r="AR87" s="72">
        <f>+AR85*AR86</f>
        <v>660.17647676993749</v>
      </c>
      <c r="AS87" s="72">
        <f>+AS85*AS86</f>
        <v>665.42860962314933</v>
      </c>
      <c r="AT87" s="72">
        <f t="shared" ref="AT87:AU87" si="336">+AT85*AT86</f>
        <v>795.98595469216696</v>
      </c>
      <c r="AU87" s="72">
        <f t="shared" si="336"/>
        <v>762.05459456401752</v>
      </c>
      <c r="AV87" s="73">
        <f>SUM(AR87:AU87)</f>
        <v>2883.6456356492713</v>
      </c>
    </row>
    <row r="88" spans="1:48" s="8" customFormat="1" outlineLevel="1" x14ac:dyDescent="0.3">
      <c r="B88" s="587" t="s">
        <v>119</v>
      </c>
      <c r="C88" s="588"/>
      <c r="D88" s="103">
        <v>3.4</v>
      </c>
      <c r="E88" s="103">
        <v>4.9000000000000004</v>
      </c>
      <c r="F88" s="103">
        <v>3.8</v>
      </c>
      <c r="G88" s="103">
        <v>5.5</v>
      </c>
      <c r="H88" s="97">
        <f>SUM(D88:G88)</f>
        <v>17.600000000000001</v>
      </c>
      <c r="I88" s="103">
        <v>6.7</v>
      </c>
      <c r="J88" s="103">
        <v>6.6</v>
      </c>
      <c r="K88" s="103">
        <v>9.1</v>
      </c>
      <c r="L88" s="50">
        <v>5.3</v>
      </c>
      <c r="M88" s="97">
        <f>SUM(I88:L88)</f>
        <v>27.7</v>
      </c>
      <c r="N88" s="50">
        <v>15</v>
      </c>
      <c r="O88" s="50">
        <v>25.4</v>
      </c>
      <c r="P88" s="50">
        <v>13.4</v>
      </c>
      <c r="Q88" s="103">
        <v>16.600000000000001</v>
      </c>
      <c r="R88" s="97">
        <f>SUM(N88:Q88)</f>
        <v>70.400000000000006</v>
      </c>
      <c r="S88" s="50">
        <v>32.700000000000003</v>
      </c>
      <c r="T88" s="50">
        <v>19.5</v>
      </c>
      <c r="U88" s="50">
        <v>9.8000000000000007</v>
      </c>
      <c r="V88" s="50">
        <f t="shared" ref="V88" si="337">+Q88*(1+V89)</f>
        <v>12.118</v>
      </c>
      <c r="W88" s="132">
        <f>SUM(S88:V88)</f>
        <v>74.117999999999995</v>
      </c>
      <c r="X88" s="50">
        <f>+S88*(1+X89)</f>
        <v>26.160000000000004</v>
      </c>
      <c r="Y88" s="50">
        <f>+T88*(1+Y89)</f>
        <v>17.55</v>
      </c>
      <c r="Z88" s="50">
        <f>+U88*(1+Z89)</f>
        <v>10.290000000000001</v>
      </c>
      <c r="AA88" s="50">
        <f t="shared" ref="AA88" si="338">+V88*(1+AA89)</f>
        <v>12.7239</v>
      </c>
      <c r="AB88" s="97">
        <f>SUM(X88:AA88)</f>
        <v>66.723900000000015</v>
      </c>
      <c r="AC88" s="50">
        <f>+X88*(1+AC89)</f>
        <v>28.776000000000007</v>
      </c>
      <c r="AD88" s="50">
        <f>+Y88*(1+AD89)</f>
        <v>20.182500000000001</v>
      </c>
      <c r="AE88" s="50">
        <f>+Z88*(1+AE89)</f>
        <v>12.348000000000001</v>
      </c>
      <c r="AF88" s="50">
        <f t="shared" ref="AF88" si="339">+AA88*(1+AF89)</f>
        <v>15.26868</v>
      </c>
      <c r="AG88" s="97">
        <f>SUM(AC88:AF88)</f>
        <v>76.575180000000003</v>
      </c>
      <c r="AH88" s="50">
        <f>+AC88*(1+AH89)</f>
        <v>35.970000000000006</v>
      </c>
      <c r="AI88" s="50">
        <f>+AD88*(1+AI89)</f>
        <v>25.228125000000002</v>
      </c>
      <c r="AJ88" s="50">
        <f>+AE88*(1+AJ89)</f>
        <v>15.435</v>
      </c>
      <c r="AK88" s="50">
        <f t="shared" ref="AK88" si="340">+AF88*(1+AK89)</f>
        <v>19.085850000000001</v>
      </c>
      <c r="AL88" s="97">
        <f>SUM(AH88:AK88)</f>
        <v>95.718975</v>
      </c>
      <c r="AM88" s="50">
        <f>+AH88*(1+AM89)</f>
        <v>39.567000000000007</v>
      </c>
      <c r="AN88" s="50">
        <f>+AI88*(1+AN89)</f>
        <v>27.750937500000006</v>
      </c>
      <c r="AO88" s="50">
        <f>+AJ88*(1+AO89)</f>
        <v>16.9785</v>
      </c>
      <c r="AP88" s="50">
        <f t="shared" ref="AP88" si="341">+AK88*(1+AP89)</f>
        <v>20.994435000000003</v>
      </c>
      <c r="AQ88" s="97">
        <f>SUM(AM88:AP88)</f>
        <v>105.29087250000001</v>
      </c>
      <c r="AR88" s="50">
        <f>+AM88*(1+AR89)</f>
        <v>41.545350000000006</v>
      </c>
      <c r="AS88" s="50">
        <f>+AN88*(1+AS89)</f>
        <v>29.138484375000008</v>
      </c>
      <c r="AT88" s="50">
        <f>+AO88*(1+AT89)</f>
        <v>17.827425000000002</v>
      </c>
      <c r="AU88" s="50">
        <f t="shared" ref="AU88" si="342">+AP88*(1+AU89)</f>
        <v>22.044156750000003</v>
      </c>
      <c r="AV88" s="97">
        <f>SUM(AR88:AU88)</f>
        <v>110.55541612500002</v>
      </c>
    </row>
    <row r="89" spans="1:48" outlineLevel="1" x14ac:dyDescent="0.3">
      <c r="B89" s="69" t="s">
        <v>50</v>
      </c>
      <c r="C89" s="70"/>
      <c r="D89" s="120"/>
      <c r="E89" s="120"/>
      <c r="F89" s="120"/>
      <c r="G89" s="120"/>
      <c r="H89" s="58"/>
      <c r="I89" s="120">
        <f>I88/D88-1</f>
        <v>0.97058823529411775</v>
      </c>
      <c r="J89" s="120">
        <f t="shared" ref="J89:L89" si="343">J88/E88-1</f>
        <v>0.3469387755102038</v>
      </c>
      <c r="K89" s="120">
        <f t="shared" si="343"/>
        <v>1.3947368421052633</v>
      </c>
      <c r="L89" s="120">
        <f t="shared" si="343"/>
        <v>-3.6363636363636376E-2</v>
      </c>
      <c r="M89" s="58"/>
      <c r="N89" s="120">
        <f>N88/I88-1</f>
        <v>1.2388059701492535</v>
      </c>
      <c r="O89" s="120">
        <f t="shared" ref="O89:Q89" si="344">O88/J88-1</f>
        <v>2.8484848484848486</v>
      </c>
      <c r="P89" s="120">
        <f t="shared" si="344"/>
        <v>0.47252747252747263</v>
      </c>
      <c r="Q89" s="120">
        <f t="shared" si="344"/>
        <v>2.1320754716981134</v>
      </c>
      <c r="R89" s="58"/>
      <c r="S89" s="120">
        <f>S88/N88-1</f>
        <v>1.1800000000000002</v>
      </c>
      <c r="T89" s="120">
        <f t="shared" ref="T89:U89" si="345">T88/O88-1</f>
        <v>-0.23228346456692905</v>
      </c>
      <c r="U89" s="120">
        <f t="shared" si="345"/>
        <v>-0.26865671641791045</v>
      </c>
      <c r="V89" s="71">
        <v>-0.27</v>
      </c>
      <c r="W89" s="155"/>
      <c r="X89" s="71">
        <v>-0.2</v>
      </c>
      <c r="Y89" s="71">
        <v>-0.1</v>
      </c>
      <c r="Z89" s="71">
        <v>0.05</v>
      </c>
      <c r="AA89" s="71">
        <v>0.05</v>
      </c>
      <c r="AB89" s="58"/>
      <c r="AC89" s="71">
        <v>0.1</v>
      </c>
      <c r="AD89" s="71">
        <v>0.15</v>
      </c>
      <c r="AE89" s="71">
        <v>0.2</v>
      </c>
      <c r="AF89" s="71">
        <v>0.2</v>
      </c>
      <c r="AG89" s="58"/>
      <c r="AH89" s="71">
        <v>0.25</v>
      </c>
      <c r="AI89" s="71">
        <v>0.25</v>
      </c>
      <c r="AJ89" s="71">
        <v>0.25</v>
      </c>
      <c r="AK89" s="71">
        <v>0.25</v>
      </c>
      <c r="AL89" s="58"/>
      <c r="AM89" s="71">
        <v>0.1</v>
      </c>
      <c r="AN89" s="71">
        <v>0.1</v>
      </c>
      <c r="AO89" s="71">
        <v>0.1</v>
      </c>
      <c r="AP89" s="71">
        <v>0.1</v>
      </c>
      <c r="AQ89" s="58"/>
      <c r="AR89" s="71">
        <v>0.05</v>
      </c>
      <c r="AS89" s="71">
        <v>0.05</v>
      </c>
      <c r="AT89" s="71">
        <v>0.05</v>
      </c>
      <c r="AU89" s="71">
        <v>0.05</v>
      </c>
      <c r="AV89" s="58"/>
    </row>
    <row r="90" spans="1:48" outlineLevel="1" x14ac:dyDescent="0.3">
      <c r="B90" s="180" t="s">
        <v>120</v>
      </c>
      <c r="C90" s="207"/>
      <c r="D90" s="101">
        <f t="shared" ref="D90:G91" si="346">+D83+D74</f>
        <v>12212</v>
      </c>
      <c r="E90" s="101">
        <f t="shared" si="346"/>
        <v>12465</v>
      </c>
      <c r="F90" s="101">
        <f t="shared" si="346"/>
        <v>12773</v>
      </c>
      <c r="G90" s="101">
        <f t="shared" si="346"/>
        <v>13189</v>
      </c>
      <c r="H90" s="6"/>
      <c r="I90" s="101">
        <f t="shared" ref="I90:L91" si="347">+I83+I74</f>
        <v>13592</v>
      </c>
      <c r="J90" s="101">
        <f t="shared" si="347"/>
        <v>13779</v>
      </c>
      <c r="K90" s="101">
        <f t="shared" si="347"/>
        <v>13945</v>
      </c>
      <c r="L90" s="16">
        <f t="shared" si="347"/>
        <v>16263</v>
      </c>
      <c r="M90" s="6"/>
      <c r="N90" s="16">
        <f t="shared" ref="N90:Q91" si="348">+N83+N74</f>
        <v>14630</v>
      </c>
      <c r="O90" s="16">
        <f t="shared" si="348"/>
        <v>14823</v>
      </c>
      <c r="P90" s="16">
        <f t="shared" si="348"/>
        <v>15120</v>
      </c>
      <c r="Q90" s="16">
        <f t="shared" si="348"/>
        <v>17007</v>
      </c>
      <c r="R90" s="6"/>
      <c r="S90" s="16">
        <f t="shared" ref="S90:V91" si="349">+S83+S74</f>
        <v>17429</v>
      </c>
      <c r="T90" s="16">
        <f t="shared" si="349"/>
        <v>17704</v>
      </c>
      <c r="U90" s="16">
        <f t="shared" si="349"/>
        <v>17898</v>
      </c>
      <c r="V90" s="16">
        <f t="shared" si="349"/>
        <v>18298</v>
      </c>
      <c r="W90" s="254">
        <f>W91/Q90</f>
        <v>7.5909919444934443E-2</v>
      </c>
      <c r="X90" s="16">
        <f t="shared" ref="X90:AA91" si="350">+X83+X74</f>
        <v>18789</v>
      </c>
      <c r="Y90" s="16">
        <f t="shared" si="350"/>
        <v>19280</v>
      </c>
      <c r="Z90" s="16">
        <f t="shared" si="350"/>
        <v>19771</v>
      </c>
      <c r="AA90" s="16">
        <f t="shared" si="350"/>
        <v>20266</v>
      </c>
      <c r="AB90" s="254">
        <f>AB91/V90</f>
        <v>0.10755273800415346</v>
      </c>
      <c r="AC90" s="16">
        <f t="shared" ref="AC90:AF90" si="351">+AC83+AC74</f>
        <v>20774</v>
      </c>
      <c r="AD90" s="16">
        <f t="shared" si="351"/>
        <v>21282</v>
      </c>
      <c r="AE90" s="16">
        <f t="shared" si="351"/>
        <v>21790</v>
      </c>
      <c r="AF90" s="16">
        <f t="shared" si="351"/>
        <v>22304</v>
      </c>
      <c r="AG90" s="254">
        <f>AG91/AA90</f>
        <v>0.10056251850389815</v>
      </c>
      <c r="AH90" s="16">
        <f t="shared" ref="AH90:AK90" si="352">+AH83+AH74</f>
        <v>22831</v>
      </c>
      <c r="AI90" s="16">
        <f t="shared" si="352"/>
        <v>23358</v>
      </c>
      <c r="AJ90" s="16">
        <f t="shared" si="352"/>
        <v>23885</v>
      </c>
      <c r="AK90" s="16">
        <f t="shared" si="352"/>
        <v>24415</v>
      </c>
      <c r="AL90" s="254">
        <f>AL91/AF90</f>
        <v>9.4646700143472026E-2</v>
      </c>
      <c r="AM90" s="16">
        <f t="shared" ref="AM90:AP90" si="353">+AM83+AM74</f>
        <v>24609</v>
      </c>
      <c r="AN90" s="16">
        <f t="shared" si="353"/>
        <v>24803</v>
      </c>
      <c r="AO90" s="16">
        <f t="shared" si="353"/>
        <v>24997</v>
      </c>
      <c r="AP90" s="16">
        <f t="shared" si="353"/>
        <v>25191</v>
      </c>
      <c r="AQ90" s="254">
        <f>AQ91/AK90</f>
        <v>3.1783739504403032E-2</v>
      </c>
      <c r="AR90" s="16">
        <f t="shared" ref="AR90:AU90" si="354">+AR83+AR74</f>
        <v>25385</v>
      </c>
      <c r="AS90" s="16">
        <f t="shared" si="354"/>
        <v>25579</v>
      </c>
      <c r="AT90" s="16">
        <f t="shared" si="354"/>
        <v>25773</v>
      </c>
      <c r="AU90" s="16">
        <f t="shared" si="354"/>
        <v>25967</v>
      </c>
      <c r="AV90" s="254">
        <f>AV91/AP90</f>
        <v>3.080465245524195E-2</v>
      </c>
    </row>
    <row r="91" spans="1:48" outlineLevel="1" x14ac:dyDescent="0.3">
      <c r="B91" s="180" t="s">
        <v>121</v>
      </c>
      <c r="C91" s="207"/>
      <c r="D91" s="101">
        <f t="shared" si="346"/>
        <v>360</v>
      </c>
      <c r="E91" s="101">
        <f t="shared" si="346"/>
        <v>253</v>
      </c>
      <c r="F91" s="101">
        <f t="shared" si="346"/>
        <v>308</v>
      </c>
      <c r="G91" s="101">
        <f t="shared" si="346"/>
        <v>416</v>
      </c>
      <c r="H91" s="122">
        <f>+H84+H75</f>
        <v>1337</v>
      </c>
      <c r="I91" s="101">
        <f t="shared" si="347"/>
        <v>403</v>
      </c>
      <c r="J91" s="101">
        <f t="shared" si="347"/>
        <v>187</v>
      </c>
      <c r="K91" s="101">
        <f t="shared" si="347"/>
        <v>166</v>
      </c>
      <c r="L91" s="101">
        <f t="shared" si="347"/>
        <v>356</v>
      </c>
      <c r="M91" s="122">
        <f>+M84+M75</f>
        <v>1112</v>
      </c>
      <c r="N91" s="101">
        <f t="shared" si="348"/>
        <v>324</v>
      </c>
      <c r="O91" s="101">
        <f t="shared" si="348"/>
        <v>193</v>
      </c>
      <c r="P91" s="101">
        <f t="shared" si="348"/>
        <v>297</v>
      </c>
      <c r="Q91" s="101">
        <f t="shared" si="348"/>
        <v>464</v>
      </c>
      <c r="R91" s="122">
        <f>+R84+R75</f>
        <v>1278</v>
      </c>
      <c r="S91" s="16">
        <f t="shared" si="349"/>
        <v>422</v>
      </c>
      <c r="T91" s="16">
        <f t="shared" si="349"/>
        <v>275</v>
      </c>
      <c r="U91" s="16">
        <f t="shared" si="349"/>
        <v>194</v>
      </c>
      <c r="V91" s="16">
        <f t="shared" si="349"/>
        <v>400</v>
      </c>
      <c r="W91" s="122">
        <f>+W84+W75</f>
        <v>1291</v>
      </c>
      <c r="X91" s="16">
        <f t="shared" si="350"/>
        <v>491</v>
      </c>
      <c r="Y91" s="16">
        <f t="shared" si="350"/>
        <v>491</v>
      </c>
      <c r="Z91" s="16">
        <f t="shared" si="350"/>
        <v>491</v>
      </c>
      <c r="AA91" s="16">
        <f t="shared" si="350"/>
        <v>495</v>
      </c>
      <c r="AB91" s="26">
        <f>+AB84+AB75</f>
        <v>1968</v>
      </c>
      <c r="AC91" s="16">
        <f t="shared" ref="AC91:AF91" si="355">+AC84+AC75</f>
        <v>508</v>
      </c>
      <c r="AD91" s="16">
        <f t="shared" si="355"/>
        <v>508</v>
      </c>
      <c r="AE91" s="16">
        <f t="shared" si="355"/>
        <v>508</v>
      </c>
      <c r="AF91" s="16">
        <f t="shared" si="355"/>
        <v>514</v>
      </c>
      <c r="AG91" s="26">
        <f>+AG84+AG75</f>
        <v>2038</v>
      </c>
      <c r="AH91" s="16">
        <f t="shared" ref="AH91:AK91" si="356">+AH84+AH75</f>
        <v>527</v>
      </c>
      <c r="AI91" s="16">
        <f t="shared" si="356"/>
        <v>527</v>
      </c>
      <c r="AJ91" s="16">
        <f t="shared" si="356"/>
        <v>527</v>
      </c>
      <c r="AK91" s="16">
        <f t="shared" si="356"/>
        <v>530</v>
      </c>
      <c r="AL91" s="26">
        <f>+AL84+AL75</f>
        <v>2111</v>
      </c>
      <c r="AM91" s="16">
        <f t="shared" ref="AM91:AP91" si="357">+AM84+AM75</f>
        <v>194</v>
      </c>
      <c r="AN91" s="16">
        <f t="shared" si="357"/>
        <v>194</v>
      </c>
      <c r="AO91" s="16">
        <f t="shared" si="357"/>
        <v>194</v>
      </c>
      <c r="AP91" s="16">
        <f t="shared" si="357"/>
        <v>194</v>
      </c>
      <c r="AQ91" s="26">
        <f>+AQ84+AQ75</f>
        <v>776</v>
      </c>
      <c r="AR91" s="16">
        <f t="shared" ref="AR91:AU91" si="358">+AR84+AR75</f>
        <v>194</v>
      </c>
      <c r="AS91" s="16">
        <f t="shared" si="358"/>
        <v>194</v>
      </c>
      <c r="AT91" s="16">
        <f t="shared" si="358"/>
        <v>194</v>
      </c>
      <c r="AU91" s="16">
        <f t="shared" si="358"/>
        <v>194</v>
      </c>
      <c r="AV91" s="26">
        <f>+AV84+AV75</f>
        <v>776</v>
      </c>
    </row>
    <row r="92" spans="1:48" outlineLevel="1" x14ac:dyDescent="0.3">
      <c r="B92" s="605" t="s">
        <v>122</v>
      </c>
      <c r="C92" s="606"/>
      <c r="D92" s="115">
        <f>+D88+D87+D78</f>
        <v>1504</v>
      </c>
      <c r="E92" s="115">
        <f>+E88+E87+E78</f>
        <v>1529.4</v>
      </c>
      <c r="F92" s="115">
        <f>+F88+F87+F78</f>
        <v>1585.3</v>
      </c>
      <c r="G92" s="115">
        <f>+G88+G87+G78</f>
        <v>1572.1000000000001</v>
      </c>
      <c r="H92" s="213">
        <f>SUM(D92:G92)</f>
        <v>6190.8</v>
      </c>
      <c r="I92" s="115">
        <f>+I88+I87+I78</f>
        <v>1571.1</v>
      </c>
      <c r="J92" s="115">
        <f>+J88+J87+J78</f>
        <v>1134.5999999999999</v>
      </c>
      <c r="K92" s="115">
        <f>+K88+K87+K78</f>
        <v>949.6</v>
      </c>
      <c r="L92" s="115">
        <f>+L88+L87+L78</f>
        <v>1511.3</v>
      </c>
      <c r="M92" s="213">
        <f>SUM(I92:L92)</f>
        <v>5166.5999999999995</v>
      </c>
      <c r="N92" s="115">
        <f>+N88+N87+N78</f>
        <v>1654.3</v>
      </c>
      <c r="O92" s="115">
        <f>+O88+O87+O78</f>
        <v>1610.9</v>
      </c>
      <c r="P92" s="115">
        <f>+P88+P87+P78</f>
        <v>1658.3999999999999</v>
      </c>
      <c r="Q92" s="115">
        <f>+Q88+Q87+Q78</f>
        <v>1914.6</v>
      </c>
      <c r="R92" s="73">
        <f>SUM(N92:Q92)</f>
        <v>6838.1999999999989</v>
      </c>
      <c r="S92" s="72">
        <f>+S88+S87+S78</f>
        <v>1875.8999999999999</v>
      </c>
      <c r="T92" s="72">
        <f>+T88+T87+T78</f>
        <v>1702.4</v>
      </c>
      <c r="U92" s="72">
        <f>+U88+U87+U78</f>
        <v>1584.7</v>
      </c>
      <c r="V92" s="72">
        <f>+V88+V87+V78</f>
        <v>1823.5761158449245</v>
      </c>
      <c r="W92" s="213">
        <f>SUM(S92:V92)</f>
        <v>6986.5761158449241</v>
      </c>
      <c r="X92" s="72">
        <f>+X88+X87+X78</f>
        <v>1859.3980790941234</v>
      </c>
      <c r="Y92" s="72">
        <f>+Y88+Y87+Y78</f>
        <v>1866.2076331315682</v>
      </c>
      <c r="Z92" s="72">
        <f>+Z88+Z87+Z78</f>
        <v>2111.4480030676737</v>
      </c>
      <c r="AA92" s="72">
        <f>+AA88+AA87+AA78</f>
        <v>2448.803994732682</v>
      </c>
      <c r="AB92" s="73">
        <f>SUM(X92:AA92)</f>
        <v>8285.8577100260463</v>
      </c>
      <c r="AC92" s="72">
        <f>+AC88+AC87+AC78</f>
        <v>2419.4190364494266</v>
      </c>
      <c r="AD92" s="72">
        <f>+AD88+AD87+AD78</f>
        <v>2186.2098360092286</v>
      </c>
      <c r="AE92" s="72">
        <f>+AE88+AE87+AE78</f>
        <v>2467.9509919350912</v>
      </c>
      <c r="AF92" s="72">
        <f>+AF88+AF87+AF78</f>
        <v>2860.2938746380978</v>
      </c>
      <c r="AG92" s="73">
        <f>SUM(AC92:AF92)</f>
        <v>9933.8737390318456</v>
      </c>
      <c r="AH92" s="72">
        <f>+AH88+AH87+AH78</f>
        <v>2823.5496780854023</v>
      </c>
      <c r="AI92" s="72">
        <f>+AI88+AI87+AI78</f>
        <v>2544.6124113472024</v>
      </c>
      <c r="AJ92" s="72">
        <f>+AJ88+AJ87+AJ78</f>
        <v>2865.6689451780521</v>
      </c>
      <c r="AK92" s="72">
        <f>+AK88+AK87+AK78</f>
        <v>3319.0780362910773</v>
      </c>
      <c r="AL92" s="73">
        <f>SUM(AH92:AK92)</f>
        <v>11552.909070901733</v>
      </c>
      <c r="AM92" s="72">
        <f>+AM88+AM87+AM78</f>
        <v>3245.8090973554649</v>
      </c>
      <c r="AN92" s="72">
        <f>+AN88+AN87+AN78</f>
        <v>2880.2329610479633</v>
      </c>
      <c r="AO92" s="72">
        <f>+AO88+AO87+AO78</f>
        <v>3195.9703736699548</v>
      </c>
      <c r="AP92" s="72">
        <f>+AP88+AP87+AP78</f>
        <v>3653.4244598178502</v>
      </c>
      <c r="AQ92" s="73">
        <f>SUM(AM92:AP92)</f>
        <v>12975.436891891233</v>
      </c>
      <c r="AR92" s="72">
        <f>+AR88+AR87+AR78</f>
        <v>3479.5648395651397</v>
      </c>
      <c r="AS92" s="72">
        <f>+AS88+AS87+AS78</f>
        <v>3084.4695539758368</v>
      </c>
      <c r="AT92" s="72">
        <f>+AT88+AT87+AT78</f>
        <v>3420.0945372547908</v>
      </c>
      <c r="AU92" s="72">
        <f>+AU88+AU87+AU78</f>
        <v>3911.8071882243435</v>
      </c>
      <c r="AV92" s="73">
        <f>SUM(AR92:AU92)</f>
        <v>13895.936119020111</v>
      </c>
    </row>
    <row r="93" spans="1:48" outlineLevel="1" x14ac:dyDescent="0.3">
      <c r="B93" s="607" t="s">
        <v>100</v>
      </c>
      <c r="C93" s="608"/>
      <c r="D93" s="105">
        <v>462.7</v>
      </c>
      <c r="E93" s="105">
        <v>470.2</v>
      </c>
      <c r="F93" s="105">
        <v>476.1</v>
      </c>
      <c r="G93" s="105">
        <v>486.1</v>
      </c>
      <c r="H93" s="129">
        <f>SUM(D93:G93)</f>
        <v>1895.1</v>
      </c>
      <c r="I93" s="105">
        <v>488.5</v>
      </c>
      <c r="J93" s="105">
        <v>387.7</v>
      </c>
      <c r="K93" s="105">
        <v>337.7</v>
      </c>
      <c r="L93" s="105">
        <v>479.2</v>
      </c>
      <c r="M93" s="129">
        <f>SUM(I93:L93)</f>
        <v>1693.1000000000001</v>
      </c>
      <c r="N93" s="105">
        <v>520.4</v>
      </c>
      <c r="O93" s="105">
        <v>513.5</v>
      </c>
      <c r="P93" s="105">
        <v>501.7</v>
      </c>
      <c r="Q93" s="105">
        <v>605.1</v>
      </c>
      <c r="R93" s="76">
        <f>SUM(N93:Q93)</f>
        <v>2140.7000000000003</v>
      </c>
      <c r="S93" s="48">
        <v>615.79999999999995</v>
      </c>
      <c r="T93" s="48">
        <v>580.5</v>
      </c>
      <c r="U93" s="48">
        <v>550.29999999999995</v>
      </c>
      <c r="V93" s="48">
        <f t="shared" ref="V93" si="359">V94*V92</f>
        <v>631.03962845485455</v>
      </c>
      <c r="W93" s="76">
        <f>SUM(S93:V93)</f>
        <v>2377.6396284548546</v>
      </c>
      <c r="X93" s="48">
        <f>X94*X92</f>
        <v>647.57089089909618</v>
      </c>
      <c r="Y93" s="48">
        <f>Y94*Y92</f>
        <v>617.69455608931128</v>
      </c>
      <c r="Z93" s="48">
        <f t="shared" ref="Z93:AA93" si="360">Z94*Z92</f>
        <v>722.66030026871579</v>
      </c>
      <c r="AA93" s="48">
        <f t="shared" si="360"/>
        <v>835.15266918449061</v>
      </c>
      <c r="AB93" s="76">
        <f>SUM(X93:AA93)</f>
        <v>2823.0784164416136</v>
      </c>
      <c r="AC93" s="48">
        <f>AC94*AC92</f>
        <v>794.22050356925035</v>
      </c>
      <c r="AD93" s="48">
        <f>AD94*AD92</f>
        <v>679.88762985120638</v>
      </c>
      <c r="AE93" s="48">
        <f t="shared" ref="AE93:AF93" si="361">AE94*AE92</f>
        <v>844.6763558889902</v>
      </c>
      <c r="AF93" s="48">
        <f t="shared" si="361"/>
        <v>975.4892875029069</v>
      </c>
      <c r="AG93" s="76">
        <f>SUM(AC93:AF93)</f>
        <v>3294.2737768123538</v>
      </c>
      <c r="AH93" s="48">
        <f>AH94*AH92</f>
        <v>921.23700521496335</v>
      </c>
      <c r="AI93" s="48">
        <f>AI94*AI92</f>
        <v>786.25773224657632</v>
      </c>
      <c r="AJ93" s="48">
        <f t="shared" ref="AJ93:AK93" si="362">AJ94*AJ92</f>
        <v>952.14187976912149</v>
      </c>
      <c r="AK93" s="48">
        <f t="shared" si="362"/>
        <v>1125.3172340699036</v>
      </c>
      <c r="AL93" s="76">
        <f>SUM(AH93:AK93)</f>
        <v>3784.9538513005646</v>
      </c>
      <c r="AM93" s="48">
        <f>AM94*AM92</f>
        <v>1059.0072048510247</v>
      </c>
      <c r="AN93" s="48">
        <f>AN94*AN92</f>
        <v>889.96085462636563</v>
      </c>
      <c r="AO93" s="48">
        <f t="shared" ref="AO93:AP93" si="363">AO94*AO92</f>
        <v>1061.887223362942</v>
      </c>
      <c r="AP93" s="48">
        <f t="shared" si="363"/>
        <v>1238.6757596696061</v>
      </c>
      <c r="AQ93" s="76">
        <f>SUM(AM93:AP93)</f>
        <v>4249.5310425099387</v>
      </c>
      <c r="AR93" s="48">
        <f>AR94*AR92</f>
        <v>1135.2744798971867</v>
      </c>
      <c r="AS93" s="48">
        <f>AS94*AS92</f>
        <v>953.06775439670002</v>
      </c>
      <c r="AT93" s="48">
        <f t="shared" ref="AT93:AU93" si="364">AT94*AT92</f>
        <v>1136.354304697101</v>
      </c>
      <c r="AU93" s="48">
        <f t="shared" si="364"/>
        <v>1326.2791646159824</v>
      </c>
      <c r="AV93" s="76">
        <f>SUM(AR93:AU93)</f>
        <v>4550.9757036069695</v>
      </c>
    </row>
    <row r="94" spans="1:48" s="183" customFormat="1" outlineLevel="1" x14ac:dyDescent="0.3">
      <c r="A94" s="238"/>
      <c r="B94" s="181" t="s">
        <v>151</v>
      </c>
      <c r="C94" s="182"/>
      <c r="D94" s="167">
        <f>D93/D92</f>
        <v>0.30764627659574467</v>
      </c>
      <c r="E94" s="167">
        <f t="shared" ref="E94:U94" si="365">E93/E92</f>
        <v>0.30744082646789589</v>
      </c>
      <c r="F94" s="167">
        <f t="shared" si="365"/>
        <v>0.30032170567085098</v>
      </c>
      <c r="G94" s="167">
        <f t="shared" si="365"/>
        <v>0.30920424909356908</v>
      </c>
      <c r="H94" s="186">
        <f>H93/H92</f>
        <v>0.30611552626477995</v>
      </c>
      <c r="I94" s="167">
        <f t="shared" si="365"/>
        <v>0.31092864871745912</v>
      </c>
      <c r="J94" s="167">
        <f t="shared" si="365"/>
        <v>0.34170632822139962</v>
      </c>
      <c r="K94" s="167">
        <f t="shared" si="365"/>
        <v>0.35562342038753159</v>
      </c>
      <c r="L94" s="167">
        <f t="shared" si="365"/>
        <v>0.31707801230728511</v>
      </c>
      <c r="M94" s="186">
        <f>M93/M92</f>
        <v>0.32770100259358192</v>
      </c>
      <c r="N94" s="167">
        <f t="shared" si="365"/>
        <v>0.31457414011968809</v>
      </c>
      <c r="O94" s="167">
        <f t="shared" si="365"/>
        <v>0.31876590725681292</v>
      </c>
      <c r="P94" s="167">
        <f t="shared" si="365"/>
        <v>0.30252050168837435</v>
      </c>
      <c r="Q94" s="167">
        <f t="shared" si="365"/>
        <v>0.31604512691946102</v>
      </c>
      <c r="R94" s="188">
        <f>R93/R92</f>
        <v>0.31305021789359783</v>
      </c>
      <c r="S94" s="167">
        <f t="shared" si="365"/>
        <v>0.32826909749986671</v>
      </c>
      <c r="T94" s="167">
        <f t="shared" si="365"/>
        <v>0.34098919172932329</v>
      </c>
      <c r="U94" s="167">
        <f t="shared" si="365"/>
        <v>0.34725815611787714</v>
      </c>
      <c r="V94" s="189">
        <f>Q94+3%</f>
        <v>0.34604512691946099</v>
      </c>
      <c r="W94" s="188">
        <f>W93/W92</f>
        <v>0.34031542618745431</v>
      </c>
      <c r="X94" s="189">
        <f>S94+2%</f>
        <v>0.34826909749986673</v>
      </c>
      <c r="Y94" s="189">
        <f>T94-1%</f>
        <v>0.33098919172932328</v>
      </c>
      <c r="Z94" s="189">
        <f>U94-0.5%</f>
        <v>0.34225815611787713</v>
      </c>
      <c r="AA94" s="189">
        <f>V94-0.5%</f>
        <v>0.34104512691946098</v>
      </c>
      <c r="AB94" s="188">
        <f>AB93/AB92</f>
        <v>0.34071046296458057</v>
      </c>
      <c r="AC94" s="189">
        <f>X94-2%</f>
        <v>0.32826909749986671</v>
      </c>
      <c r="AD94" s="189">
        <f>Y94-2%</f>
        <v>0.31098919172932327</v>
      </c>
      <c r="AE94" s="189">
        <f t="shared" ref="AE94" si="366">Z94</f>
        <v>0.34225815611787713</v>
      </c>
      <c r="AF94" s="189">
        <f t="shared" ref="AF94" si="367">AA94</f>
        <v>0.34104512691946098</v>
      </c>
      <c r="AG94" s="188">
        <f>AG93/AG92</f>
        <v>0.33162025845653775</v>
      </c>
      <c r="AH94" s="189">
        <f>AC94-0.2%</f>
        <v>0.32626909749986671</v>
      </c>
      <c r="AI94" s="189">
        <f>AD94-0.2%</f>
        <v>0.30898919172932326</v>
      </c>
      <c r="AJ94" s="189">
        <f>AE94-1%</f>
        <v>0.33225815611787712</v>
      </c>
      <c r="AK94" s="189">
        <f>AF94-0.2%</f>
        <v>0.33904512691946098</v>
      </c>
      <c r="AL94" s="188">
        <f>AL93/AL92</f>
        <v>0.32761911550344608</v>
      </c>
      <c r="AM94" s="189">
        <f>AH94</f>
        <v>0.32626909749986671</v>
      </c>
      <c r="AN94" s="189">
        <f t="shared" ref="AN94" si="368">AI94</f>
        <v>0.30898919172932326</v>
      </c>
      <c r="AO94" s="189">
        <f t="shared" ref="AO94" si="369">AJ94</f>
        <v>0.33225815611787712</v>
      </c>
      <c r="AP94" s="189">
        <f t="shared" ref="AP94" si="370">AK94</f>
        <v>0.33904512691946098</v>
      </c>
      <c r="AQ94" s="188">
        <f>AQ93/AQ92</f>
        <v>0.32750581563581932</v>
      </c>
      <c r="AR94" s="189">
        <f>AM94</f>
        <v>0.32626909749986671</v>
      </c>
      <c r="AS94" s="189">
        <f t="shared" ref="AS94" si="371">AN94</f>
        <v>0.30898919172932326</v>
      </c>
      <c r="AT94" s="189">
        <f t="shared" ref="AT94" si="372">AO94</f>
        <v>0.33225815611787712</v>
      </c>
      <c r="AU94" s="189">
        <f t="shared" ref="AU94" si="373">AP94</f>
        <v>0.33904512691946098</v>
      </c>
      <c r="AV94" s="188">
        <f>AV93/AV92</f>
        <v>0.32750407490559819</v>
      </c>
    </row>
    <row r="95" spans="1:48" outlineLevel="1" x14ac:dyDescent="0.3">
      <c r="B95" s="180" t="s">
        <v>32</v>
      </c>
      <c r="C95" s="18"/>
      <c r="D95" s="105">
        <v>603.70000000000005</v>
      </c>
      <c r="E95" s="105">
        <v>618.4</v>
      </c>
      <c r="F95" s="105">
        <v>609.20000000000005</v>
      </c>
      <c r="G95" s="105">
        <v>597.29999999999995</v>
      </c>
      <c r="H95" s="170">
        <f>SUM(D95:G95)</f>
        <v>2428.6</v>
      </c>
      <c r="I95" s="105">
        <v>607.1</v>
      </c>
      <c r="J95" s="105">
        <v>562.79999999999995</v>
      </c>
      <c r="K95" s="105">
        <v>483.4</v>
      </c>
      <c r="L95" s="105">
        <v>622.70000000000005</v>
      </c>
      <c r="M95" s="170">
        <f>SUM(I95:L95)</f>
        <v>2276</v>
      </c>
      <c r="N95" s="105">
        <v>628.5</v>
      </c>
      <c r="O95" s="105">
        <v>620.20000000000005</v>
      </c>
      <c r="P95" s="105">
        <v>620.1</v>
      </c>
      <c r="Q95" s="105">
        <v>702.6</v>
      </c>
      <c r="R95" s="49">
        <f>SUM(N95:Q95)</f>
        <v>2571.4</v>
      </c>
      <c r="S95" s="48">
        <v>697.6</v>
      </c>
      <c r="T95" s="48">
        <v>689.3</v>
      </c>
      <c r="U95" s="48">
        <v>632.5</v>
      </c>
      <c r="V95" s="48">
        <f>V96*V78</f>
        <v>687.83425411270559</v>
      </c>
      <c r="W95" s="49">
        <f>SUM(S95:V95)</f>
        <v>2707.2342541127055</v>
      </c>
      <c r="X95" s="48">
        <f>X96*X78</f>
        <v>678.62934254252229</v>
      </c>
      <c r="Y95" s="48">
        <f>Y96*Y78</f>
        <v>711.4150702494693</v>
      </c>
      <c r="Z95" s="48">
        <f>Z96*Z78</f>
        <v>845.63636146105591</v>
      </c>
      <c r="AA95" s="48">
        <f>AA96*AA78</f>
        <v>923.01537332866644</v>
      </c>
      <c r="AB95" s="49">
        <f>SUM(X95:AA95)</f>
        <v>3158.6961475817138</v>
      </c>
      <c r="AC95" s="48">
        <f>AC96*AC78</f>
        <v>917.62726295588539</v>
      </c>
      <c r="AD95" s="48">
        <f>AD96*AD78</f>
        <v>806.32452929936312</v>
      </c>
      <c r="AE95" s="48">
        <f>AE96*AE78</f>
        <v>995.70254103371667</v>
      </c>
      <c r="AF95" s="48">
        <f>AF96*AF78</f>
        <v>1084.5079056352818</v>
      </c>
      <c r="AG95" s="49">
        <f>SUM(AC95:AF95)</f>
        <v>3804.1622389242466</v>
      </c>
      <c r="AH95" s="48">
        <f>AH96*AH78</f>
        <v>1071.5511964459445</v>
      </c>
      <c r="AI95" s="48">
        <f>AI96*AI78</f>
        <v>939.72154351194274</v>
      </c>
      <c r="AJ95" s="48">
        <f>AJ96*AJ78</f>
        <v>1119.9080534219811</v>
      </c>
      <c r="AK95" s="48">
        <f>AK96*AK78</f>
        <v>1259.1257593066855</v>
      </c>
      <c r="AL95" s="49">
        <f>SUM(AH95:AK95)</f>
        <v>4390.3065526865539</v>
      </c>
      <c r="AM95" s="48">
        <f>AM96*AM78</f>
        <v>1238.4590236873676</v>
      </c>
      <c r="AN95" s="48">
        <f>AN96*AN78</f>
        <v>1069.9080147072732</v>
      </c>
      <c r="AO95" s="48">
        <f>AO96*AO78</f>
        <v>1256.7509268026661</v>
      </c>
      <c r="AP95" s="48">
        <f>AP96*AP78</f>
        <v>1393.2960225678964</v>
      </c>
      <c r="AQ95" s="49">
        <f>SUM(AM95:AP95)</f>
        <v>4958.4139877652033</v>
      </c>
      <c r="AR95" s="48">
        <f>AR96*AR78</f>
        <v>1334.7742868245809</v>
      </c>
      <c r="AS95" s="48">
        <f>AS96*AS78</f>
        <v>1152.5292132402931</v>
      </c>
      <c r="AT95" s="48">
        <f>AT96*AT78</f>
        <v>1353.1281230512636</v>
      </c>
      <c r="AU95" s="48">
        <f>AU96*AU78</f>
        <v>1499.4156539506191</v>
      </c>
      <c r="AV95" s="49">
        <f>SUM(AR95:AU95)</f>
        <v>5339.8472770667568</v>
      </c>
    </row>
    <row r="96" spans="1:48" s="184" customFormat="1" outlineLevel="1" x14ac:dyDescent="0.3">
      <c r="B96" s="181" t="s">
        <v>150</v>
      </c>
      <c r="C96" s="190"/>
      <c r="D96" s="167">
        <f t="shared" ref="D96:U96" si="374">D95/D78</f>
        <v>0.47234175729598632</v>
      </c>
      <c r="E96" s="167">
        <f t="shared" si="374"/>
        <v>0.4722773789521918</v>
      </c>
      <c r="F96" s="167">
        <f t="shared" si="374"/>
        <v>0.45032525133057366</v>
      </c>
      <c r="G96" s="167">
        <f t="shared" si="374"/>
        <v>0.45390987157078799</v>
      </c>
      <c r="H96" s="186">
        <f t="shared" si="374"/>
        <v>0.46204482325634483</v>
      </c>
      <c r="I96" s="167">
        <f t="shared" si="374"/>
        <v>0.46354126899289916</v>
      </c>
      <c r="J96" s="167">
        <f t="shared" si="374"/>
        <v>0.62367021276595747</v>
      </c>
      <c r="K96" s="167">
        <f t="shared" si="374"/>
        <v>0.5521416333523701</v>
      </c>
      <c r="L96" s="167">
        <f t="shared" si="374"/>
        <v>0.47962720480628518</v>
      </c>
      <c r="M96" s="186">
        <f t="shared" si="374"/>
        <v>0.51893568024806769</v>
      </c>
      <c r="N96" s="167">
        <f t="shared" si="374"/>
        <v>0.43594367760282998</v>
      </c>
      <c r="O96" s="167">
        <f t="shared" si="374"/>
        <v>0.44789485087022463</v>
      </c>
      <c r="P96" s="167">
        <f t="shared" si="374"/>
        <v>0.4326379683248448</v>
      </c>
      <c r="Q96" s="167">
        <f t="shared" si="374"/>
        <v>0.43639751552795031</v>
      </c>
      <c r="R96" s="188">
        <f t="shared" si="374"/>
        <v>0.43808031074841985</v>
      </c>
      <c r="S96" s="167">
        <f t="shared" si="374"/>
        <v>0.46250745872836974</v>
      </c>
      <c r="T96" s="167">
        <f t="shared" si="374"/>
        <v>0.51424947776783048</v>
      </c>
      <c r="U96" s="167">
        <f t="shared" si="374"/>
        <v>0.54417964380968775</v>
      </c>
      <c r="V96" s="189">
        <f>Q96+5%</f>
        <v>0.4863975155279503</v>
      </c>
      <c r="W96" s="188">
        <f>W95/W78</f>
        <v>0.49901646423016127</v>
      </c>
      <c r="X96" s="189">
        <f>S96+2%</f>
        <v>0.48250745872836975</v>
      </c>
      <c r="Y96" s="189">
        <f>T96-1%</f>
        <v>0.50424947776783047</v>
      </c>
      <c r="Z96" s="189">
        <f>U96-0.5%</f>
        <v>0.53917964380968775</v>
      </c>
      <c r="AA96" s="189">
        <f>V96-0.5%</f>
        <v>0.48139751552795029</v>
      </c>
      <c r="AB96" s="188">
        <f>AB95/AB78</f>
        <v>0.50113807440579672</v>
      </c>
      <c r="AC96" s="189">
        <f>X96</f>
        <v>0.48250745872836975</v>
      </c>
      <c r="AD96" s="189">
        <f>Y96-2%</f>
        <v>0.48424947776783045</v>
      </c>
      <c r="AE96" s="189">
        <f t="shared" ref="AE96" si="375">Z96</f>
        <v>0.53917964380968775</v>
      </c>
      <c r="AF96" s="189">
        <f t="shared" ref="AF96" si="376">AA96</f>
        <v>0.48139751552795029</v>
      </c>
      <c r="AG96" s="188">
        <f>AG95/AG78</f>
        <v>0.49621093053200743</v>
      </c>
      <c r="AH96" s="189">
        <f>AC96-0.2%</f>
        <v>0.48050745872836975</v>
      </c>
      <c r="AI96" s="189">
        <f>AD96-0.2%</f>
        <v>0.48224947776783045</v>
      </c>
      <c r="AJ96" s="189">
        <f>AE96-2%</f>
        <v>0.51917964380968773</v>
      </c>
      <c r="AK96" s="189">
        <f>AF96-0.2%</f>
        <v>0.47939751552795029</v>
      </c>
      <c r="AL96" s="188">
        <f>AL95/AL78</f>
        <v>0.48986876600013574</v>
      </c>
      <c r="AM96" s="189">
        <f>AH96</f>
        <v>0.48050745872836975</v>
      </c>
      <c r="AN96" s="189">
        <f t="shared" ref="AN96" si="377">AI96</f>
        <v>0.48224947776783045</v>
      </c>
      <c r="AO96" s="189">
        <f t="shared" ref="AO96" si="378">AJ96</f>
        <v>0.51917964380968773</v>
      </c>
      <c r="AP96" s="189">
        <f t="shared" ref="AP96" si="379">AK96</f>
        <v>0.47939751552795029</v>
      </c>
      <c r="AQ96" s="188">
        <f>AQ95/AQ78</f>
        <v>0.48981803051047301</v>
      </c>
      <c r="AR96" s="189">
        <f>AM96</f>
        <v>0.48050745872836975</v>
      </c>
      <c r="AS96" s="189">
        <f t="shared" ref="AS96" si="380">AN96</f>
        <v>0.48224947776783045</v>
      </c>
      <c r="AT96" s="189">
        <f t="shared" ref="AT96" si="381">AO96</f>
        <v>0.51917964380968773</v>
      </c>
      <c r="AU96" s="189">
        <f t="shared" ref="AU96" si="382">AP96</f>
        <v>0.47939751552795029</v>
      </c>
      <c r="AV96" s="188">
        <f>AV95/AV78</f>
        <v>0.48981627641184178</v>
      </c>
    </row>
    <row r="97" spans="1:48" outlineLevel="1" x14ac:dyDescent="0.3">
      <c r="B97" s="180" t="s">
        <v>33</v>
      </c>
      <c r="C97" s="18"/>
      <c r="D97" s="105">
        <v>31.3</v>
      </c>
      <c r="E97" s="105">
        <v>26.3</v>
      </c>
      <c r="F97" s="105">
        <v>26.7</v>
      </c>
      <c r="G97" s="105">
        <v>31.9</v>
      </c>
      <c r="H97" s="170">
        <f>SUM(D97:G97)</f>
        <v>116.19999999999999</v>
      </c>
      <c r="I97" s="105">
        <v>35.9</v>
      </c>
      <c r="J97" s="105">
        <v>31.8</v>
      </c>
      <c r="K97" s="105">
        <v>37.5</v>
      </c>
      <c r="L97" s="105">
        <v>39.9</v>
      </c>
      <c r="M97" s="170">
        <f>SUM(I97:L97)</f>
        <v>145.1</v>
      </c>
      <c r="N97" s="105">
        <v>34.299999999999997</v>
      </c>
      <c r="O97" s="105">
        <v>29.3</v>
      </c>
      <c r="P97" s="105">
        <v>38.299999999999997</v>
      </c>
      <c r="Q97" s="105">
        <v>39.799999999999997</v>
      </c>
      <c r="R97" s="49">
        <f>SUM(N97:Q97)</f>
        <v>141.69999999999999</v>
      </c>
      <c r="S97" s="48">
        <v>39.200000000000003</v>
      </c>
      <c r="T97" s="48">
        <v>39.5</v>
      </c>
      <c r="U97" s="48">
        <v>60.2</v>
      </c>
      <c r="V97" s="48">
        <f t="shared" ref="V97" si="383">V98*V92</f>
        <v>37.907829003775198</v>
      </c>
      <c r="W97" s="49">
        <f>SUM(S97:V97)</f>
        <v>176.8078290037752</v>
      </c>
      <c r="X97" s="48">
        <f>X98*X92</f>
        <v>38.855165360887916</v>
      </c>
      <c r="Y97" s="48">
        <f>Y98*Y92</f>
        <v>43.300752765916904</v>
      </c>
      <c r="Z97" s="48">
        <f t="shared" ref="Z97:AA97" si="384">Z98*Z92</f>
        <v>69.653001534907077</v>
      </c>
      <c r="AA97" s="48">
        <f t="shared" si="384"/>
        <v>50.904835992040496</v>
      </c>
      <c r="AB97" s="49">
        <f>SUM(X97:AA97)</f>
        <v>202.7137556537524</v>
      </c>
      <c r="AC97" s="48">
        <f>AC98*AC92</f>
        <v>50.557719616620041</v>
      </c>
      <c r="AD97" s="48">
        <f>AD98*AD92</f>
        <v>50.725615908343826</v>
      </c>
      <c r="AE97" s="48">
        <f t="shared" ref="AE97:AF97" si="385">AE98*AE92</f>
        <v>69.073660847666503</v>
      </c>
      <c r="AF97" s="48">
        <f t="shared" si="385"/>
        <v>59.45873613840817</v>
      </c>
      <c r="AG97" s="49">
        <f>SUM(AC97:AF97)</f>
        <v>229.81573251103853</v>
      </c>
      <c r="AH97" s="48">
        <f>AH98*AH92</f>
        <v>53.355591288825082</v>
      </c>
      <c r="AI97" s="48">
        <f>AI98*AI92</f>
        <v>53.95224031370978</v>
      </c>
      <c r="AJ97" s="48">
        <f t="shared" ref="AJ97:AK97" si="386">AJ98*AJ92</f>
        <v>63.011081757392688</v>
      </c>
      <c r="AK97" s="48">
        <f t="shared" si="386"/>
        <v>62.357616331254093</v>
      </c>
      <c r="AL97" s="49">
        <f>SUM(AH97:AK97)</f>
        <v>232.67652969118163</v>
      </c>
      <c r="AM97" s="48">
        <f>AM98*AM92</f>
        <v>61.334873951104008</v>
      </c>
      <c r="AN97" s="48">
        <f>AN98*AN92</f>
        <v>61.06824763605406</v>
      </c>
      <c r="AO97" s="48">
        <f t="shared" ref="AO97:AP97" si="387">AO98*AO92</f>
        <v>70.273836357957251</v>
      </c>
      <c r="AP97" s="48">
        <f t="shared" si="387"/>
        <v>68.639193857315334</v>
      </c>
      <c r="AQ97" s="49">
        <f>SUM(AM97:AP97)</f>
        <v>261.31615180243062</v>
      </c>
      <c r="AR97" s="48">
        <f>AR98*AR92</f>
        <v>65.752071190294259</v>
      </c>
      <c r="AS97" s="48">
        <f>AS98*AS92</f>
        <v>65.398581675674691</v>
      </c>
      <c r="AT97" s="48">
        <f t="shared" ref="AT97:AU97" si="388">AT98*AT92</f>
        <v>75.201937358323804</v>
      </c>
      <c r="AU97" s="48">
        <f t="shared" si="388"/>
        <v>73.493593443110939</v>
      </c>
      <c r="AV97" s="49">
        <f>SUM(AR97:AU97)</f>
        <v>279.84618366740369</v>
      </c>
    </row>
    <row r="98" spans="1:48" s="184" customFormat="1" outlineLevel="1" x14ac:dyDescent="0.3">
      <c r="B98" s="181" t="s">
        <v>152</v>
      </c>
      <c r="C98" s="190"/>
      <c r="D98" s="167">
        <f>D97/D92</f>
        <v>2.0811170212765958E-2</v>
      </c>
      <c r="E98" s="167">
        <f t="shared" ref="E98:U98" si="389">E97/E92</f>
        <v>1.7196286125277887E-2</v>
      </c>
      <c r="F98" s="167">
        <f t="shared" si="389"/>
        <v>1.6842238062196431E-2</v>
      </c>
      <c r="G98" s="167">
        <f t="shared" si="389"/>
        <v>2.0291330068061827E-2</v>
      </c>
      <c r="H98" s="186">
        <f t="shared" si="389"/>
        <v>1.8769787426503842E-2</v>
      </c>
      <c r="I98" s="167">
        <f t="shared" si="389"/>
        <v>2.2850232321303544E-2</v>
      </c>
      <c r="J98" s="167">
        <f t="shared" si="389"/>
        <v>2.8027498677948178E-2</v>
      </c>
      <c r="K98" s="167">
        <f t="shared" si="389"/>
        <v>3.9490311710193765E-2</v>
      </c>
      <c r="L98" s="167">
        <f t="shared" si="389"/>
        <v>2.6401111625752663E-2</v>
      </c>
      <c r="M98" s="186">
        <f t="shared" si="389"/>
        <v>2.8084233344946388E-2</v>
      </c>
      <c r="N98" s="167">
        <f t="shared" si="389"/>
        <v>2.0733845130871061E-2</v>
      </c>
      <c r="O98" s="167">
        <f t="shared" si="389"/>
        <v>1.8188590229064498E-2</v>
      </c>
      <c r="P98" s="167">
        <f t="shared" si="389"/>
        <v>2.3094548962855763E-2</v>
      </c>
      <c r="Q98" s="167">
        <f t="shared" si="389"/>
        <v>2.0787631881332914E-2</v>
      </c>
      <c r="R98" s="188">
        <f t="shared" ref="R98" si="390">R97/R92</f>
        <v>2.0721827381474659E-2</v>
      </c>
      <c r="S98" s="167">
        <f t="shared" si="389"/>
        <v>2.0896636281251667E-2</v>
      </c>
      <c r="T98" s="167">
        <f t="shared" si="389"/>
        <v>2.3202537593984961E-2</v>
      </c>
      <c r="U98" s="167">
        <f t="shared" si="389"/>
        <v>3.7988262762668014E-2</v>
      </c>
      <c r="V98" s="189">
        <f>Q98</f>
        <v>2.0787631881332914E-2</v>
      </c>
      <c r="W98" s="188">
        <f t="shared" ref="W98" si="391">W97/W92</f>
        <v>2.5306792064111489E-2</v>
      </c>
      <c r="X98" s="189">
        <f>S98</f>
        <v>2.0896636281251667E-2</v>
      </c>
      <c r="Y98" s="189">
        <f t="shared" ref="Y98" si="392">T98</f>
        <v>2.3202537593984961E-2</v>
      </c>
      <c r="Z98" s="189">
        <f>U98-0.5%</f>
        <v>3.2988262762668016E-2</v>
      </c>
      <c r="AA98" s="189">
        <f t="shared" ref="AA98" si="393">V98</f>
        <v>2.0787631881332914E-2</v>
      </c>
      <c r="AB98" s="188">
        <f t="shared" ref="AB98" si="394">AB97/AB92</f>
        <v>2.4465029783031982E-2</v>
      </c>
      <c r="AC98" s="189">
        <f>X98</f>
        <v>2.0896636281251667E-2</v>
      </c>
      <c r="AD98" s="189">
        <f t="shared" ref="AD98" si="395">Y98</f>
        <v>2.3202537593984961E-2</v>
      </c>
      <c r="AE98" s="189">
        <f>Z98-0.5%</f>
        <v>2.7988262762668015E-2</v>
      </c>
      <c r="AF98" s="189">
        <f t="shared" ref="AF98" si="396">AA98</f>
        <v>2.0787631881332914E-2</v>
      </c>
      <c r="AG98" s="188">
        <f t="shared" ref="AG98" si="397">AG97/AG92</f>
        <v>2.3134553402672536E-2</v>
      </c>
      <c r="AH98" s="189">
        <f>AC98-0.2%</f>
        <v>1.8896636281251669E-2</v>
      </c>
      <c r="AI98" s="189">
        <f>AD98-0.2%</f>
        <v>2.1202537593984959E-2</v>
      </c>
      <c r="AJ98" s="189">
        <f>AE98-0.6%</f>
        <v>2.1988262762668014E-2</v>
      </c>
      <c r="AK98" s="189">
        <f>AF98-0.2%</f>
        <v>1.8787631881332915E-2</v>
      </c>
      <c r="AL98" s="188">
        <f t="shared" ref="AL98" si="398">AL97/AL92</f>
        <v>2.0140081451625297E-2</v>
      </c>
      <c r="AM98" s="189">
        <f>AH98</f>
        <v>1.8896636281251669E-2</v>
      </c>
      <c r="AN98" s="189">
        <f t="shared" ref="AN98" si="399">AI98</f>
        <v>2.1202537593984959E-2</v>
      </c>
      <c r="AO98" s="189">
        <f t="shared" ref="AO98" si="400">AJ98</f>
        <v>2.1988262762668014E-2</v>
      </c>
      <c r="AP98" s="189">
        <f t="shared" ref="AP98" si="401">AK98</f>
        <v>1.8787631881332915E-2</v>
      </c>
      <c r="AQ98" s="188">
        <f t="shared" ref="AQ98" si="402">AQ97/AQ92</f>
        <v>2.0139295037204911E-2</v>
      </c>
      <c r="AR98" s="189">
        <f>AM98</f>
        <v>1.8896636281251669E-2</v>
      </c>
      <c r="AS98" s="189">
        <f t="shared" ref="AS98" si="403">AN98</f>
        <v>2.1202537593984959E-2</v>
      </c>
      <c r="AT98" s="189">
        <f t="shared" ref="AT98" si="404">AO98</f>
        <v>2.1988262762668014E-2</v>
      </c>
      <c r="AU98" s="189">
        <f t="shared" ref="AU98" si="405">AP98</f>
        <v>1.8787631881332915E-2</v>
      </c>
      <c r="AV98" s="188">
        <f t="shared" ref="AV98" si="406">AV97/AV92</f>
        <v>2.013870683273819E-2</v>
      </c>
    </row>
    <row r="99" spans="1:48" outlineLevel="1" x14ac:dyDescent="0.3">
      <c r="B99" s="180" t="s">
        <v>34</v>
      </c>
      <c r="C99" s="18"/>
      <c r="D99" s="358">
        <v>127</v>
      </c>
      <c r="E99" s="358">
        <v>130.4</v>
      </c>
      <c r="F99" s="358">
        <v>127.7</v>
      </c>
      <c r="G99" s="358">
        <v>126.5</v>
      </c>
      <c r="H99" s="126">
        <f>SUM(D99:G99)</f>
        <v>511.59999999999997</v>
      </c>
      <c r="I99" s="358">
        <v>126.6</v>
      </c>
      <c r="J99" s="358">
        <v>130</v>
      </c>
      <c r="K99" s="358">
        <v>128.5</v>
      </c>
      <c r="L99" s="358">
        <v>133.1</v>
      </c>
      <c r="M99" s="126">
        <f>SUM(I99:L99)</f>
        <v>518.20000000000005</v>
      </c>
      <c r="N99" s="358">
        <v>140</v>
      </c>
      <c r="O99" s="358">
        <v>143.4</v>
      </c>
      <c r="P99" s="358">
        <v>129.69999999999999</v>
      </c>
      <c r="Q99" s="358">
        <v>131.6</v>
      </c>
      <c r="R99" s="126">
        <f>SUM(N99:Q99)</f>
        <v>544.69999999999993</v>
      </c>
      <c r="S99" s="358">
        <v>133.1</v>
      </c>
      <c r="T99" s="358">
        <v>133.4</v>
      </c>
      <c r="U99" s="358">
        <v>125</v>
      </c>
      <c r="V99" s="358">
        <f>(U99/(U66+U99+U114+U127))*'CFS 3Q2022'!V7*0.95</f>
        <v>129.33440412063263</v>
      </c>
      <c r="W99" s="126">
        <f>SUM(S99:V99)</f>
        <v>520.8344041206326</v>
      </c>
      <c r="X99" s="358">
        <f>(V99/(V66+V99+V114+V127))*'CFS 3Q2022'!X7*0.95</f>
        <v>131.48195836795102</v>
      </c>
      <c r="Y99" s="358">
        <f>(X99/(X66+X99+X114+X127))*'CFS 3Q2022'!Y7*0.95</f>
        <v>137.11284554911151</v>
      </c>
      <c r="Z99" s="358">
        <f>(Y99/(Y66+Y99+Y114+Y127))*'CFS 3Q2022'!Z7*0.95</f>
        <v>141.81247257079306</v>
      </c>
      <c r="AA99" s="358">
        <f>(Z99/(Z66+Z99+Z114+Z127))*'CFS 3Q2022'!AA7*0.95</f>
        <v>147.47952059376973</v>
      </c>
      <c r="AB99" s="126">
        <f>SUM(X99:AA99)</f>
        <v>557.88679708162533</v>
      </c>
      <c r="AC99" s="358">
        <f>(AA99/(AA66+AA99+AA114+AA127))*'CFS 3Q2022'!AC7*0.95</f>
        <v>153.21835092495499</v>
      </c>
      <c r="AD99" s="358">
        <f>(AC99/(AC66+AC99+AC114+AC127))*'CFS 3Q2022'!AD7*0.95</f>
        <v>157.66606310175129</v>
      </c>
      <c r="AE99" s="358">
        <f>(AD99/(AD66+AD99+AD114+AD127))*'CFS 3Q2022'!AE7*0.95</f>
        <v>161.06706535455726</v>
      </c>
      <c r="AF99" s="358">
        <f>(AE99/(AE66+AE99+AE114+AE127))*'CFS 3Q2022'!AF7*0.95</f>
        <v>165.52142473907296</v>
      </c>
      <c r="AG99" s="126">
        <f>SUM(AC99:AF99)</f>
        <v>637.47290412033647</v>
      </c>
      <c r="AH99" s="358">
        <f>(AF99/(AF66+AF99+AF114+AF127))*'CFS 3Q2022'!AH7*0.95</f>
        <v>170.08552096742056</v>
      </c>
      <c r="AI99" s="358">
        <f>(AH99/(AH66+AH99+AH114+AH127))*'CFS 3Q2022'!AI7*0.95</f>
        <v>173.49384498684756</v>
      </c>
      <c r="AJ99" s="358">
        <f>(AI99/(AI66+AI99+AI114+AI127))*'CFS 3Q2022'!AJ7*0.95</f>
        <v>175.93303513781927</v>
      </c>
      <c r="AK99" s="358">
        <f>(AJ99/(AJ66+AJ99+AJ114+AJ127))*'CFS 3Q2022'!AK7*0.95</f>
        <v>179.48285467565046</v>
      </c>
      <c r="AL99" s="126">
        <f>SUM(AH99:AK99)</f>
        <v>698.99525576773794</v>
      </c>
      <c r="AM99" s="358">
        <f>(AK99/(AK66+AK99+AK114+AK127))*'CFS 3Q2022'!AM7*0.95</f>
        <v>183.21610562005392</v>
      </c>
      <c r="AN99" s="358">
        <f>(AM99/(AM66+AM99+AM114+AM127))*'CFS 3Q2022'!AN7*0.95</f>
        <v>187.20214041931018</v>
      </c>
      <c r="AO99" s="358">
        <f>(AN99/(AN66+AN99+AN114+AN127))*'CFS 3Q2022'!AO7*0.95</f>
        <v>190.03862637595518</v>
      </c>
      <c r="AP99" s="358">
        <f>(AO99/(AO66+AO99+AO114+AO127))*'CFS 3Q2022'!AP7*0.95</f>
        <v>194.02042430183801</v>
      </c>
      <c r="AQ99" s="126">
        <f>SUM(AM99:AP99)</f>
        <v>754.4772967171574</v>
      </c>
      <c r="AR99" s="358">
        <f>(AP99/(AP66+AP99+AP114+AP127))*'CFS 3Q2022'!AR7*0.95</f>
        <v>198.14635433644253</v>
      </c>
      <c r="AS99" s="358">
        <f>(AR99/(AR66+AR99+AR114+AR127))*'CFS 3Q2022'!AS7*0.95</f>
        <v>202.20902878533059</v>
      </c>
      <c r="AT99" s="358">
        <f>(AS99/(AS66+AS99+AS114+AS127))*'CFS 3Q2022'!AT7*0.95</f>
        <v>205.04768632794284</v>
      </c>
      <c r="AU99" s="358">
        <f>(AT99/(AT66+AT99+AT114+AT127))*'CFS 3Q2022'!AU7*0.95</f>
        <v>209.11206844759425</v>
      </c>
      <c r="AV99" s="126">
        <f>SUM(AR99:AU99)</f>
        <v>814.5151378973103</v>
      </c>
    </row>
    <row r="100" spans="1:48" outlineLevel="1" x14ac:dyDescent="0.3">
      <c r="B100" s="180" t="s">
        <v>35</v>
      </c>
      <c r="C100" s="18"/>
      <c r="D100" s="105">
        <v>69.3</v>
      </c>
      <c r="E100" s="105">
        <v>80.2</v>
      </c>
      <c r="F100" s="105">
        <v>86</v>
      </c>
      <c r="G100" s="105">
        <v>82.4</v>
      </c>
      <c r="H100" s="170">
        <f>SUM(D100:G100)</f>
        <v>317.89999999999998</v>
      </c>
      <c r="I100" s="105">
        <v>67.2</v>
      </c>
      <c r="J100" s="105">
        <v>63.7</v>
      </c>
      <c r="K100" s="105">
        <v>66.099999999999994</v>
      </c>
      <c r="L100" s="105">
        <v>84.5</v>
      </c>
      <c r="M100" s="170">
        <f>SUM(I100:L100)</f>
        <v>281.5</v>
      </c>
      <c r="N100" s="105">
        <v>82.6</v>
      </c>
      <c r="O100" s="105">
        <v>79.8</v>
      </c>
      <c r="P100" s="105">
        <v>92.3</v>
      </c>
      <c r="Q100" s="105">
        <v>98.4</v>
      </c>
      <c r="R100" s="49">
        <f>SUM(N100:Q100)</f>
        <v>353.1</v>
      </c>
      <c r="S100" s="48">
        <v>91.3</v>
      </c>
      <c r="T100" s="48">
        <v>79.599999999999994</v>
      </c>
      <c r="U100" s="48">
        <v>81.8</v>
      </c>
      <c r="V100" s="48">
        <f t="shared" ref="V100" si="407">V101*V92</f>
        <v>93.721868692750746</v>
      </c>
      <c r="W100" s="49">
        <f>SUM(S100:V100)</f>
        <v>346.42186869275076</v>
      </c>
      <c r="X100" s="48">
        <f>X101*X92</f>
        <v>90.496851975741492</v>
      </c>
      <c r="Y100" s="48">
        <f>Y101*Y92</f>
        <v>87.259238485240132</v>
      </c>
      <c r="Z100" s="48">
        <f t="shared" ref="Z100:AA100" si="408">Z101*Z92</f>
        <v>98.432755978184503</v>
      </c>
      <c r="AA100" s="48">
        <f t="shared" si="408"/>
        <v>113.61115242876841</v>
      </c>
      <c r="AB100" s="49">
        <f>SUM(X100:AA100)</f>
        <v>389.79999886793451</v>
      </c>
      <c r="AC100" s="48">
        <f>AC101*AC92</f>
        <v>110.4947990385448</v>
      </c>
      <c r="AD100" s="48">
        <f>AD101*AD92</f>
        <v>102.22174750137135</v>
      </c>
      <c r="AE100" s="48">
        <f t="shared" ref="AE100:AF100" si="409">AE101*AE92</f>
        <v>115.05242724534155</v>
      </c>
      <c r="AF100" s="48">
        <f t="shared" si="409"/>
        <v>132.70203906950712</v>
      </c>
      <c r="AG100" s="49">
        <f>SUM(AC100:AF100)</f>
        <v>460.47101285476481</v>
      </c>
      <c r="AH100" s="48">
        <f>AH101*AH92</f>
        <v>123.30433466794348</v>
      </c>
      <c r="AI100" s="48">
        <f>AI101*AI92</f>
        <v>113.89053783193276</v>
      </c>
      <c r="AJ100" s="48">
        <f t="shared" ref="AJ100:AK100" si="410">AJ101*AJ92</f>
        <v>127.86214467949708</v>
      </c>
      <c r="AK100" s="48">
        <f t="shared" si="410"/>
        <v>147.34896642278375</v>
      </c>
      <c r="AL100" s="49">
        <f>SUM(AH100:AK100)</f>
        <v>512.40598360215699</v>
      </c>
      <c r="AM100" s="48">
        <f>AM101*AM92</f>
        <v>141.74439157732732</v>
      </c>
      <c r="AN100" s="48">
        <f>AN101*AN92</f>
        <v>128.91208089382152</v>
      </c>
      <c r="AO100" s="48">
        <f t="shared" ref="AO100:AP100" si="411">AO101*AO92</f>
        <v>142.59973295142225</v>
      </c>
      <c r="AP100" s="48">
        <f t="shared" si="411"/>
        <v>162.19212449112385</v>
      </c>
      <c r="AQ100" s="49">
        <f>SUM(AM100:AP100)</f>
        <v>575.44832991369492</v>
      </c>
      <c r="AR100" s="48">
        <f>AR101*AR92</f>
        <v>151.95249823529826</v>
      </c>
      <c r="AS100" s="48">
        <f>AS101*AS92</f>
        <v>138.05320404082451</v>
      </c>
      <c r="AT100" s="48">
        <f t="shared" ref="AT100:AU100" si="412">AT101*AT92</f>
        <v>152.59984000449813</v>
      </c>
      <c r="AU100" s="48">
        <f t="shared" si="412"/>
        <v>173.66290871370268</v>
      </c>
      <c r="AV100" s="49">
        <f>SUM(AR100:AU100)</f>
        <v>616.26845099432353</v>
      </c>
    </row>
    <row r="101" spans="1:48" s="184" customFormat="1" outlineLevel="1" x14ac:dyDescent="0.3">
      <c r="B101" s="181" t="s">
        <v>153</v>
      </c>
      <c r="C101" s="190"/>
      <c r="D101" s="167">
        <f>D100/D92</f>
        <v>4.6077127659574467E-2</v>
      </c>
      <c r="E101" s="167">
        <f t="shared" ref="E101:Q101" si="413">E100/E92</f>
        <v>5.2438864914345497E-2</v>
      </c>
      <c r="F101" s="167">
        <f t="shared" si="413"/>
        <v>5.4248407241531571E-2</v>
      </c>
      <c r="G101" s="167">
        <f t="shared" si="413"/>
        <v>5.2413968577062528E-2</v>
      </c>
      <c r="H101" s="186">
        <f t="shared" si="413"/>
        <v>5.1350390902629703E-2</v>
      </c>
      <c r="I101" s="167">
        <f t="shared" si="413"/>
        <v>4.277257972121444E-2</v>
      </c>
      <c r="J101" s="167">
        <f t="shared" si="413"/>
        <v>5.6143134144191795E-2</v>
      </c>
      <c r="K101" s="167">
        <f t="shared" si="413"/>
        <v>6.9608256107834873E-2</v>
      </c>
      <c r="L101" s="167">
        <f t="shared" si="413"/>
        <v>5.5912128630979954E-2</v>
      </c>
      <c r="M101" s="186">
        <f t="shared" si="413"/>
        <v>5.4484573994503162E-2</v>
      </c>
      <c r="N101" s="167">
        <f t="shared" si="413"/>
        <v>4.9930484192709908E-2</v>
      </c>
      <c r="O101" s="167">
        <f t="shared" si="413"/>
        <v>4.9537525606803648E-2</v>
      </c>
      <c r="P101" s="167">
        <f t="shared" si="413"/>
        <v>5.5656054027978775E-2</v>
      </c>
      <c r="Q101" s="167">
        <f t="shared" si="413"/>
        <v>5.139454716389847E-2</v>
      </c>
      <c r="R101" s="188">
        <f t="shared" ref="R101:U101" si="414">R100/R92</f>
        <v>5.1636395542686682E-2</v>
      </c>
      <c r="S101" s="167">
        <f t="shared" si="414"/>
        <v>4.8669971746894823E-2</v>
      </c>
      <c r="T101" s="167">
        <f t="shared" si="414"/>
        <v>4.6757518796992477E-2</v>
      </c>
      <c r="U101" s="167">
        <f t="shared" si="414"/>
        <v>5.1618602890136929E-2</v>
      </c>
      <c r="V101" s="189">
        <f>Q101</f>
        <v>5.139454716389847E-2</v>
      </c>
      <c r="W101" s="188">
        <f t="shared" ref="W101" si="415">W100/W92</f>
        <v>4.9583925366117061E-2</v>
      </c>
      <c r="X101" s="189">
        <f>S101</f>
        <v>4.8669971746894823E-2</v>
      </c>
      <c r="Y101" s="189">
        <f t="shared" ref="Y101" si="416">T101</f>
        <v>4.6757518796992477E-2</v>
      </c>
      <c r="Z101" s="189">
        <f>U101-0.5%</f>
        <v>4.6618602890136931E-2</v>
      </c>
      <c r="AA101" s="189">
        <f>V101-0.5%</f>
        <v>4.6394547163898472E-2</v>
      </c>
      <c r="AB101" s="188">
        <f t="shared" ref="AB101" si="417">AB100/AB92</f>
        <v>4.7044013125674251E-2</v>
      </c>
      <c r="AC101" s="189">
        <f>X101-0.3%</f>
        <v>4.566997174689482E-2</v>
      </c>
      <c r="AD101" s="189">
        <f t="shared" ref="AD101" si="418">Y101</f>
        <v>4.6757518796992477E-2</v>
      </c>
      <c r="AE101" s="189">
        <f t="shared" ref="AE101" si="419">Z101</f>
        <v>4.6618602890136931E-2</v>
      </c>
      <c r="AF101" s="189">
        <f t="shared" ref="AF101" si="420">AA101</f>
        <v>4.6394547163898472E-2</v>
      </c>
      <c r="AG101" s="188">
        <f t="shared" ref="AG101" si="421">AG100/AG92</f>
        <v>4.6353620445717711E-2</v>
      </c>
      <c r="AH101" s="189">
        <f>AC101-0.2%</f>
        <v>4.3669971746894819E-2</v>
      </c>
      <c r="AI101" s="189">
        <f>AD101-0.2%</f>
        <v>4.4757518796992475E-2</v>
      </c>
      <c r="AJ101" s="189">
        <f>AE101-0.2%</f>
        <v>4.461860289013693E-2</v>
      </c>
      <c r="AK101" s="189">
        <f>AF101-0.2%</f>
        <v>4.4394547163898471E-2</v>
      </c>
      <c r="AL101" s="188">
        <f t="shared" ref="AL101" si="422">AL100/AL92</f>
        <v>4.4352983344493897E-2</v>
      </c>
      <c r="AM101" s="189">
        <f>AH101</f>
        <v>4.3669971746894819E-2</v>
      </c>
      <c r="AN101" s="189">
        <f t="shared" ref="AN101" si="423">AI101</f>
        <v>4.4757518796992475E-2</v>
      </c>
      <c r="AO101" s="189">
        <f t="shared" ref="AO101" si="424">AJ101</f>
        <v>4.461860289013693E-2</v>
      </c>
      <c r="AP101" s="189">
        <f t="shared" ref="AP101" si="425">AK101</f>
        <v>4.4394547163898471E-2</v>
      </c>
      <c r="AQ101" s="188">
        <f t="shared" ref="AQ101" si="426">AQ100/AQ92</f>
        <v>4.4349052344689145E-2</v>
      </c>
      <c r="AR101" s="189">
        <f>AM101</f>
        <v>4.3669971746894819E-2</v>
      </c>
      <c r="AS101" s="189">
        <f t="shared" ref="AS101" si="427">AN101</f>
        <v>4.4757518796992475E-2</v>
      </c>
      <c r="AT101" s="189">
        <f t="shared" ref="AT101" si="428">AO101</f>
        <v>4.461860289013693E-2</v>
      </c>
      <c r="AU101" s="189">
        <f t="shared" ref="AU101" si="429">AP101</f>
        <v>4.4394547163898471E-2</v>
      </c>
      <c r="AV101" s="188">
        <f t="shared" ref="AV101" si="430">AV100/AV92</f>
        <v>4.4348825852099587E-2</v>
      </c>
    </row>
    <row r="102" spans="1:48" ht="16.2" outlineLevel="1" x14ac:dyDescent="0.45">
      <c r="B102" s="180" t="s">
        <v>42</v>
      </c>
      <c r="C102" s="18"/>
      <c r="D102" s="119">
        <v>6.4</v>
      </c>
      <c r="E102" s="119">
        <v>24.2</v>
      </c>
      <c r="F102" s="119">
        <v>16.600000000000001</v>
      </c>
      <c r="G102" s="119">
        <v>12</v>
      </c>
      <c r="H102" s="131">
        <f>SUM(D102:G102)</f>
        <v>59.2</v>
      </c>
      <c r="I102" s="119">
        <v>0.8</v>
      </c>
      <c r="J102" s="119">
        <v>-1.2</v>
      </c>
      <c r="K102" s="119">
        <v>-0.2</v>
      </c>
      <c r="L102" s="119">
        <v>-0.6</v>
      </c>
      <c r="M102" s="131">
        <f>SUM(I102:L102)</f>
        <v>-1.1999999999999997</v>
      </c>
      <c r="N102" s="119">
        <v>0</v>
      </c>
      <c r="O102" s="119">
        <v>0</v>
      </c>
      <c r="P102" s="119">
        <v>0</v>
      </c>
      <c r="Q102" s="119">
        <v>0</v>
      </c>
      <c r="R102" s="131">
        <f>SUM(N102:Q102)</f>
        <v>0</v>
      </c>
      <c r="S102" s="119">
        <v>0</v>
      </c>
      <c r="T102" s="119">
        <v>0</v>
      </c>
      <c r="U102" s="119">
        <v>0</v>
      </c>
      <c r="V102" s="119">
        <f>IFERROR((V163*(U102/U163)),0)</f>
        <v>0</v>
      </c>
      <c r="W102" s="131">
        <f>SUM(S102:V102)</f>
        <v>0</v>
      </c>
      <c r="X102" s="119">
        <f>IFERROR((X163*(V102/V163)),0)</f>
        <v>0</v>
      </c>
      <c r="Y102" s="119">
        <f t="shared" ref="Y102:AA102" si="431">IFERROR((Y163*(X102/X163)),0)</f>
        <v>0</v>
      </c>
      <c r="Z102" s="119">
        <f t="shared" si="431"/>
        <v>0</v>
      </c>
      <c r="AA102" s="119">
        <f t="shared" si="431"/>
        <v>0</v>
      </c>
      <c r="AB102" s="131">
        <f>SUM(X102:AA102)</f>
        <v>0</v>
      </c>
      <c r="AC102" s="119">
        <f>IFERROR((AC163*(AA102/AA163)),0)</f>
        <v>0</v>
      </c>
      <c r="AD102" s="119">
        <f t="shared" ref="AD102:AF102" si="432">IFERROR((AD163*(AC102/AC163)),0)</f>
        <v>0</v>
      </c>
      <c r="AE102" s="119">
        <f t="shared" si="432"/>
        <v>0</v>
      </c>
      <c r="AF102" s="119">
        <f t="shared" si="432"/>
        <v>0</v>
      </c>
      <c r="AG102" s="131">
        <f>SUM(AC102:AF102)</f>
        <v>0</v>
      </c>
      <c r="AH102" s="119">
        <f>IFERROR((AH163*(AF102/AF163)),0)</f>
        <v>0</v>
      </c>
      <c r="AI102" s="119">
        <f t="shared" ref="AI102:AK102" si="433">IFERROR((AI163*(AH102/AH163)),0)</f>
        <v>0</v>
      </c>
      <c r="AJ102" s="119">
        <f t="shared" si="433"/>
        <v>0</v>
      </c>
      <c r="AK102" s="119">
        <f t="shared" si="433"/>
        <v>0</v>
      </c>
      <c r="AL102" s="131">
        <f>SUM(AH102:AK102)</f>
        <v>0</v>
      </c>
      <c r="AM102" s="119">
        <f>IFERROR((AM163*(AK102/AK163)),0)</f>
        <v>0</v>
      </c>
      <c r="AN102" s="119">
        <f t="shared" ref="AN102:AP102" si="434">IFERROR((AN163*(AM102/AM163)),0)</f>
        <v>0</v>
      </c>
      <c r="AO102" s="119">
        <f t="shared" si="434"/>
        <v>0</v>
      </c>
      <c r="AP102" s="119">
        <f t="shared" si="434"/>
        <v>0</v>
      </c>
      <c r="AQ102" s="131">
        <f>SUM(AM102:AP102)</f>
        <v>0</v>
      </c>
      <c r="AR102" s="119">
        <f>IFERROR((AR163*(AP102/AP163)),0)</f>
        <v>0</v>
      </c>
      <c r="AS102" s="119">
        <f t="shared" ref="AS102:AU102" si="435">IFERROR((AS163*(AR102/AR163)),0)</f>
        <v>0</v>
      </c>
      <c r="AT102" s="119">
        <f t="shared" si="435"/>
        <v>0</v>
      </c>
      <c r="AU102" s="119">
        <f t="shared" si="435"/>
        <v>0</v>
      </c>
      <c r="AV102" s="131">
        <f>SUM(AR102:AU102)</f>
        <v>0</v>
      </c>
    </row>
    <row r="103" spans="1:48" outlineLevel="1" x14ac:dyDescent="0.3">
      <c r="B103" s="46" t="s">
        <v>123</v>
      </c>
      <c r="C103" s="19"/>
      <c r="D103" s="103">
        <f>D93+D95+D97+D99+D100+D102</f>
        <v>1300.4000000000001</v>
      </c>
      <c r="E103" s="103">
        <f t="shared" ref="E103:G103" si="436">E93+E95+E97+E99+E100+E102</f>
        <v>1349.7</v>
      </c>
      <c r="F103" s="103">
        <f t="shared" si="436"/>
        <v>1342.3000000000002</v>
      </c>
      <c r="G103" s="103">
        <f t="shared" si="436"/>
        <v>1336.2000000000003</v>
      </c>
      <c r="H103" s="171">
        <f>H93+H95+H97+H99+H100+H102</f>
        <v>5328.5999999999995</v>
      </c>
      <c r="I103" s="103">
        <f>I93+I95+I97+I99+I100+I102</f>
        <v>1326.1</v>
      </c>
      <c r="J103" s="103">
        <f t="shared" ref="J103:L103" si="437">J93+J95+J97+J99+J100+J102</f>
        <v>1174.8</v>
      </c>
      <c r="K103" s="103">
        <f t="shared" si="437"/>
        <v>1052.9999999999998</v>
      </c>
      <c r="L103" s="103">
        <f t="shared" si="437"/>
        <v>1358.8000000000002</v>
      </c>
      <c r="M103" s="171">
        <f>M93+M95+M97+M99+M100+M102</f>
        <v>4912.7000000000007</v>
      </c>
      <c r="N103" s="103">
        <f>N93+N95+N97+N99+N100+N102</f>
        <v>1405.8</v>
      </c>
      <c r="O103" s="103">
        <f t="shared" ref="O103:P103" si="438">O93+O95+O97+O99+O100+O102</f>
        <v>1386.2</v>
      </c>
      <c r="P103" s="103">
        <f t="shared" si="438"/>
        <v>1382.1</v>
      </c>
      <c r="Q103" s="103">
        <f>Q93+Q95+Q97+Q99+Q100+Q102</f>
        <v>1577.5</v>
      </c>
      <c r="R103" s="171">
        <f>R93+R95+R97+R99+R100+R102</f>
        <v>5751.6</v>
      </c>
      <c r="S103" s="103">
        <f>S93+S95+S97+S99+S100+S102</f>
        <v>1577</v>
      </c>
      <c r="T103" s="103">
        <f t="shared" ref="T103:V103" si="439">T93+T95+T97+T99+T100+T102</f>
        <v>1522.3</v>
      </c>
      <c r="U103" s="103">
        <f t="shared" si="439"/>
        <v>1449.8</v>
      </c>
      <c r="V103" s="103">
        <f t="shared" si="439"/>
        <v>1579.8379843847188</v>
      </c>
      <c r="W103" s="171">
        <f>W93+W95+W97+W99+W100+W102</f>
        <v>6128.9379843847191</v>
      </c>
      <c r="X103" s="103">
        <f>X93+X95+X97+X99+X100+X102</f>
        <v>1587.0342091461987</v>
      </c>
      <c r="Y103" s="103">
        <f t="shared" ref="Y103:AA103" si="440">Y93+Y95+Y97+Y99+Y100+Y102</f>
        <v>1596.782463139049</v>
      </c>
      <c r="Z103" s="103">
        <f t="shared" si="440"/>
        <v>1878.1948918136563</v>
      </c>
      <c r="AA103" s="103">
        <f t="shared" si="440"/>
        <v>2070.1635515277358</v>
      </c>
      <c r="AB103" s="171">
        <f>AB93+AB95+AB97+AB99+AB100+AB102</f>
        <v>7132.1751156266409</v>
      </c>
      <c r="AC103" s="103">
        <f>AC93+AC95+AC97+AC99+AC100+AC102</f>
        <v>2026.1186361052557</v>
      </c>
      <c r="AD103" s="103">
        <f t="shared" ref="AD103:AF103" si="441">AD93+AD95+AD97+AD99+AD100+AD102</f>
        <v>1796.8255856620358</v>
      </c>
      <c r="AE103" s="103">
        <f t="shared" si="441"/>
        <v>2185.5720503702723</v>
      </c>
      <c r="AF103" s="103">
        <f t="shared" si="441"/>
        <v>2417.6793930851773</v>
      </c>
      <c r="AG103" s="171">
        <f>AG93+AG95+AG97+AG99+AG100+AG102</f>
        <v>8426.19566522274</v>
      </c>
      <c r="AH103" s="103">
        <f>AH93+AH95+AH97+AH99+AH100+AH102</f>
        <v>2339.5336485850967</v>
      </c>
      <c r="AI103" s="103">
        <f t="shared" ref="AI103:AK103" si="442">AI93+AI95+AI97+AI99+AI100+AI102</f>
        <v>2067.3158988910091</v>
      </c>
      <c r="AJ103" s="103">
        <f t="shared" si="442"/>
        <v>2438.8561947658118</v>
      </c>
      <c r="AK103" s="103">
        <f t="shared" si="442"/>
        <v>2773.6324308062772</v>
      </c>
      <c r="AL103" s="171">
        <f>AL93+AL95+AL97+AL99+AL100+AL102</f>
        <v>9619.3381730481942</v>
      </c>
      <c r="AM103" s="103">
        <f>AM93+AM95+AM97+AM99+AM100+AM102</f>
        <v>2683.7615996868772</v>
      </c>
      <c r="AN103" s="103">
        <f t="shared" ref="AN103:AP103" si="443">AN93+AN95+AN97+AN99+AN100+AN102</f>
        <v>2337.0513382828249</v>
      </c>
      <c r="AO103" s="103">
        <f t="shared" si="443"/>
        <v>2721.5503458509424</v>
      </c>
      <c r="AP103" s="103">
        <f t="shared" si="443"/>
        <v>3056.8235248877791</v>
      </c>
      <c r="AQ103" s="171">
        <f>AQ93+AQ95+AQ97+AQ99+AQ100+AQ102</f>
        <v>10799.186808708426</v>
      </c>
      <c r="AR103" s="103">
        <f>AR93+AR95+AR97+AR99+AR100+AR102</f>
        <v>2885.8996904838027</v>
      </c>
      <c r="AS103" s="103">
        <f t="shared" ref="AS103:AU103" si="444">AS93+AS95+AS97+AS99+AS100+AS102</f>
        <v>2511.2577821388231</v>
      </c>
      <c r="AT103" s="103">
        <f t="shared" si="444"/>
        <v>2922.3318914391298</v>
      </c>
      <c r="AU103" s="103">
        <f t="shared" si="444"/>
        <v>3281.9633891710091</v>
      </c>
      <c r="AV103" s="171">
        <f>AV93+AV95+AV97+AV99+AV100+AV102</f>
        <v>11601.452753232761</v>
      </c>
    </row>
    <row r="104" spans="1:48" ht="16.2" outlineLevel="1" x14ac:dyDescent="0.45">
      <c r="B104" s="180" t="s">
        <v>36</v>
      </c>
      <c r="C104" s="18"/>
      <c r="D104" s="119">
        <v>26.4</v>
      </c>
      <c r="E104" s="104">
        <v>22.1</v>
      </c>
      <c r="F104" s="104">
        <v>27.2</v>
      </c>
      <c r="G104" s="104">
        <v>26.8</v>
      </c>
      <c r="H104" s="214">
        <f>SUM(D104:G104)</f>
        <v>102.5</v>
      </c>
      <c r="I104" s="104">
        <v>30.9</v>
      </c>
      <c r="J104" s="104">
        <v>24.8</v>
      </c>
      <c r="K104" s="104">
        <v>17.399999999999999</v>
      </c>
      <c r="L104" s="104">
        <v>29.2</v>
      </c>
      <c r="M104" s="214">
        <f>SUM(I104:L104)</f>
        <v>102.3</v>
      </c>
      <c r="N104" s="104">
        <v>26.3</v>
      </c>
      <c r="O104" s="104">
        <v>26.8</v>
      </c>
      <c r="P104" s="104">
        <v>42</v>
      </c>
      <c r="Q104" s="104">
        <v>40.299999999999997</v>
      </c>
      <c r="R104" s="193">
        <f>SUM(N104:Q104)</f>
        <v>135.39999999999998</v>
      </c>
      <c r="S104" s="104">
        <v>0.7</v>
      </c>
      <c r="T104" s="104">
        <v>0.6</v>
      </c>
      <c r="U104" s="104">
        <v>0.4</v>
      </c>
      <c r="V104" s="56">
        <v>0.4</v>
      </c>
      <c r="W104" s="193">
        <f>SUM(S104:V104)</f>
        <v>2.0999999999999996</v>
      </c>
      <c r="X104" s="56">
        <v>0.4</v>
      </c>
      <c r="Y104" s="56">
        <v>0.5</v>
      </c>
      <c r="Z104" s="56">
        <v>0.6</v>
      </c>
      <c r="AA104" s="56">
        <v>0.7</v>
      </c>
      <c r="AB104" s="193">
        <f>SUM(X104:AA104)</f>
        <v>2.2000000000000002</v>
      </c>
      <c r="AC104" s="56">
        <v>1</v>
      </c>
      <c r="AD104" s="56">
        <v>1</v>
      </c>
      <c r="AE104" s="56">
        <v>1</v>
      </c>
      <c r="AF104" s="56">
        <v>1</v>
      </c>
      <c r="AG104" s="193">
        <f>SUM(AC104:AF104)</f>
        <v>4</v>
      </c>
      <c r="AH104" s="56">
        <v>1</v>
      </c>
      <c r="AI104" s="56">
        <v>1</v>
      </c>
      <c r="AJ104" s="56">
        <v>1</v>
      </c>
      <c r="AK104" s="56">
        <v>1</v>
      </c>
      <c r="AL104" s="193">
        <f>SUM(AH104:AK104)</f>
        <v>4</v>
      </c>
      <c r="AM104" s="56">
        <v>1</v>
      </c>
      <c r="AN104" s="56">
        <v>1</v>
      </c>
      <c r="AO104" s="56">
        <v>1</v>
      </c>
      <c r="AP104" s="56">
        <v>1</v>
      </c>
      <c r="AQ104" s="193">
        <f>SUM(AM104:AP104)</f>
        <v>4</v>
      </c>
      <c r="AR104" s="56">
        <v>1</v>
      </c>
      <c r="AS104" s="56">
        <v>1</v>
      </c>
      <c r="AT104" s="56">
        <v>1</v>
      </c>
      <c r="AU104" s="56">
        <v>1</v>
      </c>
      <c r="AV104" s="193">
        <f>SUM(AR104:AU104)</f>
        <v>4</v>
      </c>
    </row>
    <row r="105" spans="1:48" outlineLevel="1" x14ac:dyDescent="0.3">
      <c r="B105" s="46" t="s">
        <v>124</v>
      </c>
      <c r="C105" s="44"/>
      <c r="D105" s="156">
        <f>+D92-D103+D104</f>
        <v>229.99999999999991</v>
      </c>
      <c r="E105" s="156">
        <f t="shared" ref="E105:V105" si="445">+E92-E103+E104</f>
        <v>201.80000000000004</v>
      </c>
      <c r="F105" s="156">
        <f t="shared" si="445"/>
        <v>270.19999999999976</v>
      </c>
      <c r="G105" s="156">
        <f t="shared" si="445"/>
        <v>262.69999999999987</v>
      </c>
      <c r="H105" s="132">
        <f>SUM(D105:G105)</f>
        <v>964.69999999999959</v>
      </c>
      <c r="I105" s="156">
        <f t="shared" si="445"/>
        <v>275.89999999999998</v>
      </c>
      <c r="J105" s="156">
        <f t="shared" si="445"/>
        <v>-15.400000000000045</v>
      </c>
      <c r="K105" s="156">
        <f>+K92-K103+K104</f>
        <v>-85.999999999999744</v>
      </c>
      <c r="L105" s="156">
        <f t="shared" si="445"/>
        <v>181.69999999999976</v>
      </c>
      <c r="M105" s="132">
        <f>SUM(I105:L105)</f>
        <v>356.19999999999993</v>
      </c>
      <c r="N105" s="156">
        <f t="shared" si="445"/>
        <v>274.8</v>
      </c>
      <c r="O105" s="156">
        <f t="shared" si="445"/>
        <v>251.50000000000006</v>
      </c>
      <c r="P105" s="156">
        <f t="shared" si="445"/>
        <v>318.29999999999995</v>
      </c>
      <c r="Q105" s="156">
        <f t="shared" si="445"/>
        <v>377.39999999999992</v>
      </c>
      <c r="R105" s="97">
        <f>SUM(N105:Q105)</f>
        <v>1222</v>
      </c>
      <c r="S105" s="74">
        <f t="shared" si="445"/>
        <v>299.59999999999985</v>
      </c>
      <c r="T105" s="74">
        <f t="shared" si="445"/>
        <v>180.70000000000013</v>
      </c>
      <c r="U105" s="74">
        <f t="shared" si="445"/>
        <v>135.3000000000001</v>
      </c>
      <c r="V105" s="74">
        <f t="shared" si="445"/>
        <v>244.13813146020576</v>
      </c>
      <c r="W105" s="97">
        <f>SUM(S105:V105)</f>
        <v>859.73813146020575</v>
      </c>
      <c r="X105" s="74">
        <f t="shared" ref="X105:AA105" si="446">+X92-X103+X104</f>
        <v>272.76386994792472</v>
      </c>
      <c r="Y105" s="74">
        <f t="shared" si="446"/>
        <v>269.92516999251916</v>
      </c>
      <c r="Z105" s="74">
        <f t="shared" si="446"/>
        <v>233.85311125401731</v>
      </c>
      <c r="AA105" s="74">
        <f t="shared" si="446"/>
        <v>379.34044320494621</v>
      </c>
      <c r="AB105" s="97">
        <f>SUM(X105:AA105)</f>
        <v>1155.8825943994075</v>
      </c>
      <c r="AC105" s="74">
        <f t="shared" ref="AC105:AF105" si="447">+AC92-AC103+AC104</f>
        <v>394.30040034417084</v>
      </c>
      <c r="AD105" s="74">
        <f t="shared" si="447"/>
        <v>390.38425034719285</v>
      </c>
      <c r="AE105" s="74">
        <f t="shared" si="447"/>
        <v>283.37894156481889</v>
      </c>
      <c r="AF105" s="74">
        <f t="shared" si="447"/>
        <v>443.61448155292055</v>
      </c>
      <c r="AG105" s="97">
        <f>SUM(AC105:AF105)</f>
        <v>1511.6780738091031</v>
      </c>
      <c r="AH105" s="74">
        <f t="shared" ref="AH105:AK105" si="448">+AH92-AH103+AH104</f>
        <v>485.01602950030565</v>
      </c>
      <c r="AI105" s="74">
        <f t="shared" si="448"/>
        <v>478.29651245619334</v>
      </c>
      <c r="AJ105" s="74">
        <f t="shared" si="448"/>
        <v>427.81275041224035</v>
      </c>
      <c r="AK105" s="74">
        <f t="shared" si="448"/>
        <v>546.44560548480013</v>
      </c>
      <c r="AL105" s="97">
        <f>SUM(AH105:AK105)</f>
        <v>1937.5708978535395</v>
      </c>
      <c r="AM105" s="74">
        <f t="shared" ref="AM105:AP105" si="449">+AM92-AM103+AM104</f>
        <v>563.04749766858777</v>
      </c>
      <c r="AN105" s="74">
        <f t="shared" si="449"/>
        <v>544.1816227651384</v>
      </c>
      <c r="AO105" s="74">
        <f t="shared" si="449"/>
        <v>475.42002781901238</v>
      </c>
      <c r="AP105" s="74">
        <f t="shared" si="449"/>
        <v>597.60093493007116</v>
      </c>
      <c r="AQ105" s="97">
        <f>SUM(AM105:AP105)</f>
        <v>2180.2500831828097</v>
      </c>
      <c r="AR105" s="74">
        <f t="shared" ref="AR105:AU105" si="450">+AR92-AR103+AR104</f>
        <v>594.66514908133695</v>
      </c>
      <c r="AS105" s="74">
        <f t="shared" si="450"/>
        <v>574.21177183701366</v>
      </c>
      <c r="AT105" s="74">
        <f t="shared" si="450"/>
        <v>498.76264581566102</v>
      </c>
      <c r="AU105" s="74">
        <f t="shared" si="450"/>
        <v>630.84379905333435</v>
      </c>
      <c r="AV105" s="97">
        <f>SUM(AR105:AU105)</f>
        <v>2298.483365787346</v>
      </c>
    </row>
    <row r="106" spans="1:48" outlineLevel="1" x14ac:dyDescent="0.3">
      <c r="B106" s="46" t="s">
        <v>125</v>
      </c>
      <c r="C106" s="44"/>
      <c r="D106" s="157">
        <f t="shared" ref="D106:G106" si="451">+D105/D92</f>
        <v>0.15292553191489355</v>
      </c>
      <c r="E106" s="157">
        <f t="shared" si="451"/>
        <v>0.1319471688243756</v>
      </c>
      <c r="F106" s="157">
        <f t="shared" si="451"/>
        <v>0.17044092600769556</v>
      </c>
      <c r="G106" s="157">
        <f t="shared" si="451"/>
        <v>0.16710132943196987</v>
      </c>
      <c r="H106" s="133">
        <f>H105/H92</f>
        <v>0.15582800284292814</v>
      </c>
      <c r="I106" s="157">
        <f t="shared" ref="I106:L106" si="452">+I105/I92</f>
        <v>0.17560944561135511</v>
      </c>
      <c r="J106" s="157">
        <f t="shared" si="452"/>
        <v>-1.3573065397496956E-2</v>
      </c>
      <c r="K106" s="157">
        <f t="shared" si="452"/>
        <v>-9.0564448188710761E-2</v>
      </c>
      <c r="L106" s="157">
        <f t="shared" si="452"/>
        <v>0.12022761860649757</v>
      </c>
      <c r="M106" s="133">
        <f>M105/M92</f>
        <v>6.8942825068710564E-2</v>
      </c>
      <c r="N106" s="157">
        <f t="shared" ref="N106:Q106" si="453">+N105/N92</f>
        <v>0.16611255515928189</v>
      </c>
      <c r="O106" s="157">
        <f t="shared" si="453"/>
        <v>0.1561239058911168</v>
      </c>
      <c r="P106" s="157">
        <f t="shared" si="453"/>
        <v>0.19193198263386396</v>
      </c>
      <c r="Q106" s="157">
        <f t="shared" si="453"/>
        <v>0.19711689125665932</v>
      </c>
      <c r="R106" s="98">
        <f>R105/R92</f>
        <v>0.17870199760170807</v>
      </c>
      <c r="S106" s="75">
        <f t="shared" ref="S106:V106" si="454">+S105/S92</f>
        <v>0.15971000586385195</v>
      </c>
      <c r="T106" s="75">
        <f t="shared" si="454"/>
        <v>0.1061442669172933</v>
      </c>
      <c r="U106" s="75">
        <f t="shared" si="454"/>
        <v>8.5378936076228998E-2</v>
      </c>
      <c r="V106" s="75">
        <f t="shared" si="454"/>
        <v>0.13387877223160949</v>
      </c>
      <c r="W106" s="98">
        <f>W105/W92</f>
        <v>0.12305571673518267</v>
      </c>
      <c r="X106" s="75">
        <f t="shared" ref="X106:AA106" si="455">+X105/X92</f>
        <v>0.14669471428130765</v>
      </c>
      <c r="Y106" s="75">
        <f t="shared" si="455"/>
        <v>0.14463833777143775</v>
      </c>
      <c r="Z106" s="75">
        <f t="shared" si="455"/>
        <v>0.11075485207983221</v>
      </c>
      <c r="AA106" s="75">
        <f t="shared" si="455"/>
        <v>0.1549084549114173</v>
      </c>
      <c r="AB106" s="98">
        <f>AB105/AB92</f>
        <v>0.13950065700510009</v>
      </c>
      <c r="AC106" s="75">
        <f t="shared" ref="AC106:AF106" si="456">+AC105/AC92</f>
        <v>0.16297317430502617</v>
      </c>
      <c r="AD106" s="75">
        <f t="shared" si="456"/>
        <v>0.17856668830097833</v>
      </c>
      <c r="AE106" s="75">
        <f t="shared" si="456"/>
        <v>0.11482356922437296</v>
      </c>
      <c r="AF106" s="75">
        <f t="shared" si="456"/>
        <v>0.15509402215149987</v>
      </c>
      <c r="AG106" s="98">
        <f>AG105/AG92</f>
        <v>0.15217407765809102</v>
      </c>
      <c r="AH106" s="75">
        <f t="shared" ref="AH106:AK106" si="457">+AH105/AH92</f>
        <v>0.1717752775043031</v>
      </c>
      <c r="AI106" s="75">
        <f t="shared" si="457"/>
        <v>0.18796438715905156</v>
      </c>
      <c r="AJ106" s="75">
        <f t="shared" si="457"/>
        <v>0.149288964844353</v>
      </c>
      <c r="AK106" s="75">
        <f t="shared" si="457"/>
        <v>0.1646377697390414</v>
      </c>
      <c r="AL106" s="98">
        <f>AL105/AL92</f>
        <v>0.16771281466532892</v>
      </c>
      <c r="AM106" s="75">
        <f t="shared" ref="AM106:AP106" si="458">+AM105/AM92</f>
        <v>0.17346907374414991</v>
      </c>
      <c r="AN106" s="75">
        <f t="shared" si="458"/>
        <v>0.18893666940299847</v>
      </c>
      <c r="AO106" s="75">
        <f t="shared" si="458"/>
        <v>0.148756081012442</v>
      </c>
      <c r="AP106" s="75">
        <f t="shared" si="458"/>
        <v>0.16357281818818992</v>
      </c>
      <c r="AQ106" s="98">
        <f>AQ105/AQ92</f>
        <v>0.16802903064831043</v>
      </c>
      <c r="AR106" s="75">
        <f t="shared" ref="AR106:AU106" si="459">+AR105/AR92</f>
        <v>0.17090216061490479</v>
      </c>
      <c r="AS106" s="75">
        <f t="shared" si="459"/>
        <v>0.18616224339023316</v>
      </c>
      <c r="AT106" s="75">
        <f t="shared" si="459"/>
        <v>0.14583299975561584</v>
      </c>
      <c r="AU106" s="75">
        <f t="shared" si="459"/>
        <v>0.16126658822867199</v>
      </c>
      <c r="AV106" s="98">
        <f>AV105/AV92</f>
        <v>0.16540687479422772</v>
      </c>
    </row>
    <row r="107" spans="1:48" ht="17.399999999999999" x14ac:dyDescent="0.45">
      <c r="B107" s="583" t="s">
        <v>51</v>
      </c>
      <c r="C107" s="584"/>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2" t="s">
        <v>25</v>
      </c>
      <c r="W107" s="42" t="s">
        <v>26</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87" t="s">
        <v>126</v>
      </c>
      <c r="C108" s="588"/>
      <c r="D108" s="50">
        <v>504.6</v>
      </c>
      <c r="E108" s="50">
        <v>446.6</v>
      </c>
      <c r="F108" s="103">
        <v>533.29999999999995</v>
      </c>
      <c r="G108" s="50">
        <v>508.1</v>
      </c>
      <c r="H108" s="31">
        <f>SUM(D108:G108)</f>
        <v>1992.6</v>
      </c>
      <c r="I108" s="50">
        <v>494.6</v>
      </c>
      <c r="J108" s="50">
        <v>519.1</v>
      </c>
      <c r="K108" s="50">
        <v>447.3</v>
      </c>
      <c r="L108" s="50">
        <v>464</v>
      </c>
      <c r="M108" s="31">
        <f>SUM(I108:L108)</f>
        <v>1925</v>
      </c>
      <c r="N108" s="50">
        <v>371.4</v>
      </c>
      <c r="O108" s="50">
        <v>369.9</v>
      </c>
      <c r="P108" s="50">
        <v>414</v>
      </c>
      <c r="Q108" s="103">
        <v>438.3</v>
      </c>
      <c r="R108" s="126">
        <f>SUM(N108:Q108)</f>
        <v>1593.6</v>
      </c>
      <c r="S108" s="50">
        <v>417.1</v>
      </c>
      <c r="T108" s="50">
        <v>463.1</v>
      </c>
      <c r="U108" s="50">
        <v>479.7</v>
      </c>
      <c r="V108" s="50">
        <f t="shared" ref="V108" si="460">+Q108*(1+V109)</f>
        <v>482.13000000000005</v>
      </c>
      <c r="W108" s="31">
        <f>SUM(S108:V108)</f>
        <v>1842.0300000000002</v>
      </c>
      <c r="X108" s="50">
        <f>+S108*(1+X109)</f>
        <v>458.81000000000006</v>
      </c>
      <c r="Y108" s="50">
        <f>+T108*(1+Y109)</f>
        <v>481.62400000000002</v>
      </c>
      <c r="Z108" s="50">
        <f>+U108*(1+Z109)</f>
        <v>498.88800000000003</v>
      </c>
      <c r="AA108" s="50">
        <f t="shared" ref="AA108" si="461">+V108*(1+AA109)</f>
        <v>501.41520000000008</v>
      </c>
      <c r="AB108" s="31">
        <f>SUM(X108:AA108)</f>
        <v>1940.7372000000003</v>
      </c>
      <c r="AC108" s="50">
        <f>+X108*(1+AC109)</f>
        <v>477.1624000000001</v>
      </c>
      <c r="AD108" s="50">
        <f>+Y108*(1+AD109)</f>
        <v>500.88896000000005</v>
      </c>
      <c r="AE108" s="50">
        <f>+Z108*(1+AE109)</f>
        <v>518.84352000000001</v>
      </c>
      <c r="AF108" s="50">
        <f t="shared" ref="AF108" si="462">+AA108*(1+AF109)</f>
        <v>521.47180800000012</v>
      </c>
      <c r="AG108" s="31">
        <f>SUM(AC108:AF108)</f>
        <v>2018.3666880000005</v>
      </c>
      <c r="AH108" s="50">
        <f>+AC108*(1+AH109)</f>
        <v>496.24889600000012</v>
      </c>
      <c r="AI108" s="50">
        <f>+AD108*(1+AI109)</f>
        <v>520.92451840000012</v>
      </c>
      <c r="AJ108" s="50">
        <f>+AE108*(1+AJ109)</f>
        <v>539.59726080000007</v>
      </c>
      <c r="AK108" s="50">
        <f t="shared" ref="AK108" si="463">+AF108*(1+AK109)</f>
        <v>542.33068032000017</v>
      </c>
      <c r="AL108" s="31">
        <f>SUM(AH108:AK108)</f>
        <v>2099.1013555200007</v>
      </c>
      <c r="AM108" s="50">
        <f>+AH108*(1+AM109)</f>
        <v>516.09885184000018</v>
      </c>
      <c r="AN108" s="50">
        <f>+AI108*(1+AN109)</f>
        <v>541.76149913600011</v>
      </c>
      <c r="AO108" s="50">
        <f>+AJ108*(1+AO109)</f>
        <v>561.18115123200005</v>
      </c>
      <c r="AP108" s="50">
        <f t="shared" ref="AP108" si="464">+AK108*(1+AP109)</f>
        <v>564.02390753280019</v>
      </c>
      <c r="AQ108" s="31">
        <f>SUM(AM108:AP108)</f>
        <v>2183.0654097408005</v>
      </c>
      <c r="AR108" s="50">
        <f>+AM108*(1+AR109)</f>
        <v>536.74280591360025</v>
      </c>
      <c r="AS108" s="50">
        <f>+AN108*(1+AS109)</f>
        <v>563.43195910144016</v>
      </c>
      <c r="AT108" s="50">
        <f>+AO108*(1+AT109)</f>
        <v>583.62839728128006</v>
      </c>
      <c r="AU108" s="50">
        <f t="shared" ref="AU108" si="465">+AP108*(1+AU109)</f>
        <v>586.58486383411218</v>
      </c>
      <c r="AV108" s="31">
        <f>SUM(AR108:AU108)</f>
        <v>2270.388026130433</v>
      </c>
    </row>
    <row r="109" spans="1:48" outlineLevel="1" x14ac:dyDescent="0.3">
      <c r="B109" s="69" t="s">
        <v>58</v>
      </c>
      <c r="C109" s="70"/>
      <c r="D109" s="120"/>
      <c r="E109" s="120"/>
      <c r="F109" s="120"/>
      <c r="G109" s="120"/>
      <c r="H109" s="58"/>
      <c r="I109" s="120">
        <f>I108/D108-1</f>
        <v>-1.9817677368212494E-2</v>
      </c>
      <c r="J109" s="120">
        <f t="shared" ref="J109" si="466">J108/E108-1</f>
        <v>0.16233766233766223</v>
      </c>
      <c r="K109" s="120">
        <f>K108/F108-1</f>
        <v>-0.1612600787549221</v>
      </c>
      <c r="L109" s="120">
        <f>L108/G108-1</f>
        <v>-8.6793938201141563E-2</v>
      </c>
      <c r="M109" s="168">
        <f>M108/H108-1</f>
        <v>-3.3925524440429511E-2</v>
      </c>
      <c r="N109" s="120">
        <f>N108/I108-1</f>
        <v>-0.24909017387788124</v>
      </c>
      <c r="O109" s="120">
        <f t="shared" ref="O109" si="467">O108/J108-1</f>
        <v>-0.28742053554228475</v>
      </c>
      <c r="P109" s="120">
        <f>P108/K108-1</f>
        <v>-7.4446680080482941E-2</v>
      </c>
      <c r="Q109" s="120">
        <f>Q108/L108-1</f>
        <v>-5.5387931034482696E-2</v>
      </c>
      <c r="R109" s="168">
        <f>R108/M108-1</f>
        <v>-0.17215584415584417</v>
      </c>
      <c r="S109" s="120">
        <f>S108/N108-1</f>
        <v>0.12304792676359733</v>
      </c>
      <c r="T109" s="120">
        <f t="shared" ref="T109:U109" si="468">T108/O108-1</f>
        <v>0.25195998918626672</v>
      </c>
      <c r="U109" s="120">
        <f t="shared" si="468"/>
        <v>0.15869565217391313</v>
      </c>
      <c r="V109" s="197">
        <v>0.1</v>
      </c>
      <c r="W109" s="168">
        <f>W108/R108-1</f>
        <v>0.15589231927710867</v>
      </c>
      <c r="X109" s="197">
        <v>0.1</v>
      </c>
      <c r="Y109" s="197">
        <v>0.04</v>
      </c>
      <c r="Z109" s="197">
        <v>0.04</v>
      </c>
      <c r="AA109" s="197">
        <v>0.04</v>
      </c>
      <c r="AB109" s="168">
        <f>AB108/W108-1</f>
        <v>5.3586097946287436E-2</v>
      </c>
      <c r="AC109" s="197">
        <v>0.04</v>
      </c>
      <c r="AD109" s="197">
        <v>0.04</v>
      </c>
      <c r="AE109" s="197">
        <v>0.04</v>
      </c>
      <c r="AF109" s="197">
        <v>0.04</v>
      </c>
      <c r="AG109" s="168">
        <f>AG108/AB108-1</f>
        <v>4.0000000000000036E-2</v>
      </c>
      <c r="AH109" s="197">
        <v>0.04</v>
      </c>
      <c r="AI109" s="197">
        <v>0.04</v>
      </c>
      <c r="AJ109" s="197">
        <v>0.04</v>
      </c>
      <c r="AK109" s="197">
        <v>0.04</v>
      </c>
      <c r="AL109" s="168">
        <f>AL108/AG108-1</f>
        <v>4.0000000000000036E-2</v>
      </c>
      <c r="AM109" s="197">
        <v>0.04</v>
      </c>
      <c r="AN109" s="197">
        <v>0.04</v>
      </c>
      <c r="AO109" s="197">
        <v>0.04</v>
      </c>
      <c r="AP109" s="197">
        <v>0.04</v>
      </c>
      <c r="AQ109" s="168">
        <f>AQ108/AL108-1</f>
        <v>4.0000000000000036E-2</v>
      </c>
      <c r="AR109" s="197">
        <v>0.04</v>
      </c>
      <c r="AS109" s="197">
        <v>0.04</v>
      </c>
      <c r="AT109" s="197">
        <v>0.04</v>
      </c>
      <c r="AU109" s="197">
        <v>0.04</v>
      </c>
      <c r="AV109" s="168">
        <f>AV108/AQ108-1</f>
        <v>4.0000000000000258E-2</v>
      </c>
    </row>
    <row r="110" spans="1:48" outlineLevel="1" x14ac:dyDescent="0.3">
      <c r="B110" s="607" t="s">
        <v>100</v>
      </c>
      <c r="C110" s="608"/>
      <c r="D110" s="48">
        <v>348.4</v>
      </c>
      <c r="E110" s="48">
        <v>305.39999999999998</v>
      </c>
      <c r="F110" s="48">
        <v>377.1</v>
      </c>
      <c r="G110" s="48">
        <v>359.1</v>
      </c>
      <c r="H110" s="76">
        <f>SUM(D110:G110)</f>
        <v>1390</v>
      </c>
      <c r="I110" s="48">
        <v>338.8</v>
      </c>
      <c r="J110" s="48">
        <v>351.6</v>
      </c>
      <c r="K110" s="48">
        <v>319.89999999999998</v>
      </c>
      <c r="L110" s="48">
        <v>327.8</v>
      </c>
      <c r="M110" s="76">
        <f>SUM(I110:L110)</f>
        <v>1338.1000000000001</v>
      </c>
      <c r="N110" s="48">
        <v>233.5</v>
      </c>
      <c r="O110" s="48">
        <v>231.9</v>
      </c>
      <c r="P110" s="48">
        <v>268.3</v>
      </c>
      <c r="Q110" s="105">
        <v>277.5</v>
      </c>
      <c r="R110" s="76">
        <f>SUM(N110:Q110)</f>
        <v>1011.2</v>
      </c>
      <c r="S110" s="48">
        <v>258.8</v>
      </c>
      <c r="T110" s="48">
        <v>300.5</v>
      </c>
      <c r="U110" s="48">
        <v>325.8</v>
      </c>
      <c r="V110" s="48">
        <f t="shared" ref="V110" si="469">V111*V108</f>
        <v>319.71390000000002</v>
      </c>
      <c r="W110" s="76">
        <f>SUM(S110:V110)</f>
        <v>1204.8138999999999</v>
      </c>
      <c r="X110" s="48">
        <f t="shared" ref="X110:AA110" si="470">X111*X108</f>
        <v>291.56215000000003</v>
      </c>
      <c r="Y110" s="48">
        <f t="shared" si="470"/>
        <v>312.52</v>
      </c>
      <c r="Z110" s="48">
        <f t="shared" si="470"/>
        <v>336.33756000000005</v>
      </c>
      <c r="AA110" s="48">
        <f t="shared" si="470"/>
        <v>317.46000000000004</v>
      </c>
      <c r="AB110" s="76">
        <f>SUM(X110:AA110)</f>
        <v>1257.8797100000002</v>
      </c>
      <c r="AC110" s="48">
        <f t="shared" ref="AC110:AF110" si="471">AC111*AC108</f>
        <v>303.22463600000009</v>
      </c>
      <c r="AD110" s="48">
        <f t="shared" si="471"/>
        <v>325.02080000000001</v>
      </c>
      <c r="AE110" s="48">
        <f t="shared" si="471"/>
        <v>339.41419200000001</v>
      </c>
      <c r="AF110" s="48">
        <f t="shared" si="471"/>
        <v>330.15840000000003</v>
      </c>
      <c r="AG110" s="76">
        <f>SUM(AC110:AF110)</f>
        <v>1297.8180280000001</v>
      </c>
      <c r="AH110" s="48">
        <f t="shared" ref="AH110:AK110" si="472">AH111*AH108</f>
        <v>315.3536214400001</v>
      </c>
      <c r="AI110" s="48">
        <f t="shared" si="472"/>
        <v>338.02163200000007</v>
      </c>
      <c r="AJ110" s="48">
        <f t="shared" si="472"/>
        <v>347.59478707200009</v>
      </c>
      <c r="AK110" s="48">
        <f t="shared" si="472"/>
        <v>343.36473600000005</v>
      </c>
      <c r="AL110" s="76">
        <f>SUM(AH110:AK110)</f>
        <v>1344.3347765120002</v>
      </c>
      <c r="AM110" s="48">
        <f t="shared" ref="AM110:AP110" si="473">AM111*AM108</f>
        <v>327.96776629760012</v>
      </c>
      <c r="AN110" s="48">
        <f t="shared" si="473"/>
        <v>351.54249728000008</v>
      </c>
      <c r="AO110" s="48">
        <f t="shared" si="473"/>
        <v>361.49857855488005</v>
      </c>
      <c r="AP110" s="48">
        <f t="shared" si="473"/>
        <v>357.09932544000009</v>
      </c>
      <c r="AQ110" s="76">
        <f>SUM(AM110:AP110)</f>
        <v>1398.1081675724804</v>
      </c>
      <c r="AR110" s="48">
        <f t="shared" ref="AR110:AU110" si="474">AR111*AR108</f>
        <v>341.08647694950417</v>
      </c>
      <c r="AS110" s="48">
        <f t="shared" si="474"/>
        <v>365.6041971712001</v>
      </c>
      <c r="AT110" s="48">
        <f t="shared" si="474"/>
        <v>375.95852169707524</v>
      </c>
      <c r="AU110" s="48">
        <f t="shared" si="474"/>
        <v>371.38329845760006</v>
      </c>
      <c r="AV110" s="76">
        <f>SUM(AR110:AU110)</f>
        <v>1454.0324942753796</v>
      </c>
    </row>
    <row r="111" spans="1:48" s="183" customFormat="1" outlineLevel="1" x14ac:dyDescent="0.3">
      <c r="A111" s="238"/>
      <c r="B111" s="181" t="s">
        <v>151</v>
      </c>
      <c r="C111" s="182"/>
      <c r="D111" s="167">
        <f>D110/D108</f>
        <v>0.69044787950852149</v>
      </c>
      <c r="E111" s="167">
        <f t="shared" ref="E111:U111" si="475">E110/E108</f>
        <v>0.68383340797133896</v>
      </c>
      <c r="F111" s="167">
        <f t="shared" si="475"/>
        <v>0.70710669416838567</v>
      </c>
      <c r="G111" s="167">
        <f t="shared" si="475"/>
        <v>0.70675063963786655</v>
      </c>
      <c r="H111" s="188">
        <f t="shared" si="475"/>
        <v>0.69758104988457292</v>
      </c>
      <c r="I111" s="167">
        <f t="shared" si="475"/>
        <v>0.68499797816417307</v>
      </c>
      <c r="J111" s="167">
        <f t="shared" si="475"/>
        <v>0.6773261413985745</v>
      </c>
      <c r="K111" s="167">
        <f t="shared" si="475"/>
        <v>0.71517996870109535</v>
      </c>
      <c r="L111" s="187">
        <f t="shared" si="475"/>
        <v>0.70646551724137929</v>
      </c>
      <c r="M111" s="188">
        <f t="shared" si="475"/>
        <v>0.69511688311688313</v>
      </c>
      <c r="N111" s="187">
        <f t="shared" si="475"/>
        <v>0.62870220786214326</v>
      </c>
      <c r="O111" s="167">
        <f t="shared" si="475"/>
        <v>0.62692619626926205</v>
      </c>
      <c r="P111" s="167">
        <f t="shared" si="475"/>
        <v>0.6480676328502416</v>
      </c>
      <c r="Q111" s="167">
        <f t="shared" si="475"/>
        <v>0.63312799452429835</v>
      </c>
      <c r="R111" s="188">
        <f t="shared" ref="R111" si="476">R110/R108</f>
        <v>0.63453815261044189</v>
      </c>
      <c r="S111" s="187">
        <f t="shared" si="475"/>
        <v>0.62047470630544233</v>
      </c>
      <c r="T111" s="167">
        <f t="shared" si="475"/>
        <v>0.64888792917296478</v>
      </c>
      <c r="U111" s="167">
        <f t="shared" si="475"/>
        <v>0.67917448405253289</v>
      </c>
      <c r="V111" s="189">
        <f>Q111+3%</f>
        <v>0.66312799452429838</v>
      </c>
      <c r="W111" s="188">
        <f t="shared" ref="W111" si="477">W110/W108</f>
        <v>0.65406855480095316</v>
      </c>
      <c r="X111" s="189">
        <f>S111+1.5%</f>
        <v>0.63547470630544234</v>
      </c>
      <c r="Y111" s="189">
        <f t="shared" ref="Y111" si="478">T111</f>
        <v>0.64888792917296478</v>
      </c>
      <c r="Z111" s="189">
        <f>U111-0.5%</f>
        <v>0.67417448405253289</v>
      </c>
      <c r="AA111" s="189">
        <f>V111-3%</f>
        <v>0.63312799452429835</v>
      </c>
      <c r="AB111" s="188">
        <f t="shared" ref="AB111" si="479">AB110/AB108</f>
        <v>0.64814530787579072</v>
      </c>
      <c r="AC111" s="189">
        <f t="shared" ref="AC111" si="480">X111</f>
        <v>0.63547470630544234</v>
      </c>
      <c r="AD111" s="189">
        <f t="shared" ref="AD111" si="481">Y111</f>
        <v>0.64888792917296478</v>
      </c>
      <c r="AE111" s="189">
        <f>Z111-2%</f>
        <v>0.65417448405253287</v>
      </c>
      <c r="AF111" s="189">
        <f t="shared" ref="AF111" si="482">AA111</f>
        <v>0.63312799452429835</v>
      </c>
      <c r="AG111" s="188">
        <f t="shared" ref="AG111" si="483">AG110/AG108</f>
        <v>0.64300408628226424</v>
      </c>
      <c r="AH111" s="189">
        <f t="shared" ref="AH111" si="484">AC111</f>
        <v>0.63547470630544234</v>
      </c>
      <c r="AI111" s="189">
        <f t="shared" ref="AI111" si="485">AD111</f>
        <v>0.64888792917296478</v>
      </c>
      <c r="AJ111" s="189">
        <f>AE111-1%</f>
        <v>0.64417448405253286</v>
      </c>
      <c r="AK111" s="189">
        <f t="shared" ref="AK111" si="486">AF111</f>
        <v>0.63312799452429835</v>
      </c>
      <c r="AL111" s="188">
        <f t="shared" ref="AL111" si="487">AL110/AL108</f>
        <v>0.640433475485501</v>
      </c>
      <c r="AM111" s="189">
        <f t="shared" ref="AM111" si="488">AH111</f>
        <v>0.63547470630544234</v>
      </c>
      <c r="AN111" s="189">
        <f t="shared" ref="AN111" si="489">AI111</f>
        <v>0.64888792917296478</v>
      </c>
      <c r="AO111" s="189">
        <f t="shared" ref="AO111" si="490">AJ111</f>
        <v>0.64417448405253286</v>
      </c>
      <c r="AP111" s="189">
        <f t="shared" ref="AP111" si="491">AK111</f>
        <v>0.63312799452429835</v>
      </c>
      <c r="AQ111" s="188">
        <f t="shared" ref="AQ111" si="492">AQ110/AQ108</f>
        <v>0.64043347548550111</v>
      </c>
      <c r="AR111" s="189">
        <f t="shared" ref="AR111" si="493">AM111</f>
        <v>0.63547470630544234</v>
      </c>
      <c r="AS111" s="189">
        <f t="shared" ref="AS111" si="494">AN111</f>
        <v>0.64888792917296478</v>
      </c>
      <c r="AT111" s="189">
        <f t="shared" ref="AT111" si="495">AO111</f>
        <v>0.64417448405253286</v>
      </c>
      <c r="AU111" s="189">
        <f t="shared" ref="AU111" si="496">AP111</f>
        <v>0.63312799452429835</v>
      </c>
      <c r="AV111" s="188">
        <f t="shared" ref="AV111" si="497">AV110/AV108</f>
        <v>0.640433475485501</v>
      </c>
    </row>
    <row r="112" spans="1:48" outlineLevel="1" x14ac:dyDescent="0.3">
      <c r="B112" s="180" t="s">
        <v>33</v>
      </c>
      <c r="C112" s="18"/>
      <c r="D112" s="48">
        <v>18.600000000000001</v>
      </c>
      <c r="E112" s="48">
        <v>17.100000000000001</v>
      </c>
      <c r="F112" s="48">
        <v>20.2</v>
      </c>
      <c r="G112" s="48">
        <v>20.3</v>
      </c>
      <c r="H112" s="49">
        <f>SUM(D112:G112)</f>
        <v>76.2</v>
      </c>
      <c r="I112" s="48">
        <v>20.6</v>
      </c>
      <c r="J112" s="48">
        <v>17.7</v>
      </c>
      <c r="K112" s="48">
        <v>51.4</v>
      </c>
      <c r="L112" s="48">
        <v>18.5</v>
      </c>
      <c r="M112" s="49">
        <f>SUM(I112:L112)</f>
        <v>108.19999999999999</v>
      </c>
      <c r="N112" s="48">
        <v>11.1</v>
      </c>
      <c r="O112" s="48">
        <v>13.1</v>
      </c>
      <c r="P112" s="48">
        <v>-9.9</v>
      </c>
      <c r="Q112" s="105">
        <v>17</v>
      </c>
      <c r="R112" s="49">
        <f>SUM(N112:Q112)</f>
        <v>31.299999999999997</v>
      </c>
      <c r="S112" s="48">
        <v>11.4</v>
      </c>
      <c r="T112" s="48">
        <v>10.7</v>
      </c>
      <c r="U112" s="48">
        <v>13.6</v>
      </c>
      <c r="V112" s="48">
        <f t="shared" ref="V112" si="498">V113*V108</f>
        <v>37.985200000000006</v>
      </c>
      <c r="W112" s="49">
        <f>SUM(S112:V112)</f>
        <v>73.685200000000009</v>
      </c>
      <c r="X112" s="48">
        <f t="shared" ref="X112:AA112" si="499">X113*X108</f>
        <v>21.716200000000004</v>
      </c>
      <c r="Y112" s="48">
        <f t="shared" si="499"/>
        <v>11.128</v>
      </c>
      <c r="Z112" s="48">
        <f t="shared" si="499"/>
        <v>11.649560000000001</v>
      </c>
      <c r="AA112" s="48">
        <f t="shared" si="499"/>
        <v>24.462152000000007</v>
      </c>
      <c r="AB112" s="49">
        <f>SUM(X112:AA112)</f>
        <v>68.955912000000012</v>
      </c>
      <c r="AC112" s="48">
        <f t="shared" ref="AC112:AF112" si="500">AC113*AC108</f>
        <v>13.041600000000003</v>
      </c>
      <c r="AD112" s="48">
        <f t="shared" si="500"/>
        <v>11.573120000000001</v>
      </c>
      <c r="AE112" s="48">
        <f t="shared" si="500"/>
        <v>12.115542399999999</v>
      </c>
      <c r="AF112" s="48">
        <f t="shared" si="500"/>
        <v>15.011201920000005</v>
      </c>
      <c r="AG112" s="49">
        <f>SUM(AC112:AF112)</f>
        <v>51.741464320000006</v>
      </c>
      <c r="AH112" s="48">
        <f t="shared" ref="AH112:AK112" si="501">AH113*AH108</f>
        <v>12.074517312000003</v>
      </c>
      <c r="AI112" s="48">
        <f t="shared" si="501"/>
        <v>12.036044800000003</v>
      </c>
      <c r="AJ112" s="48">
        <f t="shared" si="501"/>
        <v>12.600164096</v>
      </c>
      <c r="AK112" s="48">
        <f t="shared" si="501"/>
        <v>13.442327275520006</v>
      </c>
      <c r="AL112" s="49">
        <f>SUM(AH112:AK112)</f>
        <v>50.153053483520011</v>
      </c>
      <c r="AM112" s="48">
        <f t="shared" ref="AM112:AP112" si="502">AM113*AM108</f>
        <v>12.557498004480005</v>
      </c>
      <c r="AN112" s="48">
        <f t="shared" si="502"/>
        <v>12.517486592000003</v>
      </c>
      <c r="AO112" s="48">
        <f t="shared" si="502"/>
        <v>13.104170659840001</v>
      </c>
      <c r="AP112" s="48">
        <f t="shared" si="502"/>
        <v>13.980020366540806</v>
      </c>
      <c r="AQ112" s="49">
        <f>SUM(AM112:AP112)</f>
        <v>52.159175622860815</v>
      </c>
      <c r="AR112" s="48">
        <f t="shared" ref="AR112:AU112" si="503">AR113*AR108</f>
        <v>13.059797924659206</v>
      </c>
      <c r="AS112" s="48">
        <f t="shared" si="503"/>
        <v>13.018186055680003</v>
      </c>
      <c r="AT112" s="48">
        <f t="shared" si="503"/>
        <v>13.628337486233601</v>
      </c>
      <c r="AU112" s="48">
        <f t="shared" si="503"/>
        <v>14.539221181202437</v>
      </c>
      <c r="AV112" s="49">
        <f>SUM(AR112:AU112)</f>
        <v>54.245542647775245</v>
      </c>
    </row>
    <row r="113" spans="2:48" s="184" customFormat="1" outlineLevel="1" x14ac:dyDescent="0.3">
      <c r="B113" s="181" t="s">
        <v>154</v>
      </c>
      <c r="C113" s="190"/>
      <c r="D113" s="187">
        <f>D112/D108</f>
        <v>3.6860879904875153E-2</v>
      </c>
      <c r="E113" s="187">
        <f t="shared" ref="E113:U113" si="504">E112/E108</f>
        <v>3.8289296909986566E-2</v>
      </c>
      <c r="F113" s="187">
        <f t="shared" si="504"/>
        <v>3.7877367335458469E-2</v>
      </c>
      <c r="G113" s="187">
        <f t="shared" si="504"/>
        <v>3.9952765203700058E-2</v>
      </c>
      <c r="H113" s="188">
        <f t="shared" si="504"/>
        <v>3.8241493526046375E-2</v>
      </c>
      <c r="I113" s="187">
        <f t="shared" si="504"/>
        <v>4.1649818034775576E-2</v>
      </c>
      <c r="J113" s="187">
        <f t="shared" si="504"/>
        <v>3.4097476401464072E-2</v>
      </c>
      <c r="K113" s="187">
        <f t="shared" si="504"/>
        <v>0.11491169237648111</v>
      </c>
      <c r="L113" s="187">
        <f t="shared" si="504"/>
        <v>3.9870689655172417E-2</v>
      </c>
      <c r="M113" s="188">
        <f t="shared" si="504"/>
        <v>5.62077922077922E-2</v>
      </c>
      <c r="N113" s="187">
        <f t="shared" si="504"/>
        <v>2.9886914378029081E-2</v>
      </c>
      <c r="O113" s="187">
        <f t="shared" si="504"/>
        <v>3.5414977020816439E-2</v>
      </c>
      <c r="P113" s="187">
        <f t="shared" si="504"/>
        <v>-2.391304347826087E-2</v>
      </c>
      <c r="Q113" s="167">
        <f t="shared" si="504"/>
        <v>3.8786219484371436E-2</v>
      </c>
      <c r="R113" s="188">
        <f t="shared" ref="R113" si="505">R112/R108</f>
        <v>1.964106425702811E-2</v>
      </c>
      <c r="S113" s="187">
        <f t="shared" si="504"/>
        <v>2.7331575161831694E-2</v>
      </c>
      <c r="T113" s="187">
        <f t="shared" si="504"/>
        <v>2.3105160872381774E-2</v>
      </c>
      <c r="U113" s="187">
        <f t="shared" si="504"/>
        <v>2.8351052741296644E-2</v>
      </c>
      <c r="V113" s="189">
        <f>Q113+4%</f>
        <v>7.8786219484371436E-2</v>
      </c>
      <c r="W113" s="188">
        <f t="shared" ref="W113" si="506">W112/W108</f>
        <v>4.0002171517293419E-2</v>
      </c>
      <c r="X113" s="189">
        <f>S113+2%</f>
        <v>4.7331575161831695E-2</v>
      </c>
      <c r="Y113" s="189">
        <f t="shared" ref="Y113" si="507">T113</f>
        <v>2.3105160872381774E-2</v>
      </c>
      <c r="Z113" s="189">
        <f>U113-0.5%</f>
        <v>2.3351052741296643E-2</v>
      </c>
      <c r="AA113" s="189">
        <f>V113-3%</f>
        <v>4.8786219484371438E-2</v>
      </c>
      <c r="AB113" s="188">
        <f t="shared" ref="AB113" si="508">AB112/AB108</f>
        <v>3.5530782838603808E-2</v>
      </c>
      <c r="AC113" s="189">
        <f>X113-2%</f>
        <v>2.7331575161831694E-2</v>
      </c>
      <c r="AD113" s="189">
        <f t="shared" ref="AD113" si="509">Y113</f>
        <v>2.3105160872381774E-2</v>
      </c>
      <c r="AE113" s="189">
        <f t="shared" ref="AE113" si="510">Z113</f>
        <v>2.3351052741296643E-2</v>
      </c>
      <c r="AF113" s="189">
        <f>AA113-2%</f>
        <v>2.8786219484371437E-2</v>
      </c>
      <c r="AG113" s="188">
        <f t="shared" ref="AG113" si="511">AG112/AG108</f>
        <v>2.5635314250687827E-2</v>
      </c>
      <c r="AH113" s="189">
        <f>AC113-0.3%</f>
        <v>2.4331575161831695E-2</v>
      </c>
      <c r="AI113" s="189">
        <f t="shared" ref="AI113" si="512">AD113</f>
        <v>2.3105160872381774E-2</v>
      </c>
      <c r="AJ113" s="189">
        <f t="shared" ref="AJ113" si="513">AE113</f>
        <v>2.3351052741296643E-2</v>
      </c>
      <c r="AK113" s="189">
        <f>AF113-0.4%</f>
        <v>2.4786219484371437E-2</v>
      </c>
      <c r="AL113" s="188">
        <f t="shared" ref="AL113" si="514">AL112/AL108</f>
        <v>2.3892630697242262E-2</v>
      </c>
      <c r="AM113" s="189">
        <f t="shared" ref="AM113" si="515">AH113</f>
        <v>2.4331575161831695E-2</v>
      </c>
      <c r="AN113" s="189">
        <f t="shared" ref="AN113" si="516">AI113</f>
        <v>2.3105160872381774E-2</v>
      </c>
      <c r="AO113" s="189">
        <f t="shared" ref="AO113" si="517">AJ113</f>
        <v>2.3351052741296643E-2</v>
      </c>
      <c r="AP113" s="189">
        <f t="shared" ref="AP113" si="518">AK113</f>
        <v>2.4786219484371437E-2</v>
      </c>
      <c r="AQ113" s="188">
        <f t="shared" ref="AQ113" si="519">AQ112/AQ108</f>
        <v>2.3892630697242265E-2</v>
      </c>
      <c r="AR113" s="189">
        <f t="shared" ref="AR113" si="520">AM113</f>
        <v>2.4331575161831695E-2</v>
      </c>
      <c r="AS113" s="189">
        <f t="shared" ref="AS113" si="521">AN113</f>
        <v>2.3105160872381774E-2</v>
      </c>
      <c r="AT113" s="189">
        <f t="shared" ref="AT113" si="522">AO113</f>
        <v>2.3351052741296643E-2</v>
      </c>
      <c r="AU113" s="189">
        <f t="shared" ref="AU113" si="523">AP113</f>
        <v>2.4786219484371437E-2</v>
      </c>
      <c r="AV113" s="188">
        <f t="shared" ref="AV113" si="524">AV112/AV108</f>
        <v>2.3892630697242258E-2</v>
      </c>
    </row>
    <row r="114" spans="2:48" outlineLevel="1" x14ac:dyDescent="0.3">
      <c r="B114" s="180" t="s">
        <v>34</v>
      </c>
      <c r="C114" s="18"/>
      <c r="D114" s="358">
        <v>0</v>
      </c>
      <c r="E114" s="358">
        <v>12.3</v>
      </c>
      <c r="F114" s="358">
        <v>0.2</v>
      </c>
      <c r="G114" s="358">
        <v>0.3</v>
      </c>
      <c r="H114" s="126">
        <f>SUM(D114:G114)</f>
        <v>12.8</v>
      </c>
      <c r="I114" s="358">
        <v>0.3</v>
      </c>
      <c r="J114" s="358">
        <v>0.3</v>
      </c>
      <c r="K114" s="358">
        <v>0.3</v>
      </c>
      <c r="L114" s="358">
        <v>0.3</v>
      </c>
      <c r="M114" s="126">
        <f>SUM(I114:L114)</f>
        <v>1.2</v>
      </c>
      <c r="N114" s="358">
        <v>0.2</v>
      </c>
      <c r="O114" s="358">
        <v>0.3</v>
      </c>
      <c r="P114" s="358">
        <v>0.2</v>
      </c>
      <c r="Q114" s="358">
        <v>0.3</v>
      </c>
      <c r="R114" s="126">
        <f>SUM(N114:Q114)</f>
        <v>1</v>
      </c>
      <c r="S114" s="358">
        <v>0</v>
      </c>
      <c r="T114" s="358">
        <v>0</v>
      </c>
      <c r="U114" s="358">
        <v>0</v>
      </c>
      <c r="V114" s="360">
        <v>0</v>
      </c>
      <c r="W114" s="126">
        <f>SUM(S114:V114)</f>
        <v>0</v>
      </c>
      <c r="X114" s="360">
        <v>0</v>
      </c>
      <c r="Y114" s="360">
        <v>0</v>
      </c>
      <c r="Z114" s="360">
        <v>0</v>
      </c>
      <c r="AA114" s="360">
        <v>0</v>
      </c>
      <c r="AB114" s="126">
        <f>SUM(X114:AA114)</f>
        <v>0</v>
      </c>
      <c r="AC114" s="360">
        <v>0</v>
      </c>
      <c r="AD114" s="360">
        <v>0</v>
      </c>
      <c r="AE114" s="360">
        <v>0</v>
      </c>
      <c r="AF114" s="360">
        <v>0</v>
      </c>
      <c r="AG114" s="126">
        <f>SUM(AC114:AF114)</f>
        <v>0</v>
      </c>
      <c r="AH114" s="360">
        <v>0</v>
      </c>
      <c r="AI114" s="360">
        <v>0</v>
      </c>
      <c r="AJ114" s="360">
        <v>0</v>
      </c>
      <c r="AK114" s="360">
        <v>0</v>
      </c>
      <c r="AL114" s="126">
        <f>SUM(AH114:AK114)</f>
        <v>0</v>
      </c>
      <c r="AM114" s="360">
        <v>0</v>
      </c>
      <c r="AN114" s="360">
        <v>0</v>
      </c>
      <c r="AO114" s="360">
        <v>0</v>
      </c>
      <c r="AP114" s="360">
        <v>0</v>
      </c>
      <c r="AQ114" s="126">
        <f>SUM(AM114:AP114)</f>
        <v>0</v>
      </c>
      <c r="AR114" s="360">
        <v>0</v>
      </c>
      <c r="AS114" s="360">
        <v>0</v>
      </c>
      <c r="AT114" s="360">
        <v>0</v>
      </c>
      <c r="AU114" s="360">
        <v>0</v>
      </c>
      <c r="AV114" s="126">
        <f>SUM(AR114:AU114)</f>
        <v>0</v>
      </c>
    </row>
    <row r="115" spans="2:48" outlineLevel="1" x14ac:dyDescent="0.3">
      <c r="B115" s="180" t="s">
        <v>35</v>
      </c>
      <c r="C115" s="18"/>
      <c r="D115" s="48">
        <v>3.2</v>
      </c>
      <c r="E115" s="48">
        <v>3.1</v>
      </c>
      <c r="F115" s="48">
        <v>2.7</v>
      </c>
      <c r="G115" s="48">
        <v>2.6</v>
      </c>
      <c r="H115" s="49">
        <f>SUM(D115:G115)</f>
        <v>11.6</v>
      </c>
      <c r="I115" s="48">
        <v>2.4</v>
      </c>
      <c r="J115" s="48">
        <v>3</v>
      </c>
      <c r="K115" s="48">
        <v>2.5</v>
      </c>
      <c r="L115" s="48">
        <v>2.5</v>
      </c>
      <c r="M115" s="49">
        <f>SUM(I115:L115)</f>
        <v>10.4</v>
      </c>
      <c r="N115" s="48">
        <v>2.2000000000000002</v>
      </c>
      <c r="O115" s="48">
        <v>2.2999999999999998</v>
      </c>
      <c r="P115" s="48">
        <v>2.9</v>
      </c>
      <c r="Q115" s="105">
        <v>3.4</v>
      </c>
      <c r="R115" s="49">
        <f>SUM(N115:Q115)</f>
        <v>10.8</v>
      </c>
      <c r="S115" s="48">
        <v>3.3</v>
      </c>
      <c r="T115" s="48">
        <v>2.5</v>
      </c>
      <c r="U115" s="48">
        <v>2.2999999999999998</v>
      </c>
      <c r="V115" s="48">
        <f t="shared" ref="V115" si="525">V116*V108</f>
        <v>3.74</v>
      </c>
      <c r="W115" s="49">
        <f>SUM(S115:V115)</f>
        <v>11.84</v>
      </c>
      <c r="X115" s="48">
        <f t="shared" ref="X115:AA115" si="526">X116*X108</f>
        <v>3.63</v>
      </c>
      <c r="Y115" s="48">
        <f t="shared" si="526"/>
        <v>2.6</v>
      </c>
      <c r="Z115" s="48">
        <f t="shared" si="526"/>
        <v>2.3920000000000003</v>
      </c>
      <c r="AA115" s="48">
        <f t="shared" si="526"/>
        <v>3.8896000000000002</v>
      </c>
      <c r="AB115" s="49">
        <f>SUM(X115:AA115)</f>
        <v>12.5116</v>
      </c>
      <c r="AC115" s="48">
        <f t="shared" ref="AC115:AF115" si="527">AC116*AC108</f>
        <v>3.7751999999999999</v>
      </c>
      <c r="AD115" s="48">
        <f t="shared" si="527"/>
        <v>2.7040000000000002</v>
      </c>
      <c r="AE115" s="48">
        <f t="shared" si="527"/>
        <v>2.4876800000000001</v>
      </c>
      <c r="AF115" s="48">
        <f t="shared" si="527"/>
        <v>4.0451840000000008</v>
      </c>
      <c r="AG115" s="49">
        <f>SUM(AC115:AF115)</f>
        <v>13.012064000000001</v>
      </c>
      <c r="AH115" s="48">
        <f t="shared" ref="AH115:AK115" si="528">AH116*AH108</f>
        <v>3.9262080000000004</v>
      </c>
      <c r="AI115" s="48">
        <f t="shared" si="528"/>
        <v>2.8121600000000004</v>
      </c>
      <c r="AJ115" s="48">
        <f t="shared" si="528"/>
        <v>2.5871872000000002</v>
      </c>
      <c r="AK115" s="48">
        <f t="shared" si="528"/>
        <v>4.2069913600000008</v>
      </c>
      <c r="AL115" s="49">
        <f>SUM(AH115:AK115)</f>
        <v>13.532546560000004</v>
      </c>
      <c r="AM115" s="48">
        <f t="shared" ref="AM115:AP115" si="529">AM116*AM108</f>
        <v>4.0832563200000003</v>
      </c>
      <c r="AN115" s="48">
        <f t="shared" si="529"/>
        <v>2.9246464000000003</v>
      </c>
      <c r="AO115" s="48">
        <f t="shared" si="529"/>
        <v>2.6906746880000001</v>
      </c>
      <c r="AP115" s="48">
        <f t="shared" si="529"/>
        <v>4.3752710144000009</v>
      </c>
      <c r="AQ115" s="49">
        <f>SUM(AM115:AP115)</f>
        <v>14.073848422400001</v>
      </c>
      <c r="AR115" s="48">
        <f t="shared" ref="AR115:AU115" si="530">AR116*AR108</f>
        <v>4.246586572800001</v>
      </c>
      <c r="AS115" s="48">
        <f t="shared" si="530"/>
        <v>3.0416322560000006</v>
      </c>
      <c r="AT115" s="48">
        <f t="shared" si="530"/>
        <v>2.7983016755200003</v>
      </c>
      <c r="AU115" s="48">
        <f t="shared" si="530"/>
        <v>4.5502818549760011</v>
      </c>
      <c r="AV115" s="49">
        <f>SUM(AR115:AU115)</f>
        <v>14.636802359296004</v>
      </c>
    </row>
    <row r="116" spans="2:48" s="184" customFormat="1" outlineLevel="1" x14ac:dyDescent="0.3">
      <c r="B116" s="181" t="s">
        <v>153</v>
      </c>
      <c r="C116" s="190"/>
      <c r="D116" s="187">
        <f>D115/D108</f>
        <v>6.3416567578279829E-3</v>
      </c>
      <c r="E116" s="187">
        <f t="shared" ref="E116:Q116" si="531">E115/E108</f>
        <v>6.9413345275414241E-3</v>
      </c>
      <c r="F116" s="187">
        <f t="shared" si="531"/>
        <v>5.0628164260266275E-3</v>
      </c>
      <c r="G116" s="187">
        <f t="shared" si="531"/>
        <v>5.1171029324936033E-3</v>
      </c>
      <c r="H116" s="188">
        <f t="shared" si="531"/>
        <v>5.8215396968784505E-3</v>
      </c>
      <c r="I116" s="187">
        <f t="shared" si="531"/>
        <v>4.8524059846340476E-3</v>
      </c>
      <c r="J116" s="187">
        <f t="shared" si="531"/>
        <v>5.7792332883837404E-3</v>
      </c>
      <c r="K116" s="187">
        <f t="shared" si="531"/>
        <v>5.5890900961323492E-3</v>
      </c>
      <c r="L116" s="187">
        <f t="shared" si="531"/>
        <v>5.387931034482759E-3</v>
      </c>
      <c r="M116" s="188">
        <f t="shared" si="531"/>
        <v>5.4025974025974028E-3</v>
      </c>
      <c r="N116" s="187">
        <f t="shared" si="531"/>
        <v>5.9235325794291874E-3</v>
      </c>
      <c r="O116" s="187">
        <f t="shared" si="531"/>
        <v>6.2178967288456337E-3</v>
      </c>
      <c r="P116" s="187">
        <f t="shared" si="531"/>
        <v>7.0048309178743955E-3</v>
      </c>
      <c r="Q116" s="167">
        <f t="shared" si="531"/>
        <v>7.7572438968742862E-3</v>
      </c>
      <c r="R116" s="188">
        <f t="shared" ref="R116:U116" si="532">R115/R108</f>
        <v>6.7771084337349408E-3</v>
      </c>
      <c r="S116" s="187">
        <f t="shared" si="532"/>
        <v>7.9117717573723313E-3</v>
      </c>
      <c r="T116" s="187">
        <f t="shared" si="532"/>
        <v>5.3984020729863956E-3</v>
      </c>
      <c r="U116" s="187">
        <f t="shared" si="532"/>
        <v>4.7946633312486971E-3</v>
      </c>
      <c r="V116" s="189">
        <f>Q116</f>
        <v>7.7572438968742862E-3</v>
      </c>
      <c r="W116" s="188">
        <f t="shared" ref="W116" si="533">W115/W108</f>
        <v>6.4276911885257021E-3</v>
      </c>
      <c r="X116" s="189">
        <f t="shared" ref="X116" si="534">S116</f>
        <v>7.9117717573723313E-3</v>
      </c>
      <c r="Y116" s="189">
        <f t="shared" ref="Y116" si="535">T116</f>
        <v>5.3984020729863956E-3</v>
      </c>
      <c r="Z116" s="189">
        <f t="shared" ref="Z116" si="536">U116</f>
        <v>4.7946633312486971E-3</v>
      </c>
      <c r="AA116" s="189">
        <f t="shared" ref="AA116" si="537">V116</f>
        <v>7.7572438968742862E-3</v>
      </c>
      <c r="AB116" s="188">
        <f t="shared" ref="AB116" si="538">AB115/AB108</f>
        <v>6.4468285556643105E-3</v>
      </c>
      <c r="AC116" s="189">
        <f t="shared" ref="AC116" si="539">X116</f>
        <v>7.9117717573723313E-3</v>
      </c>
      <c r="AD116" s="189">
        <f t="shared" ref="AD116" si="540">Y116</f>
        <v>5.3984020729863956E-3</v>
      </c>
      <c r="AE116" s="189">
        <f t="shared" ref="AE116" si="541">Z116</f>
        <v>4.7946633312486971E-3</v>
      </c>
      <c r="AF116" s="189">
        <f t="shared" ref="AF116" si="542">AA116</f>
        <v>7.7572438968742862E-3</v>
      </c>
      <c r="AG116" s="188">
        <f t="shared" ref="AG116" si="543">AG115/AG108</f>
        <v>6.4468285556643096E-3</v>
      </c>
      <c r="AH116" s="189">
        <f t="shared" ref="AH116" si="544">AC116</f>
        <v>7.9117717573723313E-3</v>
      </c>
      <c r="AI116" s="189">
        <f t="shared" ref="AI116" si="545">AD116</f>
        <v>5.3984020729863956E-3</v>
      </c>
      <c r="AJ116" s="189">
        <f t="shared" ref="AJ116" si="546">AE116</f>
        <v>4.7946633312486971E-3</v>
      </c>
      <c r="AK116" s="189">
        <f t="shared" ref="AK116" si="547">AF116</f>
        <v>7.7572438968742862E-3</v>
      </c>
      <c r="AL116" s="188">
        <f t="shared" ref="AL116" si="548">AL115/AL108</f>
        <v>6.4468285556643114E-3</v>
      </c>
      <c r="AM116" s="189">
        <f t="shared" ref="AM116" si="549">AH116</f>
        <v>7.9117717573723313E-3</v>
      </c>
      <c r="AN116" s="189">
        <f t="shared" ref="AN116" si="550">AI116</f>
        <v>5.3984020729863956E-3</v>
      </c>
      <c r="AO116" s="189">
        <f t="shared" ref="AO116" si="551">AJ116</f>
        <v>4.7946633312486971E-3</v>
      </c>
      <c r="AP116" s="189">
        <f t="shared" ref="AP116" si="552">AK116</f>
        <v>7.7572438968742862E-3</v>
      </c>
      <c r="AQ116" s="188">
        <f t="shared" ref="AQ116" si="553">AQ115/AQ108</f>
        <v>6.4468285556643105E-3</v>
      </c>
      <c r="AR116" s="189">
        <f t="shared" ref="AR116" si="554">AM116</f>
        <v>7.9117717573723313E-3</v>
      </c>
      <c r="AS116" s="189">
        <f t="shared" ref="AS116" si="555">AN116</f>
        <v>5.3984020729863956E-3</v>
      </c>
      <c r="AT116" s="189">
        <f t="shared" ref="AT116" si="556">AO116</f>
        <v>4.7946633312486971E-3</v>
      </c>
      <c r="AU116" s="189">
        <f t="shared" ref="AU116" si="557">AP116</f>
        <v>7.7572438968742862E-3</v>
      </c>
      <c r="AV116" s="188">
        <f t="shared" ref="AV116" si="558">AV115/AV108</f>
        <v>6.4468285556643105E-3</v>
      </c>
    </row>
    <row r="117" spans="2:48" ht="16.2" outlineLevel="1" x14ac:dyDescent="0.45">
      <c r="B117" s="180" t="s">
        <v>42</v>
      </c>
      <c r="C117" s="18"/>
      <c r="D117" s="119">
        <v>0</v>
      </c>
      <c r="E117" s="119">
        <v>0</v>
      </c>
      <c r="F117" s="119">
        <v>0</v>
      </c>
      <c r="G117" s="119">
        <v>0</v>
      </c>
      <c r="H117" s="131">
        <f>SUM(D117:G117)</f>
        <v>0</v>
      </c>
      <c r="I117" s="119">
        <v>0</v>
      </c>
      <c r="J117" s="119">
        <v>0</v>
      </c>
      <c r="K117" s="119">
        <v>0</v>
      </c>
      <c r="L117" s="119">
        <v>0</v>
      </c>
      <c r="M117" s="131">
        <f>SUM(I117:L117)</f>
        <v>0</v>
      </c>
      <c r="N117" s="119">
        <v>0</v>
      </c>
      <c r="O117" s="119">
        <v>0</v>
      </c>
      <c r="P117" s="119">
        <v>0</v>
      </c>
      <c r="Q117" s="119">
        <v>0</v>
      </c>
      <c r="R117" s="131">
        <f>SUM(N117:Q117)</f>
        <v>0</v>
      </c>
      <c r="S117" s="119">
        <v>0</v>
      </c>
      <c r="T117" s="119">
        <v>0</v>
      </c>
      <c r="U117" s="119">
        <v>0</v>
      </c>
      <c r="V117" s="119">
        <f>IFERROR((V163*(U117/U163)),0)</f>
        <v>0</v>
      </c>
      <c r="W117" s="131">
        <f>SUM(S117:V117)</f>
        <v>0</v>
      </c>
      <c r="X117" s="119">
        <f>IFERROR((X163*(V117/V163)),0)</f>
        <v>0</v>
      </c>
      <c r="Y117" s="119">
        <f t="shared" ref="Y117:AA117" si="559">IFERROR((Y163*(X117/X163)),0)</f>
        <v>0</v>
      </c>
      <c r="Z117" s="119">
        <f t="shared" si="559"/>
        <v>0</v>
      </c>
      <c r="AA117" s="119">
        <f t="shared" si="559"/>
        <v>0</v>
      </c>
      <c r="AB117" s="131">
        <f>SUM(X117:AA117)</f>
        <v>0</v>
      </c>
      <c r="AC117" s="119">
        <f>IFERROR((AC163*(AA117/AA163)),0)</f>
        <v>0</v>
      </c>
      <c r="AD117" s="119">
        <f t="shared" ref="AD117:AF117" si="560">IFERROR((AD163*(AC117/AC163)),0)</f>
        <v>0</v>
      </c>
      <c r="AE117" s="119">
        <f t="shared" si="560"/>
        <v>0</v>
      </c>
      <c r="AF117" s="119">
        <f t="shared" si="560"/>
        <v>0</v>
      </c>
      <c r="AG117" s="131">
        <f>SUM(AC117:AF117)</f>
        <v>0</v>
      </c>
      <c r="AH117" s="119">
        <f>IFERROR((AH163*(AF117/AF163)),0)</f>
        <v>0</v>
      </c>
      <c r="AI117" s="119">
        <f t="shared" ref="AI117:AK117" si="561">IFERROR((AI163*(AH117/AH163)),0)</f>
        <v>0</v>
      </c>
      <c r="AJ117" s="119">
        <f t="shared" si="561"/>
        <v>0</v>
      </c>
      <c r="AK117" s="119">
        <f t="shared" si="561"/>
        <v>0</v>
      </c>
      <c r="AL117" s="131">
        <f>SUM(AH117:AK117)</f>
        <v>0</v>
      </c>
      <c r="AM117" s="119">
        <f>IFERROR((AM163*(AK117/AK163)),0)</f>
        <v>0</v>
      </c>
      <c r="AN117" s="119">
        <f t="shared" ref="AN117:AP117" si="562">IFERROR((AN163*(AM117/AM163)),0)</f>
        <v>0</v>
      </c>
      <c r="AO117" s="119">
        <f t="shared" si="562"/>
        <v>0</v>
      </c>
      <c r="AP117" s="119">
        <f t="shared" si="562"/>
        <v>0</v>
      </c>
      <c r="AQ117" s="131">
        <f>SUM(AM117:AP117)</f>
        <v>0</v>
      </c>
      <c r="AR117" s="119">
        <f>IFERROR((AR163*(AP117/AP163)),0)</f>
        <v>0</v>
      </c>
      <c r="AS117" s="119">
        <f t="shared" ref="AS117:AU117" si="563">IFERROR((AS163*(AR117/AR163)),0)</f>
        <v>0</v>
      </c>
      <c r="AT117" s="119">
        <f t="shared" si="563"/>
        <v>0</v>
      </c>
      <c r="AU117" s="119">
        <f t="shared" si="563"/>
        <v>0</v>
      </c>
      <c r="AV117" s="131">
        <f>SUM(AR117:AU117)</f>
        <v>0</v>
      </c>
    </row>
    <row r="118" spans="2:48" outlineLevel="1" x14ac:dyDescent="0.3">
      <c r="B118" s="46" t="s">
        <v>52</v>
      </c>
      <c r="C118" s="19"/>
      <c r="D118" s="50">
        <f>D110+D112+D114+D115+D117</f>
        <v>370.2</v>
      </c>
      <c r="E118" s="50">
        <f t="shared" ref="E118:AU118" si="564">E110+E112+E114+E115+E117</f>
        <v>337.90000000000003</v>
      </c>
      <c r="F118" s="50">
        <f t="shared" si="564"/>
        <v>400.2</v>
      </c>
      <c r="G118" s="50">
        <f t="shared" si="564"/>
        <v>382.30000000000007</v>
      </c>
      <c r="H118" s="26">
        <f t="shared" si="564"/>
        <v>1490.6</v>
      </c>
      <c r="I118" s="50">
        <f t="shared" si="564"/>
        <v>362.1</v>
      </c>
      <c r="J118" s="50">
        <f t="shared" si="564"/>
        <v>372.6</v>
      </c>
      <c r="K118" s="50">
        <f t="shared" si="564"/>
        <v>374.09999999999997</v>
      </c>
      <c r="L118" s="50">
        <f t="shared" si="564"/>
        <v>349.1</v>
      </c>
      <c r="M118" s="26">
        <f t="shared" si="564"/>
        <v>1457.9000000000003</v>
      </c>
      <c r="N118" s="50">
        <f t="shared" si="564"/>
        <v>246.99999999999997</v>
      </c>
      <c r="O118" s="50">
        <f t="shared" si="564"/>
        <v>247.60000000000002</v>
      </c>
      <c r="P118" s="50">
        <f t="shared" si="564"/>
        <v>261.5</v>
      </c>
      <c r="Q118" s="103">
        <f t="shared" si="564"/>
        <v>298.2</v>
      </c>
      <c r="R118" s="26">
        <f t="shared" si="564"/>
        <v>1054.3</v>
      </c>
      <c r="S118" s="50">
        <f t="shared" si="564"/>
        <v>273.5</v>
      </c>
      <c r="T118" s="50">
        <f t="shared" si="564"/>
        <v>313.7</v>
      </c>
      <c r="U118" s="50">
        <f t="shared" si="564"/>
        <v>341.70000000000005</v>
      </c>
      <c r="V118" s="50">
        <f t="shared" si="564"/>
        <v>361.43910000000005</v>
      </c>
      <c r="W118" s="26">
        <f t="shared" si="564"/>
        <v>1290.3390999999999</v>
      </c>
      <c r="X118" s="50">
        <f t="shared" si="564"/>
        <v>316.90835000000004</v>
      </c>
      <c r="Y118" s="50">
        <f t="shared" si="564"/>
        <v>326.24799999999999</v>
      </c>
      <c r="Z118" s="50">
        <f t="shared" si="564"/>
        <v>350.37912000000006</v>
      </c>
      <c r="AA118" s="50">
        <f t="shared" si="564"/>
        <v>345.81175200000001</v>
      </c>
      <c r="AB118" s="26">
        <f t="shared" si="564"/>
        <v>1339.3472220000001</v>
      </c>
      <c r="AC118" s="50">
        <f t="shared" ref="AC118:AF118" si="565">AC110+AC112+AC114+AC115+AC117</f>
        <v>320.04143600000009</v>
      </c>
      <c r="AD118" s="50">
        <f t="shared" si="565"/>
        <v>339.29792000000003</v>
      </c>
      <c r="AE118" s="50">
        <f t="shared" si="565"/>
        <v>354.01741440000001</v>
      </c>
      <c r="AF118" s="50">
        <f t="shared" si="565"/>
        <v>349.21478592000005</v>
      </c>
      <c r="AG118" s="26">
        <f t="shared" si="564"/>
        <v>1362.5715563200001</v>
      </c>
      <c r="AH118" s="50">
        <f t="shared" si="564"/>
        <v>331.35434675200008</v>
      </c>
      <c r="AI118" s="50">
        <f t="shared" si="564"/>
        <v>352.86983680000009</v>
      </c>
      <c r="AJ118" s="50">
        <f t="shared" si="564"/>
        <v>362.78213836800012</v>
      </c>
      <c r="AK118" s="50">
        <f t="shared" si="564"/>
        <v>361.0140546355201</v>
      </c>
      <c r="AL118" s="26">
        <f t="shared" si="564"/>
        <v>1408.0203765555202</v>
      </c>
      <c r="AM118" s="50">
        <f t="shared" si="564"/>
        <v>344.60852062208011</v>
      </c>
      <c r="AN118" s="50">
        <f t="shared" si="564"/>
        <v>366.98463027200012</v>
      </c>
      <c r="AO118" s="50">
        <f t="shared" si="564"/>
        <v>377.29342390272006</v>
      </c>
      <c r="AP118" s="50">
        <f t="shared" si="564"/>
        <v>375.45461682094094</v>
      </c>
      <c r="AQ118" s="26">
        <f t="shared" si="564"/>
        <v>1464.3411916177413</v>
      </c>
      <c r="AR118" s="50">
        <f t="shared" si="564"/>
        <v>358.39286144696342</v>
      </c>
      <c r="AS118" s="50">
        <f t="shared" si="564"/>
        <v>381.66401548288013</v>
      </c>
      <c r="AT118" s="50">
        <f t="shared" si="564"/>
        <v>392.38516085882884</v>
      </c>
      <c r="AU118" s="50">
        <f t="shared" si="564"/>
        <v>390.47280149377849</v>
      </c>
      <c r="AV118" s="26">
        <f t="shared" ref="AV118" si="566">AV110+AV112+AV114+AV115+AV117</f>
        <v>1522.9148392824509</v>
      </c>
    </row>
    <row r="119" spans="2:48" ht="16.2" outlineLevel="1" x14ac:dyDescent="0.45">
      <c r="B119" s="47" t="s">
        <v>36</v>
      </c>
      <c r="C119" s="44"/>
      <c r="D119" s="52">
        <v>41.4</v>
      </c>
      <c r="E119" s="104">
        <v>40.200000000000003</v>
      </c>
      <c r="F119" s="104">
        <v>48.8</v>
      </c>
      <c r="G119" s="104">
        <v>65.099999999999994</v>
      </c>
      <c r="H119" s="193">
        <f>SUM(D119:G119)</f>
        <v>195.49999999999997</v>
      </c>
      <c r="I119" s="104">
        <v>43</v>
      </c>
      <c r="J119" s="104">
        <v>43.1</v>
      </c>
      <c r="K119" s="104">
        <v>51</v>
      </c>
      <c r="L119" s="104">
        <v>83</v>
      </c>
      <c r="M119" s="193">
        <f>SUM(I119:L119)</f>
        <v>220.1</v>
      </c>
      <c r="N119" s="104">
        <v>56.4</v>
      </c>
      <c r="O119" s="104">
        <v>50.3</v>
      </c>
      <c r="P119" s="104">
        <v>63.5</v>
      </c>
      <c r="Q119" s="104">
        <v>79.7</v>
      </c>
      <c r="R119" s="193">
        <f>SUM(N119:Q119)</f>
        <v>249.89999999999998</v>
      </c>
      <c r="S119" s="104">
        <v>39.6</v>
      </c>
      <c r="T119" s="104">
        <v>48.5</v>
      </c>
      <c r="U119" s="104">
        <v>53.7</v>
      </c>
      <c r="V119" s="56">
        <f>U119</f>
        <v>53.7</v>
      </c>
      <c r="W119" s="193">
        <f>SUM(S119:V119)</f>
        <v>195.5</v>
      </c>
      <c r="X119" s="56">
        <f>V119</f>
        <v>53.7</v>
      </c>
      <c r="Y119" s="56">
        <f>X119</f>
        <v>53.7</v>
      </c>
      <c r="Z119" s="56">
        <f>Y119</f>
        <v>53.7</v>
      </c>
      <c r="AA119" s="56">
        <f>Z119</f>
        <v>53.7</v>
      </c>
      <c r="AB119" s="193">
        <f>SUM(X119:AA119)</f>
        <v>214.8</v>
      </c>
      <c r="AC119" s="56">
        <f>AA119</f>
        <v>53.7</v>
      </c>
      <c r="AD119" s="56">
        <f>AC119</f>
        <v>53.7</v>
      </c>
      <c r="AE119" s="56">
        <f>AD119</f>
        <v>53.7</v>
      </c>
      <c r="AF119" s="56">
        <f>AE119</f>
        <v>53.7</v>
      </c>
      <c r="AG119" s="193">
        <f>SUM(AC119:AF119)</f>
        <v>214.8</v>
      </c>
      <c r="AH119" s="56">
        <f>AF119</f>
        <v>53.7</v>
      </c>
      <c r="AI119" s="56">
        <f>AH119</f>
        <v>53.7</v>
      </c>
      <c r="AJ119" s="56">
        <f>AI119</f>
        <v>53.7</v>
      </c>
      <c r="AK119" s="56">
        <f>AJ119</f>
        <v>53.7</v>
      </c>
      <c r="AL119" s="193">
        <f>SUM(AH119:AK119)</f>
        <v>214.8</v>
      </c>
      <c r="AM119" s="56">
        <f>AK119</f>
        <v>53.7</v>
      </c>
      <c r="AN119" s="56">
        <f>AM119</f>
        <v>53.7</v>
      </c>
      <c r="AO119" s="56">
        <f>AN119</f>
        <v>53.7</v>
      </c>
      <c r="AP119" s="56">
        <f>AO119</f>
        <v>53.7</v>
      </c>
      <c r="AQ119" s="193">
        <f>SUM(AM119:AP119)</f>
        <v>214.8</v>
      </c>
      <c r="AR119" s="56">
        <f>AP119</f>
        <v>53.7</v>
      </c>
      <c r="AS119" s="56">
        <f>AR119</f>
        <v>53.7</v>
      </c>
      <c r="AT119" s="56">
        <f>AS119</f>
        <v>53.7</v>
      </c>
      <c r="AU119" s="56">
        <f>AT119</f>
        <v>53.7</v>
      </c>
      <c r="AV119" s="193">
        <f>SUM(AR119:AU119)</f>
        <v>214.8</v>
      </c>
    </row>
    <row r="120" spans="2:48" outlineLevel="1" x14ac:dyDescent="0.3">
      <c r="B120" s="46" t="s">
        <v>53</v>
      </c>
      <c r="C120" s="44"/>
      <c r="D120" s="156">
        <f t="shared" ref="D120:AU120" si="567">D108-D118+D119</f>
        <v>175.80000000000004</v>
      </c>
      <c r="E120" s="156">
        <f t="shared" si="567"/>
        <v>148.89999999999998</v>
      </c>
      <c r="F120" s="156">
        <f t="shared" si="567"/>
        <v>181.89999999999998</v>
      </c>
      <c r="G120" s="156">
        <f t="shared" si="567"/>
        <v>190.89999999999995</v>
      </c>
      <c r="H120" s="97">
        <f t="shared" si="567"/>
        <v>697.5</v>
      </c>
      <c r="I120" s="156">
        <f t="shared" si="567"/>
        <v>175.5</v>
      </c>
      <c r="J120" s="156">
        <f t="shared" si="567"/>
        <v>189.6</v>
      </c>
      <c r="K120" s="156">
        <f t="shared" si="567"/>
        <v>124.20000000000005</v>
      </c>
      <c r="L120" s="74">
        <f t="shared" si="567"/>
        <v>197.89999999999998</v>
      </c>
      <c r="M120" s="97">
        <f t="shared" si="567"/>
        <v>687.1999999999997</v>
      </c>
      <c r="N120" s="74">
        <f t="shared" si="567"/>
        <v>180.8</v>
      </c>
      <c r="O120" s="74">
        <f t="shared" si="567"/>
        <v>172.59999999999997</v>
      </c>
      <c r="P120" s="74">
        <f t="shared" si="567"/>
        <v>216</v>
      </c>
      <c r="Q120" s="74">
        <f t="shared" si="567"/>
        <v>219.8</v>
      </c>
      <c r="R120" s="97">
        <f t="shared" si="567"/>
        <v>789.19999999999993</v>
      </c>
      <c r="S120" s="74">
        <f t="shared" si="567"/>
        <v>183.20000000000002</v>
      </c>
      <c r="T120" s="74">
        <f t="shared" si="567"/>
        <v>197.90000000000003</v>
      </c>
      <c r="U120" s="74">
        <f t="shared" si="567"/>
        <v>191.69999999999993</v>
      </c>
      <c r="V120" s="74">
        <f t="shared" si="567"/>
        <v>174.39089999999999</v>
      </c>
      <c r="W120" s="97">
        <f t="shared" si="567"/>
        <v>747.19090000000028</v>
      </c>
      <c r="X120" s="74">
        <f t="shared" si="567"/>
        <v>195.60165000000001</v>
      </c>
      <c r="Y120" s="74">
        <f t="shared" si="567"/>
        <v>209.07600000000002</v>
      </c>
      <c r="Z120" s="74">
        <f t="shared" si="567"/>
        <v>202.20887999999997</v>
      </c>
      <c r="AA120" s="74">
        <f t="shared" si="567"/>
        <v>209.30344800000006</v>
      </c>
      <c r="AB120" s="97">
        <f t="shared" si="567"/>
        <v>816.18997800000011</v>
      </c>
      <c r="AC120" s="74">
        <f t="shared" ref="AC120:AF120" si="568">AC108-AC118+AC119</f>
        <v>210.820964</v>
      </c>
      <c r="AD120" s="74">
        <f t="shared" si="568"/>
        <v>215.29104000000001</v>
      </c>
      <c r="AE120" s="74">
        <f t="shared" si="568"/>
        <v>218.52610559999999</v>
      </c>
      <c r="AF120" s="74">
        <f t="shared" si="568"/>
        <v>225.95702208000006</v>
      </c>
      <c r="AG120" s="97">
        <f t="shared" si="567"/>
        <v>870.59513168000035</v>
      </c>
      <c r="AH120" s="74">
        <f t="shared" si="567"/>
        <v>218.59454924800002</v>
      </c>
      <c r="AI120" s="74">
        <f t="shared" si="567"/>
        <v>221.75468160000003</v>
      </c>
      <c r="AJ120" s="74">
        <f t="shared" si="567"/>
        <v>230.51512243199994</v>
      </c>
      <c r="AK120" s="74">
        <f t="shared" si="567"/>
        <v>235.01662568448006</v>
      </c>
      <c r="AL120" s="97">
        <f t="shared" si="567"/>
        <v>905.88097896448039</v>
      </c>
      <c r="AM120" s="74">
        <f t="shared" si="567"/>
        <v>225.19033121792006</v>
      </c>
      <c r="AN120" s="74">
        <f t="shared" si="567"/>
        <v>228.47686886399998</v>
      </c>
      <c r="AO120" s="74">
        <f t="shared" si="567"/>
        <v>237.58772732927997</v>
      </c>
      <c r="AP120" s="74">
        <f t="shared" si="567"/>
        <v>242.26929071185924</v>
      </c>
      <c r="AQ120" s="97">
        <f t="shared" si="567"/>
        <v>933.5242181230592</v>
      </c>
      <c r="AR120" s="74">
        <f t="shared" si="567"/>
        <v>232.04994446663682</v>
      </c>
      <c r="AS120" s="74">
        <f t="shared" si="567"/>
        <v>235.46794361856001</v>
      </c>
      <c r="AT120" s="74">
        <f t="shared" si="567"/>
        <v>244.94323642245121</v>
      </c>
      <c r="AU120" s="74">
        <f t="shared" si="567"/>
        <v>249.81206234033368</v>
      </c>
      <c r="AV120" s="97">
        <f t="shared" ref="AV120" si="569">AV108-AV118+AV119</f>
        <v>962.27318684798206</v>
      </c>
    </row>
    <row r="121" spans="2:48" outlineLevel="1" x14ac:dyDescent="0.3">
      <c r="B121" s="46" t="s">
        <v>54</v>
      </c>
      <c r="C121" s="44"/>
      <c r="D121" s="157">
        <f>+D120/D108</f>
        <v>0.34839476813317488</v>
      </c>
      <c r="E121" s="157">
        <f>+E120/E108</f>
        <v>0.33340797133900574</v>
      </c>
      <c r="F121" s="157">
        <f>+F120/F108</f>
        <v>0.34108381773860863</v>
      </c>
      <c r="G121" s="157">
        <f>+G120/G108</f>
        <v>0.37571344223578024</v>
      </c>
      <c r="H121" s="125">
        <f>H120/H108</f>
        <v>0.35004516711833789</v>
      </c>
      <c r="I121" s="157">
        <f t="shared" ref="I121:AU121" si="570">+I120/I108</f>
        <v>0.3548321876263647</v>
      </c>
      <c r="J121" s="157">
        <f t="shared" si="570"/>
        <v>0.36524754382585239</v>
      </c>
      <c r="K121" s="157">
        <f t="shared" si="570"/>
        <v>0.27766599597585523</v>
      </c>
      <c r="L121" s="75">
        <f t="shared" si="570"/>
        <v>0.42650862068965512</v>
      </c>
      <c r="M121" s="98">
        <f t="shared" si="570"/>
        <v>0.35698701298701285</v>
      </c>
      <c r="N121" s="75">
        <f t="shared" si="570"/>
        <v>0.48680667743672595</v>
      </c>
      <c r="O121" s="75">
        <f t="shared" si="570"/>
        <v>0.46661259799945926</v>
      </c>
      <c r="P121" s="75">
        <f t="shared" si="570"/>
        <v>0.52173913043478259</v>
      </c>
      <c r="Q121" s="75">
        <f t="shared" si="570"/>
        <v>0.50148300250969657</v>
      </c>
      <c r="R121" s="98">
        <f t="shared" si="570"/>
        <v>0.49523092369477911</v>
      </c>
      <c r="S121" s="75">
        <f t="shared" si="570"/>
        <v>0.43922320786382163</v>
      </c>
      <c r="T121" s="75">
        <f t="shared" si="570"/>
        <v>0.42733750809760318</v>
      </c>
      <c r="U121" s="75">
        <f t="shared" si="570"/>
        <v>0.3996247654784239</v>
      </c>
      <c r="V121" s="75">
        <f t="shared" si="570"/>
        <v>0.36170929002551172</v>
      </c>
      <c r="W121" s="98">
        <f t="shared" si="570"/>
        <v>0.40563449020917153</v>
      </c>
      <c r="X121" s="75">
        <f t="shared" si="570"/>
        <v>0.42632385954970464</v>
      </c>
      <c r="Y121" s="75">
        <f t="shared" si="570"/>
        <v>0.43410627377373223</v>
      </c>
      <c r="Z121" s="75">
        <f t="shared" si="570"/>
        <v>0.40531918987828924</v>
      </c>
      <c r="AA121" s="75">
        <f t="shared" si="570"/>
        <v>0.41742541510508663</v>
      </c>
      <c r="AB121" s="98">
        <f t="shared" si="570"/>
        <v>0.42055667196980612</v>
      </c>
      <c r="AC121" s="75">
        <f t="shared" ref="AC121:AF121" si="571">+AC120/AC108</f>
        <v>0.44182224751992183</v>
      </c>
      <c r="AD121" s="75">
        <f t="shared" si="571"/>
        <v>0.42981789816249888</v>
      </c>
      <c r="AE121" s="75">
        <f t="shared" si="571"/>
        <v>0.42117921333969821</v>
      </c>
      <c r="AF121" s="75">
        <f t="shared" si="571"/>
        <v>0.43330630460467767</v>
      </c>
      <c r="AG121" s="98">
        <f t="shared" si="570"/>
        <v>0.43133645479586913</v>
      </c>
      <c r="AH121" s="75">
        <f t="shared" si="570"/>
        <v>0.44049377441436155</v>
      </c>
      <c r="AI121" s="75">
        <f t="shared" si="570"/>
        <v>0.42569446007477457</v>
      </c>
      <c r="AJ121" s="75">
        <f t="shared" si="570"/>
        <v>0.4271984666679759</v>
      </c>
      <c r="AK121" s="75">
        <f t="shared" si="570"/>
        <v>0.43334562143120758</v>
      </c>
      <c r="AL121" s="98">
        <f t="shared" si="570"/>
        <v>0.43155656899667461</v>
      </c>
      <c r="AM121" s="75">
        <f t="shared" si="570"/>
        <v>0.43633178104363052</v>
      </c>
      <c r="AN121" s="75">
        <f t="shared" si="570"/>
        <v>0.42172961575965501</v>
      </c>
      <c r="AO121" s="75">
        <f t="shared" si="570"/>
        <v>0.42337082563747391</v>
      </c>
      <c r="AP121" s="75">
        <f t="shared" si="570"/>
        <v>0.42953727222594784</v>
      </c>
      <c r="AQ121" s="98">
        <f t="shared" si="570"/>
        <v>0.42762081885301745</v>
      </c>
      <c r="AR121" s="75">
        <f t="shared" si="570"/>
        <v>0.43232986434100434</v>
      </c>
      <c r="AS121" s="75">
        <f t="shared" si="570"/>
        <v>0.41791726545665547</v>
      </c>
      <c r="AT121" s="75">
        <f t="shared" si="570"/>
        <v>0.41969040156968351</v>
      </c>
      <c r="AU121" s="75">
        <f t="shared" si="570"/>
        <v>0.42587539799012136</v>
      </c>
      <c r="AV121" s="98">
        <f t="shared" ref="AV121" si="572">+AV120/AV108</f>
        <v>0.42383644371488588</v>
      </c>
    </row>
    <row r="122" spans="2:48" ht="17.399999999999999" x14ac:dyDescent="0.45">
      <c r="B122" s="583" t="s">
        <v>55</v>
      </c>
      <c r="C122" s="584"/>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2" t="s">
        <v>25</v>
      </c>
      <c r="W122" s="42" t="s">
        <v>26</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580" t="s">
        <v>127</v>
      </c>
      <c r="C123" s="581"/>
      <c r="D123" s="48">
        <v>11.6</v>
      </c>
      <c r="E123" s="48">
        <v>15.8</v>
      </c>
      <c r="F123" s="48">
        <v>23.3</v>
      </c>
      <c r="G123" s="48">
        <v>15.4</v>
      </c>
      <c r="H123" s="31">
        <f>SUM(D123:G123)</f>
        <v>66.100000000000009</v>
      </c>
      <c r="I123" s="48">
        <v>20.5</v>
      </c>
      <c r="J123" s="48">
        <v>12</v>
      </c>
      <c r="K123" s="48">
        <v>19.7</v>
      </c>
      <c r="L123" s="48">
        <v>13.9</v>
      </c>
      <c r="M123" s="31">
        <f>SUM(I123:L123)</f>
        <v>66.100000000000009</v>
      </c>
      <c r="N123" s="48">
        <v>20.5</v>
      </c>
      <c r="O123" s="48">
        <v>22.6</v>
      </c>
      <c r="P123" s="48">
        <v>23.8</v>
      </c>
      <c r="Q123" s="105">
        <v>30.8</v>
      </c>
      <c r="R123" s="31">
        <f>SUM(N123:Q123)</f>
        <v>97.7</v>
      </c>
      <c r="S123" s="48">
        <v>25.1</v>
      </c>
      <c r="T123" s="48">
        <v>24.4</v>
      </c>
      <c r="U123" s="48">
        <v>27.3</v>
      </c>
      <c r="V123" s="48">
        <f t="shared" ref="V123" si="573">+Q123*(1+V124)</f>
        <v>33.880000000000003</v>
      </c>
      <c r="W123" s="31">
        <f>SUM(S123:V123)</f>
        <v>110.68</v>
      </c>
      <c r="X123" s="48">
        <f>+S123*(1+X124)</f>
        <v>27.610000000000003</v>
      </c>
      <c r="Y123" s="48">
        <f>+T123*(1+Y124)</f>
        <v>26.84</v>
      </c>
      <c r="Z123" s="48">
        <f>+U123*(1+Z124)</f>
        <v>30.030000000000005</v>
      </c>
      <c r="AA123" s="48">
        <f t="shared" ref="AA123" si="574">+V123*(1+AA124)</f>
        <v>37.268000000000008</v>
      </c>
      <c r="AB123" s="31">
        <f>SUM(X123:AA123)</f>
        <v>121.74800000000002</v>
      </c>
      <c r="AC123" s="48">
        <f>+X123*(1+AC124)</f>
        <v>30.371000000000006</v>
      </c>
      <c r="AD123" s="48">
        <f>+Y123*(1+AD124)</f>
        <v>29.524000000000001</v>
      </c>
      <c r="AE123" s="48">
        <f>+Z123*(1+AE124)</f>
        <v>33.033000000000008</v>
      </c>
      <c r="AF123" s="48">
        <f t="shared" ref="AF123" si="575">+AA123*(1+AF124)</f>
        <v>40.994800000000012</v>
      </c>
      <c r="AG123" s="31">
        <f>SUM(AC123:AF123)</f>
        <v>133.92280000000005</v>
      </c>
      <c r="AH123" s="48">
        <f>+AC123*(1+AH124)</f>
        <v>33.408100000000012</v>
      </c>
      <c r="AI123" s="48">
        <f>+AD123*(1+AI124)</f>
        <v>32.476400000000005</v>
      </c>
      <c r="AJ123" s="48">
        <f>+AE123*(1+AJ124)</f>
        <v>36.336300000000016</v>
      </c>
      <c r="AK123" s="48">
        <f t="shared" ref="AK123" si="576">+AF123*(1+AK124)</f>
        <v>45.094280000000019</v>
      </c>
      <c r="AL123" s="31">
        <f>SUM(AH123:AK123)</f>
        <v>147.31508000000005</v>
      </c>
      <c r="AM123" s="48">
        <f>+AH123*(1+AM124)</f>
        <v>36.748910000000016</v>
      </c>
      <c r="AN123" s="48">
        <f>+AI123*(1+AN124)</f>
        <v>35.724040000000009</v>
      </c>
      <c r="AO123" s="48">
        <f>+AJ123*(1+AO124)</f>
        <v>39.969930000000019</v>
      </c>
      <c r="AP123" s="48">
        <f t="shared" ref="AP123" si="577">+AK123*(1+AP124)</f>
        <v>49.603708000000026</v>
      </c>
      <c r="AQ123" s="31">
        <f>SUM(AM123:AP123)</f>
        <v>162.04658800000007</v>
      </c>
      <c r="AR123" s="48">
        <f>+AM123*(1+AR124)</f>
        <v>40.423801000000019</v>
      </c>
      <c r="AS123" s="48">
        <f>+AN123*(1+AS124)</f>
        <v>39.296444000000015</v>
      </c>
      <c r="AT123" s="48">
        <f>+AO123*(1+AT124)</f>
        <v>43.966923000000023</v>
      </c>
      <c r="AU123" s="48">
        <f t="shared" ref="AU123" si="578">+AP123*(1+AU124)</f>
        <v>54.564078800000033</v>
      </c>
      <c r="AV123" s="31">
        <f>SUM(AR123:AU123)</f>
        <v>178.2512468000001</v>
      </c>
    </row>
    <row r="124" spans="2:48" s="8" customFormat="1" outlineLevel="1" x14ac:dyDescent="0.3">
      <c r="B124" s="38" t="s">
        <v>128</v>
      </c>
      <c r="C124" s="201"/>
      <c r="D124" s="30"/>
      <c r="E124" s="30"/>
      <c r="F124" s="30"/>
      <c r="G124" s="118"/>
      <c r="H124" s="130"/>
      <c r="I124" s="118">
        <f t="shared" ref="I124:J124" si="579">I123/D123-1</f>
        <v>0.76724137931034497</v>
      </c>
      <c r="J124" s="118">
        <f t="shared" si="579"/>
        <v>-0.24050632911392411</v>
      </c>
      <c r="K124" s="118">
        <f>K123/F123-1</f>
        <v>-0.15450643776824036</v>
      </c>
      <c r="L124" s="118">
        <f>L123/G123-1</f>
        <v>-9.740259740259738E-2</v>
      </c>
      <c r="M124" s="128">
        <f>M123/H123-1</f>
        <v>0</v>
      </c>
      <c r="N124" s="118">
        <f t="shared" ref="N124" si="580">N123/I123-1</f>
        <v>0</v>
      </c>
      <c r="O124" s="118">
        <f t="shared" ref="O124" si="581">O123/J123-1</f>
        <v>0.88333333333333353</v>
      </c>
      <c r="P124" s="118">
        <f t="shared" ref="P124" si="582">P123/K123-1</f>
        <v>0.20812182741116758</v>
      </c>
      <c r="Q124" s="118">
        <f t="shared" ref="Q124" si="583">Q123/L123-1</f>
        <v>1.2158273381294964</v>
      </c>
      <c r="R124" s="128">
        <f>R123/M123-1</f>
        <v>0.47806354009077134</v>
      </c>
      <c r="S124" s="118">
        <f t="shared" ref="S124" si="584">S123/N123-1</f>
        <v>0.224390243902439</v>
      </c>
      <c r="T124" s="118">
        <f t="shared" ref="T124:U124" si="585">T123/O123-1</f>
        <v>7.9646017699114946E-2</v>
      </c>
      <c r="U124" s="118">
        <f t="shared" si="585"/>
        <v>0.14705882352941169</v>
      </c>
      <c r="V124" s="34">
        <v>0.1</v>
      </c>
      <c r="W124" s="128">
        <f>W123/R123-1</f>
        <v>0.13285568065506648</v>
      </c>
      <c r="X124" s="34">
        <v>0.1</v>
      </c>
      <c r="Y124" s="34">
        <v>0.1</v>
      </c>
      <c r="Z124" s="34">
        <v>0.1</v>
      </c>
      <c r="AA124" s="34">
        <v>0.1</v>
      </c>
      <c r="AB124" s="128">
        <f>AB123/W123-1</f>
        <v>0.10000000000000009</v>
      </c>
      <c r="AC124" s="34">
        <v>0.1</v>
      </c>
      <c r="AD124" s="34">
        <v>0.1</v>
      </c>
      <c r="AE124" s="34">
        <v>0.1</v>
      </c>
      <c r="AF124" s="34">
        <v>0.1</v>
      </c>
      <c r="AG124" s="128">
        <f>AG123/AB123-1</f>
        <v>0.10000000000000031</v>
      </c>
      <c r="AH124" s="34">
        <v>0.1</v>
      </c>
      <c r="AI124" s="34">
        <v>0.1</v>
      </c>
      <c r="AJ124" s="34">
        <v>0.1</v>
      </c>
      <c r="AK124" s="34">
        <v>0.1</v>
      </c>
      <c r="AL124" s="128">
        <f>AL123/AG123-1</f>
        <v>9.9999999999999867E-2</v>
      </c>
      <c r="AM124" s="34">
        <v>0.1</v>
      </c>
      <c r="AN124" s="34">
        <v>0.1</v>
      </c>
      <c r="AO124" s="34">
        <v>0.1</v>
      </c>
      <c r="AP124" s="34">
        <v>0.1</v>
      </c>
      <c r="AQ124" s="128">
        <f>AQ123/AL123-1</f>
        <v>0.10000000000000009</v>
      </c>
      <c r="AR124" s="34">
        <v>0.1</v>
      </c>
      <c r="AS124" s="34">
        <v>0.1</v>
      </c>
      <c r="AT124" s="34">
        <v>0.1</v>
      </c>
      <c r="AU124" s="34">
        <v>0.1</v>
      </c>
      <c r="AV124" s="128">
        <f>AV123/AQ123-1</f>
        <v>0.10000000000000009</v>
      </c>
    </row>
    <row r="125" spans="2:48" outlineLevel="1" x14ac:dyDescent="0.3">
      <c r="B125" s="607" t="s">
        <v>100</v>
      </c>
      <c r="C125" s="608"/>
      <c r="D125" s="48">
        <v>13.4</v>
      </c>
      <c r="E125" s="48">
        <v>15.9</v>
      </c>
      <c r="F125" s="48">
        <v>22.4</v>
      </c>
      <c r="G125" s="105">
        <v>15.5</v>
      </c>
      <c r="H125" s="170"/>
      <c r="I125" s="105">
        <v>20.7</v>
      </c>
      <c r="J125" s="105">
        <v>10.199999999999999</v>
      </c>
      <c r="K125" s="105">
        <v>20.8</v>
      </c>
      <c r="L125" s="105">
        <v>11.6</v>
      </c>
      <c r="M125" s="31">
        <f>SUM(I125:L125)</f>
        <v>63.300000000000004</v>
      </c>
      <c r="N125" s="105">
        <v>19</v>
      </c>
      <c r="O125" s="105">
        <v>19.399999999999999</v>
      </c>
      <c r="P125" s="105">
        <v>19.8</v>
      </c>
      <c r="Q125" s="105">
        <v>28.2</v>
      </c>
      <c r="R125" s="31">
        <f>SUM(N125:Q125)</f>
        <v>86.4</v>
      </c>
      <c r="S125" s="105">
        <v>22.9</v>
      </c>
      <c r="T125" s="105">
        <v>20.8</v>
      </c>
      <c r="U125" s="105">
        <v>24.3</v>
      </c>
      <c r="V125" s="95">
        <v>24.3</v>
      </c>
      <c r="W125" s="31">
        <f>SUM(S125:V125)</f>
        <v>92.3</v>
      </c>
      <c r="X125" s="95">
        <v>24.3</v>
      </c>
      <c r="Y125" s="95">
        <v>24.3</v>
      </c>
      <c r="Z125" s="95">
        <v>24.3</v>
      </c>
      <c r="AA125" s="95">
        <v>24.3</v>
      </c>
      <c r="AB125" s="31">
        <f>SUM(X125:AA125)</f>
        <v>97.2</v>
      </c>
      <c r="AC125" s="95">
        <v>24.3</v>
      </c>
      <c r="AD125" s="95">
        <v>24.3</v>
      </c>
      <c r="AE125" s="95">
        <v>24.3</v>
      </c>
      <c r="AF125" s="95">
        <v>24.3</v>
      </c>
      <c r="AG125" s="31">
        <f>SUM(AC125:AF125)</f>
        <v>97.2</v>
      </c>
      <c r="AH125" s="95">
        <v>24.3</v>
      </c>
      <c r="AI125" s="95">
        <v>24.3</v>
      </c>
      <c r="AJ125" s="95">
        <v>24.3</v>
      </c>
      <c r="AK125" s="95">
        <v>24.3</v>
      </c>
      <c r="AL125" s="31">
        <f>SUM(AH125:AK125)</f>
        <v>97.2</v>
      </c>
      <c r="AM125" s="95">
        <v>24.3</v>
      </c>
      <c r="AN125" s="95">
        <v>24.3</v>
      </c>
      <c r="AO125" s="95">
        <v>24.3</v>
      </c>
      <c r="AP125" s="95">
        <v>24.3</v>
      </c>
      <c r="AQ125" s="31">
        <f>SUM(AM125:AP125)</f>
        <v>97.2</v>
      </c>
      <c r="AR125" s="95">
        <v>24.3</v>
      </c>
      <c r="AS125" s="95">
        <v>24.3</v>
      </c>
      <c r="AT125" s="95">
        <v>24.3</v>
      </c>
      <c r="AU125" s="95">
        <v>24.3</v>
      </c>
      <c r="AV125" s="31">
        <f>SUM(AR125:AU125)</f>
        <v>97.2</v>
      </c>
    </row>
    <row r="126" spans="2:48" outlineLevel="1" x14ac:dyDescent="0.3">
      <c r="B126" s="180" t="s">
        <v>33</v>
      </c>
      <c r="C126" s="18"/>
      <c r="D126" s="48">
        <v>3.2</v>
      </c>
      <c r="E126" s="48">
        <v>4.3</v>
      </c>
      <c r="F126" s="48">
        <v>5.8</v>
      </c>
      <c r="G126" s="105">
        <f>5.2+0.1</f>
        <v>5.3</v>
      </c>
      <c r="H126" s="170"/>
      <c r="I126" s="105">
        <v>2.8</v>
      </c>
      <c r="J126" s="105">
        <v>3.7</v>
      </c>
      <c r="K126" s="105">
        <v>4</v>
      </c>
      <c r="L126" s="105">
        <v>3.4</v>
      </c>
      <c r="M126" s="31">
        <f t="shared" ref="M126:M129" si="586">SUM(I126:L126)</f>
        <v>13.9</v>
      </c>
      <c r="N126" s="105">
        <v>3.6</v>
      </c>
      <c r="O126" s="105">
        <v>3.4</v>
      </c>
      <c r="P126" s="105">
        <v>3.3</v>
      </c>
      <c r="Q126" s="105">
        <v>4.5</v>
      </c>
      <c r="R126" s="31">
        <f t="shared" ref="R126:R129" si="587">SUM(N126:Q126)</f>
        <v>14.8</v>
      </c>
      <c r="S126" s="105">
        <v>2.9</v>
      </c>
      <c r="T126" s="105">
        <v>4.4000000000000004</v>
      </c>
      <c r="U126" s="105">
        <v>5.9</v>
      </c>
      <c r="V126" s="95">
        <v>5.9</v>
      </c>
      <c r="W126" s="31">
        <f t="shared" ref="W126:W129" si="588">SUM(S126:V126)</f>
        <v>19.100000000000001</v>
      </c>
      <c r="X126" s="95">
        <v>5.9</v>
      </c>
      <c r="Y126" s="95">
        <v>5.9</v>
      </c>
      <c r="Z126" s="95">
        <v>5.9</v>
      </c>
      <c r="AA126" s="95">
        <v>5.9</v>
      </c>
      <c r="AB126" s="31">
        <f t="shared" ref="AB126:AB129" si="589">SUM(X126:AA126)</f>
        <v>23.6</v>
      </c>
      <c r="AC126" s="95">
        <v>5.9</v>
      </c>
      <c r="AD126" s="95">
        <v>5.9</v>
      </c>
      <c r="AE126" s="95">
        <v>5.9</v>
      </c>
      <c r="AF126" s="95">
        <v>5.9</v>
      </c>
      <c r="AG126" s="31">
        <f t="shared" ref="AG126:AG129" si="590">SUM(AC126:AF126)</f>
        <v>23.6</v>
      </c>
      <c r="AH126" s="95">
        <v>5.9</v>
      </c>
      <c r="AI126" s="95">
        <v>5.9</v>
      </c>
      <c r="AJ126" s="95">
        <v>5.9</v>
      </c>
      <c r="AK126" s="95">
        <v>5.9</v>
      </c>
      <c r="AL126" s="31">
        <f t="shared" ref="AL126:AL129" si="591">SUM(AH126:AK126)</f>
        <v>23.6</v>
      </c>
      <c r="AM126" s="95">
        <v>5.9</v>
      </c>
      <c r="AN126" s="95">
        <v>5.9</v>
      </c>
      <c r="AO126" s="95">
        <v>5.9</v>
      </c>
      <c r="AP126" s="95">
        <v>5.9</v>
      </c>
      <c r="AQ126" s="31">
        <f t="shared" ref="AQ126:AQ129" si="592">SUM(AM126:AP126)</f>
        <v>23.6</v>
      </c>
      <c r="AR126" s="95">
        <v>5.9</v>
      </c>
      <c r="AS126" s="95">
        <v>5.9</v>
      </c>
      <c r="AT126" s="95">
        <v>5.9</v>
      </c>
      <c r="AU126" s="95">
        <v>5.9</v>
      </c>
      <c r="AV126" s="31">
        <f t="shared" ref="AV126:AV129" si="593">SUM(AR126:AU126)</f>
        <v>23.6</v>
      </c>
    </row>
    <row r="127" spans="2:48" outlineLevel="1" x14ac:dyDescent="0.3">
      <c r="B127" s="180" t="s">
        <v>34</v>
      </c>
      <c r="C127" s="18"/>
      <c r="D127" s="358">
        <v>39.5</v>
      </c>
      <c r="E127" s="358">
        <v>40.5</v>
      </c>
      <c r="F127" s="358">
        <v>39.6</v>
      </c>
      <c r="G127" s="358">
        <v>37.299999999999997</v>
      </c>
      <c r="H127" s="130"/>
      <c r="I127" s="358">
        <v>34.9</v>
      </c>
      <c r="J127" s="358">
        <v>34.5</v>
      </c>
      <c r="K127" s="358">
        <v>40.9</v>
      </c>
      <c r="L127" s="358">
        <v>39.5</v>
      </c>
      <c r="M127" s="126">
        <f t="shared" si="586"/>
        <v>149.80000000000001</v>
      </c>
      <c r="N127" s="358">
        <v>37</v>
      </c>
      <c r="O127" s="358">
        <v>37</v>
      </c>
      <c r="P127" s="358">
        <v>35.5</v>
      </c>
      <c r="Q127" s="358">
        <v>32.9</v>
      </c>
      <c r="R127" s="126">
        <f t="shared" si="587"/>
        <v>142.4</v>
      </c>
      <c r="S127" s="358">
        <v>32.9</v>
      </c>
      <c r="T127" s="358">
        <v>32.299999999999997</v>
      </c>
      <c r="U127" s="358">
        <v>30.6</v>
      </c>
      <c r="V127" s="358">
        <f>(U127/(U66+U99+U114+U127))*'CFS 3Q2022'!V7*0.95</f>
        <v>31.661062128730872</v>
      </c>
      <c r="W127" s="126">
        <f t="shared" si="588"/>
        <v>127.46106212873086</v>
      </c>
      <c r="X127" s="358">
        <f>(V127/(V66+V99+V114+V127))*'CFS 3Q2022'!X7*0.95</f>
        <v>32.186783408474412</v>
      </c>
      <c r="Y127" s="358">
        <f>(X127/(X66+X99+X114+X127))*'CFS 3Q2022'!Y7*0.95</f>
        <v>33.565224590422503</v>
      </c>
      <c r="Z127" s="358">
        <f>(Y127/(Y66+Y99+Y114+Y127))*'CFS 3Q2022'!Z7*0.95</f>
        <v>34.715693285330147</v>
      </c>
      <c r="AA127" s="358">
        <f>(Z127/(Z66+Z99+Z114+Z127))*'CFS 3Q2022'!AA7*0.95</f>
        <v>36.102986641354832</v>
      </c>
      <c r="AB127" s="126">
        <f t="shared" si="589"/>
        <v>136.57068792558189</v>
      </c>
      <c r="AC127" s="358">
        <f>(AA127/(AA66+AA99+AA114+AA127))*'CFS 3Q2022'!AC7*0.95</f>
        <v>37.50785230642898</v>
      </c>
      <c r="AD127" s="358">
        <f>(AC127/(AC66+AC99+AC114+AC127))*'CFS 3Q2022'!AD7*0.95</f>
        <v>38.596652247308711</v>
      </c>
      <c r="AE127" s="358">
        <f>(AD127/(AD66+AD99+AD114+AD127))*'CFS 3Q2022'!AE7*0.95</f>
        <v>39.42921759879561</v>
      </c>
      <c r="AF127" s="358">
        <f>(AE127/(AE66+AE99+AE114+AE127))*'CFS 3Q2022'!AF7*0.95</f>
        <v>40.519644776125062</v>
      </c>
      <c r="AG127" s="126">
        <f t="shared" si="590"/>
        <v>156.05336692865836</v>
      </c>
      <c r="AH127" s="358">
        <f>(AF127/(AF66+AF99+AF114+AF127))*'CFS 3Q2022'!AH7*0.95</f>
        <v>41.636935532824552</v>
      </c>
      <c r="AI127" s="358">
        <f>(AH127/(AH66+AH99+AH114+AH127))*'CFS 3Q2022'!AI7*0.95</f>
        <v>42.471293252780285</v>
      </c>
      <c r="AJ127" s="358">
        <f>(AI127/(AI66+AI99+AI114+AI127))*'CFS 3Q2022'!AJ7*0.95</f>
        <v>43.068407001738159</v>
      </c>
      <c r="AK127" s="358">
        <f>(AJ127/(AJ66+AJ99+AJ114+AJ127))*'CFS 3Q2022'!AK7*0.95</f>
        <v>43.937402824599232</v>
      </c>
      <c r="AL127" s="126">
        <f t="shared" si="591"/>
        <v>171.11403861194225</v>
      </c>
      <c r="AM127" s="358">
        <f>(AK127/(AK66+AK99+AK114+AK127))*'CFS 3Q2022'!AM7*0.95</f>
        <v>44.851302655789205</v>
      </c>
      <c r="AN127" s="358">
        <f>(AM127/(AM66+AM99+AM114+AM127))*'CFS 3Q2022'!AN7*0.95</f>
        <v>45.827083974647138</v>
      </c>
      <c r="AO127" s="358">
        <f>(AN127/(AN66+AN99+AN114+AN127))*'CFS 3Q2022'!AO7*0.95</f>
        <v>46.521455736833836</v>
      </c>
      <c r="AP127" s="358">
        <f>(AO127/(AO66+AO99+AO114+AO127))*'CFS 3Q2022'!AP7*0.95</f>
        <v>47.496199869089949</v>
      </c>
      <c r="AQ127" s="126">
        <f t="shared" si="592"/>
        <v>184.69604223636014</v>
      </c>
      <c r="AR127" s="358">
        <f>(AP127/(AP66+AP99+AP114+AP127))*'CFS 3Q2022'!AR7*0.95</f>
        <v>48.506227541561138</v>
      </c>
      <c r="AS127" s="358">
        <f>(AR127/(AR66+AR99+AR114+AR127))*'CFS 3Q2022'!AS7*0.95</f>
        <v>49.500770246648941</v>
      </c>
      <c r="AT127" s="358">
        <f>(AS127/(AS66+AS99+AS114+AS127))*'CFS 3Q2022'!AT7*0.95</f>
        <v>50.195673613080416</v>
      </c>
      <c r="AU127" s="358">
        <f>(AT127/(AT66+AT99+AT114+AT127))*'CFS 3Q2022'!AU7*0.95</f>
        <v>51.190634355971085</v>
      </c>
      <c r="AV127" s="126">
        <f t="shared" si="593"/>
        <v>199.3933057572616</v>
      </c>
    </row>
    <row r="128" spans="2:48" outlineLevel="1" x14ac:dyDescent="0.3">
      <c r="B128" s="180" t="s">
        <v>35</v>
      </c>
      <c r="C128" s="18"/>
      <c r="D128" s="48">
        <v>300.39999999999998</v>
      </c>
      <c r="E128" s="48">
        <v>303.89999999999998</v>
      </c>
      <c r="F128" s="48">
        <v>299</v>
      </c>
      <c r="G128" s="105">
        <v>267.39999999999998</v>
      </c>
      <c r="H128" s="170"/>
      <c r="I128" s="105">
        <v>292.2</v>
      </c>
      <c r="J128" s="105">
        <v>271.60000000000002</v>
      </c>
      <c r="K128" s="105">
        <v>269.10000000000002</v>
      </c>
      <c r="L128" s="105">
        <v>288.8</v>
      </c>
      <c r="M128" s="31">
        <f t="shared" si="586"/>
        <v>1121.7</v>
      </c>
      <c r="N128" s="105">
        <v>316.5</v>
      </c>
      <c r="O128" s="105">
        <v>304.60000000000002</v>
      </c>
      <c r="P128" s="105">
        <v>326.5</v>
      </c>
      <c r="Q128" s="105">
        <v>321</v>
      </c>
      <c r="R128" s="31">
        <f t="shared" si="587"/>
        <v>1268.5999999999999</v>
      </c>
      <c r="S128" s="105">
        <v>354.5</v>
      </c>
      <c r="T128" s="105">
        <v>328.1</v>
      </c>
      <c r="U128" s="105">
        <v>326.10000000000002</v>
      </c>
      <c r="V128" s="95">
        <v>332.42500000000001</v>
      </c>
      <c r="W128" s="31">
        <f t="shared" si="588"/>
        <v>1341.125</v>
      </c>
      <c r="X128" s="95">
        <v>332.42500000000001</v>
      </c>
      <c r="Y128" s="95">
        <v>332.42500000000001</v>
      </c>
      <c r="Z128" s="95">
        <v>332.42500000000001</v>
      </c>
      <c r="AA128" s="95">
        <v>332.42500000000001</v>
      </c>
      <c r="AB128" s="31">
        <f t="shared" si="589"/>
        <v>1329.7</v>
      </c>
      <c r="AC128" s="95">
        <v>332.42500000000001</v>
      </c>
      <c r="AD128" s="95">
        <v>332.42500000000001</v>
      </c>
      <c r="AE128" s="95">
        <v>332.42500000000001</v>
      </c>
      <c r="AF128" s="95">
        <v>332.42500000000001</v>
      </c>
      <c r="AG128" s="31">
        <f t="shared" si="590"/>
        <v>1329.7</v>
      </c>
      <c r="AH128" s="95">
        <v>332.42500000000001</v>
      </c>
      <c r="AI128" s="95">
        <v>332.42500000000001</v>
      </c>
      <c r="AJ128" s="95">
        <v>332.42500000000001</v>
      </c>
      <c r="AK128" s="95">
        <v>332.42500000000001</v>
      </c>
      <c r="AL128" s="31">
        <f t="shared" si="591"/>
        <v>1329.7</v>
      </c>
      <c r="AM128" s="95">
        <v>332.42500000000001</v>
      </c>
      <c r="AN128" s="95">
        <v>332.42500000000001</v>
      </c>
      <c r="AO128" s="95">
        <v>332.42500000000001</v>
      </c>
      <c r="AP128" s="95">
        <v>332.42500000000001</v>
      </c>
      <c r="AQ128" s="31">
        <f t="shared" si="592"/>
        <v>1329.7</v>
      </c>
      <c r="AR128" s="95">
        <v>332.42500000000001</v>
      </c>
      <c r="AS128" s="95">
        <v>332.42500000000001</v>
      </c>
      <c r="AT128" s="95">
        <v>332.42500000000001</v>
      </c>
      <c r="AU128" s="95">
        <v>332.42500000000001</v>
      </c>
      <c r="AV128" s="31">
        <f t="shared" si="593"/>
        <v>1329.7</v>
      </c>
    </row>
    <row r="129" spans="2:48" ht="16.2" outlineLevel="1" x14ac:dyDescent="0.45">
      <c r="B129" s="180" t="s">
        <v>42</v>
      </c>
      <c r="C129" s="18"/>
      <c r="D129" s="119">
        <v>13.9</v>
      </c>
      <c r="E129" s="119">
        <v>0.6</v>
      </c>
      <c r="F129" s="119">
        <v>6</v>
      </c>
      <c r="G129" s="119">
        <v>-0.9</v>
      </c>
      <c r="H129" s="131"/>
      <c r="I129" s="119">
        <v>0.3</v>
      </c>
      <c r="J129" s="119">
        <v>0</v>
      </c>
      <c r="K129" s="119">
        <v>22.1</v>
      </c>
      <c r="L129" s="119">
        <v>0</v>
      </c>
      <c r="M129" s="193">
        <f t="shared" si="586"/>
        <v>22.400000000000002</v>
      </c>
      <c r="N129" s="119">
        <v>0</v>
      </c>
      <c r="O129" s="119">
        <v>0</v>
      </c>
      <c r="P129" s="119">
        <v>0</v>
      </c>
      <c r="Q129" s="119">
        <v>15</v>
      </c>
      <c r="R129" s="193">
        <f t="shared" si="587"/>
        <v>15</v>
      </c>
      <c r="S129" s="119">
        <v>0</v>
      </c>
      <c r="T129" s="119">
        <v>0</v>
      </c>
      <c r="U129" s="119">
        <v>2</v>
      </c>
      <c r="V129" s="119">
        <f>IFERROR((V163*(U129/U163)),0)</f>
        <v>7.1428571428571423</v>
      </c>
      <c r="W129" s="193">
        <f t="shared" si="588"/>
        <v>9.1428571428571423</v>
      </c>
      <c r="X129" s="119">
        <f>IFERROR((X163*(V129/V163)),0)</f>
        <v>7.1428571428571423</v>
      </c>
      <c r="Y129" s="119">
        <f t="shared" ref="Y129:AA129" si="594">IFERROR((Y163*(X129/X163)),0)</f>
        <v>0</v>
      </c>
      <c r="Z129" s="119">
        <f t="shared" si="594"/>
        <v>0</v>
      </c>
      <c r="AA129" s="119">
        <f t="shared" si="594"/>
        <v>0</v>
      </c>
      <c r="AB129" s="193">
        <f t="shared" si="589"/>
        <v>7.1428571428571423</v>
      </c>
      <c r="AC129" s="119">
        <f>IFERROR((AC163*(AA129/AA163)),0)</f>
        <v>0</v>
      </c>
      <c r="AD129" s="119">
        <f t="shared" ref="AD129:AF129" si="595">IFERROR((AD163*(AC129/AC163)),0)</f>
        <v>0</v>
      </c>
      <c r="AE129" s="119">
        <f t="shared" si="595"/>
        <v>0</v>
      </c>
      <c r="AF129" s="119">
        <f t="shared" si="595"/>
        <v>0</v>
      </c>
      <c r="AG129" s="193">
        <f t="shared" si="590"/>
        <v>0</v>
      </c>
      <c r="AH129" s="119">
        <f>IFERROR((AH163*(AF129/AF163)),0)</f>
        <v>0</v>
      </c>
      <c r="AI129" s="119">
        <f t="shared" ref="AI129:AK129" si="596">IFERROR((AI163*(AH129/AH163)),0)</f>
        <v>0</v>
      </c>
      <c r="AJ129" s="119">
        <f t="shared" si="596"/>
        <v>0</v>
      </c>
      <c r="AK129" s="119">
        <f t="shared" si="596"/>
        <v>0</v>
      </c>
      <c r="AL129" s="193">
        <f t="shared" si="591"/>
        <v>0</v>
      </c>
      <c r="AM129" s="119">
        <f>IFERROR((AM163*(AK129/AK163)),0)</f>
        <v>0</v>
      </c>
      <c r="AN129" s="119">
        <f t="shared" ref="AN129:AP129" si="597">IFERROR((AN163*(AM129/AM163)),0)</f>
        <v>0</v>
      </c>
      <c r="AO129" s="119">
        <f t="shared" si="597"/>
        <v>0</v>
      </c>
      <c r="AP129" s="119">
        <f t="shared" si="597"/>
        <v>0</v>
      </c>
      <c r="AQ129" s="193">
        <f t="shared" si="592"/>
        <v>0</v>
      </c>
      <c r="AR129" s="119">
        <f>IFERROR((AR163*(AP129/AP163)),0)</f>
        <v>0</v>
      </c>
      <c r="AS129" s="119">
        <f t="shared" ref="AS129:AU129" si="598">IFERROR((AS163*(AR129/AR163)),0)</f>
        <v>0</v>
      </c>
      <c r="AT129" s="119">
        <f t="shared" si="598"/>
        <v>0</v>
      </c>
      <c r="AU129" s="119">
        <f t="shared" si="598"/>
        <v>0</v>
      </c>
      <c r="AV129" s="193">
        <f t="shared" si="593"/>
        <v>0</v>
      </c>
    </row>
    <row r="130" spans="2:48" outlineLevel="1" x14ac:dyDescent="0.3">
      <c r="B130" s="46" t="s">
        <v>56</v>
      </c>
      <c r="C130" s="19"/>
      <c r="D130" s="103">
        <f>SUM(D125:D129)</f>
        <v>370.4</v>
      </c>
      <c r="E130" s="103">
        <f>SUM(E125:E129)</f>
        <v>365.2</v>
      </c>
      <c r="F130" s="103">
        <f>SUM(F125:F129)</f>
        <v>372.8</v>
      </c>
      <c r="G130" s="103">
        <f>SUM(G125:G129)</f>
        <v>324.60000000000002</v>
      </c>
      <c r="H130" s="130"/>
      <c r="I130" s="103">
        <f t="shared" ref="I130:AQ130" si="599">SUM(I125:I129)</f>
        <v>350.9</v>
      </c>
      <c r="J130" s="103">
        <f t="shared" si="599"/>
        <v>320</v>
      </c>
      <c r="K130" s="103">
        <f t="shared" si="599"/>
        <v>356.90000000000003</v>
      </c>
      <c r="L130" s="50">
        <f t="shared" si="599"/>
        <v>343.3</v>
      </c>
      <c r="M130" s="51">
        <f t="shared" si="599"/>
        <v>1371.1000000000001</v>
      </c>
      <c r="N130" s="50">
        <f t="shared" si="599"/>
        <v>376.1</v>
      </c>
      <c r="O130" s="50">
        <f t="shared" si="599"/>
        <v>364.40000000000003</v>
      </c>
      <c r="P130" s="50">
        <f t="shared" si="599"/>
        <v>385.1</v>
      </c>
      <c r="Q130" s="50">
        <f t="shared" si="599"/>
        <v>401.6</v>
      </c>
      <c r="R130" s="51">
        <f t="shared" si="599"/>
        <v>1527.1999999999998</v>
      </c>
      <c r="S130" s="50">
        <f t="shared" si="599"/>
        <v>413.2</v>
      </c>
      <c r="T130" s="50">
        <f t="shared" si="599"/>
        <v>385.6</v>
      </c>
      <c r="U130" s="50">
        <f t="shared" si="599"/>
        <v>388.90000000000003</v>
      </c>
      <c r="V130" s="50">
        <f t="shared" si="599"/>
        <v>401.42891927158809</v>
      </c>
      <c r="W130" s="51">
        <f t="shared" si="599"/>
        <v>1589.1289192715878</v>
      </c>
      <c r="X130" s="50">
        <f t="shared" si="599"/>
        <v>401.95464055133158</v>
      </c>
      <c r="Y130" s="50">
        <f t="shared" si="599"/>
        <v>396.19022459042253</v>
      </c>
      <c r="Z130" s="50">
        <f t="shared" si="599"/>
        <v>397.34069328533019</v>
      </c>
      <c r="AA130" s="50">
        <f t="shared" si="599"/>
        <v>398.72798664135485</v>
      </c>
      <c r="AB130" s="51">
        <f t="shared" si="599"/>
        <v>1594.2135450684391</v>
      </c>
      <c r="AC130" s="50">
        <f t="shared" si="599"/>
        <v>400.13285230642896</v>
      </c>
      <c r="AD130" s="50">
        <f t="shared" si="599"/>
        <v>401.22165224730873</v>
      </c>
      <c r="AE130" s="50">
        <f t="shared" si="599"/>
        <v>402.05421759879562</v>
      </c>
      <c r="AF130" s="50">
        <f t="shared" si="599"/>
        <v>403.14464477612506</v>
      </c>
      <c r="AG130" s="51">
        <f t="shared" si="599"/>
        <v>1606.5533669286583</v>
      </c>
      <c r="AH130" s="50">
        <f t="shared" si="599"/>
        <v>404.26193553282457</v>
      </c>
      <c r="AI130" s="50">
        <f t="shared" si="599"/>
        <v>405.0962932527803</v>
      </c>
      <c r="AJ130" s="50">
        <f t="shared" si="599"/>
        <v>405.69340700173814</v>
      </c>
      <c r="AK130" s="50">
        <f t="shared" si="599"/>
        <v>406.56240282459925</v>
      </c>
      <c r="AL130" s="51">
        <f t="shared" si="599"/>
        <v>1621.6140386119423</v>
      </c>
      <c r="AM130" s="50">
        <f t="shared" si="599"/>
        <v>407.47630265578925</v>
      </c>
      <c r="AN130" s="50">
        <f t="shared" si="599"/>
        <v>408.45208397464717</v>
      </c>
      <c r="AO130" s="50">
        <f t="shared" si="599"/>
        <v>409.14645573683384</v>
      </c>
      <c r="AP130" s="50">
        <f t="shared" si="599"/>
        <v>410.12119986908999</v>
      </c>
      <c r="AQ130" s="51">
        <f t="shared" si="599"/>
        <v>1635.1960422363602</v>
      </c>
      <c r="AR130" s="50">
        <f t="shared" ref="AR130:AV130" si="600">SUM(AR125:AR129)</f>
        <v>411.13122754156115</v>
      </c>
      <c r="AS130" s="50">
        <f t="shared" si="600"/>
        <v>412.12577024664893</v>
      </c>
      <c r="AT130" s="50">
        <f t="shared" si="600"/>
        <v>412.82067361308043</v>
      </c>
      <c r="AU130" s="50">
        <f t="shared" si="600"/>
        <v>413.8156343559711</v>
      </c>
      <c r="AV130" s="51">
        <f t="shared" si="600"/>
        <v>1649.8933057572617</v>
      </c>
    </row>
    <row r="131" spans="2:48" outlineLevel="1" x14ac:dyDescent="0.3">
      <c r="B131" s="46" t="s">
        <v>57</v>
      </c>
      <c r="C131" s="44"/>
      <c r="D131" s="156">
        <f>D123-D130</f>
        <v>-358.79999999999995</v>
      </c>
      <c r="E131" s="156">
        <f>E123-E130</f>
        <v>-349.4</v>
      </c>
      <c r="F131" s="156">
        <f>F123-F130</f>
        <v>-349.5</v>
      </c>
      <c r="G131" s="156">
        <f>G123-G130</f>
        <v>-309.20000000000005</v>
      </c>
      <c r="H131" s="158"/>
      <c r="I131" s="156">
        <f t="shared" ref="I131:AQ131" si="601">I123-I130</f>
        <v>-330.4</v>
      </c>
      <c r="J131" s="156">
        <f t="shared" si="601"/>
        <v>-308</v>
      </c>
      <c r="K131" s="156">
        <f t="shared" si="601"/>
        <v>-337.20000000000005</v>
      </c>
      <c r="L131" s="74">
        <f t="shared" si="601"/>
        <v>-329.40000000000003</v>
      </c>
      <c r="M131" s="194">
        <f t="shared" si="601"/>
        <v>-1305.0000000000002</v>
      </c>
      <c r="N131" s="74">
        <f t="shared" si="601"/>
        <v>-355.6</v>
      </c>
      <c r="O131" s="74">
        <f t="shared" si="601"/>
        <v>-341.8</v>
      </c>
      <c r="P131" s="74">
        <f t="shared" si="601"/>
        <v>-361.3</v>
      </c>
      <c r="Q131" s="74">
        <f t="shared" si="601"/>
        <v>-370.8</v>
      </c>
      <c r="R131" s="194">
        <f t="shared" si="601"/>
        <v>-1429.4999999999998</v>
      </c>
      <c r="S131" s="74">
        <f t="shared" si="601"/>
        <v>-388.09999999999997</v>
      </c>
      <c r="T131" s="74">
        <f t="shared" si="601"/>
        <v>-361.20000000000005</v>
      </c>
      <c r="U131" s="74">
        <f t="shared" si="601"/>
        <v>-361.6</v>
      </c>
      <c r="V131" s="74">
        <f t="shared" si="601"/>
        <v>-367.54891927158809</v>
      </c>
      <c r="W131" s="194">
        <f t="shared" si="601"/>
        <v>-1478.4489192715878</v>
      </c>
      <c r="X131" s="74">
        <f t="shared" si="601"/>
        <v>-374.34464055133157</v>
      </c>
      <c r="Y131" s="74">
        <f t="shared" si="601"/>
        <v>-369.35022459042256</v>
      </c>
      <c r="Z131" s="74">
        <f t="shared" si="601"/>
        <v>-367.31069328533016</v>
      </c>
      <c r="AA131" s="74">
        <f t="shared" si="601"/>
        <v>-361.45998664135482</v>
      </c>
      <c r="AB131" s="194">
        <f t="shared" si="601"/>
        <v>-1472.465545068439</v>
      </c>
      <c r="AC131" s="74">
        <f t="shared" si="601"/>
        <v>-369.76185230642898</v>
      </c>
      <c r="AD131" s="74">
        <f t="shared" si="601"/>
        <v>-371.69765224730872</v>
      </c>
      <c r="AE131" s="74">
        <f t="shared" si="601"/>
        <v>-369.0212175987956</v>
      </c>
      <c r="AF131" s="74">
        <f t="shared" si="601"/>
        <v>-362.14984477612506</v>
      </c>
      <c r="AG131" s="194">
        <f t="shared" si="601"/>
        <v>-1472.6305669286583</v>
      </c>
      <c r="AH131" s="74">
        <f t="shared" si="601"/>
        <v>-370.85383553282458</v>
      </c>
      <c r="AI131" s="74">
        <f t="shared" si="601"/>
        <v>-372.61989325278029</v>
      </c>
      <c r="AJ131" s="74">
        <f t="shared" si="601"/>
        <v>-369.35710700173814</v>
      </c>
      <c r="AK131" s="74">
        <f t="shared" si="601"/>
        <v>-361.46812282459922</v>
      </c>
      <c r="AL131" s="194">
        <f t="shared" si="601"/>
        <v>-1474.2989586119422</v>
      </c>
      <c r="AM131" s="74">
        <f t="shared" si="601"/>
        <v>-370.72739265578923</v>
      </c>
      <c r="AN131" s="74">
        <f t="shared" si="601"/>
        <v>-372.72804397464716</v>
      </c>
      <c r="AO131" s="74">
        <f t="shared" si="601"/>
        <v>-369.17652573683381</v>
      </c>
      <c r="AP131" s="74">
        <f t="shared" si="601"/>
        <v>-360.51749186908995</v>
      </c>
      <c r="AQ131" s="194">
        <f t="shared" si="601"/>
        <v>-1473.14945423636</v>
      </c>
      <c r="AR131" s="74">
        <f t="shared" ref="AR131:AV131" si="602">AR123-AR130</f>
        <v>-370.70742654156112</v>
      </c>
      <c r="AS131" s="74">
        <f t="shared" si="602"/>
        <v>-372.82932624664892</v>
      </c>
      <c r="AT131" s="74">
        <f t="shared" si="602"/>
        <v>-368.85375061308042</v>
      </c>
      <c r="AU131" s="74">
        <f t="shared" si="602"/>
        <v>-359.25155555597109</v>
      </c>
      <c r="AV131" s="194">
        <f t="shared" si="602"/>
        <v>-1471.6420589572617</v>
      </c>
    </row>
    <row r="132" spans="2:48" ht="17.399999999999999" x14ac:dyDescent="0.45">
      <c r="B132" s="583" t="s">
        <v>14</v>
      </c>
      <c r="C132" s="584"/>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2" t="s">
        <v>25</v>
      </c>
      <c r="W132" s="42" t="s">
        <v>26</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0</v>
      </c>
      <c r="W133" s="66"/>
      <c r="X133" s="65">
        <f>+X45+X78-X5</f>
        <v>0</v>
      </c>
      <c r="Y133" s="65">
        <f>+Y45+Y78-Y5</f>
        <v>0</v>
      </c>
      <c r="Z133" s="121">
        <f>+Z45+Z78-Z5</f>
        <v>0</v>
      </c>
      <c r="AA133" s="65">
        <f>+AA45+AA78-AA5</f>
        <v>0</v>
      </c>
      <c r="AB133" s="66"/>
      <c r="AC133" s="65">
        <f>+AC45+AC78-AC5</f>
        <v>0</v>
      </c>
      <c r="AD133" s="65">
        <f>+AD45+AD78-AD5</f>
        <v>0</v>
      </c>
      <c r="AE133" s="121">
        <f>+AE45+AE78-AE5</f>
        <v>0</v>
      </c>
      <c r="AF133" s="65">
        <f>+AF45+AF78-AF5</f>
        <v>0</v>
      </c>
      <c r="AG133" s="66"/>
      <c r="AH133" s="65">
        <f>+AH45+AH78-AH5</f>
        <v>0</v>
      </c>
      <c r="AI133" s="65">
        <f>+AI45+AI78-AI5</f>
        <v>0</v>
      </c>
      <c r="AJ133" s="121">
        <f>+AJ45+AJ78-AJ5</f>
        <v>0</v>
      </c>
      <c r="AK133" s="65">
        <f>+AK45+AK78-AK5</f>
        <v>0</v>
      </c>
      <c r="AL133" s="66"/>
      <c r="AM133" s="65">
        <f>+AM45+AM78-AM5</f>
        <v>0</v>
      </c>
      <c r="AN133" s="65">
        <f>+AN45+AN78-AN5</f>
        <v>0</v>
      </c>
      <c r="AO133" s="121">
        <f>+AO45+AO78-AO5</f>
        <v>0</v>
      </c>
      <c r="AP133" s="65">
        <f>+AP45+AP78-AP5</f>
        <v>0</v>
      </c>
      <c r="AQ133" s="66"/>
      <c r="AR133" s="65">
        <f>+AR45+AR78-AR5</f>
        <v>0</v>
      </c>
      <c r="AS133" s="65">
        <f>+AS45+AS78-AS5</f>
        <v>0</v>
      </c>
      <c r="AT133" s="121">
        <f>+AT45+AT78-AT5</f>
        <v>0</v>
      </c>
      <c r="AU133" s="65">
        <f>+AU45+AU78-AU5</f>
        <v>0</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0</v>
      </c>
      <c r="Z134" s="121">
        <f>+Z54+Z87-Z6</f>
        <v>0</v>
      </c>
      <c r="AA134" s="65">
        <f>+AA54+AA87-AA6</f>
        <v>0</v>
      </c>
      <c r="AB134" s="66"/>
      <c r="AC134" s="65">
        <f>+AC54+AC87-AC6</f>
        <v>0</v>
      </c>
      <c r="AD134" s="65">
        <f>+AD54+AD87-AD6</f>
        <v>0</v>
      </c>
      <c r="AE134" s="121">
        <f>+AE54+AE87-AE6</f>
        <v>0</v>
      </c>
      <c r="AF134" s="65">
        <f>+AF54+AF87-AF6</f>
        <v>0</v>
      </c>
      <c r="AG134" s="66"/>
      <c r="AH134" s="65">
        <f>+AH54+AH87-AH6</f>
        <v>0</v>
      </c>
      <c r="AI134" s="65">
        <f>+AI54+AI87-AI6</f>
        <v>0</v>
      </c>
      <c r="AJ134" s="121">
        <f>+AJ54+AJ87-AJ6</f>
        <v>0</v>
      </c>
      <c r="AK134" s="65">
        <f>+AK54+AK87-AK6</f>
        <v>0</v>
      </c>
      <c r="AL134" s="66"/>
      <c r="AM134" s="65">
        <f>+AM54+AM87-AM6</f>
        <v>0</v>
      </c>
      <c r="AN134" s="65">
        <f>+AN54+AN87-AN6</f>
        <v>0</v>
      </c>
      <c r="AO134" s="121">
        <f>+AO54+AO87-AO6</f>
        <v>0</v>
      </c>
      <c r="AP134" s="65">
        <f>+AP54+AP87-AP6</f>
        <v>0</v>
      </c>
      <c r="AQ134" s="66"/>
      <c r="AR134" s="65">
        <f>+AR54+AR87-AR6</f>
        <v>0</v>
      </c>
      <c r="AS134" s="65">
        <f>+AS54+AS87-AS6</f>
        <v>0</v>
      </c>
      <c r="AT134" s="121">
        <f>+AT54+AT87-AT6</f>
        <v>0</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0</v>
      </c>
      <c r="W135" s="66"/>
      <c r="X135" s="65">
        <f>+X55+X88+X108+X123-X7</f>
        <v>0</v>
      </c>
      <c r="Y135" s="65">
        <f>+Y55+Y88+Y108+Y123-Y7</f>
        <v>0</v>
      </c>
      <c r="Z135" s="121">
        <f>+Z55+Z88+Z108+Z123-Z7</f>
        <v>0</v>
      </c>
      <c r="AA135" s="65">
        <f>+AA55+AA88+AA108+AA123-AA7</f>
        <v>0</v>
      </c>
      <c r="AB135" s="66"/>
      <c r="AC135" s="65">
        <f>+AC55+AC88+AC108+AC123-AC7</f>
        <v>0</v>
      </c>
      <c r="AD135" s="65">
        <f>+AD55+AD88+AD108+AD123-AD7</f>
        <v>0</v>
      </c>
      <c r="AE135" s="121">
        <f>+AE55+AE88+AE108+AE123-AE7</f>
        <v>0</v>
      </c>
      <c r="AF135" s="65">
        <f>+AF55+AF88+AF108+AF123-AF7</f>
        <v>0</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0</v>
      </c>
      <c r="AQ135" s="66"/>
      <c r="AR135" s="65">
        <f>+AR55+AR88+AR108+AR123-AR7</f>
        <v>0</v>
      </c>
      <c r="AS135" s="65">
        <f>+AS55+AS88+AS108+AS123-AS7</f>
        <v>0</v>
      </c>
      <c r="AT135" s="121">
        <f>+AT55+AT88+AT108+AT123-AT7</f>
        <v>0</v>
      </c>
      <c r="AU135" s="65">
        <f>+AU55+AU88+AU108+AU123-AU7</f>
        <v>0</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9.9999999998544808E-2</v>
      </c>
      <c r="H137" s="66"/>
      <c r="I137" s="65">
        <f>+I71+I105+I120+I131-I17</f>
        <v>0</v>
      </c>
      <c r="J137" s="65">
        <f>+J71+J105+J120+J131-J17</f>
        <v>6.8212102632969618E-13</v>
      </c>
      <c r="K137" s="121">
        <f>+K71+K105+K120+K131-K17</f>
        <v>0</v>
      </c>
      <c r="L137" s="65">
        <f>+L71+L105+L120+L131-L17</f>
        <v>-2.0999999999996817</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0</v>
      </c>
      <c r="W137" s="66"/>
      <c r="X137" s="65">
        <f>+X71+X105+X120+X131-X17</f>
        <v>0</v>
      </c>
      <c r="Y137" s="65">
        <f>+Y71+Y105+Y120+Y131-Y17</f>
        <v>0</v>
      </c>
      <c r="Z137" s="121">
        <f>+Z71+Z105+Z120+Z131-Z17</f>
        <v>-1.8189894035458565E-12</v>
      </c>
      <c r="AA137" s="65">
        <f>+AA71+AA105+AA120+AA131-AA17</f>
        <v>0</v>
      </c>
      <c r="AB137" s="66"/>
      <c r="AC137" s="65">
        <f>+AC71+AC105+AC120+AC131-AC17</f>
        <v>2.0463630789890885E-12</v>
      </c>
      <c r="AD137" s="65">
        <f>+AD71+AD105+AD120+AD131-AD17</f>
        <v>0</v>
      </c>
      <c r="AE137" s="121">
        <f>+AE71+AE105+AE120+AE131-AE17</f>
        <v>0</v>
      </c>
      <c r="AF137" s="65">
        <f>+AF71+AF105+AF120+AF131-AF17</f>
        <v>0</v>
      </c>
      <c r="AG137" s="66"/>
      <c r="AH137" s="65">
        <f>+AH71+AH105+AH120+AH131-AH17</f>
        <v>0</v>
      </c>
      <c r="AI137" s="65">
        <f>+AI71+AI105+AI120+AI131-AI17</f>
        <v>0</v>
      </c>
      <c r="AJ137" s="121">
        <f>+AJ71+AJ105+AJ120+AJ131-AJ17</f>
        <v>0</v>
      </c>
      <c r="AK137" s="65">
        <f>+AK71+AK105+AK120+AK131-AK17</f>
        <v>0</v>
      </c>
      <c r="AL137" s="66"/>
      <c r="AM137" s="65">
        <f>+AM71+AM105+AM120+AM131-AM17</f>
        <v>2.9558577807620168E-12</v>
      </c>
      <c r="AN137" s="65">
        <f>+AN71+AN105+AN120+AN131-AN17</f>
        <v>0</v>
      </c>
      <c r="AO137" s="121">
        <f>+AO71+AO105+AO120+AO131-AO17</f>
        <v>0</v>
      </c>
      <c r="AP137" s="65">
        <f>+AP71+AP105+AP120+AP131-AP17</f>
        <v>2.9558577807620168E-12</v>
      </c>
      <c r="AQ137" s="66"/>
      <c r="AR137" s="65">
        <f>+AR71+AR105+AR120+AR131-AR17</f>
        <v>0</v>
      </c>
      <c r="AS137" s="65">
        <f>+AS71+AS105+AS120+AS131-AS17</f>
        <v>0</v>
      </c>
      <c r="AT137" s="121">
        <f>+AT71+AT105+AT120+AT131-AT17</f>
        <v>0</v>
      </c>
      <c r="AU137" s="65">
        <f>+AU71+AU105+AU120+AU131-AU17</f>
        <v>0</v>
      </c>
      <c r="AV137" s="66"/>
    </row>
    <row r="138" spans="2:48" ht="15" customHeight="1" x14ac:dyDescent="0.45">
      <c r="B138" s="583" t="s">
        <v>9</v>
      </c>
      <c r="C138" s="584"/>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2" t="s">
        <v>25</v>
      </c>
      <c r="W138" s="42" t="s">
        <v>26</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c r="E139" s="27"/>
      <c r="F139" s="27"/>
      <c r="G139" s="27"/>
      <c r="H139" s="29"/>
      <c r="I139" s="27"/>
      <c r="J139" s="27"/>
      <c r="K139" s="27"/>
      <c r="L139" s="113"/>
      <c r="M139" s="137"/>
      <c r="N139" s="113"/>
      <c r="O139" s="113"/>
      <c r="P139" s="113"/>
      <c r="Q139" s="113"/>
      <c r="R139" s="29"/>
      <c r="S139" s="113"/>
      <c r="T139" s="113"/>
      <c r="U139" s="113"/>
      <c r="V139" s="113"/>
      <c r="W139" s="137"/>
      <c r="X139" s="113"/>
      <c r="Y139" s="113"/>
      <c r="Z139" s="113"/>
      <c r="AA139" s="113"/>
      <c r="AB139" s="137">
        <f>(AB91+AB58)/(W83+W74+W50+W41)</f>
        <v>6.9998872350022556E-2</v>
      </c>
      <c r="AC139" s="113"/>
      <c r="AD139" s="113"/>
      <c r="AE139" s="113"/>
      <c r="AF139" s="113"/>
      <c r="AG139" s="137">
        <f>(AG91+AG58)/(AB83+AB74+AB50+AB41)</f>
        <v>7.0003952048478466E-2</v>
      </c>
      <c r="AH139" s="113"/>
      <c r="AI139" s="113"/>
      <c r="AJ139" s="113"/>
      <c r="AK139" s="113"/>
      <c r="AL139" s="406">
        <f>(AL91+AL58)/(AG83+AG74+AG50+AG41)</f>
        <v>7.0003939722249581E-2</v>
      </c>
      <c r="AM139" s="113"/>
      <c r="AN139" s="113"/>
      <c r="AO139" s="113"/>
      <c r="AP139" s="113"/>
      <c r="AQ139" s="137">
        <f>(AQ91+AQ58)/(AL83+AL74+AL50+AL41)</f>
        <v>2.9271660338280981E-2</v>
      </c>
      <c r="AR139" s="113"/>
      <c r="AS139" s="113"/>
      <c r="AT139" s="113"/>
      <c r="AU139" s="113"/>
      <c r="AV139" s="137">
        <f>(AV91+AV58)/(AQ83+AQ74+AQ50+AQ41)</f>
        <v>2.8439197799986587E-2</v>
      </c>
    </row>
    <row r="140" spans="2:48" s="23" customFormat="1" outlineLevel="1" x14ac:dyDescent="0.3">
      <c r="B140" s="580" t="s">
        <v>17</v>
      </c>
      <c r="C140" s="581"/>
      <c r="D140" s="30"/>
      <c r="E140" s="30"/>
      <c r="F140" s="30"/>
      <c r="G140" s="30"/>
      <c r="H140" s="137"/>
      <c r="I140" s="30">
        <f t="shared" ref="I140:AV140" si="603">I8/D8-1</f>
        <v>7.0016735266180907E-2</v>
      </c>
      <c r="J140" s="30">
        <f t="shared" si="603"/>
        <v>-4.9192026514851106E-2</v>
      </c>
      <c r="K140" s="30">
        <f t="shared" si="603"/>
        <v>-0.38119595485856661</v>
      </c>
      <c r="L140" s="113">
        <f t="shared" si="603"/>
        <v>-8.061360604713208E-2</v>
      </c>
      <c r="M140" s="128">
        <f t="shared" si="603"/>
        <v>-0.11281621813298315</v>
      </c>
      <c r="N140" s="30">
        <f t="shared" si="603"/>
        <v>-4.8991841738174613E-2</v>
      </c>
      <c r="O140" s="30">
        <f t="shared" si="603"/>
        <v>0.11213036009139876</v>
      </c>
      <c r="P140" s="30">
        <f t="shared" si="603"/>
        <v>0.77553823926482068</v>
      </c>
      <c r="Q140" s="30">
        <f t="shared" si="603"/>
        <v>0.31332720736405983</v>
      </c>
      <c r="R140" s="128">
        <f t="shared" si="603"/>
        <v>0.23567480227910509</v>
      </c>
      <c r="S140" s="30">
        <f t="shared" si="603"/>
        <v>0.19275787477405393</v>
      </c>
      <c r="T140" s="30">
        <f t="shared" si="603"/>
        <v>0.14511097780443905</v>
      </c>
      <c r="U140" s="30">
        <f t="shared" si="603"/>
        <v>8.7187354098579473E-2</v>
      </c>
      <c r="V140" s="30">
        <f t="shared" si="603"/>
        <v>1.7311112342031532E-2</v>
      </c>
      <c r="W140" s="28">
        <f t="shared" si="603"/>
        <v>0.10540829986018285</v>
      </c>
      <c r="X140" s="30">
        <f t="shared" si="603"/>
        <v>7.6754201778171938E-2</v>
      </c>
      <c r="Y140" s="30">
        <f t="shared" si="603"/>
        <v>9.9189810156881997E-2</v>
      </c>
      <c r="Z140" s="30">
        <f t="shared" si="603"/>
        <v>0.12769268581558646</v>
      </c>
      <c r="AA140" s="30">
        <f t="shared" si="603"/>
        <v>0.13409328144002286</v>
      </c>
      <c r="AB140" s="137">
        <f t="shared" si="603"/>
        <v>0.10980361845288167</v>
      </c>
      <c r="AC140" s="30">
        <f t="shared" si="603"/>
        <v>0.1232033628528193</v>
      </c>
      <c r="AD140" s="30">
        <f t="shared" si="603"/>
        <v>9.6779586167275777E-2</v>
      </c>
      <c r="AE140" s="30">
        <f t="shared" si="603"/>
        <v>9.7725809081055992E-2</v>
      </c>
      <c r="AF140" s="30">
        <f t="shared" si="603"/>
        <v>0.10107467513140889</v>
      </c>
      <c r="AG140" s="137">
        <f t="shared" si="603"/>
        <v>0.10458061605690805</v>
      </c>
      <c r="AH140" s="30">
        <f t="shared" si="603"/>
        <v>0.11523267400076009</v>
      </c>
      <c r="AI140" s="30">
        <f t="shared" si="603"/>
        <v>0.1143824870888952</v>
      </c>
      <c r="AJ140" s="30">
        <f t="shared" si="603"/>
        <v>0.11509230734132658</v>
      </c>
      <c r="AK140" s="30">
        <f t="shared" si="603"/>
        <v>0.11745003229436946</v>
      </c>
      <c r="AL140" s="406">
        <f t="shared" si="603"/>
        <v>0.11558070350478378</v>
      </c>
      <c r="AM140" s="30">
        <f t="shared" si="603"/>
        <v>0.10010830769738077</v>
      </c>
      <c r="AN140" s="30">
        <f t="shared" si="603"/>
        <v>9.4535712744858724E-2</v>
      </c>
      <c r="AO140" s="30">
        <f t="shared" si="603"/>
        <v>9.0539328856082291E-2</v>
      </c>
      <c r="AP140" s="30">
        <f t="shared" si="603"/>
        <v>8.7270188651159986E-2</v>
      </c>
      <c r="AQ140" s="28">
        <f t="shared" si="603"/>
        <v>9.2977040108612963E-2</v>
      </c>
      <c r="AR140" s="30">
        <f t="shared" si="603"/>
        <v>6.504221511172692E-2</v>
      </c>
      <c r="AS140" s="30">
        <f t="shared" si="603"/>
        <v>6.4273236399094102E-2</v>
      </c>
      <c r="AT140" s="30">
        <f t="shared" si="603"/>
        <v>6.4051834273006314E-2</v>
      </c>
      <c r="AU140" s="30">
        <f t="shared" si="603"/>
        <v>6.4350905639830147E-2</v>
      </c>
      <c r="AV140" s="28">
        <f t="shared" si="603"/>
        <v>6.4428308255169764E-2</v>
      </c>
    </row>
    <row r="141" spans="2:48" s="23" customFormat="1" outlineLevel="1" x14ac:dyDescent="0.3">
      <c r="B141" s="580" t="s">
        <v>4</v>
      </c>
      <c r="C141" s="581"/>
      <c r="D141" s="27">
        <f t="shared" ref="D141:AV141" si="604">D17/D8</f>
        <v>0.15313522396610738</v>
      </c>
      <c r="E141" s="27">
        <f t="shared" si="604"/>
        <v>0.13601547756862614</v>
      </c>
      <c r="F141" s="27">
        <f t="shared" si="604"/>
        <v>0.16434119888612064</v>
      </c>
      <c r="G141" s="27">
        <f t="shared" si="604"/>
        <v>0.16054542759745088</v>
      </c>
      <c r="H141" s="29">
        <f t="shared" si="604"/>
        <v>0.15383309567461143</v>
      </c>
      <c r="I141" s="27">
        <f t="shared" si="604"/>
        <v>0.1718730185568752</v>
      </c>
      <c r="J141" s="27">
        <f t="shared" si="604"/>
        <v>8.1291592307820446E-2</v>
      </c>
      <c r="K141" s="27">
        <f t="shared" si="604"/>
        <v>-0.16671798394164022</v>
      </c>
      <c r="L141" s="113">
        <f t="shared" si="604"/>
        <v>9.0003385404072211E-2</v>
      </c>
      <c r="M141" s="137">
        <f t="shared" si="604"/>
        <v>6.6400204098988183E-2</v>
      </c>
      <c r="N141" s="27">
        <f t="shared" si="604"/>
        <v>0.13534536403235845</v>
      </c>
      <c r="O141" s="27">
        <f t="shared" si="604"/>
        <v>0.14811037792441512</v>
      </c>
      <c r="P141" s="27">
        <f t="shared" si="604"/>
        <v>0.19858600680317468</v>
      </c>
      <c r="Q141" s="27">
        <f t="shared" si="604"/>
        <v>0.18193869910515911</v>
      </c>
      <c r="R141" s="137">
        <f t="shared" si="604"/>
        <v>0.16764966999993108</v>
      </c>
      <c r="S141" s="27">
        <f t="shared" si="604"/>
        <v>0.14630328927755143</v>
      </c>
      <c r="T141" s="27">
        <f t="shared" si="604"/>
        <v>0.12427314159987431</v>
      </c>
      <c r="U141" s="27">
        <f t="shared" si="604"/>
        <v>0.15895510484533926</v>
      </c>
      <c r="V141" s="27">
        <f t="shared" si="604"/>
        <v>0.13355692927238058</v>
      </c>
      <c r="W141" s="137">
        <f t="shared" si="604"/>
        <v>0.14098828754353226</v>
      </c>
      <c r="X141" s="27">
        <f t="shared" si="604"/>
        <v>0.13347713167777689</v>
      </c>
      <c r="Y141" s="27">
        <f t="shared" si="604"/>
        <v>0.13194556206335736</v>
      </c>
      <c r="Z141" s="27">
        <f t="shared" si="604"/>
        <v>0.15421637128277246</v>
      </c>
      <c r="AA141" s="27">
        <f t="shared" si="604"/>
        <v>0.16270303962190427</v>
      </c>
      <c r="AB141" s="137">
        <f t="shared" si="604"/>
        <v>0.14616822415377001</v>
      </c>
      <c r="AC141" s="27">
        <f t="shared" si="604"/>
        <v>0.16046384030410779</v>
      </c>
      <c r="AD141" s="27">
        <f t="shared" si="604"/>
        <v>0.14098318044584443</v>
      </c>
      <c r="AE141" s="27">
        <f t="shared" si="604"/>
        <v>0.15863330030149353</v>
      </c>
      <c r="AF141" s="27">
        <f t="shared" si="604"/>
        <v>0.15296267175965017</v>
      </c>
      <c r="AG141" s="137">
        <f t="shared" si="604"/>
        <v>0.15346979150745824</v>
      </c>
      <c r="AH141" s="27">
        <f t="shared" si="604"/>
        <v>0.16765881222138554</v>
      </c>
      <c r="AI141" s="27">
        <f t="shared" si="604"/>
        <v>0.14900308003670257</v>
      </c>
      <c r="AJ141" s="27">
        <f t="shared" si="604"/>
        <v>0.17256969523975174</v>
      </c>
      <c r="AK141" s="27">
        <f t="shared" si="604"/>
        <v>0.16116962845255084</v>
      </c>
      <c r="AL141" s="29">
        <f t="shared" si="604"/>
        <v>0.16285196702347426</v>
      </c>
      <c r="AM141" s="27">
        <f t="shared" si="604"/>
        <v>0.17071333009376852</v>
      </c>
      <c r="AN141" s="27">
        <f t="shared" si="604"/>
        <v>0.15195721773693538</v>
      </c>
      <c r="AO141" s="27">
        <f t="shared" si="604"/>
        <v>0.17407476321897988</v>
      </c>
      <c r="AP141" s="27">
        <f t="shared" si="604"/>
        <v>0.16233048423636245</v>
      </c>
      <c r="AQ141" s="29">
        <f t="shared" si="604"/>
        <v>0.16499111511374623</v>
      </c>
      <c r="AR141" s="27">
        <f t="shared" si="604"/>
        <v>0.17041518507947218</v>
      </c>
      <c r="AS141" s="27">
        <f t="shared" si="604"/>
        <v>0.15172011306933661</v>
      </c>
      <c r="AT141" s="27">
        <f t="shared" si="604"/>
        <v>0.1737132605018861</v>
      </c>
      <c r="AU141" s="27">
        <f t="shared" si="604"/>
        <v>0.16213343250470003</v>
      </c>
      <c r="AV141" s="29">
        <f t="shared" si="604"/>
        <v>0.16471802455176912</v>
      </c>
    </row>
    <row r="142" spans="2:48" s="23" customFormat="1" outlineLevel="1" x14ac:dyDescent="0.3">
      <c r="B142" s="580" t="s">
        <v>77</v>
      </c>
      <c r="C142" s="581"/>
      <c r="D142" s="27">
        <f t="shared" ref="D142:AV142" si="605">+D19/D8</f>
        <v>0.17394123056975294</v>
      </c>
      <c r="E142" s="27">
        <f t="shared" si="605"/>
        <v>0.15843892227913536</v>
      </c>
      <c r="F142" s="27">
        <f t="shared" si="605"/>
        <v>0.18270555474131628</v>
      </c>
      <c r="G142" s="27">
        <f t="shared" si="605"/>
        <v>0.17201719282644154</v>
      </c>
      <c r="H142" s="29">
        <f t="shared" si="605"/>
        <v>0.17201964645435841</v>
      </c>
      <c r="I142" s="27">
        <f t="shared" si="605"/>
        <v>0.1819616463062376</v>
      </c>
      <c r="J142" s="27">
        <f t="shared" si="605"/>
        <v>9.2432910252347358E-2</v>
      </c>
      <c r="K142" s="27">
        <f t="shared" si="605"/>
        <v>-0.12558205632268285</v>
      </c>
      <c r="L142" s="113">
        <f t="shared" si="605"/>
        <v>0.13183730715287523</v>
      </c>
      <c r="M142" s="137">
        <f t="shared" si="605"/>
        <v>9.0704141508631861E-2</v>
      </c>
      <c r="N142" s="27">
        <f t="shared" si="605"/>
        <v>0.15533232583637069</v>
      </c>
      <c r="O142" s="27">
        <f t="shared" si="605"/>
        <v>0.1613377324535093</v>
      </c>
      <c r="P142" s="27">
        <f t="shared" si="605"/>
        <v>0.20548255852731262</v>
      </c>
      <c r="Q142" s="27">
        <f t="shared" si="605"/>
        <v>0.19607939411049871</v>
      </c>
      <c r="R142" s="137">
        <f t="shared" si="605"/>
        <v>0.18106990220435909</v>
      </c>
      <c r="S142" s="27">
        <f t="shared" si="605"/>
        <v>0.15067574282023255</v>
      </c>
      <c r="T142" s="27">
        <f t="shared" si="605"/>
        <v>0.13049400178113052</v>
      </c>
      <c r="U142" s="27">
        <f t="shared" si="605"/>
        <v>0.16846419062342788</v>
      </c>
      <c r="V142" s="420">
        <f t="shared" si="605"/>
        <v>0.1473122062267615</v>
      </c>
      <c r="W142" s="137">
        <f t="shared" si="605"/>
        <v>0.14952400739153818</v>
      </c>
      <c r="X142" s="27">
        <f t="shared" si="605"/>
        <v>0.14662849623084973</v>
      </c>
      <c r="Y142" s="27">
        <f t="shared" si="605"/>
        <v>0.13957098806581647</v>
      </c>
      <c r="Z142" s="27">
        <f t="shared" si="605"/>
        <v>0.16117985032565263</v>
      </c>
      <c r="AA142" s="27">
        <f t="shared" si="605"/>
        <v>0.16951223325059214</v>
      </c>
      <c r="AB142" s="137">
        <f t="shared" si="605"/>
        <v>0.15475139964473331</v>
      </c>
      <c r="AC142" s="27">
        <f t="shared" si="605"/>
        <v>0.16703720221648782</v>
      </c>
      <c r="AD142" s="27">
        <f t="shared" si="605"/>
        <v>0.1479357405578596</v>
      </c>
      <c r="AE142" s="27">
        <f t="shared" si="605"/>
        <v>0.16497685074485019</v>
      </c>
      <c r="AF142" s="27">
        <f t="shared" si="605"/>
        <v>0.15914680602636122</v>
      </c>
      <c r="AG142" s="137">
        <f t="shared" si="605"/>
        <v>0.15997062606058532</v>
      </c>
      <c r="AH142" s="27">
        <f t="shared" si="605"/>
        <v>0.1735529740995512</v>
      </c>
      <c r="AI142" s="27">
        <f t="shared" si="605"/>
        <v>0.15524201522508424</v>
      </c>
      <c r="AJ142" s="27">
        <f t="shared" si="605"/>
        <v>0.17825850718975195</v>
      </c>
      <c r="AK142" s="27">
        <f t="shared" si="605"/>
        <v>0.16670377681533147</v>
      </c>
      <c r="AL142" s="406">
        <f t="shared" si="605"/>
        <v>0.16867927699101279</v>
      </c>
      <c r="AM142" s="27">
        <f t="shared" si="605"/>
        <v>0.17607113153652154</v>
      </c>
      <c r="AN142" s="27">
        <f t="shared" si="605"/>
        <v>0.15765729231260706</v>
      </c>
      <c r="AO142" s="27">
        <f t="shared" si="605"/>
        <v>0.17929127563579245</v>
      </c>
      <c r="AP142" s="27">
        <f t="shared" si="605"/>
        <v>0.16742043190580616</v>
      </c>
      <c r="AQ142" s="29">
        <f t="shared" si="605"/>
        <v>0.17032270924033413</v>
      </c>
      <c r="AR142" s="27">
        <f t="shared" si="605"/>
        <v>0.17544578515027875</v>
      </c>
      <c r="AS142" s="27">
        <f t="shared" si="605"/>
        <v>0.15707595063127469</v>
      </c>
      <c r="AT142" s="27">
        <f t="shared" si="605"/>
        <v>0.17861575890355152</v>
      </c>
      <c r="AU142" s="27">
        <f t="shared" si="605"/>
        <v>0.16691564074304782</v>
      </c>
      <c r="AV142" s="29">
        <f t="shared" si="605"/>
        <v>0.16972690498574364</v>
      </c>
    </row>
    <row r="143" spans="2:48" s="23" customFormat="1" outlineLevel="1" x14ac:dyDescent="0.3">
      <c r="B143" s="580" t="s">
        <v>2</v>
      </c>
      <c r="C143" s="581"/>
      <c r="D143" s="27">
        <f t="shared" ref="D143:K143" si="606">D24/D23</f>
        <v>0.2124287933713101</v>
      </c>
      <c r="E143" s="27">
        <f t="shared" si="606"/>
        <v>0.1965853658536586</v>
      </c>
      <c r="F143" s="27">
        <f t="shared" si="606"/>
        <v>0.18110799689903978</v>
      </c>
      <c r="G143" s="118">
        <f t="shared" si="606"/>
        <v>0.20083682008368189</v>
      </c>
      <c r="H143" s="137">
        <f t="shared" si="606"/>
        <v>0.19515471765706843</v>
      </c>
      <c r="I143" s="118">
        <f t="shared" si="606"/>
        <v>0.22600104913446431</v>
      </c>
      <c r="J143" s="118">
        <f t="shared" si="606"/>
        <v>0.16760635571501836</v>
      </c>
      <c r="K143" s="118">
        <f t="shared" si="606"/>
        <v>0.16490147783251249</v>
      </c>
      <c r="L143" s="118">
        <v>0.25</v>
      </c>
      <c r="M143" s="137">
        <f t="shared" ref="M143:U143" si="607">M24/M23</f>
        <v>0.20585709378220463</v>
      </c>
      <c r="N143" s="118">
        <f t="shared" si="607"/>
        <v>0.23023629840405785</v>
      </c>
      <c r="O143" s="118">
        <f t="shared" si="607"/>
        <v>0.25901786717608721</v>
      </c>
      <c r="P143" s="118">
        <f t="shared" si="607"/>
        <v>0.18217246510309659</v>
      </c>
      <c r="Q143" s="118">
        <f t="shared" si="607"/>
        <v>0.21489588894821143</v>
      </c>
      <c r="R143" s="137">
        <f t="shared" si="607"/>
        <v>0.21591906068581893</v>
      </c>
      <c r="S143" s="118">
        <f t="shared" si="607"/>
        <v>0.23183358433734938</v>
      </c>
      <c r="T143" s="118">
        <f t="shared" si="607"/>
        <v>0.22954000684853323</v>
      </c>
      <c r="U143" s="118">
        <f t="shared" si="607"/>
        <v>0.23360174467371256</v>
      </c>
      <c r="V143" s="35">
        <v>0.24</v>
      </c>
      <c r="W143" s="137">
        <f>W24/W23</f>
        <v>0.23384710457777375</v>
      </c>
      <c r="X143" s="35">
        <v>0.245</v>
      </c>
      <c r="Y143" s="35">
        <v>0.245</v>
      </c>
      <c r="Z143" s="35">
        <v>0.245</v>
      </c>
      <c r="AA143" s="35">
        <v>0.245</v>
      </c>
      <c r="AB143" s="137">
        <f>AB24/AB23</f>
        <v>0.24499999999999991</v>
      </c>
      <c r="AC143" s="34">
        <f>AVERAGE(X143,Y143,Z143,AA143)</f>
        <v>0.245</v>
      </c>
      <c r="AD143" s="34">
        <f>AVERAGE(Y143,Z143,AA143,AC143)</f>
        <v>0.245</v>
      </c>
      <c r="AE143" s="34">
        <f>AVERAGE(Z143,AA143,AC143,AD143)</f>
        <v>0.245</v>
      </c>
      <c r="AF143" s="34">
        <f>AVERAGE(AA143,AC143,AD143,AE143)</f>
        <v>0.245</v>
      </c>
      <c r="AG143" s="29">
        <f>AG24/AG23</f>
        <v>0.24499999999999988</v>
      </c>
      <c r="AH143" s="34">
        <f>AVERAGE(AC143,AD143,AE143,AF143)</f>
        <v>0.245</v>
      </c>
      <c r="AI143" s="34">
        <f>AVERAGE(AD143,AE143,AF143,AH143)</f>
        <v>0.245</v>
      </c>
      <c r="AJ143" s="34">
        <f>AVERAGE(AE143,AF143,AH143,AI143)</f>
        <v>0.245</v>
      </c>
      <c r="AK143" s="34">
        <f>AVERAGE(AF143,AH143,AI143,AJ143)</f>
        <v>0.245</v>
      </c>
      <c r="AL143" s="29">
        <f>AL24/AL23</f>
        <v>0.24500000000000008</v>
      </c>
      <c r="AM143" s="34">
        <f>AVERAGE(AH143,AI143,AJ143,AK143)</f>
        <v>0.245</v>
      </c>
      <c r="AN143" s="34">
        <f>AVERAGE(AI143,AJ143,AK143,AM143)</f>
        <v>0.245</v>
      </c>
      <c r="AO143" s="34">
        <f>AVERAGE(AJ143,AK143,AM143,AN143)</f>
        <v>0.245</v>
      </c>
      <c r="AP143" s="34">
        <f>AVERAGE(AK143,AM143,AN143,AO143)</f>
        <v>0.245</v>
      </c>
      <c r="AQ143" s="29">
        <f>AQ24/AQ23</f>
        <v>0.24499999999999994</v>
      </c>
      <c r="AR143" s="34">
        <f>AVERAGE(AM143,AN143,AO143,AP143)</f>
        <v>0.245</v>
      </c>
      <c r="AS143" s="34">
        <f>AVERAGE(AN143,AO143,AP143,AR143)</f>
        <v>0.245</v>
      </c>
      <c r="AT143" s="34">
        <f>AVERAGE(AO143,AP143,AR143,AS143)</f>
        <v>0.245</v>
      </c>
      <c r="AU143" s="34">
        <f>AVERAGE(AP143,AR143,AS143,AT143)</f>
        <v>0.245</v>
      </c>
      <c r="AV143" s="29">
        <f>AV24/AV23</f>
        <v>0.24499999999999958</v>
      </c>
    </row>
    <row r="144" spans="2:48" s="23" customFormat="1" outlineLevel="1" x14ac:dyDescent="0.3">
      <c r="B144" s="580" t="s">
        <v>78</v>
      </c>
      <c r="C144" s="581"/>
      <c r="D144" s="27"/>
      <c r="E144" s="27">
        <f>+E21/(('BS 3Q2022'!E6+'BS 3Q2022'!E7+'BS 3Q2022'!E12)+('BS 3Q2022'!D6+'BS 3Q2022'!D7+'BS 3Q2022'!D12)/2)</f>
        <v>3.0327214684756584E-3</v>
      </c>
      <c r="F144" s="27">
        <f>+F21/(('BS 3Q2022'!F6+'BS 3Q2022'!F7+'BS 3Q2022'!F12)+('BS 3Q2022'!E6+'BS 3Q2022'!E7+'BS 3Q2022'!E12)/2)</f>
        <v>6.4321029136466161E-3</v>
      </c>
      <c r="G144" s="27">
        <f>+G21/(('BS 3Q2022'!G6+'BS 3Q2022'!G7+'BS 3Q2022'!G12)+('BS 3Q2022'!F6+'BS 3Q2022'!F7+'BS 3Q2022'!F12)/2)</f>
        <v>2.9603261807251862E-3</v>
      </c>
      <c r="H144" s="29"/>
      <c r="I144" s="27">
        <f>+I21/(('BS 3Q2022'!I6+'BS 3Q2022'!I7+'BS 3Q2022'!I12)+('BS 3Q2022'!G6+'BS 3Q2022'!G7+'BS 3Q2022'!G12)/2)</f>
        <v>3.3143988743550958E-3</v>
      </c>
      <c r="J144" s="27">
        <f>+J21/(('BS 3Q2022'!J6+'BS 3Q2022'!J7+'BS 3Q2022'!J12)+('BS 3Q2022'!I6+'BS 3Q2022'!I7+'BS 3Q2022'!I12)/2)</f>
        <v>4.4659305324505627E-4</v>
      </c>
      <c r="K144" s="27">
        <f>+K21/(('BS 3Q2022'!K6+'BS 3Q2022'!K7+'BS 3Q2022'!K12)+('BS 3Q2022'!J6+'BS 3Q2022'!J7+'BS 3Q2022'!J12)/2)</f>
        <v>2.1779393606804753E-3</v>
      </c>
      <c r="L144" s="27">
        <f>+L21/(('BS 3Q2022'!L6+'BS 3Q2022'!L7+'BS 3Q2022'!L12)+('BS 3Q2022'!K6+'BS 3Q2022'!K7+'BS 3Q2022'!K12)/2)</f>
        <v>1.2911830642186198E-3</v>
      </c>
      <c r="M144" s="29"/>
      <c r="N144" s="27">
        <f>+N21/(('BS 3Q2022'!N6+'BS 3Q2022'!N7+'BS 3Q2022'!N12)+('BS 3Q2022'!L6+'BS 3Q2022'!L7+'BS 3Q2022'!L12)/2)</f>
        <v>1.9686289451959073E-3</v>
      </c>
      <c r="O144" s="27">
        <f>+O21/(('BS 3Q2022'!O6+'BS 3Q2022'!O7+'BS 3Q2022'!O12)+('BS 3Q2022'!N6+'BS 3Q2022'!N7+'BS 3Q2022'!N12)/2)</f>
        <v>2.465933063458573E-3</v>
      </c>
      <c r="P144" s="27">
        <f>+P21/(('BS 3Q2022'!P6+'BS 3Q2022'!P7+'BS 3Q2022'!P12)+('BS 3Q2022'!O6+'BS 3Q2022'!O7+'BS 3Q2022'!O12)/2)</f>
        <v>4.9067713444553383E-3</v>
      </c>
      <c r="Q144" s="27">
        <f>+Q21/(('BS 3Q2022'!Q6+'BS 3Q2022'!Q7+'BS 3Q2022'!Q12)+('BS 3Q2022'!P6+'BS 3Q2022'!P7+'BS 3Q2022'!P12)/2)</f>
        <v>2.2641350477574504E-3</v>
      </c>
      <c r="R144" s="137"/>
      <c r="S144" s="27">
        <f>+S21/(('BS 3Q2022'!S6+'BS 3Q2022'!S7+'BS 3Q2022'!S12)+('BS 3Q2022'!Q6+'BS 3Q2022'!Q7+'BS 3Q2022'!Q12)/2)</f>
        <v>-1.2810330250313835E-5</v>
      </c>
      <c r="T144" s="27">
        <f>+T21/(('BS 3Q2022'!T6+'BS 3Q2022'!T7+'BS 3Q2022'!T12)+('BS 3Q2022'!S6+'BS 3Q2022'!S7+'BS 3Q2022'!S12)/2)</f>
        <v>7.1679593764030023E-3</v>
      </c>
      <c r="U144" s="27">
        <f>+U21/(('BS 3Q2022'!U6+'BS 3Q2022'!U7+'BS 3Q2022'!U12)+('BS 3Q2022'!T6+'BS 3Q2022'!T7+'BS 3Q2022'!T12)/2)</f>
        <v>3.4813492865871276E-3</v>
      </c>
      <c r="V144" s="35">
        <f>U144+0.25%</f>
        <v>5.9813492865871277E-3</v>
      </c>
      <c r="W144" s="137"/>
      <c r="X144" s="35">
        <f>V144+0.25%</f>
        <v>8.4813492865871282E-3</v>
      </c>
      <c r="Y144" s="35">
        <f>X144+0.5%</f>
        <v>1.3481349286587129E-2</v>
      </c>
      <c r="Z144" s="35">
        <f>Y144</f>
        <v>1.3481349286587129E-2</v>
      </c>
      <c r="AA144" s="35">
        <f>Z144-0.5%</f>
        <v>8.4813492865871282E-3</v>
      </c>
      <c r="AB144" s="137"/>
      <c r="AC144" s="35">
        <f>AA144</f>
        <v>8.4813492865871282E-3</v>
      </c>
      <c r="AD144" s="35">
        <f>AC144</f>
        <v>8.4813492865871282E-3</v>
      </c>
      <c r="AE144" s="35">
        <f>AD144</f>
        <v>8.4813492865871282E-3</v>
      </c>
      <c r="AF144" s="35">
        <f>AE144</f>
        <v>8.4813492865871282E-3</v>
      </c>
      <c r="AG144" s="29"/>
      <c r="AH144" s="35">
        <f>AF144</f>
        <v>8.4813492865871282E-3</v>
      </c>
      <c r="AI144" s="35">
        <f>AH144</f>
        <v>8.4813492865871282E-3</v>
      </c>
      <c r="AJ144" s="35">
        <f>AI144</f>
        <v>8.4813492865871282E-3</v>
      </c>
      <c r="AK144" s="35">
        <f>AJ144</f>
        <v>8.4813492865871282E-3</v>
      </c>
      <c r="AL144" s="29"/>
      <c r="AM144" s="35">
        <f>AK144</f>
        <v>8.4813492865871282E-3</v>
      </c>
      <c r="AN144" s="35">
        <f t="shared" ref="AN144:AP145" si="608">AM144</f>
        <v>8.4813492865871282E-3</v>
      </c>
      <c r="AO144" s="35">
        <f t="shared" si="608"/>
        <v>8.4813492865871282E-3</v>
      </c>
      <c r="AP144" s="35">
        <f t="shared" si="608"/>
        <v>8.4813492865871282E-3</v>
      </c>
      <c r="AQ144" s="29"/>
      <c r="AR144" s="35">
        <f>AP144</f>
        <v>8.4813492865871282E-3</v>
      </c>
      <c r="AS144" s="35">
        <f t="shared" ref="AS144:AU145" si="609">AR144</f>
        <v>8.4813492865871282E-3</v>
      </c>
      <c r="AT144" s="35">
        <f t="shared" si="609"/>
        <v>8.4813492865871282E-3</v>
      </c>
      <c r="AU144" s="35">
        <f t="shared" si="609"/>
        <v>8.4813492865871282E-3</v>
      </c>
      <c r="AV144" s="29"/>
    </row>
    <row r="145" spans="2:48" s="23" customFormat="1" outlineLevel="1" x14ac:dyDescent="0.3">
      <c r="B145" s="580" t="s">
        <v>79</v>
      </c>
      <c r="C145" s="581"/>
      <c r="D145" s="27"/>
      <c r="E145" s="215">
        <f>-E22/(((('BS 3Q2022'!E28+'BS 3Q2022'!E31)+('BS 3Q2022'!D28+'BS 3Q2022'!D31))/2))</f>
        <v>8.0557251242696429E-3</v>
      </c>
      <c r="F145" s="215">
        <f>-F22/(((('BS 3Q2022'!F28+'BS 3Q2022'!F31)+('BS 3Q2022'!E28+'BS 3Q2022'!E31))/2))</f>
        <v>8.4807318557490342E-3</v>
      </c>
      <c r="G145" s="215">
        <f>-G22/(((('BS 3Q2022'!G28+'BS 3Q2022'!G31)+('BS 3Q2022'!F28+'BS 3Q2022'!F31))/2))</f>
        <v>8.572925858076421E-3</v>
      </c>
      <c r="H145" s="29"/>
      <c r="I145" s="215">
        <f>-I22/(((('BS 3Q2022'!I28+'BS 3Q2022'!I31)+('BS 3Q2022'!G28+'BS 3Q2022'!G31))/2))</f>
        <v>8.0554679008449908E-3</v>
      </c>
      <c r="J145" s="215">
        <f>-J22/(((('BS 3Q2022'!J28+'BS 3Q2022'!J31)+('BS 3Q2022'!I28+'BS 3Q2022'!I31))/2))</f>
        <v>7.730372102084551E-3</v>
      </c>
      <c r="K145" s="215">
        <f>-K22/(((('BS 3Q2022'!K28+'BS 3Q2022'!K31)+('BS 3Q2022'!J28+'BS 3Q2022'!J31))/2))</f>
        <v>7.8322294946980078E-3</v>
      </c>
      <c r="L145" s="215">
        <f>-L22/(((('BS 3Q2022'!L28+'BS 3Q2022'!L31)+('BS 3Q2022'!K28+'BS 3Q2022'!K31))/2))</f>
        <v>7.5346594333936109E-3</v>
      </c>
      <c r="M145" s="29"/>
      <c r="N145" s="215">
        <f>-N22/(((('BS 3Q2022'!N28+'BS 3Q2022'!N31)+('BS 3Q2022'!L28+'BS 3Q2022'!L31))/2))</f>
        <v>7.481930548840208E-3</v>
      </c>
      <c r="O145" s="215">
        <f>-O22/(((('BS 3Q2022'!O28+'BS 3Q2022'!O31)+('BS 3Q2022'!N28+'BS 3Q2022'!N31))/2))</f>
        <v>7.5250206938069089E-3</v>
      </c>
      <c r="P145" s="215">
        <f>-P22/(((('BS 3Q2022'!P28+'BS 3Q2022'!P31)+('BS 3Q2022'!O28+'BS 3Q2022'!O31))/2))</f>
        <v>7.7494216976973845E-3</v>
      </c>
      <c r="Q145" s="215">
        <f>-Q22/(((('BS 3Q2022'!Q28+'BS 3Q2022'!Q31)+('BS 3Q2022'!P28+'BS 3Q2022'!P31))/2))</f>
        <v>8.2506952544819535E-3</v>
      </c>
      <c r="R145" s="29"/>
      <c r="S145" s="215">
        <f>-S22/(((('BS 3Q2022'!S28+'BS 3Q2022'!S31)+('BS 3Q2022'!Q28+'BS 3Q2022'!Q31))/2))</f>
        <v>7.8431639309692741E-3</v>
      </c>
      <c r="T145" s="215">
        <f>-T22/(((('BS 3Q2022'!T28+'BS 3Q2022'!T31)+('BS 3Q2022'!S28+'BS 3Q2022'!S31))/2))</f>
        <v>7.7341177845746236E-3</v>
      </c>
      <c r="U145" s="215">
        <f>-U22/(((('BS 3Q2022'!U28+'BS 3Q2022'!U31)+('BS 3Q2022'!T28+'BS 3Q2022'!T31))/2))</f>
        <v>7.9054937080361813E-3</v>
      </c>
      <c r="V145" s="35">
        <f>U145</f>
        <v>7.9054937080361813E-3</v>
      </c>
      <c r="W145" s="137"/>
      <c r="X145" s="35">
        <f>V145+0.01%</f>
        <v>8.0054937080361807E-3</v>
      </c>
      <c r="Y145" s="35">
        <f>X145+0.01%</f>
        <v>8.1054937080361801E-3</v>
      </c>
      <c r="Z145" s="35">
        <f t="shared" ref="Z145:AA145" si="610">Y145+0.01%</f>
        <v>8.2054937080361795E-3</v>
      </c>
      <c r="AA145" s="35">
        <f t="shared" si="610"/>
        <v>8.3054937080361789E-3</v>
      </c>
      <c r="AB145" s="137"/>
      <c r="AC145" s="35">
        <f>AA145+0.01%</f>
        <v>8.4054937080361783E-3</v>
      </c>
      <c r="AD145" s="35">
        <f>AC145+0.01%</f>
        <v>8.5054937080361777E-3</v>
      </c>
      <c r="AE145" s="35">
        <f t="shared" ref="AE145:AF145" si="611">AD145+0.01%</f>
        <v>8.6054937080361771E-3</v>
      </c>
      <c r="AF145" s="35">
        <f t="shared" si="611"/>
        <v>8.7054937080361765E-3</v>
      </c>
      <c r="AG145" s="29"/>
      <c r="AH145" s="35">
        <f>AF145+0.01%</f>
        <v>8.8054937080361759E-3</v>
      </c>
      <c r="AI145" s="35">
        <f>AH145+0.01%</f>
        <v>8.9054937080361753E-3</v>
      </c>
      <c r="AJ145" s="35">
        <f t="shared" ref="AJ145:AK145" si="612">AI145+0.01%</f>
        <v>9.0054937080361747E-3</v>
      </c>
      <c r="AK145" s="35">
        <f t="shared" si="612"/>
        <v>9.1054937080361741E-3</v>
      </c>
      <c r="AL145" s="29"/>
      <c r="AM145" s="35">
        <f>AK145</f>
        <v>9.1054937080361741E-3</v>
      </c>
      <c r="AN145" s="35">
        <f t="shared" si="608"/>
        <v>9.1054937080361741E-3</v>
      </c>
      <c r="AO145" s="35">
        <f t="shared" si="608"/>
        <v>9.1054937080361741E-3</v>
      </c>
      <c r="AP145" s="35">
        <f t="shared" si="608"/>
        <v>9.1054937080361741E-3</v>
      </c>
      <c r="AQ145" s="29"/>
      <c r="AR145" s="35">
        <f>AP145</f>
        <v>9.1054937080361741E-3</v>
      </c>
      <c r="AS145" s="35">
        <f t="shared" si="609"/>
        <v>9.1054937080361741E-3</v>
      </c>
      <c r="AT145" s="35">
        <f t="shared" si="609"/>
        <v>9.1054937080361741E-3</v>
      </c>
      <c r="AU145" s="35">
        <f t="shared" si="609"/>
        <v>9.1054937080361741E-3</v>
      </c>
      <c r="AV145" s="29"/>
    </row>
    <row r="146" spans="2:48" s="23" customFormat="1" outlineLevel="1" x14ac:dyDescent="0.3">
      <c r="B146" s="200" t="s">
        <v>186</v>
      </c>
      <c r="C146" s="201"/>
      <c r="D146" s="113"/>
      <c r="E146" s="113"/>
      <c r="F146" s="113"/>
      <c r="G146" s="113"/>
      <c r="H146" s="137"/>
      <c r="I146" s="113">
        <f>I33/D33-1</f>
        <v>0.2254857129231771</v>
      </c>
      <c r="J146" s="113">
        <f t="shared" ref="J146:AV146" si="613">J33/E33-1</f>
        <v>-0.47546772308917484</v>
      </c>
      <c r="K146" s="113">
        <f t="shared" si="613"/>
        <v>-1.5172211898784418</v>
      </c>
      <c r="L146" s="113">
        <f t="shared" si="613"/>
        <v>-0.49266142278343572</v>
      </c>
      <c r="M146" s="137">
        <f t="shared" si="613"/>
        <v>-0.73466371126240593</v>
      </c>
      <c r="N146" s="113">
        <f t="shared" si="613"/>
        <v>-0.292754196932551</v>
      </c>
      <c r="O146" s="113">
        <f t="shared" si="613"/>
        <v>1.0009687774744878</v>
      </c>
      <c r="P146" s="113">
        <f t="shared" si="613"/>
        <v>-2.6748075301104208</v>
      </c>
      <c r="Q146" s="113">
        <f t="shared" si="613"/>
        <v>3.4604705530296798</v>
      </c>
      <c r="R146" s="137">
        <f t="shared" si="613"/>
        <v>3.5714373754781779</v>
      </c>
      <c r="S146" s="113">
        <f t="shared" si="613"/>
        <v>0.31844745711851452</v>
      </c>
      <c r="T146" s="113">
        <f t="shared" si="613"/>
        <v>5.0603007043171555E-2</v>
      </c>
      <c r="U146" s="113">
        <f t="shared" si="613"/>
        <v>-0.18430865147381992</v>
      </c>
      <c r="V146" s="113">
        <f t="shared" si="613"/>
        <v>-0.55234250692993192</v>
      </c>
      <c r="W146" s="137">
        <f t="shared" si="613"/>
        <v>-0.22716128751643805</v>
      </c>
      <c r="X146" s="113">
        <f t="shared" si="613"/>
        <v>7.9550718576035795E-3</v>
      </c>
      <c r="Y146" s="113">
        <f t="shared" si="613"/>
        <v>0.16353283362602267</v>
      </c>
      <c r="Z146" s="113">
        <f t="shared" si="613"/>
        <v>0.10532170917404327</v>
      </c>
      <c r="AA146" s="113">
        <f t="shared" si="613"/>
        <v>0.40634063366669215</v>
      </c>
      <c r="AB146" s="137">
        <f t="shared" si="613"/>
        <v>0.16633183661452011</v>
      </c>
      <c r="AC146" s="113">
        <f t="shared" si="613"/>
        <v>0.37068155117772927</v>
      </c>
      <c r="AD146" s="113">
        <f t="shared" si="613"/>
        <v>0.1586386868546692</v>
      </c>
      <c r="AE146" s="113">
        <f t="shared" si="613"/>
        <v>0.12116751352677335</v>
      </c>
      <c r="AF146" s="113">
        <f t="shared" si="613"/>
        <v>3.7980418684439021E-2</v>
      </c>
      <c r="AG146" s="137">
        <f t="shared" si="613"/>
        <v>0.15943330504785913</v>
      </c>
      <c r="AH146" s="113">
        <f t="shared" si="613"/>
        <v>0.17573761042572644</v>
      </c>
      <c r="AI146" s="113">
        <f t="shared" si="613"/>
        <v>0.19254693827386538</v>
      </c>
      <c r="AJ146" s="113">
        <f t="shared" si="613"/>
        <v>0.275884938296862</v>
      </c>
      <c r="AK146" s="113">
        <f t="shared" si="613"/>
        <v>0.2550969313044078</v>
      </c>
      <c r="AL146" s="137">
        <f t="shared" si="613"/>
        <v>0.22545294054152043</v>
      </c>
      <c r="AM146" s="113">
        <f t="shared" si="613"/>
        <v>0.16962269430049015</v>
      </c>
      <c r="AN146" s="113">
        <f t="shared" si="613"/>
        <v>0.15858912183023421</v>
      </c>
      <c r="AO146" s="113">
        <f t="shared" si="613"/>
        <v>0.10936492041652679</v>
      </c>
      <c r="AP146" s="113">
        <f t="shared" si="613"/>
        <v>8.853589739654133E-2</v>
      </c>
      <c r="AQ146" s="137">
        <f t="shared" si="613"/>
        <v>0.13011183533025883</v>
      </c>
      <c r="AR146" s="113">
        <f t="shared" si="613"/>
        <v>7.8947313314104761E-2</v>
      </c>
      <c r="AS146" s="113">
        <f t="shared" si="613"/>
        <v>8.1577143603831503E-2</v>
      </c>
      <c r="AT146" s="113">
        <f t="shared" si="613"/>
        <v>7.7934408741551886E-2</v>
      </c>
      <c r="AU146" s="113">
        <f t="shared" si="613"/>
        <v>8.0390703464957136E-2</v>
      </c>
      <c r="AV146" s="137">
        <f t="shared" si="613"/>
        <v>7.9604915037411628E-2</v>
      </c>
    </row>
    <row r="147" spans="2:48" s="23" customFormat="1" outlineLevel="1" x14ac:dyDescent="0.3">
      <c r="B147" s="200" t="s">
        <v>139</v>
      </c>
      <c r="C147" s="201"/>
      <c r="D147" s="27"/>
      <c r="E147" s="27"/>
      <c r="F147" s="27"/>
      <c r="G147" s="27"/>
      <c r="H147" s="29"/>
      <c r="I147" s="27">
        <f t="shared" ref="I147:V147" si="614">I34/D34-1</f>
        <v>5.9389868457878192E-2</v>
      </c>
      <c r="J147" s="27">
        <f t="shared" si="614"/>
        <v>-0.47460546003783222</v>
      </c>
      <c r="K147" s="27">
        <f t="shared" si="614"/>
        <v>-1.5922286955663072</v>
      </c>
      <c r="L147" s="113">
        <f t="shared" si="614"/>
        <v>-0.26631134736842188</v>
      </c>
      <c r="M147" s="137">
        <f t="shared" si="614"/>
        <v>-0.59372113780519853</v>
      </c>
      <c r="N147" s="113">
        <f t="shared" si="614"/>
        <v>-0.23228377390823718</v>
      </c>
      <c r="O147" s="113">
        <f t="shared" si="614"/>
        <v>0.96992458477270005</v>
      </c>
      <c r="P147" s="113">
        <f t="shared" si="614"/>
        <v>-3.1776350920116565</v>
      </c>
      <c r="Q147" s="113">
        <f t="shared" si="614"/>
        <v>0.95350602232643134</v>
      </c>
      <c r="R147" s="29">
        <f t="shared" si="614"/>
        <v>1.8162682861720394</v>
      </c>
      <c r="S147" s="113">
        <f t="shared" si="614"/>
        <v>0.18036058258616094</v>
      </c>
      <c r="T147" s="113">
        <f t="shared" si="614"/>
        <v>-5.6546752866856842E-2</v>
      </c>
      <c r="U147" s="113">
        <f t="shared" si="614"/>
        <v>-0.16448812865885809</v>
      </c>
      <c r="V147" s="113">
        <f t="shared" si="614"/>
        <v>-0.26279791380310435</v>
      </c>
      <c r="W147" s="137">
        <f>W34/(R34-0.1-0.04)-1</f>
        <v>-7.1525533573520983E-2</v>
      </c>
      <c r="X147" s="113">
        <f t="shared" ref="X147:AV147" si="615">X34/S34-1</f>
        <v>6.727915242534821E-2</v>
      </c>
      <c r="Y147" s="113">
        <f t="shared" si="615"/>
        <v>0.22773643866843196</v>
      </c>
      <c r="Z147" s="113">
        <f t="shared" si="615"/>
        <v>8.9394667088473767E-2</v>
      </c>
      <c r="AA147" s="113">
        <f t="shared" si="615"/>
        <v>0.32611122579475427</v>
      </c>
      <c r="AB147" s="137">
        <f t="shared" si="615"/>
        <v>0.17253318908414506</v>
      </c>
      <c r="AC147" s="113">
        <f t="shared" si="615"/>
        <v>0.29730041490083137</v>
      </c>
      <c r="AD147" s="113">
        <f t="shared" si="615"/>
        <v>0.14982772973070535</v>
      </c>
      <c r="AE147" s="113">
        <f t="shared" si="615"/>
        <v>0.1158791658328151</v>
      </c>
      <c r="AF147" s="113">
        <f t="shared" si="615"/>
        <v>3.6367204254008412E-2</v>
      </c>
      <c r="AG147" s="137">
        <f t="shared" si="615"/>
        <v>0.14148331506405398</v>
      </c>
      <c r="AH147" s="113">
        <f t="shared" si="615"/>
        <v>0.16882317049873174</v>
      </c>
      <c r="AI147" s="113">
        <f t="shared" si="615"/>
        <v>0.18346735978771633</v>
      </c>
      <c r="AJ147" s="113">
        <f t="shared" si="615"/>
        <v>0.26687639569822519</v>
      </c>
      <c r="AK147" s="113">
        <f t="shared" si="615"/>
        <v>0.24842973471615903</v>
      </c>
      <c r="AL147" s="137">
        <f t="shared" si="615"/>
        <v>0.21757195528166751</v>
      </c>
      <c r="AM147" s="113">
        <f t="shared" si="615"/>
        <v>0.16673694088907975</v>
      </c>
      <c r="AN147" s="113">
        <f t="shared" si="615"/>
        <v>0.1556433660889891</v>
      </c>
      <c r="AO147" s="113">
        <f t="shared" si="615"/>
        <v>0.10733190377074098</v>
      </c>
      <c r="AP147" s="113">
        <f t="shared" si="615"/>
        <v>8.571441169422056E-2</v>
      </c>
      <c r="AQ147" s="29">
        <f t="shared" si="615"/>
        <v>0.12746244873358337</v>
      </c>
      <c r="AR147" s="113">
        <f t="shared" si="615"/>
        <v>7.6624770021764377E-2</v>
      </c>
      <c r="AS147" s="113">
        <f t="shared" si="615"/>
        <v>7.8684245297217403E-2</v>
      </c>
      <c r="AT147" s="113">
        <f t="shared" si="615"/>
        <v>7.5755195670590414E-2</v>
      </c>
      <c r="AU147" s="113">
        <f t="shared" si="615"/>
        <v>7.8029008610370765E-2</v>
      </c>
      <c r="AV147" s="29">
        <f t="shared" si="615"/>
        <v>7.719248614526375E-2</v>
      </c>
    </row>
    <row r="148" spans="2:48" s="23" customFormat="1" outlineLevel="1" x14ac:dyDescent="0.3">
      <c r="B148" s="200" t="s">
        <v>140</v>
      </c>
      <c r="C148" s="201"/>
      <c r="D148" s="27"/>
      <c r="E148" s="27"/>
      <c r="F148" s="27"/>
      <c r="G148" s="27"/>
      <c r="H148" s="29"/>
      <c r="I148" s="27">
        <f>'CFS 3Q2022'!I55</f>
        <v>-0.22820512820512895</v>
      </c>
      <c r="J148" s="27">
        <f>'CFS 3Q2022'!J55</f>
        <v>-4.4869364754098413</v>
      </c>
      <c r="K148" s="27">
        <f>'CFS 3Q2022'!K55</f>
        <v>-1.314434752864716</v>
      </c>
      <c r="L148" s="113">
        <f>'CFS 3Q2022'!L55</f>
        <v>0.34527569713924766</v>
      </c>
      <c r="M148" s="137">
        <f>'CFS 3Q2022'!M55</f>
        <v>-0.68340961778517451</v>
      </c>
      <c r="N148" s="113">
        <f>'CFS 3Q2022'!N55</f>
        <v>-2.1785305811139466E-4</v>
      </c>
      <c r="O148" s="113">
        <f>'CFS 3Q2022'!O55</f>
        <v>-1.649232351428781</v>
      </c>
      <c r="P148" s="113">
        <f>'CFS 3Q2022'!P55</f>
        <v>-5.7565950503127619</v>
      </c>
      <c r="Q148" s="113">
        <f>'CFS 3Q2022'!Q55</f>
        <v>2.012477359629572E-2</v>
      </c>
      <c r="R148" s="29">
        <f>'CFS 3Q2022'!R55</f>
        <v>2.7484040555764064</v>
      </c>
      <c r="S148" s="113">
        <f>'CFS 3Q2022'!S55</f>
        <v>1.9175246499972598E-2</v>
      </c>
      <c r="T148" s="113">
        <f>'CFS 3Q2022'!T55</f>
        <v>-0.81681375876895213</v>
      </c>
      <c r="U148" s="113">
        <f>'CFS 3Q2022'!U55</f>
        <v>-0.27684391080617499</v>
      </c>
      <c r="V148" s="113">
        <f>'CFS 3Q2022'!V55</f>
        <v>-0.12064240558931372</v>
      </c>
      <c r="W148" s="137">
        <f>'CFS 3Q2022'!W55</f>
        <v>-0.22613385864216728</v>
      </c>
      <c r="X148" s="113">
        <f>'CFS 3Q2022'!X55</f>
        <v>-0.10151519278243049</v>
      </c>
      <c r="Y148" s="113">
        <f>'CFS 3Q2022'!Y55</f>
        <v>3.42008860876326</v>
      </c>
      <c r="Z148" s="113">
        <f>'CFS 3Q2022'!Z55</f>
        <v>-0.15006052484644972</v>
      </c>
      <c r="AA148" s="113">
        <f>'CFS 3Q2022'!AA55</f>
        <v>0.45536887484654054</v>
      </c>
      <c r="AB148" s="137">
        <f>'CFS 3Q2022'!AB55</f>
        <v>0.16892238661618042</v>
      </c>
      <c r="AC148" s="113">
        <f>'CFS 3Q2022'!AC55</f>
        <v>0.24691883730583397</v>
      </c>
      <c r="AD148" s="113">
        <f>'CFS 3Q2022'!AD55</f>
        <v>0.37530176562116235</v>
      </c>
      <c r="AE148" s="113">
        <f>'CFS 3Q2022'!AE55</f>
        <v>0.34612643463409065</v>
      </c>
      <c r="AF148" s="113">
        <f>'CFS 3Q2022'!AF55</f>
        <v>-2.4736637203284673E-2</v>
      </c>
      <c r="AG148" s="137">
        <f>'CFS 3Q2022'!AG55</f>
        <v>0.18597703626609663</v>
      </c>
      <c r="AH148" s="113">
        <f>'CFS 3Q2022'!AH55</f>
        <v>0.10455238731064909</v>
      </c>
      <c r="AI148" s="113">
        <f>'CFS 3Q2022'!AI55</f>
        <v>0.14187144563770904</v>
      </c>
      <c r="AJ148" s="113">
        <f>'CFS 3Q2022'!AJ55</f>
        <v>0.12148208131993044</v>
      </c>
      <c r="AK148" s="113">
        <f>'CFS 3Q2022'!AK55</f>
        <v>0.15953464638914094</v>
      </c>
      <c r="AL148" s="29">
        <f>'CFS 3Q2022'!AL55</f>
        <v>0.13032310166971062</v>
      </c>
      <c r="AM148" s="113">
        <f>'CFS 3Q2022'!AM55</f>
        <v>0.11491532672238369</v>
      </c>
      <c r="AN148" s="113">
        <f>'CFS 3Q2022'!AN55</f>
        <v>8.9409040912066695E-2</v>
      </c>
      <c r="AO148" s="113">
        <f>'CFS 3Q2022'!AO55</f>
        <v>6.908370374215278E-2</v>
      </c>
      <c r="AP148" s="113">
        <f>'CFS 3Q2022'!AP55</f>
        <v>9.9590570093358588E-2</v>
      </c>
      <c r="AQ148" s="29">
        <f>'CFS 3Q2022'!AQ55</f>
        <v>9.6083395525643045E-2</v>
      </c>
      <c r="AR148" s="113">
        <f>'CFS 3Q2022'!AR55</f>
        <v>9.3863479209438605E-2</v>
      </c>
      <c r="AS148" s="113">
        <f>'CFS 3Q2022'!AS55</f>
        <v>9.4543027290346471E-2</v>
      </c>
      <c r="AT148" s="113">
        <f>'CFS 3Q2022'!AT55</f>
        <v>0.10685921755755201</v>
      </c>
      <c r="AU148" s="113">
        <f>'CFS 3Q2022'!AU55</f>
        <v>5.8776205961678762E-2</v>
      </c>
      <c r="AV148" s="29">
        <f>'CFS 3Q2022'!AV55</f>
        <v>8.6133821901191343E-2</v>
      </c>
    </row>
    <row r="149" spans="2:48" s="23" customFormat="1" outlineLevel="1" x14ac:dyDescent="0.3">
      <c r="B149" s="200" t="s">
        <v>334</v>
      </c>
      <c r="C149" s="201"/>
      <c r="D149" s="27"/>
      <c r="E149" s="27"/>
      <c r="F149" s="27"/>
      <c r="G149" s="27"/>
      <c r="H149" s="29"/>
      <c r="I149" s="27"/>
      <c r="J149" s="27"/>
      <c r="K149" s="27"/>
      <c r="L149" s="113"/>
      <c r="M149" s="137"/>
      <c r="N149" s="113"/>
      <c r="O149" s="113"/>
      <c r="P149" s="113"/>
      <c r="Q149" s="113"/>
      <c r="R149" s="29"/>
      <c r="S149" s="113"/>
      <c r="T149" s="113"/>
      <c r="U149" s="113"/>
      <c r="V149" s="113"/>
      <c r="W149" s="137"/>
      <c r="X149" s="113"/>
      <c r="Y149" s="113"/>
      <c r="Z149" s="113"/>
      <c r="AA149" s="113"/>
      <c r="AB149" s="137"/>
      <c r="AC149" s="113"/>
      <c r="AD149" s="113"/>
      <c r="AE149" s="113"/>
      <c r="AF149" s="113"/>
      <c r="AG149" s="137"/>
      <c r="AH149" s="113"/>
      <c r="AI149" s="113"/>
      <c r="AJ149" s="113"/>
      <c r="AK149" s="113"/>
      <c r="AL149" s="406">
        <f>(AL34/W34)^(1/3)-1</f>
        <v>0.17678317249137177</v>
      </c>
      <c r="AM149" s="113"/>
      <c r="AN149" s="113"/>
      <c r="AO149" s="113"/>
      <c r="AP149" s="113"/>
      <c r="AQ149" s="29"/>
      <c r="AR149" s="113"/>
      <c r="AS149" s="113"/>
      <c r="AT149" s="113"/>
      <c r="AU149" s="113"/>
      <c r="AV149" s="29"/>
    </row>
    <row r="150" spans="2:48" ht="17.399999999999999" x14ac:dyDescent="0.45">
      <c r="B150" s="583" t="s">
        <v>130</v>
      </c>
      <c r="C150" s="584"/>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2" t="s">
        <v>25</v>
      </c>
      <c r="W150" s="255" t="s">
        <v>26</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580" t="s">
        <v>208</v>
      </c>
      <c r="C151" s="581"/>
      <c r="D151" s="27"/>
      <c r="E151" s="27">
        <f t="shared" ref="E151:G151" si="616">(E30+E155+E158+E161)/D30-1</f>
        <v>2.777764747303535E-2</v>
      </c>
      <c r="F151" s="27">
        <f t="shared" si="616"/>
        <v>-1.7269004124131682E-2</v>
      </c>
      <c r="G151" s="27">
        <f t="shared" si="616"/>
        <v>1.9258933156590885E-2</v>
      </c>
      <c r="H151" s="9"/>
      <c r="I151" s="27">
        <f>(I30+I155+I158+I161)/G30-1</f>
        <v>-1.436336111538794E-2</v>
      </c>
      <c r="J151" s="27">
        <f t="shared" ref="J151:L151" si="617">(J30+J155+J158+J161)/I30-1</f>
        <v>-1.1333810572689007E-3</v>
      </c>
      <c r="K151" s="27">
        <f t="shared" si="617"/>
        <v>-2.8161802355349819E-3</v>
      </c>
      <c r="L151" s="27">
        <f t="shared" si="617"/>
        <v>-9.5210569021197955E-4</v>
      </c>
      <c r="M151" s="9"/>
      <c r="N151" s="27">
        <f>(N30+N155+N158+N161)/L30-1</f>
        <v>6.5210015787404707E-3</v>
      </c>
      <c r="O151" s="27">
        <f t="shared" ref="O151:Q151" si="618">(O30+O155+O158+O161)/N30-1</f>
        <v>2.1276595744681437E-3</v>
      </c>
      <c r="P151" s="27">
        <f t="shared" si="618"/>
        <v>8.4925690021231404E-4</v>
      </c>
      <c r="Q151" s="27">
        <f t="shared" si="618"/>
        <v>8.4925690021231404E-4</v>
      </c>
      <c r="R151" s="9"/>
      <c r="S151" s="27">
        <f>(S30+S155+S158+S161)/Q30-1</f>
        <v>1.7994180128374726E-2</v>
      </c>
      <c r="T151" s="27">
        <f>(T30+T155+T158+T161)/S30-1</f>
        <v>-1.2989686217510177E-2</v>
      </c>
      <c r="U151" s="27">
        <f>(U30+U155+U158+U161)/T30-1</f>
        <v>-1.9143752175426743E-3</v>
      </c>
      <c r="V151" s="35">
        <v>2E-3</v>
      </c>
      <c r="W151" s="256"/>
      <c r="X151" s="35">
        <v>2E-3</v>
      </c>
      <c r="Y151" s="35">
        <v>2E-3</v>
      </c>
      <c r="Z151" s="35">
        <v>2E-3</v>
      </c>
      <c r="AA151" s="35">
        <v>2E-3</v>
      </c>
      <c r="AB151" s="9"/>
      <c r="AC151" s="35">
        <v>2E-3</v>
      </c>
      <c r="AD151" s="35">
        <v>2E-3</v>
      </c>
      <c r="AE151" s="35">
        <v>2E-3</v>
      </c>
      <c r="AF151" s="35">
        <v>2E-3</v>
      </c>
      <c r="AG151" s="9"/>
      <c r="AH151" s="35">
        <v>2E-3</v>
      </c>
      <c r="AI151" s="35">
        <v>2E-3</v>
      </c>
      <c r="AJ151" s="35">
        <v>2E-3</v>
      </c>
      <c r="AK151" s="35">
        <v>2E-3</v>
      </c>
      <c r="AL151" s="9"/>
      <c r="AM151" s="35">
        <v>2E-3</v>
      </c>
      <c r="AN151" s="35">
        <v>2E-3</v>
      </c>
      <c r="AO151" s="35">
        <v>2E-3</v>
      </c>
      <c r="AP151" s="35">
        <v>2E-3</v>
      </c>
      <c r="AQ151" s="9"/>
      <c r="AR151" s="35">
        <v>2E-3</v>
      </c>
      <c r="AS151" s="35">
        <v>2E-3</v>
      </c>
      <c r="AT151" s="35">
        <v>2E-3</v>
      </c>
      <c r="AU151" s="35">
        <v>2E-3</v>
      </c>
      <c r="AV151" s="9"/>
    </row>
    <row r="152" spans="2:48" outlineLevel="1" x14ac:dyDescent="0.3">
      <c r="B152" s="580" t="s">
        <v>209</v>
      </c>
      <c r="C152" s="581"/>
      <c r="D152" s="27"/>
      <c r="E152" s="27">
        <f t="shared" ref="E152:G152" si="619">(E31+E155+E158+E161)/D31-1</f>
        <v>2.7604785512613583E-2</v>
      </c>
      <c r="F152" s="27">
        <f t="shared" si="619"/>
        <v>-1.6710442080933863E-2</v>
      </c>
      <c r="G152" s="27">
        <f t="shared" si="619"/>
        <v>1.9089589576967603E-2</v>
      </c>
      <c r="H152" s="9"/>
      <c r="I152" s="27">
        <f>(I31+I155+I158+I161)/G31-1</f>
        <v>-1.5386652077945762E-2</v>
      </c>
      <c r="J152" s="27">
        <f t="shared" ref="J152:L152" si="620">(J31+J155+J158+J161)/I31-1</f>
        <v>-2.5506658270361138E-3</v>
      </c>
      <c r="K152" s="27">
        <f t="shared" si="620"/>
        <v>-1.0332853392055585E-2</v>
      </c>
      <c r="L152" s="27">
        <f t="shared" si="620"/>
        <v>8.9858793324775199E-3</v>
      </c>
      <c r="M152" s="9"/>
      <c r="N152" s="27">
        <f>(N31+N155+N158+N161)/L31-1</f>
        <v>3.392705682782049E-3</v>
      </c>
      <c r="O152" s="27">
        <f t="shared" ref="O152:Q152" si="621">(O31+O155+O158+O161)/N31-1</f>
        <v>1.5215553677092597E-3</v>
      </c>
      <c r="P152" s="27">
        <f t="shared" si="621"/>
        <v>1.1816340310601969E-3</v>
      </c>
      <c r="Q152" s="27">
        <f t="shared" si="621"/>
        <v>1.4331478671387732E-3</v>
      </c>
      <c r="R152" s="9"/>
      <c r="S152" s="27">
        <f>(S31+S155+S158+S161)/Q31-1</f>
        <v>1.6689115245390962E-2</v>
      </c>
      <c r="T152" s="27">
        <f>(T31+T155+T158+T161)/S31-1</f>
        <v>-1.4867191058983376E-2</v>
      </c>
      <c r="U152" s="27">
        <f>(U31+U155+U158+U161)/T31-1</f>
        <v>-2.5132160499177214E-3</v>
      </c>
      <c r="V152" s="35">
        <v>1E-3</v>
      </c>
      <c r="W152" s="256"/>
      <c r="X152" s="35">
        <v>1E-3</v>
      </c>
      <c r="Y152" s="35">
        <v>1E-3</v>
      </c>
      <c r="Z152" s="35">
        <v>1E-3</v>
      </c>
      <c r="AA152" s="35">
        <v>1E-3</v>
      </c>
      <c r="AB152" s="9"/>
      <c r="AC152" s="35">
        <v>1E-3</v>
      </c>
      <c r="AD152" s="35">
        <v>1E-3</v>
      </c>
      <c r="AE152" s="35">
        <v>1E-3</v>
      </c>
      <c r="AF152" s="35">
        <v>1E-3</v>
      </c>
      <c r="AG152" s="9"/>
      <c r="AH152" s="35">
        <v>1E-3</v>
      </c>
      <c r="AI152" s="35">
        <v>1E-3</v>
      </c>
      <c r="AJ152" s="35">
        <v>1E-3</v>
      </c>
      <c r="AK152" s="35">
        <v>1E-3</v>
      </c>
      <c r="AL152" s="9"/>
      <c r="AM152" s="35">
        <v>1E-3</v>
      </c>
      <c r="AN152" s="35">
        <v>1E-3</v>
      </c>
      <c r="AO152" s="35">
        <v>1E-3</v>
      </c>
      <c r="AP152" s="35">
        <v>1E-3</v>
      </c>
      <c r="AQ152" s="9"/>
      <c r="AR152" s="35">
        <v>1E-3</v>
      </c>
      <c r="AS152" s="35">
        <v>1E-3</v>
      </c>
      <c r="AT152" s="35">
        <v>1E-3</v>
      </c>
      <c r="AU152" s="35">
        <v>1E-3</v>
      </c>
      <c r="AV152" s="9"/>
    </row>
    <row r="153" spans="2:48" outlineLevel="1" x14ac:dyDescent="0.3">
      <c r="B153" s="609" t="s">
        <v>137</v>
      </c>
      <c r="C153" s="610"/>
      <c r="D153" s="245"/>
      <c r="E153" s="144">
        <v>69.922678056926543</v>
      </c>
      <c r="F153" s="144">
        <v>83.13076202744692</v>
      </c>
      <c r="G153" s="144">
        <v>92.52</v>
      </c>
      <c r="H153" s="246"/>
      <c r="I153" s="144">
        <v>85.23</v>
      </c>
      <c r="J153" s="144">
        <v>78.08</v>
      </c>
      <c r="K153" s="144">
        <v>0</v>
      </c>
      <c r="L153" s="144">
        <v>0</v>
      </c>
      <c r="M153" s="246"/>
      <c r="N153" s="144">
        <v>0</v>
      </c>
      <c r="O153" s="144">
        <v>0</v>
      </c>
      <c r="P153" s="144">
        <v>0</v>
      </c>
      <c r="Q153" s="144">
        <v>0</v>
      </c>
      <c r="R153" s="246"/>
      <c r="S153" s="144">
        <v>113.12</v>
      </c>
      <c r="T153" s="144">
        <v>94.51</v>
      </c>
      <c r="U153" s="144">
        <v>0</v>
      </c>
      <c r="V153" s="247">
        <f>+U153</f>
        <v>0</v>
      </c>
      <c r="W153" s="257"/>
      <c r="X153" s="247">
        <v>0</v>
      </c>
      <c r="Y153" s="247">
        <v>0</v>
      </c>
      <c r="Z153" s="247">
        <v>0</v>
      </c>
      <c r="AA153" s="247">
        <v>0</v>
      </c>
      <c r="AB153" s="246"/>
      <c r="AC153" s="393">
        <f>AG35/0.02</f>
        <v>109.3955625</v>
      </c>
      <c r="AD153" s="247">
        <f>+AC153</f>
        <v>109.3955625</v>
      </c>
      <c r="AE153" s="247">
        <f>+AD153</f>
        <v>109.3955625</v>
      </c>
      <c r="AF153" s="247">
        <f>+AE153</f>
        <v>109.3955625</v>
      </c>
      <c r="AG153" s="390"/>
      <c r="AH153" s="393">
        <f>AL35/0.02</f>
        <v>114.865340625</v>
      </c>
      <c r="AI153" s="247">
        <f>AH153</f>
        <v>114.865340625</v>
      </c>
      <c r="AJ153" s="247">
        <f>AI153</f>
        <v>114.865340625</v>
      </c>
      <c r="AK153" s="247">
        <f>AJ153</f>
        <v>114.865340625</v>
      </c>
      <c r="AL153" s="390"/>
      <c r="AM153" s="247">
        <f>AQ35/0.02</f>
        <v>119.7152105625</v>
      </c>
      <c r="AN153" s="247">
        <f>AM153</f>
        <v>119.7152105625</v>
      </c>
      <c r="AO153" s="247">
        <f>AN153</f>
        <v>119.7152105625</v>
      </c>
      <c r="AP153" s="247">
        <f>AO153</f>
        <v>119.7152105625</v>
      </c>
      <c r="AQ153" s="246"/>
      <c r="AR153" s="247">
        <f>AV35/0.02</f>
        <v>122.10951477375001</v>
      </c>
      <c r="AS153" s="247">
        <f>AR153</f>
        <v>122.10951477375001</v>
      </c>
      <c r="AT153" s="247">
        <f>AS153</f>
        <v>122.10951477375001</v>
      </c>
      <c r="AU153" s="247">
        <f>AT153</f>
        <v>122.10951477375001</v>
      </c>
      <c r="AV153" s="246"/>
    </row>
    <row r="154" spans="2:48" outlineLevel="1" x14ac:dyDescent="0.3">
      <c r="B154" s="580" t="s">
        <v>138</v>
      </c>
      <c r="C154" s="581"/>
      <c r="D154" s="16"/>
      <c r="E154" s="105">
        <v>713.2</v>
      </c>
      <c r="F154" s="105">
        <f>954.3-713.2</f>
        <v>241.09999999999991</v>
      </c>
      <c r="G154" s="101">
        <v>2177.1942404399997</v>
      </c>
      <c r="H154" s="17">
        <f>+SUM(D154:G154)</f>
        <v>3131.4942404399999</v>
      </c>
      <c r="I154" s="101">
        <v>1107.9389472300002</v>
      </c>
      <c r="J154" s="101">
        <v>567.02921856000012</v>
      </c>
      <c r="K154" s="101">
        <v>0</v>
      </c>
      <c r="L154" s="101">
        <v>0</v>
      </c>
      <c r="M154" s="17">
        <f>+SUM(I154:L154)</f>
        <v>1674.9681657900003</v>
      </c>
      <c r="N154" s="101">
        <v>0</v>
      </c>
      <c r="O154" s="101">
        <v>0</v>
      </c>
      <c r="P154" s="101">
        <v>0</v>
      </c>
      <c r="Q154" s="101">
        <v>0</v>
      </c>
      <c r="R154" s="17">
        <f>+SUM(N154:Q154)</f>
        <v>0</v>
      </c>
      <c r="S154" s="101">
        <f>S155*S153</f>
        <v>3520.86</v>
      </c>
      <c r="T154" s="101">
        <f>T155*T153</f>
        <v>492.13842613000003</v>
      </c>
      <c r="U154" s="101">
        <v>0</v>
      </c>
      <c r="V154" s="33">
        <f>U154</f>
        <v>0</v>
      </c>
      <c r="W154" s="169">
        <f>+SUM(S154:V154)</f>
        <v>4012.9984261300001</v>
      </c>
      <c r="X154" s="33">
        <v>0</v>
      </c>
      <c r="Y154" s="33">
        <v>0</v>
      </c>
      <c r="Z154" s="33">
        <v>0</v>
      </c>
      <c r="AA154" s="33">
        <v>0</v>
      </c>
      <c r="AB154" s="17">
        <f>+SUM(X154:AA154)</f>
        <v>0</v>
      </c>
      <c r="AC154" s="33"/>
      <c r="AD154" s="33"/>
      <c r="AE154" s="33">
        <v>100</v>
      </c>
      <c r="AF154" s="33">
        <v>100</v>
      </c>
      <c r="AG154" s="17">
        <f>+SUM(AC154:AF154)</f>
        <v>200</v>
      </c>
      <c r="AH154" s="33">
        <v>100</v>
      </c>
      <c r="AI154" s="33">
        <v>100</v>
      </c>
      <c r="AJ154" s="33">
        <v>5190.5983828510816</v>
      </c>
      <c r="AK154" s="33">
        <f>AJ154</f>
        <v>5190.5983828510816</v>
      </c>
      <c r="AL154" s="17">
        <f>+SUM(AH154:AK154)</f>
        <v>10581.196765702163</v>
      </c>
      <c r="AM154" s="33">
        <v>250</v>
      </c>
      <c r="AN154" s="33">
        <v>250</v>
      </c>
      <c r="AO154" s="33">
        <v>250</v>
      </c>
      <c r="AP154" s="33">
        <v>250</v>
      </c>
      <c r="AQ154" s="17">
        <f>+SUM(AM154:AP154)</f>
        <v>1000</v>
      </c>
      <c r="AR154" s="33">
        <v>250</v>
      </c>
      <c r="AS154" s="33">
        <v>250</v>
      </c>
      <c r="AT154" s="33">
        <v>250</v>
      </c>
      <c r="AU154" s="33">
        <v>250</v>
      </c>
      <c r="AV154" s="17">
        <f>+SUM(AR154:AU154)</f>
        <v>1000</v>
      </c>
    </row>
    <row r="155" spans="2:48" outlineLevel="1" x14ac:dyDescent="0.3">
      <c r="B155" s="580" t="s">
        <v>207</v>
      </c>
      <c r="C155" s="581"/>
      <c r="D155" s="139"/>
      <c r="E155" s="139">
        <f>IF((E154)&gt;0,(E154/E153),0)</f>
        <v>10.199838161509755</v>
      </c>
      <c r="F155" s="142">
        <f>IF((F154)&gt;0,(F154/F153),0)</f>
        <v>2.9002500893760241</v>
      </c>
      <c r="G155" s="142">
        <f>IF((G154)&gt;0,(G154/G153),0)</f>
        <v>23.532146999999998</v>
      </c>
      <c r="H155" s="49">
        <f>+SUM(D155:G155)</f>
        <v>36.632235250885778</v>
      </c>
      <c r="I155" s="139">
        <f>IF((I154)&gt;0,(I154/I153),0)</f>
        <v>12.999401000000001</v>
      </c>
      <c r="J155" s="142">
        <f>IF((J154)&gt;0,(J154/J153),0)</f>
        <v>7.262157000000002</v>
      </c>
      <c r="K155" s="139">
        <f>IF((K154)&gt;0,(K154/K153),0)</f>
        <v>0</v>
      </c>
      <c r="L155" s="139">
        <f>IF((L154)&gt;0,(L154/L153),0)</f>
        <v>0</v>
      </c>
      <c r="M155" s="49">
        <f>+SUM(I155:L155)</f>
        <v>20.261558000000001</v>
      </c>
      <c r="N155" s="139">
        <f>IF((N154)&gt;0,(N154/N153),0)</f>
        <v>0</v>
      </c>
      <c r="O155" s="139">
        <f>IF((O154)&gt;0,(O154/O153),0)</f>
        <v>0</v>
      </c>
      <c r="P155" s="139">
        <f>IF((P154)&gt;0,(P154/P153),0)</f>
        <v>0</v>
      </c>
      <c r="Q155" s="139">
        <f>IF((Q154)&gt;0,(Q154/Q153),0)</f>
        <v>0</v>
      </c>
      <c r="R155" s="49">
        <f>+SUM(N155:Q155)</f>
        <v>0</v>
      </c>
      <c r="S155" s="139">
        <v>31.125</v>
      </c>
      <c r="T155" s="142">
        <v>5.2072630000000002</v>
      </c>
      <c r="U155" s="142">
        <f>IF((U154)&gt;0,(U154/U153),0)</f>
        <v>0</v>
      </c>
      <c r="V155" s="139">
        <f>IF((V154)&gt;0,(V154/V153),0)</f>
        <v>0</v>
      </c>
      <c r="W155" s="49">
        <f>+SUM(S155:V155)</f>
        <v>36.332262999999998</v>
      </c>
      <c r="X155" s="139">
        <f>IF((X154)&gt;0,(X154/X153),0)</f>
        <v>0</v>
      </c>
      <c r="Y155" s="139">
        <f>IF((Y154)&gt;0,(Y154/Y153),0)</f>
        <v>0</v>
      </c>
      <c r="Z155" s="139">
        <f>IF((Z154)&gt;0,(Z154/Z153),0)</f>
        <v>0</v>
      </c>
      <c r="AA155" s="139">
        <f>IF((AA154)&gt;0,(AA154/AA153),0)</f>
        <v>0</v>
      </c>
      <c r="AB155" s="49">
        <f>+SUM(X155:AA155)</f>
        <v>0</v>
      </c>
      <c r="AC155" s="139">
        <f>IF((AC154)&gt;0,(AC154/AC153),0)</f>
        <v>0</v>
      </c>
      <c r="AD155" s="139">
        <f>IF((AD154)&gt;0,(AD154/AD153),0)</f>
        <v>0</v>
      </c>
      <c r="AE155" s="139">
        <f>IF((AE154)&gt;0,(AE154/AE153),0)</f>
        <v>0.9141138608798689</v>
      </c>
      <c r="AF155" s="139">
        <f>IF((AF154)&gt;0,(AF154/AF153),0)</f>
        <v>0.9141138608798689</v>
      </c>
      <c r="AG155" s="49">
        <f>+SUM(AC155:AF155)</f>
        <v>1.8282277217597378</v>
      </c>
      <c r="AH155" s="139">
        <f>IF((AH154)&gt;0,(AH154/AH153),0)</f>
        <v>0.87058462940939896</v>
      </c>
      <c r="AI155" s="139">
        <f>IF((AI154)&gt;0,(AI154/AI153),0)</f>
        <v>0.87058462940939896</v>
      </c>
      <c r="AJ155" s="139">
        <f>IF((AJ154)&gt;0,(AJ154/AJ153),0)</f>
        <v>45.188551695474345</v>
      </c>
      <c r="AK155" s="139">
        <f>IF((AK154)&gt;0,(AK154/AK153),0)</f>
        <v>45.188551695474345</v>
      </c>
      <c r="AL155" s="49">
        <f>+SUM(AH155:AK155)</f>
        <v>92.118272649767491</v>
      </c>
      <c r="AM155" s="139">
        <f>IF((AM154)&gt;0,(AM154/AM153),0)</f>
        <v>2.0882893562592191</v>
      </c>
      <c r="AN155" s="139">
        <f>IF((AN154)&gt;0,(AN154/AN153),0)</f>
        <v>2.0882893562592191</v>
      </c>
      <c r="AO155" s="139">
        <f>IF((AO154)&gt;0,(AO154/AO153),0)</f>
        <v>2.0882893562592191</v>
      </c>
      <c r="AP155" s="139">
        <f>IF((AP154)&gt;0,(AP154/AP153),0)</f>
        <v>2.0882893562592191</v>
      </c>
      <c r="AQ155" s="49">
        <f>+SUM(AM155:AP155)</f>
        <v>8.3531574250368763</v>
      </c>
      <c r="AR155" s="139">
        <f>IF((AR154)&gt;0,(AR154/AR153),0)</f>
        <v>2.0473425061364892</v>
      </c>
      <c r="AS155" s="139">
        <f>IF((AS154)&gt;0,(AS154/AS153),0)</f>
        <v>2.0473425061364892</v>
      </c>
      <c r="AT155" s="139">
        <f>IF((AT154)&gt;0,(AT154/AT153),0)</f>
        <v>2.0473425061364892</v>
      </c>
      <c r="AU155" s="139">
        <f>IF((AU154)&gt;0,(AU154/AU153),0)</f>
        <v>2.0473425061364892</v>
      </c>
      <c r="AV155" s="49">
        <f>+SUM(AR155:AU155)</f>
        <v>8.1893700245459566</v>
      </c>
    </row>
    <row r="156" spans="2:48" outlineLevel="1" x14ac:dyDescent="0.3">
      <c r="B156" s="611" t="s">
        <v>131</v>
      </c>
      <c r="C156" s="612"/>
      <c r="D156" s="143">
        <v>55.58</v>
      </c>
      <c r="E156" s="144">
        <v>65.03</v>
      </c>
      <c r="F156" s="96"/>
      <c r="G156" s="96"/>
      <c r="H156" s="76"/>
      <c r="I156" s="96"/>
      <c r="J156" s="96"/>
      <c r="K156" s="96"/>
      <c r="L156" s="96"/>
      <c r="M156" s="76"/>
      <c r="N156" s="96"/>
      <c r="O156" s="96"/>
      <c r="P156" s="96"/>
      <c r="Q156" s="96"/>
      <c r="R156" s="76"/>
      <c r="S156" s="96"/>
      <c r="T156" s="96"/>
      <c r="U156" s="96"/>
      <c r="V156" s="96"/>
      <c r="W156" s="76"/>
      <c r="X156" s="96"/>
      <c r="Y156" s="96"/>
      <c r="Z156" s="96"/>
      <c r="AA156" s="96"/>
      <c r="AB156" s="76"/>
      <c r="AC156" s="96"/>
      <c r="AD156" s="96"/>
      <c r="AE156" s="96"/>
      <c r="AF156" s="96"/>
      <c r="AG156" s="76"/>
      <c r="AH156" s="96"/>
      <c r="AI156" s="96"/>
      <c r="AJ156" s="96"/>
      <c r="AK156" s="96"/>
      <c r="AL156" s="76"/>
      <c r="AM156" s="96"/>
      <c r="AN156" s="96"/>
      <c r="AO156" s="96"/>
      <c r="AP156" s="96"/>
      <c r="AQ156" s="76"/>
      <c r="AR156" s="96"/>
      <c r="AS156" s="96"/>
      <c r="AT156" s="96"/>
      <c r="AU156" s="96"/>
      <c r="AV156" s="76"/>
    </row>
    <row r="157" spans="2:48" outlineLevel="1" x14ac:dyDescent="0.3">
      <c r="B157" s="613" t="s">
        <v>132</v>
      </c>
      <c r="C157" s="614"/>
      <c r="D157" s="145">
        <f>71.968334*55.58</f>
        <v>4000.0000037199998</v>
      </c>
      <c r="E157" s="146">
        <v>318.64700000000005</v>
      </c>
      <c r="F157" s="139"/>
      <c r="G157" s="139"/>
      <c r="H157" s="49"/>
      <c r="I157" s="139"/>
      <c r="J157" s="139"/>
      <c r="K157" s="139"/>
      <c r="L157" s="139"/>
      <c r="M157" s="49"/>
      <c r="N157" s="139"/>
      <c r="O157" s="139"/>
      <c r="P157" s="139"/>
      <c r="Q157" s="139"/>
      <c r="R157" s="49"/>
      <c r="S157" s="139"/>
      <c r="T157" s="139"/>
      <c r="U157" s="142"/>
      <c r="V157" s="139"/>
      <c r="W157" s="137"/>
      <c r="X157" s="139"/>
      <c r="Y157" s="139"/>
      <c r="Z157" s="139"/>
      <c r="AA157" s="139"/>
      <c r="AB157" s="49"/>
      <c r="AC157" s="139"/>
      <c r="AD157" s="139"/>
      <c r="AE157" s="139"/>
      <c r="AF157" s="139"/>
      <c r="AG157" s="49"/>
      <c r="AH157" s="139"/>
      <c r="AI157" s="139"/>
      <c r="AJ157" s="139"/>
      <c r="AK157" s="139"/>
      <c r="AL157" s="49"/>
      <c r="AM157" s="139"/>
      <c r="AN157" s="139"/>
      <c r="AO157" s="139"/>
      <c r="AP157" s="139"/>
      <c r="AQ157" s="49"/>
      <c r="AR157" s="139"/>
      <c r="AS157" s="139"/>
      <c r="AT157" s="139"/>
      <c r="AU157" s="139"/>
      <c r="AV157" s="49"/>
    </row>
    <row r="158" spans="2:48" outlineLevel="1" x14ac:dyDescent="0.3">
      <c r="B158" s="615" t="s">
        <v>133</v>
      </c>
      <c r="C158" s="616"/>
      <c r="D158" s="147">
        <f>IF((D157)&gt;0,(D157/D156),0)</f>
        <v>71.968333999999999</v>
      </c>
      <c r="E158" s="140">
        <f>IF((E157)&gt;0,(E157/E156),0)</f>
        <v>4.9000000000000004</v>
      </c>
      <c r="F158" s="140"/>
      <c r="G158" s="140"/>
      <c r="H158" s="141"/>
      <c r="I158" s="140"/>
      <c r="J158" s="140"/>
      <c r="K158" s="140"/>
      <c r="L158" s="140"/>
      <c r="M158" s="141"/>
      <c r="N158" s="140"/>
      <c r="O158" s="140"/>
      <c r="P158" s="140"/>
      <c r="Q158" s="140"/>
      <c r="R158" s="141"/>
      <c r="S158" s="140"/>
      <c r="T158" s="140"/>
      <c r="U158" s="140"/>
      <c r="V158" s="140"/>
      <c r="W158" s="199"/>
      <c r="X158" s="140"/>
      <c r="Y158" s="140"/>
      <c r="Z158" s="140"/>
      <c r="AA158" s="140"/>
      <c r="AB158" s="141"/>
      <c r="AC158" s="140"/>
      <c r="AD158" s="140"/>
      <c r="AE158" s="140"/>
      <c r="AF158" s="140"/>
      <c r="AG158" s="141"/>
      <c r="AH158" s="140"/>
      <c r="AI158" s="140"/>
      <c r="AJ158" s="140"/>
      <c r="AK158" s="140"/>
      <c r="AL158" s="141"/>
      <c r="AM158" s="140"/>
      <c r="AN158" s="140"/>
      <c r="AO158" s="140"/>
      <c r="AP158" s="140"/>
      <c r="AQ158" s="141"/>
      <c r="AR158" s="140"/>
      <c r="AS158" s="140"/>
      <c r="AT158" s="140"/>
      <c r="AU158" s="140"/>
      <c r="AV158" s="141"/>
    </row>
    <row r="159" spans="2:48" outlineLevel="1" x14ac:dyDescent="0.3">
      <c r="B159" s="200" t="s">
        <v>134</v>
      </c>
      <c r="C159" s="201"/>
      <c r="D159" s="139"/>
      <c r="E159" s="36">
        <v>71.959999999999994</v>
      </c>
      <c r="F159" s="36">
        <v>76.5</v>
      </c>
      <c r="G159" s="139"/>
      <c r="H159" s="49"/>
      <c r="I159" s="139"/>
      <c r="J159" s="139"/>
      <c r="K159" s="139"/>
      <c r="L159" s="139"/>
      <c r="M159" s="49"/>
      <c r="N159" s="139"/>
      <c r="O159" s="139"/>
      <c r="P159" s="139"/>
      <c r="Q159" s="139"/>
      <c r="R159" s="49"/>
      <c r="S159" s="139"/>
      <c r="T159" s="139"/>
      <c r="U159" s="139"/>
      <c r="V159" s="139"/>
      <c r="W159" s="49"/>
      <c r="X159" s="139"/>
      <c r="Y159" s="139"/>
      <c r="Z159" s="139"/>
      <c r="AA159" s="139"/>
      <c r="AB159" s="49"/>
      <c r="AC159" s="139"/>
      <c r="AD159" s="139"/>
      <c r="AE159" s="139"/>
      <c r="AF159" s="139"/>
      <c r="AG159" s="49"/>
      <c r="AH159" s="139"/>
      <c r="AI159" s="139"/>
      <c r="AJ159" s="139"/>
      <c r="AK159" s="139"/>
      <c r="AL159" s="49"/>
      <c r="AM159" s="139"/>
      <c r="AN159" s="139"/>
      <c r="AO159" s="139"/>
      <c r="AP159" s="139"/>
      <c r="AQ159" s="49"/>
      <c r="AR159" s="139"/>
      <c r="AS159" s="139"/>
      <c r="AT159" s="139"/>
      <c r="AU159" s="139"/>
      <c r="AV159" s="49"/>
    </row>
    <row r="160" spans="2:48" outlineLevel="1" x14ac:dyDescent="0.3">
      <c r="B160" s="200" t="s">
        <v>135</v>
      </c>
      <c r="C160" s="201"/>
      <c r="D160" s="139"/>
      <c r="E160" s="16">
        <v>1597.5119999999997</v>
      </c>
      <c r="F160" s="16">
        <v>298.35000000000002</v>
      </c>
      <c r="G160" s="139"/>
      <c r="H160" s="49"/>
      <c r="I160" s="139"/>
      <c r="J160" s="139"/>
      <c r="K160" s="139"/>
      <c r="L160" s="139"/>
      <c r="M160" s="49"/>
      <c r="N160" s="179"/>
      <c r="O160" s="139"/>
      <c r="P160" s="139"/>
      <c r="Q160" s="139"/>
      <c r="R160" s="49"/>
      <c r="S160" s="139"/>
      <c r="T160" s="139"/>
      <c r="U160" s="139"/>
      <c r="V160" s="139"/>
      <c r="W160" s="49"/>
      <c r="X160" s="139"/>
      <c r="Y160" s="139"/>
      <c r="Z160" s="139"/>
      <c r="AA160" s="139"/>
      <c r="AB160" s="49"/>
      <c r="AC160" s="139"/>
      <c r="AD160" s="139"/>
      <c r="AE160" s="139"/>
      <c r="AF160" s="139"/>
      <c r="AG160" s="49"/>
      <c r="AH160" s="139"/>
      <c r="AI160" s="139"/>
      <c r="AJ160" s="139"/>
      <c r="AK160" s="139"/>
      <c r="AL160" s="49"/>
      <c r="AM160" s="139"/>
      <c r="AN160" s="139"/>
      <c r="AO160" s="139"/>
      <c r="AP160" s="139"/>
      <c r="AQ160" s="49"/>
      <c r="AR160" s="139"/>
      <c r="AS160" s="139"/>
      <c r="AT160" s="139"/>
      <c r="AU160" s="139"/>
      <c r="AV160" s="49"/>
    </row>
    <row r="161" spans="2:48" outlineLevel="1" x14ac:dyDescent="0.3">
      <c r="B161" s="200" t="s">
        <v>136</v>
      </c>
      <c r="C161" s="201"/>
      <c r="D161" s="139"/>
      <c r="E161" s="139">
        <f>IF((E160)&gt;0,(E160/E159),0)</f>
        <v>22.2</v>
      </c>
      <c r="F161" s="139">
        <f>IF((F160)&gt;0,(F160/F159),0)</f>
        <v>3.9000000000000004</v>
      </c>
      <c r="G161" s="139"/>
      <c r="H161" s="49"/>
      <c r="I161" s="139"/>
      <c r="J161" s="139"/>
      <c r="K161" s="139"/>
      <c r="L161" s="139"/>
      <c r="M161" s="49"/>
      <c r="N161" s="139"/>
      <c r="O161" s="139"/>
      <c r="P161" s="139"/>
      <c r="Q161" s="139"/>
      <c r="R161" s="49"/>
      <c r="S161" s="139"/>
      <c r="T161" s="139"/>
      <c r="U161" s="139"/>
      <c r="V161" s="139"/>
      <c r="W161" s="49"/>
      <c r="X161" s="139"/>
      <c r="Y161" s="139"/>
      <c r="Z161" s="139"/>
      <c r="AA161" s="139"/>
      <c r="AB161" s="49"/>
      <c r="AC161" s="139"/>
      <c r="AD161" s="139"/>
      <c r="AE161" s="139"/>
      <c r="AF161" s="139"/>
      <c r="AG161" s="49"/>
      <c r="AH161" s="139"/>
      <c r="AI161" s="139"/>
      <c r="AJ161" s="139"/>
      <c r="AK161" s="139"/>
      <c r="AL161" s="49"/>
      <c r="AM161" s="139"/>
      <c r="AN161" s="139"/>
      <c r="AO161" s="139"/>
      <c r="AP161" s="139"/>
      <c r="AQ161" s="49"/>
      <c r="AR161" s="139"/>
      <c r="AS161" s="139"/>
      <c r="AT161" s="139"/>
      <c r="AU161" s="139"/>
      <c r="AV161" s="49"/>
    </row>
    <row r="162" spans="2:48" ht="17.399999999999999" x14ac:dyDescent="0.45">
      <c r="B162" s="583" t="s">
        <v>12</v>
      </c>
      <c r="C162" s="584"/>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2" t="s">
        <v>25</v>
      </c>
      <c r="W162" s="42" t="s">
        <v>26</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580" t="s">
        <v>65</v>
      </c>
      <c r="C163" s="581"/>
      <c r="D163" s="102">
        <f>-(22+5.3+0.6+20.9)</f>
        <v>-48.8</v>
      </c>
      <c r="E163" s="102">
        <v>-45.1</v>
      </c>
      <c r="F163" s="102">
        <v>-39.6</v>
      </c>
      <c r="G163" s="102">
        <f>-146.2+133.5</f>
        <v>-12.699999999999989</v>
      </c>
      <c r="H163" s="159">
        <f>SUM(D163:G163)</f>
        <v>-146.19999999999999</v>
      </c>
      <c r="I163" s="102">
        <v>-7.1</v>
      </c>
      <c r="J163" s="102">
        <v>0.1</v>
      </c>
      <c r="K163" s="105">
        <f>-K14</f>
        <v>-78.099999999999994</v>
      </c>
      <c r="L163" s="101">
        <v>-195.5</v>
      </c>
      <c r="M163" s="169"/>
      <c r="N163" s="101">
        <v>-72.2</v>
      </c>
      <c r="O163" s="101">
        <v>-23</v>
      </c>
      <c r="P163" s="101">
        <v>-19.8</v>
      </c>
      <c r="Q163" s="101">
        <v>-55.5</v>
      </c>
      <c r="R163" s="17"/>
      <c r="S163" s="16">
        <v>7.5</v>
      </c>
      <c r="T163" s="16">
        <v>-4.4000000000000004</v>
      </c>
      <c r="U163" s="16">
        <v>-14</v>
      </c>
      <c r="V163" s="33">
        <v>-50</v>
      </c>
      <c r="W163" s="17"/>
      <c r="X163" s="33">
        <v>-50</v>
      </c>
      <c r="Y163" s="33">
        <v>0</v>
      </c>
      <c r="Z163" s="33">
        <f t="shared" ref="Z163:AA163" si="622">Y163</f>
        <v>0</v>
      </c>
      <c r="AA163" s="33">
        <f t="shared" si="622"/>
        <v>0</v>
      </c>
      <c r="AB163" s="17"/>
      <c r="AC163" s="33">
        <f>AA163</f>
        <v>0</v>
      </c>
      <c r="AD163" s="33">
        <f t="shared" ref="AD163:AF163" si="623">AC163</f>
        <v>0</v>
      </c>
      <c r="AE163" s="33">
        <f t="shared" si="623"/>
        <v>0</v>
      </c>
      <c r="AF163" s="33">
        <f t="shared" si="623"/>
        <v>0</v>
      </c>
      <c r="AG163" s="17"/>
      <c r="AH163" s="33">
        <f>AF163</f>
        <v>0</v>
      </c>
      <c r="AI163" s="33">
        <f t="shared" ref="AI163:AK163" si="624">AH163</f>
        <v>0</v>
      </c>
      <c r="AJ163" s="33">
        <f t="shared" si="624"/>
        <v>0</v>
      </c>
      <c r="AK163" s="33">
        <f t="shared" si="624"/>
        <v>0</v>
      </c>
      <c r="AL163" s="17"/>
      <c r="AM163" s="33">
        <f>AK163</f>
        <v>0</v>
      </c>
      <c r="AN163" s="33">
        <f t="shared" ref="AN163:AP163" si="625">AM163</f>
        <v>0</v>
      </c>
      <c r="AO163" s="33">
        <f t="shared" si="625"/>
        <v>0</v>
      </c>
      <c r="AP163" s="33">
        <f t="shared" si="625"/>
        <v>0</v>
      </c>
      <c r="AQ163" s="17"/>
      <c r="AR163" s="33">
        <f>AP163</f>
        <v>0</v>
      </c>
      <c r="AS163" s="33">
        <f t="shared" ref="AS163:AU163" si="626">AR163</f>
        <v>0</v>
      </c>
      <c r="AT163" s="33">
        <f t="shared" si="626"/>
        <v>0</v>
      </c>
      <c r="AU163" s="33">
        <f t="shared" si="626"/>
        <v>0</v>
      </c>
      <c r="AV163" s="17"/>
    </row>
    <row r="164" spans="2:48" outlineLevel="1" x14ac:dyDescent="0.3">
      <c r="B164" s="200" t="s">
        <v>64</v>
      </c>
      <c r="C164" s="201"/>
      <c r="D164" s="102">
        <f>-(5.3+0.5)</f>
        <v>-5.8</v>
      </c>
      <c r="E164" s="102">
        <v>-4.3</v>
      </c>
      <c r="F164" s="102">
        <v>-2.2999999999999998</v>
      </c>
      <c r="G164" s="102">
        <v>-0.2</v>
      </c>
      <c r="H164" s="159">
        <f t="shared" ref="H164:H167" si="627">SUM(D164:G164)</f>
        <v>-12.599999999999998</v>
      </c>
      <c r="I164" s="102">
        <v>-5.6</v>
      </c>
      <c r="J164" s="102">
        <v>-6.8</v>
      </c>
      <c r="K164" s="105">
        <v>-35.04</v>
      </c>
      <c r="L164" s="101">
        <v>0</v>
      </c>
      <c r="M164" s="169"/>
      <c r="N164" s="101">
        <v>0</v>
      </c>
      <c r="O164" s="101">
        <v>0</v>
      </c>
      <c r="P164" s="101">
        <v>22.8</v>
      </c>
      <c r="Q164" s="101">
        <v>-0.1</v>
      </c>
      <c r="R164" s="17"/>
      <c r="S164" s="16"/>
      <c r="T164" s="16"/>
      <c r="U164" s="16"/>
      <c r="V164" s="33"/>
      <c r="W164" s="17"/>
      <c r="X164" s="33">
        <f t="shared" ref="X164:X167" si="628">V164</f>
        <v>0</v>
      </c>
      <c r="Y164" s="33"/>
      <c r="Z164" s="33"/>
      <c r="AA164" s="33"/>
      <c r="AB164" s="17"/>
      <c r="AC164" s="33">
        <f t="shared" ref="AC164:AC167" si="629">AA164</f>
        <v>0</v>
      </c>
      <c r="AD164" s="33"/>
      <c r="AE164" s="33"/>
      <c r="AF164" s="33"/>
      <c r="AG164" s="17"/>
      <c r="AH164" s="33">
        <f t="shared" ref="AH164:AH167" si="630">AF164</f>
        <v>0</v>
      </c>
      <c r="AI164" s="33"/>
      <c r="AJ164" s="33"/>
      <c r="AK164" s="33"/>
      <c r="AL164" s="17"/>
      <c r="AM164" s="33">
        <f t="shared" ref="AM164:AM167" si="631">AK164</f>
        <v>0</v>
      </c>
      <c r="AN164" s="33"/>
      <c r="AO164" s="33"/>
      <c r="AP164" s="33"/>
      <c r="AQ164" s="17"/>
      <c r="AR164" s="33">
        <f t="shared" ref="AR164:AR167" si="632">AP164</f>
        <v>0</v>
      </c>
      <c r="AS164" s="33"/>
      <c r="AT164" s="33"/>
      <c r="AU164" s="33"/>
      <c r="AV164" s="17"/>
    </row>
    <row r="165" spans="2:48" outlineLevel="1" x14ac:dyDescent="0.3">
      <c r="B165" s="580" t="s">
        <v>129</v>
      </c>
      <c r="C165" s="581"/>
      <c r="D165" s="102">
        <f>-(60.6-0.3)</f>
        <v>-60.300000000000004</v>
      </c>
      <c r="E165" s="102">
        <v>-68.2</v>
      </c>
      <c r="F165" s="102">
        <v>-69</v>
      </c>
      <c r="G165" s="102">
        <f>-262+197.5</f>
        <v>-64.5</v>
      </c>
      <c r="H165" s="159">
        <f>SUM(D165:G165)</f>
        <v>-262</v>
      </c>
      <c r="I165" s="102">
        <v>-58.9</v>
      </c>
      <c r="J165" s="102">
        <v>-60.1</v>
      </c>
      <c r="K165" s="105">
        <v>-60.54</v>
      </c>
      <c r="L165" s="101">
        <v>-64</v>
      </c>
      <c r="M165" s="169"/>
      <c r="N165" s="101">
        <v>-62.7</v>
      </c>
      <c r="O165" s="101">
        <v>-65.2</v>
      </c>
      <c r="P165" s="101">
        <v>-54.7</v>
      </c>
      <c r="Q165" s="101">
        <v>-59.6</v>
      </c>
      <c r="R165" s="17"/>
      <c r="S165" s="16">
        <f>0.1-42.8</f>
        <v>-42.699999999999996</v>
      </c>
      <c r="T165" s="16">
        <v>-43.1</v>
      </c>
      <c r="U165" s="16">
        <v>-63.5</v>
      </c>
      <c r="V165" s="33">
        <v>-64</v>
      </c>
      <c r="W165" s="17"/>
      <c r="X165" s="33">
        <f t="shared" si="628"/>
        <v>-64</v>
      </c>
      <c r="Y165" s="33">
        <f t="shared" ref="Y165:AA165" si="633">X165</f>
        <v>-64</v>
      </c>
      <c r="Z165" s="33">
        <f t="shared" si="633"/>
        <v>-64</v>
      </c>
      <c r="AA165" s="33">
        <f t="shared" si="633"/>
        <v>-64</v>
      </c>
      <c r="AB165" s="17"/>
      <c r="AC165" s="33">
        <f t="shared" si="629"/>
        <v>-64</v>
      </c>
      <c r="AD165" s="33">
        <f t="shared" ref="AD165:AF165" si="634">AC165</f>
        <v>-64</v>
      </c>
      <c r="AE165" s="33">
        <f t="shared" si="634"/>
        <v>-64</v>
      </c>
      <c r="AF165" s="33">
        <f t="shared" si="634"/>
        <v>-64</v>
      </c>
      <c r="AG165" s="17"/>
      <c r="AH165" s="33">
        <f t="shared" si="630"/>
        <v>-64</v>
      </c>
      <c r="AI165" s="33">
        <f t="shared" ref="AI165:AK165" si="635">AH165</f>
        <v>-64</v>
      </c>
      <c r="AJ165" s="33">
        <f t="shared" si="635"/>
        <v>-64</v>
      </c>
      <c r="AK165" s="33">
        <f t="shared" si="635"/>
        <v>-64</v>
      </c>
      <c r="AL165" s="17"/>
      <c r="AM165" s="33">
        <f t="shared" si="631"/>
        <v>-64</v>
      </c>
      <c r="AN165" s="33">
        <f t="shared" ref="AN165:AP165" si="636">AM165</f>
        <v>-64</v>
      </c>
      <c r="AO165" s="33">
        <f t="shared" si="636"/>
        <v>-64</v>
      </c>
      <c r="AP165" s="33">
        <f t="shared" si="636"/>
        <v>-64</v>
      </c>
      <c r="AQ165" s="17"/>
      <c r="AR165" s="33">
        <f t="shared" si="632"/>
        <v>-64</v>
      </c>
      <c r="AS165" s="33">
        <f t="shared" ref="AS165:AU165" si="637">AR165</f>
        <v>-64</v>
      </c>
      <c r="AT165" s="33">
        <f t="shared" si="637"/>
        <v>-64</v>
      </c>
      <c r="AU165" s="33">
        <f t="shared" si="637"/>
        <v>-64</v>
      </c>
      <c r="AV165" s="17"/>
    </row>
    <row r="166" spans="2:48" outlineLevel="1" x14ac:dyDescent="0.3">
      <c r="B166" s="200" t="s">
        <v>66</v>
      </c>
      <c r="C166" s="201"/>
      <c r="D166" s="102">
        <v>-23.1</v>
      </c>
      <c r="E166" s="102">
        <v>-23.8</v>
      </c>
      <c r="F166" s="102">
        <v>-14.4</v>
      </c>
      <c r="G166" s="102">
        <v>0</v>
      </c>
      <c r="H166" s="159">
        <f t="shared" si="627"/>
        <v>-61.300000000000004</v>
      </c>
      <c r="I166" s="102"/>
      <c r="J166" s="102"/>
      <c r="K166" s="101"/>
      <c r="L166" s="101"/>
      <c r="M166" s="169"/>
      <c r="N166" s="101"/>
      <c r="O166" s="101"/>
      <c r="P166" s="101"/>
      <c r="Q166" s="101"/>
      <c r="R166" s="17"/>
      <c r="S166" s="16"/>
      <c r="T166" s="16"/>
      <c r="U166" s="16"/>
      <c r="V166" s="33"/>
      <c r="W166" s="17"/>
      <c r="X166" s="33">
        <f t="shared" si="628"/>
        <v>0</v>
      </c>
      <c r="Y166" s="33"/>
      <c r="Z166" s="33"/>
      <c r="AA166" s="33"/>
      <c r="AB166" s="17"/>
      <c r="AC166" s="33">
        <f t="shared" si="629"/>
        <v>0</v>
      </c>
      <c r="AD166" s="33"/>
      <c r="AE166" s="33"/>
      <c r="AF166" s="33"/>
      <c r="AG166" s="17"/>
      <c r="AH166" s="33">
        <f t="shared" si="630"/>
        <v>0</v>
      </c>
      <c r="AI166" s="33"/>
      <c r="AJ166" s="33"/>
      <c r="AK166" s="33"/>
      <c r="AL166" s="17"/>
      <c r="AM166" s="33">
        <f t="shared" si="631"/>
        <v>0</v>
      </c>
      <c r="AN166" s="33"/>
      <c r="AO166" s="33"/>
      <c r="AP166" s="33"/>
      <c r="AQ166" s="17"/>
      <c r="AR166" s="33">
        <f t="shared" si="632"/>
        <v>0</v>
      </c>
      <c r="AS166" s="33"/>
      <c r="AT166" s="33"/>
      <c r="AU166" s="33"/>
      <c r="AV166" s="17"/>
    </row>
    <row r="167" spans="2:48" ht="16.2" outlineLevel="1" x14ac:dyDescent="0.45">
      <c r="B167" s="200" t="s">
        <v>80</v>
      </c>
      <c r="C167" s="201"/>
      <c r="D167" s="138">
        <v>0</v>
      </c>
      <c r="E167" s="138">
        <v>0</v>
      </c>
      <c r="F167" s="138">
        <v>0</v>
      </c>
      <c r="G167" s="138">
        <v>0</v>
      </c>
      <c r="H167" s="160">
        <f t="shared" si="627"/>
        <v>0</v>
      </c>
      <c r="I167" s="138">
        <v>0</v>
      </c>
      <c r="J167" s="138">
        <v>0</v>
      </c>
      <c r="K167" s="112">
        <v>0</v>
      </c>
      <c r="L167" s="112">
        <v>0</v>
      </c>
      <c r="M167" s="169"/>
      <c r="N167" s="112">
        <v>0</v>
      </c>
      <c r="O167" s="112">
        <v>0</v>
      </c>
      <c r="P167" s="112">
        <v>0</v>
      </c>
      <c r="Q167" s="112">
        <v>0</v>
      </c>
      <c r="R167" s="17"/>
      <c r="S167" s="112">
        <v>0</v>
      </c>
      <c r="T167" s="112">
        <v>0</v>
      </c>
      <c r="U167" s="112">
        <v>0</v>
      </c>
      <c r="V167" s="32">
        <v>0</v>
      </c>
      <c r="W167" s="17"/>
      <c r="X167" s="32">
        <f t="shared" si="628"/>
        <v>0</v>
      </c>
      <c r="Y167" s="32">
        <v>0</v>
      </c>
      <c r="Z167" s="32">
        <v>0</v>
      </c>
      <c r="AA167" s="32">
        <v>0</v>
      </c>
      <c r="AB167" s="17"/>
      <c r="AC167" s="32">
        <f t="shared" si="629"/>
        <v>0</v>
      </c>
      <c r="AD167" s="32">
        <v>0</v>
      </c>
      <c r="AE167" s="32">
        <v>0</v>
      </c>
      <c r="AF167" s="32">
        <v>0</v>
      </c>
      <c r="AG167" s="17"/>
      <c r="AH167" s="32">
        <f t="shared" si="630"/>
        <v>0</v>
      </c>
      <c r="AI167" s="32">
        <v>0</v>
      </c>
      <c r="AJ167" s="32">
        <v>0</v>
      </c>
      <c r="AK167" s="32">
        <v>0</v>
      </c>
      <c r="AL167" s="17"/>
      <c r="AM167" s="32">
        <f t="shared" si="631"/>
        <v>0</v>
      </c>
      <c r="AN167" s="32">
        <v>0</v>
      </c>
      <c r="AO167" s="32">
        <v>0</v>
      </c>
      <c r="AP167" s="32">
        <v>0</v>
      </c>
      <c r="AQ167" s="17"/>
      <c r="AR167" s="32">
        <f t="shared" si="632"/>
        <v>0</v>
      </c>
      <c r="AS167" s="32">
        <v>0</v>
      </c>
      <c r="AT167" s="32">
        <v>0</v>
      </c>
      <c r="AU167" s="32">
        <v>0</v>
      </c>
      <c r="AV167" s="17"/>
    </row>
    <row r="168" spans="2:48" s="8" customFormat="1" outlineLevel="1" x14ac:dyDescent="0.3">
      <c r="B168" s="205" t="s">
        <v>67</v>
      </c>
      <c r="C168" s="202"/>
      <c r="D168" s="103">
        <f t="shared" ref="D168:L168" si="638">SUM(D163:D167)</f>
        <v>-138</v>
      </c>
      <c r="E168" s="103">
        <f t="shared" si="638"/>
        <v>-141.4</v>
      </c>
      <c r="F168" s="103">
        <f t="shared" si="638"/>
        <v>-125.30000000000001</v>
      </c>
      <c r="G168" s="103">
        <f t="shared" si="638"/>
        <v>-77.399999999999991</v>
      </c>
      <c r="H168" s="171">
        <f t="shared" si="638"/>
        <v>-482.09999999999997</v>
      </c>
      <c r="I168" s="103">
        <f t="shared" si="638"/>
        <v>-71.599999999999994</v>
      </c>
      <c r="J168" s="103">
        <f t="shared" si="638"/>
        <v>-66.8</v>
      </c>
      <c r="K168" s="103">
        <f t="shared" si="638"/>
        <v>-173.67999999999998</v>
      </c>
      <c r="L168" s="103">
        <f t="shared" si="638"/>
        <v>-259.5</v>
      </c>
      <c r="M168" s="150"/>
      <c r="N168" s="103">
        <f>SUM(N163:N167)</f>
        <v>-134.9</v>
      </c>
      <c r="O168" s="103">
        <f>SUM(O163:O167)</f>
        <v>-88.2</v>
      </c>
      <c r="P168" s="103">
        <f>SUM(P163:P167)</f>
        <v>-51.7</v>
      </c>
      <c r="Q168" s="103">
        <f>SUM(Q163:Q167)</f>
        <v>-115.2</v>
      </c>
      <c r="R168" s="22"/>
      <c r="S168" s="103">
        <f>SUM(S163:S167)</f>
        <v>-35.199999999999996</v>
      </c>
      <c r="T168" s="50">
        <f>SUM(T163:T167)</f>
        <v>-47.5</v>
      </c>
      <c r="U168" s="50">
        <f>SUM(U163:U167)</f>
        <v>-77.5</v>
      </c>
      <c r="V168" s="50">
        <f>SUM(V163:V167)</f>
        <v>-114</v>
      </c>
      <c r="W168" s="22"/>
      <c r="X168" s="50">
        <f>SUM(X163:X167)</f>
        <v>-114</v>
      </c>
      <c r="Y168" s="50">
        <f>SUM(Y163:Y167)</f>
        <v>-64</v>
      </c>
      <c r="Z168" s="50">
        <f>SUM(Z163:Z167)</f>
        <v>-64</v>
      </c>
      <c r="AA168" s="50">
        <f>SUM(AA163:AA167)</f>
        <v>-64</v>
      </c>
      <c r="AB168" s="22"/>
      <c r="AC168" s="50">
        <f>SUM(AC163:AC167)</f>
        <v>-64</v>
      </c>
      <c r="AD168" s="50">
        <f>SUM(AD163:AD167)</f>
        <v>-64</v>
      </c>
      <c r="AE168" s="50">
        <f>SUM(AE163:AE167)</f>
        <v>-64</v>
      </c>
      <c r="AF168" s="50">
        <f>SUM(AF163:AF167)</f>
        <v>-64</v>
      </c>
      <c r="AG168" s="22"/>
      <c r="AH168" s="50">
        <f>SUM(AH163:AH167)</f>
        <v>-64</v>
      </c>
      <c r="AI168" s="50">
        <f>SUM(AI163:AI167)</f>
        <v>-64</v>
      </c>
      <c r="AJ168" s="50">
        <f>SUM(AJ163:AJ167)</f>
        <v>-64</v>
      </c>
      <c r="AK168" s="50">
        <f>SUM(AK163:AK167)</f>
        <v>-64</v>
      </c>
      <c r="AL168" s="22"/>
      <c r="AM168" s="50">
        <f>SUM(AM163:AM167)</f>
        <v>-64</v>
      </c>
      <c r="AN168" s="50">
        <f>SUM(AN163:AN167)</f>
        <v>-64</v>
      </c>
      <c r="AO168" s="50">
        <f>SUM(AO163:AO167)</f>
        <v>-64</v>
      </c>
      <c r="AP168" s="50">
        <f>SUM(AP163:AP167)</f>
        <v>-64</v>
      </c>
      <c r="AQ168" s="22"/>
      <c r="AR168" s="50">
        <f>SUM(AR163:AR167)</f>
        <v>-64</v>
      </c>
      <c r="AS168" s="50">
        <f>SUM(AS163:AS167)</f>
        <v>-64</v>
      </c>
      <c r="AT168" s="50">
        <f>SUM(AT163:AT167)</f>
        <v>-64</v>
      </c>
      <c r="AU168" s="50">
        <f>SUM(AU163:AU167)</f>
        <v>-64</v>
      </c>
      <c r="AV168" s="22"/>
    </row>
    <row r="169" spans="2:48" ht="16.2" outlineLevel="1" x14ac:dyDescent="0.45">
      <c r="B169" s="200" t="s">
        <v>155</v>
      </c>
      <c r="C169" s="201"/>
      <c r="D169" s="104">
        <v>0</v>
      </c>
      <c r="E169" s="104">
        <v>0</v>
      </c>
      <c r="F169" s="104">
        <v>0</v>
      </c>
      <c r="G169" s="104">
        <v>0</v>
      </c>
      <c r="H169" s="169"/>
      <c r="I169" s="104">
        <v>0</v>
      </c>
      <c r="J169" s="104">
        <v>0</v>
      </c>
      <c r="K169" s="104">
        <v>0</v>
      </c>
      <c r="L169" s="104">
        <v>0</v>
      </c>
      <c r="M169" s="169"/>
      <c r="N169" s="104">
        <v>0</v>
      </c>
      <c r="O169" s="104">
        <v>0</v>
      </c>
      <c r="P169" s="104">
        <v>0</v>
      </c>
      <c r="Q169" s="104">
        <v>0</v>
      </c>
      <c r="R169" s="17"/>
      <c r="S169" s="104">
        <v>0</v>
      </c>
      <c r="T169" s="52">
        <v>0</v>
      </c>
      <c r="U169" s="52">
        <v>0</v>
      </c>
      <c r="V169" s="52">
        <v>0</v>
      </c>
      <c r="W169" s="17"/>
      <c r="X169" s="52">
        <v>0</v>
      </c>
      <c r="Y169" s="52">
        <v>0</v>
      </c>
      <c r="Z169" s="52">
        <v>0</v>
      </c>
      <c r="AA169" s="52">
        <v>0</v>
      </c>
      <c r="AB169" s="17"/>
      <c r="AC169" s="52">
        <v>0</v>
      </c>
      <c r="AD169" s="52">
        <v>0</v>
      </c>
      <c r="AE169" s="52">
        <v>0</v>
      </c>
      <c r="AF169" s="52">
        <v>0</v>
      </c>
      <c r="AG169" s="17"/>
      <c r="AH169" s="52">
        <v>0</v>
      </c>
      <c r="AI169" s="52">
        <v>0</v>
      </c>
      <c r="AJ169" s="52">
        <v>0</v>
      </c>
      <c r="AK169" s="52">
        <v>0</v>
      </c>
      <c r="AL169" s="17"/>
      <c r="AM169" s="52">
        <v>0</v>
      </c>
      <c r="AN169" s="52">
        <v>0</v>
      </c>
      <c r="AO169" s="52">
        <v>0</v>
      </c>
      <c r="AP169" s="52">
        <v>0</v>
      </c>
      <c r="AQ169" s="17"/>
      <c r="AR169" s="52">
        <v>0</v>
      </c>
      <c r="AS169" s="52">
        <v>0</v>
      </c>
      <c r="AT169" s="52">
        <v>0</v>
      </c>
      <c r="AU169" s="52">
        <v>0</v>
      </c>
      <c r="AV169" s="17"/>
    </row>
    <row r="170" spans="2:48" s="8" customFormat="1" outlineLevel="1" x14ac:dyDescent="0.3">
      <c r="B170" s="205" t="s">
        <v>68</v>
      </c>
      <c r="C170" s="202"/>
      <c r="D170" s="103">
        <f t="shared" ref="D170:G170" si="639">-D168+D169</f>
        <v>138</v>
      </c>
      <c r="E170" s="103">
        <f t="shared" si="639"/>
        <v>141.4</v>
      </c>
      <c r="F170" s="103">
        <f t="shared" si="639"/>
        <v>125.30000000000001</v>
      </c>
      <c r="G170" s="103">
        <f t="shared" si="639"/>
        <v>77.399999999999991</v>
      </c>
      <c r="H170" s="150"/>
      <c r="I170" s="103">
        <f t="shared" ref="I170:L170" si="640">-I168+I169</f>
        <v>71.599999999999994</v>
      </c>
      <c r="J170" s="103">
        <f t="shared" si="640"/>
        <v>66.8</v>
      </c>
      <c r="K170" s="103">
        <f t="shared" si="640"/>
        <v>173.67999999999998</v>
      </c>
      <c r="L170" s="103">
        <f t="shared" si="640"/>
        <v>259.5</v>
      </c>
      <c r="M170" s="150"/>
      <c r="N170" s="103">
        <f t="shared" ref="N170:P170" si="641">-N168+N169</f>
        <v>134.9</v>
      </c>
      <c r="O170" s="103">
        <f t="shared" si="641"/>
        <v>88.2</v>
      </c>
      <c r="P170" s="103">
        <f t="shared" si="641"/>
        <v>51.7</v>
      </c>
      <c r="Q170" s="103">
        <f>-Q168+Q169</f>
        <v>115.2</v>
      </c>
      <c r="R170" s="22"/>
      <c r="S170" s="103">
        <f t="shared" ref="S170:V170" si="642">-S168+S169</f>
        <v>35.199999999999996</v>
      </c>
      <c r="T170" s="50">
        <f t="shared" si="642"/>
        <v>47.5</v>
      </c>
      <c r="U170" s="50">
        <f t="shared" si="642"/>
        <v>77.5</v>
      </c>
      <c r="V170" s="50">
        <f t="shared" si="642"/>
        <v>114</v>
      </c>
      <c r="W170" s="22"/>
      <c r="X170" s="50">
        <f t="shared" ref="X170:AA170" si="643">-X168+X169</f>
        <v>114</v>
      </c>
      <c r="Y170" s="50">
        <f t="shared" si="643"/>
        <v>64</v>
      </c>
      <c r="Z170" s="50">
        <f t="shared" si="643"/>
        <v>64</v>
      </c>
      <c r="AA170" s="50">
        <f t="shared" si="643"/>
        <v>64</v>
      </c>
      <c r="AB170" s="22"/>
      <c r="AC170" s="50">
        <f t="shared" ref="AC170:AF170" si="644">-AC168+AC169</f>
        <v>64</v>
      </c>
      <c r="AD170" s="50">
        <f t="shared" si="644"/>
        <v>64</v>
      </c>
      <c r="AE170" s="50">
        <f t="shared" si="644"/>
        <v>64</v>
      </c>
      <c r="AF170" s="50">
        <f t="shared" si="644"/>
        <v>64</v>
      </c>
      <c r="AG170" s="22"/>
      <c r="AH170" s="50">
        <f t="shared" ref="AH170:AK170" si="645">-AH168+AH169</f>
        <v>64</v>
      </c>
      <c r="AI170" s="50">
        <f t="shared" si="645"/>
        <v>64</v>
      </c>
      <c r="AJ170" s="50">
        <f t="shared" si="645"/>
        <v>64</v>
      </c>
      <c r="AK170" s="50">
        <f t="shared" si="645"/>
        <v>64</v>
      </c>
      <c r="AL170" s="22"/>
      <c r="AM170" s="50">
        <f t="shared" ref="AM170:AP170" si="646">-AM168+AM169</f>
        <v>64</v>
      </c>
      <c r="AN170" s="50">
        <f t="shared" si="646"/>
        <v>64</v>
      </c>
      <c r="AO170" s="50">
        <f t="shared" si="646"/>
        <v>64</v>
      </c>
      <c r="AP170" s="50">
        <f t="shared" si="646"/>
        <v>64</v>
      </c>
      <c r="AQ170" s="22"/>
      <c r="AR170" s="50">
        <f t="shared" ref="AR170:AU170" si="647">-AR168+AR169</f>
        <v>64</v>
      </c>
      <c r="AS170" s="50">
        <f t="shared" si="647"/>
        <v>64</v>
      </c>
      <c r="AT170" s="50">
        <f t="shared" si="647"/>
        <v>64</v>
      </c>
      <c r="AU170" s="50">
        <f t="shared" si="647"/>
        <v>64</v>
      </c>
      <c r="AV170" s="22"/>
    </row>
    <row r="171" spans="2:48" outlineLevel="1" x14ac:dyDescent="0.3">
      <c r="B171" s="200" t="s">
        <v>69</v>
      </c>
      <c r="C171" s="201"/>
      <c r="D171" s="105">
        <v>0</v>
      </c>
      <c r="E171" s="101">
        <f>-0.02*E31</f>
        <v>-25.014000000000003</v>
      </c>
      <c r="F171" s="101">
        <f>0.49*F31</f>
        <v>599.27</v>
      </c>
      <c r="G171" s="101">
        <v>0</v>
      </c>
      <c r="H171" s="169"/>
      <c r="I171" s="101">
        <v>0</v>
      </c>
      <c r="J171" s="101">
        <v>0</v>
      </c>
      <c r="K171" s="101">
        <v>0</v>
      </c>
      <c r="L171" s="101">
        <v>0</v>
      </c>
      <c r="M171" s="169"/>
      <c r="N171" s="101">
        <v>0</v>
      </c>
      <c r="O171" s="101">
        <v>0</v>
      </c>
      <c r="P171" s="101">
        <v>0</v>
      </c>
      <c r="Q171" s="101">
        <f>0.73*Q31</f>
        <v>867.16700000000003</v>
      </c>
      <c r="R171" s="17"/>
      <c r="S171" s="101">
        <v>0</v>
      </c>
      <c r="T171" s="101">
        <f>0.03*T31</f>
        <v>34.617000000000004</v>
      </c>
      <c r="U171" s="101">
        <v>0</v>
      </c>
      <c r="V171" s="33">
        <v>0</v>
      </c>
      <c r="W171" s="17"/>
      <c r="X171" s="33">
        <v>0</v>
      </c>
      <c r="Y171" s="33">
        <v>0</v>
      </c>
      <c r="Z171" s="33">
        <v>0</v>
      </c>
      <c r="AA171" s="33">
        <v>0</v>
      </c>
      <c r="AB171" s="17"/>
      <c r="AC171" s="33">
        <v>0</v>
      </c>
      <c r="AD171" s="33">
        <v>0</v>
      </c>
      <c r="AE171" s="33">
        <v>0</v>
      </c>
      <c r="AF171" s="33">
        <v>0</v>
      </c>
      <c r="AG171" s="17"/>
      <c r="AH171" s="33">
        <v>0</v>
      </c>
      <c r="AI171" s="33">
        <v>0</v>
      </c>
      <c r="AJ171" s="33">
        <v>0</v>
      </c>
      <c r="AK171" s="33">
        <v>0</v>
      </c>
      <c r="AL171" s="17"/>
      <c r="AM171" s="33">
        <v>0</v>
      </c>
      <c r="AN171" s="33">
        <v>0</v>
      </c>
      <c r="AO171" s="33">
        <v>0</v>
      </c>
      <c r="AP171" s="33">
        <v>0</v>
      </c>
      <c r="AQ171" s="17"/>
      <c r="AR171" s="33">
        <v>0</v>
      </c>
      <c r="AS171" s="33">
        <v>0</v>
      </c>
      <c r="AT171" s="33">
        <v>0</v>
      </c>
      <c r="AU171" s="33">
        <v>0</v>
      </c>
      <c r="AV171" s="17"/>
    </row>
    <row r="172" spans="2:48" outlineLevel="1" x14ac:dyDescent="0.3">
      <c r="B172" s="580" t="s">
        <v>75</v>
      </c>
      <c r="C172" s="581"/>
      <c r="D172" s="105">
        <v>-41.449999999998646</v>
      </c>
      <c r="E172" s="101">
        <v>79.193999999999548</v>
      </c>
      <c r="F172" s="101">
        <v>-55.109999999999197</v>
      </c>
      <c r="G172" s="101">
        <v>30</v>
      </c>
      <c r="H172" s="169"/>
      <c r="I172" s="101">
        <v>11</v>
      </c>
      <c r="J172" s="101">
        <v>23</v>
      </c>
      <c r="K172" s="101">
        <f>0.03*K31</f>
        <v>35.055</v>
      </c>
      <c r="L172" s="101">
        <v>50.810000000000372</v>
      </c>
      <c r="M172" s="169"/>
      <c r="N172" s="101">
        <f>0.03*N31</f>
        <v>35.49</v>
      </c>
      <c r="O172" s="101">
        <f>0.01*O31</f>
        <v>11.847999999999999</v>
      </c>
      <c r="P172" s="101">
        <f>0.01*P31</f>
        <v>11.862</v>
      </c>
      <c r="Q172" s="101">
        <f>-0.144*Q31</f>
        <v>-171.05760000000001</v>
      </c>
      <c r="R172" s="17"/>
      <c r="S172" s="101">
        <v>3.9480000000003299</v>
      </c>
      <c r="T172" s="16">
        <f>0.01*T31</f>
        <v>11.539000000000001</v>
      </c>
      <c r="U172" s="16">
        <f>0.02*U31</f>
        <v>23.02</v>
      </c>
      <c r="V172" s="16">
        <f t="shared" ref="V172" si="648">+V170*V173</f>
        <v>33.861677419354834</v>
      </c>
      <c r="W172" s="17"/>
      <c r="X172" s="16">
        <f>+X170*X173</f>
        <v>33.861677419354834</v>
      </c>
      <c r="Y172" s="16">
        <f>+Y170*Y173</f>
        <v>19.010064516129031</v>
      </c>
      <c r="Z172" s="16">
        <f t="shared" ref="Z172:AA172" si="649">+Z170*Z173</f>
        <v>19.010064516129031</v>
      </c>
      <c r="AA172" s="16">
        <f t="shared" si="649"/>
        <v>19.010064516129031</v>
      </c>
      <c r="AB172" s="17"/>
      <c r="AC172" s="16">
        <f>+AC170*AC173</f>
        <v>19.010064516129031</v>
      </c>
      <c r="AD172" s="16">
        <f>+AD170*AD173</f>
        <v>19.010064516129031</v>
      </c>
      <c r="AE172" s="16">
        <f t="shared" ref="AE172:AF172" si="650">+AE170*AE173</f>
        <v>19.010064516129031</v>
      </c>
      <c r="AF172" s="16">
        <f t="shared" si="650"/>
        <v>19.010064516129031</v>
      </c>
      <c r="AG172" s="17"/>
      <c r="AH172" s="16">
        <f>+AH170*AH173</f>
        <v>19.010064516129031</v>
      </c>
      <c r="AI172" s="16">
        <f>+AI170*AI173</f>
        <v>19.010064516129031</v>
      </c>
      <c r="AJ172" s="16">
        <f t="shared" ref="AJ172:AK172" si="651">+AJ170*AJ173</f>
        <v>19.010064516129031</v>
      </c>
      <c r="AK172" s="16">
        <f t="shared" si="651"/>
        <v>19.010064516129031</v>
      </c>
      <c r="AL172" s="17"/>
      <c r="AM172" s="16">
        <f>+AM170*AM173</f>
        <v>19.010064516129031</v>
      </c>
      <c r="AN172" s="16">
        <f>+AN170*AN173</f>
        <v>19.010064516129031</v>
      </c>
      <c r="AO172" s="16">
        <f t="shared" ref="AO172:AP172" si="652">+AO170*AO173</f>
        <v>19.010064516129031</v>
      </c>
      <c r="AP172" s="16">
        <f t="shared" si="652"/>
        <v>19.010064516129031</v>
      </c>
      <c r="AQ172" s="17"/>
      <c r="AR172" s="16">
        <f>+AR170*AR173</f>
        <v>19.010064516129031</v>
      </c>
      <c r="AS172" s="16">
        <f>+AS170*AS173</f>
        <v>19.010064516129031</v>
      </c>
      <c r="AT172" s="16">
        <f t="shared" ref="AT172:AU172" si="653">+AT170*AT173</f>
        <v>19.010064516129031</v>
      </c>
      <c r="AU172" s="16">
        <f t="shared" si="653"/>
        <v>19.010064516129031</v>
      </c>
      <c r="AV172" s="17"/>
    </row>
    <row r="173" spans="2:48" outlineLevel="1" x14ac:dyDescent="0.3">
      <c r="B173" s="203" t="s">
        <v>76</v>
      </c>
      <c r="C173" s="204"/>
      <c r="D173" s="211">
        <f t="shared" ref="D173:G173" si="654">D172/D170</f>
        <v>-0.30036231884056991</v>
      </c>
      <c r="E173" s="211">
        <f t="shared" si="654"/>
        <v>0.56007072135784686</v>
      </c>
      <c r="F173" s="211">
        <f t="shared" si="654"/>
        <v>-0.43982442138866074</v>
      </c>
      <c r="G173" s="211">
        <f t="shared" si="654"/>
        <v>0.38759689922480622</v>
      </c>
      <c r="H173" s="212"/>
      <c r="I173" s="211">
        <f t="shared" ref="I173:U173" si="655">I172/I170</f>
        <v>0.15363128491620112</v>
      </c>
      <c r="J173" s="211">
        <f t="shared" si="655"/>
        <v>0.34431137724550898</v>
      </c>
      <c r="K173" s="211">
        <f t="shared" si="655"/>
        <v>0.20183671119299865</v>
      </c>
      <c r="L173" s="211">
        <f t="shared" si="655"/>
        <v>0.1957996146435467</v>
      </c>
      <c r="M173" s="212"/>
      <c r="N173" s="211">
        <f t="shared" si="655"/>
        <v>0.26308376575240922</v>
      </c>
      <c r="O173" s="211">
        <f t="shared" si="655"/>
        <v>0.13433106575963719</v>
      </c>
      <c r="P173" s="211">
        <f t="shared" si="655"/>
        <v>0.22943907156673113</v>
      </c>
      <c r="Q173" s="211">
        <f t="shared" si="655"/>
        <v>-1.4848749999999999</v>
      </c>
      <c r="R173" s="37"/>
      <c r="S173" s="211">
        <f t="shared" si="655"/>
        <v>0.1121590909091003</v>
      </c>
      <c r="T173" s="211">
        <f t="shared" si="655"/>
        <v>0.24292631578947371</v>
      </c>
      <c r="U173" s="211">
        <f t="shared" si="655"/>
        <v>0.29703225806451611</v>
      </c>
      <c r="V173" s="94">
        <f>U173</f>
        <v>0.29703225806451611</v>
      </c>
      <c r="W173" s="37"/>
      <c r="X173" s="94">
        <f>V173</f>
        <v>0.29703225806451611</v>
      </c>
      <c r="Y173" s="94">
        <f>X173</f>
        <v>0.29703225806451611</v>
      </c>
      <c r="Z173" s="94">
        <f>Y173</f>
        <v>0.29703225806451611</v>
      </c>
      <c r="AA173" s="94">
        <f>Z173</f>
        <v>0.29703225806451611</v>
      </c>
      <c r="AB173" s="37"/>
      <c r="AC173" s="94">
        <f>AA173</f>
        <v>0.29703225806451611</v>
      </c>
      <c r="AD173" s="94">
        <f>AC173</f>
        <v>0.29703225806451611</v>
      </c>
      <c r="AE173" s="94">
        <f>AD173</f>
        <v>0.29703225806451611</v>
      </c>
      <c r="AF173" s="94">
        <f>AE173</f>
        <v>0.29703225806451611</v>
      </c>
      <c r="AG173" s="37"/>
      <c r="AH173" s="94">
        <f>AF173</f>
        <v>0.29703225806451611</v>
      </c>
      <c r="AI173" s="94">
        <f>AH173</f>
        <v>0.29703225806451611</v>
      </c>
      <c r="AJ173" s="94">
        <f>AI173</f>
        <v>0.29703225806451611</v>
      </c>
      <c r="AK173" s="94">
        <f>AJ173</f>
        <v>0.29703225806451611</v>
      </c>
      <c r="AL173" s="37"/>
      <c r="AM173" s="94">
        <f>AK173</f>
        <v>0.29703225806451611</v>
      </c>
      <c r="AN173" s="94">
        <f>AM173</f>
        <v>0.29703225806451611</v>
      </c>
      <c r="AO173" s="94">
        <f>AN173</f>
        <v>0.29703225806451611</v>
      </c>
      <c r="AP173" s="94">
        <f>AO173</f>
        <v>0.29703225806451611</v>
      </c>
      <c r="AQ173" s="37"/>
      <c r="AR173" s="94">
        <f>AP173</f>
        <v>0.29703225806451611</v>
      </c>
      <c r="AS173" s="94">
        <f>AR173</f>
        <v>0.29703225806451611</v>
      </c>
      <c r="AT173" s="94">
        <f>AS173</f>
        <v>0.29703225806451611</v>
      </c>
      <c r="AU173" s="94">
        <f>AT173</f>
        <v>0.29703225806451611</v>
      </c>
      <c r="AV173" s="37"/>
    </row>
    <row r="175" spans="2:48" x14ac:dyDescent="0.3">
      <c r="B175" s="382" t="s">
        <v>314</v>
      </c>
      <c r="Q175" s="383">
        <f>Q61-L61</f>
        <v>-6.6118692968142323E-4</v>
      </c>
      <c r="R175" s="383"/>
      <c r="S175" s="383">
        <f>S61-N61</f>
        <v>1.2901737440265071E-2</v>
      </c>
      <c r="T175" s="383">
        <f t="shared" ref="T175" si="656">T61-O61</f>
        <v>2.4025383293040548E-2</v>
      </c>
      <c r="U175" s="383">
        <f>U61-P61</f>
        <v>2.0536242149533701E-2</v>
      </c>
      <c r="V175" s="383">
        <f>V61-Q61</f>
        <v>1.2500000000000011E-2</v>
      </c>
      <c r="W175" s="383"/>
      <c r="X175" s="383">
        <f t="shared" ref="X175:AA175" si="657">X61-S61</f>
        <v>5.0000000000000044E-3</v>
      </c>
      <c r="Y175" s="383">
        <f t="shared" si="657"/>
        <v>2.5000000000000022E-3</v>
      </c>
      <c r="Z175" s="383">
        <f t="shared" si="657"/>
        <v>2.5000000000000022E-3</v>
      </c>
      <c r="AA175" s="383">
        <f t="shared" si="657"/>
        <v>-1.0000000000000009E-2</v>
      </c>
      <c r="AB175" s="383"/>
      <c r="AC175" s="383">
        <f t="shared" ref="AC175" si="658">AC61-X61</f>
        <v>-1.0000000000000009E-2</v>
      </c>
      <c r="AD175" s="383">
        <f t="shared" ref="AD175" si="659">AD61-Y61</f>
        <v>-1.0000000000000009E-3</v>
      </c>
      <c r="AE175" s="383">
        <f t="shared" ref="AE175" si="660">AE61-Z61</f>
        <v>-1.0000000000000009E-3</v>
      </c>
      <c r="AF175" s="383">
        <f t="shared" ref="AF175" si="661">AF61-AA61</f>
        <v>1.0000000000000009E-2</v>
      </c>
      <c r="AH175" s="383">
        <f t="shared" ref="AH175" si="662">AH61-AC61</f>
        <v>-1.0000000000000009E-3</v>
      </c>
      <c r="AI175" s="383">
        <f t="shared" ref="AI175" si="663">AI61-AD61</f>
        <v>-1.0000000000000009E-3</v>
      </c>
      <c r="AJ175" s="383">
        <f t="shared" ref="AJ175" si="664">AJ61-AE61</f>
        <v>-1.0000000000000009E-3</v>
      </c>
      <c r="AK175" s="383">
        <f t="shared" ref="AK175" si="665">AK61-AF61</f>
        <v>-1.0000000000000009E-3</v>
      </c>
    </row>
    <row r="176" spans="2:48" ht="14.55" customHeight="1" x14ac:dyDescent="0.3">
      <c r="B176" s="382" t="s">
        <v>315</v>
      </c>
      <c r="Q176" s="383">
        <f t="shared" ref="Q176:T176" si="666">Q63-L63</f>
        <v>-4.2476929877535707E-2</v>
      </c>
      <c r="R176" s="383"/>
      <c r="S176" s="383">
        <f t="shared" si="666"/>
        <v>-4.2111802490401029E-3</v>
      </c>
      <c r="T176" s="383">
        <f t="shared" si="666"/>
        <v>1.5713963584189306E-2</v>
      </c>
      <c r="U176" s="383">
        <f>U63-P63</f>
        <v>8.2485911822535729E-3</v>
      </c>
      <c r="V176" s="383">
        <f>V63-Q63</f>
        <v>1.2499999999999956E-2</v>
      </c>
      <c r="W176" s="383"/>
      <c r="X176" s="383">
        <f t="shared" ref="X176:AA176" si="667">X63-S63</f>
        <v>5.0000000000000044E-3</v>
      </c>
      <c r="Y176" s="383">
        <f>Y63-T63</f>
        <v>2.4999999999999467E-3</v>
      </c>
      <c r="Z176" s="383">
        <f t="shared" si="667"/>
        <v>1.0000000000000009E-2</v>
      </c>
      <c r="AA176" s="383">
        <f t="shared" si="667"/>
        <v>0</v>
      </c>
      <c r="AB176" s="383"/>
      <c r="AC176" s="383">
        <f t="shared" ref="AC176" si="668">AC63-X63</f>
        <v>-1.0000000000000009E-2</v>
      </c>
      <c r="AD176" s="383">
        <f t="shared" ref="AD176" si="669">AD63-Y63</f>
        <v>-1.0000000000000009E-3</v>
      </c>
      <c r="AE176" s="383">
        <f t="shared" ref="AE176" si="670">AE63-Z63</f>
        <v>-1.0000000000000009E-3</v>
      </c>
      <c r="AF176" s="383">
        <f t="shared" ref="AF176" si="671">AF63-AA63</f>
        <v>1.0000000000000009E-2</v>
      </c>
      <c r="AH176" s="383">
        <f t="shared" ref="AH176" si="672">AH63-AC63</f>
        <v>-1.0000000000000009E-3</v>
      </c>
      <c r="AI176" s="383">
        <f t="shared" ref="AI176" si="673">AI63-AD63</f>
        <v>-1.0000000000000009E-3</v>
      </c>
      <c r="AJ176" s="383">
        <f t="shared" ref="AJ176" si="674">AJ63-AE63</f>
        <v>-1.0000000000000009E-3</v>
      </c>
      <c r="AK176" s="383">
        <f t="shared" ref="AK176" si="675">AK63-AF63</f>
        <v>-1.0000000000000009E-3</v>
      </c>
    </row>
    <row r="177" spans="1:48" ht="14.55" customHeight="1" x14ac:dyDescent="0.3">
      <c r="B177" s="382" t="s">
        <v>316</v>
      </c>
      <c r="Q177" s="383">
        <f t="shared" ref="Q177:T177" si="676">Q65-L65</f>
        <v>-8.1024370824473238E-4</v>
      </c>
      <c r="R177" s="383"/>
      <c r="S177" s="383">
        <f t="shared" si="676"/>
        <v>-6.9169487840035036E-4</v>
      </c>
      <c r="T177" s="383">
        <f t="shared" si="676"/>
        <v>-3.3352357784197616E-4</v>
      </c>
      <c r="U177" s="383">
        <f>U65-P65</f>
        <v>1.7928850972594532E-3</v>
      </c>
      <c r="V177" s="383">
        <f t="shared" ref="V177:AA177" si="677">V65-Q65</f>
        <v>7.9246920006940773E-4</v>
      </c>
      <c r="W177" s="383"/>
      <c r="X177" s="383">
        <f t="shared" si="677"/>
        <v>0</v>
      </c>
      <c r="Y177" s="383">
        <f t="shared" si="677"/>
        <v>0</v>
      </c>
      <c r="Z177" s="383">
        <f t="shared" si="677"/>
        <v>0</v>
      </c>
      <c r="AA177" s="383">
        <f t="shared" si="677"/>
        <v>0</v>
      </c>
      <c r="AB177" s="383"/>
      <c r="AC177" s="383">
        <f t="shared" ref="AC177" si="678">AC65-X65</f>
        <v>0</v>
      </c>
      <c r="AD177" s="383">
        <f t="shared" ref="AD177" si="679">AD65-Y65</f>
        <v>0</v>
      </c>
      <c r="AE177" s="383">
        <f t="shared" ref="AE177" si="680">AE65-Z65</f>
        <v>0</v>
      </c>
      <c r="AF177" s="383">
        <f t="shared" ref="AF177" si="681">AF65-AA65</f>
        <v>0</v>
      </c>
      <c r="AH177" s="383">
        <f t="shared" ref="AH177" si="682">AH65-AC65</f>
        <v>0</v>
      </c>
      <c r="AI177" s="383">
        <f t="shared" ref="AI177" si="683">AI65-AD65</f>
        <v>0</v>
      </c>
      <c r="AJ177" s="383">
        <f t="shared" ref="AJ177" si="684">AJ65-AE65</f>
        <v>0</v>
      </c>
      <c r="AK177" s="383">
        <f t="shared" ref="AK177" si="685">AK65-AF65</f>
        <v>0</v>
      </c>
    </row>
    <row r="178" spans="1:48" ht="14.55" customHeight="1" x14ac:dyDescent="0.3">
      <c r="A178" s="161"/>
      <c r="B178" s="382" t="s">
        <v>317</v>
      </c>
      <c r="Q178" s="383">
        <f t="shared" ref="Q178:T178" si="686">Q68-L68</f>
        <v>-1.8685768961161399E-3</v>
      </c>
      <c r="R178" s="383"/>
      <c r="S178" s="383">
        <f t="shared" si="686"/>
        <v>-1.673261995123904E-3</v>
      </c>
      <c r="T178" s="383">
        <f t="shared" si="686"/>
        <v>-3.5644778537942175E-3</v>
      </c>
      <c r="U178" s="383">
        <f>U68-P68</f>
        <v>-9.2770624793186637E-4</v>
      </c>
      <c r="V178" s="383">
        <f t="shared" ref="V178:AA178" si="687">V68-Q68</f>
        <v>1.2500000000000002E-2</v>
      </c>
      <c r="W178" s="383"/>
      <c r="X178" s="383">
        <f t="shared" si="687"/>
        <v>4.9999999999999992E-3</v>
      </c>
      <c r="Y178" s="383">
        <f t="shared" si="687"/>
        <v>2.5000000000000005E-3</v>
      </c>
      <c r="Z178" s="383">
        <f t="shared" si="687"/>
        <v>2.5000000000000005E-3</v>
      </c>
      <c r="AA178" s="383">
        <f t="shared" si="687"/>
        <v>-1.0000000000000002E-2</v>
      </c>
      <c r="AB178" s="383"/>
      <c r="AC178" s="383">
        <f t="shared" ref="AC178" si="688">AC68-X68</f>
        <v>-2.9999999999999992E-3</v>
      </c>
      <c r="AD178" s="383">
        <f t="shared" ref="AD178" si="689">AD68-Y68</f>
        <v>2.0000000000000018E-3</v>
      </c>
      <c r="AE178" s="383">
        <f t="shared" ref="AE178" si="690">AE68-Z68</f>
        <v>-9.9999999999999915E-4</v>
      </c>
      <c r="AF178" s="383">
        <f t="shared" ref="AF178" si="691">AF68-AA68</f>
        <v>-1.0000000000000009E-3</v>
      </c>
      <c r="AH178" s="383">
        <f t="shared" ref="AH178" si="692">AH68-AC68</f>
        <v>-1.0000000000000009E-3</v>
      </c>
      <c r="AI178" s="383">
        <f t="shared" ref="AI178" si="693">AI68-AD68</f>
        <v>-1.0000000000000009E-3</v>
      </c>
      <c r="AJ178" s="383">
        <f t="shared" ref="AJ178" si="694">AJ68-AE68</f>
        <v>-1.0000000000000009E-3</v>
      </c>
      <c r="AK178" s="383">
        <f t="shared" ref="AK178" si="695">AK68-AF68</f>
        <v>-1.0000000000000009E-3</v>
      </c>
    </row>
    <row r="179" spans="1:48" s="23" customFormat="1" ht="14.55" customHeight="1" x14ac:dyDescent="0.3">
      <c r="A179" s="161"/>
    </row>
    <row r="180" spans="1:48" s="23" customFormat="1" ht="14.55" customHeight="1" x14ac:dyDescent="0.3">
      <c r="A180" s="161"/>
      <c r="B180" s="382" t="s">
        <v>318</v>
      </c>
      <c r="Q180" s="384">
        <f t="shared" ref="Q180:U180" si="696">Q94-L94</f>
        <v>-1.0328853878240896E-3</v>
      </c>
      <c r="R180" s="384"/>
      <c r="S180" s="384">
        <f t="shared" si="696"/>
        <v>1.3694957380178618E-2</v>
      </c>
      <c r="T180" s="384">
        <f t="shared" si="696"/>
        <v>2.2223284472510374E-2</v>
      </c>
      <c r="U180" s="384">
        <f t="shared" si="696"/>
        <v>4.4737654429502782E-2</v>
      </c>
      <c r="V180" s="384">
        <f>V94-Q94</f>
        <v>2.9999999999999971E-2</v>
      </c>
      <c r="W180" s="384"/>
      <c r="X180" s="384">
        <f t="shared" ref="X180:AA180" si="697">X94-S94</f>
        <v>2.0000000000000018E-2</v>
      </c>
      <c r="Y180" s="384">
        <f t="shared" si="697"/>
        <v>-1.0000000000000009E-2</v>
      </c>
      <c r="Z180" s="384">
        <f t="shared" si="697"/>
        <v>-5.0000000000000044E-3</v>
      </c>
      <c r="AA180" s="384">
        <f t="shared" si="697"/>
        <v>-5.0000000000000044E-3</v>
      </c>
      <c r="AB180" s="384"/>
      <c r="AC180" s="384">
        <f t="shared" ref="AC180" si="698">AC94-X94</f>
        <v>-2.0000000000000018E-2</v>
      </c>
      <c r="AD180" s="384">
        <f t="shared" ref="AD180" si="699">AD94-Y94</f>
        <v>-2.0000000000000018E-2</v>
      </c>
      <c r="AE180" s="384">
        <f t="shared" ref="AE180" si="700">AE94-Z94</f>
        <v>0</v>
      </c>
      <c r="AF180" s="384">
        <f t="shared" ref="AF180" si="701">AF94-AA94</f>
        <v>0</v>
      </c>
      <c r="AG180" s="384"/>
      <c r="AH180" s="384">
        <f t="shared" ref="AH180" si="702">AH94-AC94</f>
        <v>-2.0000000000000018E-3</v>
      </c>
      <c r="AI180" s="384">
        <f t="shared" ref="AI180" si="703">AI94-AD94</f>
        <v>-2.0000000000000018E-3</v>
      </c>
      <c r="AJ180" s="384">
        <f t="shared" ref="AJ180" si="704">AJ94-AE94</f>
        <v>-1.0000000000000009E-2</v>
      </c>
      <c r="AK180" s="384">
        <f t="shared" ref="AK180" si="705">AK94-AF94</f>
        <v>-2.0000000000000018E-3</v>
      </c>
      <c r="AL180" s="384"/>
      <c r="AM180" s="384">
        <f t="shared" ref="AM180" si="706">AM94-AH94</f>
        <v>0</v>
      </c>
      <c r="AN180" s="384">
        <f t="shared" ref="AN180" si="707">AN94-AI94</f>
        <v>0</v>
      </c>
      <c r="AO180" s="384">
        <f t="shared" ref="AO180" si="708">AO94-AJ94</f>
        <v>0</v>
      </c>
      <c r="AP180" s="384">
        <f t="shared" ref="AP180" si="709">AP94-AK94</f>
        <v>0</v>
      </c>
      <c r="AQ180" s="384"/>
      <c r="AR180" s="384">
        <f t="shared" ref="AR180" si="710">AR94-AM94</f>
        <v>0</v>
      </c>
      <c r="AS180" s="384">
        <f t="shared" ref="AS180" si="711">AS94-AN94</f>
        <v>0</v>
      </c>
      <c r="AT180" s="384">
        <f t="shared" ref="AT180" si="712">AT94-AO94</f>
        <v>0</v>
      </c>
      <c r="AU180" s="384">
        <f t="shared" ref="AU180" si="713">AU94-AP94</f>
        <v>0</v>
      </c>
    </row>
    <row r="181" spans="1:48" ht="16.2" customHeight="1" x14ac:dyDescent="0.3">
      <c r="A181" s="161"/>
      <c r="B181" s="382" t="s">
        <v>319</v>
      </c>
      <c r="Q181" s="384">
        <f t="shared" ref="Q181:U181" si="714">Q96-L96</f>
        <v>-4.3229689278334871E-2</v>
      </c>
      <c r="R181" s="384"/>
      <c r="S181" s="384">
        <f t="shared" si="714"/>
        <v>2.6563781125539754E-2</v>
      </c>
      <c r="T181" s="384">
        <f t="shared" si="714"/>
        <v>6.6354626897605851E-2</v>
      </c>
      <c r="U181" s="384">
        <f t="shared" si="714"/>
        <v>0.11154167548484295</v>
      </c>
      <c r="V181" s="384">
        <f>V96-Q96</f>
        <v>4.9999999999999989E-2</v>
      </c>
      <c r="W181" s="384"/>
      <c r="X181" s="384">
        <f t="shared" ref="X181:AA181" si="715">X96-S96</f>
        <v>2.0000000000000018E-2</v>
      </c>
      <c r="Y181" s="384">
        <f t="shared" si="715"/>
        <v>-1.0000000000000009E-2</v>
      </c>
      <c r="Z181" s="384">
        <f t="shared" si="715"/>
        <v>-5.0000000000000044E-3</v>
      </c>
      <c r="AA181" s="384">
        <f t="shared" si="715"/>
        <v>-5.0000000000000044E-3</v>
      </c>
      <c r="AB181" s="384"/>
      <c r="AC181" s="384">
        <f t="shared" ref="AC181" si="716">AC96-X96</f>
        <v>0</v>
      </c>
      <c r="AD181" s="384">
        <f t="shared" ref="AD181" si="717">AD96-Y96</f>
        <v>-2.0000000000000018E-2</v>
      </c>
      <c r="AE181" s="384">
        <f t="shared" ref="AE181" si="718">AE96-Z96</f>
        <v>0</v>
      </c>
      <c r="AF181" s="384">
        <f t="shared" ref="AF181" si="719">AF96-AA96</f>
        <v>0</v>
      </c>
      <c r="AG181" s="384"/>
      <c r="AH181" s="384">
        <f t="shared" ref="AH181" si="720">AH96-AC96</f>
        <v>-2.0000000000000018E-3</v>
      </c>
      <c r="AI181" s="384">
        <f t="shared" ref="AI181" si="721">AI96-AD96</f>
        <v>-2.0000000000000018E-3</v>
      </c>
      <c r="AJ181" s="384">
        <f t="shared" ref="AJ181" si="722">AJ96-AE96</f>
        <v>-2.0000000000000018E-2</v>
      </c>
      <c r="AK181" s="384">
        <f t="shared" ref="AK181" si="723">AK96-AF96</f>
        <v>-2.0000000000000018E-3</v>
      </c>
      <c r="AL181" s="384"/>
      <c r="AM181" s="384">
        <f t="shared" ref="AM181" si="724">AM96-AH96</f>
        <v>0</v>
      </c>
      <c r="AN181" s="384">
        <f t="shared" ref="AN181" si="725">AN96-AI96</f>
        <v>0</v>
      </c>
      <c r="AO181" s="384">
        <f t="shared" ref="AO181" si="726">AO96-AJ96</f>
        <v>0</v>
      </c>
      <c r="AP181" s="384">
        <f t="shared" ref="AP181" si="727">AP96-AK96</f>
        <v>0</v>
      </c>
      <c r="AQ181" s="384"/>
      <c r="AR181" s="384">
        <f t="shared" ref="AR181" si="728">AR96-AM96</f>
        <v>0</v>
      </c>
      <c r="AS181" s="384">
        <f t="shared" ref="AS181" si="729">AS96-AN96</f>
        <v>0</v>
      </c>
      <c r="AT181" s="384">
        <f t="shared" ref="AT181" si="730">AT96-AO96</f>
        <v>0</v>
      </c>
      <c r="AU181" s="384">
        <f t="shared" ref="AU181" si="731">AU96-AP96</f>
        <v>0</v>
      </c>
    </row>
    <row r="182" spans="1:48" ht="14.55" customHeight="1" x14ac:dyDescent="0.3">
      <c r="A182" s="161"/>
      <c r="B182" s="382" t="s">
        <v>320</v>
      </c>
      <c r="Q182" s="384">
        <f t="shared" ref="Q182:U182" si="732">Q98-L98</f>
        <v>-5.6134797444197491E-3</v>
      </c>
      <c r="R182" s="384"/>
      <c r="S182" s="384">
        <f t="shared" si="732"/>
        <v>1.6279115038060621E-4</v>
      </c>
      <c r="T182" s="384">
        <f t="shared" si="732"/>
        <v>5.0139473649204631E-3</v>
      </c>
      <c r="U182" s="384">
        <f t="shared" si="732"/>
        <v>1.4893713799812251E-2</v>
      </c>
      <c r="V182" s="384">
        <f>V98-Q98</f>
        <v>0</v>
      </c>
      <c r="W182" s="384"/>
      <c r="X182" s="384">
        <f t="shared" ref="X182:AA182" si="733">X98-S98</f>
        <v>0</v>
      </c>
      <c r="Y182" s="384">
        <f t="shared" si="733"/>
        <v>0</v>
      </c>
      <c r="Z182" s="384">
        <f t="shared" si="733"/>
        <v>-4.9999999999999975E-3</v>
      </c>
      <c r="AA182" s="384">
        <f t="shared" si="733"/>
        <v>0</v>
      </c>
      <c r="AB182" s="384"/>
      <c r="AC182" s="384">
        <f t="shared" ref="AC182" si="734">AC98-X98</f>
        <v>0</v>
      </c>
      <c r="AD182" s="384">
        <f t="shared" ref="AD182" si="735">AD98-Y98</f>
        <v>0</v>
      </c>
      <c r="AE182" s="384">
        <f t="shared" ref="AE182" si="736">AE98-Z98</f>
        <v>-5.000000000000001E-3</v>
      </c>
      <c r="AF182" s="384">
        <f t="shared" ref="AF182" si="737">AF98-AA98</f>
        <v>0</v>
      </c>
      <c r="AG182" s="384"/>
      <c r="AH182" s="384">
        <f t="shared" ref="AH182" si="738">AH98-AC98</f>
        <v>-1.9999999999999983E-3</v>
      </c>
      <c r="AI182" s="384">
        <f t="shared" ref="AI182" si="739">AI98-AD98</f>
        <v>-2.0000000000000018E-3</v>
      </c>
      <c r="AJ182" s="384">
        <f t="shared" ref="AJ182" si="740">AJ98-AE98</f>
        <v>-6.0000000000000019E-3</v>
      </c>
      <c r="AK182" s="384">
        <f t="shared" ref="AK182" si="741">AK98-AF98</f>
        <v>-1.9999999999999983E-3</v>
      </c>
      <c r="AL182" s="384"/>
      <c r="AM182" s="384">
        <f t="shared" ref="AM182" si="742">AM98-AH98</f>
        <v>0</v>
      </c>
      <c r="AN182" s="384">
        <f t="shared" ref="AN182" si="743">AN98-AI98</f>
        <v>0</v>
      </c>
      <c r="AO182" s="384">
        <f t="shared" ref="AO182" si="744">AO98-AJ98</f>
        <v>0</v>
      </c>
      <c r="AP182" s="384">
        <f t="shared" ref="AP182" si="745">AP98-AK98</f>
        <v>0</v>
      </c>
      <c r="AQ182" s="384"/>
      <c r="AR182" s="384">
        <f t="shared" ref="AR182" si="746">AR98-AM98</f>
        <v>0</v>
      </c>
      <c r="AS182" s="384">
        <f t="shared" ref="AS182" si="747">AS98-AN98</f>
        <v>0</v>
      </c>
      <c r="AT182" s="384">
        <f t="shared" ref="AT182" si="748">AT98-AO98</f>
        <v>0</v>
      </c>
      <c r="AU182" s="384">
        <f t="shared" ref="AU182" si="749">AU98-AP98</f>
        <v>0</v>
      </c>
    </row>
    <row r="183" spans="1:48" ht="14.55" customHeight="1" x14ac:dyDescent="0.3">
      <c r="A183" s="161"/>
      <c r="B183" s="382" t="s">
        <v>321</v>
      </c>
      <c r="Q183" s="384">
        <f t="shared" ref="Q183:U183" si="750">Q101-L101</f>
        <v>-4.5175814670814843E-3</v>
      </c>
      <c r="R183" s="384"/>
      <c r="S183" s="384">
        <f t="shared" si="750"/>
        <v>-1.2605124458150846E-3</v>
      </c>
      <c r="T183" s="384">
        <f t="shared" si="750"/>
        <v>-2.780006809811171E-3</v>
      </c>
      <c r="U183" s="384">
        <f t="shared" si="750"/>
        <v>-4.0374511378418465E-3</v>
      </c>
      <c r="V183" s="384">
        <f>V101-Q101</f>
        <v>0</v>
      </c>
      <c r="W183" s="384"/>
      <c r="X183" s="384">
        <f t="shared" ref="X183:AA183" si="751">X101-S101</f>
        <v>0</v>
      </c>
      <c r="Y183" s="384">
        <f t="shared" si="751"/>
        <v>0</v>
      </c>
      <c r="Z183" s="384">
        <f t="shared" si="751"/>
        <v>-4.9999999999999975E-3</v>
      </c>
      <c r="AA183" s="384">
        <f t="shared" si="751"/>
        <v>-4.9999999999999975E-3</v>
      </c>
      <c r="AB183" s="384"/>
      <c r="AC183" s="384">
        <f t="shared" ref="AC183" si="752">AC101-X101</f>
        <v>-3.0000000000000027E-3</v>
      </c>
      <c r="AD183" s="384">
        <f t="shared" ref="AD183" si="753">AD101-Y101</f>
        <v>0</v>
      </c>
      <c r="AE183" s="384">
        <f t="shared" ref="AE183" si="754">AE101-Z101</f>
        <v>0</v>
      </c>
      <c r="AF183" s="384">
        <f t="shared" ref="AF183" si="755">AF101-AA101</f>
        <v>0</v>
      </c>
      <c r="AG183" s="384"/>
      <c r="AH183" s="384">
        <f t="shared" ref="AH183" si="756">AH101-AC101</f>
        <v>-2.0000000000000018E-3</v>
      </c>
      <c r="AI183" s="384">
        <f t="shared" ref="AI183" si="757">AI101-AD101</f>
        <v>-2.0000000000000018E-3</v>
      </c>
      <c r="AJ183" s="384">
        <f t="shared" ref="AJ183" si="758">AJ101-AE101</f>
        <v>-2.0000000000000018E-3</v>
      </c>
      <c r="AK183" s="384">
        <f t="shared" ref="AK183" si="759">AK101-AF101</f>
        <v>-2.0000000000000018E-3</v>
      </c>
      <c r="AL183" s="384"/>
      <c r="AM183" s="384">
        <f t="shared" ref="AM183" si="760">AM101-AH101</f>
        <v>0</v>
      </c>
      <c r="AN183" s="384">
        <f t="shared" ref="AN183" si="761">AN101-AI101</f>
        <v>0</v>
      </c>
      <c r="AO183" s="384">
        <f t="shared" ref="AO183" si="762">AO101-AJ101</f>
        <v>0</v>
      </c>
      <c r="AP183" s="384">
        <f t="shared" ref="AP183" si="763">AP101-AK101</f>
        <v>0</v>
      </c>
      <c r="AQ183" s="384"/>
      <c r="AR183" s="384">
        <f t="shared" ref="AR183" si="764">AR101-AM101</f>
        <v>0</v>
      </c>
      <c r="AS183" s="384">
        <f t="shared" ref="AS183" si="765">AS101-AN101</f>
        <v>0</v>
      </c>
      <c r="AT183" s="384">
        <f t="shared" ref="AT183" si="766">AT101-AO101</f>
        <v>0</v>
      </c>
      <c r="AU183" s="384">
        <f t="shared" ref="AU183" si="767">AU101-AP101</f>
        <v>0</v>
      </c>
    </row>
    <row r="184" spans="1:48" ht="14.55" customHeight="1" x14ac:dyDescent="0.3">
      <c r="A184" s="161"/>
    </row>
    <row r="185" spans="1:48" s="8" customFormat="1" x14ac:dyDescent="0.3">
      <c r="A185" s="161"/>
      <c r="B185" s="382" t="s">
        <v>322</v>
      </c>
      <c r="Q185" s="384">
        <f t="shared" ref="Q185:T185" si="768">Q111-L111</f>
        <v>-7.3337522717080939E-2</v>
      </c>
      <c r="R185" s="384"/>
      <c r="S185" s="384">
        <f t="shared" si="768"/>
        <v>-8.2275015567009335E-3</v>
      </c>
      <c r="T185" s="384">
        <f t="shared" si="768"/>
        <v>2.1961732903702735E-2</v>
      </c>
      <c r="U185" s="384">
        <f>U111-P111</f>
        <v>3.1106851202291286E-2</v>
      </c>
      <c r="V185" s="384">
        <f t="shared" ref="V185:AU185" si="769">V111-Q111</f>
        <v>3.0000000000000027E-2</v>
      </c>
      <c r="W185" s="384"/>
      <c r="X185" s="384">
        <f t="shared" si="769"/>
        <v>1.5000000000000013E-2</v>
      </c>
      <c r="Y185" s="384">
        <f t="shared" si="769"/>
        <v>0</v>
      </c>
      <c r="Z185" s="384">
        <f t="shared" si="769"/>
        <v>-5.0000000000000044E-3</v>
      </c>
      <c r="AA185" s="384">
        <f t="shared" si="769"/>
        <v>-3.0000000000000027E-2</v>
      </c>
      <c r="AB185" s="384"/>
      <c r="AC185" s="384">
        <f t="shared" si="769"/>
        <v>0</v>
      </c>
      <c r="AD185" s="384">
        <f t="shared" si="769"/>
        <v>0</v>
      </c>
      <c r="AE185" s="384">
        <f t="shared" si="769"/>
        <v>-2.0000000000000018E-2</v>
      </c>
      <c r="AF185" s="384">
        <f t="shared" si="769"/>
        <v>0</v>
      </c>
      <c r="AG185" s="384"/>
      <c r="AH185" s="384">
        <f t="shared" si="769"/>
        <v>0</v>
      </c>
      <c r="AI185" s="384">
        <f t="shared" si="769"/>
        <v>0</v>
      </c>
      <c r="AJ185" s="384">
        <f t="shared" si="769"/>
        <v>-1.0000000000000009E-2</v>
      </c>
      <c r="AK185" s="384">
        <f t="shared" si="769"/>
        <v>0</v>
      </c>
      <c r="AL185" s="384"/>
      <c r="AM185" s="384">
        <f t="shared" si="769"/>
        <v>0</v>
      </c>
      <c r="AN185" s="384">
        <f t="shared" si="769"/>
        <v>0</v>
      </c>
      <c r="AO185" s="384">
        <f t="shared" si="769"/>
        <v>0</v>
      </c>
      <c r="AP185" s="384">
        <f t="shared" si="769"/>
        <v>0</v>
      </c>
      <c r="AQ185" s="384"/>
      <c r="AR185" s="384">
        <f t="shared" si="769"/>
        <v>0</v>
      </c>
      <c r="AS185" s="384">
        <f t="shared" si="769"/>
        <v>0</v>
      </c>
      <c r="AT185" s="384">
        <f t="shared" si="769"/>
        <v>0</v>
      </c>
      <c r="AU185" s="384">
        <f t="shared" si="769"/>
        <v>0</v>
      </c>
    </row>
    <row r="186" spans="1:48" s="8" customFormat="1" x14ac:dyDescent="0.3">
      <c r="A186" s="161"/>
      <c r="B186" s="382" t="s">
        <v>323</v>
      </c>
      <c r="Q186" s="384">
        <f t="shared" ref="Q186:T186" si="770">Q113-L113</f>
        <v>-1.0844701708009816E-3</v>
      </c>
      <c r="R186" s="384"/>
      <c r="S186" s="384">
        <f t="shared" si="770"/>
        <v>-2.5553392161973866E-3</v>
      </c>
      <c r="T186" s="384">
        <f t="shared" si="770"/>
        <v>-1.2309816148434665E-2</v>
      </c>
      <c r="U186" s="384">
        <f>U113-P113</f>
        <v>5.2264096219557514E-2</v>
      </c>
      <c r="V186" s="384">
        <f t="shared" ref="V186:AU186" si="771">V113-Q113</f>
        <v>0.04</v>
      </c>
      <c r="W186" s="384"/>
      <c r="X186" s="384">
        <f t="shared" si="771"/>
        <v>0.02</v>
      </c>
      <c r="Y186" s="384">
        <f t="shared" si="771"/>
        <v>0</v>
      </c>
      <c r="Z186" s="384">
        <f t="shared" si="771"/>
        <v>-5.000000000000001E-3</v>
      </c>
      <c r="AA186" s="384">
        <f t="shared" si="771"/>
        <v>-0.03</v>
      </c>
      <c r="AB186" s="384"/>
      <c r="AC186" s="384">
        <f t="shared" si="771"/>
        <v>-0.02</v>
      </c>
      <c r="AD186" s="384">
        <f t="shared" si="771"/>
        <v>0</v>
      </c>
      <c r="AE186" s="384">
        <f t="shared" si="771"/>
        <v>0</v>
      </c>
      <c r="AF186" s="384">
        <f t="shared" si="771"/>
        <v>-0.02</v>
      </c>
      <c r="AG186" s="384"/>
      <c r="AH186" s="384">
        <f t="shared" si="771"/>
        <v>-2.9999999999999992E-3</v>
      </c>
      <c r="AI186" s="384">
        <f t="shared" si="771"/>
        <v>0</v>
      </c>
      <c r="AJ186" s="384">
        <f t="shared" si="771"/>
        <v>0</v>
      </c>
      <c r="AK186" s="384">
        <f t="shared" si="771"/>
        <v>-4.0000000000000001E-3</v>
      </c>
      <c r="AL186" s="384"/>
      <c r="AM186" s="384">
        <f t="shared" si="771"/>
        <v>0</v>
      </c>
      <c r="AN186" s="384">
        <f t="shared" si="771"/>
        <v>0</v>
      </c>
      <c r="AO186" s="384">
        <f t="shared" si="771"/>
        <v>0</v>
      </c>
      <c r="AP186" s="384">
        <f t="shared" si="771"/>
        <v>0</v>
      </c>
      <c r="AQ186" s="384"/>
      <c r="AR186" s="384">
        <f t="shared" si="771"/>
        <v>0</v>
      </c>
      <c r="AS186" s="384">
        <f t="shared" si="771"/>
        <v>0</v>
      </c>
      <c r="AT186" s="384">
        <f t="shared" si="771"/>
        <v>0</v>
      </c>
      <c r="AU186" s="384">
        <f t="shared" si="771"/>
        <v>0</v>
      </c>
    </row>
    <row r="187" spans="1:48" s="8" customFormat="1" x14ac:dyDescent="0.3">
      <c r="A187" s="161"/>
      <c r="B187" s="382" t="s">
        <v>324</v>
      </c>
      <c r="Q187" s="384">
        <f t="shared" ref="Q187:T187" si="772">Q116-L116</f>
        <v>2.3693128623915273E-3</v>
      </c>
      <c r="R187" s="384"/>
      <c r="S187" s="384">
        <f t="shared" si="772"/>
        <v>1.9882391779431439E-3</v>
      </c>
      <c r="T187" s="384">
        <f t="shared" si="772"/>
        <v>-8.1949465585923805E-4</v>
      </c>
      <c r="U187" s="384">
        <f>U116-P116</f>
        <v>-2.2101675866256984E-3</v>
      </c>
      <c r="V187" s="384">
        <f t="shared" ref="V187:AU187" si="773">V116-Q116</f>
        <v>0</v>
      </c>
      <c r="W187" s="384"/>
      <c r="X187" s="384">
        <f t="shared" si="773"/>
        <v>0</v>
      </c>
      <c r="Y187" s="384">
        <f t="shared" si="773"/>
        <v>0</v>
      </c>
      <c r="Z187" s="384">
        <f t="shared" si="773"/>
        <v>0</v>
      </c>
      <c r="AA187" s="384">
        <f t="shared" si="773"/>
        <v>0</v>
      </c>
      <c r="AB187" s="384"/>
      <c r="AC187" s="384">
        <f t="shared" si="773"/>
        <v>0</v>
      </c>
      <c r="AD187" s="384">
        <f t="shared" si="773"/>
        <v>0</v>
      </c>
      <c r="AE187" s="384">
        <f t="shared" si="773"/>
        <v>0</v>
      </c>
      <c r="AF187" s="384">
        <f t="shared" si="773"/>
        <v>0</v>
      </c>
      <c r="AG187" s="384"/>
      <c r="AH187" s="384">
        <f t="shared" si="773"/>
        <v>0</v>
      </c>
      <c r="AI187" s="384">
        <f t="shared" si="773"/>
        <v>0</v>
      </c>
      <c r="AJ187" s="384">
        <f t="shared" si="773"/>
        <v>0</v>
      </c>
      <c r="AK187" s="384">
        <f t="shared" si="773"/>
        <v>0</v>
      </c>
      <c r="AL187" s="384"/>
      <c r="AM187" s="384">
        <f t="shared" si="773"/>
        <v>0</v>
      </c>
      <c r="AN187" s="384">
        <f t="shared" si="773"/>
        <v>0</v>
      </c>
      <c r="AO187" s="384">
        <f t="shared" si="773"/>
        <v>0</v>
      </c>
      <c r="AP187" s="384">
        <f t="shared" si="773"/>
        <v>0</v>
      </c>
      <c r="AQ187" s="384"/>
      <c r="AR187" s="384">
        <f t="shared" si="773"/>
        <v>0</v>
      </c>
      <c r="AS187" s="384">
        <f t="shared" si="773"/>
        <v>0</v>
      </c>
      <c r="AT187" s="384">
        <f t="shared" si="773"/>
        <v>0</v>
      </c>
      <c r="AU187" s="384">
        <f t="shared" si="773"/>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162:C162"/>
    <mergeCell ref="B163:C163"/>
    <mergeCell ref="B165:C165"/>
    <mergeCell ref="B172:C172"/>
    <mergeCell ref="B158:C158"/>
    <mergeCell ref="B155:C155"/>
    <mergeCell ref="B156:C156"/>
    <mergeCell ref="B143:C143"/>
    <mergeCell ref="B144:C144"/>
    <mergeCell ref="B145:C145"/>
    <mergeCell ref="B150:C150"/>
    <mergeCell ref="B151:C151"/>
    <mergeCell ref="B157:C157"/>
    <mergeCell ref="B142:C142"/>
    <mergeCell ref="B93:C93"/>
    <mergeCell ref="B107:C107"/>
    <mergeCell ref="B108:C108"/>
    <mergeCell ref="B110:C110"/>
    <mergeCell ref="B122:C122"/>
    <mergeCell ref="B123:C123"/>
    <mergeCell ref="B125:C125"/>
    <mergeCell ref="B132:C132"/>
    <mergeCell ref="B138:C138"/>
    <mergeCell ref="B140:C140"/>
    <mergeCell ref="B141:C141"/>
    <mergeCell ref="B152:C152"/>
    <mergeCell ref="B153:C153"/>
    <mergeCell ref="B154:C154"/>
    <mergeCell ref="B92:C92"/>
    <mergeCell ref="B50:C50"/>
    <mergeCell ref="B54:C54"/>
    <mergeCell ref="B55:C55"/>
    <mergeCell ref="B59:C59"/>
    <mergeCell ref="B60:C60"/>
    <mergeCell ref="B73:C73"/>
    <mergeCell ref="B74:C74"/>
    <mergeCell ref="B78:C78"/>
    <mergeCell ref="B83:C83"/>
    <mergeCell ref="B87:C87"/>
    <mergeCell ref="B88:C88"/>
    <mergeCell ref="B7:C7"/>
    <mergeCell ref="B8:C8"/>
    <mergeCell ref="B9:C9"/>
    <mergeCell ref="B16:C16"/>
    <mergeCell ref="B45:C45"/>
    <mergeCell ref="B23:C23"/>
    <mergeCell ref="B24:C24"/>
    <mergeCell ref="B25:C25"/>
    <mergeCell ref="B30:C30"/>
    <mergeCell ref="B31:C31"/>
    <mergeCell ref="B32:C32"/>
    <mergeCell ref="B33:C33"/>
    <mergeCell ref="B38:C38"/>
    <mergeCell ref="B39:C39"/>
    <mergeCell ref="B40:C40"/>
    <mergeCell ref="B41:C41"/>
    <mergeCell ref="A3:A4"/>
    <mergeCell ref="B3:C3"/>
    <mergeCell ref="B4:C4"/>
    <mergeCell ref="B5:C5"/>
    <mergeCell ref="B6:C6"/>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ignoredErrors>
    <ignoredError sqref="W90 W92" formula="1"/>
  </ignoredError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C4A56-0293-4141-A4E6-7E533B32DA9A}">
  <sheetPr>
    <tabColor theme="4" tint="0.79998168889431442"/>
    <pageSetUpPr fitToPage="1"/>
  </sheetPr>
  <dimension ref="A1:AV67"/>
  <sheetViews>
    <sheetView showGridLines="0" zoomScaleNormal="100" workbookViewId="0">
      <pane xSplit="3" ySplit="5" topLeftCell="D6"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583" t="s">
        <v>249</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583" t="s">
        <v>211</v>
      </c>
      <c r="C5" s="584"/>
      <c r="D5" s="13"/>
      <c r="E5" s="13"/>
      <c r="F5" s="13"/>
      <c r="G5" s="258"/>
      <c r="H5" s="259"/>
      <c r="I5" s="258"/>
      <c r="J5" s="13"/>
      <c r="K5" s="13"/>
      <c r="L5" s="258"/>
      <c r="M5" s="259"/>
      <c r="N5" s="258"/>
      <c r="O5" s="13"/>
      <c r="P5" s="13"/>
      <c r="Q5" s="258"/>
      <c r="R5" s="259"/>
      <c r="S5" s="258"/>
      <c r="T5" s="13"/>
      <c r="U5" s="13"/>
      <c r="V5" s="15"/>
      <c r="W5" s="41"/>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580" t="s">
        <v>212</v>
      </c>
      <c r="C6" s="581"/>
      <c r="D6" s="16">
        <f>'CFS 3Q2022'!D41</f>
        <v>4761.6000000000004</v>
      </c>
      <c r="E6" s="16">
        <f>'CFS 3Q2022'!E41</f>
        <v>2055.1000000000004</v>
      </c>
      <c r="F6" s="16">
        <f>'CFS 3Q2022'!F41</f>
        <v>4763.4000000000015</v>
      </c>
      <c r="G6" s="101">
        <f>'CFS 3Q2022'!G41</f>
        <v>2686.6000000000022</v>
      </c>
      <c r="H6" s="17">
        <f>G6</f>
        <v>2686.6000000000022</v>
      </c>
      <c r="I6" s="16">
        <f>'CFS 3Q2022'!I41</f>
        <v>3040.5000000000036</v>
      </c>
      <c r="J6" s="16">
        <f>'CFS 3Q2022'!J41</f>
        <v>2572.3000000000029</v>
      </c>
      <c r="K6" s="16">
        <f>'CFS 3Q2022'!K41</f>
        <v>3965.9000000000042</v>
      </c>
      <c r="L6" s="101">
        <f>'CFS 3Q2022'!L41</f>
        <v>4350.900000000006</v>
      </c>
      <c r="M6" s="17">
        <f>L6</f>
        <v>4350.900000000006</v>
      </c>
      <c r="N6" s="16">
        <f>'CFS 3Q2022'!N41</f>
        <v>5028.00000000001</v>
      </c>
      <c r="O6" s="16">
        <f>'CFS 3Q2022'!O41</f>
        <v>3880.6000000000104</v>
      </c>
      <c r="P6" s="16">
        <f>'CFS 3Q2022'!P41</f>
        <v>4753.1000000000095</v>
      </c>
      <c r="Q6" s="16">
        <f>'CFS 3Q2022'!Q41</f>
        <v>6455.7000000000089</v>
      </c>
      <c r="R6" s="17">
        <f>Q6</f>
        <v>6455.7000000000089</v>
      </c>
      <c r="S6" s="16">
        <f>'CFS 3Q2022'!S41</f>
        <v>3969.4000000000078</v>
      </c>
      <c r="T6" s="16">
        <f>'CFS 3Q2022'!T41</f>
        <v>3913.4000000000083</v>
      </c>
      <c r="U6" s="16">
        <f>'CFS 3Q2022'!U41</f>
        <v>3177.5000000000073</v>
      </c>
      <c r="V6" s="16">
        <f>'CFS 3Q2022'!V41</f>
        <v>3252.6993448393941</v>
      </c>
      <c r="W6" s="17">
        <f>V6</f>
        <v>3252.6993448393941</v>
      </c>
      <c r="X6" s="16">
        <f>'CFS 3Q2022'!X41</f>
        <v>3666.0614043178766</v>
      </c>
      <c r="Y6" s="16">
        <f>'CFS 3Q2022'!Y41</f>
        <v>3161.9917292242617</v>
      </c>
      <c r="Z6" s="16">
        <f>'CFS 3Q2022'!Z41</f>
        <v>2920.316654778565</v>
      </c>
      <c r="AA6" s="16">
        <f>'CFS 3Q2022'!AA41</f>
        <v>3516.2664206510899</v>
      </c>
      <c r="AB6" s="17">
        <f>AA6</f>
        <v>3516.2664206510899</v>
      </c>
      <c r="AC6" s="16">
        <f>'CFS 3Q2022'!AC41</f>
        <v>4310.8334032023095</v>
      </c>
      <c r="AD6" s="16">
        <f>'CFS 3Q2022'!AD41</f>
        <v>4069.7974787335893</v>
      </c>
      <c r="AE6" s="16">
        <f>'CFS 3Q2022'!AE41</f>
        <v>4102.1196225674075</v>
      </c>
      <c r="AF6" s="16">
        <f>'CFS 3Q2022'!AF41</f>
        <v>4645.1767963144257</v>
      </c>
      <c r="AG6" s="17">
        <f>AF6</f>
        <v>4645.1767963144257</v>
      </c>
      <c r="AH6" s="16">
        <f>'CFS 3Q2022'!AH41</f>
        <v>5516.6280277849673</v>
      </c>
      <c r="AI6" s="16">
        <f>'CFS 3Q2022'!AI41</f>
        <v>5277.3461012798416</v>
      </c>
      <c r="AJ6" s="16">
        <f>'CFS 3Q2022'!AJ41</f>
        <v>5631.8755560345362</v>
      </c>
      <c r="AK6" s="16">
        <f>'CFS 3Q2022'!AK41</f>
        <v>1429.0310091872861</v>
      </c>
      <c r="AL6" s="17">
        <f>AK6</f>
        <v>1429.0310091872861</v>
      </c>
      <c r="AM6" s="16">
        <f>'CFS 3Q2022'!AM41</f>
        <v>2312.8869300984857</v>
      </c>
      <c r="AN6" s="16">
        <f>'CFS 3Q2022'!AN41</f>
        <v>1932.079440461963</v>
      </c>
      <c r="AO6" s="16">
        <f>'CFS 3Q2022'!AO41</f>
        <v>1982.4038353483024</v>
      </c>
      <c r="AP6" s="16">
        <f>'CFS 3Q2022'!AP41</f>
        <v>2708.5814669353776</v>
      </c>
      <c r="AQ6" s="17">
        <f>AP6</f>
        <v>2708.5814669353776</v>
      </c>
      <c r="AR6" s="16">
        <f>'CFS 3Q2022'!AR41</f>
        <v>3795.6241271793197</v>
      </c>
      <c r="AS6" s="16">
        <f>'CFS 3Q2022'!AS41</f>
        <v>3498.838612579716</v>
      </c>
      <c r="AT6" s="16">
        <f>'CFS 3Q2022'!AT41</f>
        <v>3673.1641628517177</v>
      </c>
      <c r="AU6" s="16">
        <f>'CFS 3Q2022'!AU41</f>
        <v>4472.886881030654</v>
      </c>
      <c r="AV6" s="17">
        <f>AU6</f>
        <v>4472.886881030654</v>
      </c>
    </row>
    <row r="7" spans="1:48" ht="14.55" customHeight="1" outlineLevel="1" x14ac:dyDescent="0.3">
      <c r="A7" s="161"/>
      <c r="B7" s="200" t="s">
        <v>213</v>
      </c>
      <c r="C7" s="201"/>
      <c r="D7" s="16">
        <v>230.2</v>
      </c>
      <c r="E7" s="16">
        <v>76.599999999999994</v>
      </c>
      <c r="F7" s="16">
        <v>72.099999999999994</v>
      </c>
      <c r="G7" s="16">
        <v>70.5</v>
      </c>
      <c r="H7" s="17">
        <f>+G7</f>
        <v>70.5</v>
      </c>
      <c r="I7" s="16">
        <v>68.400000000000006</v>
      </c>
      <c r="J7" s="16">
        <v>52.9</v>
      </c>
      <c r="K7" s="16">
        <v>229.9</v>
      </c>
      <c r="L7" s="16">
        <v>281.2</v>
      </c>
      <c r="M7" s="17">
        <f>+L7</f>
        <v>281.2</v>
      </c>
      <c r="N7" s="16">
        <v>235.5</v>
      </c>
      <c r="O7" s="16">
        <v>123</v>
      </c>
      <c r="P7" s="16">
        <v>153.6</v>
      </c>
      <c r="Q7" s="101">
        <v>162.19999999999999</v>
      </c>
      <c r="R7" s="17">
        <f>+Q7</f>
        <v>162.19999999999999</v>
      </c>
      <c r="S7" s="16">
        <v>87.4</v>
      </c>
      <c r="T7" s="16">
        <v>82.1</v>
      </c>
      <c r="U7" s="16">
        <v>76.900000000000006</v>
      </c>
      <c r="V7" s="16">
        <f>+V53*V42*V54</f>
        <v>95.500575647687469</v>
      </c>
      <c r="W7" s="17">
        <f>+V7</f>
        <v>95.500575647687469</v>
      </c>
      <c r="X7" s="16">
        <f>+X53*X42*X54</f>
        <v>86.242056600962172</v>
      </c>
      <c r="Y7" s="16">
        <f>+Y53*Y42*Y54</f>
        <v>85.562082668529058</v>
      </c>
      <c r="Z7" s="16">
        <f>+Z53*Z42*Z54</f>
        <v>88.660774598026492</v>
      </c>
      <c r="AA7" s="16">
        <f>+AA53*AA42*AA54</f>
        <v>91.78830759639655</v>
      </c>
      <c r="AB7" s="17">
        <f>+AA7</f>
        <v>91.78830759639655</v>
      </c>
      <c r="AC7" s="16">
        <f>+AC53*AC42*AC54</f>
        <v>93.031928044095721</v>
      </c>
      <c r="AD7" s="16">
        <f>+AD53*AD42*AD54</f>
        <v>93.146450070213703</v>
      </c>
      <c r="AE7" s="16">
        <f>+AE53*AE42*AE54</f>
        <v>95.54973383467123</v>
      </c>
      <c r="AF7" s="16">
        <f>+AF53*AF42*AF54</f>
        <v>96.963855341271696</v>
      </c>
      <c r="AG7" s="17">
        <f>+AF7</f>
        <v>96.963855341271696</v>
      </c>
      <c r="AH7" s="16">
        <f>+AH53*AH42*AH54</f>
        <v>100.35359594589841</v>
      </c>
      <c r="AI7" s="16">
        <f>+AI53*AI42*AI54</f>
        <v>100.41791707638792</v>
      </c>
      <c r="AJ7" s="16">
        <f>+AJ53*AJ42*AJ54</f>
        <v>103.97861862711942</v>
      </c>
      <c r="AK7" s="16">
        <f>+AK53*AK42*AK54</f>
        <v>89.808972588169809</v>
      </c>
      <c r="AL7" s="17">
        <f>+AK7</f>
        <v>89.808972588169809</v>
      </c>
      <c r="AM7" s="16">
        <f>+AM53*AM42*AM54</f>
        <v>93.360921409948361</v>
      </c>
      <c r="AN7" s="16">
        <f>+AN53*AN42*AN54</f>
        <v>92.867185429492167</v>
      </c>
      <c r="AO7" s="16">
        <f>+AO53*AO42*AO54</f>
        <v>95.592789803280638</v>
      </c>
      <c r="AP7" s="16">
        <f>+AP53*AP42*AP54</f>
        <v>96.882951011050437</v>
      </c>
      <c r="AQ7" s="17">
        <f>+AP7</f>
        <v>96.882951011050437</v>
      </c>
      <c r="AR7" s="16">
        <f>+AR53*AR42*AR54</f>
        <v>100.9697361643871</v>
      </c>
      <c r="AS7" s="16">
        <f>+AS53*AS42*AS54</f>
        <v>100.69315300889743</v>
      </c>
      <c r="AT7" s="16">
        <f>+AT53*AT42*AT54</f>
        <v>103.76813124953718</v>
      </c>
      <c r="AU7" s="16">
        <f>+AU53*AU42*AU54</f>
        <v>105.36414828582656</v>
      </c>
      <c r="AV7" s="17">
        <f>+AU7</f>
        <v>105.36414828582656</v>
      </c>
    </row>
    <row r="8" spans="1:48" s="23" customFormat="1" ht="14.55" customHeight="1" outlineLevel="1" x14ac:dyDescent="0.3">
      <c r="A8" s="161"/>
      <c r="B8" s="580" t="s">
        <v>214</v>
      </c>
      <c r="C8" s="581"/>
      <c r="D8" s="16">
        <v>721.4</v>
      </c>
      <c r="E8" s="16">
        <v>703.6</v>
      </c>
      <c r="F8" s="16">
        <v>790.6</v>
      </c>
      <c r="G8" s="16">
        <v>879</v>
      </c>
      <c r="H8" s="17">
        <f>G8</f>
        <v>879</v>
      </c>
      <c r="I8" s="16">
        <v>908.1</v>
      </c>
      <c r="J8" s="16">
        <v>941</v>
      </c>
      <c r="K8" s="16">
        <v>881.1</v>
      </c>
      <c r="L8" s="16">
        <v>883.4</v>
      </c>
      <c r="M8" s="17">
        <f>L8</f>
        <v>883.4</v>
      </c>
      <c r="N8" s="16">
        <v>888</v>
      </c>
      <c r="O8" s="16">
        <v>880.2</v>
      </c>
      <c r="P8" s="16">
        <v>911.2</v>
      </c>
      <c r="Q8" s="101">
        <v>940</v>
      </c>
      <c r="R8" s="17">
        <f>Q8</f>
        <v>940</v>
      </c>
      <c r="S8" s="16">
        <v>1031.0999999999999</v>
      </c>
      <c r="T8" s="16">
        <v>1001.9</v>
      </c>
      <c r="U8" s="16">
        <v>1146.0999999999999</v>
      </c>
      <c r="V8" s="16">
        <f>'IS 3Q2022'!V8/V47</f>
        <v>1064.1520072753249</v>
      </c>
      <c r="W8" s="17">
        <f>V8</f>
        <v>1064.1520072753249</v>
      </c>
      <c r="X8" s="16">
        <f>'IS 3Q2022'!X8/X47</f>
        <v>1119.7626094038656</v>
      </c>
      <c r="Y8" s="16">
        <f>'IS 3Q2022'!Y8/Y47</f>
        <v>1167.4042397194328</v>
      </c>
      <c r="Z8" s="16">
        <f>'IS 3Q2022'!Z8/Z47</f>
        <v>1369.713028487625</v>
      </c>
      <c r="AA8" s="16">
        <f>'IS 3Q2022'!AA8/AA47</f>
        <v>1201.0727677629843</v>
      </c>
      <c r="AB8" s="17">
        <f>AA8</f>
        <v>1201.0727677629843</v>
      </c>
      <c r="AC8" s="16">
        <f>'IS 3Q2022'!AC8/AC47</f>
        <v>1261.7487849685679</v>
      </c>
      <c r="AD8" s="16">
        <f>'IS 3Q2022'!AD8/AD47</f>
        <v>1233.6102679930627</v>
      </c>
      <c r="AE8" s="16">
        <f>'IS 3Q2022'!AE8/AE47</f>
        <v>1372.7604456345728</v>
      </c>
      <c r="AF8" s="16">
        <f>'IS 3Q2022'!AF8/AF47</f>
        <v>1278.6956910645613</v>
      </c>
      <c r="AG8" s="17">
        <f>AF8</f>
        <v>1278.6956910645613</v>
      </c>
      <c r="AH8" s="16">
        <f>'IS 3Q2022'!AH8/AH47</f>
        <v>1400.139003961182</v>
      </c>
      <c r="AI8" s="16">
        <f>'IS 3Q2022'!AI8/AI47</f>
        <v>1381.7201777106686</v>
      </c>
      <c r="AJ8" s="16">
        <f>'IS 3Q2022'!AJ8/AJ47</f>
        <v>1594.2135043198928</v>
      </c>
      <c r="AK8" s="16">
        <f>'IS 3Q2022'!AK8/AK47</f>
        <v>1463.4294840280752</v>
      </c>
      <c r="AL8" s="17">
        <f>AK8</f>
        <v>1463.4294840280752</v>
      </c>
      <c r="AM8" s="16">
        <f>'IS 3Q2022'!AM8/AM47</f>
        <v>1543.7879429319219</v>
      </c>
      <c r="AN8" s="16">
        <f>'IS 3Q2022'!AN8/AN47</f>
        <v>1525.8328187019108</v>
      </c>
      <c r="AO8" s="16">
        <f>'IS 3Q2022'!AO8/AO47</f>
        <v>1743.0225810365534</v>
      </c>
      <c r="AP8" s="16">
        <f>'IS 3Q2022'!AP8/AP47</f>
        <v>1583.5109827453898</v>
      </c>
      <c r="AQ8" s="17">
        <f>AP8</f>
        <v>1583.5109827453898</v>
      </c>
      <c r="AR8" s="16">
        <f>'IS 3Q2022'!AR8/AR47</f>
        <v>1644.4548002791869</v>
      </c>
      <c r="AS8" s="16">
        <f>'IS 3Q2022'!AS8/AS47</f>
        <v>1611.5568849281378</v>
      </c>
      <c r="AT8" s="16">
        <f>'IS 3Q2022'!AT8/AT47</f>
        <v>1826.2350509759381</v>
      </c>
      <c r="AU8" s="16">
        <f>'IS 3Q2022'!AU8/AU47</f>
        <v>1677.3204940394201</v>
      </c>
      <c r="AV8" s="17">
        <f>AU8</f>
        <v>1677.3204940394201</v>
      </c>
    </row>
    <row r="9" spans="1:48" s="23" customFormat="1" ht="14.55" customHeight="1" outlineLevel="1" x14ac:dyDescent="0.3">
      <c r="A9" s="161"/>
      <c r="B9" s="200" t="s">
        <v>215</v>
      </c>
      <c r="C9" s="201"/>
      <c r="D9" s="16">
        <v>1354.6</v>
      </c>
      <c r="E9" s="16">
        <v>1443</v>
      </c>
      <c r="F9" s="16">
        <v>1517.2</v>
      </c>
      <c r="G9" s="16">
        <v>1529.4</v>
      </c>
      <c r="H9" s="17">
        <f>G9</f>
        <v>1529.4</v>
      </c>
      <c r="I9" s="16">
        <v>1408.7</v>
      </c>
      <c r="J9" s="16">
        <v>1492.2</v>
      </c>
      <c r="K9" s="16">
        <v>1583.8</v>
      </c>
      <c r="L9" s="16">
        <v>1551.4</v>
      </c>
      <c r="M9" s="17">
        <f>L9</f>
        <v>1551.4</v>
      </c>
      <c r="N9" s="16">
        <v>1471.5</v>
      </c>
      <c r="O9" s="16">
        <v>1503.6</v>
      </c>
      <c r="P9" s="16">
        <v>1548.2</v>
      </c>
      <c r="Q9" s="101">
        <v>1603.9</v>
      </c>
      <c r="R9" s="17">
        <f>Q9</f>
        <v>1603.9</v>
      </c>
      <c r="S9" s="16">
        <v>1637.1</v>
      </c>
      <c r="T9" s="16">
        <v>1920</v>
      </c>
      <c r="U9" s="16">
        <v>2132.9</v>
      </c>
      <c r="V9" s="16">
        <f>'IS 3Q2022'!V9/V49</f>
        <v>1902.7231489483838</v>
      </c>
      <c r="W9" s="17">
        <f>V9</f>
        <v>1902.7231489483838</v>
      </c>
      <c r="X9" s="16">
        <f>'IS 3Q2022'!X9/X49</f>
        <v>1851.7543128163065</v>
      </c>
      <c r="Y9" s="16">
        <f>'IS 3Q2022'!Y9/Y49</f>
        <v>2050.098692430362</v>
      </c>
      <c r="Z9" s="16">
        <f>'IS 3Q2022'!Z9/Z49</f>
        <v>2468.761178454195</v>
      </c>
      <c r="AA9" s="16">
        <f>'IS 3Q2022'!AA9/AA49</f>
        <v>2089.9509848914354</v>
      </c>
      <c r="AB9" s="17">
        <f>AA9</f>
        <v>2089.9509848914354</v>
      </c>
      <c r="AC9" s="16">
        <f>'IS 3Q2022'!AC9/AC49</f>
        <v>2040.9283641953671</v>
      </c>
      <c r="AD9" s="16">
        <f>'IS 3Q2022'!AD9/AD49</f>
        <v>2218.2216910770321</v>
      </c>
      <c r="AE9" s="16">
        <f>'IS 3Q2022'!AE9/AE49</f>
        <v>2510.1533511914272</v>
      </c>
      <c r="AF9" s="16">
        <f>'IS 3Q2022'!AF9/AF49</f>
        <v>2274.2541110919333</v>
      </c>
      <c r="AG9" s="17">
        <f>AF9</f>
        <v>2274.2541110919333</v>
      </c>
      <c r="AH9" s="16">
        <f>'IS 3Q2022'!AH9/AH49</f>
        <v>2216.6583975654535</v>
      </c>
      <c r="AI9" s="16">
        <f>'IS 3Q2022'!AI9/AI49</f>
        <v>2462.5717169622926</v>
      </c>
      <c r="AJ9" s="16">
        <f>'IS 3Q2022'!AJ9/AJ49</f>
        <v>2864.6506782031915</v>
      </c>
      <c r="AK9" s="16">
        <f>'IS 3Q2022'!AK9/AK49</f>
        <v>2580.8801353842241</v>
      </c>
      <c r="AL9" s="17">
        <f>AK9</f>
        <v>2580.8801353842241</v>
      </c>
      <c r="AM9" s="16">
        <f>'IS 3Q2022'!AM9/AM49</f>
        <v>2451.986788126701</v>
      </c>
      <c r="AN9" s="16">
        <f>'IS 3Q2022'!AN9/AN49</f>
        <v>2674.4844780993444</v>
      </c>
      <c r="AO9" s="16">
        <f>'IS 3Q2022'!AO9/AO49</f>
        <v>3109.433722006007</v>
      </c>
      <c r="AP9" s="16">
        <f>'IS 3Q2022'!AP9/AP49</f>
        <v>2788.5324102113073</v>
      </c>
      <c r="AQ9" s="17">
        <f>AP9</f>
        <v>2788.5324102113073</v>
      </c>
      <c r="AR9" s="16">
        <f>'IS 3Q2022'!AR9/AR49</f>
        <v>2612.3786046199316</v>
      </c>
      <c r="AS9" s="16">
        <f>'IS 3Q2022'!AS9/AS49</f>
        <v>2846.5897264728869</v>
      </c>
      <c r="AT9" s="16">
        <f>'IS 3Q2022'!AT9/AT49</f>
        <v>3267.2061504761887</v>
      </c>
      <c r="AU9" s="16">
        <f>'IS 3Q2022'!AU9/AU49</f>
        <v>2950.2952697121123</v>
      </c>
      <c r="AV9" s="17">
        <f>AU9</f>
        <v>2950.2952697121123</v>
      </c>
    </row>
    <row r="10" spans="1:48" ht="16.2" customHeight="1" outlineLevel="1" x14ac:dyDescent="0.45">
      <c r="A10" s="161"/>
      <c r="B10" s="580" t="s">
        <v>216</v>
      </c>
      <c r="C10" s="581"/>
      <c r="D10" s="260">
        <v>608.5</v>
      </c>
      <c r="E10" s="112">
        <v>674</v>
      </c>
      <c r="F10" s="112">
        <v>591.6</v>
      </c>
      <c r="G10" s="112">
        <v>488.2</v>
      </c>
      <c r="H10" s="261">
        <f>G10</f>
        <v>488.2</v>
      </c>
      <c r="I10" s="112">
        <v>474</v>
      </c>
      <c r="J10" s="112">
        <v>691.5</v>
      </c>
      <c r="K10" s="112">
        <v>920.3</v>
      </c>
      <c r="L10" s="112">
        <v>739.5</v>
      </c>
      <c r="M10" s="261">
        <f>L10</f>
        <v>739.5</v>
      </c>
      <c r="N10" s="112">
        <v>734.4</v>
      </c>
      <c r="O10" s="112">
        <v>592</v>
      </c>
      <c r="P10" s="112">
        <v>565.6</v>
      </c>
      <c r="Q10" s="112">
        <v>594.6</v>
      </c>
      <c r="R10" s="261">
        <f>Q10</f>
        <v>594.6</v>
      </c>
      <c r="S10" s="112">
        <v>530.1</v>
      </c>
      <c r="T10" s="112">
        <v>623.70000000000005</v>
      </c>
      <c r="U10" s="112">
        <v>534.1</v>
      </c>
      <c r="V10" s="32">
        <f>U10*1.01</f>
        <v>539.44100000000003</v>
      </c>
      <c r="W10" s="261">
        <f>V10</f>
        <v>539.44100000000003</v>
      </c>
      <c r="X10" s="32">
        <f>V10*1.01</f>
        <v>544.83541000000002</v>
      </c>
      <c r="Y10" s="32">
        <f>X10*1.01</f>
        <v>550.28376409999998</v>
      </c>
      <c r="Z10" s="32">
        <f>Y10*1.01</f>
        <v>555.78660174100003</v>
      </c>
      <c r="AA10" s="32">
        <f>Z10*1.01</f>
        <v>561.34446775841002</v>
      </c>
      <c r="AB10" s="261">
        <f>AA10</f>
        <v>561.34446775841002</v>
      </c>
      <c r="AC10" s="32">
        <f>AA10*1.01</f>
        <v>566.9579124359941</v>
      </c>
      <c r="AD10" s="32">
        <f>AC10*1.01</f>
        <v>572.62749156035409</v>
      </c>
      <c r="AE10" s="32">
        <f>AD10*1.01</f>
        <v>578.35376647595763</v>
      </c>
      <c r="AF10" s="32">
        <f>AE10*1.01</f>
        <v>584.13730414071722</v>
      </c>
      <c r="AG10" s="261">
        <f>AF10</f>
        <v>584.13730414071722</v>
      </c>
      <c r="AH10" s="32">
        <f>AF10*1.01</f>
        <v>589.97867718212444</v>
      </c>
      <c r="AI10" s="32">
        <f>AH10*1.01</f>
        <v>595.8784639539457</v>
      </c>
      <c r="AJ10" s="32">
        <f>AI10*1.01</f>
        <v>601.83724859348513</v>
      </c>
      <c r="AK10" s="32">
        <f>AJ10*1.01</f>
        <v>607.85562107941996</v>
      </c>
      <c r="AL10" s="261">
        <f>AK10</f>
        <v>607.85562107941996</v>
      </c>
      <c r="AM10" s="32">
        <f>AK10*1.01</f>
        <v>613.93417729021417</v>
      </c>
      <c r="AN10" s="32">
        <f>AM10*1.01</f>
        <v>620.07351906311635</v>
      </c>
      <c r="AO10" s="32">
        <f>AN10*1.01</f>
        <v>626.27425425374747</v>
      </c>
      <c r="AP10" s="32">
        <f>AO10*1.01</f>
        <v>632.53699679628494</v>
      </c>
      <c r="AQ10" s="261">
        <f>AP10</f>
        <v>632.53699679628494</v>
      </c>
      <c r="AR10" s="32">
        <f>AP10*1.01</f>
        <v>638.86236676424778</v>
      </c>
      <c r="AS10" s="32">
        <f>AR10*1.01</f>
        <v>645.25099043189027</v>
      </c>
      <c r="AT10" s="32">
        <f>AS10*1.01</f>
        <v>651.70350033620923</v>
      </c>
      <c r="AU10" s="32">
        <f>AT10*1.01</f>
        <v>658.22053533957137</v>
      </c>
      <c r="AV10" s="261">
        <f>AU10</f>
        <v>658.22053533957137</v>
      </c>
    </row>
    <row r="11" spans="1:48" ht="14.55" customHeight="1" outlineLevel="1" x14ac:dyDescent="0.3">
      <c r="A11" s="161"/>
      <c r="B11" s="205" t="s">
        <v>217</v>
      </c>
      <c r="C11" s="206"/>
      <c r="D11" s="21">
        <f t="shared" ref="D11:AV11" si="0">SUM(D6:D10)</f>
        <v>7676.2999999999993</v>
      </c>
      <c r="E11" s="21">
        <f t="shared" si="0"/>
        <v>4952.3</v>
      </c>
      <c r="F11" s="21">
        <f t="shared" si="0"/>
        <v>7734.9000000000024</v>
      </c>
      <c r="G11" s="21">
        <f t="shared" si="0"/>
        <v>5653.7000000000016</v>
      </c>
      <c r="H11" s="22">
        <f t="shared" si="0"/>
        <v>5653.7000000000016</v>
      </c>
      <c r="I11" s="21">
        <f t="shared" si="0"/>
        <v>5899.7000000000035</v>
      </c>
      <c r="J11" s="21">
        <f t="shared" si="0"/>
        <v>5749.9000000000033</v>
      </c>
      <c r="K11" s="21">
        <f t="shared" si="0"/>
        <v>7581.0000000000045</v>
      </c>
      <c r="L11" s="116">
        <f t="shared" si="0"/>
        <v>7806.4000000000051</v>
      </c>
      <c r="M11" s="22">
        <f t="shared" si="0"/>
        <v>7806.4000000000051</v>
      </c>
      <c r="N11" s="21">
        <f t="shared" si="0"/>
        <v>8357.4000000000106</v>
      </c>
      <c r="O11" s="21">
        <f t="shared" si="0"/>
        <v>6979.4000000000106</v>
      </c>
      <c r="P11" s="21">
        <f t="shared" si="0"/>
        <v>7931.7000000000098</v>
      </c>
      <c r="Q11" s="116">
        <f t="shared" si="0"/>
        <v>9756.4000000000087</v>
      </c>
      <c r="R11" s="22">
        <f t="shared" si="0"/>
        <v>9756.4000000000087</v>
      </c>
      <c r="S11" s="21">
        <f t="shared" si="0"/>
        <v>7255.1000000000076</v>
      </c>
      <c r="T11" s="21">
        <f t="shared" si="0"/>
        <v>7541.1000000000076</v>
      </c>
      <c r="U11" s="21">
        <f t="shared" si="0"/>
        <v>7067.5000000000073</v>
      </c>
      <c r="V11" s="21">
        <f t="shared" si="0"/>
        <v>6854.51607671079</v>
      </c>
      <c r="W11" s="22">
        <f t="shared" si="0"/>
        <v>6854.51607671079</v>
      </c>
      <c r="X11" s="21">
        <f t="shared" si="0"/>
        <v>7268.6557931390107</v>
      </c>
      <c r="Y11" s="21">
        <f t="shared" si="0"/>
        <v>7015.3405081425853</v>
      </c>
      <c r="Z11" s="21">
        <f t="shared" si="0"/>
        <v>7403.2382380594108</v>
      </c>
      <c r="AA11" s="21">
        <f t="shared" si="0"/>
        <v>7460.4229486603163</v>
      </c>
      <c r="AB11" s="22">
        <f t="shared" si="0"/>
        <v>7460.4229486603163</v>
      </c>
      <c r="AC11" s="21">
        <f t="shared" si="0"/>
        <v>8273.5003928463339</v>
      </c>
      <c r="AD11" s="21">
        <f t="shared" si="0"/>
        <v>8187.4033794342522</v>
      </c>
      <c r="AE11" s="21">
        <f t="shared" si="0"/>
        <v>8658.936919704036</v>
      </c>
      <c r="AF11" s="21">
        <f t="shared" si="0"/>
        <v>8879.2277579529091</v>
      </c>
      <c r="AG11" s="22">
        <f t="shared" si="0"/>
        <v>8879.2277579529091</v>
      </c>
      <c r="AH11" s="21">
        <f t="shared" si="0"/>
        <v>9823.7577024396251</v>
      </c>
      <c r="AI11" s="21">
        <f t="shared" si="0"/>
        <v>9817.9343769831376</v>
      </c>
      <c r="AJ11" s="21">
        <f t="shared" si="0"/>
        <v>10796.555605778225</v>
      </c>
      <c r="AK11" s="21">
        <f t="shared" si="0"/>
        <v>6171.0052222671748</v>
      </c>
      <c r="AL11" s="22">
        <f t="shared" si="0"/>
        <v>6171.0052222671748</v>
      </c>
      <c r="AM11" s="21">
        <f t="shared" si="0"/>
        <v>7015.9567598572712</v>
      </c>
      <c r="AN11" s="21">
        <f t="shared" si="0"/>
        <v>6845.3374417558271</v>
      </c>
      <c r="AO11" s="21">
        <f t="shared" si="0"/>
        <v>7556.7271824478903</v>
      </c>
      <c r="AP11" s="21">
        <f t="shared" si="0"/>
        <v>7810.0448076994098</v>
      </c>
      <c r="AQ11" s="22">
        <f t="shared" si="0"/>
        <v>7810.0448076994098</v>
      </c>
      <c r="AR11" s="21">
        <f t="shared" si="0"/>
        <v>8792.2896350070732</v>
      </c>
      <c r="AS11" s="21">
        <f t="shared" si="0"/>
        <v>8702.9293674215278</v>
      </c>
      <c r="AT11" s="21">
        <f t="shared" si="0"/>
        <v>9522.0769958895889</v>
      </c>
      <c r="AU11" s="21">
        <f t="shared" si="0"/>
        <v>9864.0873284075842</v>
      </c>
      <c r="AV11" s="22">
        <f t="shared" si="0"/>
        <v>9864.0873284075842</v>
      </c>
    </row>
    <row r="12" spans="1:48" ht="14.55" customHeight="1" outlineLevel="1" x14ac:dyDescent="0.3">
      <c r="A12" s="161"/>
      <c r="B12" s="200" t="s">
        <v>218</v>
      </c>
      <c r="C12" s="207"/>
      <c r="D12" s="16">
        <v>265</v>
      </c>
      <c r="E12" s="16">
        <v>251.9</v>
      </c>
      <c r="F12" s="16">
        <v>222.6</v>
      </c>
      <c r="G12" s="16">
        <v>220</v>
      </c>
      <c r="H12" s="17">
        <f t="shared" ref="H12:H18" si="1">+G12</f>
        <v>220</v>
      </c>
      <c r="I12" s="16">
        <v>199.8</v>
      </c>
      <c r="J12" s="16">
        <v>198.8</v>
      </c>
      <c r="K12" s="16">
        <v>223.4</v>
      </c>
      <c r="L12" s="101">
        <v>206.1</v>
      </c>
      <c r="M12" s="17">
        <f>+L12</f>
        <v>206.1</v>
      </c>
      <c r="N12" s="16">
        <v>190.9</v>
      </c>
      <c r="O12" s="16">
        <v>284.8</v>
      </c>
      <c r="P12" s="16">
        <v>285.89999999999998</v>
      </c>
      <c r="Q12" s="101">
        <v>281.7</v>
      </c>
      <c r="R12" s="17">
        <f>+Q12</f>
        <v>281.7</v>
      </c>
      <c r="S12" s="16">
        <v>299.60000000000002</v>
      </c>
      <c r="T12" s="16">
        <v>285.60000000000002</v>
      </c>
      <c r="U12" s="16">
        <v>292.5</v>
      </c>
      <c r="V12" s="16">
        <f>+V53*V42*(1-V54)</f>
        <v>278.02542371047741</v>
      </c>
      <c r="W12" s="17">
        <f>+V12</f>
        <v>278.02542371047741</v>
      </c>
      <c r="X12" s="16">
        <f>+X53*X42*(1-X54)</f>
        <v>291.61142782659624</v>
      </c>
      <c r="Y12" s="16">
        <f>+Y53*Y42*(1-Y54)</f>
        <v>288.32841677541887</v>
      </c>
      <c r="Z12" s="16">
        <f>+Z53*Z42*(1-Z54)</f>
        <v>296.43020937574079</v>
      </c>
      <c r="AA12" s="16">
        <f>+AA53*AA42*(1-AA54)</f>
        <v>297.56128951698344</v>
      </c>
      <c r="AB12" s="17">
        <f>+AA12</f>
        <v>297.56128951698344</v>
      </c>
      <c r="AC12" s="16">
        <f>+AC53*AC42*(1-AC54)</f>
        <v>310.11128959656003</v>
      </c>
      <c r="AD12" s="16">
        <f>+AD53*AD42*(1-AD54)</f>
        <v>309.39217752915346</v>
      </c>
      <c r="AE12" s="16">
        <f>+AE53*AE42*(1-AE54)</f>
        <v>316.23818080957267</v>
      </c>
      <c r="AF12" s="16">
        <f>+AF53*AF42*(1-AF54)</f>
        <v>320.10827883374321</v>
      </c>
      <c r="AG12" s="17">
        <f>+AF12</f>
        <v>320.10827883374321</v>
      </c>
      <c r="AH12" s="16">
        <f>+AH53*AH42*(1-AH54)</f>
        <v>332.81775730189372</v>
      </c>
      <c r="AI12" s="16">
        <f>+AI53*AI42*(1-AI54)</f>
        <v>332.6080089633229</v>
      </c>
      <c r="AJ12" s="16">
        <f>+AJ53*AJ42*(1-AJ54)</f>
        <v>344.16003971778889</v>
      </c>
      <c r="AK12" s="16">
        <f>+AK53*AK42*(1-AK54)</f>
        <v>297.26516715823942</v>
      </c>
      <c r="AL12" s="17">
        <f>+AK12</f>
        <v>297.26516715823942</v>
      </c>
      <c r="AM12" s="16">
        <f>+AM53*AM42*(1-AM54)</f>
        <v>309.22456622626248</v>
      </c>
      <c r="AN12" s="16">
        <f>+AN53*AN42*(1-AN54)</f>
        <v>307.48931702292919</v>
      </c>
      <c r="AO12" s="16">
        <f>+AO53*AO42*(1-AO54)</f>
        <v>316.48596329992972</v>
      </c>
      <c r="AP12" s="16">
        <f>+AP53*AP42*(1-AP54)</f>
        <v>320.77824513471012</v>
      </c>
      <c r="AQ12" s="17">
        <f>+AP12</f>
        <v>320.77824513471012</v>
      </c>
      <c r="AR12" s="16">
        <f>+AR53*AR42*(1-AR54)</f>
        <v>334.33518747174469</v>
      </c>
      <c r="AS12" s="16">
        <f>+AS53*AS42*(1-AS54)</f>
        <v>333.39670981223719</v>
      </c>
      <c r="AT12" s="16">
        <f>+AT53*AT42*(1-AT54)</f>
        <v>343.57675244401321</v>
      </c>
      <c r="AU12" s="16">
        <f>+AU53*AU42*(1-AU54)</f>
        <v>348.8672888651912</v>
      </c>
      <c r="AV12" s="17">
        <f>+AU12</f>
        <v>348.8672888651912</v>
      </c>
    </row>
    <row r="13" spans="1:48" ht="14.55" customHeight="1" outlineLevel="1" x14ac:dyDescent="0.3">
      <c r="A13" s="161"/>
      <c r="B13" s="200" t="s">
        <v>219</v>
      </c>
      <c r="C13" s="207"/>
      <c r="D13" s="16">
        <v>336.1</v>
      </c>
      <c r="E13" s="16">
        <v>309.3</v>
      </c>
      <c r="F13" s="16">
        <v>340.3</v>
      </c>
      <c r="G13" s="16">
        <v>396</v>
      </c>
      <c r="H13" s="17">
        <f t="shared" si="1"/>
        <v>396</v>
      </c>
      <c r="I13" s="16">
        <v>411.3</v>
      </c>
      <c r="J13" s="16">
        <v>420.9</v>
      </c>
      <c r="K13" s="16">
        <v>426.1</v>
      </c>
      <c r="L13" s="101">
        <v>478.7</v>
      </c>
      <c r="M13" s="17">
        <f>+L13</f>
        <v>478.7</v>
      </c>
      <c r="N13" s="16">
        <v>496</v>
      </c>
      <c r="O13" s="16">
        <v>499.4</v>
      </c>
      <c r="P13" s="16">
        <v>535.29999999999995</v>
      </c>
      <c r="Q13" s="101">
        <v>268.5</v>
      </c>
      <c r="R13" s="17">
        <f>+Q13</f>
        <v>268.5</v>
      </c>
      <c r="S13" s="16">
        <v>251.9</v>
      </c>
      <c r="T13" s="16">
        <v>270.8</v>
      </c>
      <c r="U13" s="16">
        <v>302.7</v>
      </c>
      <c r="V13" s="33">
        <f>U13</f>
        <v>302.7</v>
      </c>
      <c r="W13" s="17">
        <f>+V13</f>
        <v>302.7</v>
      </c>
      <c r="X13" s="33">
        <f>V13</f>
        <v>302.7</v>
      </c>
      <c r="Y13" s="33">
        <f>X13</f>
        <v>302.7</v>
      </c>
      <c r="Z13" s="33">
        <f>Y13</f>
        <v>302.7</v>
      </c>
      <c r="AA13" s="33">
        <f>Z13</f>
        <v>302.7</v>
      </c>
      <c r="AB13" s="17">
        <f>+AA13</f>
        <v>302.7</v>
      </c>
      <c r="AC13" s="33">
        <f>AA13</f>
        <v>302.7</v>
      </c>
      <c r="AD13" s="33">
        <f>AC13</f>
        <v>302.7</v>
      </c>
      <c r="AE13" s="33">
        <f>AD13</f>
        <v>302.7</v>
      </c>
      <c r="AF13" s="33">
        <f>AE13</f>
        <v>302.7</v>
      </c>
      <c r="AG13" s="17">
        <f>+AF13</f>
        <v>302.7</v>
      </c>
      <c r="AH13" s="33">
        <f>AF13</f>
        <v>302.7</v>
      </c>
      <c r="AI13" s="33">
        <f>AH13</f>
        <v>302.7</v>
      </c>
      <c r="AJ13" s="33">
        <f>AI13</f>
        <v>302.7</v>
      </c>
      <c r="AK13" s="33">
        <f>AJ13</f>
        <v>302.7</v>
      </c>
      <c r="AL13" s="17">
        <f>+AK13</f>
        <v>302.7</v>
      </c>
      <c r="AM13" s="33">
        <f>AK13</f>
        <v>302.7</v>
      </c>
      <c r="AN13" s="33">
        <f>AM13</f>
        <v>302.7</v>
      </c>
      <c r="AO13" s="33">
        <f>AN13</f>
        <v>302.7</v>
      </c>
      <c r="AP13" s="33">
        <f>AO13</f>
        <v>302.7</v>
      </c>
      <c r="AQ13" s="17">
        <f>+AP13</f>
        <v>302.7</v>
      </c>
      <c r="AR13" s="33">
        <f>AP13</f>
        <v>302.7</v>
      </c>
      <c r="AS13" s="33">
        <f>AR13</f>
        <v>302.7</v>
      </c>
      <c r="AT13" s="33">
        <f>AS13</f>
        <v>302.7</v>
      </c>
      <c r="AU13" s="33">
        <f>AT13</f>
        <v>302.7</v>
      </c>
      <c r="AV13" s="17">
        <f>+AU13</f>
        <v>302.7</v>
      </c>
    </row>
    <row r="14" spans="1:48" s="8" customFormat="1" outlineLevel="1" x14ac:dyDescent="0.3">
      <c r="A14" s="161"/>
      <c r="B14" s="200" t="s">
        <v>220</v>
      </c>
      <c r="C14" s="206"/>
      <c r="D14" s="16">
        <v>6039.3</v>
      </c>
      <c r="E14" s="16">
        <v>6135.5</v>
      </c>
      <c r="F14" s="16">
        <v>6187.8</v>
      </c>
      <c r="G14" s="16">
        <v>6431.7</v>
      </c>
      <c r="H14" s="17">
        <f t="shared" si="1"/>
        <v>6431.7</v>
      </c>
      <c r="I14" s="16">
        <v>6390.9</v>
      </c>
      <c r="J14" s="16">
        <v>6387</v>
      </c>
      <c r="K14" s="16">
        <v>6295.6</v>
      </c>
      <c r="L14" s="101">
        <v>6241.4</v>
      </c>
      <c r="M14" s="17">
        <f>+L14</f>
        <v>6241.4</v>
      </c>
      <c r="N14" s="16">
        <v>6177.9</v>
      </c>
      <c r="O14" s="16">
        <v>6123.1</v>
      </c>
      <c r="P14" s="16">
        <v>6151.4</v>
      </c>
      <c r="Q14" s="101">
        <v>6369.5</v>
      </c>
      <c r="R14" s="17">
        <f>+Q14</f>
        <v>6369.5</v>
      </c>
      <c r="S14" s="16">
        <v>6398</v>
      </c>
      <c r="T14" s="16">
        <v>6460.8</v>
      </c>
      <c r="U14" s="101">
        <v>6408.2</v>
      </c>
      <c r="V14" s="16">
        <f>+U14-'CFS 3Q2022'!V25-'CFS 3Q2022'!V7</f>
        <v>6507.1394525996957</v>
      </c>
      <c r="W14" s="17">
        <f>+V14</f>
        <v>6507.1394525996957</v>
      </c>
      <c r="X14" s="16">
        <f>+V14-'CFS 3Q2022'!X25-'CFS 3Q2022'!X7</f>
        <v>6780.7260565265406</v>
      </c>
      <c r="Y14" s="16">
        <f>+X14-'CFS 3Q2022'!Y25-'CFS 3Q2022'!Y7</f>
        <v>7016.1560894579852</v>
      </c>
      <c r="Z14" s="16">
        <f>+Y14-'CFS 3Q2022'!Z25-'CFS 3Q2022'!Z7</f>
        <v>7299.0075363328833</v>
      </c>
      <c r="AA14" s="16">
        <f>+Z14-'CFS 3Q2022'!AA25-'CFS 3Q2022'!AA7</f>
        <v>7580.8951646104424</v>
      </c>
      <c r="AB14" s="17">
        <f>+AA14</f>
        <v>7580.8951646104424</v>
      </c>
      <c r="AC14" s="16">
        <f>+AA14-'CFS 3Q2022'!AC25-'CFS 3Q2022'!AC7</f>
        <v>7800.4449198549983</v>
      </c>
      <c r="AD14" s="16">
        <f>+AC14-'CFS 3Q2022'!AD25-'CFS 3Q2022'!AD7</f>
        <v>7969.5478596672592</v>
      </c>
      <c r="AE14" s="16">
        <f>+AD14-'CFS 3Q2022'!AE25-'CFS 3Q2022'!AE7</f>
        <v>8190.1467735439346</v>
      </c>
      <c r="AF14" s="16">
        <f>+AE14-'CFS 3Q2022'!AF25-'CFS 3Q2022'!AF7</f>
        <v>8415.5239461671899</v>
      </c>
      <c r="AG14" s="17">
        <f>+AF14</f>
        <v>8415.5239461671899</v>
      </c>
      <c r="AH14" s="16">
        <f>+AF14-'CFS 3Q2022'!AH25-'CFS 3Q2022'!AH7</f>
        <v>8584.1819556512837</v>
      </c>
      <c r="AI14" s="16">
        <f>+AH14-'CFS 3Q2022'!AI25-'CFS 3Q2022'!AI7</f>
        <v>8705.037793615953</v>
      </c>
      <c r="AJ14" s="16">
        <f>+AI14-'CFS 3Q2022'!AJ25-'CFS 3Q2022'!AJ7</f>
        <v>8880.6614981465318</v>
      </c>
      <c r="AK14" s="16">
        <f>+AJ14-'CFS 3Q2022'!AK25-'CFS 3Q2022'!AK7</f>
        <v>9065.3007271530441</v>
      </c>
      <c r="AL14" s="17">
        <f>+AK14</f>
        <v>9065.3007271530441</v>
      </c>
      <c r="AM14" s="16">
        <f>+AK14-'CFS 3Q2022'!AM25-'CFS 3Q2022'!AM7</f>
        <v>9262.550018025262</v>
      </c>
      <c r="AN14" s="16">
        <f>+AM14-'CFS 3Q2022'!AN25-'CFS 3Q2022'!AN7</f>
        <v>9402.92272851298</v>
      </c>
      <c r="AO14" s="16">
        <f>+AN14-'CFS 3Q2022'!AO25-'CFS 3Q2022'!AO7</f>
        <v>9599.925533051779</v>
      </c>
      <c r="AP14" s="16">
        <f>+AO14-'CFS 3Q2022'!AP25-'CFS 3Q2022'!AP7</f>
        <v>9804.0612761365082</v>
      </c>
      <c r="AQ14" s="17">
        <f>+AP14</f>
        <v>9804.0612761365082</v>
      </c>
      <c r="AR14" s="16">
        <f>+AP14-'CFS 3Q2022'!AR25-'CFS 3Q2022'!AR7</f>
        <v>10005.085738616126</v>
      </c>
      <c r="AS14" s="16">
        <f>+AR14-'CFS 3Q2022'!AS25-'CFS 3Q2022'!AS7</f>
        <v>10145.542476662295</v>
      </c>
      <c r="AT14" s="16">
        <f>+AS14-'CFS 3Q2022'!AT25-'CFS 3Q2022'!AT7</f>
        <v>10346.640321566085</v>
      </c>
      <c r="AU14" s="16">
        <f>+AT14-'CFS 3Q2022'!AU25-'CFS 3Q2022'!AU7</f>
        <v>10556.081551132092</v>
      </c>
      <c r="AV14" s="17">
        <f>+AU14</f>
        <v>10556.081551132092</v>
      </c>
    </row>
    <row r="15" spans="1:48" s="8" customFormat="1" outlineLevel="1" x14ac:dyDescent="0.3">
      <c r="A15" s="161"/>
      <c r="B15" s="200" t="s">
        <v>221</v>
      </c>
      <c r="C15" s="206"/>
      <c r="D15" s="16">
        <v>0</v>
      </c>
      <c r="E15" s="16">
        <v>0</v>
      </c>
      <c r="F15" s="16">
        <v>0</v>
      </c>
      <c r="G15" s="16">
        <v>0</v>
      </c>
      <c r="H15" s="17">
        <f t="shared" si="1"/>
        <v>0</v>
      </c>
      <c r="I15" s="16">
        <v>8358.5</v>
      </c>
      <c r="J15" s="16">
        <v>8260.7999999999993</v>
      </c>
      <c r="K15" s="16">
        <v>8214</v>
      </c>
      <c r="L15" s="101">
        <v>8134.1</v>
      </c>
      <c r="M15" s="17">
        <f>L15</f>
        <v>8134.1</v>
      </c>
      <c r="N15" s="16">
        <v>8199.4</v>
      </c>
      <c r="O15" s="16">
        <v>8036.8</v>
      </c>
      <c r="P15" s="16">
        <v>8065.2</v>
      </c>
      <c r="Q15" s="101">
        <v>8236</v>
      </c>
      <c r="R15" s="17">
        <f>Q15</f>
        <v>8236</v>
      </c>
      <c r="S15" s="16">
        <v>8203.4</v>
      </c>
      <c r="T15" s="16">
        <v>8170.2</v>
      </c>
      <c r="U15" s="101">
        <v>8037.1</v>
      </c>
      <c r="V15" s="33">
        <f>U15*0.996</f>
        <v>8004.9516000000003</v>
      </c>
      <c r="W15" s="17">
        <f>V15</f>
        <v>8004.9516000000003</v>
      </c>
      <c r="X15" s="33">
        <f>V15*0.996</f>
        <v>7972.9317936000007</v>
      </c>
      <c r="Y15" s="33">
        <f>X15*0.996</f>
        <v>7941.0400664256003</v>
      </c>
      <c r="Z15" s="33">
        <f>Y15*0.996</f>
        <v>7909.2759061598981</v>
      </c>
      <c r="AA15" s="33">
        <f>Z15*0.996</f>
        <v>7877.6388025352589</v>
      </c>
      <c r="AB15" s="17">
        <f>AA15</f>
        <v>7877.6388025352589</v>
      </c>
      <c r="AC15" s="33">
        <f>AA15*0.996</f>
        <v>7846.1282473251176</v>
      </c>
      <c r="AD15" s="33">
        <f>AC15*0.996</f>
        <v>7814.743734335817</v>
      </c>
      <c r="AE15" s="33">
        <f>AD15*0.996</f>
        <v>7783.4847593984732</v>
      </c>
      <c r="AF15" s="33">
        <f>AE15*0.996</f>
        <v>7752.350820360879</v>
      </c>
      <c r="AG15" s="17">
        <f>AF15</f>
        <v>7752.350820360879</v>
      </c>
      <c r="AH15" s="33">
        <f>AF15*0.996</f>
        <v>7721.3414170794358</v>
      </c>
      <c r="AI15" s="33">
        <f>AH15*0.996</f>
        <v>7690.4560514111181</v>
      </c>
      <c r="AJ15" s="33">
        <f>AI15*0.996</f>
        <v>7659.6942272054739</v>
      </c>
      <c r="AK15" s="33">
        <f>AJ15*0.996</f>
        <v>7629.0554502966515</v>
      </c>
      <c r="AL15" s="17">
        <f>AK15</f>
        <v>7629.0554502966515</v>
      </c>
      <c r="AM15" s="33">
        <f>AK15*0.996</f>
        <v>7598.5392284954651</v>
      </c>
      <c r="AN15" s="33">
        <f>AM15*0.996</f>
        <v>7568.1450715814835</v>
      </c>
      <c r="AO15" s="33">
        <f>AN15*0.996</f>
        <v>7537.8724912951575</v>
      </c>
      <c r="AP15" s="33">
        <f>AO15*0.996</f>
        <v>7507.7210013299764</v>
      </c>
      <c r="AQ15" s="17">
        <f>AP15</f>
        <v>7507.7210013299764</v>
      </c>
      <c r="AR15" s="33">
        <f>AP15*0.996</f>
        <v>7477.6901173246561</v>
      </c>
      <c r="AS15" s="33">
        <f>AR15*0.996</f>
        <v>7447.779356855357</v>
      </c>
      <c r="AT15" s="33">
        <f>AS15*0.996</f>
        <v>7417.9882394279357</v>
      </c>
      <c r="AU15" s="33">
        <f>AT15*0.996</f>
        <v>7388.3162864702235</v>
      </c>
      <c r="AV15" s="17">
        <f>AU15</f>
        <v>7388.3162864702235</v>
      </c>
    </row>
    <row r="16" spans="1:48" s="8" customFormat="1" outlineLevel="1" x14ac:dyDescent="0.3">
      <c r="A16" s="161"/>
      <c r="B16" s="200" t="s">
        <v>222</v>
      </c>
      <c r="C16" s="206"/>
      <c r="D16" s="16">
        <v>650</v>
      </c>
      <c r="E16" s="16">
        <v>1006.6</v>
      </c>
      <c r="F16" s="16">
        <v>1533</v>
      </c>
      <c r="G16" s="16">
        <v>1765.8</v>
      </c>
      <c r="H16" s="17">
        <f t="shared" si="1"/>
        <v>1765.8</v>
      </c>
      <c r="I16" s="16">
        <v>1731.4</v>
      </c>
      <c r="J16" s="16">
        <v>1709.7</v>
      </c>
      <c r="K16" s="16">
        <v>1740</v>
      </c>
      <c r="L16" s="101">
        <v>1789.9</v>
      </c>
      <c r="M16" s="17">
        <f>+L16</f>
        <v>1789.9</v>
      </c>
      <c r="N16" s="16">
        <v>1792.4</v>
      </c>
      <c r="O16" s="16">
        <v>1770</v>
      </c>
      <c r="P16" s="16">
        <v>1851</v>
      </c>
      <c r="Q16" s="101">
        <v>1874.8</v>
      </c>
      <c r="R16" s="17">
        <f>+Q16</f>
        <v>1874.8</v>
      </c>
      <c r="S16" s="16">
        <v>1859.7</v>
      </c>
      <c r="T16" s="16">
        <v>1809.4</v>
      </c>
      <c r="U16" s="101">
        <v>1752.9</v>
      </c>
      <c r="V16" s="101">
        <f>V55*(V27+V33)</f>
        <v>1781.9610885551483</v>
      </c>
      <c r="W16" s="169">
        <f>+V16</f>
        <v>1781.9610885551483</v>
      </c>
      <c r="X16" s="101">
        <f>X55*(X27+X33)</f>
        <v>1867.4297992146699</v>
      </c>
      <c r="Y16" s="101">
        <f>Y55*(Y27+Y33)</f>
        <v>1790.8144471711594</v>
      </c>
      <c r="Z16" s="101">
        <f>Z55*(Z27+Z33)</f>
        <v>1777.3703618915845</v>
      </c>
      <c r="AA16" s="101">
        <f>AA55*(AA27+AA33)</f>
        <v>1771.5734908146667</v>
      </c>
      <c r="AB16" s="169">
        <f>+AA16</f>
        <v>1771.5734908146667</v>
      </c>
      <c r="AC16" s="101">
        <f>AC55*(AC27+AC33)</f>
        <v>1883.3755386589005</v>
      </c>
      <c r="AD16" s="101">
        <f>AD55*(AD27+AD33)</f>
        <v>1797.8999998333529</v>
      </c>
      <c r="AE16" s="101">
        <f>AE55*(AE27+AE33)</f>
        <v>1786.6340444524201</v>
      </c>
      <c r="AF16" s="101">
        <f>AF55*(AF27+AF33)</f>
        <v>1776.0422144755937</v>
      </c>
      <c r="AG16" s="169">
        <f>+AF16</f>
        <v>1776.0422144755937</v>
      </c>
      <c r="AH16" s="101">
        <f>AH55*(AH27+AH33)</f>
        <v>1901.0967453881703</v>
      </c>
      <c r="AI16" s="101">
        <f>AI55*(AI27+AI33)</f>
        <v>1808.6186750465192</v>
      </c>
      <c r="AJ16" s="101">
        <f>AJ55*(AJ27+AJ33)</f>
        <v>1797.1689793504727</v>
      </c>
      <c r="AK16" s="101">
        <f>AK55*(AK27+AK33)</f>
        <v>1785.8148126834899</v>
      </c>
      <c r="AL16" s="169">
        <f>+AK16</f>
        <v>1785.8148126834899</v>
      </c>
      <c r="AM16" s="101">
        <f>AM55*(AM27+AM33)</f>
        <v>1922.4879994793748</v>
      </c>
      <c r="AN16" s="101">
        <f>AN55*(AN27+AN33)</f>
        <v>1822.8715630117917</v>
      </c>
      <c r="AO16" s="101">
        <f>AO55*(AO27+AO33)</f>
        <v>1811.1237842583951</v>
      </c>
      <c r="AP16" s="101">
        <f>AP55*(AP27+AP33)</f>
        <v>1799.4549469665769</v>
      </c>
      <c r="AQ16" s="169">
        <f>+AP16</f>
        <v>1799.4549469665769</v>
      </c>
      <c r="AR16" s="101">
        <f>AR55*(AR27+AR33)</f>
        <v>1948.2320195489522</v>
      </c>
      <c r="AS16" s="101">
        <f>AS55*(AS27+AS33)</f>
        <v>1840.9816660405222</v>
      </c>
      <c r="AT16" s="101">
        <f>AT55*(AT27+AT33)</f>
        <v>1828.9187893622116</v>
      </c>
      <c r="AU16" s="101">
        <f>AU55*(AU27+AU33)</f>
        <v>1816.9434358010662</v>
      </c>
      <c r="AV16" s="17">
        <f>+AU16</f>
        <v>1816.9434358010662</v>
      </c>
    </row>
    <row r="17" spans="1:48" s="8" customFormat="1" outlineLevel="1" x14ac:dyDescent="0.3">
      <c r="A17" s="161"/>
      <c r="B17" s="200" t="s">
        <v>223</v>
      </c>
      <c r="C17" s="206"/>
      <c r="D17" s="16">
        <v>472.7</v>
      </c>
      <c r="E17" s="16">
        <v>464.5</v>
      </c>
      <c r="F17" s="16">
        <v>458</v>
      </c>
      <c r="G17" s="16">
        <v>479.6</v>
      </c>
      <c r="H17" s="17">
        <f t="shared" si="1"/>
        <v>479.6</v>
      </c>
      <c r="I17" s="16">
        <v>484.7</v>
      </c>
      <c r="J17" s="16">
        <v>580.1</v>
      </c>
      <c r="K17" s="16">
        <v>550.79999999999995</v>
      </c>
      <c r="L17" s="101">
        <v>568.6</v>
      </c>
      <c r="M17" s="17">
        <f>+L17</f>
        <v>568.6</v>
      </c>
      <c r="N17" s="16">
        <v>541.1</v>
      </c>
      <c r="O17" s="16">
        <v>574.9</v>
      </c>
      <c r="P17" s="16">
        <v>586.29999999999995</v>
      </c>
      <c r="Q17" s="101">
        <v>578.5</v>
      </c>
      <c r="R17" s="17">
        <f>+Q17</f>
        <v>578.5</v>
      </c>
      <c r="S17" s="16">
        <v>588</v>
      </c>
      <c r="T17" s="16">
        <v>582.79999999999995</v>
      </c>
      <c r="U17" s="101">
        <v>640.70000000000005</v>
      </c>
      <c r="V17" s="33">
        <f>+U17*(V42/U42)</f>
        <v>637.25664391916609</v>
      </c>
      <c r="W17" s="17">
        <f>+V17</f>
        <v>637.25664391916609</v>
      </c>
      <c r="X17" s="33">
        <f>+V17*(X42/V42)</f>
        <v>654.48271963938782</v>
      </c>
      <c r="Y17" s="33">
        <f>+X17*(Y42/X42)</f>
        <v>651.14252556768281</v>
      </c>
      <c r="Z17" s="33">
        <f>+Y17*(Z42/Y42)</f>
        <v>665.6018922691344</v>
      </c>
      <c r="AA17" s="33">
        <f>+Z17*(AA42/Z42)</f>
        <v>672.38045887251747</v>
      </c>
      <c r="AB17" s="17">
        <f>+AA17</f>
        <v>672.38045887251747</v>
      </c>
      <c r="AC17" s="33">
        <f>+AA17*(AC42/AA42)</f>
        <v>698.33733976312487</v>
      </c>
      <c r="AD17" s="33">
        <f>+AC17*(AD42/AC42)</f>
        <v>697.30255539165535</v>
      </c>
      <c r="AE17" s="33">
        <f>+AD17*(AE42/AD42)</f>
        <v>712.37674854059139</v>
      </c>
      <c r="AF17" s="33">
        <f>+AE17*(AF42/AE42)</f>
        <v>721.67822654359713</v>
      </c>
      <c r="AG17" s="17">
        <f>+AF17</f>
        <v>721.67822654359713</v>
      </c>
      <c r="AH17" s="33">
        <f>+AF17*(AH42/AF42)</f>
        <v>749.90575989461536</v>
      </c>
      <c r="AI17" s="33">
        <f>+AH17*(AI42/AH42)</f>
        <v>749.54230248262093</v>
      </c>
      <c r="AJ17" s="33">
        <f>+AI17*(AJ42/AI42)</f>
        <v>775.55363378429627</v>
      </c>
      <c r="AK17" s="33">
        <f>+AJ17*(AK42/AJ42)</f>
        <v>669.93769747455985</v>
      </c>
      <c r="AL17" s="17">
        <f>+AK17</f>
        <v>669.93769747455985</v>
      </c>
      <c r="AM17" s="33">
        <f>+AK17*(AM42/AK42)</f>
        <v>696.82758782045744</v>
      </c>
      <c r="AN17" s="33">
        <f>+AM17*(AN42/AM42)</f>
        <v>692.93767506272286</v>
      </c>
      <c r="AO17" s="33">
        <f>+AN17*(AO42/AN42)</f>
        <v>713.21221217273751</v>
      </c>
      <c r="AP17" s="33">
        <f>+AO17*(AP42/AO42)</f>
        <v>722.89039908877464</v>
      </c>
      <c r="AQ17" s="17">
        <f>+AP17</f>
        <v>722.89039908877464</v>
      </c>
      <c r="AR17" s="33">
        <f>+AP17*(AR42/AP42)</f>
        <v>753.43176405851148</v>
      </c>
      <c r="AS17" s="33">
        <f>+AR17*(AS42/AR42)</f>
        <v>751.32142202994817</v>
      </c>
      <c r="AT17" s="33">
        <f>+AS17*(AT42/AS42)</f>
        <v>774.26265497279223</v>
      </c>
      <c r="AU17" s="33">
        <f>+AT17*(AU42/AT42)</f>
        <v>786.18517197258427</v>
      </c>
      <c r="AV17" s="17">
        <f>+AU17</f>
        <v>786.18517197258427</v>
      </c>
    </row>
    <row r="18" spans="1:48" s="8" customFormat="1" outlineLevel="1" x14ac:dyDescent="0.3">
      <c r="A18" s="161"/>
      <c r="B18" s="200" t="s">
        <v>224</v>
      </c>
      <c r="C18" s="206"/>
      <c r="D18" s="16">
        <v>981.6</v>
      </c>
      <c r="E18" s="16">
        <v>918.3</v>
      </c>
      <c r="F18" s="16">
        <v>853.2</v>
      </c>
      <c r="G18" s="16">
        <v>781.8</v>
      </c>
      <c r="H18" s="17">
        <f t="shared" si="1"/>
        <v>781.8</v>
      </c>
      <c r="I18" s="16">
        <v>739.1</v>
      </c>
      <c r="J18" s="16">
        <v>678.7</v>
      </c>
      <c r="K18" s="16">
        <v>599.6</v>
      </c>
      <c r="L18" s="101">
        <v>552.1</v>
      </c>
      <c r="M18" s="17">
        <f>+L18</f>
        <v>552.1</v>
      </c>
      <c r="N18" s="16">
        <v>506.4</v>
      </c>
      <c r="O18" s="16">
        <v>444.3</v>
      </c>
      <c r="P18" s="16">
        <v>398</v>
      </c>
      <c r="Q18" s="101">
        <v>349.9</v>
      </c>
      <c r="R18" s="17">
        <f>+Q18</f>
        <v>349.9</v>
      </c>
      <c r="S18" s="16">
        <v>302.5</v>
      </c>
      <c r="T18" s="16">
        <v>254.7</v>
      </c>
      <c r="U18" s="101">
        <v>203.4</v>
      </c>
      <c r="V18" s="33">
        <f>+U18*0.92</f>
        <v>187.12800000000001</v>
      </c>
      <c r="W18" s="17">
        <f>+V18</f>
        <v>187.12800000000001</v>
      </c>
      <c r="X18" s="33">
        <f>+V18*0.92</f>
        <v>172.15776000000002</v>
      </c>
      <c r="Y18" s="33">
        <f>+X18*0.92</f>
        <v>158.38513920000003</v>
      </c>
      <c r="Z18" s="33">
        <f>+Y18*0.92</f>
        <v>145.71432806400003</v>
      </c>
      <c r="AA18" s="33">
        <f>+Z18*0.92</f>
        <v>134.05718181888003</v>
      </c>
      <c r="AB18" s="17">
        <f>+AA18</f>
        <v>134.05718181888003</v>
      </c>
      <c r="AC18" s="33">
        <f>+AA18*0.92</f>
        <v>123.33260727336963</v>
      </c>
      <c r="AD18" s="33">
        <f>+AC18*0.92</f>
        <v>113.46599869150006</v>
      </c>
      <c r="AE18" s="33">
        <f>+AD18*0.92</f>
        <v>104.38871879618006</v>
      </c>
      <c r="AF18" s="33">
        <f>+AE18*0.92</f>
        <v>96.037621292485653</v>
      </c>
      <c r="AG18" s="17">
        <f>+AF18</f>
        <v>96.037621292485653</v>
      </c>
      <c r="AH18" s="33">
        <f>+AF18*0.92</f>
        <v>88.354611589086801</v>
      </c>
      <c r="AI18" s="33">
        <f>+AH18*0.92</f>
        <v>81.286242661959861</v>
      </c>
      <c r="AJ18" s="33">
        <f>+AI18*0.92</f>
        <v>74.783343249003082</v>
      </c>
      <c r="AK18" s="33">
        <f>+AJ18*0.92</f>
        <v>68.800675789082831</v>
      </c>
      <c r="AL18" s="17">
        <f>+AK18</f>
        <v>68.800675789082831</v>
      </c>
      <c r="AM18" s="33">
        <f>+AK18*0.92</f>
        <v>63.296621725956207</v>
      </c>
      <c r="AN18" s="33">
        <f>+AM18*0.92</f>
        <v>58.232891987879711</v>
      </c>
      <c r="AO18" s="33">
        <f>+AN18*0.92</f>
        <v>53.574260628849338</v>
      </c>
      <c r="AP18" s="33">
        <f>+AO18*0.92</f>
        <v>49.288319778541393</v>
      </c>
      <c r="AQ18" s="17">
        <f>+AP18</f>
        <v>49.288319778541393</v>
      </c>
      <c r="AR18" s="33">
        <f>+AP18*0.92</f>
        <v>45.345254196258082</v>
      </c>
      <c r="AS18" s="33">
        <f>+AR18*0.92</f>
        <v>41.717633860557434</v>
      </c>
      <c r="AT18" s="33">
        <f>+AS18*0.92</f>
        <v>38.38022315171284</v>
      </c>
      <c r="AU18" s="33">
        <f>+AT18*0.92</f>
        <v>35.309805299575814</v>
      </c>
      <c r="AV18" s="17">
        <f>+AU18</f>
        <v>35.309805299575814</v>
      </c>
    </row>
    <row r="19" spans="1:48" ht="16.2" outlineLevel="1" x14ac:dyDescent="0.45">
      <c r="A19" s="161"/>
      <c r="B19" s="580" t="s">
        <v>225</v>
      </c>
      <c r="C19" s="581"/>
      <c r="D19" s="260">
        <v>3560.3</v>
      </c>
      <c r="E19" s="260">
        <v>3603.5</v>
      </c>
      <c r="F19" s="260">
        <v>3564.7</v>
      </c>
      <c r="G19" s="260">
        <v>3490.8</v>
      </c>
      <c r="H19" s="261">
        <f>G19</f>
        <v>3490.8</v>
      </c>
      <c r="I19" s="260">
        <v>3515.9</v>
      </c>
      <c r="J19" s="260">
        <v>3493</v>
      </c>
      <c r="K19" s="260">
        <v>3510.1</v>
      </c>
      <c r="L19" s="112">
        <v>3597.2</v>
      </c>
      <c r="M19" s="261">
        <f>L19</f>
        <v>3597.2</v>
      </c>
      <c r="N19" s="260">
        <v>3706.8</v>
      </c>
      <c r="O19" s="260">
        <v>3658.9</v>
      </c>
      <c r="P19" s="260">
        <v>3672</v>
      </c>
      <c r="Q19" s="112">
        <v>3677.3</v>
      </c>
      <c r="R19" s="261">
        <f>Q19</f>
        <v>3677.3</v>
      </c>
      <c r="S19" s="260">
        <v>3675.7</v>
      </c>
      <c r="T19" s="260">
        <v>3646.1</v>
      </c>
      <c r="U19" s="112">
        <v>3451.2</v>
      </c>
      <c r="V19" s="32">
        <f>+U19</f>
        <v>3451.2</v>
      </c>
      <c r="W19" s="261">
        <f>V19</f>
        <v>3451.2</v>
      </c>
      <c r="X19" s="32">
        <f>+V19</f>
        <v>3451.2</v>
      </c>
      <c r="Y19" s="32">
        <f>+X19</f>
        <v>3451.2</v>
      </c>
      <c r="Z19" s="32">
        <f>+Y19</f>
        <v>3451.2</v>
      </c>
      <c r="AA19" s="32">
        <f>+Z19</f>
        <v>3451.2</v>
      </c>
      <c r="AB19" s="261">
        <f>AA19</f>
        <v>3451.2</v>
      </c>
      <c r="AC19" s="32">
        <f>+AA19</f>
        <v>3451.2</v>
      </c>
      <c r="AD19" s="32">
        <f>+AC19</f>
        <v>3451.2</v>
      </c>
      <c r="AE19" s="32">
        <f>+AD19</f>
        <v>3451.2</v>
      </c>
      <c r="AF19" s="32">
        <f>+AE19</f>
        <v>3451.2</v>
      </c>
      <c r="AG19" s="261">
        <f>AF19</f>
        <v>3451.2</v>
      </c>
      <c r="AH19" s="32">
        <f>+AF19</f>
        <v>3451.2</v>
      </c>
      <c r="AI19" s="32">
        <f>+AH19</f>
        <v>3451.2</v>
      </c>
      <c r="AJ19" s="32">
        <f>+AI19</f>
        <v>3451.2</v>
      </c>
      <c r="AK19" s="32">
        <f>+AJ19</f>
        <v>3451.2</v>
      </c>
      <c r="AL19" s="261">
        <f>AK19</f>
        <v>3451.2</v>
      </c>
      <c r="AM19" s="32">
        <f>+AK19</f>
        <v>3451.2</v>
      </c>
      <c r="AN19" s="32">
        <f>+AM19</f>
        <v>3451.2</v>
      </c>
      <c r="AO19" s="32">
        <f>+AN19</f>
        <v>3451.2</v>
      </c>
      <c r="AP19" s="32">
        <f>+AO19</f>
        <v>3451.2</v>
      </c>
      <c r="AQ19" s="261">
        <f>AP19</f>
        <v>3451.2</v>
      </c>
      <c r="AR19" s="32">
        <f>+AP19</f>
        <v>3451.2</v>
      </c>
      <c r="AS19" s="32">
        <f>+AR19</f>
        <v>3451.2</v>
      </c>
      <c r="AT19" s="32">
        <f>+AS19</f>
        <v>3451.2</v>
      </c>
      <c r="AU19" s="32">
        <f>+AT19</f>
        <v>3451.2</v>
      </c>
      <c r="AV19" s="261">
        <f>AU19</f>
        <v>3451.2</v>
      </c>
    </row>
    <row r="20" spans="1:48" outlineLevel="1" x14ac:dyDescent="0.3">
      <c r="A20" s="161"/>
      <c r="B20" s="619" t="s">
        <v>226</v>
      </c>
      <c r="C20" s="620"/>
      <c r="D20" s="21">
        <f t="shared" ref="D20:AV20" si="2">+SUM(D11:D19)</f>
        <v>19981.3</v>
      </c>
      <c r="E20" s="21">
        <f t="shared" si="2"/>
        <v>17641.900000000001</v>
      </c>
      <c r="F20" s="21">
        <f t="shared" si="2"/>
        <v>20894.500000000004</v>
      </c>
      <c r="G20" s="21">
        <f t="shared" si="2"/>
        <v>19219.400000000001</v>
      </c>
      <c r="H20" s="22">
        <f t="shared" si="2"/>
        <v>19219.400000000001</v>
      </c>
      <c r="I20" s="21">
        <f t="shared" si="2"/>
        <v>27731.300000000007</v>
      </c>
      <c r="J20" s="21">
        <f t="shared" si="2"/>
        <v>27478.9</v>
      </c>
      <c r="K20" s="21">
        <f t="shared" si="2"/>
        <v>29140.600000000002</v>
      </c>
      <c r="L20" s="21">
        <f t="shared" si="2"/>
        <v>29374.500000000004</v>
      </c>
      <c r="M20" s="22">
        <f t="shared" si="2"/>
        <v>29374.500000000004</v>
      </c>
      <c r="N20" s="21">
        <f t="shared" si="2"/>
        <v>29968.30000000001</v>
      </c>
      <c r="O20" s="21">
        <f t="shared" si="2"/>
        <v>28371.600000000013</v>
      </c>
      <c r="P20" s="21">
        <f t="shared" si="2"/>
        <v>29476.800000000007</v>
      </c>
      <c r="Q20" s="21">
        <f t="shared" si="2"/>
        <v>31392.600000000009</v>
      </c>
      <c r="R20" s="22">
        <f t="shared" si="2"/>
        <v>31392.600000000009</v>
      </c>
      <c r="S20" s="21">
        <f t="shared" si="2"/>
        <v>28833.900000000009</v>
      </c>
      <c r="T20" s="21">
        <f t="shared" si="2"/>
        <v>29021.500000000007</v>
      </c>
      <c r="U20" s="21">
        <f t="shared" si="2"/>
        <v>28156.200000000012</v>
      </c>
      <c r="V20" s="21">
        <f t="shared" si="2"/>
        <v>28004.878285495277</v>
      </c>
      <c r="W20" s="22">
        <f t="shared" si="2"/>
        <v>28004.878285495277</v>
      </c>
      <c r="X20" s="21">
        <f t="shared" si="2"/>
        <v>28761.895349946208</v>
      </c>
      <c r="Y20" s="21">
        <f t="shared" si="2"/>
        <v>28615.107192740434</v>
      </c>
      <c r="Z20" s="21">
        <f t="shared" si="2"/>
        <v>29250.538472152653</v>
      </c>
      <c r="AA20" s="21">
        <f t="shared" si="2"/>
        <v>29548.429336829064</v>
      </c>
      <c r="AB20" s="22">
        <f t="shared" si="2"/>
        <v>29548.429336829064</v>
      </c>
      <c r="AC20" s="21">
        <f t="shared" si="2"/>
        <v>30689.130335318408</v>
      </c>
      <c r="AD20" s="21">
        <f t="shared" si="2"/>
        <v>30643.655704882993</v>
      </c>
      <c r="AE20" s="21">
        <f t="shared" si="2"/>
        <v>31306.106145245212</v>
      </c>
      <c r="AF20" s="21">
        <f t="shared" si="2"/>
        <v>31714.868865626398</v>
      </c>
      <c r="AG20" s="22">
        <f t="shared" si="2"/>
        <v>31714.868865626398</v>
      </c>
      <c r="AH20" s="21">
        <f t="shared" si="2"/>
        <v>32955.355949344113</v>
      </c>
      <c r="AI20" s="21">
        <f t="shared" si="2"/>
        <v>32939.383451164635</v>
      </c>
      <c r="AJ20" s="21">
        <f t="shared" si="2"/>
        <v>34082.477327231791</v>
      </c>
      <c r="AK20" s="21">
        <f t="shared" si="2"/>
        <v>29441.079752822247</v>
      </c>
      <c r="AL20" s="22">
        <f t="shared" si="2"/>
        <v>29441.079752822247</v>
      </c>
      <c r="AM20" s="21">
        <f t="shared" si="2"/>
        <v>30622.782781630049</v>
      </c>
      <c r="AN20" s="21">
        <f t="shared" si="2"/>
        <v>30451.836688935611</v>
      </c>
      <c r="AO20" s="21">
        <f t="shared" si="2"/>
        <v>31342.821427154737</v>
      </c>
      <c r="AP20" s="21">
        <f t="shared" si="2"/>
        <v>31768.138996134498</v>
      </c>
      <c r="AQ20" s="22">
        <f t="shared" si="2"/>
        <v>31768.138996134498</v>
      </c>
      <c r="AR20" s="21">
        <f t="shared" si="2"/>
        <v>33110.309716223317</v>
      </c>
      <c r="AS20" s="21">
        <f t="shared" si="2"/>
        <v>33017.568632682443</v>
      </c>
      <c r="AT20" s="21">
        <f t="shared" si="2"/>
        <v>34025.743976814338</v>
      </c>
      <c r="AU20" s="21">
        <f t="shared" si="2"/>
        <v>34549.690867948317</v>
      </c>
      <c r="AV20" s="22">
        <f t="shared" si="2"/>
        <v>34549.690867948317</v>
      </c>
    </row>
    <row r="21" spans="1:48" ht="17.399999999999999" x14ac:dyDescent="0.45">
      <c r="A21" s="161"/>
      <c r="B21" s="583" t="s">
        <v>227</v>
      </c>
      <c r="C21" s="584"/>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2" t="s">
        <v>25</v>
      </c>
      <c r="W21" s="42" t="s">
        <v>26</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580" t="s">
        <v>228</v>
      </c>
      <c r="C22" s="581"/>
      <c r="D22" s="101">
        <v>1100.5</v>
      </c>
      <c r="E22" s="101">
        <v>1096.7</v>
      </c>
      <c r="F22" s="101">
        <v>1145.4000000000001</v>
      </c>
      <c r="G22" s="101">
        <v>1189.7</v>
      </c>
      <c r="H22" s="169">
        <f t="shared" ref="H22:H29" si="3">G22</f>
        <v>1189.7</v>
      </c>
      <c r="I22" s="101">
        <v>1085.5999999999999</v>
      </c>
      <c r="J22" s="101">
        <v>997.7</v>
      </c>
      <c r="K22" s="101">
        <v>860.8</v>
      </c>
      <c r="L22" s="101">
        <v>997.9</v>
      </c>
      <c r="M22" s="169">
        <f t="shared" ref="M22:M29" si="4">L22</f>
        <v>997.9</v>
      </c>
      <c r="N22" s="101">
        <v>1050.5999999999999</v>
      </c>
      <c r="O22" s="101">
        <v>1033.5999999999999</v>
      </c>
      <c r="P22" s="101">
        <v>1127</v>
      </c>
      <c r="Q22" s="101">
        <v>1211.5999999999999</v>
      </c>
      <c r="R22" s="169">
        <f t="shared" ref="R22:R29" si="5">Q22</f>
        <v>1211.5999999999999</v>
      </c>
      <c r="S22" s="101">
        <v>1289.4000000000001</v>
      </c>
      <c r="T22" s="101">
        <v>1329.5</v>
      </c>
      <c r="U22" s="101">
        <v>1489.8</v>
      </c>
      <c r="V22" s="101">
        <f>('IS 3Q2022'!V9/V51)</f>
        <v>1378.0521345442075</v>
      </c>
      <c r="W22" s="169">
        <f t="shared" ref="W22:W29" si="6">V22</f>
        <v>1378.0521345442075</v>
      </c>
      <c r="X22" s="101">
        <f>('IS 3Q2022'!X9/X51)</f>
        <v>1403.0668994410348</v>
      </c>
      <c r="Y22" s="101">
        <f>('IS 3Q2022'!Y9/Y51)</f>
        <v>1399.2335826901353</v>
      </c>
      <c r="Z22" s="101">
        <f>('IS 3Q2022'!Z9/Z51)</f>
        <v>1629.2319194841502</v>
      </c>
      <c r="AA22" s="101">
        <f>('IS 3Q2022'!AA9/AA51)</f>
        <v>1479.9548914419597</v>
      </c>
      <c r="AB22" s="169">
        <f t="shared" ref="AB22:AB29" si="7">AA22</f>
        <v>1479.9548914419597</v>
      </c>
      <c r="AC22" s="101">
        <f>('IS 3Q2022'!AC9/AC51)</f>
        <v>1537.1799019893897</v>
      </c>
      <c r="AD22" s="101">
        <f>('IS 3Q2022'!AD9/AD51)</f>
        <v>1524.7999020032589</v>
      </c>
      <c r="AE22" s="101">
        <f>('IS 3Q2022'!AE9/AE51)</f>
        <v>1747.7690209802097</v>
      </c>
      <c r="AF22" s="101">
        <f>('IS 3Q2022'!AF9/AF51)</f>
        <v>1659.2382621055442</v>
      </c>
      <c r="AG22" s="169">
        <f t="shared" ref="AG22:AG29" si="8">AF22</f>
        <v>1659.2382621055442</v>
      </c>
      <c r="AH22" s="101">
        <f>('IS 3Q2022'!AH9/AH51)</f>
        <v>1698.1885458658935</v>
      </c>
      <c r="AI22" s="101">
        <f>('IS 3Q2022'!AI9/AI51)</f>
        <v>1692.7492627589445</v>
      </c>
      <c r="AJ22" s="101">
        <f>('IS 3Q2022'!AJ9/AJ51)</f>
        <v>1961.7658455189151</v>
      </c>
      <c r="AK22" s="101">
        <f>('IS 3Q2022'!AK9/AK51)</f>
        <v>1859.8570077634258</v>
      </c>
      <c r="AL22" s="169">
        <f t="shared" ref="AL22:AL29" si="9">AK22</f>
        <v>1859.8570077634258</v>
      </c>
      <c r="AM22" s="101">
        <f>('IS 3Q2022'!AM9/AM51)</f>
        <v>1861.0416955112685</v>
      </c>
      <c r="AN22" s="101">
        <f>('IS 3Q2022'!AN9/AN51)</f>
        <v>1834.0362204097876</v>
      </c>
      <c r="AO22" s="101">
        <f>('IS 3Q2022'!AO9/AO51)</f>
        <v>2115.7322841733671</v>
      </c>
      <c r="AP22" s="101">
        <f>('IS 3Q2022'!AP9/AP51)</f>
        <v>2006.2059427801616</v>
      </c>
      <c r="AQ22" s="169">
        <f t="shared" ref="AQ22:AQ29" si="10">AP22</f>
        <v>2006.2059427801616</v>
      </c>
      <c r="AR22" s="101">
        <f>('IS 3Q2022'!AR9/AR51)</f>
        <v>1983.9182175798808</v>
      </c>
      <c r="AS22" s="101">
        <f>('IS 3Q2022'!AS9/AS51)</f>
        <v>1955.1668393055454</v>
      </c>
      <c r="AT22" s="101">
        <f>('IS 3Q2022'!AT9/AT51)</f>
        <v>2245.2852258921503</v>
      </c>
      <c r="AU22" s="101">
        <f>('IS 3Q2022'!AU9/AU51)</f>
        <v>2133.7442468175009</v>
      </c>
      <c r="AV22" s="169">
        <f t="shared" ref="AV22:AV29" si="11">AU22</f>
        <v>2133.7442468175009</v>
      </c>
    </row>
    <row r="23" spans="1:48" outlineLevel="1" x14ac:dyDescent="0.3">
      <c r="A23" s="161"/>
      <c r="B23" s="580" t="s">
        <v>229</v>
      </c>
      <c r="C23" s="581"/>
      <c r="D23" s="101">
        <v>2564</v>
      </c>
      <c r="E23" s="101">
        <v>2569.3000000000002</v>
      </c>
      <c r="F23" s="101">
        <v>3238.7</v>
      </c>
      <c r="G23" s="101">
        <v>1753.7</v>
      </c>
      <c r="H23" s="169">
        <f t="shared" si="3"/>
        <v>1753.7</v>
      </c>
      <c r="I23" s="101">
        <v>1637.8</v>
      </c>
      <c r="J23" s="101">
        <v>1539</v>
      </c>
      <c r="K23" s="101">
        <v>1511.7</v>
      </c>
      <c r="L23" s="101">
        <v>1160.7</v>
      </c>
      <c r="M23" s="169">
        <f t="shared" si="4"/>
        <v>1160.7</v>
      </c>
      <c r="N23" s="101">
        <v>1616.9</v>
      </c>
      <c r="O23" s="101">
        <v>1771.6</v>
      </c>
      <c r="P23" s="101">
        <v>1791.4</v>
      </c>
      <c r="Q23" s="101">
        <v>1973.2</v>
      </c>
      <c r="R23" s="169">
        <f t="shared" si="5"/>
        <v>1973.2</v>
      </c>
      <c r="S23" s="101">
        <v>2444.3000000000002</v>
      </c>
      <c r="T23" s="101">
        <v>2092.4</v>
      </c>
      <c r="U23" s="101">
        <v>2068.9</v>
      </c>
      <c r="V23" s="33">
        <f>U23</f>
        <v>2068.9</v>
      </c>
      <c r="W23" s="169">
        <f t="shared" si="6"/>
        <v>2068.9</v>
      </c>
      <c r="X23" s="33">
        <f>V23</f>
        <v>2068.9</v>
      </c>
      <c r="Y23" s="33">
        <f>X23</f>
        <v>2068.9</v>
      </c>
      <c r="Z23" s="33">
        <f>Y23</f>
        <v>2068.9</v>
      </c>
      <c r="AA23" s="33">
        <f>Z23</f>
        <v>2068.9</v>
      </c>
      <c r="AB23" s="169">
        <f t="shared" si="7"/>
        <v>2068.9</v>
      </c>
      <c r="AC23" s="33">
        <f>AA23</f>
        <v>2068.9</v>
      </c>
      <c r="AD23" s="33">
        <f>AC23</f>
        <v>2068.9</v>
      </c>
      <c r="AE23" s="33">
        <f>AD23</f>
        <v>2068.9</v>
      </c>
      <c r="AF23" s="33">
        <f>AE23</f>
        <v>2068.9</v>
      </c>
      <c r="AG23" s="169">
        <f t="shared" si="8"/>
        <v>2068.9</v>
      </c>
      <c r="AH23" s="33">
        <f>AF23</f>
        <v>2068.9</v>
      </c>
      <c r="AI23" s="33">
        <f>AH23</f>
        <v>2068.9</v>
      </c>
      <c r="AJ23" s="33">
        <f>AI23</f>
        <v>2068.9</v>
      </c>
      <c r="AK23" s="33">
        <f>AJ23</f>
        <v>2068.9</v>
      </c>
      <c r="AL23" s="169">
        <f t="shared" si="9"/>
        <v>2068.9</v>
      </c>
      <c r="AM23" s="33">
        <f>AK23</f>
        <v>2068.9</v>
      </c>
      <c r="AN23" s="33">
        <f>AM23</f>
        <v>2068.9</v>
      </c>
      <c r="AO23" s="33">
        <f>AN23</f>
        <v>2068.9</v>
      </c>
      <c r="AP23" s="33">
        <f>AO23</f>
        <v>2068.9</v>
      </c>
      <c r="AQ23" s="169">
        <f t="shared" si="10"/>
        <v>2068.9</v>
      </c>
      <c r="AR23" s="33">
        <f>AP23</f>
        <v>2068.9</v>
      </c>
      <c r="AS23" s="33">
        <f>AR23</f>
        <v>2068.9</v>
      </c>
      <c r="AT23" s="33">
        <f>AS23</f>
        <v>2068.9</v>
      </c>
      <c r="AU23" s="33">
        <f>AT23</f>
        <v>2068.9</v>
      </c>
      <c r="AV23" s="169">
        <f t="shared" si="11"/>
        <v>2068.9</v>
      </c>
    </row>
    <row r="24" spans="1:48" outlineLevel="1" x14ac:dyDescent="0.3">
      <c r="A24" s="161"/>
      <c r="B24" s="200" t="s">
        <v>230</v>
      </c>
      <c r="C24" s="201"/>
      <c r="D24" s="101">
        <v>0</v>
      </c>
      <c r="E24" s="101">
        <v>0</v>
      </c>
      <c r="F24" s="101">
        <v>0</v>
      </c>
      <c r="G24" s="101">
        <v>664.6</v>
      </c>
      <c r="H24" s="169">
        <f t="shared" si="3"/>
        <v>664.6</v>
      </c>
      <c r="I24" s="101">
        <v>578.5</v>
      </c>
      <c r="J24" s="101">
        <v>596.1</v>
      </c>
      <c r="K24" s="101">
        <v>652.1</v>
      </c>
      <c r="L24" s="101">
        <v>696</v>
      </c>
      <c r="M24" s="169">
        <f t="shared" si="4"/>
        <v>696</v>
      </c>
      <c r="N24" s="101">
        <v>685.3</v>
      </c>
      <c r="O24" s="101">
        <v>646.1</v>
      </c>
      <c r="P24" s="101">
        <v>741</v>
      </c>
      <c r="Q24" s="101">
        <v>772.3</v>
      </c>
      <c r="R24" s="169">
        <f t="shared" si="5"/>
        <v>772.3</v>
      </c>
      <c r="S24" s="101">
        <v>664.1</v>
      </c>
      <c r="T24" s="101">
        <v>665.9</v>
      </c>
      <c r="U24" s="101">
        <v>706.8</v>
      </c>
      <c r="V24" s="33">
        <f>U24</f>
        <v>706.8</v>
      </c>
      <c r="W24" s="169">
        <f t="shared" si="6"/>
        <v>706.8</v>
      </c>
      <c r="X24" s="33">
        <f>V24</f>
        <v>706.8</v>
      </c>
      <c r="Y24" s="33">
        <f t="shared" ref="Y24:AA25" si="12">X24</f>
        <v>706.8</v>
      </c>
      <c r="Z24" s="33">
        <f t="shared" si="12"/>
        <v>706.8</v>
      </c>
      <c r="AA24" s="33">
        <f t="shared" si="12"/>
        <v>706.8</v>
      </c>
      <c r="AB24" s="169">
        <f t="shared" si="7"/>
        <v>706.8</v>
      </c>
      <c r="AC24" s="33">
        <f>AA24</f>
        <v>706.8</v>
      </c>
      <c r="AD24" s="33">
        <f t="shared" ref="AD24:AF25" si="13">AC24</f>
        <v>706.8</v>
      </c>
      <c r="AE24" s="33">
        <f t="shared" si="13"/>
        <v>706.8</v>
      </c>
      <c r="AF24" s="33">
        <f t="shared" si="13"/>
        <v>706.8</v>
      </c>
      <c r="AG24" s="169">
        <f t="shared" si="8"/>
        <v>706.8</v>
      </c>
      <c r="AH24" s="33">
        <f>AF24</f>
        <v>706.8</v>
      </c>
      <c r="AI24" s="33">
        <f t="shared" ref="AI24:AK25" si="14">AH24</f>
        <v>706.8</v>
      </c>
      <c r="AJ24" s="33">
        <f t="shared" si="14"/>
        <v>706.8</v>
      </c>
      <c r="AK24" s="33">
        <f t="shared" si="14"/>
        <v>706.8</v>
      </c>
      <c r="AL24" s="169">
        <f t="shared" si="9"/>
        <v>706.8</v>
      </c>
      <c r="AM24" s="33">
        <f>AK24</f>
        <v>706.8</v>
      </c>
      <c r="AN24" s="33">
        <f t="shared" ref="AN24:AP25" si="15">AM24</f>
        <v>706.8</v>
      </c>
      <c r="AO24" s="33">
        <f t="shared" si="15"/>
        <v>706.8</v>
      </c>
      <c r="AP24" s="33">
        <f t="shared" si="15"/>
        <v>706.8</v>
      </c>
      <c r="AQ24" s="169">
        <f t="shared" si="10"/>
        <v>706.8</v>
      </c>
      <c r="AR24" s="33">
        <f>AP24</f>
        <v>706.8</v>
      </c>
      <c r="AS24" s="33">
        <f t="shared" ref="AS24:AU25" si="16">AR24</f>
        <v>706.8</v>
      </c>
      <c r="AT24" s="33">
        <f t="shared" si="16"/>
        <v>706.8</v>
      </c>
      <c r="AU24" s="33">
        <f t="shared" si="16"/>
        <v>706.8</v>
      </c>
      <c r="AV24" s="169">
        <f t="shared" si="11"/>
        <v>706.8</v>
      </c>
    </row>
    <row r="25" spans="1:48" outlineLevel="1" x14ac:dyDescent="0.3">
      <c r="A25" s="161"/>
      <c r="B25" s="200" t="s">
        <v>231</v>
      </c>
      <c r="C25" s="201"/>
      <c r="D25" s="101">
        <v>0</v>
      </c>
      <c r="E25" s="101">
        <v>0</v>
      </c>
      <c r="F25" s="101">
        <v>0</v>
      </c>
      <c r="G25" s="101">
        <v>1291.7</v>
      </c>
      <c r="H25" s="169">
        <f t="shared" si="3"/>
        <v>1291.7</v>
      </c>
      <c r="I25" s="101">
        <v>1414</v>
      </c>
      <c r="J25" s="101">
        <v>86.7</v>
      </c>
      <c r="K25" s="101">
        <v>90.9</v>
      </c>
      <c r="L25" s="101">
        <v>98.2</v>
      </c>
      <c r="M25" s="169">
        <f t="shared" si="4"/>
        <v>98.2</v>
      </c>
      <c r="N25" s="101">
        <v>149.69999999999999</v>
      </c>
      <c r="O25" s="101">
        <v>117</v>
      </c>
      <c r="P25" s="101">
        <v>204.8</v>
      </c>
      <c r="Q25" s="101">
        <v>348</v>
      </c>
      <c r="R25" s="169">
        <f t="shared" si="5"/>
        <v>348</v>
      </c>
      <c r="S25" s="101"/>
      <c r="T25" s="101">
        <f>S25</f>
        <v>0</v>
      </c>
      <c r="U25" s="101">
        <f>T25</f>
        <v>0</v>
      </c>
      <c r="V25" s="33">
        <f>U25</f>
        <v>0</v>
      </c>
      <c r="W25" s="169">
        <f t="shared" si="6"/>
        <v>0</v>
      </c>
      <c r="X25" s="33">
        <f>V25</f>
        <v>0</v>
      </c>
      <c r="Y25" s="33">
        <f t="shared" si="12"/>
        <v>0</v>
      </c>
      <c r="Z25" s="33">
        <f t="shared" si="12"/>
        <v>0</v>
      </c>
      <c r="AA25" s="33">
        <f t="shared" si="12"/>
        <v>0</v>
      </c>
      <c r="AB25" s="169">
        <f t="shared" si="7"/>
        <v>0</v>
      </c>
      <c r="AC25" s="33">
        <f>AA25</f>
        <v>0</v>
      </c>
      <c r="AD25" s="33">
        <f t="shared" si="13"/>
        <v>0</v>
      </c>
      <c r="AE25" s="33">
        <f t="shared" si="13"/>
        <v>0</v>
      </c>
      <c r="AF25" s="33">
        <f t="shared" si="13"/>
        <v>0</v>
      </c>
      <c r="AG25" s="169">
        <f t="shared" si="8"/>
        <v>0</v>
      </c>
      <c r="AH25" s="33">
        <f>AF25</f>
        <v>0</v>
      </c>
      <c r="AI25" s="33">
        <f t="shared" si="14"/>
        <v>0</v>
      </c>
      <c r="AJ25" s="33">
        <f t="shared" si="14"/>
        <v>0</v>
      </c>
      <c r="AK25" s="33">
        <f t="shared" si="14"/>
        <v>0</v>
      </c>
      <c r="AL25" s="169">
        <f t="shared" si="9"/>
        <v>0</v>
      </c>
      <c r="AM25" s="33">
        <f>AK25</f>
        <v>0</v>
      </c>
      <c r="AN25" s="33">
        <f t="shared" si="15"/>
        <v>0</v>
      </c>
      <c r="AO25" s="33">
        <f t="shared" si="15"/>
        <v>0</v>
      </c>
      <c r="AP25" s="33">
        <f t="shared" si="15"/>
        <v>0</v>
      </c>
      <c r="AQ25" s="169">
        <f t="shared" si="10"/>
        <v>0</v>
      </c>
      <c r="AR25" s="33">
        <f>AP25</f>
        <v>0</v>
      </c>
      <c r="AS25" s="33">
        <f t="shared" si="16"/>
        <v>0</v>
      </c>
      <c r="AT25" s="33">
        <f t="shared" si="16"/>
        <v>0</v>
      </c>
      <c r="AU25" s="33">
        <f t="shared" si="16"/>
        <v>0</v>
      </c>
      <c r="AV25" s="169">
        <f t="shared" si="11"/>
        <v>0</v>
      </c>
    </row>
    <row r="26" spans="1:48" outlineLevel="1" x14ac:dyDescent="0.3">
      <c r="A26" s="161"/>
      <c r="B26" s="200" t="s">
        <v>232</v>
      </c>
      <c r="C26" s="201"/>
      <c r="D26" s="101">
        <v>0</v>
      </c>
      <c r="E26" s="101">
        <v>0</v>
      </c>
      <c r="F26" s="101">
        <v>0</v>
      </c>
      <c r="G26" s="101">
        <v>0</v>
      </c>
      <c r="H26" s="169">
        <f t="shared" si="3"/>
        <v>0</v>
      </c>
      <c r="I26" s="101">
        <v>1268.9000000000001</v>
      </c>
      <c r="J26" s="101">
        <v>1253.5</v>
      </c>
      <c r="K26" s="101">
        <v>1237.0999999999999</v>
      </c>
      <c r="L26" s="101">
        <v>1248.8</v>
      </c>
      <c r="M26" s="169">
        <f t="shared" si="4"/>
        <v>1248.8</v>
      </c>
      <c r="N26" s="101">
        <v>1267.5999999999999</v>
      </c>
      <c r="O26" s="101">
        <v>1296.4000000000001</v>
      </c>
      <c r="P26" s="101">
        <v>1308.4000000000001</v>
      </c>
      <c r="Q26" s="101">
        <v>1251.3</v>
      </c>
      <c r="R26" s="169">
        <f t="shared" si="5"/>
        <v>1251.3</v>
      </c>
      <c r="S26" s="101">
        <v>1253.3</v>
      </c>
      <c r="T26" s="101">
        <v>1236.3</v>
      </c>
      <c r="U26" s="101">
        <v>1214.8</v>
      </c>
      <c r="V26" s="33">
        <f>U26*0.996</f>
        <v>1209.9407999999999</v>
      </c>
      <c r="W26" s="169">
        <f t="shared" si="6"/>
        <v>1209.9407999999999</v>
      </c>
      <c r="X26" s="33">
        <f>V26*0.996</f>
        <v>1205.1010367999997</v>
      </c>
      <c r="Y26" s="33">
        <f>X26*0.996</f>
        <v>1200.2806326527998</v>
      </c>
      <c r="Z26" s="33">
        <f>Y26*0.996</f>
        <v>1195.4795101221887</v>
      </c>
      <c r="AA26" s="33">
        <f>Z26*0.996</f>
        <v>1190.6975920816999</v>
      </c>
      <c r="AB26" s="169">
        <f t="shared" si="7"/>
        <v>1190.6975920816999</v>
      </c>
      <c r="AC26" s="33">
        <f>AA26*0.996</f>
        <v>1185.9348017133732</v>
      </c>
      <c r="AD26" s="33">
        <f>AC26*0.996</f>
        <v>1181.1910625065198</v>
      </c>
      <c r="AE26" s="33">
        <f>AD26*0.996</f>
        <v>1176.4662982564937</v>
      </c>
      <c r="AF26" s="33">
        <f>AE26*0.996</f>
        <v>1171.7604330634676</v>
      </c>
      <c r="AG26" s="169">
        <f t="shared" si="8"/>
        <v>1171.7604330634676</v>
      </c>
      <c r="AH26" s="33">
        <f>AF26*0.996</f>
        <v>1167.0733913312138</v>
      </c>
      <c r="AI26" s="33">
        <f>AH26*0.996</f>
        <v>1162.405097765889</v>
      </c>
      <c r="AJ26" s="33">
        <f>AI26*0.996</f>
        <v>1157.7554773748254</v>
      </c>
      <c r="AK26" s="33">
        <f>AJ26*0.996</f>
        <v>1153.124455465326</v>
      </c>
      <c r="AL26" s="169">
        <f t="shared" si="9"/>
        <v>1153.124455465326</v>
      </c>
      <c r="AM26" s="33">
        <f>AK26*0.996</f>
        <v>1148.5119576434647</v>
      </c>
      <c r="AN26" s="33">
        <f>AM26*0.996</f>
        <v>1143.9179098128909</v>
      </c>
      <c r="AO26" s="33">
        <f>AN26*0.996</f>
        <v>1139.3422381736393</v>
      </c>
      <c r="AP26" s="33">
        <f>AO26*0.996</f>
        <v>1134.7848692209448</v>
      </c>
      <c r="AQ26" s="169">
        <f t="shared" si="10"/>
        <v>1134.7848692209448</v>
      </c>
      <c r="AR26" s="33">
        <f>AP26*0.996</f>
        <v>1130.245729744061</v>
      </c>
      <c r="AS26" s="33">
        <f>AR26*0.996</f>
        <v>1125.7247468250848</v>
      </c>
      <c r="AT26" s="33">
        <f>AS26*0.996</f>
        <v>1121.2218478377845</v>
      </c>
      <c r="AU26" s="33">
        <f>AT26*0.996</f>
        <v>1116.7369604464334</v>
      </c>
      <c r="AV26" s="169">
        <f t="shared" si="11"/>
        <v>1116.7369604464334</v>
      </c>
    </row>
    <row r="27" spans="1:48" outlineLevel="1" x14ac:dyDescent="0.3">
      <c r="A27" s="161"/>
      <c r="B27" s="200" t="s">
        <v>233</v>
      </c>
      <c r="C27" s="201"/>
      <c r="D27" s="101">
        <v>1554.2</v>
      </c>
      <c r="E27" s="101">
        <v>1311.4</v>
      </c>
      <c r="F27" s="101">
        <v>1300.2</v>
      </c>
      <c r="G27" s="101">
        <v>1269</v>
      </c>
      <c r="H27" s="169">
        <f t="shared" si="3"/>
        <v>1269</v>
      </c>
      <c r="I27" s="101">
        <v>1694.1</v>
      </c>
      <c r="J27" s="101">
        <v>1436.3</v>
      </c>
      <c r="K27" s="101">
        <v>1463.3</v>
      </c>
      <c r="L27" s="101">
        <v>1456.5</v>
      </c>
      <c r="M27" s="169">
        <f t="shared" si="4"/>
        <v>1456.5</v>
      </c>
      <c r="N27" s="101">
        <v>1871.2</v>
      </c>
      <c r="O27" s="101">
        <v>1622.1</v>
      </c>
      <c r="P27" s="101">
        <v>1628.3</v>
      </c>
      <c r="Q27" s="101">
        <v>1596.1</v>
      </c>
      <c r="R27" s="169">
        <f t="shared" si="5"/>
        <v>1596.1</v>
      </c>
      <c r="S27" s="101">
        <v>2070.6999999999998</v>
      </c>
      <c r="T27" s="101">
        <v>1781.6</v>
      </c>
      <c r="U27" s="101">
        <v>1723</v>
      </c>
      <c r="V27" s="33">
        <f>U27*0.99</f>
        <v>1705.77</v>
      </c>
      <c r="W27" s="169">
        <f t="shared" si="6"/>
        <v>1705.77</v>
      </c>
      <c r="X27" s="33">
        <f>V27*1.3</f>
        <v>2217.5010000000002</v>
      </c>
      <c r="Y27" s="33">
        <f>X27*0.85</f>
        <v>1884.8758500000001</v>
      </c>
      <c r="Z27" s="33">
        <f>Y27*0.99</f>
        <v>1866.0270915000001</v>
      </c>
      <c r="AA27" s="33">
        <f>Z27*0.99</f>
        <v>1847.3668205850001</v>
      </c>
      <c r="AB27" s="169">
        <f t="shared" si="7"/>
        <v>1847.3668205850001</v>
      </c>
      <c r="AC27" s="33">
        <f>AA27*1.3</f>
        <v>2401.5768667605003</v>
      </c>
      <c r="AD27" s="33">
        <f>AC27*0.85</f>
        <v>2041.3403367464252</v>
      </c>
      <c r="AE27" s="33">
        <f>AD27*0.99</f>
        <v>2020.9269333789609</v>
      </c>
      <c r="AF27" s="33">
        <f>AE27*0.99</f>
        <v>2000.7176640451712</v>
      </c>
      <c r="AG27" s="169">
        <f t="shared" si="8"/>
        <v>2000.7176640451712</v>
      </c>
      <c r="AH27" s="33">
        <f>AF27*1.3</f>
        <v>2600.9329632587228</v>
      </c>
      <c r="AI27" s="33">
        <f>AH27*0.85</f>
        <v>2210.7930187699144</v>
      </c>
      <c r="AJ27" s="33">
        <f>AI27*0.99</f>
        <v>2188.685088582215</v>
      </c>
      <c r="AK27" s="33">
        <f>AJ27*0.99</f>
        <v>2166.7982376963928</v>
      </c>
      <c r="AL27" s="169">
        <f t="shared" si="9"/>
        <v>2166.7982376963928</v>
      </c>
      <c r="AM27" s="33">
        <f>AK27*1.3</f>
        <v>2816.8377090053109</v>
      </c>
      <c r="AN27" s="33">
        <f>AM27*0.85</f>
        <v>2394.312052654514</v>
      </c>
      <c r="AO27" s="33">
        <f>AN27*0.99</f>
        <v>2370.3689321279689</v>
      </c>
      <c r="AP27" s="33">
        <f>AO27*0.99</f>
        <v>2346.6652428066891</v>
      </c>
      <c r="AQ27" s="169">
        <f t="shared" si="10"/>
        <v>2346.6652428066891</v>
      </c>
      <c r="AR27" s="33">
        <f>AP27*1.3</f>
        <v>3050.6648156486958</v>
      </c>
      <c r="AS27" s="33">
        <f>AR27*0.85</f>
        <v>2593.0650933013912</v>
      </c>
      <c r="AT27" s="33">
        <f>AS27*0.99</f>
        <v>2567.1344423683772</v>
      </c>
      <c r="AU27" s="33">
        <f>AT27*0.99</f>
        <v>2541.4630979446933</v>
      </c>
      <c r="AV27" s="169">
        <f t="shared" si="11"/>
        <v>2541.4630979446933</v>
      </c>
    </row>
    <row r="28" spans="1:48" outlineLevel="1" x14ac:dyDescent="0.3">
      <c r="A28" s="161"/>
      <c r="B28" s="200" t="s">
        <v>234</v>
      </c>
      <c r="C28" s="201"/>
      <c r="D28" s="101">
        <v>0</v>
      </c>
      <c r="E28" s="101">
        <f>75+0</f>
        <v>75</v>
      </c>
      <c r="F28" s="101">
        <v>0</v>
      </c>
      <c r="G28" s="101">
        <v>0</v>
      </c>
      <c r="H28" s="169">
        <f t="shared" si="3"/>
        <v>0</v>
      </c>
      <c r="I28" s="101">
        <f>497.9+498.7</f>
        <v>996.59999999999991</v>
      </c>
      <c r="J28" s="101">
        <f>1107.1+1249.4</f>
        <v>2356.5</v>
      </c>
      <c r="K28" s="101">
        <f>936.5+1249.6</f>
        <v>2186.1</v>
      </c>
      <c r="L28" s="101">
        <f>438.8+1249.9</f>
        <v>1688.7</v>
      </c>
      <c r="M28" s="169">
        <f t="shared" si="4"/>
        <v>1688.7</v>
      </c>
      <c r="N28" s="101">
        <f>492.6+750</f>
        <v>1242.5999999999999</v>
      </c>
      <c r="O28" s="101">
        <v>18.3</v>
      </c>
      <c r="P28" s="101">
        <v>998.9</v>
      </c>
      <c r="Q28" s="101">
        <v>998.9</v>
      </c>
      <c r="R28" s="169">
        <f t="shared" si="5"/>
        <v>998.9</v>
      </c>
      <c r="S28" s="101">
        <f>200+999.3</f>
        <v>1199.3</v>
      </c>
      <c r="T28" s="101">
        <v>1998.6</v>
      </c>
      <c r="U28" s="101">
        <f>200+999.1</f>
        <v>1199.0999999999999</v>
      </c>
      <c r="V28" s="33">
        <f>U28-V59+V60</f>
        <v>1000.0999999999999</v>
      </c>
      <c r="W28" s="169">
        <f t="shared" si="6"/>
        <v>1000.0999999999999</v>
      </c>
      <c r="X28" s="33">
        <f>V28-X59+X60</f>
        <v>1000.0999999999999</v>
      </c>
      <c r="Y28" s="33">
        <f>X28-Y59+Y60</f>
        <v>750.09999999999991</v>
      </c>
      <c r="Z28" s="33">
        <f t="shared" ref="Z28:AA28" si="17">Y28-Z59+Z60</f>
        <v>1876.3999999999999</v>
      </c>
      <c r="AA28" s="33">
        <f t="shared" si="17"/>
        <v>1876.3999999999999</v>
      </c>
      <c r="AB28" s="169">
        <f t="shared" si="7"/>
        <v>1876.3999999999999</v>
      </c>
      <c r="AC28" s="33">
        <f>AA28-AC59+AC60</f>
        <v>1126.3999999999999</v>
      </c>
      <c r="AD28" s="33">
        <f t="shared" ref="AD28:AF28" si="18">AC28-AD59+AD60</f>
        <v>9.9999999999909051E-2</v>
      </c>
      <c r="AE28" s="33">
        <f t="shared" si="18"/>
        <v>9.9999999999909051E-2</v>
      </c>
      <c r="AF28" s="33">
        <f t="shared" si="18"/>
        <v>9.9999999999909051E-2</v>
      </c>
      <c r="AG28" s="169">
        <f t="shared" si="8"/>
        <v>9.9999999999909051E-2</v>
      </c>
      <c r="AH28" s="33">
        <f>AF28-AH59+AH60</f>
        <v>1250.0999999999999</v>
      </c>
      <c r="AI28" s="33">
        <f t="shared" ref="AI28:AK28" si="19">AH28-AI59+AI60</f>
        <v>1250.0999999999999</v>
      </c>
      <c r="AJ28" s="33">
        <f t="shared" si="19"/>
        <v>1250.0999999999999</v>
      </c>
      <c r="AK28" s="33">
        <f t="shared" si="19"/>
        <v>500.09999999999991</v>
      </c>
      <c r="AL28" s="169">
        <f t="shared" si="9"/>
        <v>500.09999999999991</v>
      </c>
      <c r="AM28" s="33">
        <f>AK28-AM59+AM60</f>
        <v>500.09999999999991</v>
      </c>
      <c r="AN28" s="33">
        <f t="shared" ref="AN28:AP28" si="20">AM28-AN59+AN60</f>
        <v>500.09999999999991</v>
      </c>
      <c r="AO28" s="33">
        <f t="shared" si="20"/>
        <v>500.09999999999991</v>
      </c>
      <c r="AP28" s="33">
        <f t="shared" si="20"/>
        <v>500.09999999999991</v>
      </c>
      <c r="AQ28" s="169">
        <f t="shared" si="10"/>
        <v>500.09999999999991</v>
      </c>
      <c r="AR28" s="33">
        <f>AP28-AR59+AR60</f>
        <v>500.09999999999991</v>
      </c>
      <c r="AS28" s="33">
        <f t="shared" ref="AS28:AU28" si="21">AR28-AS59+AS60</f>
        <v>9.9999999999909051E-2</v>
      </c>
      <c r="AT28" s="33">
        <f t="shared" si="21"/>
        <v>9.9999999999909051E-2</v>
      </c>
      <c r="AU28" s="33">
        <f t="shared" si="21"/>
        <v>9.9999999999909051E-2</v>
      </c>
      <c r="AV28" s="169">
        <f t="shared" si="11"/>
        <v>9.9999999999909051E-2</v>
      </c>
    </row>
    <row r="29" spans="1:48" ht="16.2" outlineLevel="1" x14ac:dyDescent="0.45">
      <c r="A29" s="161"/>
      <c r="B29" s="200" t="s">
        <v>235</v>
      </c>
      <c r="C29" s="201"/>
      <c r="D29" s="112">
        <v>208.8</v>
      </c>
      <c r="E29" s="112">
        <v>221</v>
      </c>
      <c r="F29" s="112">
        <v>211.5</v>
      </c>
      <c r="G29" s="112">
        <v>0</v>
      </c>
      <c r="H29" s="262">
        <f t="shared" si="3"/>
        <v>0</v>
      </c>
      <c r="I29" s="112">
        <v>0</v>
      </c>
      <c r="J29" s="112">
        <v>0</v>
      </c>
      <c r="K29" s="112">
        <v>0</v>
      </c>
      <c r="L29" s="112">
        <v>0</v>
      </c>
      <c r="M29" s="262">
        <f t="shared" si="4"/>
        <v>0</v>
      </c>
      <c r="N29" s="112">
        <v>0</v>
      </c>
      <c r="O29" s="112">
        <v>0</v>
      </c>
      <c r="P29" s="112">
        <v>0</v>
      </c>
      <c r="Q29" s="112">
        <v>0</v>
      </c>
      <c r="R29" s="262">
        <f t="shared" si="5"/>
        <v>0</v>
      </c>
      <c r="S29" s="112">
        <v>0</v>
      </c>
      <c r="T29" s="112">
        <v>0</v>
      </c>
      <c r="U29" s="112">
        <v>0</v>
      </c>
      <c r="V29" s="32">
        <v>0</v>
      </c>
      <c r="W29" s="262">
        <f t="shared" si="6"/>
        <v>0</v>
      </c>
      <c r="X29" s="32">
        <v>0</v>
      </c>
      <c r="Y29" s="32">
        <v>0</v>
      </c>
      <c r="Z29" s="32">
        <v>0</v>
      </c>
      <c r="AA29" s="32">
        <v>0</v>
      </c>
      <c r="AB29" s="262">
        <f t="shared" si="7"/>
        <v>0</v>
      </c>
      <c r="AC29" s="32">
        <v>0</v>
      </c>
      <c r="AD29" s="32">
        <v>0</v>
      </c>
      <c r="AE29" s="32">
        <v>0</v>
      </c>
      <c r="AF29" s="32">
        <v>0</v>
      </c>
      <c r="AG29" s="262">
        <f t="shared" si="8"/>
        <v>0</v>
      </c>
      <c r="AH29" s="32">
        <v>0</v>
      </c>
      <c r="AI29" s="32">
        <v>0</v>
      </c>
      <c r="AJ29" s="32">
        <v>0</v>
      </c>
      <c r="AK29" s="32">
        <v>0</v>
      </c>
      <c r="AL29" s="262">
        <f t="shared" si="9"/>
        <v>0</v>
      </c>
      <c r="AM29" s="32">
        <v>0</v>
      </c>
      <c r="AN29" s="32">
        <v>0</v>
      </c>
      <c r="AO29" s="32">
        <v>0</v>
      </c>
      <c r="AP29" s="32">
        <v>0</v>
      </c>
      <c r="AQ29" s="262">
        <f t="shared" si="10"/>
        <v>0</v>
      </c>
      <c r="AR29" s="32">
        <v>0</v>
      </c>
      <c r="AS29" s="32">
        <v>0</v>
      </c>
      <c r="AT29" s="32">
        <v>0</v>
      </c>
      <c r="AU29" s="32">
        <v>0</v>
      </c>
      <c r="AV29" s="262">
        <f t="shared" si="11"/>
        <v>0</v>
      </c>
    </row>
    <row r="30" spans="1:48" outlineLevel="1" x14ac:dyDescent="0.3">
      <c r="A30" s="161"/>
      <c r="B30" s="205" t="s">
        <v>236</v>
      </c>
      <c r="C30" s="201"/>
      <c r="D30" s="116">
        <f t="shared" ref="D30:K30" si="22">SUM(D22:D29)</f>
        <v>5427.5</v>
      </c>
      <c r="E30" s="116">
        <f t="shared" si="22"/>
        <v>5273.4</v>
      </c>
      <c r="F30" s="116">
        <f t="shared" si="22"/>
        <v>5895.8</v>
      </c>
      <c r="G30" s="116">
        <f t="shared" si="22"/>
        <v>6168.7</v>
      </c>
      <c r="H30" s="150">
        <f t="shared" si="22"/>
        <v>6168.7</v>
      </c>
      <c r="I30" s="116">
        <f t="shared" si="22"/>
        <v>8675.5</v>
      </c>
      <c r="J30" s="116">
        <f t="shared" si="22"/>
        <v>8265.7999999999993</v>
      </c>
      <c r="K30" s="116">
        <f t="shared" si="22"/>
        <v>8002</v>
      </c>
      <c r="L30" s="116">
        <f t="shared" ref="L30:AV30" si="23">SUM(L22:L28)</f>
        <v>7346.7999999999993</v>
      </c>
      <c r="M30" s="150">
        <f t="shared" si="23"/>
        <v>7346.7999999999993</v>
      </c>
      <c r="N30" s="116">
        <f t="shared" si="23"/>
        <v>7883.9</v>
      </c>
      <c r="O30" s="116">
        <f t="shared" si="23"/>
        <v>6505.0999999999995</v>
      </c>
      <c r="P30" s="116">
        <f t="shared" si="23"/>
        <v>7799.8</v>
      </c>
      <c r="Q30" s="116">
        <f t="shared" si="23"/>
        <v>8151.4</v>
      </c>
      <c r="R30" s="150">
        <f t="shared" si="23"/>
        <v>8151.4</v>
      </c>
      <c r="S30" s="116">
        <f t="shared" si="23"/>
        <v>8921.1</v>
      </c>
      <c r="T30" s="116">
        <f t="shared" si="23"/>
        <v>9104.3000000000011</v>
      </c>
      <c r="U30" s="116">
        <f t="shared" si="23"/>
        <v>8402.4</v>
      </c>
      <c r="V30" s="116">
        <f t="shared" si="23"/>
        <v>8069.5629345442085</v>
      </c>
      <c r="W30" s="150">
        <f t="shared" si="23"/>
        <v>8069.5629345442085</v>
      </c>
      <c r="X30" s="116">
        <f t="shared" si="23"/>
        <v>8601.4689362410354</v>
      </c>
      <c r="Y30" s="116">
        <f t="shared" si="23"/>
        <v>8010.1900653429348</v>
      </c>
      <c r="Z30" s="116">
        <f t="shared" si="23"/>
        <v>9342.8385211063396</v>
      </c>
      <c r="AA30" s="116">
        <f t="shared" si="23"/>
        <v>9170.1193041086608</v>
      </c>
      <c r="AB30" s="150">
        <f t="shared" si="23"/>
        <v>9170.1193041086608</v>
      </c>
      <c r="AC30" s="116">
        <f t="shared" si="23"/>
        <v>9026.7915704632633</v>
      </c>
      <c r="AD30" s="116">
        <f t="shared" si="23"/>
        <v>7523.1313012562041</v>
      </c>
      <c r="AE30" s="116">
        <f t="shared" si="23"/>
        <v>7720.9622526156636</v>
      </c>
      <c r="AF30" s="116">
        <f t="shared" si="23"/>
        <v>7607.5163592141835</v>
      </c>
      <c r="AG30" s="150">
        <f t="shared" si="23"/>
        <v>7607.5163592141835</v>
      </c>
      <c r="AH30" s="116">
        <f t="shared" si="23"/>
        <v>9491.9949004558312</v>
      </c>
      <c r="AI30" s="116">
        <f t="shared" si="23"/>
        <v>9091.7473792947476</v>
      </c>
      <c r="AJ30" s="116">
        <f t="shared" si="23"/>
        <v>9334.0064114759552</v>
      </c>
      <c r="AK30" s="116">
        <f t="shared" si="23"/>
        <v>8455.5797009251437</v>
      </c>
      <c r="AL30" s="150">
        <f t="shared" si="23"/>
        <v>8455.5797009251437</v>
      </c>
      <c r="AM30" s="116">
        <f t="shared" si="23"/>
        <v>9102.1913621600452</v>
      </c>
      <c r="AN30" s="116">
        <f t="shared" si="23"/>
        <v>8648.0661828771936</v>
      </c>
      <c r="AO30" s="116">
        <f t="shared" si="23"/>
        <v>8901.2434544749758</v>
      </c>
      <c r="AP30" s="116">
        <f t="shared" si="23"/>
        <v>8763.4560548077952</v>
      </c>
      <c r="AQ30" s="150">
        <f t="shared" si="23"/>
        <v>8763.4560548077952</v>
      </c>
      <c r="AR30" s="116">
        <f t="shared" si="23"/>
        <v>9440.6287629726376</v>
      </c>
      <c r="AS30" s="116">
        <f t="shared" si="23"/>
        <v>8449.7566794320228</v>
      </c>
      <c r="AT30" s="116">
        <f t="shared" si="23"/>
        <v>8709.4415160983117</v>
      </c>
      <c r="AU30" s="116">
        <f t="shared" si="23"/>
        <v>8567.7443052086292</v>
      </c>
      <c r="AV30" s="150">
        <f t="shared" si="23"/>
        <v>8567.7443052086292</v>
      </c>
    </row>
    <row r="31" spans="1:48" outlineLevel="1" x14ac:dyDescent="0.3">
      <c r="A31" s="161"/>
      <c r="B31" s="200" t="s">
        <v>237</v>
      </c>
      <c r="C31" s="201"/>
      <c r="D31" s="101">
        <v>9130.7000000000007</v>
      </c>
      <c r="E31" s="101">
        <v>9141.5</v>
      </c>
      <c r="F31" s="101">
        <v>11159.1</v>
      </c>
      <c r="G31" s="101">
        <v>11167</v>
      </c>
      <c r="H31" s="169">
        <f>G31</f>
        <v>11167</v>
      </c>
      <c r="I31" s="101">
        <v>10653.2</v>
      </c>
      <c r="J31" s="101">
        <v>11658.7</v>
      </c>
      <c r="K31" s="101">
        <v>14645.6</v>
      </c>
      <c r="L31" s="101">
        <v>14659.6</v>
      </c>
      <c r="M31" s="169">
        <f>L31</f>
        <v>14659.6</v>
      </c>
      <c r="N31" s="101">
        <v>14673.5</v>
      </c>
      <c r="O31" s="101">
        <v>14630.3</v>
      </c>
      <c r="P31" s="101">
        <v>13619.2</v>
      </c>
      <c r="Q31" s="101">
        <v>13616.9</v>
      </c>
      <c r="R31" s="169">
        <f>Q31</f>
        <v>13616.9</v>
      </c>
      <c r="S31" s="101">
        <v>13586.3</v>
      </c>
      <c r="T31" s="101">
        <v>14014.4</v>
      </c>
      <c r="U31" s="101">
        <v>13930.8</v>
      </c>
      <c r="V31" s="33">
        <f>U31-V60+V61</f>
        <v>13930.8</v>
      </c>
      <c r="W31" s="169">
        <f>V31</f>
        <v>13930.8</v>
      </c>
      <c r="X31" s="33">
        <f>V31-X60+X61</f>
        <v>13930.8</v>
      </c>
      <c r="Y31" s="33">
        <f>X31-Y60+Y61</f>
        <v>14180.8</v>
      </c>
      <c r="Z31" s="33">
        <f>Y31-Z60+Z61</f>
        <v>13054.5</v>
      </c>
      <c r="AA31" s="33">
        <f>Z31-AA60+AA61</f>
        <v>13054.5</v>
      </c>
      <c r="AB31" s="169">
        <f>AA31</f>
        <v>13054.5</v>
      </c>
      <c r="AC31" s="33">
        <f>AA31-AC60+AC61</f>
        <v>13804.5</v>
      </c>
      <c r="AD31" s="33">
        <f>AC31-AD60+AD61</f>
        <v>14930.5</v>
      </c>
      <c r="AE31" s="33">
        <f>AD31-AE60+AE61</f>
        <v>14930.5</v>
      </c>
      <c r="AF31" s="33">
        <f>AE31-AF60+AF61</f>
        <v>15030.5</v>
      </c>
      <c r="AG31" s="169">
        <f>AF31</f>
        <v>15030.5</v>
      </c>
      <c r="AH31" s="33">
        <f>AF31-AH60+AH61</f>
        <v>13780.5</v>
      </c>
      <c r="AI31" s="33">
        <f>AH31-AI60+AI61</f>
        <v>13780.5</v>
      </c>
      <c r="AJ31" s="33">
        <f>AI31-AJ60+AJ61</f>
        <v>19071.09838285108</v>
      </c>
      <c r="AK31" s="33">
        <f>AJ31-AK60+AK61</f>
        <v>19821.09838285108</v>
      </c>
      <c r="AL31" s="169">
        <f>AK31</f>
        <v>19821.09838285108</v>
      </c>
      <c r="AM31" s="33">
        <f>AK31-AM60+AM61</f>
        <v>19821.09838285108</v>
      </c>
      <c r="AN31" s="33">
        <f>AM31-AN60+AN61</f>
        <v>19821.09838285108</v>
      </c>
      <c r="AO31" s="33">
        <f>AN31-AO60+AO61</f>
        <v>19821.09838285108</v>
      </c>
      <c r="AP31" s="33">
        <f>AO31-AP60+AP61</f>
        <v>19821.09838285108</v>
      </c>
      <c r="AQ31" s="169">
        <f>AP31</f>
        <v>19821.09838285108</v>
      </c>
      <c r="AR31" s="33">
        <f>AP31-AR60+AR61</f>
        <v>19821.09838285108</v>
      </c>
      <c r="AS31" s="33">
        <f>AR31-AS60+AS61</f>
        <v>20321.09838285108</v>
      </c>
      <c r="AT31" s="33">
        <f>AS31-AT60+AT61</f>
        <v>20321.09838285108</v>
      </c>
      <c r="AU31" s="33">
        <f>AT31-AU60+AU61</f>
        <v>20321.09838285108</v>
      </c>
      <c r="AV31" s="169">
        <f>AU31</f>
        <v>20321.09838285108</v>
      </c>
    </row>
    <row r="32" spans="1:48" outlineLevel="1" x14ac:dyDescent="0.3">
      <c r="A32" s="161"/>
      <c r="B32" s="200" t="s">
        <v>238</v>
      </c>
      <c r="C32" s="207"/>
      <c r="D32" s="101">
        <v>0</v>
      </c>
      <c r="E32" s="101">
        <v>0</v>
      </c>
      <c r="F32" s="101">
        <v>0</v>
      </c>
      <c r="G32" s="101">
        <v>0</v>
      </c>
      <c r="H32" s="169">
        <f>G32</f>
        <v>0</v>
      </c>
      <c r="I32" s="101">
        <v>7711.7</v>
      </c>
      <c r="J32" s="101">
        <v>7650.4</v>
      </c>
      <c r="K32" s="101">
        <v>7653.6</v>
      </c>
      <c r="L32" s="101">
        <v>7661.7</v>
      </c>
      <c r="M32" s="169">
        <f>L32</f>
        <v>7661.7</v>
      </c>
      <c r="N32" s="101">
        <v>7754.5</v>
      </c>
      <c r="O32" s="101">
        <v>7577.7</v>
      </c>
      <c r="P32" s="101">
        <v>7597.8</v>
      </c>
      <c r="Q32" s="101">
        <v>7738</v>
      </c>
      <c r="R32" s="169">
        <f>Q32</f>
        <v>7738</v>
      </c>
      <c r="S32" s="101">
        <v>7708</v>
      </c>
      <c r="T32" s="101">
        <v>7668.5</v>
      </c>
      <c r="U32" s="101">
        <v>7554.4</v>
      </c>
      <c r="V32" s="33">
        <f>U32*0.996</f>
        <v>7524.1823999999997</v>
      </c>
      <c r="W32" s="169">
        <f>V32</f>
        <v>7524.1823999999997</v>
      </c>
      <c r="X32" s="33">
        <f>V32*0.996</f>
        <v>7494.0856703999998</v>
      </c>
      <c r="Y32" s="33">
        <f t="shared" ref="Y32:AA32" si="24">X32*0.996</f>
        <v>7464.1093277184</v>
      </c>
      <c r="Z32" s="33">
        <f t="shared" si="24"/>
        <v>7434.2528904075261</v>
      </c>
      <c r="AA32" s="33">
        <f t="shared" si="24"/>
        <v>7404.5158788458957</v>
      </c>
      <c r="AB32" s="169">
        <f>AA32</f>
        <v>7404.5158788458957</v>
      </c>
      <c r="AC32" s="33">
        <f>AA32*0.996</f>
        <v>7374.8978153305125</v>
      </c>
      <c r="AD32" s="33">
        <f t="shared" ref="AD32:AF32" si="25">AC32*0.996</f>
        <v>7345.3982240691903</v>
      </c>
      <c r="AE32" s="33">
        <f t="shared" si="25"/>
        <v>7316.0166311729135</v>
      </c>
      <c r="AF32" s="33">
        <f t="shared" si="25"/>
        <v>7286.7525646482218</v>
      </c>
      <c r="AG32" s="169">
        <f>AF32</f>
        <v>7286.7525646482218</v>
      </c>
      <c r="AH32" s="33">
        <f>AF32*0.996</f>
        <v>7257.6055543896291</v>
      </c>
      <c r="AI32" s="33">
        <f t="shared" ref="AI32:AK32" si="26">AH32*0.996</f>
        <v>7228.5751321720709</v>
      </c>
      <c r="AJ32" s="33">
        <f t="shared" si="26"/>
        <v>7199.6608316433822</v>
      </c>
      <c r="AK32" s="33">
        <f t="shared" si="26"/>
        <v>7170.8621883168089</v>
      </c>
      <c r="AL32" s="169">
        <f>AK32</f>
        <v>7170.8621883168089</v>
      </c>
      <c r="AM32" s="33">
        <f>AK32*0.996</f>
        <v>7142.178739563542</v>
      </c>
      <c r="AN32" s="33">
        <f t="shared" ref="AN32:AP32" si="27">AM32*0.996</f>
        <v>7113.6100246052874</v>
      </c>
      <c r="AO32" s="33">
        <f t="shared" si="27"/>
        <v>7085.155584506866</v>
      </c>
      <c r="AP32" s="33">
        <f t="shared" si="27"/>
        <v>7056.814962168839</v>
      </c>
      <c r="AQ32" s="169">
        <f>AP32</f>
        <v>7056.814962168839</v>
      </c>
      <c r="AR32" s="33">
        <f>AP32*0.996</f>
        <v>7028.5877023201638</v>
      </c>
      <c r="AS32" s="33">
        <f t="shared" ref="AS32:AU32" si="28">AR32*0.996</f>
        <v>7000.4733515108828</v>
      </c>
      <c r="AT32" s="33">
        <f t="shared" si="28"/>
        <v>6972.4714581048393</v>
      </c>
      <c r="AU32" s="33">
        <f t="shared" si="28"/>
        <v>6944.5815722724201</v>
      </c>
      <c r="AV32" s="169">
        <f>AU32</f>
        <v>6944.5815722724201</v>
      </c>
    </row>
    <row r="33" spans="1:48" outlineLevel="1" x14ac:dyDescent="0.3">
      <c r="A33" s="161"/>
      <c r="B33" s="200" t="s">
        <v>239</v>
      </c>
      <c r="C33" s="207"/>
      <c r="D33" s="101">
        <v>6823.7</v>
      </c>
      <c r="E33" s="101">
        <v>6761.9</v>
      </c>
      <c r="F33" s="101">
        <v>6717.9</v>
      </c>
      <c r="G33" s="101">
        <v>6744.4</v>
      </c>
      <c r="H33" s="169">
        <f>G33</f>
        <v>6744.4</v>
      </c>
      <c r="I33" s="101">
        <v>6748.8</v>
      </c>
      <c r="J33" s="101">
        <v>6685.5</v>
      </c>
      <c r="K33" s="101">
        <v>6642.6</v>
      </c>
      <c r="L33" s="101">
        <v>6598.5</v>
      </c>
      <c r="M33" s="169">
        <f>L33</f>
        <v>6598.5</v>
      </c>
      <c r="N33" s="101">
        <v>6597.7</v>
      </c>
      <c r="O33" s="101">
        <v>6532.1</v>
      </c>
      <c r="P33" s="101">
        <v>6491.4</v>
      </c>
      <c r="Q33" s="101">
        <v>6463</v>
      </c>
      <c r="R33" s="169">
        <f>Q33</f>
        <v>6463</v>
      </c>
      <c r="S33" s="101">
        <v>6447.7</v>
      </c>
      <c r="T33" s="101">
        <v>6381.9</v>
      </c>
      <c r="U33" s="101">
        <v>6333.1</v>
      </c>
      <c r="V33" s="33">
        <f>U33*0.995</f>
        <v>6301.4345000000003</v>
      </c>
      <c r="W33" s="169">
        <f>V33</f>
        <v>6301.4345000000003</v>
      </c>
      <c r="X33" s="33">
        <f>V33*0.995</f>
        <v>6269.9273275000005</v>
      </c>
      <c r="Y33" s="33">
        <f>X33*0.995</f>
        <v>6238.5776908625003</v>
      </c>
      <c r="Z33" s="33">
        <f>Y33*0.995</f>
        <v>6207.3848024081881</v>
      </c>
      <c r="AA33" s="33">
        <f>Z33*0.995</f>
        <v>6176.3478783961473</v>
      </c>
      <c r="AB33" s="169">
        <f>AA33</f>
        <v>6176.3478783961473</v>
      </c>
      <c r="AC33" s="33">
        <f>AA33*0.995</f>
        <v>6145.4661390041665</v>
      </c>
      <c r="AD33" s="33">
        <f>AC33*0.995</f>
        <v>6114.7388083091455</v>
      </c>
      <c r="AE33" s="33">
        <f>AD33*0.995</f>
        <v>6084.1651142676001</v>
      </c>
      <c r="AF33" s="33">
        <f>AE33*0.995</f>
        <v>6053.7442886962617</v>
      </c>
      <c r="AG33" s="169">
        <f>AF33</f>
        <v>6053.7442886962617</v>
      </c>
      <c r="AH33" s="33">
        <f>AF33*0.995</f>
        <v>6023.4755672527808</v>
      </c>
      <c r="AI33" s="33">
        <f>AH33*0.995</f>
        <v>5993.3581894165172</v>
      </c>
      <c r="AJ33" s="33">
        <f>AI33*0.995</f>
        <v>5963.3913984694345</v>
      </c>
      <c r="AK33" s="33">
        <f>AJ33*0.995</f>
        <v>5933.574441477087</v>
      </c>
      <c r="AL33" s="169">
        <f>AK33</f>
        <v>5933.574441477087</v>
      </c>
      <c r="AM33" s="33">
        <f>AK33*0.995</f>
        <v>5903.9065692697013</v>
      </c>
      <c r="AN33" s="33">
        <f>AM33*0.995</f>
        <v>5874.3870364233526</v>
      </c>
      <c r="AO33" s="33">
        <f>AN33*0.995</f>
        <v>5845.0151012412362</v>
      </c>
      <c r="AP33" s="33">
        <f>AO33*0.995</f>
        <v>5815.7900257350302</v>
      </c>
      <c r="AQ33" s="169">
        <f>AP33</f>
        <v>5815.7900257350302</v>
      </c>
      <c r="AR33" s="33">
        <f>AP33*0.995</f>
        <v>5786.7110756063548</v>
      </c>
      <c r="AS33" s="33">
        <f>AR33*0.995</f>
        <v>5757.7775202283228</v>
      </c>
      <c r="AT33" s="33">
        <f>AS33*0.995</f>
        <v>5728.9886326271808</v>
      </c>
      <c r="AU33" s="33">
        <f>AT33*0.995</f>
        <v>5700.3436894640445</v>
      </c>
      <c r="AV33" s="169">
        <f>AU33</f>
        <v>5700.3436894640445</v>
      </c>
    </row>
    <row r="34" spans="1:48" ht="15.75" customHeight="1" outlineLevel="1" x14ac:dyDescent="0.45">
      <c r="A34" s="161"/>
      <c r="B34" s="580" t="s">
        <v>240</v>
      </c>
      <c r="C34" s="581"/>
      <c r="D34" s="112">
        <v>1478.2</v>
      </c>
      <c r="E34" s="112">
        <v>1500.3</v>
      </c>
      <c r="F34" s="112">
        <v>1440.6</v>
      </c>
      <c r="G34" s="112">
        <v>1370.5</v>
      </c>
      <c r="H34" s="262">
        <f>G34</f>
        <v>1370.5</v>
      </c>
      <c r="I34" s="112">
        <v>701.2</v>
      </c>
      <c r="J34" s="112">
        <v>751.4</v>
      </c>
      <c r="K34" s="112">
        <v>821.1</v>
      </c>
      <c r="L34" s="112">
        <v>907.3</v>
      </c>
      <c r="M34" s="262">
        <f>L34</f>
        <v>907.3</v>
      </c>
      <c r="N34" s="112">
        <v>962.8</v>
      </c>
      <c r="O34" s="112">
        <v>774.8</v>
      </c>
      <c r="P34" s="112">
        <v>762.9</v>
      </c>
      <c r="Q34" s="112">
        <v>737.8</v>
      </c>
      <c r="R34" s="262">
        <f>Q34</f>
        <v>737.8</v>
      </c>
      <c r="S34" s="112">
        <v>621.1</v>
      </c>
      <c r="T34" s="112">
        <v>613.6</v>
      </c>
      <c r="U34" s="112">
        <v>594.4</v>
      </c>
      <c r="V34" s="32">
        <f>U34</f>
        <v>594.4</v>
      </c>
      <c r="W34" s="262">
        <f>V34</f>
        <v>594.4</v>
      </c>
      <c r="X34" s="32">
        <f>V34</f>
        <v>594.4</v>
      </c>
      <c r="Y34" s="32">
        <f>X34</f>
        <v>594.4</v>
      </c>
      <c r="Z34" s="32">
        <f>Y34</f>
        <v>594.4</v>
      </c>
      <c r="AA34" s="32">
        <f>Z34</f>
        <v>594.4</v>
      </c>
      <c r="AB34" s="262">
        <f>AA34</f>
        <v>594.4</v>
      </c>
      <c r="AC34" s="32">
        <f>AA34</f>
        <v>594.4</v>
      </c>
      <c r="AD34" s="32">
        <f>AC34</f>
        <v>594.4</v>
      </c>
      <c r="AE34" s="32">
        <f>AD34</f>
        <v>594.4</v>
      </c>
      <c r="AF34" s="32">
        <f>AE34</f>
        <v>594.4</v>
      </c>
      <c r="AG34" s="262">
        <f>AF34</f>
        <v>594.4</v>
      </c>
      <c r="AH34" s="32">
        <f>AF34</f>
        <v>594.4</v>
      </c>
      <c r="AI34" s="32">
        <f>AH34</f>
        <v>594.4</v>
      </c>
      <c r="AJ34" s="32">
        <f>AI34</f>
        <v>594.4</v>
      </c>
      <c r="AK34" s="32">
        <f>AJ34</f>
        <v>594.4</v>
      </c>
      <c r="AL34" s="262">
        <f>AK34</f>
        <v>594.4</v>
      </c>
      <c r="AM34" s="32">
        <f>AK34</f>
        <v>594.4</v>
      </c>
      <c r="AN34" s="32">
        <f>AM34</f>
        <v>594.4</v>
      </c>
      <c r="AO34" s="32">
        <f>AN34</f>
        <v>594.4</v>
      </c>
      <c r="AP34" s="32">
        <f>AO34</f>
        <v>594.4</v>
      </c>
      <c r="AQ34" s="262">
        <f>AP34</f>
        <v>594.4</v>
      </c>
      <c r="AR34" s="32">
        <f>AP34</f>
        <v>594.4</v>
      </c>
      <c r="AS34" s="32">
        <f>AR34</f>
        <v>594.4</v>
      </c>
      <c r="AT34" s="32">
        <f>AS34</f>
        <v>594.4</v>
      </c>
      <c r="AU34" s="32">
        <f>AT34</f>
        <v>594.4</v>
      </c>
      <c r="AV34" s="262">
        <f>AU34</f>
        <v>594.4</v>
      </c>
    </row>
    <row r="35" spans="1:48" outlineLevel="1" x14ac:dyDescent="0.3">
      <c r="A35" s="161"/>
      <c r="B35" s="619" t="s">
        <v>241</v>
      </c>
      <c r="C35" s="620"/>
      <c r="D35" s="116">
        <f t="shared" ref="D35:AV35" si="29">SUM(D30:D34)</f>
        <v>22860.100000000002</v>
      </c>
      <c r="E35" s="116">
        <f t="shared" si="29"/>
        <v>22677.1</v>
      </c>
      <c r="F35" s="116">
        <f t="shared" si="29"/>
        <v>25213.4</v>
      </c>
      <c r="G35" s="116">
        <f t="shared" si="29"/>
        <v>25450.6</v>
      </c>
      <c r="H35" s="150">
        <f t="shared" si="29"/>
        <v>25450.6</v>
      </c>
      <c r="I35" s="116">
        <f t="shared" si="29"/>
        <v>34490.400000000001</v>
      </c>
      <c r="J35" s="116">
        <f t="shared" si="29"/>
        <v>35011.800000000003</v>
      </c>
      <c r="K35" s="116">
        <f t="shared" si="29"/>
        <v>37764.899999999994</v>
      </c>
      <c r="L35" s="116">
        <f t="shared" si="29"/>
        <v>37173.900000000009</v>
      </c>
      <c r="M35" s="150">
        <f t="shared" si="29"/>
        <v>37173.900000000009</v>
      </c>
      <c r="N35" s="116">
        <f t="shared" si="29"/>
        <v>37872.400000000001</v>
      </c>
      <c r="O35" s="116">
        <f t="shared" si="29"/>
        <v>36020</v>
      </c>
      <c r="P35" s="116">
        <f t="shared" si="29"/>
        <v>36271.1</v>
      </c>
      <c r="Q35" s="116">
        <f t="shared" si="29"/>
        <v>36707.100000000006</v>
      </c>
      <c r="R35" s="150">
        <f t="shared" si="29"/>
        <v>36707.100000000006</v>
      </c>
      <c r="S35" s="116">
        <f t="shared" si="29"/>
        <v>37284.199999999997</v>
      </c>
      <c r="T35" s="116">
        <f t="shared" si="29"/>
        <v>37782.699999999997</v>
      </c>
      <c r="U35" s="116">
        <f t="shared" si="29"/>
        <v>36815.1</v>
      </c>
      <c r="V35" s="116">
        <f t="shared" si="29"/>
        <v>36420.379834544212</v>
      </c>
      <c r="W35" s="150">
        <f t="shared" si="29"/>
        <v>36420.379834544212</v>
      </c>
      <c r="X35" s="116">
        <f t="shared" si="29"/>
        <v>36890.681934141037</v>
      </c>
      <c r="Y35" s="116">
        <f t="shared" si="29"/>
        <v>36488.077083923839</v>
      </c>
      <c r="Z35" s="116">
        <f t="shared" si="29"/>
        <v>36633.376213922056</v>
      </c>
      <c r="AA35" s="116">
        <f t="shared" si="29"/>
        <v>36399.883061350702</v>
      </c>
      <c r="AB35" s="150">
        <f t="shared" si="29"/>
        <v>36399.883061350702</v>
      </c>
      <c r="AC35" s="116">
        <f t="shared" si="29"/>
        <v>36946.055524797943</v>
      </c>
      <c r="AD35" s="116">
        <f t="shared" si="29"/>
        <v>36508.168333634538</v>
      </c>
      <c r="AE35" s="116">
        <f t="shared" si="29"/>
        <v>36646.043998056179</v>
      </c>
      <c r="AF35" s="116">
        <f t="shared" si="29"/>
        <v>36572.913212558669</v>
      </c>
      <c r="AG35" s="150">
        <f t="shared" si="29"/>
        <v>36572.913212558669</v>
      </c>
      <c r="AH35" s="116">
        <f t="shared" si="29"/>
        <v>37147.976022098243</v>
      </c>
      <c r="AI35" s="116">
        <f t="shared" si="29"/>
        <v>36688.580700883336</v>
      </c>
      <c r="AJ35" s="116">
        <f t="shared" si="29"/>
        <v>42162.557024439855</v>
      </c>
      <c r="AK35" s="116">
        <f t="shared" si="29"/>
        <v>41975.514713570119</v>
      </c>
      <c r="AL35" s="150">
        <f t="shared" si="29"/>
        <v>41975.514713570119</v>
      </c>
      <c r="AM35" s="116">
        <f t="shared" si="29"/>
        <v>42563.775053844372</v>
      </c>
      <c r="AN35" s="116">
        <f t="shared" si="29"/>
        <v>42051.561626756913</v>
      </c>
      <c r="AO35" s="116">
        <f t="shared" si="29"/>
        <v>42246.912523074163</v>
      </c>
      <c r="AP35" s="116">
        <f t="shared" si="29"/>
        <v>42051.559425562744</v>
      </c>
      <c r="AQ35" s="150">
        <f t="shared" si="29"/>
        <v>42051.559425562744</v>
      </c>
      <c r="AR35" s="116">
        <f t="shared" si="29"/>
        <v>42671.425923750234</v>
      </c>
      <c r="AS35" s="116">
        <f t="shared" si="29"/>
        <v>42123.505934022309</v>
      </c>
      <c r="AT35" s="116">
        <f t="shared" si="29"/>
        <v>42326.399989681413</v>
      </c>
      <c r="AU35" s="116">
        <f t="shared" si="29"/>
        <v>42128.167949796181</v>
      </c>
      <c r="AV35" s="150">
        <f t="shared" si="29"/>
        <v>42128.167949796181</v>
      </c>
    </row>
    <row r="36" spans="1:48" ht="17.399999999999999" x14ac:dyDescent="0.45">
      <c r="B36" s="583" t="s">
        <v>242</v>
      </c>
      <c r="C36" s="584"/>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263" t="s">
        <v>25</v>
      </c>
      <c r="W36" s="264" t="s">
        <v>26</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580" t="s">
        <v>243</v>
      </c>
      <c r="C37" s="581"/>
      <c r="D37" s="16">
        <f>1.2+41.1</f>
        <v>42.300000000000004</v>
      </c>
      <c r="E37" s="16">
        <f>1.2+41.1</f>
        <v>42.300000000000004</v>
      </c>
      <c r="F37" s="16">
        <f>1.2+41.1</f>
        <v>42.300000000000004</v>
      </c>
      <c r="G37" s="16">
        <f>1.2+41.1</f>
        <v>42.300000000000004</v>
      </c>
      <c r="H37" s="17">
        <f>G37</f>
        <v>42.300000000000004</v>
      </c>
      <c r="I37" s="16">
        <f>1.2+41.1</f>
        <v>42.300000000000004</v>
      </c>
      <c r="J37" s="16">
        <f>1.2+41.1</f>
        <v>42.300000000000004</v>
      </c>
      <c r="K37" s="16">
        <f>1.2+115.4</f>
        <v>116.60000000000001</v>
      </c>
      <c r="L37" s="16">
        <f>1.2+373.9</f>
        <v>375.09999999999997</v>
      </c>
      <c r="M37" s="17">
        <f>L37</f>
        <v>375.09999999999997</v>
      </c>
      <c r="N37" s="16">
        <f>1.2+488.6</f>
        <v>489.8</v>
      </c>
      <c r="O37" s="16">
        <f>1.2+595.4</f>
        <v>596.6</v>
      </c>
      <c r="P37" s="16">
        <f>1.2+729.3</f>
        <v>730.5</v>
      </c>
      <c r="Q37" s="16">
        <f>1.2+846.1</f>
        <v>847.30000000000007</v>
      </c>
      <c r="R37" s="17">
        <f>Q37</f>
        <v>847.30000000000007</v>
      </c>
      <c r="S37" s="16">
        <f>1.2+41.1</f>
        <v>42.300000000000004</v>
      </c>
      <c r="T37" s="16">
        <f>1.1+41.1</f>
        <v>42.2</v>
      </c>
      <c r="U37" s="16">
        <f>1.1+117.1</f>
        <v>118.19999999999999</v>
      </c>
      <c r="V37" s="16">
        <f>+U37+'CFS 3Q2022'!V12+'CFS 3Q2022'!V35</f>
        <v>186.45820954892966</v>
      </c>
      <c r="W37" s="17">
        <f>V37</f>
        <v>186.45820954892966</v>
      </c>
      <c r="X37" s="16">
        <f>+V37+'CFS 3Q2022'!X12+'CFS 3Q2022'!X35</f>
        <v>259.14171867776389</v>
      </c>
      <c r="Y37" s="16">
        <f>+X37+'CFS 3Q2022'!Y12+'CFS 3Q2022'!Y35</f>
        <v>322.75017283030621</v>
      </c>
      <c r="Z37" s="16">
        <f>+Y37+'CFS 3Q2022'!Z12+'CFS 3Q2022'!Z35</f>
        <v>394.14182003442488</v>
      </c>
      <c r="AA37" s="16">
        <f>+Z37+'CFS 3Q2022'!AA12+'CFS 3Q2022'!AA35</f>
        <v>469.25798289260689</v>
      </c>
      <c r="AB37" s="17">
        <f>AA37</f>
        <v>469.25798289260689</v>
      </c>
      <c r="AC37" s="16">
        <f>+AA37+'CFS 3Q2022'!AC12+'CFS 3Q2022'!AC35</f>
        <v>546.47474132521199</v>
      </c>
      <c r="AD37" s="16">
        <f>+AC37+'CFS 3Q2022'!AD12+'CFS 3Q2022'!AD35</f>
        <v>618.4349244661995</v>
      </c>
      <c r="AE37" s="16">
        <f>+AD37+'CFS 3Q2022'!AE12+'CFS 3Q2022'!AE35</f>
        <v>697.90524446016502</v>
      </c>
      <c r="AF37" s="16">
        <f>+AE37+'CFS 3Q2022'!AF12+'CFS 3Q2022'!AF35</f>
        <v>779.70673807855428</v>
      </c>
      <c r="AG37" s="17">
        <f>AF37</f>
        <v>779.70673807855428</v>
      </c>
      <c r="AH37" s="16">
        <f>+AF37+'CFS 3Q2022'!AH12+'CFS 3Q2022'!AH35</f>
        <v>865.29467419792604</v>
      </c>
      <c r="AI37" s="16">
        <f>+AH37+'CFS 3Q2022'!AI12+'CFS 3Q2022'!AI35</f>
        <v>946.02848500918537</v>
      </c>
      <c r="AJ37" s="16">
        <f>+AI37+'CFS 3Q2022'!AJ12+'CFS 3Q2022'!AJ35</f>
        <v>1034.7182494358842</v>
      </c>
      <c r="AK37" s="16">
        <f>+AJ37+'CFS 3Q2022'!AK12+'CFS 3Q2022'!AK35</f>
        <v>1125.9054042884197</v>
      </c>
      <c r="AL37" s="17">
        <f>AK37</f>
        <v>1125.9054042884197</v>
      </c>
      <c r="AM37" s="16">
        <f>+AK37+'CFS 3Q2022'!AM12+'CFS 3Q2022'!AM35</f>
        <v>1220.0365894615813</v>
      </c>
      <c r="AN37" s="16">
        <f>+AM37+'CFS 3Q2022'!AN12+'CFS 3Q2022'!AN35</f>
        <v>1308.5096358032915</v>
      </c>
      <c r="AO37" s="16">
        <f>+AN37+'CFS 3Q2022'!AO12+'CFS 3Q2022'!AO35</f>
        <v>1405.2132203072395</v>
      </c>
      <c r="AP37" s="16">
        <f>+AO37+'CFS 3Q2022'!AP12+'CFS 3Q2022'!AP35</f>
        <v>1504.3172772593048</v>
      </c>
      <c r="AQ37" s="17">
        <f>AP37</f>
        <v>1504.3172772593048</v>
      </c>
      <c r="AR37" s="16">
        <f>+AP37+'CFS 3Q2022'!AR12+'CFS 3Q2022'!AR35</f>
        <v>1604.5801209780989</v>
      </c>
      <c r="AS37" s="16">
        <f>+AR37+'CFS 3Q2022'!AS12+'CFS 3Q2022'!AS35</f>
        <v>1698.7565742635986</v>
      </c>
      <c r="AT37" s="16">
        <f>+AS37+'CFS 3Q2022'!AT12+'CFS 3Q2022'!AT35</f>
        <v>1801.6462542996449</v>
      </c>
      <c r="AU37" s="16">
        <f>+AT37+'CFS 3Q2022'!AU12+'CFS 3Q2022'!AU35</f>
        <v>1907.1219524367916</v>
      </c>
      <c r="AV37" s="17">
        <f>AU37</f>
        <v>1907.1219524367916</v>
      </c>
    </row>
    <row r="38" spans="1:48" outlineLevel="1" x14ac:dyDescent="0.3">
      <c r="B38" s="621" t="s">
        <v>244</v>
      </c>
      <c r="C38" s="622"/>
      <c r="D38" s="16">
        <v>-2584</v>
      </c>
      <c r="E38" s="101">
        <v>-4807.7</v>
      </c>
      <c r="F38" s="101">
        <v>-4013.9</v>
      </c>
      <c r="G38" s="101">
        <v>-5771.2</v>
      </c>
      <c r="H38" s="169">
        <f>G38</f>
        <v>-5771.2</v>
      </c>
      <c r="I38" s="101">
        <v>-6414.8</v>
      </c>
      <c r="J38" s="101">
        <v>-7050.6</v>
      </c>
      <c r="K38" s="101">
        <v>-8208.2999999999993</v>
      </c>
      <c r="L38" s="101">
        <v>-7815.6</v>
      </c>
      <c r="M38" s="169">
        <f>L38</f>
        <v>-7815.6</v>
      </c>
      <c r="N38" s="101">
        <v>-8253.6</v>
      </c>
      <c r="O38" s="101">
        <v>-8124.3</v>
      </c>
      <c r="P38" s="101">
        <v>-7501.6</v>
      </c>
      <c r="Q38" s="101">
        <v>-6315.7</v>
      </c>
      <c r="R38" s="169">
        <f>Q38</f>
        <v>-6315.7</v>
      </c>
      <c r="S38" s="101">
        <v>-8753</v>
      </c>
      <c r="T38" s="101">
        <v>-9070.5</v>
      </c>
      <c r="U38" s="101">
        <v>-8719.7000000000007</v>
      </c>
      <c r="V38" s="101">
        <f>U38+'CFS 3Q2022'!V6+'CFS 3Q2022'!V33+'CFS 3Q2022'!V34</f>
        <v>-8544.5597585978667</v>
      </c>
      <c r="W38" s="169">
        <f>V38</f>
        <v>-8544.5597585978667</v>
      </c>
      <c r="X38" s="101">
        <f>V38+'CFS 3Q2022'!X6+'CFS 3Q2022'!X33+'CFS 3Q2022'!X34</f>
        <v>-8330.5283028726026</v>
      </c>
      <c r="Y38" s="101">
        <f>X38+'CFS 3Q2022'!Y6+'CFS 3Q2022'!Y33+'CFS 3Q2022'!Y34</f>
        <v>-8138.3200640137202</v>
      </c>
      <c r="Z38" s="101">
        <f>Y38+'CFS 3Q2022'!Z6+'CFS 3Q2022'!Z33+'CFS 3Q2022'!Z34</f>
        <v>-7719.5795618038355</v>
      </c>
      <c r="AA38" s="101">
        <f>Z38+'CFS 3Q2022'!AA6+'CFS 3Q2022'!AA33+'CFS 3Q2022'!AA34</f>
        <v>-7263.3117074142547</v>
      </c>
      <c r="AB38" s="169">
        <f>AA38</f>
        <v>-7263.3117074142547</v>
      </c>
      <c r="AC38" s="101">
        <f>AA38+'CFS 3Q2022'!AC6+'CFS 3Q2022'!AC33+'CFS 3Q2022'!AC34</f>
        <v>-6745.99993080476</v>
      </c>
      <c r="AD38" s="101">
        <f>AC38+'CFS 3Q2022'!AD6+'CFS 3Q2022'!AD33+'CFS 3Q2022'!AD34</f>
        <v>-6425.5475532177607</v>
      </c>
      <c r="AE38" s="101">
        <f>AD38+'CFS 3Q2022'!AE6+'CFS 3Q2022'!AE33+'CFS 3Q2022'!AE34</f>
        <v>-5980.4430972711452</v>
      </c>
      <c r="AF38" s="101">
        <f>AE38+'CFS 3Q2022'!AF6+'CFS 3Q2022'!AF33+'CFS 3Q2022'!AF34</f>
        <v>-5580.3510850108341</v>
      </c>
      <c r="AG38" s="169">
        <f>AF38</f>
        <v>-5580.3510850108341</v>
      </c>
      <c r="AH38" s="101">
        <f>AF38+'CFS 3Q2022'!AH6+'CFS 3Q2022'!AH33+'CFS 3Q2022'!AH34</f>
        <v>-5000.5147469520643</v>
      </c>
      <c r="AI38" s="101">
        <f>AH38+'CFS 3Q2022'!AI6+'CFS 3Q2022'!AI33+'CFS 3Q2022'!AI34</f>
        <v>-4637.8257347279014</v>
      </c>
      <c r="AJ38" s="101">
        <f>AI38+'CFS 3Q2022'!AJ6+'CFS 3Q2022'!AJ33+'CFS 3Q2022'!AJ34</f>
        <v>-9057.3979466439541</v>
      </c>
      <c r="AK38" s="101">
        <f>AJ38+'CFS 3Q2022'!AK6+'CFS 3Q2022'!AK33+'CFS 3Q2022'!AK34</f>
        <v>-13602.940365036307</v>
      </c>
      <c r="AL38" s="169">
        <f>AK38</f>
        <v>-13602.940365036307</v>
      </c>
      <c r="AM38" s="101">
        <f>AK38+'CFS 3Q2022'!AM6+'CFS 3Q2022'!AM33+'CFS 3Q2022'!AM34</f>
        <v>-13103.628861675912</v>
      </c>
      <c r="AN38" s="101">
        <f>AM38+'CFS 3Q2022'!AN6+'CFS 3Q2022'!AN33+'CFS 3Q2022'!AN34</f>
        <v>-12850.834573624603</v>
      </c>
      <c r="AO38" s="101">
        <f>AN38+'CFS 3Q2022'!AO6+'CFS 3Q2022'!AO33+'CFS 3Q2022'!AO34</f>
        <v>-12251.904316226672</v>
      </c>
      <c r="AP38" s="101">
        <f>AO38+'CFS 3Q2022'!AP6+'CFS 3Q2022'!AP33+'CFS 3Q2022'!AP34</f>
        <v>-11730.337706687566</v>
      </c>
      <c r="AQ38" s="169">
        <f>AP38</f>
        <v>-11730.337706687566</v>
      </c>
      <c r="AR38" s="101">
        <f>AP38+'CFS 3Q2022'!AR6+'CFS 3Q2022'!AR33+'CFS 3Q2022'!AR34</f>
        <v>-11108.296328505026</v>
      </c>
      <c r="AS38" s="101">
        <f>AR38+'CFS 3Q2022'!AS6+'CFS 3Q2022'!AS33+'CFS 3Q2022'!AS34</f>
        <v>-10747.293875603475</v>
      </c>
      <c r="AT38" s="101">
        <f>AS38+'CFS 3Q2022'!AT6+'CFS 3Q2022'!AT33+'CFS 3Q2022'!AT34</f>
        <v>-10044.90226716673</v>
      </c>
      <c r="AU38" s="101">
        <f>AT38+'CFS 3Q2022'!AU6+'CFS 3Q2022'!AU33+'CFS 3Q2022'!AU34</f>
        <v>-9428.1990342846584</v>
      </c>
      <c r="AV38" s="169">
        <f>AU38</f>
        <v>-9428.1990342846584</v>
      </c>
    </row>
    <row r="39" spans="1:48" outlineLevel="1" x14ac:dyDescent="0.3">
      <c r="B39" s="621" t="s">
        <v>245</v>
      </c>
      <c r="C39" s="622"/>
      <c r="D39" s="16">
        <v>-343.2</v>
      </c>
      <c r="E39" s="102">
        <v>-271.5</v>
      </c>
      <c r="F39" s="101">
        <v>-349</v>
      </c>
      <c r="G39" s="101">
        <v>-503.3</v>
      </c>
      <c r="H39" s="169">
        <f>+G39</f>
        <v>-503.3</v>
      </c>
      <c r="I39" s="101">
        <v>-387.4</v>
      </c>
      <c r="J39" s="101">
        <v>-521.79999999999995</v>
      </c>
      <c r="K39" s="101">
        <v>-529.9</v>
      </c>
      <c r="L39" s="101">
        <v>-364.6</v>
      </c>
      <c r="M39" s="169">
        <f>+L39</f>
        <v>-364.6</v>
      </c>
      <c r="N39" s="101">
        <v>-145.9</v>
      </c>
      <c r="O39" s="101">
        <v>-126.3</v>
      </c>
      <c r="P39" s="101">
        <v>-29.7</v>
      </c>
      <c r="Q39" s="101">
        <v>147.19999999999999</v>
      </c>
      <c r="R39" s="169">
        <f>+Q39</f>
        <v>147.19999999999999</v>
      </c>
      <c r="S39" s="101">
        <v>253.5</v>
      </c>
      <c r="T39" s="101">
        <v>260.3</v>
      </c>
      <c r="U39" s="101">
        <v>-65</v>
      </c>
      <c r="V39" s="101">
        <f t="shared" ref="V39:W40" si="30">+U39</f>
        <v>-65</v>
      </c>
      <c r="W39" s="169">
        <f t="shared" si="30"/>
        <v>-65</v>
      </c>
      <c r="X39" s="101">
        <f>+V39</f>
        <v>-65</v>
      </c>
      <c r="Y39" s="101">
        <f t="shared" ref="Y39:AB40" si="31">+X39</f>
        <v>-65</v>
      </c>
      <c r="Z39" s="101">
        <f t="shared" si="31"/>
        <v>-65</v>
      </c>
      <c r="AA39" s="101">
        <f t="shared" si="31"/>
        <v>-65</v>
      </c>
      <c r="AB39" s="169">
        <f t="shared" si="31"/>
        <v>-65</v>
      </c>
      <c r="AC39" s="101">
        <f>+AA39</f>
        <v>-65</v>
      </c>
      <c r="AD39" s="101">
        <f t="shared" ref="AD39:AG40" si="32">+AC39</f>
        <v>-65</v>
      </c>
      <c r="AE39" s="101">
        <f t="shared" si="32"/>
        <v>-65</v>
      </c>
      <c r="AF39" s="101">
        <f t="shared" si="32"/>
        <v>-65</v>
      </c>
      <c r="AG39" s="169">
        <f t="shared" si="32"/>
        <v>-65</v>
      </c>
      <c r="AH39" s="101">
        <f>+AF39</f>
        <v>-65</v>
      </c>
      <c r="AI39" s="101">
        <f t="shared" ref="AI39:AL40" si="33">+AH39</f>
        <v>-65</v>
      </c>
      <c r="AJ39" s="101">
        <f t="shared" si="33"/>
        <v>-65</v>
      </c>
      <c r="AK39" s="101">
        <f t="shared" si="33"/>
        <v>-65</v>
      </c>
      <c r="AL39" s="169">
        <f t="shared" si="33"/>
        <v>-65</v>
      </c>
      <c r="AM39" s="101">
        <f>+AK39</f>
        <v>-65</v>
      </c>
      <c r="AN39" s="101">
        <f t="shared" ref="AN39:AQ40" si="34">+AM39</f>
        <v>-65</v>
      </c>
      <c r="AO39" s="101">
        <f t="shared" si="34"/>
        <v>-65</v>
      </c>
      <c r="AP39" s="101">
        <f t="shared" si="34"/>
        <v>-65</v>
      </c>
      <c r="AQ39" s="169">
        <f t="shared" si="34"/>
        <v>-65</v>
      </c>
      <c r="AR39" s="101">
        <f>+AP39</f>
        <v>-65</v>
      </c>
      <c r="AS39" s="101">
        <f t="shared" ref="AS39:AV40" si="35">+AR39</f>
        <v>-65</v>
      </c>
      <c r="AT39" s="101">
        <f t="shared" si="35"/>
        <v>-65</v>
      </c>
      <c r="AU39" s="101">
        <f t="shared" si="35"/>
        <v>-65</v>
      </c>
      <c r="AV39" s="169">
        <f t="shared" si="35"/>
        <v>-65</v>
      </c>
    </row>
    <row r="40" spans="1:48" ht="16.2" outlineLevel="1" x14ac:dyDescent="0.45">
      <c r="B40" s="265" t="s">
        <v>246</v>
      </c>
      <c r="C40" s="266"/>
      <c r="D40" s="260">
        <v>6.1</v>
      </c>
      <c r="E40" s="112">
        <v>1.7</v>
      </c>
      <c r="F40" s="112">
        <v>1.6</v>
      </c>
      <c r="G40" s="112">
        <v>1.2</v>
      </c>
      <c r="H40" s="261">
        <f>+G40</f>
        <v>1.2</v>
      </c>
      <c r="I40" s="112">
        <v>0.8</v>
      </c>
      <c r="J40" s="112">
        <v>-2.8</v>
      </c>
      <c r="K40" s="112">
        <v>-2.7</v>
      </c>
      <c r="L40" s="112">
        <v>5.7</v>
      </c>
      <c r="M40" s="262">
        <f>+L40</f>
        <v>5.7</v>
      </c>
      <c r="N40" s="112">
        <v>5.7</v>
      </c>
      <c r="O40" s="112">
        <v>5.7</v>
      </c>
      <c r="P40" s="112">
        <v>6.5</v>
      </c>
      <c r="Q40" s="112">
        <v>6.7</v>
      </c>
      <c r="R40" s="262">
        <f>+Q40</f>
        <v>6.7</v>
      </c>
      <c r="S40" s="112">
        <v>6.9</v>
      </c>
      <c r="T40" s="112">
        <v>6.8</v>
      </c>
      <c r="U40" s="112">
        <v>7.6</v>
      </c>
      <c r="V40" s="112">
        <f t="shared" si="30"/>
        <v>7.6</v>
      </c>
      <c r="W40" s="262">
        <f t="shared" si="30"/>
        <v>7.6</v>
      </c>
      <c r="X40" s="112">
        <f>+V40</f>
        <v>7.6</v>
      </c>
      <c r="Y40" s="112">
        <f t="shared" si="31"/>
        <v>7.6</v>
      </c>
      <c r="Z40" s="112">
        <f t="shared" si="31"/>
        <v>7.6</v>
      </c>
      <c r="AA40" s="112">
        <f t="shared" si="31"/>
        <v>7.6</v>
      </c>
      <c r="AB40" s="262">
        <f t="shared" si="31"/>
        <v>7.6</v>
      </c>
      <c r="AC40" s="112">
        <f>+AA40</f>
        <v>7.6</v>
      </c>
      <c r="AD40" s="112">
        <f t="shared" si="32"/>
        <v>7.6</v>
      </c>
      <c r="AE40" s="112">
        <f t="shared" si="32"/>
        <v>7.6</v>
      </c>
      <c r="AF40" s="112">
        <f t="shared" si="32"/>
        <v>7.6</v>
      </c>
      <c r="AG40" s="262">
        <f t="shared" si="32"/>
        <v>7.6</v>
      </c>
      <c r="AH40" s="112">
        <f>+AF40</f>
        <v>7.6</v>
      </c>
      <c r="AI40" s="112">
        <f t="shared" si="33"/>
        <v>7.6</v>
      </c>
      <c r="AJ40" s="112">
        <f t="shared" si="33"/>
        <v>7.6</v>
      </c>
      <c r="AK40" s="112">
        <f t="shared" si="33"/>
        <v>7.6</v>
      </c>
      <c r="AL40" s="262">
        <f t="shared" si="33"/>
        <v>7.6</v>
      </c>
      <c r="AM40" s="112">
        <f>+AK40</f>
        <v>7.6</v>
      </c>
      <c r="AN40" s="112">
        <f t="shared" si="34"/>
        <v>7.6</v>
      </c>
      <c r="AO40" s="112">
        <f t="shared" si="34"/>
        <v>7.6</v>
      </c>
      <c r="AP40" s="112">
        <f t="shared" si="34"/>
        <v>7.6</v>
      </c>
      <c r="AQ40" s="262">
        <f t="shared" si="34"/>
        <v>7.6</v>
      </c>
      <c r="AR40" s="112">
        <f>+AP40</f>
        <v>7.6</v>
      </c>
      <c r="AS40" s="112">
        <f t="shared" si="35"/>
        <v>7.6</v>
      </c>
      <c r="AT40" s="112">
        <f t="shared" si="35"/>
        <v>7.6</v>
      </c>
      <c r="AU40" s="112">
        <f t="shared" si="35"/>
        <v>7.6</v>
      </c>
      <c r="AV40" s="262">
        <f t="shared" si="35"/>
        <v>7.6</v>
      </c>
    </row>
    <row r="41" spans="1:48" outlineLevel="1" x14ac:dyDescent="0.3">
      <c r="B41" s="619" t="s">
        <v>247</v>
      </c>
      <c r="C41" s="620"/>
      <c r="D41" s="21">
        <f t="shared" ref="D41:AV41" si="36">SUM(D37:D40)</f>
        <v>-2878.7999999999997</v>
      </c>
      <c r="E41" s="21">
        <f t="shared" si="36"/>
        <v>-5035.2</v>
      </c>
      <c r="F41" s="21">
        <f t="shared" si="36"/>
        <v>-4319</v>
      </c>
      <c r="G41" s="21">
        <f t="shared" si="36"/>
        <v>-6231</v>
      </c>
      <c r="H41" s="22">
        <f t="shared" si="36"/>
        <v>-6231</v>
      </c>
      <c r="I41" s="21">
        <f t="shared" si="36"/>
        <v>-6759.0999999999995</v>
      </c>
      <c r="J41" s="21">
        <f t="shared" si="36"/>
        <v>-7532.9000000000005</v>
      </c>
      <c r="K41" s="21">
        <f t="shared" si="36"/>
        <v>-8624.2999999999993</v>
      </c>
      <c r="L41" s="21">
        <f t="shared" si="36"/>
        <v>-7799.4000000000005</v>
      </c>
      <c r="M41" s="22">
        <f t="shared" si="36"/>
        <v>-7799.4000000000005</v>
      </c>
      <c r="N41" s="21">
        <f t="shared" si="36"/>
        <v>-7904</v>
      </c>
      <c r="O41" s="21">
        <f t="shared" si="36"/>
        <v>-7648.3</v>
      </c>
      <c r="P41" s="21">
        <f t="shared" si="36"/>
        <v>-6794.3</v>
      </c>
      <c r="Q41" s="21">
        <f t="shared" si="36"/>
        <v>-5314.5</v>
      </c>
      <c r="R41" s="22">
        <f t="shared" si="36"/>
        <v>-5314.5</v>
      </c>
      <c r="S41" s="21">
        <f t="shared" si="36"/>
        <v>-8450.3000000000011</v>
      </c>
      <c r="T41" s="21">
        <f t="shared" si="36"/>
        <v>-8761.2000000000007</v>
      </c>
      <c r="U41" s="21">
        <f t="shared" si="36"/>
        <v>-8658.9</v>
      </c>
      <c r="V41" s="21">
        <f t="shared" si="36"/>
        <v>-8415.5015490489368</v>
      </c>
      <c r="W41" s="22">
        <f t="shared" si="36"/>
        <v>-8415.5015490489368</v>
      </c>
      <c r="X41" s="21">
        <f t="shared" si="36"/>
        <v>-8128.7865841948387</v>
      </c>
      <c r="Y41" s="21">
        <f t="shared" si="36"/>
        <v>-7872.9698911834139</v>
      </c>
      <c r="Z41" s="21">
        <f t="shared" si="36"/>
        <v>-7382.8377417694101</v>
      </c>
      <c r="AA41" s="21">
        <f t="shared" si="36"/>
        <v>-6851.453724521647</v>
      </c>
      <c r="AB41" s="22">
        <f t="shared" si="36"/>
        <v>-6851.453724521647</v>
      </c>
      <c r="AC41" s="21">
        <f t="shared" si="36"/>
        <v>-6256.925189479548</v>
      </c>
      <c r="AD41" s="21">
        <f t="shared" si="36"/>
        <v>-5864.5126287515604</v>
      </c>
      <c r="AE41" s="21">
        <f t="shared" si="36"/>
        <v>-5339.9378528109801</v>
      </c>
      <c r="AF41" s="21">
        <f t="shared" si="36"/>
        <v>-4858.04434693228</v>
      </c>
      <c r="AG41" s="22">
        <f t="shared" si="36"/>
        <v>-4858.04434693228</v>
      </c>
      <c r="AH41" s="21">
        <f t="shared" si="36"/>
        <v>-4192.6200727541382</v>
      </c>
      <c r="AI41" s="21">
        <f t="shared" si="36"/>
        <v>-3749.1972497187162</v>
      </c>
      <c r="AJ41" s="21">
        <f t="shared" si="36"/>
        <v>-8080.0796972080698</v>
      </c>
      <c r="AK41" s="21">
        <f t="shared" si="36"/>
        <v>-12534.434960747887</v>
      </c>
      <c r="AL41" s="22">
        <f t="shared" si="36"/>
        <v>-12534.434960747887</v>
      </c>
      <c r="AM41" s="21">
        <f t="shared" si="36"/>
        <v>-11940.992272214331</v>
      </c>
      <c r="AN41" s="21">
        <f t="shared" si="36"/>
        <v>-11599.724937821311</v>
      </c>
      <c r="AO41" s="21">
        <f t="shared" si="36"/>
        <v>-10904.091095919432</v>
      </c>
      <c r="AP41" s="21">
        <f t="shared" si="36"/>
        <v>-10283.420429428261</v>
      </c>
      <c r="AQ41" s="22">
        <f t="shared" si="36"/>
        <v>-10283.420429428261</v>
      </c>
      <c r="AR41" s="21">
        <f t="shared" si="36"/>
        <v>-9561.1162075269276</v>
      </c>
      <c r="AS41" s="21">
        <f t="shared" si="36"/>
        <v>-9105.9373013398763</v>
      </c>
      <c r="AT41" s="21">
        <f t="shared" si="36"/>
        <v>-8300.6560128670844</v>
      </c>
      <c r="AU41" s="21">
        <f t="shared" si="36"/>
        <v>-7578.4770818478664</v>
      </c>
      <c r="AV41" s="22">
        <f t="shared" si="36"/>
        <v>-7578.4770818478664</v>
      </c>
    </row>
    <row r="42" spans="1:48" outlineLevel="1" x14ac:dyDescent="0.3">
      <c r="B42" s="617" t="s">
        <v>248</v>
      </c>
      <c r="C42" s="618"/>
      <c r="D42" s="267">
        <f t="shared" ref="D42:AV42" si="37">D41+D35</f>
        <v>19981.300000000003</v>
      </c>
      <c r="E42" s="267">
        <f t="shared" si="37"/>
        <v>17641.899999999998</v>
      </c>
      <c r="F42" s="267">
        <f t="shared" si="37"/>
        <v>20894.400000000001</v>
      </c>
      <c r="G42" s="267">
        <f t="shared" si="37"/>
        <v>19219.599999999999</v>
      </c>
      <c r="H42" s="268">
        <f t="shared" si="37"/>
        <v>19219.599999999999</v>
      </c>
      <c r="I42" s="267">
        <f t="shared" si="37"/>
        <v>27731.300000000003</v>
      </c>
      <c r="J42" s="267">
        <f t="shared" si="37"/>
        <v>27478.9</v>
      </c>
      <c r="K42" s="267">
        <f t="shared" si="37"/>
        <v>29140.599999999995</v>
      </c>
      <c r="L42" s="267">
        <f t="shared" si="37"/>
        <v>29374.500000000007</v>
      </c>
      <c r="M42" s="268">
        <f t="shared" si="37"/>
        <v>29374.500000000007</v>
      </c>
      <c r="N42" s="267">
        <f t="shared" si="37"/>
        <v>29968.400000000001</v>
      </c>
      <c r="O42" s="267">
        <f t="shared" si="37"/>
        <v>28371.7</v>
      </c>
      <c r="P42" s="267">
        <f t="shared" si="37"/>
        <v>29476.799999999999</v>
      </c>
      <c r="Q42" s="267">
        <f t="shared" si="37"/>
        <v>31392.600000000006</v>
      </c>
      <c r="R42" s="268">
        <f t="shared" si="37"/>
        <v>31392.600000000006</v>
      </c>
      <c r="S42" s="267">
        <f t="shared" si="37"/>
        <v>28833.899999999994</v>
      </c>
      <c r="T42" s="267">
        <f t="shared" si="37"/>
        <v>29021.499999999996</v>
      </c>
      <c r="U42" s="267">
        <f t="shared" si="37"/>
        <v>28156.199999999997</v>
      </c>
      <c r="V42" s="267">
        <f t="shared" si="37"/>
        <v>28004.878285495273</v>
      </c>
      <c r="W42" s="268">
        <f t="shared" si="37"/>
        <v>28004.878285495273</v>
      </c>
      <c r="X42" s="267">
        <f t="shared" si="37"/>
        <v>28761.8953499462</v>
      </c>
      <c r="Y42" s="267">
        <f t="shared" si="37"/>
        <v>28615.107192740426</v>
      </c>
      <c r="Z42" s="267">
        <f t="shared" si="37"/>
        <v>29250.538472152646</v>
      </c>
      <c r="AA42" s="267">
        <f t="shared" si="37"/>
        <v>29548.429336829053</v>
      </c>
      <c r="AB42" s="268">
        <f t="shared" si="37"/>
        <v>29548.429336829053</v>
      </c>
      <c r="AC42" s="267">
        <f t="shared" si="37"/>
        <v>30689.130335318394</v>
      </c>
      <c r="AD42" s="267">
        <f t="shared" si="37"/>
        <v>30643.655704882978</v>
      </c>
      <c r="AE42" s="267">
        <f t="shared" si="37"/>
        <v>31306.106145245198</v>
      </c>
      <c r="AF42" s="267">
        <f t="shared" si="37"/>
        <v>31714.868865626391</v>
      </c>
      <c r="AG42" s="268">
        <f t="shared" si="37"/>
        <v>31714.868865626391</v>
      </c>
      <c r="AH42" s="267">
        <f t="shared" si="37"/>
        <v>32955.355949344106</v>
      </c>
      <c r="AI42" s="267">
        <f t="shared" si="37"/>
        <v>32939.38345116462</v>
      </c>
      <c r="AJ42" s="267">
        <f t="shared" si="37"/>
        <v>34082.477327231783</v>
      </c>
      <c r="AK42" s="267">
        <f t="shared" si="37"/>
        <v>29441.079752822232</v>
      </c>
      <c r="AL42" s="268">
        <f t="shared" si="37"/>
        <v>29441.079752822232</v>
      </c>
      <c r="AM42" s="267">
        <f t="shared" si="37"/>
        <v>30622.782781630041</v>
      </c>
      <c r="AN42" s="267">
        <f t="shared" si="37"/>
        <v>30451.836688935604</v>
      </c>
      <c r="AO42" s="267">
        <f t="shared" si="37"/>
        <v>31342.821427154733</v>
      </c>
      <c r="AP42" s="267">
        <f t="shared" si="37"/>
        <v>31768.138996134483</v>
      </c>
      <c r="AQ42" s="268">
        <f t="shared" si="37"/>
        <v>31768.138996134483</v>
      </c>
      <c r="AR42" s="267">
        <f t="shared" si="37"/>
        <v>33110.309716223303</v>
      </c>
      <c r="AS42" s="267">
        <f t="shared" si="37"/>
        <v>33017.568632682436</v>
      </c>
      <c r="AT42" s="267">
        <f t="shared" si="37"/>
        <v>34025.74397681433</v>
      </c>
      <c r="AU42" s="267">
        <f t="shared" si="37"/>
        <v>34549.690867948317</v>
      </c>
      <c r="AV42" s="268">
        <f t="shared" si="37"/>
        <v>34549.690867948317</v>
      </c>
    </row>
    <row r="43" spans="1:48" x14ac:dyDescent="0.3">
      <c r="B43" s="269"/>
      <c r="C43" s="270"/>
      <c r="D43" s="271">
        <f t="shared" ref="D43:AV43" si="38">ROUND((D42-D20),0)</f>
        <v>0</v>
      </c>
      <c r="E43" s="271">
        <f t="shared" si="38"/>
        <v>0</v>
      </c>
      <c r="F43" s="271">
        <f t="shared" si="38"/>
        <v>0</v>
      </c>
      <c r="G43" s="271">
        <f t="shared" si="38"/>
        <v>0</v>
      </c>
      <c r="H43" s="271">
        <f t="shared" si="38"/>
        <v>0</v>
      </c>
      <c r="I43" s="271">
        <f t="shared" si="38"/>
        <v>0</v>
      </c>
      <c r="J43" s="271">
        <f t="shared" si="38"/>
        <v>0</v>
      </c>
      <c r="K43" s="271">
        <f t="shared" si="38"/>
        <v>0</v>
      </c>
      <c r="L43" s="272">
        <f t="shared" si="38"/>
        <v>0</v>
      </c>
      <c r="M43" s="272">
        <f t="shared" si="38"/>
        <v>0</v>
      </c>
      <c r="N43" s="272">
        <f t="shared" si="38"/>
        <v>0</v>
      </c>
      <c r="O43" s="272">
        <f t="shared" si="38"/>
        <v>0</v>
      </c>
      <c r="P43" s="272">
        <f t="shared" si="38"/>
        <v>0</v>
      </c>
      <c r="Q43" s="272">
        <f t="shared" si="38"/>
        <v>0</v>
      </c>
      <c r="R43" s="272">
        <f t="shared" si="38"/>
        <v>0</v>
      </c>
      <c r="S43" s="272">
        <f t="shared" si="38"/>
        <v>0</v>
      </c>
      <c r="T43" s="272">
        <f t="shared" si="38"/>
        <v>0</v>
      </c>
      <c r="U43" s="272">
        <f t="shared" si="38"/>
        <v>0</v>
      </c>
      <c r="V43" s="272">
        <f t="shared" si="38"/>
        <v>0</v>
      </c>
      <c r="W43" s="272">
        <f t="shared" si="38"/>
        <v>0</v>
      </c>
      <c r="X43" s="272">
        <f t="shared" si="38"/>
        <v>0</v>
      </c>
      <c r="Y43" s="272">
        <f t="shared" si="38"/>
        <v>0</v>
      </c>
      <c r="Z43" s="272">
        <f t="shared" si="38"/>
        <v>0</v>
      </c>
      <c r="AA43" s="272">
        <f t="shared" si="38"/>
        <v>0</v>
      </c>
      <c r="AB43" s="272">
        <f t="shared" si="38"/>
        <v>0</v>
      </c>
      <c r="AC43" s="272">
        <f t="shared" si="38"/>
        <v>0</v>
      </c>
      <c r="AD43" s="272">
        <f t="shared" si="38"/>
        <v>0</v>
      </c>
      <c r="AE43" s="272">
        <f t="shared" si="38"/>
        <v>0</v>
      </c>
      <c r="AF43" s="272">
        <f t="shared" si="38"/>
        <v>0</v>
      </c>
      <c r="AG43" s="272">
        <f t="shared" si="38"/>
        <v>0</v>
      </c>
      <c r="AH43" s="272">
        <f t="shared" si="38"/>
        <v>0</v>
      </c>
      <c r="AI43" s="272">
        <f t="shared" si="38"/>
        <v>0</v>
      </c>
      <c r="AJ43" s="272">
        <f t="shared" si="38"/>
        <v>0</v>
      </c>
      <c r="AK43" s="272">
        <f t="shared" si="38"/>
        <v>0</v>
      </c>
      <c r="AL43" s="272">
        <f t="shared" si="38"/>
        <v>0</v>
      </c>
      <c r="AM43" s="272">
        <f t="shared" si="38"/>
        <v>0</v>
      </c>
      <c r="AN43" s="272">
        <f t="shared" si="38"/>
        <v>0</v>
      </c>
      <c r="AO43" s="272">
        <f t="shared" si="38"/>
        <v>0</v>
      </c>
      <c r="AP43" s="272">
        <f t="shared" si="38"/>
        <v>0</v>
      </c>
      <c r="AQ43" s="272">
        <f t="shared" si="38"/>
        <v>0</v>
      </c>
      <c r="AR43" s="272">
        <f t="shared" si="38"/>
        <v>0</v>
      </c>
      <c r="AS43" s="272">
        <f t="shared" si="38"/>
        <v>0</v>
      </c>
      <c r="AT43" s="272">
        <f t="shared" si="38"/>
        <v>0</v>
      </c>
      <c r="AU43" s="272">
        <f t="shared" si="38"/>
        <v>0</v>
      </c>
      <c r="AV43" s="272">
        <f t="shared" si="38"/>
        <v>0</v>
      </c>
    </row>
    <row r="44" spans="1:48" ht="15.6" x14ac:dyDescent="0.3">
      <c r="B44" s="583" t="s">
        <v>249</v>
      </c>
      <c r="C44" s="584"/>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5" t="s">
        <v>20</v>
      </c>
      <c r="W44" s="41" t="s">
        <v>20</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85"/>
      <c r="C45" s="586"/>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2" t="s">
        <v>25</v>
      </c>
      <c r="W45" s="42" t="s">
        <v>26</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31+30+31</f>
        <v>92</v>
      </c>
      <c r="E46" s="274">
        <f>31+28+31</f>
        <v>90</v>
      </c>
      <c r="F46" s="274">
        <f>30+31+30</f>
        <v>91</v>
      </c>
      <c r="G46" s="274">
        <f>31+31+30</f>
        <v>92</v>
      </c>
      <c r="H46" s="122"/>
      <c r="I46" s="274">
        <f>31+30+31</f>
        <v>92</v>
      </c>
      <c r="J46" s="274">
        <f>31+29+31</f>
        <v>91</v>
      </c>
      <c r="K46" s="274">
        <f>30+31+30</f>
        <v>91</v>
      </c>
      <c r="L46" s="274">
        <f>31+31+30</f>
        <v>92</v>
      </c>
      <c r="M46" s="122"/>
      <c r="N46" s="274">
        <f>31+30+31</f>
        <v>92</v>
      </c>
      <c r="O46" s="274">
        <f>31+28+31</f>
        <v>90</v>
      </c>
      <c r="P46" s="274">
        <f>30+31+30</f>
        <v>91</v>
      </c>
      <c r="Q46" s="274">
        <f>31+31+30</f>
        <v>92</v>
      </c>
      <c r="R46" s="122"/>
      <c r="S46" s="274">
        <f>31+30+31</f>
        <v>92</v>
      </c>
      <c r="T46" s="274">
        <f>31+28+31</f>
        <v>90</v>
      </c>
      <c r="U46" s="274">
        <f>30+31+30</f>
        <v>91</v>
      </c>
      <c r="V46" s="274">
        <f>31+31+30</f>
        <v>92</v>
      </c>
      <c r="W46" s="122"/>
      <c r="X46" s="274">
        <f>31+30+31</f>
        <v>92</v>
      </c>
      <c r="Y46" s="274">
        <f>31+28+31</f>
        <v>90</v>
      </c>
      <c r="Z46" s="274">
        <f>30+31+30</f>
        <v>91</v>
      </c>
      <c r="AA46" s="274">
        <f>31+31+30</f>
        <v>92</v>
      </c>
      <c r="AB46" s="122"/>
      <c r="AC46" s="274">
        <f>31+30+31</f>
        <v>92</v>
      </c>
      <c r="AD46" s="274">
        <f>31+29+31</f>
        <v>91</v>
      </c>
      <c r="AE46" s="274">
        <f>30+31+30</f>
        <v>91</v>
      </c>
      <c r="AF46" s="274">
        <f>31+31+30</f>
        <v>92</v>
      </c>
      <c r="AG46" s="122"/>
      <c r="AH46" s="274">
        <f>31+30+31</f>
        <v>92</v>
      </c>
      <c r="AI46" s="274">
        <f>31+28+31</f>
        <v>90</v>
      </c>
      <c r="AJ46" s="274">
        <f>30+31+30</f>
        <v>91</v>
      </c>
      <c r="AK46" s="274">
        <f>31+31+30</f>
        <v>92</v>
      </c>
      <c r="AL46" s="122"/>
      <c r="AM46" s="274">
        <f>31+30+31</f>
        <v>92</v>
      </c>
      <c r="AN46" s="274">
        <f>31+28+31</f>
        <v>90</v>
      </c>
      <c r="AO46" s="274">
        <f>30+31+30</f>
        <v>91</v>
      </c>
      <c r="AP46" s="274">
        <f>31+31+30</f>
        <v>92</v>
      </c>
      <c r="AQ46" s="122"/>
      <c r="AR46" s="274">
        <f>31+30+31</f>
        <v>92</v>
      </c>
      <c r="AS46" s="274">
        <f>31+28+31</f>
        <v>90</v>
      </c>
      <c r="AT46" s="274">
        <f>30+31+30</f>
        <v>91</v>
      </c>
      <c r="AU46" s="274">
        <f>31+31+30</f>
        <v>92</v>
      </c>
      <c r="AV46" s="122"/>
    </row>
    <row r="47" spans="1:48" outlineLevel="1" x14ac:dyDescent="0.3">
      <c r="B47" s="580" t="s">
        <v>251</v>
      </c>
      <c r="C47" s="581"/>
      <c r="D47" s="275">
        <v>9.1942057111172737</v>
      </c>
      <c r="E47" s="276">
        <v>8.9623365548607161</v>
      </c>
      <c r="F47" s="276">
        <v>8.6301543131798635</v>
      </c>
      <c r="G47" s="276">
        <v>7.6757679180887379</v>
      </c>
      <c r="H47" s="126"/>
      <c r="I47" s="276">
        <v>7.8153287082920375</v>
      </c>
      <c r="J47" s="276">
        <v>6.3716259298618487</v>
      </c>
      <c r="K47" s="276">
        <v>4.7918510952218822</v>
      </c>
      <c r="L47" s="276">
        <v>7.0218474077428121</v>
      </c>
      <c r="M47" s="31"/>
      <c r="N47" s="276">
        <v>7.6006756756756761</v>
      </c>
      <c r="O47" s="276">
        <v>7.5755510111338324</v>
      </c>
      <c r="P47" s="276">
        <v>8.2270632133450388</v>
      </c>
      <c r="Q47" s="276">
        <v>8.6667021276595744</v>
      </c>
      <c r="R47" s="31"/>
      <c r="S47" s="276">
        <v>7.8075841334497138</v>
      </c>
      <c r="T47" s="276">
        <v>7.6211198722427387</v>
      </c>
      <c r="U47" s="276">
        <v>7.1111595846784761</v>
      </c>
      <c r="V47" s="277">
        <f>AVERAGE(Q47,L47,G47)</f>
        <v>7.7881058178303748</v>
      </c>
      <c r="W47" s="31"/>
      <c r="X47" s="277">
        <f t="shared" ref="X47:AA47" si="39">AVERAGE(S47,N47,I47)</f>
        <v>7.7411961724724749</v>
      </c>
      <c r="Y47" s="277">
        <f t="shared" si="39"/>
        <v>7.1894322710794727</v>
      </c>
      <c r="Z47" s="277">
        <f t="shared" si="39"/>
        <v>6.7100246310817999</v>
      </c>
      <c r="AA47" s="277">
        <f t="shared" si="39"/>
        <v>7.8255517844109201</v>
      </c>
      <c r="AB47" s="278"/>
      <c r="AC47" s="277">
        <f t="shared" ref="AC47" si="40">AVERAGE(X47,S47,N47)</f>
        <v>7.7164853271992895</v>
      </c>
      <c r="AD47" s="277">
        <f t="shared" ref="AD47" si="41">AVERAGE(Y47,T47,O47)</f>
        <v>7.4620343848186819</v>
      </c>
      <c r="AE47" s="277">
        <f t="shared" ref="AE47" si="42">AVERAGE(Z47,U47,P47)</f>
        <v>7.3494158097017719</v>
      </c>
      <c r="AF47" s="277">
        <f t="shared" ref="AF47" si="43">AVERAGE(AA47,V47,Q47)</f>
        <v>8.0934532433002904</v>
      </c>
      <c r="AG47" s="278"/>
      <c r="AH47" s="277">
        <f t="shared" ref="AH47" si="44">AVERAGE(AC47,X47,S47)</f>
        <v>7.7550885443738267</v>
      </c>
      <c r="AI47" s="277">
        <f t="shared" ref="AI47" si="45">AVERAGE(AD47,Y47,T47)</f>
        <v>7.4241955093802972</v>
      </c>
      <c r="AJ47" s="277">
        <f t="shared" ref="AJ47" si="46">AVERAGE(AE47,Z47,U47)</f>
        <v>7.0568666751540157</v>
      </c>
      <c r="AK47" s="277">
        <f t="shared" ref="AK47" si="47">AVERAGE(AF47,AA47,V47)</f>
        <v>7.9023702818471948</v>
      </c>
      <c r="AL47" s="278"/>
      <c r="AM47" s="277">
        <f t="shared" ref="AM47" si="48">AVERAGE(AH47,AC47,X47)</f>
        <v>7.7375900146818637</v>
      </c>
      <c r="AN47" s="277">
        <f t="shared" ref="AN47" si="49">AVERAGE(AI47,AD47,Y47)</f>
        <v>7.3585540550928172</v>
      </c>
      <c r="AO47" s="277">
        <f t="shared" ref="AO47" si="50">AVERAGE(AJ47,AE47,Z47)</f>
        <v>7.0387690386458628</v>
      </c>
      <c r="AP47" s="277">
        <f t="shared" ref="AP47" si="51">AVERAGE(AK47,AF47,AA47)</f>
        <v>7.9404584365194681</v>
      </c>
      <c r="AQ47" s="278"/>
      <c r="AR47" s="277">
        <f t="shared" ref="AR47" si="52">AVERAGE(AM47,AH47,AC47)</f>
        <v>7.7363879620849936</v>
      </c>
      <c r="AS47" s="277">
        <f t="shared" ref="AS47" si="53">AVERAGE(AN47,AI47,AD47)</f>
        <v>7.4149279830972654</v>
      </c>
      <c r="AT47" s="277">
        <f t="shared" ref="AT47" si="54">AVERAGE(AO47,AJ47,AE47)</f>
        <v>7.1483505078338831</v>
      </c>
      <c r="AU47" s="277">
        <f t="shared" ref="AU47" si="55">AVERAGE(AP47,AK47,AF47)</f>
        <v>7.9787606538889841</v>
      </c>
      <c r="AV47" s="278"/>
    </row>
    <row r="48" spans="1:48" s="23" customFormat="1" outlineLevel="1" x14ac:dyDescent="0.3">
      <c r="B48" s="607" t="s">
        <v>252</v>
      </c>
      <c r="C48" s="608"/>
      <c r="D48" s="279">
        <f>D46/D47</f>
        <v>10.00630210924661</v>
      </c>
      <c r="E48" s="279">
        <f>E46/E47</f>
        <v>10.042024136126486</v>
      </c>
      <c r="F48" s="274">
        <f>F46/F47</f>
        <v>10.544423274219552</v>
      </c>
      <c r="G48" s="274">
        <f>G46/G47</f>
        <v>11.985771453979545</v>
      </c>
      <c r="H48" s="126"/>
      <c r="I48" s="274">
        <f>I46/I47</f>
        <v>11.771737752039567</v>
      </c>
      <c r="J48" s="274">
        <f>J46/J47</f>
        <v>14.28206881598479</v>
      </c>
      <c r="K48" s="274">
        <f>K46/K47</f>
        <v>18.990573411335589</v>
      </c>
      <c r="L48" s="279">
        <f>L46/L47</f>
        <v>13.101965146459028</v>
      </c>
      <c r="M48" s="31"/>
      <c r="N48" s="279">
        <f>N46/N47</f>
        <v>12.104187038847897</v>
      </c>
      <c r="O48" s="279">
        <f>O46/O47</f>
        <v>11.880323935212958</v>
      </c>
      <c r="P48" s="279">
        <f>P46/P47</f>
        <v>11.061055159074236</v>
      </c>
      <c r="Q48" s="279">
        <f>Q46/Q47</f>
        <v>10.615341181091731</v>
      </c>
      <c r="R48" s="31"/>
      <c r="S48" s="279">
        <f>S46/S47</f>
        <v>11.783414488721057</v>
      </c>
      <c r="T48" s="279">
        <f>T46/T47</f>
        <v>11.809288071664309</v>
      </c>
      <c r="U48" s="279">
        <f>U46/U47</f>
        <v>12.79678776947522</v>
      </c>
      <c r="V48" s="279">
        <f>V46/V47</f>
        <v>11.812885206229714</v>
      </c>
      <c r="W48" s="31"/>
      <c r="X48" s="279">
        <f>X46/X47</f>
        <v>11.884468233365535</v>
      </c>
      <c r="Y48" s="279">
        <f>Y46/Y47</f>
        <v>12.518373719443463</v>
      </c>
      <c r="Z48" s="279">
        <f>Z46/Z47</f>
        <v>13.561798205400752</v>
      </c>
      <c r="AA48" s="279">
        <f>AA46/AA47</f>
        <v>11.756359491898172</v>
      </c>
      <c r="AB48" s="31"/>
      <c r="AC48" s="279">
        <f>AC46/AC47</f>
        <v>11.922526396274707</v>
      </c>
      <c r="AD48" s="279">
        <f>AD46/AD47</f>
        <v>12.195065756482867</v>
      </c>
      <c r="AE48" s="279">
        <f>AE46/AE47</f>
        <v>12.381936517984638</v>
      </c>
      <c r="AF48" s="279">
        <f>AF46/AF47</f>
        <v>11.367212144724135</v>
      </c>
      <c r="AG48" s="31"/>
      <c r="AH48" s="279">
        <f>AH46/AH47</f>
        <v>11.863178540591171</v>
      </c>
      <c r="AI48" s="279">
        <f>AI46/AI47</f>
        <v>12.122525583585064</v>
      </c>
      <c r="AJ48" s="279">
        <f>AJ46/AJ47</f>
        <v>12.89524149866611</v>
      </c>
      <c r="AK48" s="279">
        <f>AK46/AK47</f>
        <v>11.642076581925849</v>
      </c>
      <c r="AL48" s="31"/>
      <c r="AM48" s="279">
        <f>AM46/AM47</f>
        <v>11.890007072671533</v>
      </c>
      <c r="AN48" s="279">
        <f>AN46/AN47</f>
        <v>12.230663704605318</v>
      </c>
      <c r="AO48" s="279">
        <f>AO46/AO47</f>
        <v>12.928396925708309</v>
      </c>
      <c r="AP48" s="279">
        <f>AP46/AP47</f>
        <v>11.58623280198495</v>
      </c>
      <c r="AQ48" s="31"/>
      <c r="AR48" s="279">
        <f>AR46/AR47</f>
        <v>11.89185449991388</v>
      </c>
      <c r="AS48" s="279">
        <f>AS46/AS47</f>
        <v>12.137676887106648</v>
      </c>
      <c r="AT48" s="279">
        <f>AT46/AT47</f>
        <v>12.730209563769016</v>
      </c>
      <c r="AU48" s="279">
        <f>AU46/AU47</f>
        <v>11.530612834608297</v>
      </c>
      <c r="AV48" s="31"/>
    </row>
    <row r="49" spans="2:48" outlineLevel="1" x14ac:dyDescent="0.3">
      <c r="B49" s="580" t="s">
        <v>253</v>
      </c>
      <c r="C49" s="581"/>
      <c r="D49" s="275">
        <v>1.6062306215857083</v>
      </c>
      <c r="E49" s="275">
        <v>1.3943173943173943</v>
      </c>
      <c r="F49" s="276">
        <v>1.4497759029791721</v>
      </c>
      <c r="G49" s="276">
        <v>1.3989146070354381</v>
      </c>
      <c r="H49" s="126"/>
      <c r="I49" s="276">
        <v>1.5875630013487614</v>
      </c>
      <c r="J49" s="276">
        <v>1.3387615601125855</v>
      </c>
      <c r="K49" s="276">
        <v>0.93698699330723578</v>
      </c>
      <c r="L49" s="276">
        <v>1.2742039448240299</v>
      </c>
      <c r="M49" s="31"/>
      <c r="N49" s="276">
        <v>1.3925246347264695</v>
      </c>
      <c r="O49" s="276">
        <v>1.3250864591646716</v>
      </c>
      <c r="P49" s="276">
        <v>1.4248805063945227</v>
      </c>
      <c r="Q49" s="276">
        <v>1.5531516927489244</v>
      </c>
      <c r="R49" s="31"/>
      <c r="S49" s="276">
        <v>1.5435220817298883</v>
      </c>
      <c r="T49" s="276">
        <v>1.2842708333333335</v>
      </c>
      <c r="U49" s="276">
        <v>1.2253739040742651</v>
      </c>
      <c r="V49" s="277">
        <f>AVERAGE(Q49,L49,G49)</f>
        <v>1.4087567482027976</v>
      </c>
      <c r="W49" s="31"/>
      <c r="X49" s="277">
        <f t="shared" ref="X49" si="56">AVERAGE(S49,N49,I49)</f>
        <v>1.5078699059350396</v>
      </c>
      <c r="Y49" s="277">
        <f t="shared" ref="Y49" si="57">AVERAGE(T49,O49,J49)</f>
        <v>1.3160396175368636</v>
      </c>
      <c r="Z49" s="277">
        <f t="shared" ref="Z49" si="58">AVERAGE(U49,P49,K49)</f>
        <v>1.1957471345920079</v>
      </c>
      <c r="AA49" s="277">
        <f t="shared" ref="AA49" si="59">AVERAGE(V49,Q49,L49)</f>
        <v>1.4120374619252507</v>
      </c>
      <c r="AB49" s="278"/>
      <c r="AC49" s="277">
        <f t="shared" ref="AC49" si="60">AVERAGE(X49,S49,N49)</f>
        <v>1.4813055407971323</v>
      </c>
      <c r="AD49" s="277">
        <f t="shared" ref="AD49" si="61">AVERAGE(Y49,T49,O49)</f>
        <v>1.3084656366782896</v>
      </c>
      <c r="AE49" s="277">
        <f t="shared" ref="AE49" si="62">AVERAGE(Z49,U49,P49)</f>
        <v>1.2820005150202654</v>
      </c>
      <c r="AF49" s="277">
        <f t="shared" ref="AF49" si="63">AVERAGE(AA49,V49,Q49)</f>
        <v>1.4579819676256578</v>
      </c>
      <c r="AG49" s="278"/>
      <c r="AH49" s="277">
        <f t="shared" ref="AH49" si="64">AVERAGE(AC49,X49,S49)</f>
        <v>1.5108991761540198</v>
      </c>
      <c r="AI49" s="277">
        <f t="shared" ref="AI49" si="65">AVERAGE(AD49,Y49,T49)</f>
        <v>1.3029253625161621</v>
      </c>
      <c r="AJ49" s="277">
        <f t="shared" ref="AJ49" si="66">AVERAGE(AE49,Z49,U49)</f>
        <v>1.234373851228846</v>
      </c>
      <c r="AK49" s="277">
        <f t="shared" ref="AK49" si="67">AVERAGE(AF49,AA49,V49)</f>
        <v>1.4262587259179023</v>
      </c>
      <c r="AL49" s="278"/>
      <c r="AM49" s="277">
        <f t="shared" ref="AM49" si="68">AVERAGE(AH49,AC49,X49)</f>
        <v>1.500024874295397</v>
      </c>
      <c r="AN49" s="277">
        <f t="shared" ref="AN49" si="69">AVERAGE(AI49,AD49,Y49)</f>
        <v>1.3091435389104384</v>
      </c>
      <c r="AO49" s="277">
        <f t="shared" ref="AO49" si="70">AVERAGE(AJ49,AE49,Z49)</f>
        <v>1.2373738336137066</v>
      </c>
      <c r="AP49" s="277">
        <f t="shared" ref="AP49" si="71">AVERAGE(AK49,AF49,AA49)</f>
        <v>1.4320927184896035</v>
      </c>
      <c r="AQ49" s="278"/>
      <c r="AR49" s="277">
        <f t="shared" ref="AR49" si="72">AVERAGE(AM49,AH49,AC49)</f>
        <v>1.4974098637488495</v>
      </c>
      <c r="AS49" s="277">
        <f t="shared" ref="AS49" si="73">AVERAGE(AN49,AI49,AD49)</f>
        <v>1.3068448460349635</v>
      </c>
      <c r="AT49" s="277">
        <f t="shared" ref="AT49" si="74">AVERAGE(AO49,AJ49,AE49)</f>
        <v>1.2512493999542726</v>
      </c>
      <c r="AU49" s="277">
        <f t="shared" ref="AU49" si="75">AVERAGE(AP49,AK49,AF49)</f>
        <v>1.4387778040110544</v>
      </c>
      <c r="AV49" s="278"/>
    </row>
    <row r="50" spans="2:48" s="23" customFormat="1" outlineLevel="1" x14ac:dyDescent="0.3">
      <c r="B50" s="607" t="s">
        <v>252</v>
      </c>
      <c r="C50" s="608"/>
      <c r="D50" s="279">
        <f>D46/D49</f>
        <v>57.276955602536987</v>
      </c>
      <c r="E50" s="279">
        <f>E46/E49</f>
        <v>64.547713717693838</v>
      </c>
      <c r="F50" s="274">
        <f>F46/F49</f>
        <v>62.768321513002363</v>
      </c>
      <c r="G50" s="274">
        <f>G46/G49</f>
        <v>65.765272259873825</v>
      </c>
      <c r="H50" s="126"/>
      <c r="I50" s="274">
        <f>I46/I49</f>
        <v>57.950456090144868</v>
      </c>
      <c r="J50" s="274">
        <f>J46/J49</f>
        <v>67.973269259648589</v>
      </c>
      <c r="K50" s="274">
        <f>K46/K49</f>
        <v>97.119811320754721</v>
      </c>
      <c r="L50" s="279">
        <f>L46/L49</f>
        <v>72.201942533387296</v>
      </c>
      <c r="M50" s="31"/>
      <c r="N50" s="279">
        <f>N46/N49</f>
        <v>66.067053828510083</v>
      </c>
      <c r="O50" s="279">
        <f>O46/O49</f>
        <v>67.920096366191515</v>
      </c>
      <c r="P50" s="279">
        <f>P46/P49</f>
        <v>63.865004533091565</v>
      </c>
      <c r="Q50" s="279">
        <f>Q46/Q49</f>
        <v>59.234394444221429</v>
      </c>
      <c r="R50" s="31"/>
      <c r="S50" s="279">
        <f>S46/S49</f>
        <v>59.603941588507659</v>
      </c>
      <c r="T50" s="279">
        <f>T46/T49</f>
        <v>70.078676291670035</v>
      </c>
      <c r="U50" s="279">
        <f>U46/U49</f>
        <v>74.263047138047142</v>
      </c>
      <c r="V50" s="279">
        <f>V46/V49</f>
        <v>65.305809620694106</v>
      </c>
      <c r="W50" s="31"/>
      <c r="X50" s="279">
        <f>X46/X49</f>
        <v>61.01322112596327</v>
      </c>
      <c r="Y50" s="279">
        <f>Y46/Y49</f>
        <v>68.38699899357627</v>
      </c>
      <c r="Z50" s="279">
        <f>Z46/Z49</f>
        <v>76.103046678886201</v>
      </c>
      <c r="AA50" s="279">
        <f>AA46/AA49</f>
        <v>65.154078755504173</v>
      </c>
      <c r="AB50" s="31"/>
      <c r="AC50" s="279">
        <f>AC46/AC49</f>
        <v>62.1073758695942</v>
      </c>
      <c r="AD50" s="279">
        <f>AD46/AD49</f>
        <v>69.547107275216902</v>
      </c>
      <c r="AE50" s="279">
        <f>AE46/AE49</f>
        <v>70.982810797514773</v>
      </c>
      <c r="AF50" s="279">
        <f>AF46/AF49</f>
        <v>63.100917599017478</v>
      </c>
      <c r="AG50" s="31"/>
      <c r="AH50" s="279">
        <f>AH46/AH49</f>
        <v>60.890892954343364</v>
      </c>
      <c r="AI50" s="279">
        <f>AI46/AI49</f>
        <v>69.075330474951585</v>
      </c>
      <c r="AJ50" s="279">
        <f>AJ46/AJ49</f>
        <v>73.721587596340868</v>
      </c>
      <c r="AK50" s="279">
        <f>AK46/AK49</f>
        <v>64.504425689519437</v>
      </c>
      <c r="AL50" s="31"/>
      <c r="AM50" s="279">
        <f>AM46/AM49</f>
        <v>61.332316267898513</v>
      </c>
      <c r="AN50" s="279">
        <f>AN46/AN49</f>
        <v>68.747236131879276</v>
      </c>
      <c r="AO50" s="279">
        <f>AO46/AO49</f>
        <v>73.542851422870086</v>
      </c>
      <c r="AP50" s="279">
        <f>AP46/AP49</f>
        <v>64.241650566473353</v>
      </c>
      <c r="AQ50" s="31"/>
      <c r="AR50" s="279">
        <f>AR46/AR49</f>
        <v>61.439424320120906</v>
      </c>
      <c r="AS50" s="279">
        <f>AS46/AS49</f>
        <v>68.868160036797605</v>
      </c>
      <c r="AT50" s="279">
        <f>AT46/AT49</f>
        <v>72.727307604163983</v>
      </c>
      <c r="AU50" s="279">
        <f>AU46/AU49</f>
        <v>63.943160468225535</v>
      </c>
      <c r="AV50" s="31"/>
    </row>
    <row r="51" spans="2:48" s="23" customFormat="1" outlineLevel="1" x14ac:dyDescent="0.3">
      <c r="B51" s="580" t="s">
        <v>254</v>
      </c>
      <c r="C51" s="581"/>
      <c r="D51" s="275">
        <v>1.9771013175829171</v>
      </c>
      <c r="E51" s="275">
        <v>1.8345946931704202</v>
      </c>
      <c r="F51" s="276">
        <v>1.9203771608171816</v>
      </c>
      <c r="G51" s="276">
        <v>1.7983525258468513</v>
      </c>
      <c r="H51" s="127"/>
      <c r="I51" s="276">
        <v>2.0600589535740608</v>
      </c>
      <c r="J51" s="276">
        <v>2.0023053021950488</v>
      </c>
      <c r="K51" s="276">
        <v>1.7239776951672863</v>
      </c>
      <c r="L51" s="276">
        <v>1.9809600160336707</v>
      </c>
      <c r="M51" s="280"/>
      <c r="N51" s="276">
        <v>1.9504092899295642</v>
      </c>
      <c r="O51" s="276">
        <v>1.9276315789473686</v>
      </c>
      <c r="P51" s="276">
        <v>1.9574090505767525</v>
      </c>
      <c r="Q51" s="276">
        <v>2.0560415978870914</v>
      </c>
      <c r="R51" s="280"/>
      <c r="S51" s="276">
        <v>1.9597487203350394</v>
      </c>
      <c r="T51" s="276">
        <v>1.8546822113576533</v>
      </c>
      <c r="U51" s="276">
        <v>1.7543294401933145</v>
      </c>
      <c r="V51" s="277">
        <f>AVERAGE(Q51,L51,G51)</f>
        <v>1.9451180465892044</v>
      </c>
      <c r="W51" s="280"/>
      <c r="X51" s="277">
        <f t="shared" ref="X51" si="76">AVERAGE(S51,N51,I51)</f>
        <v>1.9900723212795548</v>
      </c>
      <c r="Y51" s="277">
        <f t="shared" ref="Y51" si="77">AVERAGE(T51,O51,J51)</f>
        <v>1.9282063641666902</v>
      </c>
      <c r="Z51" s="277">
        <f t="shared" ref="Z51" si="78">AVERAGE(U51,P51,K51)</f>
        <v>1.8119053953124509</v>
      </c>
      <c r="AA51" s="277">
        <f t="shared" ref="AA51" si="79">AVERAGE(V51,Q51,L51)</f>
        <v>1.9940398868366556</v>
      </c>
      <c r="AB51" s="31"/>
      <c r="AC51" s="277">
        <f t="shared" ref="AC51" si="80">AVERAGE(X51,S51,N51)</f>
        <v>1.9667434438480529</v>
      </c>
      <c r="AD51" s="277">
        <f t="shared" ref="AD51" si="81">AVERAGE(Y51,T51,O51)</f>
        <v>1.9035067181572376</v>
      </c>
      <c r="AE51" s="277">
        <f t="shared" ref="AE51" si="82">AVERAGE(Z51,U51,P51)</f>
        <v>1.8412146286941729</v>
      </c>
      <c r="AF51" s="277">
        <f t="shared" ref="AF51" si="83">AVERAGE(AA51,V51,Q51)</f>
        <v>1.9983998437709838</v>
      </c>
      <c r="AG51" s="31"/>
      <c r="AH51" s="277">
        <f t="shared" ref="AH51" si="84">AVERAGE(AC51,X51,S51)</f>
        <v>1.9721881618208823</v>
      </c>
      <c r="AI51" s="277">
        <f t="shared" ref="AI51" si="85">AVERAGE(AD51,Y51,T51)</f>
        <v>1.8954650978938605</v>
      </c>
      <c r="AJ51" s="277">
        <f t="shared" ref="AJ51" si="86">AVERAGE(AE51,Z51,U51)</f>
        <v>1.8024831547333129</v>
      </c>
      <c r="AK51" s="277">
        <f t="shared" ref="AK51" si="87">AVERAGE(AF51,AA51,V51)</f>
        <v>1.9791859257322812</v>
      </c>
      <c r="AL51" s="31"/>
      <c r="AM51" s="277">
        <f t="shared" ref="AM51" si="88">AVERAGE(AH51,AC51,X51)</f>
        <v>1.9763346423161634</v>
      </c>
      <c r="AN51" s="277">
        <f t="shared" ref="AN51" si="89">AVERAGE(AI51,AD51,Y51)</f>
        <v>1.9090593934059295</v>
      </c>
      <c r="AO51" s="277">
        <f t="shared" ref="AO51" si="90">AVERAGE(AJ51,AE51,Z51)</f>
        <v>1.8185343929133122</v>
      </c>
      <c r="AP51" s="277">
        <f t="shared" ref="AP51" si="91">AVERAGE(AK51,AF51,AA51)</f>
        <v>1.9905418854466401</v>
      </c>
      <c r="AQ51" s="31"/>
      <c r="AR51" s="277">
        <f t="shared" ref="AR51" si="92">AVERAGE(AM51,AH51,AC51)</f>
        <v>1.9717554159950328</v>
      </c>
      <c r="AS51" s="277">
        <f t="shared" ref="AS51" si="93">AVERAGE(AN51,AI51,AD51)</f>
        <v>1.9026770698190092</v>
      </c>
      <c r="AT51" s="277">
        <f t="shared" ref="AT51" si="94">AVERAGE(AO51,AJ51,AE51)</f>
        <v>1.8207440587802661</v>
      </c>
      <c r="AU51" s="277">
        <f t="shared" ref="AU51" si="95">AVERAGE(AP51,AK51,AF51)</f>
        <v>1.9893758849833016</v>
      </c>
      <c r="AV51" s="31"/>
    </row>
    <row r="52" spans="2:48" s="23" customFormat="1" outlineLevel="1" x14ac:dyDescent="0.3">
      <c r="B52" s="607" t="s">
        <v>255</v>
      </c>
      <c r="C52" s="608"/>
      <c r="D52" s="16">
        <f>D46/D51</f>
        <v>46.532769556025364</v>
      </c>
      <c r="E52" s="16">
        <f>E46/E51</f>
        <v>49.057157057654081</v>
      </c>
      <c r="F52" s="101">
        <f>F46/F51</f>
        <v>47.386524822695037</v>
      </c>
      <c r="G52" s="101">
        <f>G46/G51</f>
        <v>51.157934096751603</v>
      </c>
      <c r="H52" s="128"/>
      <c r="I52" s="101">
        <f>I46/I51</f>
        <v>44.658916115185114</v>
      </c>
      <c r="J52" s="101">
        <f>J46/J51</f>
        <v>45.447614756970509</v>
      </c>
      <c r="K52" s="101">
        <f>K46/K51</f>
        <v>52.784905660377355</v>
      </c>
      <c r="L52" s="16">
        <f>L46/L51</f>
        <v>46.44212869283691</v>
      </c>
      <c r="M52" s="28"/>
      <c r="N52" s="16">
        <f>N46/N51</f>
        <v>47.169586647796592</v>
      </c>
      <c r="O52" s="16">
        <f>O46/O51</f>
        <v>46.689419795221838</v>
      </c>
      <c r="P52" s="16">
        <f>P46/P51</f>
        <v>46.490027198549406</v>
      </c>
      <c r="Q52" s="16">
        <f>Q46/Q51</f>
        <v>44.74617638794107</v>
      </c>
      <c r="R52" s="28"/>
      <c r="S52" s="16">
        <f>S46/S51</f>
        <v>46.944794016383717</v>
      </c>
      <c r="T52" s="16">
        <f>T46/T51</f>
        <v>48.525833400924647</v>
      </c>
      <c r="U52" s="16">
        <f>U46/U51</f>
        <v>51.871671258034894</v>
      </c>
      <c r="V52" s="16">
        <f>V46/V51</f>
        <v>47.297900588256567</v>
      </c>
      <c r="W52" s="28"/>
      <c r="X52" s="16">
        <f>X46/X51</f>
        <v>46.229475691037628</v>
      </c>
      <c r="Y52" s="16">
        <f>Y46/Y51</f>
        <v>46.675501996330745</v>
      </c>
      <c r="Z52" s="16">
        <f>Z46/Z51</f>
        <v>50.223372718810005</v>
      </c>
      <c r="AA52" s="16">
        <f>AA46/AA51</f>
        <v>46.137492337702824</v>
      </c>
      <c r="AB52" s="28"/>
      <c r="AC52" s="16">
        <f>AC46/AC51</f>
        <v>46.77783484560468</v>
      </c>
      <c r="AD52" s="16">
        <f>AD46/AD51</f>
        <v>47.80650319327269</v>
      </c>
      <c r="AE52" s="16">
        <f>AE46/AE51</f>
        <v>49.423895824974551</v>
      </c>
      <c r="AF52" s="16">
        <f>AF46/AF51</f>
        <v>46.036833062594646</v>
      </c>
      <c r="AG52" s="28"/>
      <c r="AH52" s="16">
        <f>AH46/AH51</f>
        <v>46.648692949793499</v>
      </c>
      <c r="AI52" s="16">
        <f>AI46/AI51</f>
        <v>47.481750046467852</v>
      </c>
      <c r="AJ52" s="16">
        <f>AJ46/AJ51</f>
        <v>50.485908709345992</v>
      </c>
      <c r="AK52" s="16">
        <f>AK46/AK51</f>
        <v>46.483758197684644</v>
      </c>
      <c r="AL52" s="28"/>
      <c r="AM52" s="16">
        <f>AM46/AM51</f>
        <v>46.550820913699461</v>
      </c>
      <c r="AN52" s="16">
        <f>AN46/AN51</f>
        <v>47.143635400170609</v>
      </c>
      <c r="AO52" s="16">
        <f>AO46/AO51</f>
        <v>50.040296380766819</v>
      </c>
      <c r="AP52" s="16">
        <f>AP46/AP51</f>
        <v>46.218570266034334</v>
      </c>
      <c r="AQ52" s="28"/>
      <c r="AR52" s="16">
        <f>AR46/AR51</f>
        <v>46.658931048794827</v>
      </c>
      <c r="AS52" s="16">
        <f>AS46/AS51</f>
        <v>47.301773604998132</v>
      </c>
      <c r="AT52" s="16">
        <f>AT46/AT51</f>
        <v>49.979567178135831</v>
      </c>
      <c r="AU52" s="16">
        <f>AU46/AU51</f>
        <v>46.245659603324398</v>
      </c>
      <c r="AV52" s="28"/>
    </row>
    <row r="53" spans="2:48" s="23" customFormat="1" outlineLevel="1" x14ac:dyDescent="0.3">
      <c r="B53" s="580" t="s">
        <v>256</v>
      </c>
      <c r="C53" s="581"/>
      <c r="D53" s="30">
        <f t="shared" ref="D53:L53" si="96">(D12+D7)/D20</f>
        <v>2.4783172266068774E-2</v>
      </c>
      <c r="E53" s="30">
        <f t="shared" si="96"/>
        <v>1.862044337628033E-2</v>
      </c>
      <c r="F53" s="118">
        <f t="shared" si="96"/>
        <v>1.4104190097872643E-2</v>
      </c>
      <c r="G53" s="118">
        <f t="shared" si="96"/>
        <v>1.5114935950133718E-2</v>
      </c>
      <c r="H53" s="128">
        <f t="shared" si="96"/>
        <v>1.5114935950133718E-2</v>
      </c>
      <c r="I53" s="118">
        <f t="shared" si="96"/>
        <v>9.6713821566244626E-3</v>
      </c>
      <c r="J53" s="118">
        <f t="shared" si="96"/>
        <v>9.1597553031598795E-3</v>
      </c>
      <c r="K53" s="118">
        <f t="shared" si="96"/>
        <v>1.5555616562459249E-2</v>
      </c>
      <c r="L53" s="118">
        <f t="shared" si="96"/>
        <v>1.6589218539890038E-2</v>
      </c>
      <c r="M53" s="28"/>
      <c r="N53" s="118">
        <f>(N12+N7)/N20</f>
        <v>1.4228367975494099E-2</v>
      </c>
      <c r="O53" s="118">
        <f>(O12+O7)/O20</f>
        <v>1.4373528458035493E-2</v>
      </c>
      <c r="P53" s="118">
        <f>(P12+P7)/P20</f>
        <v>1.4910030939586384E-2</v>
      </c>
      <c r="Q53" s="118">
        <f>(Q12+Q7)/Q20</f>
        <v>1.4140275096678831E-2</v>
      </c>
      <c r="R53" s="28"/>
      <c r="S53" s="118">
        <f>(S12+S7)/S20</f>
        <v>1.3421701538813684E-2</v>
      </c>
      <c r="T53" s="118">
        <f>(T12+T7)/T20</f>
        <v>1.2669917130403319E-2</v>
      </c>
      <c r="U53" s="118">
        <f>(U12+U7)/U20</f>
        <v>1.3119668137035531E-2</v>
      </c>
      <c r="V53" s="34">
        <f>AVERAGE(Q53,S53,T53,U53)</f>
        <v>1.3337890475732842E-2</v>
      </c>
      <c r="W53" s="28"/>
      <c r="X53" s="34">
        <f>AVERAGE(S53,T53,U53,V53)</f>
        <v>1.3137294320496344E-2</v>
      </c>
      <c r="Y53" s="34">
        <f>AVERAGE(T53,U53,V53,X53)</f>
        <v>1.306619251591701E-2</v>
      </c>
      <c r="Z53" s="34">
        <f>AVERAGE(U53,V53,X53,Y53)</f>
        <v>1.3165261362295431E-2</v>
      </c>
      <c r="AA53" s="34">
        <f>AVERAGE(V53,X53,Y53,Z53)</f>
        <v>1.3176659668610407E-2</v>
      </c>
      <c r="AB53" s="28"/>
      <c r="AC53" s="34">
        <f>AVERAGE(X53,Y53,Z53,AA53)</f>
        <v>1.3136351966829798E-2</v>
      </c>
      <c r="AD53" s="34">
        <f>AVERAGE(Y53,Z53,AA53,AC53)</f>
        <v>1.3136116378413162E-2</v>
      </c>
      <c r="AE53" s="34">
        <f>AVERAGE(Z53,AA53,AC53,AD53)</f>
        <v>1.3153597344037201E-2</v>
      </c>
      <c r="AF53" s="34">
        <f>AVERAGE(AA53,AC53,AD53,AE53)</f>
        <v>1.3150681339472642E-2</v>
      </c>
      <c r="AG53" s="28"/>
      <c r="AH53" s="34">
        <f>AVERAGE(AC53,AD53,AE53,AF53)</f>
        <v>1.31441867571882E-2</v>
      </c>
      <c r="AI53" s="34">
        <f>AVERAGE(AD53,AE53,AF53,AH53)</f>
        <v>1.31461454547778E-2</v>
      </c>
      <c r="AJ53" s="34">
        <f>AVERAGE(AE53,AF53,AH53,AI53)</f>
        <v>1.3148652723868962E-2</v>
      </c>
      <c r="AK53" s="34">
        <f>AVERAGE(AF53,AH53,AI53,AJ53)</f>
        <v>1.3147416568826901E-2</v>
      </c>
      <c r="AL53" s="28"/>
      <c r="AM53" s="34">
        <f>AVERAGE(AH53,AI53,AJ53,AK53)</f>
        <v>1.3146600376165465E-2</v>
      </c>
      <c r="AN53" s="34">
        <f>AVERAGE(AI53,AJ53,AK53,AM53)</f>
        <v>1.3147203780909781E-2</v>
      </c>
      <c r="AO53" s="34">
        <f>AVERAGE(AJ53,AK53,AM53,AN53)</f>
        <v>1.3147468362442776E-2</v>
      </c>
      <c r="AP53" s="34">
        <f>AVERAGE(AK53,AM53,AN53,AO53)</f>
        <v>1.3147172272086231E-2</v>
      </c>
      <c r="AQ53" s="28"/>
      <c r="AR53" s="34">
        <f>AVERAGE(AM53,AN53,AO53,AP53)</f>
        <v>1.3147111197901063E-2</v>
      </c>
      <c r="AS53" s="34">
        <f>AVERAGE(AN53,AO53,AP53,AR53)</f>
        <v>1.3147238903334961E-2</v>
      </c>
      <c r="AT53" s="34">
        <f>AVERAGE(AO53,AP53,AR53,AS53)</f>
        <v>1.3147247683941257E-2</v>
      </c>
      <c r="AU53" s="34">
        <f>AVERAGE(AP53,AR53,AS53,AT53)</f>
        <v>1.3147192514315878E-2</v>
      </c>
      <c r="AV53" s="28"/>
    </row>
    <row r="54" spans="2:48" s="23" customFormat="1" outlineLevel="1" x14ac:dyDescent="0.3">
      <c r="B54" s="180" t="s">
        <v>257</v>
      </c>
      <c r="C54" s="201"/>
      <c r="D54" s="30">
        <f t="shared" ref="D54:L54" si="97">D7/(D7+D12)</f>
        <v>0.4648626817447496</v>
      </c>
      <c r="E54" s="30">
        <f t="shared" si="97"/>
        <v>0.23318112633181123</v>
      </c>
      <c r="F54" s="118">
        <f t="shared" si="97"/>
        <v>0.24465558194774345</v>
      </c>
      <c r="G54" s="118">
        <f t="shared" si="97"/>
        <v>0.24268502581755594</v>
      </c>
      <c r="H54" s="128">
        <f t="shared" si="97"/>
        <v>0.24268502581755594</v>
      </c>
      <c r="I54" s="118">
        <f t="shared" si="97"/>
        <v>0.25503355704697983</v>
      </c>
      <c r="J54" s="118">
        <f t="shared" si="97"/>
        <v>0.21017083829956296</v>
      </c>
      <c r="K54" s="118">
        <f t="shared" si="97"/>
        <v>0.50716964482682547</v>
      </c>
      <c r="L54" s="118">
        <f t="shared" si="97"/>
        <v>0.57705725425815724</v>
      </c>
      <c r="M54" s="28"/>
      <c r="N54" s="118">
        <f>N7/(N7+N12)</f>
        <v>0.55229831144465291</v>
      </c>
      <c r="O54" s="118">
        <f>O7/(O7+O12)</f>
        <v>0.30161844041196662</v>
      </c>
      <c r="P54" s="118">
        <f>P7/(P7+P12)</f>
        <v>0.34948805460750854</v>
      </c>
      <c r="Q54" s="118">
        <f>Q7/(Q7+Q12)</f>
        <v>0.3653976120747916</v>
      </c>
      <c r="R54" s="28"/>
      <c r="S54" s="118">
        <f>S7/(S7+S12)</f>
        <v>0.22583979328165377</v>
      </c>
      <c r="T54" s="118">
        <f>T7/(T7+T12)</f>
        <v>0.22327984770193088</v>
      </c>
      <c r="U54" s="118">
        <f>U7/(U7+U12)</f>
        <v>0.20817541959935032</v>
      </c>
      <c r="V54" s="34">
        <f>AVERAGE(Q54,S54,T54,U54)</f>
        <v>0.25567316816443164</v>
      </c>
      <c r="W54" s="28"/>
      <c r="X54" s="34">
        <f>AVERAGE(S54,T54,U54,V54)</f>
        <v>0.22824205718684165</v>
      </c>
      <c r="Y54" s="34">
        <f>AVERAGE(T54,U54,V54,X54)</f>
        <v>0.22884262316313861</v>
      </c>
      <c r="Z54" s="34">
        <f>AVERAGE(U54,V54,X54,Y54)</f>
        <v>0.23023331702844058</v>
      </c>
      <c r="AA54" s="34">
        <f>AVERAGE(V54,X54,Y54,Z54)</f>
        <v>0.23574779138571311</v>
      </c>
      <c r="AB54" s="28"/>
      <c r="AC54" s="34">
        <f>AVERAGE(X54,Y54,Z54,AA54)</f>
        <v>0.23076644719103351</v>
      </c>
      <c r="AD54" s="34">
        <f>AVERAGE(Y54,Z54,AA54,AC54)</f>
        <v>0.23139754469208146</v>
      </c>
      <c r="AE54" s="34">
        <f>AVERAGE(Z54,AA54,AC54,AD54)</f>
        <v>0.23203627507431718</v>
      </c>
      <c r="AF54" s="34">
        <f>AVERAGE(AA54,AC54,AD54,AE54)</f>
        <v>0.2324870145857863</v>
      </c>
      <c r="AG54" s="28"/>
      <c r="AH54" s="34">
        <f>AVERAGE(AC54,AD54,AE54,AF54)</f>
        <v>0.23167182038580458</v>
      </c>
      <c r="AI54" s="34">
        <f>AVERAGE(AD54,AE54,AF54,AH54)</f>
        <v>0.23189816368449739</v>
      </c>
      <c r="AJ54" s="34">
        <f>AVERAGE(AE54,AF54,AH54,AI54)</f>
        <v>0.23202331843260138</v>
      </c>
      <c r="AK54" s="34">
        <f>AVERAGE(AF54,AH54,AI54,AJ54)</f>
        <v>0.23202007927217241</v>
      </c>
      <c r="AL54" s="28"/>
      <c r="AM54" s="34">
        <f>AVERAGE(AH54,AI54,AJ54,AK54)</f>
        <v>0.23190334544376892</v>
      </c>
      <c r="AN54" s="34">
        <f>AVERAGE(AI54,AJ54,AK54,AM54)</f>
        <v>0.23196122670826003</v>
      </c>
      <c r="AO54" s="34">
        <f>AVERAGE(AJ54,AK54,AM54,AN54)</f>
        <v>0.23197699246420067</v>
      </c>
      <c r="AP54" s="34">
        <f>AVERAGE(AK54,AM54,AN54,AO54)</f>
        <v>0.23196541097210052</v>
      </c>
      <c r="AQ54" s="28"/>
      <c r="AR54" s="34">
        <f>AVERAGE(AM54,AN54,AO54,AP54)</f>
        <v>0.23195174389708254</v>
      </c>
      <c r="AS54" s="34">
        <f>AVERAGE(AN54,AO54,AP54,AR54)</f>
        <v>0.23196384351041094</v>
      </c>
      <c r="AT54" s="34">
        <f>AVERAGE(AO54,AP54,AR54,AS54)</f>
        <v>0.23196449771094868</v>
      </c>
      <c r="AU54" s="34">
        <f>AVERAGE(AP54,AR54,AS54,AT54)</f>
        <v>0.23196137402263567</v>
      </c>
      <c r="AV54" s="28"/>
    </row>
    <row r="55" spans="2:48" s="23" customFormat="1" outlineLevel="1" x14ac:dyDescent="0.3">
      <c r="B55" s="200" t="s">
        <v>258</v>
      </c>
      <c r="C55" s="201"/>
      <c r="D55" s="30">
        <f t="shared" ref="D55:L55" si="98">+D16/(D27+D33)</f>
        <v>7.7585075018799465E-2</v>
      </c>
      <c r="E55" s="30">
        <f t="shared" si="98"/>
        <v>0.12468259571674534</v>
      </c>
      <c r="F55" s="113">
        <f t="shared" si="98"/>
        <v>0.19119242713361023</v>
      </c>
      <c r="G55" s="113">
        <f t="shared" si="98"/>
        <v>0.22035590386103276</v>
      </c>
      <c r="H55" s="125">
        <f t="shared" si="98"/>
        <v>0.22035590386103276</v>
      </c>
      <c r="I55" s="281">
        <f t="shared" si="98"/>
        <v>0.20507171706404201</v>
      </c>
      <c r="J55" s="281">
        <f t="shared" si="98"/>
        <v>0.21050752296288999</v>
      </c>
      <c r="K55" s="113">
        <f t="shared" si="98"/>
        <v>0.2146584586535733</v>
      </c>
      <c r="L55" s="113">
        <f t="shared" si="98"/>
        <v>0.22220980757293607</v>
      </c>
      <c r="M55" s="282"/>
      <c r="N55" s="281">
        <f>+N16/(N27+N33)</f>
        <v>0.21164495979407008</v>
      </c>
      <c r="O55" s="281">
        <f>+O16/(O27+O33)</f>
        <v>0.21706605185058006</v>
      </c>
      <c r="P55" s="113">
        <f>+P16/(P27+P33)</f>
        <v>0.22796408734312845</v>
      </c>
      <c r="Q55" s="113">
        <f>+Q16/(Q27+Q33)</f>
        <v>0.23263143527192862</v>
      </c>
      <c r="R55" s="282"/>
      <c r="S55" s="281">
        <f>+S16/(S27+S33)</f>
        <v>0.21831564613072879</v>
      </c>
      <c r="T55" s="281">
        <f>+T16/(T27+T33)</f>
        <v>0.22164512770257855</v>
      </c>
      <c r="U55" s="281">
        <f>+U16/(U27+U33)</f>
        <v>0.21758667345241495</v>
      </c>
      <c r="V55" s="35">
        <f>AVERAGE(Q55,S55,T55,U55)</f>
        <v>0.22254472063941272</v>
      </c>
      <c r="W55" s="282"/>
      <c r="X55" s="283">
        <f>AVERAGE(S55,T55,U55,V55)</f>
        <v>0.22002304198128375</v>
      </c>
      <c r="Y55" s="283">
        <f>AVERAGE(T55,U55,V55,X55)</f>
        <v>0.22044989094392251</v>
      </c>
      <c r="Z55" s="35">
        <f>AVERAGE(U55,V55,X55,Y55)</f>
        <v>0.22015108175425849</v>
      </c>
      <c r="AA55" s="284">
        <f>AVERAGE(V55,X55,Y55,Z55)</f>
        <v>0.22079218382971935</v>
      </c>
      <c r="AB55" s="28"/>
      <c r="AC55" s="283">
        <f>AVERAGE(X55,Y55,Z55,AA55)</f>
        <v>0.22035404962729602</v>
      </c>
      <c r="AD55" s="283">
        <f>AVERAGE(Y55,Z55,AA55,AC55)</f>
        <v>0.22043680153879908</v>
      </c>
      <c r="AE55" s="35">
        <f>AVERAGE(Z55,AA55,AC55,AD55)</f>
        <v>0.22043352918751824</v>
      </c>
      <c r="AF55" s="284">
        <f>AVERAGE(AA55,AC55,AD55,AE55)</f>
        <v>0.22050414104583319</v>
      </c>
      <c r="AG55" s="28"/>
      <c r="AH55" s="283">
        <f>AVERAGE(AC55,AD55,AE55,AF55)</f>
        <v>0.22043213034986162</v>
      </c>
      <c r="AI55" s="283">
        <f>AVERAGE(AD55,AE55,AF55,AH55)</f>
        <v>0.22045165053050303</v>
      </c>
      <c r="AJ55" s="35">
        <f>AVERAGE(AE55,AF55,AH55,AI55)</f>
        <v>0.22045536277842903</v>
      </c>
      <c r="AK55" s="284">
        <f>AVERAGE(AF55,AH55,AI55,AJ55)</f>
        <v>0.2204608211761567</v>
      </c>
      <c r="AL55" s="28"/>
      <c r="AM55" s="283">
        <f>AVERAGE(AH55,AI55,AJ55,AK55)</f>
        <v>0.22044999120873759</v>
      </c>
      <c r="AN55" s="283">
        <f>AVERAGE(AI55,AJ55,AK55,AM55)</f>
        <v>0.22045445642345657</v>
      </c>
      <c r="AO55" s="35">
        <f>AVERAGE(AJ55,AK55,AM55,AN55)</f>
        <v>0.22045515789669495</v>
      </c>
      <c r="AP55" s="284">
        <f>AVERAGE(AK55,AM55,AN55,AO55)</f>
        <v>0.22045510667626145</v>
      </c>
      <c r="AQ55" s="28"/>
      <c r="AR55" s="283">
        <f>AVERAGE(AM55,AN55,AO55,AP55)</f>
        <v>0.22045367805128763</v>
      </c>
      <c r="AS55" s="283">
        <f>AVERAGE(AN55,AO55,AP55,AR55)</f>
        <v>0.22045459976192516</v>
      </c>
      <c r="AT55" s="35">
        <f>AVERAGE(AO55,AP55,AR55,AS55)</f>
        <v>0.2204546355965423</v>
      </c>
      <c r="AU55" s="284">
        <f>AVERAGE(AP55,AR55,AS55,AT55)</f>
        <v>0.22045450502150413</v>
      </c>
      <c r="AV55" s="28"/>
    </row>
    <row r="56" spans="2:48" outlineLevel="1" x14ac:dyDescent="0.3">
      <c r="B56" s="200" t="s">
        <v>259</v>
      </c>
      <c r="C56" s="201"/>
      <c r="D56" s="285"/>
      <c r="E56" s="285">
        <f>+'CFS 3Q2022'!E7/((E14+D14)/2)</f>
        <v>6.122482504846076E-2</v>
      </c>
      <c r="F56" s="286">
        <f>+'CFS 3Q2022'!F7/((F14+E14)/2)</f>
        <v>5.8442138063667992E-2</v>
      </c>
      <c r="G56" s="286">
        <f>+'CFS 3Q2022'!G7/((G14+F14)/2)</f>
        <v>5.7957922263164152E-2</v>
      </c>
      <c r="H56" s="125">
        <f>+'CFS 3Q2022'!H7/((H14+G14)/2)</f>
        <v>0.2253370026587061</v>
      </c>
      <c r="I56" s="287">
        <f>+'CFS 3Q2022'!I7/((I14+G14)/2)</f>
        <v>5.75858250276855E-2</v>
      </c>
      <c r="J56" s="287">
        <f>+'CFS 3Q2022'!J7/((J14+I14)/2)</f>
        <v>5.9117695395957084E-2</v>
      </c>
      <c r="K56" s="286">
        <f>+'CFS 3Q2022'!K7/((K14+J14)/2)</f>
        <v>5.9467301657388859E-2</v>
      </c>
      <c r="L56" s="286">
        <f>+'CFS 3Q2022'!L7/((L14+K14)/2)</f>
        <v>6.0492940894950963E-2</v>
      </c>
      <c r="M56" s="282"/>
      <c r="N56" s="287">
        <f>+'CFS 3Q2022'!N7/((N14+L14)/2)</f>
        <v>6.2547808652661588E-2</v>
      </c>
      <c r="O56" s="287">
        <f>+'CFS 3Q2022'!O7/((O14+N14)/2)</f>
        <v>6.251524266319812E-2</v>
      </c>
      <c r="P56" s="286">
        <f>+'CFS 3Q2022'!P7/((P14+O14)/2)</f>
        <v>6.0825288199111989E-2</v>
      </c>
      <c r="Q56" s="286">
        <f>+'CFS 3Q2022'!Q7/((Q14+P14)/2)</f>
        <v>6.0363072942040873E-2</v>
      </c>
      <c r="R56" s="282"/>
      <c r="S56" s="287">
        <f>+'CFS 3Q2022'!S7/((S14+Q14)/2)</f>
        <v>6.052868611709418E-2</v>
      </c>
      <c r="T56" s="287">
        <f>+'CFS 3Q2022'!T7/((T14+S14)/2)</f>
        <v>6.0861044576476821E-2</v>
      </c>
      <c r="U56" s="287">
        <f>+'CFS 3Q2022'!U7/((U14+T14)/2)</f>
        <v>6.0812805967829661E-2</v>
      </c>
      <c r="V56" s="288">
        <f>AVERAGE(Q56,S56,T56,U56)</f>
        <v>6.0641402400860384E-2</v>
      </c>
      <c r="W56" s="282"/>
      <c r="X56" s="289">
        <f>AVERAGE(S56,T56,U56,V56)</f>
        <v>6.0710984765565267E-2</v>
      </c>
      <c r="Y56" s="289">
        <f>AVERAGE(T56,U56,V56,X56)</f>
        <v>6.0756559427683036E-2</v>
      </c>
      <c r="Z56" s="288">
        <f>AVERAGE(U56,V56,X56,Y56)</f>
        <v>6.0730438140484587E-2</v>
      </c>
      <c r="AA56" s="288">
        <f>AVERAGE(V56,X56,Y56,Z56)</f>
        <v>6.0709846183648324E-2</v>
      </c>
      <c r="AB56" s="290"/>
      <c r="AC56" s="289">
        <f>AVERAGE(X56,Y56,Z56,AA56)</f>
        <v>6.0726957129345303E-2</v>
      </c>
      <c r="AD56" s="289">
        <f>AVERAGE(Y56,Z56,AA56,AC56)</f>
        <v>6.0730950220290313E-2</v>
      </c>
      <c r="AE56" s="288">
        <f>AVERAGE(Z56,AA56,AC56,AD56)</f>
        <v>6.0724547918442132E-2</v>
      </c>
      <c r="AF56" s="288">
        <f>AVERAGE(AA56,AC56,AD56,AE56)</f>
        <v>6.072307536293152E-2</v>
      </c>
      <c r="AG56" s="290"/>
      <c r="AH56" s="289">
        <f>AVERAGE(AC56,AD56,AE56,AF56)</f>
        <v>6.072638265775232E-2</v>
      </c>
      <c r="AI56" s="289">
        <f>AVERAGE(AD56,AE56,AF56,AH56)</f>
        <v>6.0726239039854066E-2</v>
      </c>
      <c r="AJ56" s="288">
        <f>AVERAGE(AE56,AF56,AH56,AI56)</f>
        <v>6.0725061244745013E-2</v>
      </c>
      <c r="AK56" s="288">
        <f>AVERAGE(AF56,AH56,AI56,AJ56)</f>
        <v>6.0725189576320726E-2</v>
      </c>
      <c r="AL56" s="290"/>
      <c r="AM56" s="289">
        <f>AVERAGE(AH56,AI56,AJ56,AK56)</f>
        <v>6.0725718129668031E-2</v>
      </c>
      <c r="AN56" s="289">
        <f>AVERAGE(AI56,AJ56,AK56,AM56)</f>
        <v>6.0725551997646961E-2</v>
      </c>
      <c r="AO56" s="288">
        <f>AVERAGE(AJ56,AK56,AM56,AN56)</f>
        <v>6.0725380237095179E-2</v>
      </c>
      <c r="AP56" s="288">
        <f>AVERAGE(AK56,AM56,AN56,AO56)</f>
        <v>6.0725459985182723E-2</v>
      </c>
      <c r="AQ56" s="290"/>
      <c r="AR56" s="289">
        <f>AVERAGE(AM56,AN56,AO56,AP56)</f>
        <v>6.0725527587398222E-2</v>
      </c>
      <c r="AS56" s="289">
        <f>AVERAGE(AN56,AO56,AP56,AR56)</f>
        <v>6.0725479951830773E-2</v>
      </c>
      <c r="AT56" s="288">
        <f>AVERAGE(AO56,AP56,AR56,AS56)</f>
        <v>6.0725461940376722E-2</v>
      </c>
      <c r="AU56" s="288">
        <f>AVERAGE(AP56,AR56,AS56,AT56)</f>
        <v>6.0725482366197112E-2</v>
      </c>
      <c r="AV56" s="290"/>
    </row>
    <row r="57" spans="2:48" outlineLevel="1" x14ac:dyDescent="0.3">
      <c r="B57" s="200"/>
      <c r="C57" s="201"/>
      <c r="D57" s="285"/>
      <c r="E57" s="285"/>
      <c r="F57" s="286"/>
      <c r="G57" s="286"/>
      <c r="H57" s="125"/>
      <c r="I57" s="287"/>
      <c r="J57" s="287"/>
      <c r="K57" s="286"/>
      <c r="L57" s="286"/>
      <c r="M57" s="282"/>
      <c r="N57" s="287"/>
      <c r="O57" s="287"/>
      <c r="P57" s="286"/>
      <c r="Q57" s="286"/>
      <c r="R57" s="282"/>
      <c r="S57" s="287"/>
      <c r="T57" s="287"/>
      <c r="U57" s="287"/>
      <c r="V57" s="288"/>
      <c r="W57" s="282"/>
      <c r="X57" s="289"/>
      <c r="Y57" s="289"/>
      <c r="Z57" s="288"/>
      <c r="AA57" s="288"/>
      <c r="AB57" s="290"/>
      <c r="AC57" s="289"/>
      <c r="AD57" s="289"/>
      <c r="AE57" s="288"/>
      <c r="AF57" s="288"/>
      <c r="AG57" s="290"/>
      <c r="AH57" s="289"/>
      <c r="AI57" s="289"/>
      <c r="AJ57" s="288"/>
      <c r="AK57" s="288"/>
      <c r="AL57" s="290"/>
      <c r="AM57" s="289"/>
      <c r="AN57" s="289"/>
      <c r="AO57" s="288"/>
      <c r="AP57" s="288"/>
      <c r="AQ57" s="290"/>
      <c r="AR57" s="289"/>
      <c r="AS57" s="289"/>
      <c r="AT57" s="288"/>
      <c r="AU57" s="288"/>
      <c r="AV57" s="290"/>
    </row>
    <row r="58" spans="2:48" s="296" customFormat="1" outlineLevel="1" x14ac:dyDescent="0.3">
      <c r="B58" s="291" t="s">
        <v>260</v>
      </c>
      <c r="C58" s="249"/>
      <c r="D58" s="292"/>
      <c r="E58" s="292"/>
      <c r="F58" s="293"/>
      <c r="G58" s="293"/>
      <c r="H58" s="294"/>
      <c r="I58" s="292"/>
      <c r="J58" s="292"/>
      <c r="K58" s="293"/>
      <c r="L58" s="293"/>
      <c r="M58" s="294"/>
      <c r="N58" s="292"/>
      <c r="O58" s="292"/>
      <c r="P58" s="293"/>
      <c r="Q58" s="293"/>
      <c r="R58" s="294"/>
      <c r="S58" s="292"/>
      <c r="T58" s="292"/>
      <c r="U58" s="292"/>
      <c r="V58" s="293"/>
      <c r="W58" s="294"/>
      <c r="X58" s="292"/>
      <c r="Y58" s="292"/>
      <c r="Z58" s="293"/>
      <c r="AA58" s="293"/>
      <c r="AB58" s="295"/>
      <c r="AC58" s="292"/>
      <c r="AD58" s="292"/>
      <c r="AE58" s="293"/>
      <c r="AF58" s="293"/>
      <c r="AG58" s="295"/>
      <c r="AH58" s="292"/>
      <c r="AI58" s="292"/>
      <c r="AJ58" s="293"/>
      <c r="AK58" s="293"/>
      <c r="AL58" s="295"/>
      <c r="AM58" s="292"/>
      <c r="AN58" s="292"/>
      <c r="AO58" s="293"/>
      <c r="AP58" s="293"/>
      <c r="AQ58" s="295"/>
      <c r="AR58" s="292"/>
      <c r="AS58" s="292"/>
      <c r="AT58" s="293"/>
      <c r="AU58" s="293"/>
      <c r="AV58" s="295"/>
    </row>
    <row r="59" spans="2:48" s="302" customFormat="1" outlineLevel="1" x14ac:dyDescent="0.3">
      <c r="B59" s="200" t="s">
        <v>261</v>
      </c>
      <c r="C59" s="297"/>
      <c r="D59" s="298"/>
      <c r="E59" s="298"/>
      <c r="F59" s="146"/>
      <c r="G59" s="146"/>
      <c r="H59" s="122"/>
      <c r="I59" s="299"/>
      <c r="J59" s="299"/>
      <c r="K59" s="146"/>
      <c r="L59" s="146"/>
      <c r="M59" s="26"/>
      <c r="N59" s="299"/>
      <c r="O59" s="299"/>
      <c r="P59" s="146"/>
      <c r="Q59" s="146"/>
      <c r="R59" s="26"/>
      <c r="S59" s="299"/>
      <c r="T59" s="299"/>
      <c r="U59" s="299"/>
      <c r="V59" s="300">
        <v>199</v>
      </c>
      <c r="W59" s="26"/>
      <c r="X59" s="301">
        <v>0</v>
      </c>
      <c r="Y59" s="301">
        <v>1000</v>
      </c>
      <c r="Z59" s="300">
        <v>0</v>
      </c>
      <c r="AA59" s="300">
        <v>0</v>
      </c>
      <c r="AB59" s="6"/>
      <c r="AC59" s="301">
        <v>750</v>
      </c>
      <c r="AD59" s="301">
        <f>500+626.3</f>
        <v>1126.3</v>
      </c>
      <c r="AE59" s="300">
        <v>0</v>
      </c>
      <c r="AF59" s="300">
        <v>0</v>
      </c>
      <c r="AG59" s="6"/>
      <c r="AH59" s="301">
        <v>0</v>
      </c>
      <c r="AI59" s="301">
        <v>0</v>
      </c>
      <c r="AJ59" s="300">
        <v>0</v>
      </c>
      <c r="AK59" s="300">
        <v>1250</v>
      </c>
      <c r="AL59" s="6"/>
      <c r="AM59" s="301">
        <v>0</v>
      </c>
      <c r="AN59" s="301">
        <v>0</v>
      </c>
      <c r="AO59" s="300">
        <v>500</v>
      </c>
      <c r="AP59" s="300">
        <v>0</v>
      </c>
      <c r="AQ59" s="6"/>
      <c r="AR59" s="301">
        <v>0</v>
      </c>
      <c r="AS59" s="301">
        <v>500</v>
      </c>
      <c r="AT59" s="300">
        <v>0</v>
      </c>
      <c r="AU59" s="300">
        <v>0</v>
      </c>
      <c r="AV59" s="6"/>
    </row>
    <row r="60" spans="2:48" s="302" customFormat="1" outlineLevel="1" x14ac:dyDescent="0.3">
      <c r="B60" s="200" t="s">
        <v>262</v>
      </c>
      <c r="C60" s="297"/>
      <c r="D60" s="298"/>
      <c r="E60" s="298"/>
      <c r="F60" s="146"/>
      <c r="G60" s="146"/>
      <c r="H60" s="122"/>
      <c r="I60" s="299"/>
      <c r="J60" s="299"/>
      <c r="K60" s="146"/>
      <c r="L60" s="146"/>
      <c r="M60" s="26"/>
      <c r="N60" s="299"/>
      <c r="O60" s="299"/>
      <c r="P60" s="146"/>
      <c r="Q60" s="146"/>
      <c r="R60" s="26"/>
      <c r="S60" s="299"/>
      <c r="T60" s="299"/>
      <c r="U60" s="299"/>
      <c r="V60" s="300">
        <f>Z59</f>
        <v>0</v>
      </c>
      <c r="W60" s="26"/>
      <c r="X60" s="300">
        <f>AA59</f>
        <v>0</v>
      </c>
      <c r="Y60" s="300">
        <f>AC59</f>
        <v>750</v>
      </c>
      <c r="Z60" s="300">
        <f>AD59</f>
        <v>1126.3</v>
      </c>
      <c r="AA60" s="300">
        <f>AE59</f>
        <v>0</v>
      </c>
      <c r="AB60" s="6"/>
      <c r="AC60" s="300">
        <f>AF59</f>
        <v>0</v>
      </c>
      <c r="AD60" s="300">
        <f>AH59</f>
        <v>0</v>
      </c>
      <c r="AE60" s="300">
        <f>AI59</f>
        <v>0</v>
      </c>
      <c r="AF60" s="300">
        <f>AJ59</f>
        <v>0</v>
      </c>
      <c r="AG60" s="6"/>
      <c r="AH60" s="300">
        <f>AK59</f>
        <v>1250</v>
      </c>
      <c r="AI60" s="300">
        <f>AM59</f>
        <v>0</v>
      </c>
      <c r="AJ60" s="300">
        <f>AN59</f>
        <v>0</v>
      </c>
      <c r="AK60" s="300">
        <f>AO59</f>
        <v>500</v>
      </c>
      <c r="AL60" s="6"/>
      <c r="AM60" s="300">
        <f>AP59</f>
        <v>0</v>
      </c>
      <c r="AN60" s="300">
        <f>AR59</f>
        <v>0</v>
      </c>
      <c r="AO60" s="300">
        <f>AS59</f>
        <v>500</v>
      </c>
      <c r="AP60" s="300">
        <f>AT59</f>
        <v>0</v>
      </c>
      <c r="AQ60" s="6"/>
      <c r="AR60" s="300">
        <f>AU60</f>
        <v>0</v>
      </c>
      <c r="AS60" s="300">
        <f t="shared" ref="AS60:AU60" si="99">AW60</f>
        <v>0</v>
      </c>
      <c r="AT60" s="300">
        <f t="shared" si="99"/>
        <v>0</v>
      </c>
      <c r="AU60" s="300">
        <f t="shared" si="99"/>
        <v>0</v>
      </c>
      <c r="AV60" s="6"/>
    </row>
    <row r="61" spans="2:48" s="302" customFormat="1" outlineLevel="1" x14ac:dyDescent="0.3">
      <c r="B61" s="200" t="s">
        <v>263</v>
      </c>
      <c r="C61" s="297"/>
      <c r="D61" s="298"/>
      <c r="E61" s="298"/>
      <c r="F61" s="146"/>
      <c r="G61" s="146"/>
      <c r="H61" s="122"/>
      <c r="I61" s="299"/>
      <c r="J61" s="299"/>
      <c r="K61" s="146"/>
      <c r="L61" s="146"/>
      <c r="M61" s="26"/>
      <c r="N61" s="299"/>
      <c r="O61" s="299"/>
      <c r="P61" s="146"/>
      <c r="Q61" s="146"/>
      <c r="R61" s="26"/>
      <c r="S61" s="299"/>
      <c r="T61" s="299"/>
      <c r="U61" s="299"/>
      <c r="V61" s="300">
        <v>0</v>
      </c>
      <c r="W61" s="26"/>
      <c r="X61" s="301">
        <v>0</v>
      </c>
      <c r="Y61" s="301">
        <v>1000</v>
      </c>
      <c r="Z61" s="300">
        <v>0</v>
      </c>
      <c r="AA61" s="300">
        <v>0</v>
      </c>
      <c r="AB61" s="6"/>
      <c r="AC61" s="301">
        <v>750</v>
      </c>
      <c r="AD61" s="301">
        <v>1126</v>
      </c>
      <c r="AE61" s="300">
        <v>0</v>
      </c>
      <c r="AF61" s="300">
        <f>0.5*(SUM('IS 3Q2022'!AC154:AF154))</f>
        <v>100</v>
      </c>
      <c r="AG61" s="6"/>
      <c r="AH61" s="301"/>
      <c r="AI61" s="301"/>
      <c r="AJ61" s="300">
        <f>0.5*(SUM('IS 3Q2022'!AH154:AK154))</f>
        <v>5290.5983828510816</v>
      </c>
      <c r="AK61" s="300">
        <v>1250</v>
      </c>
      <c r="AL61" s="6"/>
      <c r="AM61" s="301">
        <v>0</v>
      </c>
      <c r="AN61" s="301">
        <v>0</v>
      </c>
      <c r="AO61" s="300">
        <v>500</v>
      </c>
      <c r="AP61" s="300">
        <v>0</v>
      </c>
      <c r="AQ61" s="6"/>
      <c r="AR61" s="301">
        <v>0</v>
      </c>
      <c r="AS61" s="301">
        <v>500</v>
      </c>
      <c r="AT61" s="300">
        <v>0</v>
      </c>
      <c r="AU61" s="300">
        <v>0</v>
      </c>
      <c r="AV61" s="6"/>
    </row>
    <row r="62" spans="2:48" s="23" customFormat="1" outlineLevel="1" x14ac:dyDescent="0.3">
      <c r="B62" s="200" t="s">
        <v>264</v>
      </c>
      <c r="C62" s="201"/>
      <c r="D62" s="179">
        <f>+(D28+D31)/D41</f>
        <v>-3.1717034875642636</v>
      </c>
      <c r="E62" s="179">
        <f>+(E28+E31)/E41</f>
        <v>-1.8304138862408643</v>
      </c>
      <c r="F62" s="303">
        <f>+(F28+F31)/F41</f>
        <v>-2.5837230840472332</v>
      </c>
      <c r="G62" s="303">
        <f>+(G28+G31)/G41</f>
        <v>-1.7921681913015568</v>
      </c>
      <c r="H62" s="128"/>
      <c r="I62" s="303">
        <f>+(I28+I31)/I41</f>
        <v>-1.7235726649997785</v>
      </c>
      <c r="J62" s="303">
        <f>+(J28+J31)/J41</f>
        <v>-1.8605318005017988</v>
      </c>
      <c r="K62" s="303">
        <f>+(K28+K31)/K41</f>
        <v>-1.9516598448569742</v>
      </c>
      <c r="L62" s="179">
        <f>+(L28+L31)/L41</f>
        <v>-2.0960971356771032</v>
      </c>
      <c r="M62" s="28"/>
      <c r="N62" s="179">
        <f>+(N28+N31)/N41</f>
        <v>-2.0136766194331983</v>
      </c>
      <c r="O62" s="179">
        <f>+(O28+O31)/O41</f>
        <v>-1.9152752899337104</v>
      </c>
      <c r="P62" s="179">
        <f>+(P28+P31)/P41</f>
        <v>-2.1515240716482933</v>
      </c>
      <c r="Q62" s="179">
        <f>+(Q28+Q31)/Q41</f>
        <v>-2.7501740521215541</v>
      </c>
      <c r="R62" s="28"/>
      <c r="S62" s="179">
        <f t="shared" ref="S62:AA62" si="100">+(S28+S31)/S41</f>
        <v>-1.7497130279398361</v>
      </c>
      <c r="T62" s="179">
        <f t="shared" si="100"/>
        <v>-1.8277176642469066</v>
      </c>
      <c r="U62" s="179">
        <f t="shared" si="100"/>
        <v>-1.7473235630391852</v>
      </c>
      <c r="V62" s="179">
        <f t="shared" si="100"/>
        <v>-1.7742139209382464</v>
      </c>
      <c r="W62" s="28">
        <f t="shared" si="100"/>
        <v>-1.7742139209382464</v>
      </c>
      <c r="X62" s="179">
        <f t="shared" si="100"/>
        <v>-1.8367932095831883</v>
      </c>
      <c r="Y62" s="179">
        <f t="shared" si="100"/>
        <v>-1.8964761972124962</v>
      </c>
      <c r="Z62" s="179">
        <f t="shared" si="100"/>
        <v>-2.0223795405290299</v>
      </c>
      <c r="AA62" s="179">
        <f t="shared" si="100"/>
        <v>-2.179230948690738</v>
      </c>
      <c r="AB62" s="28"/>
      <c r="AC62" s="179">
        <f>+(AC28+AC31)/AC41</f>
        <v>-2.3862999073578428</v>
      </c>
      <c r="AD62" s="179">
        <f>+(AD28+AD31)/AD41</f>
        <v>-2.5459234117428156</v>
      </c>
      <c r="AE62" s="179">
        <f>+(AE28+AE31)/AE41</f>
        <v>-2.7960250496436827</v>
      </c>
      <c r="AF62" s="179">
        <f>+(AF28+AF31)/AF41</f>
        <v>-3.0939610523505015</v>
      </c>
      <c r="AG62" s="28"/>
      <c r="AH62" s="179">
        <f>+(AH28+AH31)/AH41</f>
        <v>-3.5850136046613872</v>
      </c>
      <c r="AI62" s="179">
        <f>+(AI28+AI31)/AI41</f>
        <v>-4.0090181974628498</v>
      </c>
      <c r="AJ62" s="179">
        <f>+(AJ28+AJ31)/AJ41</f>
        <v>-2.5149749933620966</v>
      </c>
      <c r="AK62" s="179">
        <f>+(AK28+AK31)/AK41</f>
        <v>-1.6212297121081063</v>
      </c>
      <c r="AL62" s="28"/>
      <c r="AM62" s="179">
        <f>+(AM28+AM31)/AM41</f>
        <v>-1.7018014851359355</v>
      </c>
      <c r="AN62" s="179">
        <f>+(AN28+AN31)/AN41</f>
        <v>-1.751868987564791</v>
      </c>
      <c r="AO62" s="179">
        <f>+(AO28+AO31)/AO41</f>
        <v>-1.8636306505597473</v>
      </c>
      <c r="AP62" s="179">
        <f>+(AP28+AP31)/AP41</f>
        <v>-1.976112765427495</v>
      </c>
      <c r="AQ62" s="28"/>
      <c r="AR62" s="179">
        <f>+(AR28+AR31)/AR41</f>
        <v>-2.1254002086966941</v>
      </c>
      <c r="AS62" s="179">
        <f>+(AS28+AS31)/AS41</f>
        <v>-2.2316426865646166</v>
      </c>
      <c r="AT62" s="179">
        <f>+(AT28+AT31)/AT41</f>
        <v>-2.448143658928958</v>
      </c>
      <c r="AU62" s="179">
        <f>+(AU28+AU31)/AU41</f>
        <v>-2.6814356187108959</v>
      </c>
      <c r="AV62" s="28"/>
    </row>
    <row r="63" spans="2:48" s="23" customFormat="1" outlineLevel="1" x14ac:dyDescent="0.3">
      <c r="B63" s="200" t="s">
        <v>265</v>
      </c>
      <c r="C63" s="201"/>
      <c r="D63" s="179">
        <f>+D28/(D28+D31)</f>
        <v>0</v>
      </c>
      <c r="E63" s="179">
        <f>+E28/(E28+E31)</f>
        <v>8.1375793413985785E-3</v>
      </c>
      <c r="F63" s="303">
        <f>+F28/(F28+F31)</f>
        <v>0</v>
      </c>
      <c r="G63" s="303">
        <f>+G28/(G28+G31)</f>
        <v>0</v>
      </c>
      <c r="H63" s="128"/>
      <c r="I63" s="303">
        <f>+I28/(I28+I31)</f>
        <v>8.5546532987690757E-2</v>
      </c>
      <c r="J63" s="303">
        <f>+J28/(J28+J31)</f>
        <v>0.16813887778982817</v>
      </c>
      <c r="K63" s="303">
        <f>+K28/(K28+K31)</f>
        <v>0.12987992894360045</v>
      </c>
      <c r="L63" s="179">
        <f>+L28/(L28+L31)</f>
        <v>0.10329514383758555</v>
      </c>
      <c r="M63" s="28"/>
      <c r="N63" s="179">
        <f>+N28/(N28+N31)</f>
        <v>7.8071889470410452E-2</v>
      </c>
      <c r="O63" s="179">
        <f>+O28/(O28+O31)</f>
        <v>1.2492661414742708E-3</v>
      </c>
      <c r="P63" s="179">
        <f>+P28/(P28+P31)</f>
        <v>6.8333093904132544E-2</v>
      </c>
      <c r="Q63" s="179">
        <f>+Q28/(Q28+Q31)</f>
        <v>6.8343847069609609E-2</v>
      </c>
      <c r="R63" s="28"/>
      <c r="S63" s="179">
        <f t="shared" ref="S63:AA63" si="101">+S28/(S28+S31)</f>
        <v>8.1112704252786494E-2</v>
      </c>
      <c r="T63" s="179">
        <f t="shared" si="101"/>
        <v>0.12481109098857178</v>
      </c>
      <c r="U63" s="179">
        <f t="shared" si="101"/>
        <v>7.9253663276029576E-2</v>
      </c>
      <c r="V63" s="179">
        <f t="shared" si="101"/>
        <v>6.6981896603687655E-2</v>
      </c>
      <c r="W63" s="28">
        <f t="shared" si="101"/>
        <v>6.6981896603687655E-2</v>
      </c>
      <c r="X63" s="179">
        <f t="shared" si="101"/>
        <v>6.6981896603687655E-2</v>
      </c>
      <c r="Y63" s="179">
        <f t="shared" si="101"/>
        <v>5.0238096832742829E-2</v>
      </c>
      <c r="Z63" s="179">
        <f t="shared" si="101"/>
        <v>0.12567226356080344</v>
      </c>
      <c r="AA63" s="179">
        <f t="shared" si="101"/>
        <v>0.12567226356080344</v>
      </c>
      <c r="AB63" s="28"/>
      <c r="AC63" s="179">
        <f>+AC28/(AC28+AC31)</f>
        <v>7.5440864247968975E-2</v>
      </c>
      <c r="AD63" s="179">
        <f>+AD28/(AD28+AD31)</f>
        <v>6.6976544813945215E-6</v>
      </c>
      <c r="AE63" s="179">
        <f>+AE28/(AE28+AE31)</f>
        <v>6.6976544813945215E-6</v>
      </c>
      <c r="AF63" s="179">
        <f>+AF28/(AF28+AF31)</f>
        <v>6.6530943541780797E-6</v>
      </c>
      <c r="AG63" s="28"/>
      <c r="AH63" s="179">
        <f>+AH28/(AH28+AH31)</f>
        <v>8.3170332521655815E-2</v>
      </c>
      <c r="AI63" s="179">
        <f>+AI28/(AI28+AI31)</f>
        <v>8.3170332521655815E-2</v>
      </c>
      <c r="AJ63" s="179">
        <f>+AJ28/(AJ28+AJ31)</f>
        <v>6.1517041290977743E-2</v>
      </c>
      <c r="AK63" s="179">
        <f>+AK28/(AK28+AK31)</f>
        <v>2.460976909816652E-2</v>
      </c>
      <c r="AL63" s="28"/>
      <c r="AM63" s="179">
        <f>+AM28/(AM28+AM31)</f>
        <v>2.460976909816652E-2</v>
      </c>
      <c r="AN63" s="179">
        <f>+AN28/(AN28+AN31)</f>
        <v>2.460976909816652E-2</v>
      </c>
      <c r="AO63" s="179">
        <f>+AO28/(AO28+AO31)</f>
        <v>2.460976909816652E-2</v>
      </c>
      <c r="AP63" s="179">
        <f>+AP28/(AP28+AP31)</f>
        <v>2.460976909816652E-2</v>
      </c>
      <c r="AQ63" s="28"/>
      <c r="AR63" s="179">
        <f>+AR28/(AR28+AR31)</f>
        <v>2.460976909816652E-2</v>
      </c>
      <c r="AS63" s="179">
        <f>+AS28/(AS28+AS31)</f>
        <v>4.9209696257036872E-6</v>
      </c>
      <c r="AT63" s="179">
        <f>+AT28/(AT28+AT31)</f>
        <v>4.9209696257036872E-6</v>
      </c>
      <c r="AU63" s="179">
        <f>+AU28/(AU28+AU31)</f>
        <v>4.9209696257036872E-6</v>
      </c>
      <c r="AV63" s="28"/>
    </row>
    <row r="64" spans="2:48" outlineLevel="1" x14ac:dyDescent="0.3">
      <c r="B64" s="200" t="s">
        <v>328</v>
      </c>
      <c r="C64" s="201"/>
      <c r="D64" s="304"/>
      <c r="E64" s="304"/>
      <c r="F64" s="304"/>
      <c r="G64" s="304"/>
      <c r="H64" s="306"/>
      <c r="I64" s="305"/>
      <c r="J64" s="305"/>
      <c r="K64" s="305"/>
      <c r="L64" s="305"/>
      <c r="M64" s="306">
        <f>M67/(M65-M66)</f>
        <v>14.55407378391847</v>
      </c>
      <c r="N64" s="305"/>
      <c r="O64" s="305"/>
      <c r="P64" s="305"/>
      <c r="Q64" s="305"/>
      <c r="R64" s="306">
        <f>R67/(R65-R66)</f>
        <v>3.5268936560411204</v>
      </c>
      <c r="S64" s="305"/>
      <c r="T64" s="305"/>
      <c r="U64" s="305"/>
      <c r="V64" s="305"/>
      <c r="W64" s="306">
        <f>W67/(W65-W66)</f>
        <v>4.1761593231356127</v>
      </c>
      <c r="X64" s="307"/>
      <c r="Y64" s="307"/>
      <c r="Z64" s="307"/>
      <c r="AA64" s="307"/>
      <c r="AB64" s="306">
        <f>AB67/(AB65-AB66)</f>
        <v>3.4824851132898802</v>
      </c>
      <c r="AC64" s="307"/>
      <c r="AD64" s="307"/>
      <c r="AE64" s="307"/>
      <c r="AF64" s="307"/>
      <c r="AG64" s="405">
        <f>AG67/(AG65-AG66)</f>
        <v>2.9151652662738683</v>
      </c>
      <c r="AH64" s="307"/>
      <c r="AI64" s="307"/>
      <c r="AJ64" s="307"/>
      <c r="AK64" s="307"/>
      <c r="AL64" s="405">
        <f>AL67/(AL65-AL66)</f>
        <v>3.2285886421452323</v>
      </c>
      <c r="AM64" s="307"/>
      <c r="AN64" s="307"/>
      <c r="AO64" s="307"/>
      <c r="AP64" s="307"/>
      <c r="AQ64" s="306">
        <f>AQ67/(AQ65-AQ66)</f>
        <v>2.8763851934141531</v>
      </c>
      <c r="AR64" s="307"/>
      <c r="AS64" s="307"/>
      <c r="AT64" s="307"/>
      <c r="AU64" s="307"/>
      <c r="AV64" s="306">
        <f>AV67/(AV65-AV66)</f>
        <v>2.6846795651658271</v>
      </c>
    </row>
    <row r="65" spans="2:48" outlineLevel="1" x14ac:dyDescent="0.3">
      <c r="B65" s="180" t="s">
        <v>325</v>
      </c>
      <c r="C65" s="44"/>
      <c r="D65" s="139"/>
      <c r="E65" s="139"/>
      <c r="F65" s="309"/>
      <c r="G65" s="309"/>
      <c r="H65" s="17"/>
      <c r="I65" s="139"/>
      <c r="J65" s="139"/>
      <c r="K65" s="309"/>
      <c r="L65" s="309"/>
      <c r="M65" s="17">
        <f>'IS 3Q2022'!M19+'IS 3Q2022'!M12</f>
        <v>3564.3800000000042</v>
      </c>
      <c r="N65" s="139"/>
      <c r="O65" s="139"/>
      <c r="P65" s="309"/>
      <c r="Q65" s="309"/>
      <c r="R65" s="17">
        <f>'IS 3Q2022'!R19+'IS 3Q2022'!R12</f>
        <v>6703.7999999999975</v>
      </c>
      <c r="S65" s="139"/>
      <c r="T65" s="139"/>
      <c r="U65" s="309"/>
      <c r="V65" s="309"/>
      <c r="W65" s="17">
        <f>'IS 3Q2022'!W19+'IS 3Q2022'!W12</f>
        <v>6262.9556840670375</v>
      </c>
      <c r="X65" s="139"/>
      <c r="Y65" s="305"/>
      <c r="Z65" s="305"/>
      <c r="AA65" s="310"/>
      <c r="AB65" s="17">
        <f>'IS 3Q2022'!AB19+'IS 3Q2022'!AB12</f>
        <v>7109.496048472336</v>
      </c>
      <c r="AC65" s="139"/>
      <c r="AD65" s="139"/>
      <c r="AE65" s="309"/>
      <c r="AF65" s="309"/>
      <c r="AG65" s="17">
        <f>'IS 3Q2022'!AG19+'IS 3Q2022'!AG12</f>
        <v>8119.1754180385251</v>
      </c>
      <c r="AH65" s="139"/>
      <c r="AI65" s="139"/>
      <c r="AJ65" s="309"/>
      <c r="AK65" s="309"/>
      <c r="AL65" s="17">
        <f>'IS 3Q2022'!AL19+'IS 3Q2022'!AL12</f>
        <v>9405.4742802975798</v>
      </c>
      <c r="AM65" s="139"/>
      <c r="AN65" s="139"/>
      <c r="AO65" s="309"/>
      <c r="AP65" s="309"/>
      <c r="AQ65" s="17">
        <f>'IS 3Q2022'!AQ19+'IS 3Q2022'!AQ12</f>
        <v>10331.736946610616</v>
      </c>
      <c r="AR65" s="139"/>
      <c r="AS65" s="139"/>
      <c r="AT65" s="309"/>
      <c r="AU65" s="309"/>
      <c r="AV65" s="17">
        <f>'IS 3Q2022'!AV19+'IS 3Q2022'!AV12</f>
        <v>10999.562683415485</v>
      </c>
    </row>
    <row r="66" spans="2:48" outlineLevel="1" x14ac:dyDescent="0.3">
      <c r="B66" s="180" t="s">
        <v>327</v>
      </c>
      <c r="C66" s="44"/>
      <c r="D66" s="139"/>
      <c r="E66" s="139"/>
      <c r="F66" s="309"/>
      <c r="G66" s="309"/>
      <c r="H66" s="387"/>
      <c r="I66" s="139"/>
      <c r="J66" s="139"/>
      <c r="K66" s="309"/>
      <c r="L66" s="309"/>
      <c r="M66" s="387">
        <v>2441.1</v>
      </c>
      <c r="N66" s="139"/>
      <c r="O66" s="139"/>
      <c r="P66" s="309"/>
      <c r="Q66" s="309"/>
      <c r="R66" s="387">
        <v>2559.6999999999998</v>
      </c>
      <c r="S66" s="139"/>
      <c r="T66" s="139"/>
      <c r="U66" s="309"/>
      <c r="V66" s="309"/>
      <c r="W66" s="388">
        <f>R66*1.05</f>
        <v>2687.6849999999999</v>
      </c>
      <c r="X66" s="139"/>
      <c r="Y66" s="179"/>
      <c r="Z66" s="179"/>
      <c r="AA66" s="310"/>
      <c r="AB66" s="388">
        <f>W66*1.05</f>
        <v>2822.06925</v>
      </c>
      <c r="AC66" s="139"/>
      <c r="AD66" s="139"/>
      <c r="AE66" s="309"/>
      <c r="AF66" s="309"/>
      <c r="AG66" s="388">
        <f>AB66*1.05</f>
        <v>2963.1727125000002</v>
      </c>
      <c r="AH66" s="139"/>
      <c r="AI66" s="139"/>
      <c r="AJ66" s="309"/>
      <c r="AK66" s="309"/>
      <c r="AL66" s="388">
        <f>AG66*1.05</f>
        <v>3111.3313481250002</v>
      </c>
      <c r="AM66" s="139"/>
      <c r="AN66" s="139"/>
      <c r="AO66" s="309"/>
      <c r="AP66" s="309"/>
      <c r="AQ66" s="388">
        <f>AL66*1.05</f>
        <v>3266.8979155312504</v>
      </c>
      <c r="AR66" s="139"/>
      <c r="AS66" s="139"/>
      <c r="AT66" s="309"/>
      <c r="AU66" s="309"/>
      <c r="AV66" s="388">
        <f>AQ66*1.05</f>
        <v>3430.2428113078131</v>
      </c>
    </row>
    <row r="67" spans="2:48" outlineLevel="1" x14ac:dyDescent="0.3">
      <c r="B67" s="386" t="s">
        <v>326</v>
      </c>
      <c r="C67" s="312"/>
      <c r="D67" s="313"/>
      <c r="E67" s="313"/>
      <c r="F67" s="314"/>
      <c r="G67" s="314"/>
      <c r="H67" s="316"/>
      <c r="I67" s="313"/>
      <c r="J67" s="313"/>
      <c r="K67" s="314"/>
      <c r="L67" s="314"/>
      <c r="M67" s="316">
        <f>M28+M31</f>
        <v>16348.300000000001</v>
      </c>
      <c r="N67" s="313"/>
      <c r="O67" s="313"/>
      <c r="P67" s="314"/>
      <c r="Q67" s="314"/>
      <c r="R67" s="316">
        <f>R28+R31</f>
        <v>14615.8</v>
      </c>
      <c r="S67" s="313"/>
      <c r="T67" s="313"/>
      <c r="U67" s="314"/>
      <c r="V67" s="314"/>
      <c r="W67" s="316">
        <f>W28+W31</f>
        <v>14930.9</v>
      </c>
      <c r="X67" s="313"/>
      <c r="Y67" s="313"/>
      <c r="Z67" s="314"/>
      <c r="AA67" s="315"/>
      <c r="AB67" s="316">
        <f>AB28+AB31</f>
        <v>14930.9</v>
      </c>
      <c r="AC67" s="313"/>
      <c r="AD67" s="313"/>
      <c r="AE67" s="314"/>
      <c r="AF67" s="314"/>
      <c r="AG67" s="316">
        <f>AG28+AG31</f>
        <v>15030.6</v>
      </c>
      <c r="AH67" s="313"/>
      <c r="AI67" s="313"/>
      <c r="AJ67" s="314"/>
      <c r="AK67" s="314"/>
      <c r="AL67" s="316">
        <f>AL28+AL31</f>
        <v>20321.198382851078</v>
      </c>
      <c r="AM67" s="313"/>
      <c r="AN67" s="313"/>
      <c r="AO67" s="314"/>
      <c r="AP67" s="314"/>
      <c r="AQ67" s="316">
        <f>AQ28+AQ31</f>
        <v>20321.198382851078</v>
      </c>
      <c r="AR67" s="313"/>
      <c r="AS67" s="313"/>
      <c r="AT67" s="314"/>
      <c r="AU67" s="314"/>
      <c r="AV67" s="316">
        <f>AV28+AV31</f>
        <v>20321.198382851078</v>
      </c>
    </row>
  </sheetData>
  <dataConsolidate/>
  <mergeCells count="27">
    <mergeCell ref="B51:C51"/>
    <mergeCell ref="B52:C52"/>
    <mergeCell ref="B53:C53"/>
    <mergeCell ref="B44:C44"/>
    <mergeCell ref="B45:C45"/>
    <mergeCell ref="B47:C47"/>
    <mergeCell ref="B48:C48"/>
    <mergeCell ref="B49:C49"/>
    <mergeCell ref="B50:C50"/>
    <mergeCell ref="B42:C42"/>
    <mergeCell ref="B20:C20"/>
    <mergeCell ref="B21:C21"/>
    <mergeCell ref="B22:C22"/>
    <mergeCell ref="B23:C23"/>
    <mergeCell ref="B34:C34"/>
    <mergeCell ref="B35:C35"/>
    <mergeCell ref="B36:C36"/>
    <mergeCell ref="B37:C37"/>
    <mergeCell ref="B38:C38"/>
    <mergeCell ref="B39:C39"/>
    <mergeCell ref="B41:C41"/>
    <mergeCell ref="B19:C19"/>
    <mergeCell ref="B3:C3"/>
    <mergeCell ref="B5:C5"/>
    <mergeCell ref="B6:C6"/>
    <mergeCell ref="B8:C8"/>
    <mergeCell ref="B10:C1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40EBF-4AAA-411C-89FE-2A9CD424E8F8}">
  <sheetPr>
    <tabColor theme="6" tint="0.39997558519241921"/>
    <pageSetUpPr fitToPage="1"/>
  </sheetPr>
  <dimension ref="B1:AV67"/>
  <sheetViews>
    <sheetView showGridLines="0" zoomScaleNormal="100" workbookViewId="0">
      <pane xSplit="3" ySplit="4" topLeftCell="T5" activePane="bottomRight" state="frozen"/>
      <selection activeCell="AA123" sqref="AA123"/>
      <selection pane="topRight" activeCell="AA123" sqref="AA123"/>
      <selection pane="bottomLeft" activeCell="AA123" sqref="AA123"/>
      <selection pane="bottomRight" activeCell="AA123" sqref="AA12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91"/>
      <c r="P1" s="391"/>
      <c r="Q1" s="391"/>
      <c r="R1" s="391"/>
      <c r="S1" s="391"/>
      <c r="T1" s="391"/>
      <c r="U1" s="391"/>
      <c r="V1" s="391"/>
      <c r="W1" s="391"/>
      <c r="X1" s="391"/>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583" t="s">
        <v>266</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601" t="s">
        <v>267</v>
      </c>
      <c r="C5" s="602"/>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v>760.40000000000043</v>
      </c>
      <c r="E6" s="101">
        <v>658.59999999999968</v>
      </c>
      <c r="F6" s="16">
        <v>1373.200000000001</v>
      </c>
      <c r="G6" s="16">
        <v>802.400000000001</v>
      </c>
      <c r="H6" s="17">
        <v>3594.6000000000054</v>
      </c>
      <c r="I6" s="16">
        <v>885.29999999999882</v>
      </c>
      <c r="J6" s="16">
        <v>324.79999999999905</v>
      </c>
      <c r="K6" s="16">
        <v>-678.09999999999923</v>
      </c>
      <c r="L6" s="16">
        <f>924.7-K6-J6-I6</f>
        <v>392.70000000000141</v>
      </c>
      <c r="M6" s="17">
        <v>924.70000000000437</v>
      </c>
      <c r="N6" s="16">
        <v>622.20000000000016</v>
      </c>
      <c r="O6" s="16">
        <v>659.4</v>
      </c>
      <c r="P6" s="16">
        <v>1154.1999999999989</v>
      </c>
      <c r="Q6" s="16">
        <v>1764.6</v>
      </c>
      <c r="R6" s="17">
        <v>4200.3999999999978</v>
      </c>
      <c r="S6" s="16">
        <v>816.10000000000014</v>
      </c>
      <c r="T6" s="16">
        <v>675.00000000000011</v>
      </c>
      <c r="U6" s="16">
        <v>913.69999999999959</v>
      </c>
      <c r="V6" s="16">
        <f>'IS (F1Q23)'!V25</f>
        <v>878.49999999999864</v>
      </c>
      <c r="W6" s="17">
        <f t="shared" ref="W6:W13" si="0">SUM(S6:V6)</f>
        <v>3283.2999999999988</v>
      </c>
      <c r="X6" s="16">
        <v>855.2</v>
      </c>
      <c r="Y6" s="16">
        <f>'IS (F1Q23)'!Y25</f>
        <v>710.74928363606114</v>
      </c>
      <c r="Z6" s="16">
        <f>'IS (F1Q23)'!Z25</f>
        <v>1090.0920594112929</v>
      </c>
      <c r="AA6" s="16">
        <f>'IS (F1Q23)'!AA25</f>
        <v>1251.1034322882147</v>
      </c>
      <c r="AB6" s="17">
        <f t="shared" ref="AB6" si="1">SUM(X6:AA6)</f>
        <v>3907.1447753355687</v>
      </c>
      <c r="AC6" s="16">
        <f>'IS (F1Q23)'!AC25</f>
        <v>1115.0680145581109</v>
      </c>
      <c r="AD6" s="16">
        <f>'IS (F1Q23)'!AD25</f>
        <v>817.54115341206057</v>
      </c>
      <c r="AE6" s="16">
        <f>'IS (F1Q23)'!AE25</f>
        <v>1229.6139922043681</v>
      </c>
      <c r="AF6" s="16">
        <f>'IS (F1Q23)'!AF25</f>
        <v>1306.2444768597561</v>
      </c>
      <c r="AG6" s="17">
        <f t="shared" ref="AG6" si="2">SUM(AC6:AF6)</f>
        <v>4468.4676370342959</v>
      </c>
      <c r="AH6" s="16">
        <f>'IS (F1Q23)'!AH25</f>
        <v>1294.3266441730652</v>
      </c>
      <c r="AI6" s="16">
        <f>'IS (F1Q23)'!AI25</f>
        <v>966.98512693814075</v>
      </c>
      <c r="AJ6" s="16">
        <f>'IS (F1Q23)'!AJ25</f>
        <v>1495.1359229666461</v>
      </c>
      <c r="AK6" s="16">
        <f>'IS (F1Q23)'!AK25</f>
        <v>1482.8926362204402</v>
      </c>
      <c r="AL6" s="17">
        <f t="shared" ref="AL6" si="3">SUM(AH6:AK6)</f>
        <v>5239.3403302982924</v>
      </c>
      <c r="AM6" s="16">
        <f>'IS (F1Q23)'!AM25</f>
        <v>1385.0613893546756</v>
      </c>
      <c r="AN6" s="16">
        <f>'IS (F1Q23)'!AN25</f>
        <v>1021.6044558821889</v>
      </c>
      <c r="AO6" s="16">
        <f>'IS (F1Q23)'!AO25</f>
        <v>1597.5809915420507</v>
      </c>
      <c r="AP6" s="16">
        <f>'IS (F1Q23)'!AP25</f>
        <v>1630.810088284132</v>
      </c>
      <c r="AQ6" s="17">
        <f t="shared" ref="AQ6" si="4">SUM(AM6:AP6)</f>
        <v>5635.0569250630469</v>
      </c>
      <c r="AR6" s="16">
        <f>'IS (F1Q23)'!AR25</f>
        <v>1482.767633655428</v>
      </c>
      <c r="AS6" s="16">
        <f>'IS (F1Q23)'!AS25</f>
        <v>1099.2555002200575</v>
      </c>
      <c r="AT6" s="16">
        <f>'IS (F1Q23)'!AT25</f>
        <v>1706.344759060918</v>
      </c>
      <c r="AU6" s="16">
        <f>'IS (F1Q23)'!AU25</f>
        <v>1741.4547150132844</v>
      </c>
      <c r="AV6" s="17">
        <f t="shared" ref="AV6" si="5">SUM(AR6:AU6)</f>
        <v>6029.8226079496872</v>
      </c>
    </row>
    <row r="7" spans="2:48" outlineLevel="1" x14ac:dyDescent="0.3">
      <c r="B7" s="308" t="s">
        <v>269</v>
      </c>
      <c r="C7" s="44"/>
      <c r="D7" s="16">
        <v>350.8</v>
      </c>
      <c r="E7" s="16">
        <f>723.5-D7</f>
        <v>372.7</v>
      </c>
      <c r="F7" s="16">
        <f>1083.6-E7-D7</f>
        <v>360.09999999999985</v>
      </c>
      <c r="G7" s="16">
        <f>1449.3-F7-E7-D7</f>
        <v>365.7</v>
      </c>
      <c r="H7" s="17">
        <f t="shared" ref="H7:H13" si="6">SUM(D7:G7)</f>
        <v>1449.3</v>
      </c>
      <c r="I7" s="16">
        <v>369.2</v>
      </c>
      <c r="J7" s="16">
        <f>746.9-I7</f>
        <v>377.7</v>
      </c>
      <c r="K7" s="16">
        <f>1124-J7-I7</f>
        <v>377.09999999999997</v>
      </c>
      <c r="L7" s="16">
        <f>1503.2-K7-J7-I7</f>
        <v>379.2000000000001</v>
      </c>
      <c r="M7" s="17">
        <f t="shared" ref="M7:M13" si="7">SUM(I7:L7)</f>
        <v>1503.2</v>
      </c>
      <c r="N7" s="16">
        <v>388.4</v>
      </c>
      <c r="O7" s="16">
        <f>772.9-N7</f>
        <v>384.5</v>
      </c>
      <c r="P7" s="16">
        <f>1146.2-O7-N7</f>
        <v>373.30000000000007</v>
      </c>
      <c r="Q7" s="16">
        <f>1524.1-P7-O7-N7</f>
        <v>377.89999999999975</v>
      </c>
      <c r="R7" s="17">
        <f t="shared" ref="R7:R13" si="8">SUM(N7:Q7)</f>
        <v>1524.1</v>
      </c>
      <c r="S7" s="16">
        <v>386.4</v>
      </c>
      <c r="T7" s="16">
        <f>777.7-S7</f>
        <v>391.30000000000007</v>
      </c>
      <c r="U7" s="16">
        <f>1169-T7-S7</f>
        <v>391.29999999999995</v>
      </c>
      <c r="V7" s="16">
        <f>1529.4-U7-T7-S7</f>
        <v>360.40000000000009</v>
      </c>
      <c r="W7" s="17">
        <f t="shared" si="0"/>
        <v>1529.4</v>
      </c>
      <c r="X7" s="16">
        <v>342.5</v>
      </c>
      <c r="Y7" s="16">
        <f>('BS (F1Q23)'!X14*'BS (F1Q23)'!Y56)</f>
        <v>359.22417023024144</v>
      </c>
      <c r="Z7" s="16">
        <f>('BS (F1Q23)'!Y14*'BS (F1Q23)'!Z56)</f>
        <v>385.45452217648324</v>
      </c>
      <c r="AA7" s="16">
        <f>('BS (F1Q23)'!Z14*'BS (F1Q23)'!AA56)</f>
        <v>391.68934183955685</v>
      </c>
      <c r="AB7" s="17">
        <f t="shared" ref="AB7:AB13" si="9">SUM(X7:AA7)</f>
        <v>1478.8680342462815</v>
      </c>
      <c r="AC7" s="16">
        <f>('BS (F1Q23)'!AB14*'BS (F1Q23)'!AC56)</f>
        <v>405.32749460109835</v>
      </c>
      <c r="AD7" s="16">
        <f>('BS (F1Q23)'!AC14*'BS (F1Q23)'!AD56)</f>
        <v>423.73496829887785</v>
      </c>
      <c r="AE7" s="16">
        <f>('BS (F1Q23)'!AD14*'BS (F1Q23)'!AE56)</f>
        <v>436.63770056291685</v>
      </c>
      <c r="AF7" s="16">
        <f>('BS (F1Q23)'!AE14*'BS (F1Q23)'!AF56)</f>
        <v>448.81956166104169</v>
      </c>
      <c r="AG7" s="17">
        <f t="shared" ref="AG7:AG13" si="10">SUM(AC7:AF7)</f>
        <v>1714.5197251239349</v>
      </c>
      <c r="AH7" s="16">
        <f>('BS (F1Q23)'!AG14*'BS (F1Q23)'!AH56)</f>
        <v>463.82548101068335</v>
      </c>
      <c r="AI7" s="16">
        <f>('BS (F1Q23)'!AH14*'BS (F1Q23)'!AI56)</f>
        <v>475.99155074193544</v>
      </c>
      <c r="AJ7" s="16">
        <f>('BS (F1Q23)'!AI14*'BS (F1Q23)'!AJ56)</f>
        <v>484.80756476097497</v>
      </c>
      <c r="AK7" s="16">
        <f>('BS (F1Q23)'!AJ14*'BS (F1Q23)'!AK56)</f>
        <v>496.14846655136574</v>
      </c>
      <c r="AL7" s="17">
        <f t="shared" ref="AL7:AL13" si="11">SUM(AH7:AK7)</f>
        <v>1920.7730630649594</v>
      </c>
      <c r="AM7" s="16">
        <f>('BS (F1Q23)'!AL14*'BS (F1Q23)'!AM56)</f>
        <v>508.7595528909788</v>
      </c>
      <c r="AN7" s="16">
        <f>('BS (F1Q23)'!AM14*'BS (F1Q23)'!AN56)</f>
        <v>521.37016928409935</v>
      </c>
      <c r="AO7" s="16">
        <f>('BS (F1Q23)'!AN14*'BS (F1Q23)'!AO56)</f>
        <v>530.99100619863657</v>
      </c>
      <c r="AP7" s="16">
        <f>('BS (F1Q23)'!AO14*'BS (F1Q23)'!AP56)</f>
        <v>543.60410901244973</v>
      </c>
      <c r="AQ7" s="17">
        <f t="shared" ref="AQ7:AQ13" si="12">SUM(AM7:AP7)</f>
        <v>2104.7248373861644</v>
      </c>
      <c r="AR7" s="16">
        <f>('BS (F1Q23)'!AQ14*'BS (F1Q23)'!AR56)</f>
        <v>556.98759025887318</v>
      </c>
      <c r="AS7" s="16">
        <f>('BS (F1Q23)'!AR14*'BS (F1Q23)'!AS56)</f>
        <v>569.43153665465286</v>
      </c>
      <c r="AT7" s="16">
        <f>('BS (F1Q23)'!AS14*'BS (F1Q23)'!AT56)</f>
        <v>578.92076649245325</v>
      </c>
      <c r="AU7" s="16">
        <f>('BS (F1Q23)'!AT14*'BS (F1Q23)'!AU56)</f>
        <v>591.63827020920951</v>
      </c>
      <c r="AV7" s="17">
        <f t="shared" ref="AV7:AV13" si="13">SUM(AR7:AU7)</f>
        <v>2296.9781636151888</v>
      </c>
    </row>
    <row r="8" spans="2:48" outlineLevel="1" x14ac:dyDescent="0.3">
      <c r="B8" s="308" t="s">
        <v>222</v>
      </c>
      <c r="C8" s="44"/>
      <c r="D8" s="16">
        <v>-354.6</v>
      </c>
      <c r="E8" s="16">
        <f>-714.5-D8</f>
        <v>-359.9</v>
      </c>
      <c r="F8" s="16">
        <f>-1243.5-E8-D8</f>
        <v>-529</v>
      </c>
      <c r="G8" s="101">
        <f>-1495.4-F8-E8-D8</f>
        <v>-251.90000000000009</v>
      </c>
      <c r="H8" s="17">
        <f t="shared" si="6"/>
        <v>-1495.4</v>
      </c>
      <c r="I8" s="16">
        <v>10.4</v>
      </c>
      <c r="J8" s="16">
        <f>47.7-I8</f>
        <v>37.300000000000004</v>
      </c>
      <c r="K8" s="16">
        <f>20-J8-I8</f>
        <v>-27.700000000000003</v>
      </c>
      <c r="L8" s="101">
        <f>-25.8-K8-J8-I8</f>
        <v>-45.800000000000004</v>
      </c>
      <c r="M8" s="17">
        <f t="shared" si="7"/>
        <v>-25.800000000000004</v>
      </c>
      <c r="N8" s="16">
        <v>-6.1</v>
      </c>
      <c r="O8" s="16">
        <f>-25.2-N8</f>
        <v>-19.100000000000001</v>
      </c>
      <c r="P8" s="16">
        <f>-113.2-O8-N8</f>
        <v>-88</v>
      </c>
      <c r="Q8" s="101">
        <f>-146.2-P8-O8-N8</f>
        <v>-32.999999999999986</v>
      </c>
      <c r="R8" s="17">
        <f t="shared" si="8"/>
        <v>-146.19999999999999</v>
      </c>
      <c r="S8" s="16">
        <v>-0.3</v>
      </c>
      <c r="T8" s="16">
        <f>28.4-S8</f>
        <v>28.7</v>
      </c>
      <c r="U8" s="16">
        <f>35-T8-S8</f>
        <v>6.6000000000000005</v>
      </c>
      <c r="V8" s="16">
        <f>-37.8-U8-T8-S8</f>
        <v>-72.8</v>
      </c>
      <c r="W8" s="17">
        <f t="shared" si="0"/>
        <v>-37.799999999999997</v>
      </c>
      <c r="X8" s="16">
        <v>15.8</v>
      </c>
      <c r="Y8" s="16">
        <f>-('BS (F1Q23)'!Y16-'BS (F1Q23)'!X16)</f>
        <v>36.928883602418182</v>
      </c>
      <c r="Z8" s="16">
        <f>-('BS (F1Q23)'!Z16-'BS (F1Q23)'!Y16)</f>
        <v>13.114164318784105</v>
      </c>
      <c r="AA8" s="16">
        <f>-('BS (F1Q23)'!AA16-'BS (F1Q23)'!Z16)</f>
        <v>5.5019575242081373</v>
      </c>
      <c r="AB8" s="17">
        <f t="shared" si="9"/>
        <v>71.345005445410422</v>
      </c>
      <c r="AC8" s="16">
        <f>-('BS (F1Q23)'!AC16-'BS (F1Q23)'!AA16)</f>
        <v>-97.906849196063604</v>
      </c>
      <c r="AD8" s="16">
        <f>-('BS (F1Q23)'!AD16-'BS (F1Q23)'!AC16)</f>
        <v>75.495767083795045</v>
      </c>
      <c r="AE8" s="16">
        <f>-('BS (F1Q23)'!AE16-'BS (F1Q23)'!AD16)</f>
        <v>11.60056965381591</v>
      </c>
      <c r="AF8" s="16">
        <f>-('BS (F1Q23)'!AF16-'BS (F1Q23)'!AE16)</f>
        <v>11.093656517729187</v>
      </c>
      <c r="AG8" s="17">
        <f t="shared" si="10"/>
        <v>0.28314405927653752</v>
      </c>
      <c r="AH8" s="16">
        <f>-('BS (F1Q23)'!AH16-'BS (F1Q23)'!AF16)</f>
        <v>-119.12817323118179</v>
      </c>
      <c r="AI8" s="16">
        <f>-('BS (F1Q23)'!AI16-'BS (F1Q23)'!AH16)</f>
        <v>88.014026341651061</v>
      </c>
      <c r="AJ8" s="16">
        <f>-('BS (F1Q23)'!AJ16-'BS (F1Q23)'!AI16)</f>
        <v>11.489834585873268</v>
      </c>
      <c r="AK8" s="16">
        <f>-('BS (F1Q23)'!AK16-'BS (F1Q23)'!AJ16)</f>
        <v>11.324283746137326</v>
      </c>
      <c r="AL8" s="17">
        <f t="shared" si="11"/>
        <v>-8.300028557520136</v>
      </c>
      <c r="AM8" s="16">
        <f>-('BS (F1Q23)'!AM16-'BS (F1Q23)'!AK16)</f>
        <v>-131.22706472076015</v>
      </c>
      <c r="AN8" s="16">
        <f>-('BS (F1Q23)'!AN16-'BS (F1Q23)'!AM16)</f>
        <v>95.896254537036612</v>
      </c>
      <c r="AO8" s="16">
        <f>-('BS (F1Q23)'!AO16-'BS (F1Q23)'!AN16)</f>
        <v>11.600926591435837</v>
      </c>
      <c r="AP8" s="16">
        <f>-('BS (F1Q23)'!AP16-'BS (F1Q23)'!AO16)</f>
        <v>11.480446488926191</v>
      </c>
      <c r="AQ8" s="17">
        <f t="shared" si="12"/>
        <v>-12.249437103361515</v>
      </c>
      <c r="AR8" s="16">
        <f>-('BS (F1Q23)'!AR16-'BS (F1Q23)'!AP16)</f>
        <v>-142.93724995671869</v>
      </c>
      <c r="AS8" s="16">
        <f>-('BS (F1Q23)'!AS16-'BS (F1Q23)'!AR16)</f>
        <v>103.39712866497803</v>
      </c>
      <c r="AT8" s="16">
        <f>-('BS (F1Q23)'!AT16-'BS (F1Q23)'!AS16)</f>
        <v>11.845999797979857</v>
      </c>
      <c r="AU8" s="16">
        <f>-('BS (F1Q23)'!AU16-'BS (F1Q23)'!AT16)</f>
        <v>11.747094906496386</v>
      </c>
      <c r="AV8" s="17">
        <f t="shared" si="13"/>
        <v>-15.947026587264418</v>
      </c>
    </row>
    <row r="9" spans="2:48" outlineLevel="1" x14ac:dyDescent="0.3">
      <c r="B9" s="308" t="s">
        <v>270</v>
      </c>
      <c r="C9" s="44"/>
      <c r="D9" s="16">
        <v>-55</v>
      </c>
      <c r="E9" s="16">
        <f>-108.2-D9</f>
        <v>-53.2</v>
      </c>
      <c r="F9" s="16">
        <f>-174.1-E9-D9</f>
        <v>-65.899999999999991</v>
      </c>
      <c r="G9" s="101">
        <f>-250.6-F9-E9-D9</f>
        <v>-76.5</v>
      </c>
      <c r="H9" s="17">
        <f t="shared" si="6"/>
        <v>-250.6</v>
      </c>
      <c r="I9" s="16">
        <v>-62.9</v>
      </c>
      <c r="J9" s="16">
        <f>-116.3-I9</f>
        <v>-53.4</v>
      </c>
      <c r="K9" s="16">
        <f>-182.3-J9-I9</f>
        <v>-66</v>
      </c>
      <c r="L9" s="101">
        <f>-280.7-K9-J9-I9</f>
        <v>-98.399999999999977</v>
      </c>
      <c r="M9" s="17">
        <f t="shared" si="7"/>
        <v>-280.7</v>
      </c>
      <c r="N9" s="16">
        <v>-69</v>
      </c>
      <c r="O9" s="16">
        <f>-131.3-N9</f>
        <v>-62.300000000000011</v>
      </c>
      <c r="P9" s="16">
        <f>-238.3-O9-N9</f>
        <v>-107</v>
      </c>
      <c r="Q9" s="101">
        <f>-347.3-P9-O9-N9</f>
        <v>-109</v>
      </c>
      <c r="R9" s="17">
        <f t="shared" si="8"/>
        <v>-347.3</v>
      </c>
      <c r="S9" s="16">
        <v>-46.6</v>
      </c>
      <c r="T9" s="16">
        <f>-118.7-S9</f>
        <v>-72.099999999999994</v>
      </c>
      <c r="U9" s="16">
        <f>-175-T9-S9</f>
        <v>-56.300000000000004</v>
      </c>
      <c r="V9" s="16">
        <f>-268.7-U9-T9-S9</f>
        <v>-93.699999999999989</v>
      </c>
      <c r="W9" s="17">
        <f t="shared" si="0"/>
        <v>-268.7</v>
      </c>
      <c r="X9" s="16">
        <v>-56.9</v>
      </c>
      <c r="Y9" s="16">
        <f>-'IS (F1Q23)'!Y16</f>
        <v>-57.8</v>
      </c>
      <c r="Z9" s="16">
        <f>-'IS (F1Q23)'!Z16</f>
        <v>-57.9</v>
      </c>
      <c r="AA9" s="16">
        <f>-'IS (F1Q23)'!AA16</f>
        <v>-58</v>
      </c>
      <c r="AB9" s="17">
        <f t="shared" si="9"/>
        <v>-230.6</v>
      </c>
      <c r="AC9" s="16">
        <f>-'IS (F1Q23)'!AC16</f>
        <v>-58.3</v>
      </c>
      <c r="AD9" s="16">
        <f>-'IS (F1Q23)'!AD16</f>
        <v>-58.3</v>
      </c>
      <c r="AE9" s="16">
        <f>-'IS (F1Q23)'!AE16</f>
        <v>-58.3</v>
      </c>
      <c r="AF9" s="16">
        <f>-'IS (F1Q23)'!AF16</f>
        <v>-58.3</v>
      </c>
      <c r="AG9" s="17">
        <f t="shared" si="10"/>
        <v>-233.2</v>
      </c>
      <c r="AH9" s="16">
        <f>-'IS (F1Q23)'!AH16</f>
        <v>-58.3</v>
      </c>
      <c r="AI9" s="16">
        <f>-'IS (F1Q23)'!AI16</f>
        <v>-58.3</v>
      </c>
      <c r="AJ9" s="16">
        <f>-'IS (F1Q23)'!AJ16</f>
        <v>-58.3</v>
      </c>
      <c r="AK9" s="16">
        <f>-'IS (F1Q23)'!AK16</f>
        <v>-58.3</v>
      </c>
      <c r="AL9" s="17">
        <f t="shared" si="11"/>
        <v>-233.2</v>
      </c>
      <c r="AM9" s="16">
        <f>-'IS (F1Q23)'!AM16</f>
        <v>-58.3</v>
      </c>
      <c r="AN9" s="16">
        <f>-'IS (F1Q23)'!AN16</f>
        <v>-58.3</v>
      </c>
      <c r="AO9" s="16">
        <f>-'IS (F1Q23)'!AO16</f>
        <v>-58.3</v>
      </c>
      <c r="AP9" s="16">
        <f>-'IS (F1Q23)'!AP16</f>
        <v>-58.3</v>
      </c>
      <c r="AQ9" s="17">
        <f t="shared" si="12"/>
        <v>-233.2</v>
      </c>
      <c r="AR9" s="16">
        <f>-'IS (F1Q23)'!AR16</f>
        <v>-58.3</v>
      </c>
      <c r="AS9" s="16">
        <f>-'IS (F1Q23)'!AS16</f>
        <v>-58.3</v>
      </c>
      <c r="AT9" s="16">
        <f>-'IS (F1Q23)'!AT16</f>
        <v>-58.3</v>
      </c>
      <c r="AU9" s="16">
        <f>-'IS (F1Q23)'!AU16</f>
        <v>-58.3</v>
      </c>
      <c r="AV9" s="17">
        <f t="shared" si="13"/>
        <v>-233.2</v>
      </c>
    </row>
    <row r="10" spans="2:48" outlineLevel="1" x14ac:dyDescent="0.3">
      <c r="B10" s="308" t="s">
        <v>271</v>
      </c>
      <c r="C10" s="44"/>
      <c r="D10" s="16">
        <v>63.7</v>
      </c>
      <c r="E10" s="16">
        <f>93.3-D10</f>
        <v>29.599999999999994</v>
      </c>
      <c r="F10" s="16">
        <f>163.7-E10-D10</f>
        <v>70.399999999999991</v>
      </c>
      <c r="G10" s="101">
        <f>216.8-F10-E10-D10</f>
        <v>53.100000000000037</v>
      </c>
      <c r="H10" s="17">
        <f t="shared" si="6"/>
        <v>216.8</v>
      </c>
      <c r="I10" s="16">
        <v>64.3</v>
      </c>
      <c r="J10" s="16">
        <f>98.1-I10</f>
        <v>33.799999999999997</v>
      </c>
      <c r="K10" s="16">
        <f>165.6-J10-I10</f>
        <v>67.500000000000014</v>
      </c>
      <c r="L10" s="101">
        <f>227.7-K10-J10-I10</f>
        <v>62.099999999999994</v>
      </c>
      <c r="M10" s="17">
        <f t="shared" si="7"/>
        <v>227.70000000000002</v>
      </c>
      <c r="N10" s="16">
        <v>77.2</v>
      </c>
      <c r="O10" s="16">
        <f>130.2-N10</f>
        <v>52.999999999999986</v>
      </c>
      <c r="P10" s="16">
        <f>226.7-O10-N10</f>
        <v>96.499999999999986</v>
      </c>
      <c r="Q10" s="101">
        <f>336-P10-O10-N10</f>
        <v>109.3</v>
      </c>
      <c r="R10" s="17">
        <f t="shared" si="8"/>
        <v>336</v>
      </c>
      <c r="S10" s="16">
        <v>44.9</v>
      </c>
      <c r="T10" s="16">
        <f>100.8-S10</f>
        <v>55.9</v>
      </c>
      <c r="U10" s="16">
        <f>145.9-T10-S10</f>
        <v>45.1</v>
      </c>
      <c r="V10" s="16">
        <f>231.2-U10-T10-S10</f>
        <v>85.299999999999983</v>
      </c>
      <c r="W10" s="17">
        <f t="shared" si="0"/>
        <v>231.2</v>
      </c>
      <c r="X10" s="16">
        <v>45.7</v>
      </c>
      <c r="Y10" s="16">
        <f>-Y54*Y9</f>
        <v>57.8</v>
      </c>
      <c r="Z10" s="16">
        <f>-Z54*Z9</f>
        <v>57.9</v>
      </c>
      <c r="AA10" s="16">
        <f>-AA54*AA9</f>
        <v>58</v>
      </c>
      <c r="AB10" s="17">
        <f t="shared" si="9"/>
        <v>219.4</v>
      </c>
      <c r="AC10" s="16">
        <f>-AC54*AC9</f>
        <v>58.3</v>
      </c>
      <c r="AD10" s="16">
        <f>-AD54*AD9</f>
        <v>58.3</v>
      </c>
      <c r="AE10" s="16">
        <f>-AE54*AE9</f>
        <v>58.3</v>
      </c>
      <c r="AF10" s="16">
        <f>-AF54*AF9</f>
        <v>58.3</v>
      </c>
      <c r="AG10" s="17">
        <f t="shared" si="10"/>
        <v>233.2</v>
      </c>
      <c r="AH10" s="16">
        <f>-AH54*AH9</f>
        <v>58.3</v>
      </c>
      <c r="AI10" s="16">
        <f>-AI54*AI9</f>
        <v>58.3</v>
      </c>
      <c r="AJ10" s="16">
        <f>-AJ54*AJ9</f>
        <v>58.3</v>
      </c>
      <c r="AK10" s="16">
        <f>-AK54*AK9</f>
        <v>58.3</v>
      </c>
      <c r="AL10" s="17">
        <f t="shared" si="11"/>
        <v>233.2</v>
      </c>
      <c r="AM10" s="16">
        <f>-AM54*AM9</f>
        <v>58.3</v>
      </c>
      <c r="AN10" s="16">
        <f>-AN54*AN9</f>
        <v>58.3</v>
      </c>
      <c r="AO10" s="16">
        <f>-AO54*AO9</f>
        <v>58.3</v>
      </c>
      <c r="AP10" s="16">
        <f>-AP54*AP9</f>
        <v>58.3</v>
      </c>
      <c r="AQ10" s="17">
        <f t="shared" si="12"/>
        <v>233.2</v>
      </c>
      <c r="AR10" s="16">
        <f>-AR54*AR9</f>
        <v>58.3</v>
      </c>
      <c r="AS10" s="16">
        <f>-AS54*AS9</f>
        <v>58.3</v>
      </c>
      <c r="AT10" s="16">
        <f>-AT54*AT9</f>
        <v>58.3</v>
      </c>
      <c r="AU10" s="16">
        <f>-AU54*AU9</f>
        <v>58.3</v>
      </c>
      <c r="AV10" s="17">
        <f t="shared" si="13"/>
        <v>233.2</v>
      </c>
    </row>
    <row r="11" spans="2:48" outlineLevel="1" x14ac:dyDescent="0.3">
      <c r="B11" s="308" t="s">
        <v>272</v>
      </c>
      <c r="C11" s="44"/>
      <c r="D11" s="16">
        <v>0</v>
      </c>
      <c r="E11" s="16">
        <f>-21-D11</f>
        <v>-21</v>
      </c>
      <c r="F11" s="16">
        <f>-622.8-E11-D11</f>
        <v>-601.79999999999995</v>
      </c>
      <c r="G11" s="101">
        <f>-622.8-F11-E11-D11</f>
        <v>0</v>
      </c>
      <c r="H11" s="17">
        <f t="shared" si="6"/>
        <v>-622.79999999999995</v>
      </c>
      <c r="I11" s="16">
        <v>0</v>
      </c>
      <c r="J11" s="16">
        <f>0-I11</f>
        <v>0</v>
      </c>
      <c r="K11" s="16">
        <f>0-J11-I11</f>
        <v>0</v>
      </c>
      <c r="L11" s="101">
        <f>0-K11-J11-I11</f>
        <v>0</v>
      </c>
      <c r="M11" s="17">
        <f t="shared" si="7"/>
        <v>0</v>
      </c>
      <c r="N11" s="16">
        <v>0</v>
      </c>
      <c r="O11" s="16">
        <f>0-N11</f>
        <v>0</v>
      </c>
      <c r="P11" s="16">
        <f>0-O11-N11</f>
        <v>0</v>
      </c>
      <c r="Q11" s="101">
        <f>-864.5-P11-O11-N11</f>
        <v>-864.5</v>
      </c>
      <c r="R11" s="17">
        <f t="shared" si="8"/>
        <v>-864.5</v>
      </c>
      <c r="S11" s="16">
        <v>0</v>
      </c>
      <c r="T11" s="16">
        <f>0-S11</f>
        <v>0</v>
      </c>
      <c r="U11" s="16">
        <f t="shared" ref="U11" si="14">0-T11-S11</f>
        <v>0</v>
      </c>
      <c r="V11" s="16">
        <f t="shared" ref="V11:V17" si="15">0-U11-T11-S11</f>
        <v>0</v>
      </c>
      <c r="W11" s="17">
        <f t="shared" si="0"/>
        <v>0</v>
      </c>
      <c r="X11" s="16">
        <v>0</v>
      </c>
      <c r="Y11" s="16">
        <v>0</v>
      </c>
      <c r="Z11" s="16">
        <v>0</v>
      </c>
      <c r="AA11" s="16">
        <v>0</v>
      </c>
      <c r="AB11" s="17">
        <f t="shared" si="9"/>
        <v>0</v>
      </c>
      <c r="AC11" s="16">
        <v>0</v>
      </c>
      <c r="AD11" s="16">
        <v>0</v>
      </c>
      <c r="AE11" s="16">
        <v>0</v>
      </c>
      <c r="AF11" s="16">
        <v>0</v>
      </c>
      <c r="AG11" s="17">
        <f t="shared" si="10"/>
        <v>0</v>
      </c>
      <c r="AH11" s="16">
        <v>0</v>
      </c>
      <c r="AI11" s="16">
        <v>0</v>
      </c>
      <c r="AJ11" s="16">
        <v>0</v>
      </c>
      <c r="AK11" s="16">
        <v>0</v>
      </c>
      <c r="AL11" s="17">
        <f t="shared" si="11"/>
        <v>0</v>
      </c>
      <c r="AM11" s="16">
        <v>0</v>
      </c>
      <c r="AN11" s="16">
        <v>0</v>
      </c>
      <c r="AO11" s="16">
        <v>0</v>
      </c>
      <c r="AP11" s="16">
        <v>0</v>
      </c>
      <c r="AQ11" s="17">
        <f t="shared" si="12"/>
        <v>0</v>
      </c>
      <c r="AR11" s="16">
        <v>0</v>
      </c>
      <c r="AS11" s="16">
        <v>0</v>
      </c>
      <c r="AT11" s="16">
        <v>0</v>
      </c>
      <c r="AU11" s="16">
        <v>0</v>
      </c>
      <c r="AV11" s="17">
        <f t="shared" si="13"/>
        <v>0</v>
      </c>
    </row>
    <row r="12" spans="2:48" outlineLevel="1" x14ac:dyDescent="0.3">
      <c r="B12" s="308" t="s">
        <v>273</v>
      </c>
      <c r="C12" s="44"/>
      <c r="D12" s="16">
        <v>97.3</v>
      </c>
      <c r="E12" s="16">
        <f>192.1-D12</f>
        <v>94.8</v>
      </c>
      <c r="F12" s="16">
        <f>255.4-E12-D12</f>
        <v>63.300000000000026</v>
      </c>
      <c r="G12" s="101">
        <f>308-F12-E12-D12</f>
        <v>52.59999999999998</v>
      </c>
      <c r="H12" s="17">
        <f t="shared" si="6"/>
        <v>308</v>
      </c>
      <c r="I12" s="16">
        <v>90.3</v>
      </c>
      <c r="J12" s="16">
        <f>146.6-I12</f>
        <v>56.3</v>
      </c>
      <c r="K12" s="16">
        <f>188-J12-I12</f>
        <v>41.399999999999991</v>
      </c>
      <c r="L12" s="101">
        <f>248.6-K12-J12-I12</f>
        <v>60.59999999999998</v>
      </c>
      <c r="M12" s="17">
        <f t="shared" si="7"/>
        <v>248.59999999999997</v>
      </c>
      <c r="N12" s="16">
        <v>99.3</v>
      </c>
      <c r="O12" s="16">
        <f>175.3-N12</f>
        <v>76.000000000000014</v>
      </c>
      <c r="P12" s="16">
        <f>255.3-O12-N12</f>
        <v>80.000000000000014</v>
      </c>
      <c r="Q12" s="101">
        <f>319.1-P12-O12-N12</f>
        <v>63.800000000000026</v>
      </c>
      <c r="R12" s="17">
        <f t="shared" si="8"/>
        <v>319.10000000000002</v>
      </c>
      <c r="S12" s="16">
        <v>95.8</v>
      </c>
      <c r="T12" s="16">
        <f>149.2-S12</f>
        <v>53.399999999999991</v>
      </c>
      <c r="U12" s="16">
        <f>206.6-T12-S12</f>
        <v>57.399999999999991</v>
      </c>
      <c r="V12" s="16">
        <f>271.5-U12-T12-S12</f>
        <v>64.900000000000048</v>
      </c>
      <c r="W12" s="17">
        <f t="shared" si="0"/>
        <v>271.5</v>
      </c>
      <c r="X12" s="16">
        <v>85.2</v>
      </c>
      <c r="Y12" s="16">
        <f>'IS (F1Q23)'!Y8*Y53</f>
        <v>66.319701821422854</v>
      </c>
      <c r="Z12" s="16">
        <f>'IS (F1Q23)'!Z8*Z53</f>
        <v>74.741814325401847</v>
      </c>
      <c r="AA12" s="16">
        <f>'IS (F1Q23)'!AA8*AA53</f>
        <v>79.751760343034121</v>
      </c>
      <c r="AB12" s="17">
        <f t="shared" si="9"/>
        <v>306.01327648985881</v>
      </c>
      <c r="AC12" s="16">
        <f>'IS (F1Q23)'!AC8*AC53</f>
        <v>83.088593963884108</v>
      </c>
      <c r="AD12" s="16">
        <f>'IS (F1Q23)'!AD8*AD53</f>
        <v>76.035640735989716</v>
      </c>
      <c r="AE12" s="16">
        <f>'IS (F1Q23)'!AE8*AE53</f>
        <v>84.198183079354521</v>
      </c>
      <c r="AF12" s="16">
        <f>'IS (F1Q23)'!AF8*AF53</f>
        <v>87.641028993363946</v>
      </c>
      <c r="AG12" s="17">
        <f t="shared" si="10"/>
        <v>330.96344677259231</v>
      </c>
      <c r="AH12" s="16">
        <f>'IS (F1Q23)'!AH8*AH53</f>
        <v>90.574341163312923</v>
      </c>
      <c r="AI12" s="16">
        <f>'IS (F1Q23)'!AI8*AI53</f>
        <v>85.628720132338202</v>
      </c>
      <c r="AJ12" s="16">
        <f>'IS (F1Q23)'!AJ8*AJ53</f>
        <v>94.159687415119166</v>
      </c>
      <c r="AK12" s="16">
        <f>'IS (F1Q23)'!AK8*AK53</f>
        <v>97.648189890925693</v>
      </c>
      <c r="AL12" s="17">
        <f t="shared" si="11"/>
        <v>368.01093860169601</v>
      </c>
      <c r="AM12" s="16">
        <f>'IS (F1Q23)'!AM8*AM53</f>
        <v>99.209586462489725</v>
      </c>
      <c r="AN12" s="16">
        <f>'IS (F1Q23)'!AN8*AN53</f>
        <v>93.916531663476519</v>
      </c>
      <c r="AO12" s="16">
        <f>'IS (F1Q23)'!AO8*AO53</f>
        <v>102.68189108486092</v>
      </c>
      <c r="AP12" s="16">
        <f>'IS (F1Q23)'!AP8*AP53</f>
        <v>106.05167284126476</v>
      </c>
      <c r="AQ12" s="17">
        <f t="shared" si="12"/>
        <v>401.8596820520919</v>
      </c>
      <c r="AR12" s="16">
        <f>'IS (F1Q23)'!AR8*AR53</f>
        <v>105.55293842471536</v>
      </c>
      <c r="AS12" s="16">
        <f>'IS (F1Q23)'!AS8*AS53</f>
        <v>99.97898943369475</v>
      </c>
      <c r="AT12" s="16">
        <f>'IS (F1Q23)'!AT8*AT53</f>
        <v>109.23734130339609</v>
      </c>
      <c r="AU12" s="16">
        <f>'IS (F1Q23)'!AU8*AU53</f>
        <v>112.80925751919486</v>
      </c>
      <c r="AV12" s="17">
        <f t="shared" si="13"/>
        <v>427.57852668100111</v>
      </c>
    </row>
    <row r="13" spans="2:48" outlineLevel="1" x14ac:dyDescent="0.3">
      <c r="B13" s="319" t="s">
        <v>274</v>
      </c>
      <c r="C13" s="320"/>
      <c r="D13" s="16">
        <v>6.1</v>
      </c>
      <c r="E13" s="101">
        <f>5.4+91.1-D13</f>
        <v>90.4</v>
      </c>
      <c r="F13" s="101">
        <f>10.5+122.3-E13-D13</f>
        <v>36.300000000000004</v>
      </c>
      <c r="G13" s="101">
        <f>10.5+187.9-F13-E13-D13</f>
        <v>65.599999999999994</v>
      </c>
      <c r="H13" s="17">
        <f t="shared" si="6"/>
        <v>198.4</v>
      </c>
      <c r="I13" s="101">
        <f>5.1+294.9</f>
        <v>300</v>
      </c>
      <c r="J13" s="101">
        <f>596.3+67.7-I13</f>
        <v>364</v>
      </c>
      <c r="K13" s="101">
        <f>902.4+124.6+63.7-J13-I13</f>
        <v>426.70000000000005</v>
      </c>
      <c r="L13" s="101">
        <f>1197.6+454.4+24.5-K13-J13-I13</f>
        <v>585.79999999999995</v>
      </c>
      <c r="M13" s="17">
        <f t="shared" si="7"/>
        <v>1676.5</v>
      </c>
      <c r="N13" s="101">
        <f>308.3+132.6-10.2</f>
        <v>430.7</v>
      </c>
      <c r="O13" s="101">
        <f>617.9+175.4-15.4-N13</f>
        <v>347.2</v>
      </c>
      <c r="P13" s="101">
        <f>931.7+204.7-6.8-O13-N13</f>
        <v>351.7000000000001</v>
      </c>
      <c r="Q13" s="101">
        <f>1248.6+226.2-6-P13-O13-N13</f>
        <v>339.19999999999987</v>
      </c>
      <c r="R13" s="17">
        <f t="shared" si="8"/>
        <v>1468.8</v>
      </c>
      <c r="S13" s="101">
        <v>0</v>
      </c>
      <c r="T13" s="101">
        <f>0-S13</f>
        <v>0</v>
      </c>
      <c r="U13" s="101">
        <f>1090.4+89.6-44.7</f>
        <v>1135.3</v>
      </c>
      <c r="V13" s="101">
        <f>1497.7+91.4-67.8-U13-T13-S13</f>
        <v>386.00000000000023</v>
      </c>
      <c r="W13" s="17">
        <f t="shared" si="0"/>
        <v>1521.3000000000002</v>
      </c>
      <c r="X13" s="101">
        <f>263.7+21.1+6.7</f>
        <v>291.5</v>
      </c>
      <c r="Y13" s="33">
        <v>0</v>
      </c>
      <c r="Z13" s="33">
        <v>0</v>
      </c>
      <c r="AA13" s="33">
        <v>0</v>
      </c>
      <c r="AB13" s="17">
        <f t="shared" si="9"/>
        <v>291.5</v>
      </c>
      <c r="AC13" s="33">
        <v>0</v>
      </c>
      <c r="AD13" s="33">
        <v>0</v>
      </c>
      <c r="AE13" s="33">
        <v>0</v>
      </c>
      <c r="AF13" s="33">
        <v>0</v>
      </c>
      <c r="AG13" s="17">
        <f t="shared" si="10"/>
        <v>0</v>
      </c>
      <c r="AH13" s="33">
        <v>0</v>
      </c>
      <c r="AI13" s="33">
        <v>0</v>
      </c>
      <c r="AJ13" s="33">
        <v>0</v>
      </c>
      <c r="AK13" s="33">
        <v>0</v>
      </c>
      <c r="AL13" s="17">
        <f t="shared" si="11"/>
        <v>0</v>
      </c>
      <c r="AM13" s="33">
        <v>0</v>
      </c>
      <c r="AN13" s="33">
        <v>0</v>
      </c>
      <c r="AO13" s="33">
        <v>0</v>
      </c>
      <c r="AP13" s="33">
        <v>0</v>
      </c>
      <c r="AQ13" s="17">
        <f t="shared" si="12"/>
        <v>0</v>
      </c>
      <c r="AR13" s="33">
        <v>0</v>
      </c>
      <c r="AS13" s="33">
        <v>0</v>
      </c>
      <c r="AT13" s="33">
        <v>0</v>
      </c>
      <c r="AU13" s="33">
        <v>0</v>
      </c>
      <c r="AV13" s="17">
        <f t="shared" si="13"/>
        <v>0</v>
      </c>
    </row>
    <row r="14" spans="2:48" outlineLevel="1" x14ac:dyDescent="0.3">
      <c r="B14" s="625" t="s">
        <v>275</v>
      </c>
      <c r="C14" s="626"/>
      <c r="D14" s="321"/>
      <c r="E14" s="322"/>
      <c r="F14" s="323"/>
      <c r="G14" s="323"/>
      <c r="H14" s="324"/>
      <c r="I14" s="323"/>
      <c r="J14" s="323"/>
      <c r="K14" s="323"/>
      <c r="L14" s="323"/>
      <c r="M14" s="324"/>
      <c r="N14" s="323"/>
      <c r="O14" s="323"/>
      <c r="P14" s="323"/>
      <c r="Q14" s="323"/>
      <c r="R14" s="324"/>
      <c r="S14" s="323"/>
      <c r="T14" s="323"/>
      <c r="U14" s="323"/>
      <c r="V14" s="323"/>
      <c r="W14" s="324"/>
      <c r="X14" s="323"/>
      <c r="Y14" s="323"/>
      <c r="Z14" s="323"/>
      <c r="AA14" s="323"/>
      <c r="AB14" s="324"/>
      <c r="AC14" s="323"/>
      <c r="AD14" s="323"/>
      <c r="AE14" s="323"/>
      <c r="AF14" s="323"/>
      <c r="AG14" s="324"/>
      <c r="AH14" s="323"/>
      <c r="AI14" s="323"/>
      <c r="AJ14" s="323"/>
      <c r="AK14" s="323"/>
      <c r="AL14" s="324"/>
      <c r="AM14" s="323"/>
      <c r="AN14" s="323"/>
      <c r="AO14" s="323"/>
      <c r="AP14" s="323"/>
      <c r="AQ14" s="324"/>
      <c r="AR14" s="323"/>
      <c r="AS14" s="323"/>
      <c r="AT14" s="323"/>
      <c r="AU14" s="323"/>
      <c r="AV14" s="324"/>
    </row>
    <row r="15" spans="2:48" outlineLevel="1" x14ac:dyDescent="0.3">
      <c r="B15" s="623" t="s">
        <v>276</v>
      </c>
      <c r="C15" s="624"/>
      <c r="D15" s="327">
        <v>-28.8</v>
      </c>
      <c r="E15" s="327">
        <f>9.8-D15</f>
        <v>38.6</v>
      </c>
      <c r="F15" s="327">
        <f>-70.1-E15-D15</f>
        <v>-79.899999999999991</v>
      </c>
      <c r="G15" s="327">
        <f>-197.7-F15-E15-D15</f>
        <v>-127.60000000000001</v>
      </c>
      <c r="H15" s="328">
        <f t="shared" ref="H15:H21" si="16">SUM(D15:G15)</f>
        <v>-197.7</v>
      </c>
      <c r="I15" s="327">
        <v>-22.9</v>
      </c>
      <c r="J15" s="327">
        <f>-60.7-I15</f>
        <v>-37.800000000000004</v>
      </c>
      <c r="K15" s="327">
        <f>13.4-J15-I15</f>
        <v>74.099999999999994</v>
      </c>
      <c r="L15" s="327">
        <f>-2.7-K15-J15-I15</f>
        <v>-16.099999999999994</v>
      </c>
      <c r="M15" s="328">
        <f t="shared" ref="M15:M21" si="17">SUM(I15:L15)</f>
        <v>-2.7000000000000028</v>
      </c>
      <c r="N15" s="327">
        <v>19.600000000000001</v>
      </c>
      <c r="O15" s="327">
        <f>12.8-N15</f>
        <v>-6.8000000000000007</v>
      </c>
      <c r="P15" s="327">
        <f>-13.1-O15-N15</f>
        <v>-25.9</v>
      </c>
      <c r="Q15" s="327">
        <f>-43-P15-O15-N15</f>
        <v>-29.900000000000002</v>
      </c>
      <c r="R15" s="328">
        <f t="shared" ref="R15:R21" si="18">SUM(N15:Q15)</f>
        <v>-43</v>
      </c>
      <c r="S15" s="327">
        <v>-91.6</v>
      </c>
      <c r="T15" s="327">
        <f>-62.1-S15</f>
        <v>29.499999999999993</v>
      </c>
      <c r="U15" s="327">
        <f>-245.5-T15-S15</f>
        <v>-183.4</v>
      </c>
      <c r="V15" s="327">
        <f>-326.1-U15-T15-S15</f>
        <v>-80.600000000000023</v>
      </c>
      <c r="W15" s="328">
        <f t="shared" ref="W15:W21" si="19">SUM(S15:V15)</f>
        <v>-326.10000000000002</v>
      </c>
      <c r="X15" s="327">
        <v>42</v>
      </c>
      <c r="Y15" s="327">
        <f>-('BS (F1Q23)'!Y8-'BS (F1Q23)'!X8)</f>
        <v>-7.4739480262546749</v>
      </c>
      <c r="Z15" s="327">
        <f>-('BS (F1Q23)'!Z8-'BS (F1Q23)'!Y8)</f>
        <v>-204.14295174211611</v>
      </c>
      <c r="AA15" s="327">
        <f>-('BS (F1Q23)'!AA8-'BS (F1Q23)'!Z8)</f>
        <v>123.20636235094344</v>
      </c>
      <c r="AB15" s="328">
        <f t="shared" ref="AB15:AB21" si="20">SUM(X15:AA15)</f>
        <v>-46.410537417427349</v>
      </c>
      <c r="AC15" s="327">
        <f>-('BS (F1Q23)'!AC8-'BS (F1Q23)'!AA8)</f>
        <v>-24.233372732702037</v>
      </c>
      <c r="AD15" s="327">
        <f>-('BS (F1Q23)'!AD8-'BS (F1Q23)'!AC8)</f>
        <v>36.213680939618598</v>
      </c>
      <c r="AE15" s="327">
        <f>-('BS (F1Q23)'!AE8-'BS (F1Q23)'!AD8)</f>
        <v>-139.80931658645295</v>
      </c>
      <c r="AF15" s="327">
        <f>-('BS (F1Q23)'!AF8-'BS (F1Q23)'!AE8)</f>
        <v>37.057681815296291</v>
      </c>
      <c r="AG15" s="328">
        <f t="shared" ref="AG15:AG21" si="21">SUM(AC15:AF15)</f>
        <v>-90.771326564240098</v>
      </c>
      <c r="AH15" s="327">
        <f>-('BS (F1Q23)'!AH8-'BS (F1Q23)'!AF8)</f>
        <v>-75.970603279907891</v>
      </c>
      <c r="AI15" s="327">
        <f>-('BS (F1Q23)'!AI8-'BS (F1Q23)'!AH8)</f>
        <v>30.180800380830078</v>
      </c>
      <c r="AJ15" s="327">
        <f>-('BS (F1Q23)'!AJ8-'BS (F1Q23)'!AI8)</f>
        <v>-213.44833364497231</v>
      </c>
      <c r="AK15" s="327">
        <f>-('BS (F1Q23)'!AK8-'BS (F1Q23)'!AJ8)</f>
        <v>45.993469297564161</v>
      </c>
      <c r="AL15" s="328">
        <f t="shared" ref="AL15:AL21" si="22">SUM(AH15:AK15)</f>
        <v>-213.24466724648596</v>
      </c>
      <c r="AM15" s="327">
        <f>-('BS (F1Q23)'!AM8-'BS (F1Q23)'!AK8)</f>
        <v>-12.912017945541265</v>
      </c>
      <c r="AN15" s="327">
        <f>-('BS (F1Q23)'!AN8-'BS (F1Q23)'!AM8)</f>
        <v>35.889049228826934</v>
      </c>
      <c r="AO15" s="327">
        <f>-('BS (F1Q23)'!AO8-'BS (F1Q23)'!AN8)</f>
        <v>-218.15408746872095</v>
      </c>
      <c r="AP15" s="327">
        <f>-('BS (F1Q23)'!AP8-'BS (F1Q23)'!AO8)</f>
        <v>87.633253235900384</v>
      </c>
      <c r="AQ15" s="328">
        <f t="shared" ref="AQ15:AQ21" si="23">SUM(AM15:AP15)</f>
        <v>-107.54380294953489</v>
      </c>
      <c r="AR15" s="327">
        <f>-('BS (F1Q23)'!AR8-'BS (F1Q23)'!AP8)</f>
        <v>1.1693948852275753</v>
      </c>
      <c r="AS15" s="327">
        <f>-('BS (F1Q23)'!AS8-'BS (F1Q23)'!AR8)</f>
        <v>43.482903799640098</v>
      </c>
      <c r="AT15" s="327">
        <f>-('BS (F1Q23)'!AT8-'BS (F1Q23)'!AS8)</f>
        <v>-215.60433066682162</v>
      </c>
      <c r="AU15" s="327">
        <f>-('BS (F1Q23)'!AU8-'BS (F1Q23)'!AT8)</f>
        <v>67.656243870564595</v>
      </c>
      <c r="AV15" s="328">
        <f t="shared" ref="AV15:AV21" si="24">SUM(AR15:AU15)</f>
        <v>-103.29578811138936</v>
      </c>
    </row>
    <row r="16" spans="2:48" outlineLevel="1" x14ac:dyDescent="0.3">
      <c r="B16" s="325" t="s">
        <v>215</v>
      </c>
      <c r="C16" s="326"/>
      <c r="D16" s="327">
        <v>44.8</v>
      </c>
      <c r="E16" s="327">
        <f>-51-D16</f>
        <v>-95.8</v>
      </c>
      <c r="F16" s="327">
        <f>-140.5-E16-D16</f>
        <v>-89.5</v>
      </c>
      <c r="G16" s="327">
        <f>-173-F16-E16-D16</f>
        <v>-32.5</v>
      </c>
      <c r="H16" s="328">
        <f t="shared" si="16"/>
        <v>-173</v>
      </c>
      <c r="I16" s="327">
        <v>122.8</v>
      </c>
      <c r="J16" s="327">
        <f>36.9-I16</f>
        <v>-85.9</v>
      </c>
      <c r="K16" s="327">
        <f>-51.7-J16-I16</f>
        <v>-88.6</v>
      </c>
      <c r="L16" s="327">
        <f>-10.9-K16-J16-I16</f>
        <v>40.799999999999997</v>
      </c>
      <c r="M16" s="328">
        <f t="shared" si="17"/>
        <v>-10.900000000000006</v>
      </c>
      <c r="N16" s="327">
        <v>90.1</v>
      </c>
      <c r="O16" s="327">
        <f>51.3-N16</f>
        <v>-38.799999999999997</v>
      </c>
      <c r="P16" s="327">
        <f>8.4-O16-N16</f>
        <v>-42.9</v>
      </c>
      <c r="Q16" s="327">
        <f>-49.8-P16-O16-N16</f>
        <v>-58.199999999999996</v>
      </c>
      <c r="R16" s="328">
        <f t="shared" si="18"/>
        <v>-49.8</v>
      </c>
      <c r="S16" s="327">
        <v>-36</v>
      </c>
      <c r="T16" s="327">
        <f>-324.9-S16</f>
        <v>-288.89999999999998</v>
      </c>
      <c r="U16" s="327">
        <f>-557.3-T16-S16</f>
        <v>-232.39999999999998</v>
      </c>
      <c r="V16" s="327">
        <f>-641-U16-T16-S16</f>
        <v>-83.700000000000045</v>
      </c>
      <c r="W16" s="328">
        <f t="shared" si="19"/>
        <v>-641</v>
      </c>
      <c r="X16" s="327">
        <v>108.5</v>
      </c>
      <c r="Y16" s="327">
        <f>-('BS (F1Q23)'!Y9-'BS (F1Q23)'!X9)</f>
        <v>7.8653392240271387</v>
      </c>
      <c r="Z16" s="327">
        <f>-('BS (F1Q23)'!Z9-'BS (F1Q23)'!Y9)</f>
        <v>-331.85842089269272</v>
      </c>
      <c r="AA16" s="327">
        <f>-('BS (F1Q23)'!AA9-'BS (F1Q23)'!Z9)</f>
        <v>304.21046352738585</v>
      </c>
      <c r="AB16" s="328">
        <f t="shared" si="20"/>
        <v>88.717381858720273</v>
      </c>
      <c r="AC16" s="327">
        <f>-('BS (F1Q23)'!AC9-'BS (F1Q23)'!AA9)</f>
        <v>-22.222608234304062</v>
      </c>
      <c r="AD16" s="327">
        <f>-('BS (F1Q23)'!AD9-'BS (F1Q23)'!AC9)</f>
        <v>-128.59594547441429</v>
      </c>
      <c r="AE16" s="327">
        <f>-('BS (F1Q23)'!AE9-'BS (F1Q23)'!AD9)</f>
        <v>-192.77584007406631</v>
      </c>
      <c r="AF16" s="327">
        <f>-('BS (F1Q23)'!AF9-'BS (F1Q23)'!AE9)</f>
        <v>132.53880844019295</v>
      </c>
      <c r="AG16" s="328">
        <f t="shared" si="21"/>
        <v>-211.05558534259171</v>
      </c>
      <c r="AH16" s="327">
        <f>-('BS (F1Q23)'!AH9-'BS (F1Q23)'!AF9)</f>
        <v>-20.018341285953738</v>
      </c>
      <c r="AI16" s="327">
        <f>-('BS (F1Q23)'!AI9-'BS (F1Q23)'!AH9)</f>
        <v>-171.42717469791205</v>
      </c>
      <c r="AJ16" s="327">
        <f>-('BS (F1Q23)'!AJ9-'BS (F1Q23)'!AI9)</f>
        <v>-284.29744126237802</v>
      </c>
      <c r="AK16" s="327">
        <f>-('BS (F1Q23)'!AK9-'BS (F1Q23)'!AJ9)</f>
        <v>116.74841198520335</v>
      </c>
      <c r="AL16" s="328">
        <f t="shared" si="22"/>
        <v>-358.99454526104046</v>
      </c>
      <c r="AM16" s="327">
        <f>-('BS (F1Q23)'!AM9-'BS (F1Q23)'!AK9)</f>
        <v>49.323767963096998</v>
      </c>
      <c r="AN16" s="327">
        <f>-('BS (F1Q23)'!AN9-'BS (F1Q23)'!AM9)</f>
        <v>-100.38934227629352</v>
      </c>
      <c r="AO16" s="327">
        <f>-('BS (F1Q23)'!AO9-'BS (F1Q23)'!AN9)</f>
        <v>-303.17893127466459</v>
      </c>
      <c r="AP16" s="327">
        <f>-('BS (F1Q23)'!AP9-'BS (F1Q23)'!AO9)</f>
        <v>188.76148532274874</v>
      </c>
      <c r="AQ16" s="328">
        <f t="shared" si="23"/>
        <v>-165.48302026511237</v>
      </c>
      <c r="AR16" s="327">
        <f>-('BS (F1Q23)'!AR9-'BS (F1Q23)'!AP9)</f>
        <v>87.374306722930214</v>
      </c>
      <c r="AS16" s="327">
        <f>-('BS (F1Q23)'!AS9-'BS (F1Q23)'!AR9)</f>
        <v>-149.20120323650872</v>
      </c>
      <c r="AT16" s="327">
        <f>-('BS (F1Q23)'!AT9-'BS (F1Q23)'!AS9)</f>
        <v>-280.37289498541895</v>
      </c>
      <c r="AU16" s="327">
        <f>-('BS (F1Q23)'!AU9-'BS (F1Q23)'!AT9)</f>
        <v>164.5447381115905</v>
      </c>
      <c r="AV16" s="328">
        <f t="shared" si="24"/>
        <v>-177.65505338740695</v>
      </c>
    </row>
    <row r="17" spans="2:48" outlineLevel="1" x14ac:dyDescent="0.3">
      <c r="B17" s="623" t="s">
        <v>277</v>
      </c>
      <c r="C17" s="624"/>
      <c r="D17" s="327">
        <v>847.3</v>
      </c>
      <c r="E17" s="327">
        <f>774.6-D17</f>
        <v>-72.699999999999932</v>
      </c>
      <c r="F17" s="327">
        <f>831.6-E17-D17</f>
        <v>57</v>
      </c>
      <c r="G17" s="327">
        <f>922-F17-E17-D17</f>
        <v>90.399999999999977</v>
      </c>
      <c r="H17" s="328">
        <f t="shared" si="16"/>
        <v>922</v>
      </c>
      <c r="I17" s="327">
        <v>-28.5</v>
      </c>
      <c r="J17" s="327">
        <f>-247.7-I17</f>
        <v>-219.2</v>
      </c>
      <c r="K17" s="327">
        <f>-492.1-J17-I17</f>
        <v>-244.40000000000003</v>
      </c>
      <c r="L17" s="327">
        <f>-317.5-K17-J17-I17</f>
        <v>174.60000000000002</v>
      </c>
      <c r="M17" s="328">
        <f t="shared" si="17"/>
        <v>-317.5</v>
      </c>
      <c r="N17" s="327">
        <v>5.2</v>
      </c>
      <c r="O17" s="327">
        <f>139.7-N17</f>
        <v>134.5</v>
      </c>
      <c r="P17" s="327">
        <f>216.8-O17-N17</f>
        <v>77.100000000000009</v>
      </c>
      <c r="Q17" s="327">
        <f>251.1-P17-O17-N17</f>
        <v>34.299999999999997</v>
      </c>
      <c r="R17" s="328">
        <f t="shared" si="18"/>
        <v>251.10000000000002</v>
      </c>
      <c r="S17" s="327">
        <f>64.6+330.4+50.7-4.9</f>
        <v>440.8</v>
      </c>
      <c r="T17" s="327">
        <f>-120.7+670.7+77.3-17.9-S17</f>
        <v>168.59999999999997</v>
      </c>
      <c r="U17" s="327">
        <f t="shared" ref="U17:U20" si="25">0-T17-S17</f>
        <v>-609.4</v>
      </c>
      <c r="V17" s="327">
        <f t="shared" si="15"/>
        <v>0</v>
      </c>
      <c r="W17" s="328">
        <f t="shared" si="19"/>
        <v>0</v>
      </c>
      <c r="X17" s="327"/>
      <c r="Y17" s="327">
        <f>-('BS (F1Q23)'!Y10-'BS (F1Q23)'!X10)</f>
        <v>-3.7350000000000136</v>
      </c>
      <c r="Z17" s="327">
        <f>-('BS (F1Q23)'!Z10-'BS (F1Q23)'!Y10)</f>
        <v>-3.7723500000000172</v>
      </c>
      <c r="AA17" s="327">
        <f>-('BS (F1Q23)'!AA10-'BS (F1Q23)'!Z10)</f>
        <v>-3.8100734999999872</v>
      </c>
      <c r="AB17" s="328">
        <f t="shared" si="20"/>
        <v>-11.317423500000018</v>
      </c>
      <c r="AC17" s="327">
        <f>-('BS (F1Q23)'!AC10-'BS (F1Q23)'!AA10)</f>
        <v>-3.8481742349999877</v>
      </c>
      <c r="AD17" s="327">
        <f>-('BS (F1Q23)'!AD10-'BS (F1Q23)'!AC10)</f>
        <v>-3.8866559773500171</v>
      </c>
      <c r="AE17" s="327">
        <f>-('BS (F1Q23)'!AE10-'BS (F1Q23)'!AD10)</f>
        <v>-3.9255225371235269</v>
      </c>
      <c r="AF17" s="327">
        <f>-('BS (F1Q23)'!AF10-'BS (F1Q23)'!AE10)</f>
        <v>-3.964777762494748</v>
      </c>
      <c r="AG17" s="328">
        <f t="shared" si="21"/>
        <v>-15.62513051196828</v>
      </c>
      <c r="AH17" s="327">
        <f>-('BS (F1Q23)'!AH10-'BS (F1Q23)'!AF10)</f>
        <v>-4.004425540119712</v>
      </c>
      <c r="AI17" s="327">
        <f>-('BS (F1Q23)'!AI10-'BS (F1Q23)'!AH10)</f>
        <v>-4.0444697955209108</v>
      </c>
      <c r="AJ17" s="327">
        <f>-('BS (F1Q23)'!AJ10-'BS (F1Q23)'!AI10)</f>
        <v>-4.0849144934761057</v>
      </c>
      <c r="AK17" s="327">
        <f>-('BS (F1Q23)'!AK10-'BS (F1Q23)'!AJ10)</f>
        <v>-4.1257636384108309</v>
      </c>
      <c r="AL17" s="328">
        <f t="shared" si="22"/>
        <v>-16.259573467527559</v>
      </c>
      <c r="AM17" s="327">
        <f>-('BS (F1Q23)'!AM10-'BS (F1Q23)'!AK10)</f>
        <v>-4.1670212747949904</v>
      </c>
      <c r="AN17" s="327">
        <f>-('BS (F1Q23)'!AN10-'BS (F1Q23)'!AM10)</f>
        <v>-4.2086914875429215</v>
      </c>
      <c r="AO17" s="327">
        <f>-('BS (F1Q23)'!AO10-'BS (F1Q23)'!AN10)</f>
        <v>-4.2507784024183479</v>
      </c>
      <c r="AP17" s="327">
        <f>-('BS (F1Q23)'!AP10-'BS (F1Q23)'!AO10)</f>
        <v>-4.2932861864425149</v>
      </c>
      <c r="AQ17" s="328">
        <f t="shared" si="23"/>
        <v>-16.919777351198775</v>
      </c>
      <c r="AR17" s="327">
        <f>-('BS (F1Q23)'!AR10-'BS (F1Q23)'!AP10)</f>
        <v>-4.3362190483069298</v>
      </c>
      <c r="AS17" s="327">
        <f>-('BS (F1Q23)'!AS10-'BS (F1Q23)'!AR10)</f>
        <v>-4.3795812387900241</v>
      </c>
      <c r="AT17" s="327">
        <f>-('BS (F1Q23)'!AT10-'BS (F1Q23)'!AS10)</f>
        <v>-4.4233770511779085</v>
      </c>
      <c r="AU17" s="327">
        <f>-('BS (F1Q23)'!AU10-'BS (F1Q23)'!AT10)</f>
        <v>-4.467610821689675</v>
      </c>
      <c r="AV17" s="328">
        <f t="shared" si="24"/>
        <v>-17.606788159964537</v>
      </c>
    </row>
    <row r="18" spans="2:48" outlineLevel="1" x14ac:dyDescent="0.3">
      <c r="B18" s="623" t="s">
        <v>228</v>
      </c>
      <c r="C18" s="624"/>
      <c r="D18" s="327">
        <v>-21.3</v>
      </c>
      <c r="E18" s="327">
        <f>-83.4-D18</f>
        <v>-62.100000000000009</v>
      </c>
      <c r="F18" s="327">
        <f>-15.1-E18-D18</f>
        <v>68.300000000000011</v>
      </c>
      <c r="G18" s="327">
        <f>31.9-F18-E18-D18</f>
        <v>47</v>
      </c>
      <c r="H18" s="328">
        <f t="shared" si="16"/>
        <v>31.900000000000006</v>
      </c>
      <c r="I18" s="327">
        <v>-110.3</v>
      </c>
      <c r="J18" s="327">
        <f>-186.4-I18</f>
        <v>-76.100000000000009</v>
      </c>
      <c r="K18" s="327">
        <f>-320.3-J18-I18</f>
        <v>-133.89999999999998</v>
      </c>
      <c r="L18" s="327">
        <f>-210.8-K18-J18-I18</f>
        <v>109.49999999999997</v>
      </c>
      <c r="M18" s="328">
        <f t="shared" si="17"/>
        <v>-210.79999999999998</v>
      </c>
      <c r="N18" s="327">
        <v>24.8</v>
      </c>
      <c r="O18" s="327">
        <f>21.3-N18</f>
        <v>-3.5</v>
      </c>
      <c r="P18" s="327">
        <f>108.2-O18-N18</f>
        <v>86.9</v>
      </c>
      <c r="Q18" s="327">
        <f>189.9-P18-O18-N18</f>
        <v>81.7</v>
      </c>
      <c r="R18" s="328">
        <f t="shared" si="18"/>
        <v>189.9</v>
      </c>
      <c r="S18" s="327">
        <v>84</v>
      </c>
      <c r="T18" s="327">
        <f>133-S18</f>
        <v>49</v>
      </c>
      <c r="U18" s="327">
        <f>341.7-T18-S18</f>
        <v>208.7</v>
      </c>
      <c r="V18" s="327">
        <f>345.5-U18-T18-S18</f>
        <v>3.8000000000000114</v>
      </c>
      <c r="W18" s="328">
        <f t="shared" si="19"/>
        <v>345.5</v>
      </c>
      <c r="X18" s="327">
        <v>-117.3</v>
      </c>
      <c r="Y18" s="327">
        <f>'BS (F1Q23)'!Y22-'BS (F1Q23)'!X22</f>
        <v>71.601987085377914</v>
      </c>
      <c r="Z18" s="327">
        <f>'BS (F1Q23)'!Z22-'BS (F1Q23)'!Y22</f>
        <v>172.03244214934648</v>
      </c>
      <c r="AA18" s="327">
        <f>'BS (F1Q23)'!AA22-'BS (F1Q23)'!Z22</f>
        <v>-141.1048378762016</v>
      </c>
      <c r="AB18" s="328">
        <f t="shared" si="20"/>
        <v>-14.770408641477204</v>
      </c>
      <c r="AC18" s="327">
        <f>'BS (F1Q23)'!AC22-'BS (F1Q23)'!AA22</f>
        <v>70.784809833221971</v>
      </c>
      <c r="AD18" s="327">
        <f>'BS (F1Q23)'!AD22-'BS (F1Q23)'!AC22</f>
        <v>31.110992088624698</v>
      </c>
      <c r="AE18" s="327">
        <f>'BS (F1Q23)'!AE22-'BS (F1Q23)'!AD22</f>
        <v>154.28847915389747</v>
      </c>
      <c r="AF18" s="327">
        <f>'BS (F1Q23)'!AF22-'BS (F1Q23)'!AE22</f>
        <v>-75.935064822475852</v>
      </c>
      <c r="AG18" s="328">
        <f t="shared" si="21"/>
        <v>180.24921625326829</v>
      </c>
      <c r="AH18" s="327">
        <f>'BS (F1Q23)'!AH22-'BS (F1Q23)'!AF22</f>
        <v>39.96181273314005</v>
      </c>
      <c r="AI18" s="327">
        <f>'BS (F1Q23)'!AI22-'BS (F1Q23)'!AH22</f>
        <v>54.67417539916255</v>
      </c>
      <c r="AJ18" s="327">
        <f>'BS (F1Q23)'!AJ22-'BS (F1Q23)'!AI22</f>
        <v>188.23462818438293</v>
      </c>
      <c r="AK18" s="327">
        <f>'BS (F1Q23)'!AK22-'BS (F1Q23)'!AJ22</f>
        <v>-79.620050161126301</v>
      </c>
      <c r="AL18" s="328">
        <f t="shared" si="22"/>
        <v>203.25056615555923</v>
      </c>
      <c r="AM18" s="327">
        <f>'BS (F1Q23)'!AM22-'BS (F1Q23)'!AK22</f>
        <v>-18.226497976179417</v>
      </c>
      <c r="AN18" s="327">
        <f>'BS (F1Q23)'!AN22-'BS (F1Q23)'!AM22</f>
        <v>55.416386841104895</v>
      </c>
      <c r="AO18" s="327">
        <f>'BS (F1Q23)'!AO22-'BS (F1Q23)'!AN22</f>
        <v>191.74589278685357</v>
      </c>
      <c r="AP18" s="327">
        <f>'BS (F1Q23)'!AP22-'BS (F1Q23)'!AO22</f>
        <v>-94.940576787234022</v>
      </c>
      <c r="AQ18" s="328">
        <f t="shared" si="23"/>
        <v>133.99520486454503</v>
      </c>
      <c r="AR18" s="327">
        <f>'BS (F1Q23)'!AR22-'BS (F1Q23)'!AP22</f>
        <v>-21.22368103963413</v>
      </c>
      <c r="AS18" s="327">
        <f>'BS (F1Q23)'!AS22-'BS (F1Q23)'!AR22</f>
        <v>48.451438563531156</v>
      </c>
      <c r="AT18" s="327">
        <f>'BS (F1Q23)'!AT22-'BS (F1Q23)'!AS22</f>
        <v>193.76230900535461</v>
      </c>
      <c r="AU18" s="327">
        <f>'BS (F1Q23)'!AU22-'BS (F1Q23)'!AT22</f>
        <v>-93.993467225792301</v>
      </c>
      <c r="AV18" s="328">
        <f t="shared" si="24"/>
        <v>126.99659930345933</v>
      </c>
    </row>
    <row r="19" spans="2:48" outlineLevel="1" x14ac:dyDescent="0.3">
      <c r="B19" s="325" t="s">
        <v>233</v>
      </c>
      <c r="C19" s="326"/>
      <c r="D19" s="327">
        <v>362.7</v>
      </c>
      <c r="E19" s="327">
        <f>9.4-D19</f>
        <v>-353.3</v>
      </c>
      <c r="F19" s="327">
        <f>-32.4-E19-D19</f>
        <v>-41.799999999999955</v>
      </c>
      <c r="G19" s="327">
        <f>-30.5-F19-E19-D19</f>
        <v>1.8999999999999773</v>
      </c>
      <c r="H19" s="328">
        <f t="shared" si="16"/>
        <v>-30.5</v>
      </c>
      <c r="I19" s="327">
        <v>426.7</v>
      </c>
      <c r="J19" s="327">
        <f>112.1-I19</f>
        <v>-314.60000000000002</v>
      </c>
      <c r="K19" s="327">
        <f>92-J19-I19</f>
        <v>-20.099999999999966</v>
      </c>
      <c r="L19" s="327">
        <f>31-K19-J19-I19</f>
        <v>-61</v>
      </c>
      <c r="M19" s="328">
        <f t="shared" si="17"/>
        <v>31</v>
      </c>
      <c r="N19" s="327">
        <v>398.9</v>
      </c>
      <c r="O19" s="327">
        <f>89.8-N19</f>
        <v>-309.09999999999997</v>
      </c>
      <c r="P19" s="327">
        <f>52.4-O19-N19</f>
        <v>-37.400000000000034</v>
      </c>
      <c r="Q19" s="327">
        <f>-6.1-P19-O19-N19</f>
        <v>-58.5</v>
      </c>
      <c r="R19" s="328">
        <f t="shared" si="18"/>
        <v>-6.1000000000000227</v>
      </c>
      <c r="S19" s="327">
        <v>461.3</v>
      </c>
      <c r="T19" s="327">
        <f>110.2-S19</f>
        <v>-351.1</v>
      </c>
      <c r="U19" s="327">
        <f>32.7-T19-S19</f>
        <v>-77.5</v>
      </c>
      <c r="V19" s="327">
        <f>-75.8-U19-T19-S19</f>
        <v>-108.5</v>
      </c>
      <c r="W19" s="328">
        <f t="shared" si="19"/>
        <v>-75.800000000000011</v>
      </c>
      <c r="X19" s="327">
        <v>461</v>
      </c>
      <c r="Y19" s="327">
        <f>+('BS (F1Q23)'!Y27-'BS (F1Q23)'!X27)</f>
        <v>-320.54999999999995</v>
      </c>
      <c r="Z19" s="327">
        <f>+('BS (F1Q23)'!Z27-'BS (F1Q23)'!Y27)</f>
        <v>-18.164500000000089</v>
      </c>
      <c r="AA19" s="327">
        <f>+('BS (F1Q23)'!AA27-'BS (F1Q23)'!Z27)</f>
        <v>-17.982854999999972</v>
      </c>
      <c r="AB19" s="328">
        <f t="shared" si="20"/>
        <v>104.30264499999998</v>
      </c>
      <c r="AC19" s="327">
        <f>+('BS (F1Q23)'!AC27-'BS (F1Q23)'!AA27)</f>
        <v>534.09079350000025</v>
      </c>
      <c r="AD19" s="327">
        <f>+('BS (F1Q23)'!AD27-'BS (F1Q23)'!AC27)</f>
        <v>-347.15901577500017</v>
      </c>
      <c r="AE19" s="327">
        <f>+('BS (F1Q23)'!AE27-'BS (F1Q23)'!AD27)</f>
        <v>-19.672344227250051</v>
      </c>
      <c r="AF19" s="327">
        <f>+('BS (F1Q23)'!AF27-'BS (F1Q23)'!AE27)</f>
        <v>-19.475620784977536</v>
      </c>
      <c r="AG19" s="328">
        <f t="shared" si="21"/>
        <v>147.78381271277249</v>
      </c>
      <c r="AH19" s="327">
        <f>+('BS (F1Q23)'!AH27-'BS (F1Q23)'!AF27)</f>
        <v>578.42593731383181</v>
      </c>
      <c r="AI19" s="327">
        <f>+('BS (F1Q23)'!AI27-'BS (F1Q23)'!AH27)</f>
        <v>-375.97685925399082</v>
      </c>
      <c r="AJ19" s="327">
        <f>+('BS (F1Q23)'!AJ27-'BS (F1Q23)'!AI27)</f>
        <v>-21.305355357726057</v>
      </c>
      <c r="AK19" s="327">
        <f>+('BS (F1Q23)'!AK27-'BS (F1Q23)'!AJ27)</f>
        <v>-21.092301804148974</v>
      </c>
      <c r="AL19" s="328">
        <f t="shared" si="22"/>
        <v>160.05142089796595</v>
      </c>
      <c r="AM19" s="327">
        <f>+('BS (F1Q23)'!AM27-'BS (F1Q23)'!AK27)</f>
        <v>626.44136358322157</v>
      </c>
      <c r="AN19" s="327">
        <f>+('BS (F1Q23)'!AN27-'BS (F1Q23)'!AM27)</f>
        <v>-407.18688632909425</v>
      </c>
      <c r="AO19" s="327">
        <f>+('BS (F1Q23)'!AO27-'BS (F1Q23)'!AN27)</f>
        <v>-23.073923558648858</v>
      </c>
      <c r="AP19" s="327">
        <f>+('BS (F1Q23)'!AP27-'BS (F1Q23)'!AO27)</f>
        <v>-22.84318432306236</v>
      </c>
      <c r="AQ19" s="328">
        <f t="shared" si="23"/>
        <v>173.33736937241611</v>
      </c>
      <c r="AR19" s="327">
        <f>+('BS (F1Q23)'!AR27-'BS (F1Q23)'!AP27)</f>
        <v>678.4425743949464</v>
      </c>
      <c r="AS19" s="327">
        <f>+('BS (F1Q23)'!AS27-'BS (F1Q23)'!AR27)</f>
        <v>-440.98767335671528</v>
      </c>
      <c r="AT19" s="327">
        <f>+('BS (F1Q23)'!AT27-'BS (F1Q23)'!AS27)</f>
        <v>-24.989301490214075</v>
      </c>
      <c r="AU19" s="327">
        <f>+('BS (F1Q23)'!AU27-'BS (F1Q23)'!AT27)</f>
        <v>-24.739408475311848</v>
      </c>
      <c r="AV19" s="328">
        <f t="shared" si="24"/>
        <v>187.72619107270521</v>
      </c>
    </row>
    <row r="20" spans="2:48" outlineLevel="1" x14ac:dyDescent="0.3">
      <c r="B20" s="325" t="s">
        <v>278</v>
      </c>
      <c r="C20" s="326"/>
      <c r="D20" s="327">
        <v>0</v>
      </c>
      <c r="E20" s="327">
        <v>0</v>
      </c>
      <c r="F20" s="327">
        <f>1045.4-E20-D20</f>
        <v>1045.4000000000001</v>
      </c>
      <c r="G20" s="327">
        <f>1237-F20-E20-D20</f>
        <v>191.59999999999991</v>
      </c>
      <c r="H20" s="328">
        <f t="shared" si="16"/>
        <v>1237</v>
      </c>
      <c r="I20" s="327">
        <v>125.1</v>
      </c>
      <c r="J20" s="327">
        <f>-1227.4-I20</f>
        <v>-1352.5</v>
      </c>
      <c r="K20" s="327">
        <f>-1224.5-J20-I20</f>
        <v>2.9000000000000057</v>
      </c>
      <c r="L20" s="327">
        <f>-1214.6-K20-J20-I20</f>
        <v>9.9000000000000057</v>
      </c>
      <c r="M20" s="328">
        <f t="shared" si="17"/>
        <v>-1214.5999999999999</v>
      </c>
      <c r="N20" s="327">
        <v>56.9</v>
      </c>
      <c r="O20" s="327">
        <f>40-N20</f>
        <v>-16.899999999999999</v>
      </c>
      <c r="P20" s="327">
        <f>128.9-O20-N20</f>
        <v>88.9</v>
      </c>
      <c r="Q20" s="327">
        <f>286.1-P20-O20-N20</f>
        <v>157.20000000000002</v>
      </c>
      <c r="R20" s="328">
        <f t="shared" si="18"/>
        <v>286.10000000000002</v>
      </c>
      <c r="S20" s="327">
        <v>0</v>
      </c>
      <c r="T20" s="327">
        <f>0-S20</f>
        <v>0</v>
      </c>
      <c r="U20" s="327">
        <f t="shared" si="25"/>
        <v>0</v>
      </c>
      <c r="V20" s="327">
        <f>-149.6-U20-T20-S20</f>
        <v>-149.6</v>
      </c>
      <c r="W20" s="328">
        <f t="shared" si="19"/>
        <v>-149.6</v>
      </c>
      <c r="X20" s="327">
        <v>0</v>
      </c>
      <c r="Y20" s="327">
        <f>+('BS (F1Q23)'!Y25-'BS (F1Q23)'!X25)</f>
        <v>0</v>
      </c>
      <c r="Z20" s="327">
        <f>+('BS (F1Q23)'!Z25-'BS (F1Q23)'!Y25)</f>
        <v>0</v>
      </c>
      <c r="AA20" s="327">
        <f>+('BS (F1Q23)'!AA25-'BS (F1Q23)'!Z25)</f>
        <v>0</v>
      </c>
      <c r="AB20" s="328">
        <f t="shared" si="20"/>
        <v>0</v>
      </c>
      <c r="AC20" s="327">
        <f>+('BS (F1Q23)'!AC25-'BS (F1Q23)'!AA25)</f>
        <v>0</v>
      </c>
      <c r="AD20" s="327">
        <f>+('BS (F1Q23)'!AD25-'BS (F1Q23)'!AC25)</f>
        <v>0</v>
      </c>
      <c r="AE20" s="327">
        <f>+('BS (F1Q23)'!AE25-'BS (F1Q23)'!AD25)</f>
        <v>0</v>
      </c>
      <c r="AF20" s="327">
        <f>+('BS (F1Q23)'!AF25-'BS (F1Q23)'!AE25)</f>
        <v>0</v>
      </c>
      <c r="AG20" s="328">
        <f t="shared" si="21"/>
        <v>0</v>
      </c>
      <c r="AH20" s="327">
        <f>+('BS (F1Q23)'!AH25-'BS (F1Q23)'!AF25)</f>
        <v>0</v>
      </c>
      <c r="AI20" s="327">
        <f>+('BS (F1Q23)'!AI25-'BS (F1Q23)'!AH25)</f>
        <v>0</v>
      </c>
      <c r="AJ20" s="327">
        <f>+('BS (F1Q23)'!AJ25-'BS (F1Q23)'!AI25)</f>
        <v>0</v>
      </c>
      <c r="AK20" s="327">
        <f>+('BS (F1Q23)'!AK25-'BS (F1Q23)'!AJ25)</f>
        <v>0</v>
      </c>
      <c r="AL20" s="328">
        <f t="shared" si="22"/>
        <v>0</v>
      </c>
      <c r="AM20" s="327">
        <f>+('BS (F1Q23)'!AM25-'BS (F1Q23)'!AK25)</f>
        <v>0</v>
      </c>
      <c r="AN20" s="327">
        <f>+('BS (F1Q23)'!AN25-'BS (F1Q23)'!AM25)</f>
        <v>0</v>
      </c>
      <c r="AO20" s="327">
        <f>+('BS (F1Q23)'!AO25-'BS (F1Q23)'!AN25)</f>
        <v>0</v>
      </c>
      <c r="AP20" s="327">
        <f>+('BS (F1Q23)'!AP25-'BS (F1Q23)'!AO25)</f>
        <v>0</v>
      </c>
      <c r="AQ20" s="328">
        <f t="shared" si="23"/>
        <v>0</v>
      </c>
      <c r="AR20" s="327">
        <f>+('BS (F1Q23)'!AR25-'BS (F1Q23)'!AP25)</f>
        <v>0</v>
      </c>
      <c r="AS20" s="327">
        <f>+('BS (F1Q23)'!AS25-'BS (F1Q23)'!AR25)</f>
        <v>0</v>
      </c>
      <c r="AT20" s="327">
        <f>+('BS (F1Q23)'!AT25-'BS (F1Q23)'!AS25)</f>
        <v>0</v>
      </c>
      <c r="AU20" s="327">
        <f>+('BS (F1Q23)'!AU25-'BS (F1Q23)'!AT25)</f>
        <v>0</v>
      </c>
      <c r="AV20" s="328">
        <f t="shared" si="24"/>
        <v>0</v>
      </c>
    </row>
    <row r="21" spans="2:48" ht="16.2" outlineLevel="1" x14ac:dyDescent="0.45">
      <c r="B21" s="623" t="s">
        <v>279</v>
      </c>
      <c r="C21" s="624"/>
      <c r="D21" s="329">
        <v>305.60000000000002</v>
      </c>
      <c r="E21" s="329">
        <f>429.3-D21</f>
        <v>123.69999999999999</v>
      </c>
      <c r="F21" s="329">
        <f>-67.4-E21-D21</f>
        <v>-496.70000000000005</v>
      </c>
      <c r="G21" s="329">
        <f>-141.1-F21-E21-D21</f>
        <v>-73.699999999999989</v>
      </c>
      <c r="H21" s="330">
        <f t="shared" si="16"/>
        <v>-141.10000000000002</v>
      </c>
      <c r="I21" s="329">
        <f>-31.8-301.6</f>
        <v>-333.40000000000003</v>
      </c>
      <c r="J21" s="329">
        <f>-608.6-140.5-I21</f>
        <v>-415.7</v>
      </c>
      <c r="K21" s="329">
        <f>-918.2+70.5-J21-I21</f>
        <v>-98.600000000000023</v>
      </c>
      <c r="L21" s="329">
        <f>-1231.4+280.5-K21-J21-I21</f>
        <v>-103.20000000000005</v>
      </c>
      <c r="M21" s="330">
        <f t="shared" si="17"/>
        <v>-950.90000000000009</v>
      </c>
      <c r="N21" s="329">
        <f>-314.8+12.3</f>
        <v>-302.5</v>
      </c>
      <c r="O21" s="329">
        <f>-676.3+59.5-N21</f>
        <v>-314.29999999999995</v>
      </c>
      <c r="P21" s="329">
        <f>-1029.8+154.6-O21-N21</f>
        <v>-258.39999999999998</v>
      </c>
      <c r="Q21" s="329">
        <f>-1488.1+358.7-P21-O21-N21</f>
        <v>-254.19999999999993</v>
      </c>
      <c r="R21" s="330">
        <f t="shared" si="18"/>
        <v>-1129.3999999999999</v>
      </c>
      <c r="S21" s="329">
        <f>-363.3+79.4</f>
        <v>-283.89999999999998</v>
      </c>
      <c r="T21" s="329">
        <f>-766.3-95-S21</f>
        <v>-577.4</v>
      </c>
      <c r="U21" s="329">
        <f>-1201.4+5.8-T21-S21</f>
        <v>-334.30000000000018</v>
      </c>
      <c r="V21" s="329">
        <f>339.6-1625.6-U21-T21-S21</f>
        <v>-90.399999999999864</v>
      </c>
      <c r="W21" s="330">
        <f t="shared" si="19"/>
        <v>-1286</v>
      </c>
      <c r="X21" s="329">
        <f>-281.4-198.6</f>
        <v>-480</v>
      </c>
      <c r="Y21" s="329">
        <f>('BS (F1Q23)'!Y23-'BS (F1Q23)'!X23)+('BS (F1Q23)'!Y33-'BS (F1Q23)'!X33)+('BS (F1Q23)'!Y34-'BS (F1Q23)'!X34)+('BS (F1Q23)'!Y26-'BS (F1Q23)'!X26)+('BS (F1Q23)'!Y24-'BS (F1Q23)'!X24)</f>
        <v>-36.345999999999776</v>
      </c>
      <c r="Z21" s="329">
        <f>('BS (F1Q23)'!Z23-'BS (F1Q23)'!Y23)+('BS (F1Q23)'!Z33-'BS (F1Q23)'!Y33)+('BS (F1Q23)'!Z34-'BS (F1Q23)'!Y34)+('BS (F1Q23)'!Z26-'BS (F1Q23)'!Y26)+('BS (F1Q23)'!Z24-'BS (F1Q23)'!Y24)</f>
        <v>-36.169300000000021</v>
      </c>
      <c r="AA21" s="329">
        <f>('BS (F1Q23)'!AA23-'BS (F1Q23)'!Z23)+('BS (F1Q23)'!AA33-'BS (F1Q23)'!Z33)+('BS (F1Q23)'!AA34-'BS (F1Q23)'!Z34)+('BS (F1Q23)'!AA26-'BS (F1Q23)'!Z26)+('BS (F1Q23)'!AA24-'BS (F1Q23)'!Z24)</f>
        <v>-35.993463379999866</v>
      </c>
      <c r="AB21" s="330">
        <f t="shared" si="20"/>
        <v>-588.50876337999966</v>
      </c>
      <c r="AC21" s="329">
        <f>('BS (F1Q23)'!AC23-'BS (F1Q23)'!AA23)+('BS (F1Q23)'!AC33-'BS (F1Q23)'!AA33)+('BS (F1Q23)'!AC34-'BS (F1Q23)'!AA34)+('BS (F1Q23)'!AC26-'BS (F1Q23)'!AA26)+('BS (F1Q23)'!AC24-'BS (F1Q23)'!AA24)</f>
        <v>-35.818485903580267</v>
      </c>
      <c r="AD21" s="329">
        <f>('BS (F1Q23)'!AD23-'BS (F1Q23)'!AC23)+('BS (F1Q23)'!AD33-'BS (F1Q23)'!AC33)+('BS (F1Q23)'!AD34-'BS (F1Q23)'!AC34)+('BS (F1Q23)'!AD26-'BS (F1Q23)'!AC26)+('BS (F1Q23)'!AD24-'BS (F1Q23)'!AC24)</f>
        <v>-35.644363355180303</v>
      </c>
      <c r="AE21" s="329">
        <f>('BS (F1Q23)'!AE23-'BS (F1Q23)'!AD23)+('BS (F1Q23)'!AE33-'BS (F1Q23)'!AD33)+('BS (F1Q23)'!AE34-'BS (F1Q23)'!AD34)+('BS (F1Q23)'!AE26-'BS (F1Q23)'!AD26)+('BS (F1Q23)'!AE24-'BS (F1Q23)'!AD24)</f>
        <v>-35.471091539998042</v>
      </c>
      <c r="AF21" s="329">
        <f>('BS (F1Q23)'!AF23-'BS (F1Q23)'!AE23)+('BS (F1Q23)'!AF33-'BS (F1Q23)'!AE33)+('BS (F1Q23)'!AF34-'BS (F1Q23)'!AE34)+('BS (F1Q23)'!AF26-'BS (F1Q23)'!AE26)+('BS (F1Q23)'!AF24-'BS (F1Q23)'!AE24)</f>
        <v>-35.298666283884813</v>
      </c>
      <c r="AG21" s="330">
        <f t="shared" si="21"/>
        <v>-142.23260708264343</v>
      </c>
      <c r="AH21" s="329">
        <f>('BS (F1Q23)'!AH23-'BS (F1Q23)'!AF23)+('BS (F1Q23)'!AH33-'BS (F1Q23)'!AF33)+('BS (F1Q23)'!AH34-'BS (F1Q23)'!AF34)+('BS (F1Q23)'!AH26-'BS (F1Q23)'!AF26)+('BS (F1Q23)'!AH24-'BS (F1Q23)'!AF24)</f>
        <v>-35.12708343324698</v>
      </c>
      <c r="AI21" s="329">
        <f>('BS (F1Q23)'!AI23-'BS (F1Q23)'!AH23)+('BS (F1Q23)'!AI33-'BS (F1Q23)'!AH33)+('BS (F1Q23)'!AI34-'BS (F1Q23)'!AH34)+('BS (F1Q23)'!AI26-'BS (F1Q23)'!AH26)+('BS (F1Q23)'!AI24-'BS (F1Q23)'!AH24)</f>
        <v>-34.956338854938622</v>
      </c>
      <c r="AJ21" s="329">
        <f>('BS (F1Q23)'!AJ23-'BS (F1Q23)'!AI23)+('BS (F1Q23)'!AJ33-'BS (F1Q23)'!AI33)+('BS (F1Q23)'!AJ34-'BS (F1Q23)'!AI34)+('BS (F1Q23)'!AJ26-'BS (F1Q23)'!AI26)+('BS (F1Q23)'!AJ24-'BS (F1Q23)'!AI24)</f>
        <v>-34.786428436166034</v>
      </c>
      <c r="AK21" s="329">
        <f>('BS (F1Q23)'!AK23-'BS (F1Q23)'!AJ23)+('BS (F1Q23)'!AK33-'BS (F1Q23)'!AJ33)+('BS (F1Q23)'!AK34-'BS (F1Q23)'!AJ34)+('BS (F1Q23)'!AK26-'BS (F1Q23)'!AJ26)+('BS (F1Q23)'!AK24-'BS (F1Q23)'!AJ24)</f>
        <v>-34.617348084384957</v>
      </c>
      <c r="AL21" s="330">
        <f t="shared" si="22"/>
        <v>-139.48719880873659</v>
      </c>
      <c r="AM21" s="329">
        <f>('BS (F1Q23)'!AM23-'BS (F1Q23)'!AK23)+('BS (F1Q23)'!AM33-'BS (F1Q23)'!AK33)+('BS (F1Q23)'!AM34-'BS (F1Q23)'!AK34)+('BS (F1Q23)'!AM26-'BS (F1Q23)'!AK26)+('BS (F1Q23)'!AM24-'BS (F1Q23)'!AK24)</f>
        <v>-34.449093727202353</v>
      </c>
      <c r="AN21" s="329">
        <f>('BS (F1Q23)'!AN23-'BS (F1Q23)'!AM23)+('BS (F1Q23)'!AN33-'BS (F1Q23)'!AM33)+('BS (F1Q23)'!AN34-'BS (F1Q23)'!AM34)+('BS (F1Q23)'!AN26-'BS (F1Q23)'!AM26)+('BS (F1Q23)'!AN24-'BS (F1Q23)'!AM24)</f>
        <v>-34.281661312272036</v>
      </c>
      <c r="AO21" s="329">
        <f>('BS (F1Q23)'!AO23-'BS (F1Q23)'!AN23)+('BS (F1Q23)'!AO33-'BS (F1Q23)'!AN33)+('BS (F1Q23)'!AO34-'BS (F1Q23)'!AN34)+('BS (F1Q23)'!AO26-'BS (F1Q23)'!AN26)+('BS (F1Q23)'!AO24-'BS (F1Q23)'!AN24)</f>
        <v>-34.115046807201452</v>
      </c>
      <c r="AP21" s="329">
        <f>('BS (F1Q23)'!AP23-'BS (F1Q23)'!AO23)+('BS (F1Q23)'!AP33-'BS (F1Q23)'!AO33)+('BS (F1Q23)'!AP34-'BS (F1Q23)'!AO34)+('BS (F1Q23)'!AP26-'BS (F1Q23)'!AO26)+('BS (F1Q23)'!AP24-'BS (F1Q23)'!AO24)</f>
        <v>-33.949246199450727</v>
      </c>
      <c r="AQ21" s="330">
        <f t="shared" si="23"/>
        <v>-136.79504804612657</v>
      </c>
      <c r="AR21" s="329">
        <f>('BS (F1Q23)'!AR23-'BS (F1Q23)'!AP23)+('BS (F1Q23)'!AR33-'BS (F1Q23)'!AP33)+('BS (F1Q23)'!AR34-'BS (F1Q23)'!AP34)+('BS (F1Q23)'!AR26-'BS (F1Q23)'!AP26)+('BS (F1Q23)'!AR24-'BS (F1Q23)'!AP24)</f>
        <v>-33.784255496233072</v>
      </c>
      <c r="AS21" s="329">
        <f>('BS (F1Q23)'!AS23-'BS (F1Q23)'!AR23)+('BS (F1Q23)'!AS33-'BS (F1Q23)'!AR33)+('BS (F1Q23)'!AS34-'BS (F1Q23)'!AR34)+('BS (F1Q23)'!AS26-'BS (F1Q23)'!AR26)+('BS (F1Q23)'!AS24-'BS (F1Q23)'!AR24)</f>
        <v>-33.620070724420202</v>
      </c>
      <c r="AT21" s="329">
        <f>('BS (F1Q23)'!AT23-'BS (F1Q23)'!AS23)+('BS (F1Q23)'!AT33-'BS (F1Q23)'!AS33)+('BS (F1Q23)'!AT34-'BS (F1Q23)'!AS34)+('BS (F1Q23)'!AT26-'BS (F1Q23)'!AS26)+('BS (F1Q23)'!AT24-'BS (F1Q23)'!AS24)</f>
        <v>-33.456687930444104</v>
      </c>
      <c r="AU21" s="329">
        <f>('BS (F1Q23)'!AU23-'BS (F1Q23)'!AT23)+('BS (F1Q23)'!AU33-'BS (F1Q23)'!AT33)+('BS (F1Q23)'!AU34-'BS (F1Q23)'!AT34)+('BS (F1Q23)'!AU26-'BS (F1Q23)'!AT26)+('BS (F1Q23)'!AU24-'BS (F1Q23)'!AT24)</f>
        <v>-33.294103180199272</v>
      </c>
      <c r="AV21" s="330">
        <f t="shared" si="24"/>
        <v>-134.15511733129665</v>
      </c>
    </row>
    <row r="22" spans="2:48" outlineLevel="1" x14ac:dyDescent="0.3">
      <c r="B22" s="627" t="s">
        <v>280</v>
      </c>
      <c r="C22" s="628"/>
      <c r="D22" s="331">
        <f t="shared" ref="D22:AV22" si="26">D6+SUM(D7:D21)</f>
        <v>2379.0000000000005</v>
      </c>
      <c r="E22" s="331">
        <f t="shared" si="26"/>
        <v>390.39999999999969</v>
      </c>
      <c r="F22" s="331">
        <f t="shared" si="26"/>
        <v>1169.400000000001</v>
      </c>
      <c r="G22" s="331">
        <f t="shared" si="26"/>
        <v>1108.1000000000008</v>
      </c>
      <c r="H22" s="332">
        <f t="shared" si="26"/>
        <v>5046.9000000000051</v>
      </c>
      <c r="I22" s="331">
        <f t="shared" si="26"/>
        <v>1836.0999999999985</v>
      </c>
      <c r="J22" s="331">
        <f t="shared" si="26"/>
        <v>-1361.3000000000009</v>
      </c>
      <c r="K22" s="331">
        <f t="shared" si="26"/>
        <v>-367.69999999999925</v>
      </c>
      <c r="L22" s="331">
        <f t="shared" si="26"/>
        <v>1490.7000000000014</v>
      </c>
      <c r="M22" s="332">
        <f t="shared" si="26"/>
        <v>1597.8000000000043</v>
      </c>
      <c r="N22" s="331">
        <f t="shared" si="26"/>
        <v>1835.7000000000003</v>
      </c>
      <c r="O22" s="331">
        <f t="shared" si="26"/>
        <v>883.80000000000018</v>
      </c>
      <c r="P22" s="331">
        <f t="shared" si="26"/>
        <v>1748.9999999999991</v>
      </c>
      <c r="Q22" s="331">
        <f t="shared" si="26"/>
        <v>1520.6999999999996</v>
      </c>
      <c r="R22" s="332">
        <f t="shared" si="26"/>
        <v>5989.199999999998</v>
      </c>
      <c r="S22" s="331">
        <f t="shared" si="26"/>
        <v>1870.8999999999999</v>
      </c>
      <c r="T22" s="331">
        <f t="shared" si="26"/>
        <v>161.9000000000002</v>
      </c>
      <c r="U22" s="331">
        <f t="shared" si="26"/>
        <v>1264.7999999999993</v>
      </c>
      <c r="V22" s="331">
        <f t="shared" si="26"/>
        <v>1099.599999999999</v>
      </c>
      <c r="W22" s="332">
        <f>W6+SUM(W7:W21)</f>
        <v>4397.1999999999989</v>
      </c>
      <c r="X22" s="331">
        <f t="shared" si="26"/>
        <v>1593.2</v>
      </c>
      <c r="Y22" s="331">
        <f t="shared" si="26"/>
        <v>884.58441757329422</v>
      </c>
      <c r="Z22" s="331">
        <f t="shared" si="26"/>
        <v>1141.3274797464996</v>
      </c>
      <c r="AA22" s="331">
        <f t="shared" si="26"/>
        <v>1956.5720881171417</v>
      </c>
      <c r="AB22" s="332">
        <f t="shared" si="26"/>
        <v>5575.6839854369355</v>
      </c>
      <c r="AC22" s="331">
        <f t="shared" si="26"/>
        <v>2024.3302161546658</v>
      </c>
      <c r="AD22" s="331">
        <f t="shared" si="26"/>
        <v>944.84622197702174</v>
      </c>
      <c r="AE22" s="331">
        <f t="shared" si="26"/>
        <v>1524.6848096894619</v>
      </c>
      <c r="AF22" s="331">
        <f t="shared" si="26"/>
        <v>1888.7210846335472</v>
      </c>
      <c r="AG22" s="332">
        <f t="shared" si="26"/>
        <v>6382.5823324546964</v>
      </c>
      <c r="AH22" s="331">
        <f t="shared" si="26"/>
        <v>2212.8655896236232</v>
      </c>
      <c r="AI22" s="331">
        <f t="shared" si="26"/>
        <v>1115.0695573316957</v>
      </c>
      <c r="AJ22" s="331">
        <f t="shared" si="26"/>
        <v>1715.905164718278</v>
      </c>
      <c r="AK22" s="331">
        <f t="shared" si="26"/>
        <v>2111.2999940035652</v>
      </c>
      <c r="AL22" s="332">
        <f t="shared" si="26"/>
        <v>7155.1403056771624</v>
      </c>
      <c r="AM22" s="331">
        <f t="shared" si="26"/>
        <v>2467.8139646099844</v>
      </c>
      <c r="AN22" s="331">
        <f t="shared" si="26"/>
        <v>1278.0262660315304</v>
      </c>
      <c r="AO22" s="331">
        <f t="shared" si="26"/>
        <v>1851.8279406921833</v>
      </c>
      <c r="AP22" s="331">
        <f t="shared" si="26"/>
        <v>2412.314761689232</v>
      </c>
      <c r="AQ22" s="332">
        <f t="shared" si="26"/>
        <v>8009.9829330229304</v>
      </c>
      <c r="AR22" s="331">
        <f t="shared" si="26"/>
        <v>2710.0130328012278</v>
      </c>
      <c r="AS22" s="331">
        <f t="shared" si="26"/>
        <v>1335.8089687801203</v>
      </c>
      <c r="AT22" s="331">
        <f t="shared" si="26"/>
        <v>2041.2645835360252</v>
      </c>
      <c r="AU22" s="331">
        <f t="shared" si="26"/>
        <v>2533.3557299273471</v>
      </c>
      <c r="AV22" s="332">
        <f t="shared" si="26"/>
        <v>8620.4423150447183</v>
      </c>
    </row>
    <row r="23" spans="2:48" outlineLevel="1" x14ac:dyDescent="0.3">
      <c r="B23" s="597" t="s">
        <v>281</v>
      </c>
      <c r="C23" s="598"/>
      <c r="D23" s="333"/>
      <c r="E23" s="334"/>
      <c r="F23" s="334"/>
      <c r="G23" s="334"/>
      <c r="H23" s="335"/>
      <c r="I23" s="336"/>
      <c r="J23" s="336"/>
      <c r="K23" s="334"/>
      <c r="L23" s="334"/>
      <c r="M23" s="337"/>
      <c r="N23" s="334"/>
      <c r="O23" s="334"/>
      <c r="P23" s="334"/>
      <c r="Q23" s="334"/>
      <c r="R23" s="337"/>
      <c r="S23" s="334"/>
      <c r="T23" s="334"/>
      <c r="U23" s="334"/>
      <c r="V23" s="334"/>
      <c r="W23" s="337"/>
      <c r="X23" s="334"/>
      <c r="Y23" s="334"/>
      <c r="Z23" s="334"/>
      <c r="AA23" s="334"/>
      <c r="AB23" s="337"/>
      <c r="AC23" s="334"/>
      <c r="AD23" s="334"/>
      <c r="AE23" s="334"/>
      <c r="AF23" s="334"/>
      <c r="AG23" s="337"/>
      <c r="AH23" s="334"/>
      <c r="AI23" s="334"/>
      <c r="AJ23" s="334"/>
      <c r="AK23" s="334"/>
      <c r="AL23" s="337"/>
      <c r="AM23" s="334"/>
      <c r="AN23" s="334"/>
      <c r="AO23" s="334"/>
      <c r="AP23" s="334"/>
      <c r="AQ23" s="337"/>
      <c r="AR23" s="334"/>
      <c r="AS23" s="334"/>
      <c r="AT23" s="334"/>
      <c r="AU23" s="334"/>
      <c r="AV23" s="337"/>
    </row>
    <row r="24" spans="2:48" outlineLevel="1" x14ac:dyDescent="0.3">
      <c r="B24" s="200" t="s">
        <v>282</v>
      </c>
      <c r="C24" s="201"/>
      <c r="D24" s="16">
        <f>-108.7+32.1+14.2</f>
        <v>-62.399999999999991</v>
      </c>
      <c r="E24" s="16">
        <f>-150.2+218.3+55.1-D24</f>
        <v>185.60000000000002</v>
      </c>
      <c r="F24" s="16">
        <f>-176.3+281.7+57.5-E24-D24</f>
        <v>39.699999999999946</v>
      </c>
      <c r="G24" s="16">
        <f>-190.4+298.3+59.8-F24-E24-D24</f>
        <v>4.8000000000000256</v>
      </c>
      <c r="H24" s="17">
        <f>SUM(D24:G24)</f>
        <v>167.7</v>
      </c>
      <c r="I24" s="16">
        <f>-38+64.6+1.3</f>
        <v>27.899999999999995</v>
      </c>
      <c r="J24" s="16">
        <f>-65.1+93.7+4.3-I24</f>
        <v>5.0000000000000107</v>
      </c>
      <c r="K24" s="16">
        <f>-297.4+133.5+10-J24-I24</f>
        <v>-186.79999999999998</v>
      </c>
      <c r="L24" s="16">
        <f>-443.9+186.7+73.7-K24-J24-I24</f>
        <v>-29.600000000000023</v>
      </c>
      <c r="M24" s="17">
        <f>SUM(I24:L24)</f>
        <v>-183.5</v>
      </c>
      <c r="N24" s="16">
        <f>-135.5+91.2+113.7</f>
        <v>69.400000000000006</v>
      </c>
      <c r="O24" s="16">
        <f>-321.7+121.7+289-N24</f>
        <v>19.599999999999994</v>
      </c>
      <c r="P24" s="16">
        <f>-367.3+130.4+298.7-O24-N24</f>
        <v>-27.200000000000017</v>
      </c>
      <c r="Q24" s="16">
        <f>-432+143.2+345.5-P24-O24-N24</f>
        <v>-5.0999999999999943</v>
      </c>
      <c r="R24" s="17">
        <f>SUM(N24:Q24)</f>
        <v>56.699999999999989</v>
      </c>
      <c r="S24" s="16">
        <f>-61+72.6+45.6</f>
        <v>57.199999999999996</v>
      </c>
      <c r="T24" s="16">
        <f>-67.5+72.6+55.7-S24</f>
        <v>3.6000000000000014</v>
      </c>
      <c r="U24" s="16">
        <f>-117.3+72.6+59.5-T24-S24</f>
        <v>-46</v>
      </c>
      <c r="V24" s="16">
        <f>-377.9+72.6+67.3-U24-T24-S24</f>
        <v>-252.79999999999993</v>
      </c>
      <c r="W24" s="17">
        <f>SUM(S24:V24)</f>
        <v>-237.99999999999994</v>
      </c>
      <c r="X24" s="101">
        <f>-10.5+0.8+253.3</f>
        <v>243.60000000000002</v>
      </c>
      <c r="Y24" s="16">
        <f>-('BS (F1Q23)'!Y7-'BS (F1Q23)'!X7)-('BS (F1Q23)'!Y12-'BS (F1Q23)'!X12)</f>
        <v>-42.075229658304352</v>
      </c>
      <c r="Z24" s="16">
        <f>-('BS (F1Q23)'!Z7-'BS (F1Q23)'!Y7)-('BS (F1Q23)'!Z12-'BS (F1Q23)'!Y12)</f>
        <v>-30.128339002814499</v>
      </c>
      <c r="AA24" s="16">
        <f>-('BS (F1Q23)'!AA7-'BS (F1Q23)'!Z7)-('BS (F1Q23)'!AA12-'BS (F1Q23)'!Z12)</f>
        <v>-30.135589496219069</v>
      </c>
      <c r="AB24" s="17">
        <f>SUM(X24:AA24)</f>
        <v>141.2608418426621</v>
      </c>
      <c r="AC24" s="16">
        <f>-('BS (F1Q23)'!AC7-'BS (F1Q23)'!AA7)-('BS (F1Q23)'!AC12-'BS (F1Q23)'!AA12)</f>
        <v>25.241798487861303</v>
      </c>
      <c r="AD24" s="16">
        <f>-('BS (F1Q23)'!AD7-'BS (F1Q23)'!AC7)-('BS (F1Q23)'!AD12-'BS (F1Q23)'!AC12)</f>
        <v>-7.9863618920345232</v>
      </c>
      <c r="AE24" s="16">
        <f>-('BS (F1Q23)'!AE7-'BS (F1Q23)'!AD7)-('BS (F1Q23)'!AE12-'BS (F1Q23)'!AD12)</f>
        <v>-14.940859549754038</v>
      </c>
      <c r="AF24" s="16">
        <f>-('BS (F1Q23)'!AF7-'BS (F1Q23)'!AE7)-('BS (F1Q23)'!AF12-'BS (F1Q23)'!AE12)</f>
        <v>-10.628272536060763</v>
      </c>
      <c r="AG24" s="17">
        <f>SUM(AC24:AF24)</f>
        <v>-8.3136954899880209</v>
      </c>
      <c r="AH24" s="16">
        <f>-('BS (F1Q23)'!AH7-'BS (F1Q23)'!AF7)-('BS (F1Q23)'!AH12-'BS (F1Q23)'!AF12)</f>
        <v>-12.149507920169611</v>
      </c>
      <c r="AI24" s="16">
        <f>-('BS (F1Q23)'!AI7-'BS (F1Q23)'!AH7)-('BS (F1Q23)'!AI12-'BS (F1Q23)'!AH12)</f>
        <v>-0.61662387280389908</v>
      </c>
      <c r="AJ24" s="16">
        <f>-('BS (F1Q23)'!AJ7-'BS (F1Q23)'!AI7)-('BS (F1Q23)'!AJ12-'BS (F1Q23)'!AI12)</f>
        <v>-45.841244840290187</v>
      </c>
      <c r="AK24" s="16">
        <f>-('BS (F1Q23)'!AK7-'BS (F1Q23)'!AJ7)-('BS (F1Q23)'!AK12-'BS (F1Q23)'!AJ12)</f>
        <v>79.963401675142507</v>
      </c>
      <c r="AL24" s="17">
        <f>SUM(AH24:AK24)</f>
        <v>21.356025041878809</v>
      </c>
      <c r="AM24" s="16">
        <f>-('BS (F1Q23)'!AM7-'BS (F1Q23)'!AK7)-('BS (F1Q23)'!AM12-'BS (F1Q23)'!AK12)</f>
        <v>-15.993838821067612</v>
      </c>
      <c r="AN24" s="16">
        <f>-('BS (F1Q23)'!AN7-'BS (F1Q23)'!AM7)-('BS (F1Q23)'!AN12-'BS (F1Q23)'!AM12)</f>
        <v>21.157279146530215</v>
      </c>
      <c r="AO24" s="16">
        <f>-('BS (F1Q23)'!AO7-'BS (F1Q23)'!AN7)-('BS (F1Q23)'!AO12-'BS (F1Q23)'!AN12)</f>
        <v>-13.394694374175799</v>
      </c>
      <c r="AP24" s="16">
        <f>-('BS (F1Q23)'!AP7-'BS (F1Q23)'!AO7)-('BS (F1Q23)'!AP12-'BS (F1Q23)'!AO12)</f>
        <v>-8.9539207977036597</v>
      </c>
      <c r="AQ24" s="17">
        <f>SUM(AM24:AP24)</f>
        <v>-17.185174846416857</v>
      </c>
      <c r="AR24" s="16">
        <f>-('BS (F1Q23)'!AR7-'BS (F1Q23)'!AP7)-('BS (F1Q23)'!AR12-'BS (F1Q23)'!AP12)</f>
        <v>-19.421227092239718</v>
      </c>
      <c r="AS24" s="16">
        <f>-('BS (F1Q23)'!AS7-'BS (F1Q23)'!AR7)-('BS (F1Q23)'!AS12-'BS (F1Q23)'!AR12)</f>
        <v>4.1434306800924503</v>
      </c>
      <c r="AT24" s="16">
        <f>-('BS (F1Q23)'!AT7-'BS (F1Q23)'!AS7)-('BS (F1Q23)'!AT12-'BS (F1Q23)'!AS12)</f>
        <v>-15.087323382570702</v>
      </c>
      <c r="AU24" s="16">
        <f>-('BS (F1Q23)'!AU7-'BS (F1Q23)'!AT7)-('BS (F1Q23)'!AU12-'BS (F1Q23)'!AT12)</f>
        <v>-10.686519716220289</v>
      </c>
      <c r="AV24" s="17">
        <f>SUM(AR24:AU24)</f>
        <v>-41.051639510938259</v>
      </c>
    </row>
    <row r="25" spans="2:48" outlineLevel="1" x14ac:dyDescent="0.3">
      <c r="B25" s="580" t="s">
        <v>283</v>
      </c>
      <c r="C25" s="581"/>
      <c r="D25" s="16">
        <v>-431.4</v>
      </c>
      <c r="E25" s="16">
        <f>-845.6-D25</f>
        <v>-414.20000000000005</v>
      </c>
      <c r="F25" s="16">
        <f>-1280.7-E25-D25</f>
        <v>-435.1</v>
      </c>
      <c r="G25" s="16">
        <f>-1806.6-F25-E25-D25</f>
        <v>-525.9</v>
      </c>
      <c r="H25" s="169">
        <f>SUM(D25:G25)</f>
        <v>-1806.6</v>
      </c>
      <c r="I25" s="16">
        <v>-394.3</v>
      </c>
      <c r="J25" s="16">
        <f>-758.3-I25</f>
        <v>-363.99999999999994</v>
      </c>
      <c r="K25" s="16">
        <f>-1138.4-J25-I25</f>
        <v>-380.10000000000008</v>
      </c>
      <c r="L25" s="16">
        <f>-1483.6-K25-J25-I25</f>
        <v>-345.19999999999976</v>
      </c>
      <c r="M25" s="169">
        <f>SUM(I25:L25)</f>
        <v>-1483.6</v>
      </c>
      <c r="N25" s="16">
        <v>-324.2</v>
      </c>
      <c r="O25" s="16">
        <f>-647.9-N25</f>
        <v>-323.7</v>
      </c>
      <c r="P25" s="16">
        <f>-985.7-O25-N25</f>
        <v>-337.8</v>
      </c>
      <c r="Q25" s="16">
        <f>-1470-P25-O25-N25</f>
        <v>-484.3</v>
      </c>
      <c r="R25" s="169">
        <f>SUM(N25:Q25)</f>
        <v>-1470</v>
      </c>
      <c r="S25" s="16">
        <v>-416.8</v>
      </c>
      <c r="T25" s="16">
        <f>-871.9-S25</f>
        <v>-455.09999999999997</v>
      </c>
      <c r="U25" s="16">
        <f>-1295.4-T25-S25</f>
        <v>-423.50000000000017</v>
      </c>
      <c r="V25" s="16">
        <f>-1841.3-U25-T25-S25</f>
        <v>-545.89999999999986</v>
      </c>
      <c r="W25" s="169">
        <f>SUM(S25:V25)</f>
        <v>-1841.3</v>
      </c>
      <c r="X25" s="101">
        <v>-516.79999999999995</v>
      </c>
      <c r="Y25" s="16">
        <f>-'IS (F1Q23)'!Y8*Y56</f>
        <v>-615.14428749768365</v>
      </c>
      <c r="Z25" s="16">
        <f>-'IS (F1Q23)'!Z8*Z56</f>
        <v>-674.26707119747709</v>
      </c>
      <c r="AA25" s="16">
        <f>-'IS (F1Q23)'!AA8*AA56</f>
        <v>-696.66140206031832</v>
      </c>
      <c r="AB25" s="418">
        <f>SUM(X25:AA25)</f>
        <v>-2502.8727607554788</v>
      </c>
      <c r="AC25" s="16">
        <f>-'IS (F1Q23)'!AC8*AC56</f>
        <v>-674.18478948875816</v>
      </c>
      <c r="AD25" s="16">
        <f>-'IS (F1Q23)'!AD8*AD56</f>
        <v>-640.30216792844146</v>
      </c>
      <c r="AE25" s="16">
        <f>-'IS (F1Q23)'!AE8*AE56</f>
        <v>-701.7811751636151</v>
      </c>
      <c r="AF25" s="16">
        <f>-'IS (F1Q23)'!AF8*AF56</f>
        <v>-726.03822290127948</v>
      </c>
      <c r="AG25" s="418">
        <f>SUM(AC25:AF25)</f>
        <v>-2742.3063554820942</v>
      </c>
      <c r="AH25" s="16">
        <f>-'IS (F1Q23)'!AH8*AH56</f>
        <v>-673.10115208236607</v>
      </c>
      <c r="AI25" s="16">
        <f>-'IS (F1Q23)'!AI8*AI56</f>
        <v>-639.75766573296346</v>
      </c>
      <c r="AJ25" s="16">
        <f>-'IS (F1Q23)'!AJ8*AJ56</f>
        <v>-701.62786552085242</v>
      </c>
      <c r="AK25" s="16">
        <f>-'IS (F1Q23)'!AK8*AK56</f>
        <v>-727.06516430499494</v>
      </c>
      <c r="AL25" s="418">
        <f>SUM(AH25:AK25)</f>
        <v>-2741.5518476411771</v>
      </c>
      <c r="AM25" s="16">
        <f>-'IS (F1Q23)'!AM8*AM56</f>
        <v>-739.10881189564191</v>
      </c>
      <c r="AN25" s="16">
        <f>-'IS (F1Q23)'!AN8*AN56</f>
        <v>-700.11132674824046</v>
      </c>
      <c r="AO25" s="16">
        <f>-'IS (F1Q23)'!AO8*AO56</f>
        <v>-765.02655209452075</v>
      </c>
      <c r="AP25" s="16">
        <f>-'IS (F1Q23)'!AP8*AP56</f>
        <v>-790.10604075881497</v>
      </c>
      <c r="AQ25" s="17">
        <f>SUM(AM25:AP25)</f>
        <v>-2994.352731497218</v>
      </c>
      <c r="AR25" s="16">
        <f>-'IS (F1Q23)'!AR8*AR56</f>
        <v>-786.50754022506828</v>
      </c>
      <c r="AS25" s="16">
        <f>-'IS (F1Q23)'!AS8*AS56</f>
        <v>-745.00770276057722</v>
      </c>
      <c r="AT25" s="16">
        <f>-'IS (F1Q23)'!AT8*AT56</f>
        <v>-813.91657555449422</v>
      </c>
      <c r="AU25" s="16">
        <f>-'IS (F1Q23)'!AU8*AU56</f>
        <v>-840.54320772384381</v>
      </c>
      <c r="AV25" s="17">
        <f>SUM(AR25:AU25)</f>
        <v>-3185.9750262639836</v>
      </c>
    </row>
    <row r="26" spans="2:48" ht="16.2" outlineLevel="1" x14ac:dyDescent="0.45">
      <c r="B26" s="580" t="s">
        <v>284</v>
      </c>
      <c r="C26" s="581"/>
      <c r="D26" s="260">
        <v>-16.600000000000001</v>
      </c>
      <c r="E26" s="260">
        <f>48.5-37.1-D26</f>
        <v>28</v>
      </c>
      <c r="F26" s="260">
        <f>684.2-72.9-E26-D26</f>
        <v>599.90000000000009</v>
      </c>
      <c r="G26" s="260">
        <f>684.3-56.2-F26-E26-D26</f>
        <v>16.79999999999982</v>
      </c>
      <c r="H26" s="261">
        <f>SUM(D26:G26)</f>
        <v>628.09999999999991</v>
      </c>
      <c r="I26" s="260">
        <v>-19.899999999999999</v>
      </c>
      <c r="J26" s="260">
        <f>-22.5-I26</f>
        <v>-2.6000000000000014</v>
      </c>
      <c r="K26" s="260">
        <f>-39.4-J26-I26</f>
        <v>-16.899999999999999</v>
      </c>
      <c r="L26" s="260">
        <f>-44.4-K26-J26-I26</f>
        <v>-5</v>
      </c>
      <c r="M26" s="261">
        <f>SUM(I26:L26)</f>
        <v>-44.4</v>
      </c>
      <c r="N26" s="260">
        <v>-17.7</v>
      </c>
      <c r="O26" s="260">
        <f>-20.1-N26</f>
        <v>-2.4000000000000021</v>
      </c>
      <c r="P26" s="260">
        <f>-62.3-O26-N26</f>
        <v>-42.199999999999989</v>
      </c>
      <c r="Q26" s="260">
        <f>1175-81.2-P26-O26-N26</f>
        <v>1156.1000000000001</v>
      </c>
      <c r="R26" s="261">
        <f>SUM(N26:Q26)</f>
        <v>1093.8000000000002</v>
      </c>
      <c r="S26" s="260">
        <v>-41.4</v>
      </c>
      <c r="T26" s="260">
        <f>-69.8-S26</f>
        <v>-28.4</v>
      </c>
      <c r="U26" s="260">
        <f>-95.7-T26-S26</f>
        <v>-25.900000000000013</v>
      </c>
      <c r="V26" s="260">
        <f>59.3-126.3-U26-T26-S26</f>
        <v>28.70000000000001</v>
      </c>
      <c r="W26" s="261">
        <f>SUM(S26:V26)</f>
        <v>-67</v>
      </c>
      <c r="X26" s="112">
        <v>-6.1</v>
      </c>
      <c r="Y26" s="260">
        <f>-('BS (F1Q23)'!Y13-'BS (F1Q23)'!X13)-('BS (F1Q23)'!Y17-'BS (F1Q23)'!X17)-('BS (F1Q23)'!Y15-'BS (F1Q23)'!X15)+('BS (F1Q23)'!Y32-'BS (F1Q23)'!X32)-('BS (F1Q23)'!Y18-'BS (F1Q23)'!X18)-('BS (F1Q23)'!Y19-'BS (F1Q23)'!X19)</f>
        <v>10.532748198001997</v>
      </c>
      <c r="Z26" s="260">
        <f>-('BS (F1Q23)'!Z13-'BS (F1Q23)'!Y13)-('BS (F1Q23)'!Z17-'BS (F1Q23)'!Y17)-('BS (F1Q23)'!Z15-'BS (F1Q23)'!Y15)+('BS (F1Q23)'!Z32-'BS (F1Q23)'!Y32)-('BS (F1Q23)'!Z18-'BS (F1Q23)'!Y18)-('BS (F1Q23)'!Z19-'BS (F1Q23)'!Y19)</f>
        <v>4.30183397786044</v>
      </c>
      <c r="AA26" s="260">
        <f>-('BS (F1Q23)'!AA13-'BS (F1Q23)'!Z13)-('BS (F1Q23)'!AA17-'BS (F1Q23)'!Z17)-('BS (F1Q23)'!AA15-'BS (F1Q23)'!Z15)+('BS (F1Q23)'!AA32-'BS (F1Q23)'!Z32)-('BS (F1Q23)'!AA18-'BS (F1Q23)'!Z18)-('BS (F1Q23)'!AA19-'BS (F1Q23)'!Z19)</f>
        <v>6.8103054538512282</v>
      </c>
      <c r="AB26" s="261">
        <f>SUM(X26:AA26)</f>
        <v>15.544887629713665</v>
      </c>
      <c r="AC26" s="260">
        <f>-('BS (F1Q23)'!AC13-'BS (F1Q23)'!AA13)-('BS (F1Q23)'!AC17-'BS (F1Q23)'!AA17)-('BS (F1Q23)'!AC15-'BS (F1Q23)'!AA15)+('BS (F1Q23)'!AC32-'BS (F1Q23)'!AA32)-('BS (F1Q23)'!AC18-'BS (F1Q23)'!AA18)-('BS (F1Q23)'!AC19-'BS (F1Q23)'!AA19)</f>
        <v>-6.361314696301946</v>
      </c>
      <c r="AD26" s="260">
        <f>-('BS (F1Q23)'!AD13-'BS (F1Q23)'!AC13)-('BS (F1Q23)'!AD17-'BS (F1Q23)'!AC17)-('BS (F1Q23)'!AD15-'BS (F1Q23)'!AC15)+('BS (F1Q23)'!AD32-'BS (F1Q23)'!AC32)-('BS (F1Q23)'!AD18-'BS (F1Q23)'!AC18)-('BS (F1Q23)'!AD19-'BS (F1Q23)'!AC19)</f>
        <v>15.6442004128793</v>
      </c>
      <c r="AE26" s="260">
        <f>-('BS (F1Q23)'!AE13-'BS (F1Q23)'!AD13)-('BS (F1Q23)'!AE17-'BS (F1Q23)'!AD17)-('BS (F1Q23)'!AE15-'BS (F1Q23)'!AD15)+('BS (F1Q23)'!AE32-'BS (F1Q23)'!AD32)-('BS (F1Q23)'!AE18-'BS (F1Q23)'!AD18)-('BS (F1Q23)'!AE19-'BS (F1Q23)'!AD19)</f>
        <v>-1.1706027500857914</v>
      </c>
      <c r="AF26" s="260">
        <f>-('BS (F1Q23)'!AF13-'BS (F1Q23)'!AE13)-('BS (F1Q23)'!AF17-'BS (F1Q23)'!AE17)-('BS (F1Q23)'!AF15-'BS (F1Q23)'!AE15)+('BS (F1Q23)'!AF32-'BS (F1Q23)'!AE32)-('BS (F1Q23)'!AF18-'BS (F1Q23)'!AE18)-('BS (F1Q23)'!AF19-'BS (F1Q23)'!AE19)</f>
        <v>-2.1142578746656113</v>
      </c>
      <c r="AG26" s="261">
        <f>SUM(AC26:AF26)</f>
        <v>5.9980250918259514</v>
      </c>
      <c r="AH26" s="260">
        <f>-('BS (F1Q23)'!AH13-'BS (F1Q23)'!AF13)-('BS (F1Q23)'!AH17-'BS (F1Q23)'!AF17)-('BS (F1Q23)'!AH15-'BS (F1Q23)'!AF15)+('BS (F1Q23)'!AH32-'BS (F1Q23)'!AF32)-('BS (F1Q23)'!AH18-'BS (F1Q23)'!AF18)-('BS (F1Q23)'!AH19-'BS (F1Q23)'!AF19)</f>
        <v>-12.075416462573472</v>
      </c>
      <c r="AI26" s="260">
        <f>-('BS (F1Q23)'!AI13-'BS (F1Q23)'!AH13)-('BS (F1Q23)'!AI17-'BS (F1Q23)'!AH17)-('BS (F1Q23)'!AI15-'BS (F1Q23)'!AH15)+('BS (F1Q23)'!AI32-'BS (F1Q23)'!AH32)-('BS (F1Q23)'!AI18-'BS (F1Q23)'!AH18)-('BS (F1Q23)'!AI19-'BS (F1Q23)'!AH19)</f>
        <v>11.050485157888446</v>
      </c>
      <c r="AJ26" s="260">
        <f>-('BS (F1Q23)'!AJ13-'BS (F1Q23)'!AI13)-('BS (F1Q23)'!AJ17-'BS (F1Q23)'!AI17)-('BS (F1Q23)'!AJ15-'BS (F1Q23)'!AI15)+('BS (F1Q23)'!AJ32-'BS (F1Q23)'!AI32)-('BS (F1Q23)'!AJ18-'BS (F1Q23)'!AI18)-('BS (F1Q23)'!AJ19-'BS (F1Q23)'!AI19)</f>
        <v>-43.213292090003307</v>
      </c>
      <c r="AK26" s="260">
        <f>-('BS (F1Q23)'!AK13-'BS (F1Q23)'!AJ13)-('BS (F1Q23)'!AK17-'BS (F1Q23)'!AJ17)-('BS (F1Q23)'!AK15-'BS (F1Q23)'!AJ15)+('BS (F1Q23)'!AK32-'BS (F1Q23)'!AJ32)-('BS (F1Q23)'!AK18-'BS (F1Q23)'!AJ18)-('BS (F1Q23)'!AK19-'BS (F1Q23)'!AJ19)</f>
        <v>96.678772671449053</v>
      </c>
      <c r="AL26" s="261">
        <f>SUM(AH26:AK26)</f>
        <v>52.44054927676072</v>
      </c>
      <c r="AM26" s="260">
        <f>-('BS (F1Q23)'!AM13-'BS (F1Q23)'!AK13)-('BS (F1Q23)'!AM17-'BS (F1Q23)'!AK17)-('BS (F1Q23)'!AM15-'BS (F1Q23)'!AK15)+('BS (F1Q23)'!AM32-'BS (F1Q23)'!AK32)-('BS (F1Q23)'!AM18-'BS (F1Q23)'!AK18)-('BS (F1Q23)'!AM19-'BS (F1Q23)'!AK19)</f>
        <v>-12.0970376536104</v>
      </c>
      <c r="AN26" s="260">
        <f>-('BS (F1Q23)'!AN13-'BS (F1Q23)'!AM13)-('BS (F1Q23)'!AN17-'BS (F1Q23)'!AM17)-('BS (F1Q23)'!AN15-'BS (F1Q23)'!AM15)+('BS (F1Q23)'!AN32-'BS (F1Q23)'!AM32)-('BS (F1Q23)'!AN18-'BS (F1Q23)'!AM18)-('BS (F1Q23)'!AN19-'BS (F1Q23)'!AM19)</f>
        <v>30.909551637352699</v>
      </c>
      <c r="AO26" s="260">
        <f>-('BS (F1Q23)'!AO13-'BS (F1Q23)'!AN13)-('BS (F1Q23)'!AO17-'BS (F1Q23)'!AN17)-('BS (F1Q23)'!AO15-'BS (F1Q23)'!AN15)+('BS (F1Q23)'!AO32-'BS (F1Q23)'!AN32)-('BS (F1Q23)'!AO18-'BS (F1Q23)'!AN18)-('BS (F1Q23)'!AO19-'BS (F1Q23)'!AN19)</f>
        <v>-9.0924486575470596</v>
      </c>
      <c r="AP26" s="260">
        <f>-('BS (F1Q23)'!AP13-'BS (F1Q23)'!AO13)-('BS (F1Q23)'!AP17-'BS (F1Q23)'!AO17)-('BS (F1Q23)'!AP15-'BS (F1Q23)'!AO15)+('BS (F1Q23)'!AP32-'BS (F1Q23)'!AO32)-('BS (F1Q23)'!AP18-'BS (F1Q23)'!AO18)-('BS (F1Q23)'!AP19-'BS (F1Q23)'!AO19)</f>
        <v>-4.6010768527971209</v>
      </c>
      <c r="AQ26" s="261">
        <f>SUM(AM26:AP26)</f>
        <v>5.1189884733981188</v>
      </c>
      <c r="AR26" s="260">
        <f>-('BS (F1Q23)'!AR13-'BS (F1Q23)'!AP13)-('BS (F1Q23)'!AR17-'BS (F1Q23)'!AP17)-('BS (F1Q23)'!AR15-'BS (F1Q23)'!AP15)+('BS (F1Q23)'!AR32-'BS (F1Q23)'!AP32)-('BS (F1Q23)'!AR18-'BS (F1Q23)'!AP18)-('BS (F1Q23)'!AR19-'BS (F1Q23)'!AP19)</f>
        <v>-16.61998203562942</v>
      </c>
      <c r="AS26" s="260">
        <f>-('BS (F1Q23)'!AS13-'BS (F1Q23)'!AR13)-('BS (F1Q23)'!AS17-'BS (F1Q23)'!AR17)-('BS (F1Q23)'!AS15-'BS (F1Q23)'!AR15)+('BS (F1Q23)'!AS32-'BS (F1Q23)'!AR32)-('BS (F1Q23)'!AS18-'BS (F1Q23)'!AR18)-('BS (F1Q23)'!AS19-'BS (F1Q23)'!AR19)</f>
        <v>9.8609083986074495</v>
      </c>
      <c r="AT26" s="260">
        <f>-('BS (F1Q23)'!AT13-'BS (F1Q23)'!AS13)-('BS (F1Q23)'!AT17-'BS (F1Q23)'!AS17)-('BS (F1Q23)'!AT15-'BS (F1Q23)'!AS15)+('BS (F1Q23)'!AT32-'BS (F1Q23)'!AS32)-('BS (F1Q23)'!AT18-'BS (F1Q23)'!AS18)-('BS (F1Q23)'!AT19-'BS (F1Q23)'!AS19)</f>
        <v>-12.234602128322294</v>
      </c>
      <c r="AU26" s="260">
        <f>-('BS (F1Q23)'!AU13-'BS (F1Q23)'!AT13)-('BS (F1Q23)'!AU17-'BS (F1Q23)'!AT17)-('BS (F1Q23)'!AU15-'BS (F1Q23)'!AT15)+('BS (F1Q23)'!AU32-'BS (F1Q23)'!AT32)-('BS (F1Q23)'!AU18-'BS (F1Q23)'!AT18)-('BS (F1Q23)'!AU19-'BS (F1Q23)'!AT19)</f>
        <v>-7.52663701915559</v>
      </c>
      <c r="AV26" s="261">
        <f>SUM(AR26:AU26)</f>
        <v>-26.520312784499854</v>
      </c>
    </row>
    <row r="27" spans="2:48" outlineLevel="1" x14ac:dyDescent="0.3">
      <c r="B27" s="587" t="s">
        <v>285</v>
      </c>
      <c r="C27" s="588"/>
      <c r="D27" s="21">
        <f t="shared" ref="D27:AV27" si="27">SUM(D24:D26)</f>
        <v>-510.4</v>
      </c>
      <c r="E27" s="21">
        <f t="shared" si="27"/>
        <v>-200.60000000000002</v>
      </c>
      <c r="F27" s="21">
        <f t="shared" si="27"/>
        <v>204.5</v>
      </c>
      <c r="G27" s="21">
        <f t="shared" si="27"/>
        <v>-504.30000000000007</v>
      </c>
      <c r="H27" s="22">
        <f t="shared" si="27"/>
        <v>-1010.8</v>
      </c>
      <c r="I27" s="21">
        <f t="shared" si="27"/>
        <v>-386.3</v>
      </c>
      <c r="J27" s="21">
        <f t="shared" si="27"/>
        <v>-361.59999999999997</v>
      </c>
      <c r="K27" s="21">
        <f t="shared" si="27"/>
        <v>-583.80000000000007</v>
      </c>
      <c r="L27" s="21">
        <f t="shared" si="27"/>
        <v>-379.79999999999978</v>
      </c>
      <c r="M27" s="22">
        <f t="shared" si="27"/>
        <v>-1711.5</v>
      </c>
      <c r="N27" s="21">
        <f t="shared" si="27"/>
        <v>-272.5</v>
      </c>
      <c r="O27" s="21">
        <f t="shared" si="27"/>
        <v>-306.5</v>
      </c>
      <c r="P27" s="21">
        <f t="shared" si="27"/>
        <v>-407.2</v>
      </c>
      <c r="Q27" s="21">
        <f t="shared" si="27"/>
        <v>666.70000000000016</v>
      </c>
      <c r="R27" s="22">
        <f t="shared" si="27"/>
        <v>-319.49999999999977</v>
      </c>
      <c r="S27" s="21">
        <f t="shared" si="27"/>
        <v>-401</v>
      </c>
      <c r="T27" s="21">
        <f t="shared" si="27"/>
        <v>-479.89999999999992</v>
      </c>
      <c r="U27" s="21">
        <f t="shared" si="27"/>
        <v>-495.4000000000002</v>
      </c>
      <c r="V27" s="21">
        <f t="shared" si="27"/>
        <v>-769.99999999999977</v>
      </c>
      <c r="W27" s="22">
        <f t="shared" si="27"/>
        <v>-2146.2999999999997</v>
      </c>
      <c r="X27" s="21">
        <f t="shared" si="27"/>
        <v>-279.29999999999995</v>
      </c>
      <c r="Y27" s="21">
        <f t="shared" si="27"/>
        <v>-646.68676895798603</v>
      </c>
      <c r="Z27" s="21">
        <f t="shared" si="27"/>
        <v>-700.09357622243124</v>
      </c>
      <c r="AA27" s="21">
        <f t="shared" si="27"/>
        <v>-719.98668610268612</v>
      </c>
      <c r="AB27" s="22">
        <f t="shared" si="27"/>
        <v>-2346.067031283103</v>
      </c>
      <c r="AC27" s="21">
        <f t="shared" si="27"/>
        <v>-655.30430569719886</v>
      </c>
      <c r="AD27" s="21">
        <f t="shared" si="27"/>
        <v>-632.64432940759673</v>
      </c>
      <c r="AE27" s="21">
        <f t="shared" si="27"/>
        <v>-717.89263746345489</v>
      </c>
      <c r="AF27" s="21">
        <f t="shared" si="27"/>
        <v>-738.7807533120058</v>
      </c>
      <c r="AG27" s="22">
        <f t="shared" si="27"/>
        <v>-2744.6220258802559</v>
      </c>
      <c r="AH27" s="21">
        <f t="shared" si="27"/>
        <v>-697.32607646510917</v>
      </c>
      <c r="AI27" s="21">
        <f t="shared" si="27"/>
        <v>-629.32380444787884</v>
      </c>
      <c r="AJ27" s="21">
        <f t="shared" si="27"/>
        <v>-790.68240245114589</v>
      </c>
      <c r="AK27" s="21">
        <f t="shared" si="27"/>
        <v>-550.42298995840338</v>
      </c>
      <c r="AL27" s="22">
        <f t="shared" si="27"/>
        <v>-2667.755273322538</v>
      </c>
      <c r="AM27" s="21">
        <f t="shared" si="27"/>
        <v>-767.1996883703199</v>
      </c>
      <c r="AN27" s="21">
        <f t="shared" si="27"/>
        <v>-648.04449596435757</v>
      </c>
      <c r="AO27" s="21">
        <f t="shared" si="27"/>
        <v>-787.51369512624365</v>
      </c>
      <c r="AP27" s="21">
        <f t="shared" si="27"/>
        <v>-803.66103840931578</v>
      </c>
      <c r="AQ27" s="22">
        <f t="shared" si="27"/>
        <v>-3006.4189178702368</v>
      </c>
      <c r="AR27" s="21">
        <f t="shared" si="27"/>
        <v>-822.54874935293742</v>
      </c>
      <c r="AS27" s="21">
        <f t="shared" si="27"/>
        <v>-731.00336368187732</v>
      </c>
      <c r="AT27" s="21">
        <f t="shared" si="27"/>
        <v>-841.23850106538725</v>
      </c>
      <c r="AU27" s="21">
        <f t="shared" si="27"/>
        <v>-858.75636445921975</v>
      </c>
      <c r="AV27" s="22">
        <f t="shared" si="27"/>
        <v>-3253.5469785594219</v>
      </c>
    </row>
    <row r="28" spans="2:48" outlineLevel="1" x14ac:dyDescent="0.3">
      <c r="B28" s="625" t="s">
        <v>286</v>
      </c>
      <c r="C28" s="626"/>
      <c r="D28" s="321"/>
      <c r="E28" s="323"/>
      <c r="F28" s="323"/>
      <c r="G28" s="323"/>
      <c r="H28" s="324"/>
      <c r="I28" s="323"/>
      <c r="J28" s="323"/>
      <c r="K28" s="323"/>
      <c r="L28" s="323"/>
      <c r="M28" s="324"/>
      <c r="N28" s="323"/>
      <c r="O28" s="323"/>
      <c r="P28" s="323"/>
      <c r="Q28" s="323"/>
      <c r="R28" s="324"/>
      <c r="S28" s="323"/>
      <c r="T28" s="323"/>
      <c r="U28" s="323"/>
      <c r="V28" s="323"/>
      <c r="W28" s="324"/>
      <c r="X28" s="323"/>
      <c r="Y28" s="323"/>
      <c r="Z28" s="323"/>
      <c r="AA28" s="323"/>
      <c r="AB28" s="324"/>
      <c r="AC28" s="323"/>
      <c r="AD28" s="323"/>
      <c r="AE28" s="323"/>
      <c r="AF28" s="323"/>
      <c r="AG28" s="324"/>
      <c r="AH28" s="323"/>
      <c r="AI28" s="323"/>
      <c r="AJ28" s="323"/>
      <c r="AK28" s="323"/>
      <c r="AL28" s="324"/>
      <c r="AM28" s="323"/>
      <c r="AN28" s="323"/>
      <c r="AO28" s="323"/>
      <c r="AP28" s="323"/>
      <c r="AQ28" s="324"/>
      <c r="AR28" s="323"/>
      <c r="AS28" s="323"/>
      <c r="AT28" s="323"/>
      <c r="AU28" s="323"/>
      <c r="AV28" s="324"/>
    </row>
    <row r="29" spans="2:48" outlineLevel="1" x14ac:dyDescent="0.3">
      <c r="B29" s="623" t="s">
        <v>263</v>
      </c>
      <c r="C29" s="624"/>
      <c r="D29" s="327">
        <v>0</v>
      </c>
      <c r="E29" s="327">
        <f>-D29</f>
        <v>0</v>
      </c>
      <c r="F29" s="327">
        <f>1996-350-E29-D29</f>
        <v>1646</v>
      </c>
      <c r="G29" s="327">
        <f>1996-F29-E29-D29</f>
        <v>350</v>
      </c>
      <c r="H29" s="328">
        <f t="shared" ref="H29:H36" si="28">SUM(D29:G29)</f>
        <v>1996</v>
      </c>
      <c r="I29" s="327">
        <v>0</v>
      </c>
      <c r="J29" s="327">
        <f>1739.7-I29</f>
        <v>1739.7</v>
      </c>
      <c r="K29" s="327">
        <f>1157.2+4727.6-J29-I29</f>
        <v>4145.1000000000004</v>
      </c>
      <c r="L29" s="327">
        <f>1406.6-K29-J29-I29</f>
        <v>-4478.2000000000007</v>
      </c>
      <c r="M29" s="328">
        <f t="shared" ref="M29:M36" si="29">SUM(I29:L29)</f>
        <v>1406.5999999999995</v>
      </c>
      <c r="N29" s="327">
        <v>192.9</v>
      </c>
      <c r="O29" s="327">
        <f>203.3-N29</f>
        <v>10.400000000000006</v>
      </c>
      <c r="P29" s="327">
        <f>215.6-O29-N29</f>
        <v>12.299999999999983</v>
      </c>
      <c r="Q29" s="327">
        <f>-296.5-P29-O29-N29</f>
        <v>-512.09999999999991</v>
      </c>
      <c r="R29" s="328">
        <f t="shared" ref="R29:R36" si="30">SUM(N29:Q29)</f>
        <v>-296.49999999999989</v>
      </c>
      <c r="S29" s="327">
        <v>200</v>
      </c>
      <c r="T29" s="327">
        <f>17.4+1498.1-S29</f>
        <v>1315.5</v>
      </c>
      <c r="U29" s="327">
        <f>200+38.9+1498.1-T29-S29</f>
        <v>221.5</v>
      </c>
      <c r="V29" s="327">
        <f>36.6-36.6+1498.1-1000-U29-T29-S29</f>
        <v>-1238.9000000000001</v>
      </c>
      <c r="W29" s="328">
        <f t="shared" ref="W29:W36" si="31">SUM(S29:V29)</f>
        <v>498.09999999999991</v>
      </c>
      <c r="X29" s="327">
        <v>0</v>
      </c>
      <c r="Y29" s="327">
        <f>+('BS (F1Q23)'!Y28-'BS (F1Q23)'!X28)+('BS (F1Q23)'!Y31-'BS (F1Q23)'!X31)</f>
        <v>501</v>
      </c>
      <c r="Z29" s="327">
        <f>+('BS (F1Q23)'!Z28-'BS (F1Q23)'!Y28)+('BS (F1Q23)'!Z31-'BS (F1Q23)'!Y31)</f>
        <v>0</v>
      </c>
      <c r="AA29" s="327">
        <f>+('BS (F1Q23)'!AA28-'BS (F1Q23)'!Z28)+('BS (F1Q23)'!AA31-'BS (F1Q23)'!Z31)</f>
        <v>0</v>
      </c>
      <c r="AB29" s="328">
        <f t="shared" ref="AB29:AB36" si="32">SUM(X29:AA29)</f>
        <v>501</v>
      </c>
      <c r="AC29" s="327">
        <f>+('BS (F1Q23)'!AC28-'BS (F1Q23)'!AA28)+('BS (F1Q23)'!AC31-'BS (F1Q23)'!AA31)</f>
        <v>0</v>
      </c>
      <c r="AD29" s="327">
        <f>+('BS (F1Q23)'!AD28-'BS (F1Q23)'!AC28)+('BS (F1Q23)'!AD31-'BS (F1Q23)'!AC31)</f>
        <v>0</v>
      </c>
      <c r="AE29" s="327">
        <f>+('BS (F1Q23)'!AE28-'BS (F1Q23)'!AD28)+('BS (F1Q23)'!AE31-'BS (F1Q23)'!AD31)</f>
        <v>0</v>
      </c>
      <c r="AF29" s="327">
        <f>+('BS (F1Q23)'!AF28-'BS (F1Q23)'!AE28)+('BS (F1Q23)'!AF31-'BS (F1Q23)'!AE31)</f>
        <v>200</v>
      </c>
      <c r="AG29" s="328">
        <f t="shared" ref="AG29:AG36" si="33">SUM(AC29:AF29)</f>
        <v>200</v>
      </c>
      <c r="AH29" s="327">
        <f>+('BS (F1Q23)'!AH28-'BS (F1Q23)'!AF28)+('BS (F1Q23)'!AH31-'BS (F1Q23)'!AF31)</f>
        <v>0</v>
      </c>
      <c r="AI29" s="327">
        <f>+('BS (F1Q23)'!AI28-'BS (F1Q23)'!AH28)+('BS (F1Q23)'!AI31-'BS (F1Q23)'!AH31)</f>
        <v>0</v>
      </c>
      <c r="AJ29" s="327">
        <f>+('BS (F1Q23)'!AJ28-'BS (F1Q23)'!AI28)+('BS (F1Q23)'!AJ31-'BS (F1Q23)'!AI31)</f>
        <v>7204.6000000000022</v>
      </c>
      <c r="AK29" s="327">
        <f>+('BS (F1Q23)'!AK28-'BS (F1Q23)'!AJ28)+('BS (F1Q23)'!AK31-'BS (F1Q23)'!AJ31)</f>
        <v>0</v>
      </c>
      <c r="AL29" s="328">
        <f t="shared" ref="AL29:AL36" si="34">SUM(AH29:AK29)</f>
        <v>7204.6000000000022</v>
      </c>
      <c r="AM29" s="327">
        <f>+('BS (F1Q23)'!AM28-'BS (F1Q23)'!AK28)+('BS (F1Q23)'!AM31-'BS (F1Q23)'!AK31)</f>
        <v>0</v>
      </c>
      <c r="AN29" s="327">
        <f>+('BS (F1Q23)'!AN28-'BS (F1Q23)'!AM28)+('BS (F1Q23)'!AN31-'BS (F1Q23)'!AM31)</f>
        <v>-1000</v>
      </c>
      <c r="AO29" s="327">
        <f>+('BS (F1Q23)'!AO28-'BS (F1Q23)'!AN28)+('BS (F1Q23)'!AO31-'BS (F1Q23)'!AN31)</f>
        <v>0</v>
      </c>
      <c r="AP29" s="327">
        <f>+('BS (F1Q23)'!AP28-'BS (F1Q23)'!AO28)+('BS (F1Q23)'!AP31-'BS (F1Q23)'!AO31)</f>
        <v>0</v>
      </c>
      <c r="AQ29" s="328">
        <f t="shared" ref="AQ29:AQ36" si="35">SUM(AM29:AP29)</f>
        <v>-1000</v>
      </c>
      <c r="AR29" s="327">
        <f>+('BS (F1Q23)'!AR28-'BS (F1Q23)'!AP28)+('BS (F1Q23)'!AR31-'BS (F1Q23)'!AP31)</f>
        <v>0</v>
      </c>
      <c r="AS29" s="327">
        <f>+('BS (F1Q23)'!AS28-'BS (F1Q23)'!AR28)+('BS (F1Q23)'!AS31-'BS (F1Q23)'!AR31)</f>
        <v>0</v>
      </c>
      <c r="AT29" s="327">
        <f>+('BS (F1Q23)'!AT28-'BS (F1Q23)'!AS28)+('BS (F1Q23)'!AT31-'BS (F1Q23)'!AS31)</f>
        <v>0</v>
      </c>
      <c r="AU29" s="327">
        <f>+('BS (F1Q23)'!AU28-'BS (F1Q23)'!AT28)+('BS (F1Q23)'!AU31-'BS (F1Q23)'!AT31)</f>
        <v>0</v>
      </c>
      <c r="AV29" s="328">
        <f t="shared" ref="AV29:AV36" si="36">SUM(AR29:AU29)</f>
        <v>0</v>
      </c>
    </row>
    <row r="30" spans="2:48" outlineLevel="1" x14ac:dyDescent="0.3">
      <c r="B30" s="325" t="s">
        <v>287</v>
      </c>
      <c r="C30" s="326"/>
      <c r="D30" s="327">
        <v>-350</v>
      </c>
      <c r="E30" s="327">
        <v>0</v>
      </c>
      <c r="F30" s="327">
        <f>-75-E30-D30</f>
        <v>275</v>
      </c>
      <c r="G30" s="327">
        <f>-350-F30-E30-D30</f>
        <v>-275</v>
      </c>
      <c r="H30" s="328">
        <f t="shared" si="28"/>
        <v>-350</v>
      </c>
      <c r="I30" s="327"/>
      <c r="J30" s="327">
        <f>0-I30</f>
        <v>0</v>
      </c>
      <c r="K30" s="327">
        <v>-220.7</v>
      </c>
      <c r="L30" s="327">
        <f>-967.7-K30-J30-I30</f>
        <v>-747</v>
      </c>
      <c r="M30" s="328">
        <f t="shared" si="29"/>
        <v>-967.7</v>
      </c>
      <c r="N30" s="327">
        <f>-144.7-500</f>
        <v>-644.70000000000005</v>
      </c>
      <c r="O30" s="327">
        <f>-296.5-320.5-1250-N30</f>
        <v>-1222.3</v>
      </c>
      <c r="P30" s="327">
        <f>-296.5-346.2-1250-O30-N30</f>
        <v>-25.700000000000045</v>
      </c>
      <c r="Q30" s="327">
        <f>215.1-349.8-1250-P30-O30-N30</f>
        <v>508</v>
      </c>
      <c r="R30" s="328">
        <f t="shared" si="30"/>
        <v>-1384.7</v>
      </c>
      <c r="S30" s="327"/>
      <c r="T30" s="327">
        <v>-12.6</v>
      </c>
      <c r="U30" s="327">
        <f>-38.9-1000-T30-S30</f>
        <v>-1026.3000000000002</v>
      </c>
      <c r="V30" s="327">
        <f>175-U30-T30-S30</f>
        <v>1213.9000000000001</v>
      </c>
      <c r="W30" s="328">
        <f t="shared" si="31"/>
        <v>175</v>
      </c>
      <c r="X30" s="327">
        <v>-175</v>
      </c>
      <c r="Y30" s="327"/>
      <c r="Z30" s="327"/>
      <c r="AA30" s="327"/>
      <c r="AB30" s="328">
        <f t="shared" si="32"/>
        <v>-175</v>
      </c>
      <c r="AC30" s="327"/>
      <c r="AD30" s="327"/>
      <c r="AE30" s="327"/>
      <c r="AF30" s="327"/>
      <c r="AG30" s="328">
        <f t="shared" si="33"/>
        <v>0</v>
      </c>
      <c r="AH30" s="327"/>
      <c r="AI30" s="327"/>
      <c r="AJ30" s="327"/>
      <c r="AK30" s="327"/>
      <c r="AL30" s="328">
        <f t="shared" si="34"/>
        <v>0</v>
      </c>
      <c r="AM30" s="327"/>
      <c r="AN30" s="327"/>
      <c r="AO30" s="327"/>
      <c r="AP30" s="327"/>
      <c r="AQ30" s="328">
        <f t="shared" si="35"/>
        <v>0</v>
      </c>
      <c r="AR30" s="327"/>
      <c r="AS30" s="327"/>
      <c r="AT30" s="327"/>
      <c r="AU30" s="327"/>
      <c r="AV30" s="328">
        <f t="shared" si="36"/>
        <v>0</v>
      </c>
    </row>
    <row r="31" spans="2:48" outlineLevel="1" x14ac:dyDescent="0.3">
      <c r="B31" s="325" t="s">
        <v>288</v>
      </c>
      <c r="C31" s="326"/>
      <c r="D31" s="327"/>
      <c r="E31" s="327">
        <v>75</v>
      </c>
      <c r="F31" s="327">
        <v>0</v>
      </c>
      <c r="G31" s="327">
        <f>0-F31-E31-D31</f>
        <v>-75</v>
      </c>
      <c r="H31" s="328">
        <f t="shared" si="28"/>
        <v>0</v>
      </c>
      <c r="I31" s="327">
        <f>398.9+99</f>
        <v>497.9</v>
      </c>
      <c r="J31" s="327">
        <f>613+494.1-I31</f>
        <v>609.19999999999993</v>
      </c>
      <c r="K31" s="327">
        <f>0-J31-I31</f>
        <v>-1107.0999999999999</v>
      </c>
      <c r="L31" s="327">
        <f>4727.6-K31-J31-I31</f>
        <v>4727.6000000000013</v>
      </c>
      <c r="M31" s="328">
        <f t="shared" si="29"/>
        <v>4727.6000000000013</v>
      </c>
      <c r="N31" s="327">
        <v>0</v>
      </c>
      <c r="O31" s="327">
        <f>0-N31</f>
        <v>0</v>
      </c>
      <c r="P31" s="327">
        <f>0-O31-N31</f>
        <v>0</v>
      </c>
      <c r="Q31" s="327">
        <f>0-P31-O31-N31</f>
        <v>0</v>
      </c>
      <c r="R31" s="328">
        <f t="shared" si="30"/>
        <v>0</v>
      </c>
      <c r="S31" s="327">
        <v>0</v>
      </c>
      <c r="T31" s="327">
        <f>0-S31</f>
        <v>0</v>
      </c>
      <c r="U31" s="327">
        <f t="shared" ref="U31" si="37">0-T31-S31</f>
        <v>0</v>
      </c>
      <c r="V31" s="327">
        <f t="shared" ref="V31" si="38">0-U31-T31-S31</f>
        <v>0</v>
      </c>
      <c r="W31" s="328">
        <f t="shared" si="31"/>
        <v>0</v>
      </c>
      <c r="X31" s="327"/>
      <c r="Y31" s="327"/>
      <c r="Z31" s="327"/>
      <c r="AA31" s="327"/>
      <c r="AB31" s="328">
        <f t="shared" si="32"/>
        <v>0</v>
      </c>
      <c r="AC31" s="327"/>
      <c r="AD31" s="327"/>
      <c r="AE31" s="327"/>
      <c r="AF31" s="327"/>
      <c r="AG31" s="328">
        <f t="shared" si="33"/>
        <v>0</v>
      </c>
      <c r="AH31" s="327"/>
      <c r="AI31" s="327"/>
      <c r="AJ31" s="327"/>
      <c r="AK31" s="327"/>
      <c r="AL31" s="328">
        <f t="shared" si="34"/>
        <v>0</v>
      </c>
      <c r="AM31" s="327"/>
      <c r="AN31" s="327"/>
      <c r="AO31" s="327"/>
      <c r="AP31" s="327"/>
      <c r="AQ31" s="328">
        <f t="shared" si="35"/>
        <v>0</v>
      </c>
      <c r="AR31" s="327"/>
      <c r="AS31" s="327"/>
      <c r="AT31" s="327"/>
      <c r="AU31" s="327"/>
      <c r="AV31" s="328">
        <f t="shared" si="36"/>
        <v>0</v>
      </c>
    </row>
    <row r="32" spans="2:48" outlineLevel="1" x14ac:dyDescent="0.3">
      <c r="B32" s="325" t="s">
        <v>289</v>
      </c>
      <c r="C32" s="326"/>
      <c r="D32" s="327">
        <v>108.4</v>
      </c>
      <c r="E32" s="327">
        <f>275.7-D32</f>
        <v>167.29999999999998</v>
      </c>
      <c r="F32" s="327">
        <f>358.5-E32-D32</f>
        <v>82.800000000000011</v>
      </c>
      <c r="G32" s="327">
        <f>409.8-F32-E32-D32</f>
        <v>51.300000000000011</v>
      </c>
      <c r="H32" s="328">
        <f t="shared" si="28"/>
        <v>409.8</v>
      </c>
      <c r="I32" s="327">
        <v>33.1</v>
      </c>
      <c r="J32" s="327">
        <f>65.4-I32</f>
        <v>32.300000000000004</v>
      </c>
      <c r="K32" s="327">
        <f>98.9-J32-I32</f>
        <v>33.499999999999993</v>
      </c>
      <c r="L32" s="327">
        <f>298.8-K32-J32-I32</f>
        <v>199.9</v>
      </c>
      <c r="M32" s="328">
        <f t="shared" si="29"/>
        <v>298.8</v>
      </c>
      <c r="N32" s="327">
        <v>102.8</v>
      </c>
      <c r="O32" s="327">
        <f>134.4-N32</f>
        <v>31.600000000000009</v>
      </c>
      <c r="P32" s="327">
        <f>191.6-O32-N32</f>
        <v>57.2</v>
      </c>
      <c r="Q32" s="327">
        <f>246.2-P32-O32-N32</f>
        <v>54.59999999999998</v>
      </c>
      <c r="R32" s="328">
        <f t="shared" si="30"/>
        <v>246.2</v>
      </c>
      <c r="S32" s="327">
        <v>41.3</v>
      </c>
      <c r="T32" s="327">
        <f>56.3-S32</f>
        <v>15</v>
      </c>
      <c r="U32" s="327">
        <f>75.5-T32-S32</f>
        <v>19.200000000000003</v>
      </c>
      <c r="V32" s="327">
        <f>101.6-U32-T32-S32</f>
        <v>26.099999999999994</v>
      </c>
      <c r="W32" s="328">
        <f t="shared" si="31"/>
        <v>101.6</v>
      </c>
      <c r="X32" s="327">
        <v>45.9</v>
      </c>
      <c r="Y32" s="327">
        <v>0</v>
      </c>
      <c r="Z32" s="327">
        <v>0</v>
      </c>
      <c r="AA32" s="327">
        <v>0</v>
      </c>
      <c r="AB32" s="328">
        <f t="shared" si="32"/>
        <v>45.9</v>
      </c>
      <c r="AC32" s="327">
        <v>0</v>
      </c>
      <c r="AD32" s="327">
        <v>0</v>
      </c>
      <c r="AE32" s="327">
        <v>0</v>
      </c>
      <c r="AF32" s="327">
        <v>0</v>
      </c>
      <c r="AG32" s="328">
        <f t="shared" si="33"/>
        <v>0</v>
      </c>
      <c r="AH32" s="327">
        <v>0</v>
      </c>
      <c r="AI32" s="327">
        <v>0</v>
      </c>
      <c r="AJ32" s="327">
        <v>0</v>
      </c>
      <c r="AK32" s="327">
        <v>0</v>
      </c>
      <c r="AL32" s="328">
        <f t="shared" si="34"/>
        <v>0</v>
      </c>
      <c r="AM32" s="327">
        <v>0</v>
      </c>
      <c r="AN32" s="327">
        <v>0</v>
      </c>
      <c r="AO32" s="327">
        <v>0</v>
      </c>
      <c r="AP32" s="327">
        <v>0</v>
      </c>
      <c r="AQ32" s="328">
        <f t="shared" si="35"/>
        <v>0</v>
      </c>
      <c r="AR32" s="327">
        <v>0</v>
      </c>
      <c r="AS32" s="327">
        <v>0</v>
      </c>
      <c r="AT32" s="327">
        <v>0</v>
      </c>
      <c r="AU32" s="327">
        <v>0</v>
      </c>
      <c r="AV32" s="328">
        <f t="shared" si="36"/>
        <v>0</v>
      </c>
    </row>
    <row r="33" spans="2:48" outlineLevel="1" x14ac:dyDescent="0.3">
      <c r="B33" s="325" t="s">
        <v>290</v>
      </c>
      <c r="C33" s="326"/>
      <c r="D33" s="327">
        <v>-446.7</v>
      </c>
      <c r="E33" s="327">
        <f>-894.5-D33</f>
        <v>-447.8</v>
      </c>
      <c r="F33" s="327">
        <f>-1330.7-E33-D33</f>
        <v>-436.2000000000001</v>
      </c>
      <c r="G33" s="327">
        <f>-1761.3-F33-E33-D33</f>
        <v>-430.59999999999997</v>
      </c>
      <c r="H33" s="328">
        <f t="shared" si="28"/>
        <v>-1761.3</v>
      </c>
      <c r="I33" s="327">
        <v>-484.2</v>
      </c>
      <c r="J33" s="327">
        <f>-965.2-I33</f>
        <v>-481.00000000000006</v>
      </c>
      <c r="K33" s="327">
        <f>-1444.2-J33-I33</f>
        <v>-479.00000000000006</v>
      </c>
      <c r="L33" s="327">
        <f>-1923.5-K33-J33-I33</f>
        <v>-479.3</v>
      </c>
      <c r="M33" s="328">
        <f t="shared" si="29"/>
        <v>-1923.5</v>
      </c>
      <c r="N33" s="327">
        <v>-528.20000000000005</v>
      </c>
      <c r="O33" s="327">
        <f>-1058-N33</f>
        <v>-529.79999999999995</v>
      </c>
      <c r="P33" s="327">
        <f>-1588.2-O33-N33</f>
        <v>-530.20000000000005</v>
      </c>
      <c r="Q33" s="327">
        <f>-2119-P33-O33-N33</f>
        <v>-530.79999999999995</v>
      </c>
      <c r="R33" s="328">
        <f t="shared" si="30"/>
        <v>-2119</v>
      </c>
      <c r="S33" s="327">
        <v>-576</v>
      </c>
      <c r="T33" s="327">
        <f>-1139.2-S33</f>
        <v>-563.20000000000005</v>
      </c>
      <c r="U33" s="327">
        <f>-1701.1-T33-S33</f>
        <v>-561.89999999999986</v>
      </c>
      <c r="V33" s="327">
        <f>-2263.3-U33-T33-S33</f>
        <v>-562.20000000000027</v>
      </c>
      <c r="W33" s="328">
        <f t="shared" si="31"/>
        <v>-2263.3000000000002</v>
      </c>
      <c r="X33" s="327">
        <v>-608.29999999999995</v>
      </c>
      <c r="Y33" s="327">
        <f>-'IS (F1Q23)'!Y35*'IS (F1Q23)'!Y30</f>
        <v>-609.39241000000004</v>
      </c>
      <c r="Z33" s="327">
        <f>-'IS (F1Q23)'!Z35*'IS (F1Q23)'!Z30</f>
        <v>-610.08119482000006</v>
      </c>
      <c r="AA33" s="327">
        <f>-'IS (F1Q23)'!AA35*'IS (F1Q23)'!AA30</f>
        <v>-641.30992507012218</v>
      </c>
      <c r="AB33" s="328">
        <f t="shared" si="32"/>
        <v>-2469.0835298901225</v>
      </c>
      <c r="AC33" s="327">
        <f>-'IS (F1Q23)'!X35*'IS (F1Q23)'!X30</f>
        <v>-608.70500000000004</v>
      </c>
      <c r="AD33" s="327">
        <f>-'IS (F1Q23)'!Y35*'IS (F1Q23)'!Y30</f>
        <v>-609.39241000000004</v>
      </c>
      <c r="AE33" s="327">
        <f>-'IS (F1Q23)'!Z35*'IS (F1Q23)'!Z30</f>
        <v>-610.08119482000006</v>
      </c>
      <c r="AF33" s="327">
        <f>-'IS (F1Q23)'!AA35*'IS (F1Q23)'!AA30</f>
        <v>-641.30992507012218</v>
      </c>
      <c r="AG33" s="328">
        <f t="shared" si="33"/>
        <v>-2469.4885298901222</v>
      </c>
      <c r="AH33" s="327">
        <f>-'IS (F1Q23)'!AC35*'IS (F1Q23)'!AC30</f>
        <v>-642.09871775976865</v>
      </c>
      <c r="AI33" s="327">
        <f>-'IS (F1Q23)'!AD35*'IS (F1Q23)'!AD30</f>
        <v>-642.88908803479444</v>
      </c>
      <c r="AJ33" s="327">
        <f>-'IS (F1Q23)'!AE35*'IS (F1Q23)'!AE30</f>
        <v>-643.68103905037026</v>
      </c>
      <c r="AK33" s="327">
        <f>-'IS (F1Q23)'!AF35*'IS (F1Q23)'!AF30</f>
        <v>-676.69830266637598</v>
      </c>
      <c r="AL33" s="328">
        <f t="shared" si="34"/>
        <v>-2605.3671475113092</v>
      </c>
      <c r="AM33" s="327">
        <f>-'IS (F1Q23)'!AH35*'IS (F1Q23)'!AH30</f>
        <v>-677.55787211121503</v>
      </c>
      <c r="AN33" s="327">
        <f>-'IS (F1Q23)'!AI35*'IS (F1Q23)'!AI30</f>
        <v>-678.41916069494368</v>
      </c>
      <c r="AO33" s="327">
        <f>-'IS (F1Q23)'!AJ35*'IS (F1Q23)'!AJ30</f>
        <v>-652.90192494225948</v>
      </c>
      <c r="AP33" s="327">
        <f>-'IS (F1Q23)'!AK35*'IS (F1Q23)'!AK30</f>
        <v>-658.70033745397336</v>
      </c>
      <c r="AQ33" s="328">
        <f t="shared" si="35"/>
        <v>-2667.5792952023912</v>
      </c>
      <c r="AR33" s="327">
        <f>-'IS (F1Q23)'!AM35*'IS (F1Q23)'!AM30</f>
        <v>-658.773957034354</v>
      </c>
      <c r="AS33" s="327">
        <f>-'IS (F1Q23)'!AN35*'IS (F1Q23)'!AN30</f>
        <v>-658.84772385389545</v>
      </c>
      <c r="AT33" s="327">
        <f>-'IS (F1Q23)'!AO35*'IS (F1Q23)'!AO30</f>
        <v>-658.92163820707583</v>
      </c>
      <c r="AU33" s="327">
        <f>-'IS (F1Q23)'!AP35*'IS (F1Q23)'!AP30</f>
        <v>-672.17561439674182</v>
      </c>
      <c r="AV33" s="328">
        <f t="shared" si="36"/>
        <v>-2648.7189334920672</v>
      </c>
    </row>
    <row r="34" spans="2:48" outlineLevel="1" x14ac:dyDescent="0.3">
      <c r="B34" s="325" t="s">
        <v>291</v>
      </c>
      <c r="C34" s="338"/>
      <c r="D34" s="327">
        <v>-5114.7</v>
      </c>
      <c r="E34" s="327">
        <f>-7827.9-D34</f>
        <v>-2713.2</v>
      </c>
      <c r="F34" s="327">
        <f>-7972.9-E34-D34</f>
        <v>-145</v>
      </c>
      <c r="G34" s="327">
        <f>-10222.3-F34-E34-D34</f>
        <v>-2249.3999999999996</v>
      </c>
      <c r="H34" s="328">
        <f t="shared" si="28"/>
        <v>-10222.299999999999</v>
      </c>
      <c r="I34" s="327">
        <v>-1091.4000000000001</v>
      </c>
      <c r="J34" s="327">
        <f>-1698.9-I34</f>
        <v>-607.5</v>
      </c>
      <c r="K34" s="327">
        <f>-1698.9-J34-I34</f>
        <v>0</v>
      </c>
      <c r="L34" s="327">
        <f>-1698.9-K34-J34-I34</f>
        <v>0</v>
      </c>
      <c r="M34" s="328">
        <f t="shared" si="29"/>
        <v>-1698.9</v>
      </c>
      <c r="N34" s="327">
        <v>0</v>
      </c>
      <c r="O34" s="327">
        <f>0-N34</f>
        <v>0</v>
      </c>
      <c r="P34" s="327">
        <f>0-O34-N34</f>
        <v>0</v>
      </c>
      <c r="Q34" s="327">
        <f>0-P34-O34-N34</f>
        <v>0</v>
      </c>
      <c r="R34" s="328">
        <f t="shared" si="30"/>
        <v>0</v>
      </c>
      <c r="S34" s="327">
        <v>-3520.9</v>
      </c>
      <c r="T34" s="327">
        <f>-3997.5-S34</f>
        <v>-476.59999999999991</v>
      </c>
      <c r="U34" s="327">
        <f>-4013-T34-S34</f>
        <v>-15.5</v>
      </c>
      <c r="V34" s="327">
        <f>-4013-U34-T34-S34</f>
        <v>0</v>
      </c>
      <c r="W34" s="328">
        <f t="shared" si="31"/>
        <v>-4013</v>
      </c>
      <c r="X34" s="327">
        <v>-191.4</v>
      </c>
      <c r="Y34" s="327">
        <f>-'IS (F1Q23)'!Y154</f>
        <v>-100</v>
      </c>
      <c r="Z34" s="327">
        <f>-'IS (F1Q23)'!Z154</f>
        <v>-100</v>
      </c>
      <c r="AA34" s="327">
        <f>-'IS (F1Q23)'!AA154</f>
        <v>-100</v>
      </c>
      <c r="AB34" s="328">
        <f t="shared" si="32"/>
        <v>-491.4</v>
      </c>
      <c r="AC34" s="327">
        <f>-'IS (F1Q23)'!AC154</f>
        <v>-100</v>
      </c>
      <c r="AD34" s="327">
        <f>-'IS (F1Q23)'!AD154</f>
        <v>-100</v>
      </c>
      <c r="AE34" s="327">
        <f>-'IS (F1Q23)'!AE154</f>
        <v>-100</v>
      </c>
      <c r="AF34" s="327">
        <f>-'IS (F1Q23)'!AF154</f>
        <v>-100</v>
      </c>
      <c r="AG34" s="328">
        <f t="shared" si="33"/>
        <v>-400</v>
      </c>
      <c r="AH34" s="327">
        <f>-'IS (F1Q23)'!AH154</f>
        <v>-100</v>
      </c>
      <c r="AI34" s="327">
        <f>-'IS (F1Q23)'!AI154</f>
        <v>-100</v>
      </c>
      <c r="AJ34" s="327">
        <f>-'IS (F1Q23)'!AJ154</f>
        <v>-5442</v>
      </c>
      <c r="AK34" s="327">
        <f>-'IS (F1Q23)'!AK154</f>
        <v>-5442</v>
      </c>
      <c r="AL34" s="328">
        <f t="shared" si="34"/>
        <v>-11084</v>
      </c>
      <c r="AM34" s="327">
        <f>-'IS (F1Q23)'!AM154</f>
        <v>-250</v>
      </c>
      <c r="AN34" s="327">
        <f>-'IS (F1Q23)'!AN154</f>
        <v>-250</v>
      </c>
      <c r="AO34" s="327">
        <f>-'IS (F1Q23)'!AO154</f>
        <v>-250</v>
      </c>
      <c r="AP34" s="327">
        <f>-'IS (F1Q23)'!AP154</f>
        <v>-250</v>
      </c>
      <c r="AQ34" s="328">
        <f t="shared" si="35"/>
        <v>-1000</v>
      </c>
      <c r="AR34" s="327">
        <f>-'IS (F1Q23)'!AR154</f>
        <v>-250</v>
      </c>
      <c r="AS34" s="327">
        <f>-'IS (F1Q23)'!AS154</f>
        <v>-250</v>
      </c>
      <c r="AT34" s="327">
        <f>-'IS (F1Q23)'!AT154</f>
        <v>-250</v>
      </c>
      <c r="AU34" s="327">
        <f>-'IS (F1Q23)'!AU154</f>
        <v>-250</v>
      </c>
      <c r="AV34" s="328">
        <f t="shared" si="36"/>
        <v>-1000</v>
      </c>
    </row>
    <row r="35" spans="2:48" outlineLevel="1" x14ac:dyDescent="0.3">
      <c r="B35" s="325" t="s">
        <v>292</v>
      </c>
      <c r="C35" s="339"/>
      <c r="D35" s="327">
        <v>-55.3</v>
      </c>
      <c r="E35" s="327">
        <f>-56.3-D35</f>
        <v>-1</v>
      </c>
      <c r="F35" s="327">
        <f>-106.1-E35-D35</f>
        <v>-49.8</v>
      </c>
      <c r="G35" s="327">
        <f>-111.6-F35-E35-D35</f>
        <v>-5.5</v>
      </c>
      <c r="H35" s="328">
        <f t="shared" si="28"/>
        <v>-111.6</v>
      </c>
      <c r="I35" s="327">
        <v>-78.400000000000006</v>
      </c>
      <c r="J35" s="327">
        <f>-87.6-I35</f>
        <v>-9.1999999999999886</v>
      </c>
      <c r="K35" s="327">
        <f>-89.1-J35-I35</f>
        <v>-1.5</v>
      </c>
      <c r="L35" s="327">
        <f>-91.9-K35-J35-I35</f>
        <v>-2.8000000000000114</v>
      </c>
      <c r="M35" s="328">
        <f t="shared" si="29"/>
        <v>-91.9</v>
      </c>
      <c r="N35" s="327">
        <v>-88.6</v>
      </c>
      <c r="O35" s="327">
        <f>-90.1-N35</f>
        <v>-1.5</v>
      </c>
      <c r="P35" s="327">
        <f>-94.2-O35-N35</f>
        <v>-4.1000000000000085</v>
      </c>
      <c r="Q35" s="327">
        <f>-97-P35-O35-N35</f>
        <v>-2.7999999999999972</v>
      </c>
      <c r="R35" s="328">
        <f t="shared" si="30"/>
        <v>-97</v>
      </c>
      <c r="S35" s="327">
        <v>-113.6</v>
      </c>
      <c r="T35" s="327">
        <f>-122.1-S35</f>
        <v>-8.5</v>
      </c>
      <c r="U35" s="327">
        <f>-123.5-T35-S35</f>
        <v>-1.4000000000000057</v>
      </c>
      <c r="V35" s="327">
        <f>-127.2-U35-T35-S35</f>
        <v>-3.7000000000000028</v>
      </c>
      <c r="W35" s="328">
        <f t="shared" si="31"/>
        <v>-127.2</v>
      </c>
      <c r="X35" s="327">
        <v>-79</v>
      </c>
      <c r="Y35" s="327">
        <f>(X35/X12)*Y12</f>
        <v>-61.493620233478936</v>
      </c>
      <c r="Z35" s="327">
        <f>(Y35/Y12)*Z12</f>
        <v>-69.302856005947717</v>
      </c>
      <c r="AA35" s="327">
        <f>(Z35/Z12)*AA12</f>
        <v>-73.948228487085629</v>
      </c>
      <c r="AB35" s="328">
        <f t="shared" si="32"/>
        <v>-283.74470472651228</v>
      </c>
      <c r="AC35" s="327">
        <f>(AA35/AA12)*AC12</f>
        <v>-77.042240882005217</v>
      </c>
      <c r="AD35" s="327">
        <f>(AC35/AC12)*AD12</f>
        <v>-70.502530729380126</v>
      </c>
      <c r="AE35" s="327">
        <f>(AD35/AD12)*AE12</f>
        <v>-78.071085249636226</v>
      </c>
      <c r="AF35" s="327">
        <f>(AE35/AE12)*AF12</f>
        <v>-81.263395428119154</v>
      </c>
      <c r="AG35" s="328">
        <f t="shared" si="33"/>
        <v>-306.87925228914071</v>
      </c>
      <c r="AH35" s="327">
        <f>(AF35/AF12)*AH12</f>
        <v>-83.98325060917513</v>
      </c>
      <c r="AI35" s="327">
        <f>(AH35/AH12)*AI12</f>
        <v>-79.397522188435659</v>
      </c>
      <c r="AJ35" s="327">
        <f>(AI35/AI12)*AJ12</f>
        <v>-87.307691382563547</v>
      </c>
      <c r="AK35" s="327">
        <f>(AJ35/AJ12)*AK12</f>
        <v>-90.542335696985091</v>
      </c>
      <c r="AL35" s="328">
        <f t="shared" si="34"/>
        <v>-341.23079987715943</v>
      </c>
      <c r="AM35" s="327">
        <f>(AK35/AK12)*AM12</f>
        <v>-91.990109513341423</v>
      </c>
      <c r="AN35" s="327">
        <f>(AM35/AM12)*AN12</f>
        <v>-87.082230063552188</v>
      </c>
      <c r="AO35" s="327">
        <f>(AN35/AN12)*AO12</f>
        <v>-95.209734691361675</v>
      </c>
      <c r="AP35" s="327">
        <f>(AO35/AO12)*AP12</f>
        <v>-98.334297587557714</v>
      </c>
      <c r="AQ35" s="328">
        <f t="shared" si="35"/>
        <v>-372.61637185581304</v>
      </c>
      <c r="AR35" s="327">
        <f>(AP35/AP12)*AR12</f>
        <v>-97.871856051085857</v>
      </c>
      <c r="AS35" s="327">
        <f>(AR35/AR12)*AS12</f>
        <v>-92.703523066454068</v>
      </c>
      <c r="AT35" s="327">
        <f>(AS35/AS12)*AT12</f>
        <v>-101.28814510526165</v>
      </c>
      <c r="AU35" s="327">
        <f>(AT35/AT12)*AU12</f>
        <v>-104.60013314573234</v>
      </c>
      <c r="AV35" s="328">
        <f t="shared" si="36"/>
        <v>-396.46365736853392</v>
      </c>
    </row>
    <row r="36" spans="2:48" ht="16.2" outlineLevel="1" x14ac:dyDescent="0.45">
      <c r="B36" s="623" t="s">
        <v>293</v>
      </c>
      <c r="C36" s="624"/>
      <c r="D36" s="329">
        <v>-0.3</v>
      </c>
      <c r="E36" s="329">
        <f>0.1-D36</f>
        <v>0.4</v>
      </c>
      <c r="F36" s="329">
        <f>-17.6-E36-D36</f>
        <v>-17.7</v>
      </c>
      <c r="G36" s="329">
        <f>-17.5-F36-E36-D36</f>
        <v>9.9999999999999256E-2</v>
      </c>
      <c r="H36" s="330">
        <f t="shared" si="28"/>
        <v>-17.5</v>
      </c>
      <c r="I36" s="329">
        <v>0</v>
      </c>
      <c r="J36" s="329">
        <f>-10.4-I36</f>
        <v>-10.4</v>
      </c>
      <c r="K36" s="329">
        <f>-37.8-J36-I36</f>
        <v>-27.4</v>
      </c>
      <c r="L36" s="329">
        <f>-37.7-K36-J36-I36</f>
        <v>9.9999999999996092E-2</v>
      </c>
      <c r="M36" s="330">
        <f t="shared" si="29"/>
        <v>-37.700000000000003</v>
      </c>
      <c r="N36" s="329">
        <v>0</v>
      </c>
      <c r="O36" s="329">
        <f>0-N36</f>
        <v>0</v>
      </c>
      <c r="P36" s="329">
        <f>0-O36-N36</f>
        <v>0</v>
      </c>
      <c r="Q36" s="329">
        <f>0-P36-O36-N36</f>
        <v>0</v>
      </c>
      <c r="R36" s="330">
        <f t="shared" si="30"/>
        <v>0</v>
      </c>
      <c r="S36" s="329">
        <v>0</v>
      </c>
      <c r="T36" s="329">
        <f>-9.2-S36</f>
        <v>-9.1999999999999993</v>
      </c>
      <c r="U36" s="329">
        <f>-9.2-T36-S36</f>
        <v>0</v>
      </c>
      <c r="V36" s="329">
        <f>-9.2-U36-T36-S36</f>
        <v>0</v>
      </c>
      <c r="W36" s="330">
        <f t="shared" si="31"/>
        <v>-9.1999999999999993</v>
      </c>
      <c r="X36" s="329">
        <v>0</v>
      </c>
      <c r="Y36" s="329">
        <v>0</v>
      </c>
      <c r="Z36" s="329">
        <v>0</v>
      </c>
      <c r="AA36" s="329">
        <v>0</v>
      </c>
      <c r="AB36" s="330">
        <f t="shared" si="32"/>
        <v>0</v>
      </c>
      <c r="AC36" s="329">
        <v>0</v>
      </c>
      <c r="AD36" s="329">
        <v>0</v>
      </c>
      <c r="AE36" s="329">
        <v>0</v>
      </c>
      <c r="AF36" s="329">
        <v>0</v>
      </c>
      <c r="AG36" s="330">
        <f t="shared" si="33"/>
        <v>0</v>
      </c>
      <c r="AH36" s="329">
        <v>0</v>
      </c>
      <c r="AI36" s="329">
        <v>0</v>
      </c>
      <c r="AJ36" s="329">
        <v>0</v>
      </c>
      <c r="AK36" s="329">
        <v>0</v>
      </c>
      <c r="AL36" s="330">
        <f t="shared" si="34"/>
        <v>0</v>
      </c>
      <c r="AM36" s="329">
        <v>0</v>
      </c>
      <c r="AN36" s="329">
        <v>0</v>
      </c>
      <c r="AO36" s="329">
        <v>0</v>
      </c>
      <c r="AP36" s="329">
        <v>0</v>
      </c>
      <c r="AQ36" s="330">
        <f t="shared" si="35"/>
        <v>0</v>
      </c>
      <c r="AR36" s="329">
        <v>0</v>
      </c>
      <c r="AS36" s="329">
        <v>0</v>
      </c>
      <c r="AT36" s="329">
        <v>0</v>
      </c>
      <c r="AU36" s="329">
        <v>0</v>
      </c>
      <c r="AV36" s="330">
        <f t="shared" si="36"/>
        <v>0</v>
      </c>
    </row>
    <row r="37" spans="2:48" outlineLevel="1" x14ac:dyDescent="0.3">
      <c r="B37" s="627" t="s">
        <v>294</v>
      </c>
      <c r="C37" s="628"/>
      <c r="D37" s="331">
        <f t="shared" ref="D37:AV37" si="39">SUM(D29:D36)</f>
        <v>-5858.6</v>
      </c>
      <c r="E37" s="331">
        <f t="shared" si="39"/>
        <v>-2919.2999999999997</v>
      </c>
      <c r="F37" s="331">
        <f t="shared" si="39"/>
        <v>1355.1</v>
      </c>
      <c r="G37" s="331">
        <f t="shared" si="39"/>
        <v>-2634.1</v>
      </c>
      <c r="H37" s="332">
        <f t="shared" si="39"/>
        <v>-10056.9</v>
      </c>
      <c r="I37" s="331">
        <f t="shared" si="39"/>
        <v>-1123.0000000000002</v>
      </c>
      <c r="J37" s="331">
        <f t="shared" si="39"/>
        <v>1273.1000000000001</v>
      </c>
      <c r="K37" s="331">
        <f t="shared" si="39"/>
        <v>2342.9000000000005</v>
      </c>
      <c r="L37" s="331">
        <f t="shared" si="39"/>
        <v>-779.69999999999948</v>
      </c>
      <c r="M37" s="332">
        <f t="shared" si="39"/>
        <v>1713.3000000000009</v>
      </c>
      <c r="N37" s="331">
        <f t="shared" si="39"/>
        <v>-965.80000000000007</v>
      </c>
      <c r="O37" s="331">
        <f t="shared" si="39"/>
        <v>-1711.6</v>
      </c>
      <c r="P37" s="331">
        <f t="shared" si="39"/>
        <v>-490.50000000000011</v>
      </c>
      <c r="Q37" s="331">
        <f t="shared" si="39"/>
        <v>-483.09999999999991</v>
      </c>
      <c r="R37" s="332">
        <f t="shared" si="39"/>
        <v>-3651</v>
      </c>
      <c r="S37" s="331">
        <f t="shared" si="39"/>
        <v>-3969.2</v>
      </c>
      <c r="T37" s="331">
        <f t="shared" si="39"/>
        <v>260.40000000000015</v>
      </c>
      <c r="U37" s="331">
        <f t="shared" si="39"/>
        <v>-1364.4</v>
      </c>
      <c r="V37" s="331">
        <f t="shared" si="39"/>
        <v>-564.8000000000003</v>
      </c>
      <c r="W37" s="332">
        <f t="shared" si="39"/>
        <v>-5638</v>
      </c>
      <c r="X37" s="331">
        <f t="shared" si="39"/>
        <v>-1007.8</v>
      </c>
      <c r="Y37" s="331">
        <f t="shared" si="39"/>
        <v>-269.886030233479</v>
      </c>
      <c r="Z37" s="331">
        <f t="shared" si="39"/>
        <v>-779.38405082594772</v>
      </c>
      <c r="AA37" s="331">
        <f t="shared" si="39"/>
        <v>-815.25815355720783</v>
      </c>
      <c r="AB37" s="332">
        <f t="shared" si="39"/>
        <v>-2872.3282346166347</v>
      </c>
      <c r="AC37" s="331">
        <f t="shared" si="39"/>
        <v>-785.74724088200526</v>
      </c>
      <c r="AD37" s="331">
        <f t="shared" si="39"/>
        <v>-779.89494072938021</v>
      </c>
      <c r="AE37" s="331">
        <f t="shared" si="39"/>
        <v>-788.15228006963628</v>
      </c>
      <c r="AF37" s="331">
        <f t="shared" si="39"/>
        <v>-622.57332049824129</v>
      </c>
      <c r="AG37" s="332">
        <f t="shared" si="39"/>
        <v>-2976.367782179263</v>
      </c>
      <c r="AH37" s="331">
        <f t="shared" si="39"/>
        <v>-826.08196836894376</v>
      </c>
      <c r="AI37" s="331">
        <f t="shared" si="39"/>
        <v>-822.28661022323013</v>
      </c>
      <c r="AJ37" s="331">
        <f t="shared" si="39"/>
        <v>1031.6112695670681</v>
      </c>
      <c r="AK37" s="331">
        <f t="shared" si="39"/>
        <v>-6209.2406383633606</v>
      </c>
      <c r="AL37" s="332">
        <f t="shared" si="39"/>
        <v>-6825.9979473884669</v>
      </c>
      <c r="AM37" s="331">
        <f t="shared" si="39"/>
        <v>-1019.5479816245564</v>
      </c>
      <c r="AN37" s="331">
        <f t="shared" si="39"/>
        <v>-2015.501390758496</v>
      </c>
      <c r="AO37" s="331">
        <f t="shared" si="39"/>
        <v>-998.11165963362112</v>
      </c>
      <c r="AP37" s="331">
        <f t="shared" si="39"/>
        <v>-1007.034635041531</v>
      </c>
      <c r="AQ37" s="332">
        <f t="shared" si="39"/>
        <v>-5040.195667058204</v>
      </c>
      <c r="AR37" s="331">
        <f t="shared" si="39"/>
        <v>-1006.6458130854398</v>
      </c>
      <c r="AS37" s="331">
        <f t="shared" si="39"/>
        <v>-1001.5512469203495</v>
      </c>
      <c r="AT37" s="331">
        <f t="shared" si="39"/>
        <v>-1010.2097833123374</v>
      </c>
      <c r="AU37" s="331">
        <f t="shared" si="39"/>
        <v>-1026.7757475424742</v>
      </c>
      <c r="AV37" s="332">
        <f t="shared" si="39"/>
        <v>-4045.1825908606011</v>
      </c>
    </row>
    <row r="38" spans="2:48" outlineLevel="1" x14ac:dyDescent="0.3">
      <c r="B38" s="248" t="s">
        <v>295</v>
      </c>
      <c r="C38" s="249"/>
      <c r="D38" s="333">
        <f>-4.7-0.1</f>
        <v>-4.8</v>
      </c>
      <c r="E38" s="340">
        <f>18.3-0.1-D38</f>
        <v>23</v>
      </c>
      <c r="F38" s="340">
        <f>-2.5-E38-D38</f>
        <v>-20.7</v>
      </c>
      <c r="G38" s="340">
        <f>-49-F38-E38-D38</f>
        <v>-46.5</v>
      </c>
      <c r="H38" s="337">
        <f>SUM(D38:G38)</f>
        <v>-49</v>
      </c>
      <c r="I38" s="340">
        <v>27.1</v>
      </c>
      <c r="J38" s="340">
        <f>8.7-I38</f>
        <v>-18.400000000000002</v>
      </c>
      <c r="K38" s="340">
        <f>10.9-J38-I38</f>
        <v>2.2000000000000028</v>
      </c>
      <c r="L38" s="340">
        <f>64.7-K38-J38-I38</f>
        <v>53.800000000000004</v>
      </c>
      <c r="M38" s="337">
        <f>SUM(I38:L38)</f>
        <v>64.7</v>
      </c>
      <c r="N38" s="340">
        <v>79.8</v>
      </c>
      <c r="O38" s="340">
        <f>66.7-N38</f>
        <v>-13.099999999999994</v>
      </c>
      <c r="P38" s="340">
        <f>87.9-O38-N38</f>
        <v>21.200000000000003</v>
      </c>
      <c r="Q38" s="340">
        <f>86.2-P38-O38-N38</f>
        <v>-1.7000000000000028</v>
      </c>
      <c r="R38" s="337">
        <f>SUM(N38:Q38)</f>
        <v>86.2</v>
      </c>
      <c r="S38" s="340">
        <v>13</v>
      </c>
      <c r="T38" s="340">
        <f>14.6-S38</f>
        <v>1.5999999999999996</v>
      </c>
      <c r="U38" s="340">
        <f>-126.3-T38-S38</f>
        <v>-140.89999999999998</v>
      </c>
      <c r="V38" s="340">
        <f>-250.3-U38-T38-S38</f>
        <v>-124.00000000000003</v>
      </c>
      <c r="W38" s="337">
        <f>SUM(S38:V38)</f>
        <v>-250.3</v>
      </c>
      <c r="X38" s="340">
        <v>62</v>
      </c>
      <c r="Y38" s="341">
        <v>0</v>
      </c>
      <c r="Z38" s="341">
        <v>0</v>
      </c>
      <c r="AA38" s="341">
        <v>0</v>
      </c>
      <c r="AB38" s="337">
        <f>SUM(X38:AA38)</f>
        <v>62</v>
      </c>
      <c r="AC38" s="341">
        <v>0</v>
      </c>
      <c r="AD38" s="341">
        <v>0</v>
      </c>
      <c r="AE38" s="341">
        <v>0</v>
      </c>
      <c r="AF38" s="341">
        <v>0</v>
      </c>
      <c r="AG38" s="337">
        <f>SUM(AC38:AF38)</f>
        <v>0</v>
      </c>
      <c r="AH38" s="341">
        <v>0</v>
      </c>
      <c r="AI38" s="341">
        <v>0</v>
      </c>
      <c r="AJ38" s="341">
        <v>0</v>
      </c>
      <c r="AK38" s="341">
        <v>0</v>
      </c>
      <c r="AL38" s="337">
        <f>SUM(AH38:AK38)</f>
        <v>0</v>
      </c>
      <c r="AM38" s="341">
        <v>0</v>
      </c>
      <c r="AN38" s="341">
        <v>0</v>
      </c>
      <c r="AO38" s="341">
        <v>0</v>
      </c>
      <c r="AP38" s="341">
        <v>0</v>
      </c>
      <c r="AQ38" s="337">
        <f>SUM(AM38:AP38)</f>
        <v>0</v>
      </c>
      <c r="AR38" s="341">
        <v>0</v>
      </c>
      <c r="AS38" s="341">
        <v>0</v>
      </c>
      <c r="AT38" s="341">
        <v>0</v>
      </c>
      <c r="AU38" s="341">
        <v>0</v>
      </c>
      <c r="AV38" s="337">
        <f>SUM(AR38:AU38)</f>
        <v>0</v>
      </c>
    </row>
    <row r="39" spans="2:48" ht="16.2" outlineLevel="1" x14ac:dyDescent="0.45">
      <c r="B39" s="580" t="s">
        <v>296</v>
      </c>
      <c r="C39" s="581"/>
      <c r="D39" s="260">
        <f t="shared" ref="D39:AV39" si="40">D37+D27+D22+D38</f>
        <v>-3994.7999999999997</v>
      </c>
      <c r="E39" s="260">
        <f t="shared" si="40"/>
        <v>-2706.5</v>
      </c>
      <c r="F39" s="260">
        <f t="shared" si="40"/>
        <v>2708.3000000000011</v>
      </c>
      <c r="G39" s="260">
        <f t="shared" si="40"/>
        <v>-2076.7999999999993</v>
      </c>
      <c r="H39" s="261">
        <f t="shared" si="40"/>
        <v>-6069.7999999999938</v>
      </c>
      <c r="I39" s="260">
        <f t="shared" si="40"/>
        <v>353.89999999999839</v>
      </c>
      <c r="J39" s="260">
        <f t="shared" si="40"/>
        <v>-468.20000000000061</v>
      </c>
      <c r="K39" s="260">
        <f t="shared" si="40"/>
        <v>1393.600000000001</v>
      </c>
      <c r="L39" s="260">
        <f t="shared" si="40"/>
        <v>385.0000000000021</v>
      </c>
      <c r="M39" s="261">
        <f t="shared" si="40"/>
        <v>1664.3000000000052</v>
      </c>
      <c r="N39" s="260">
        <f t="shared" si="40"/>
        <v>677.2</v>
      </c>
      <c r="O39" s="260">
        <f t="shared" si="40"/>
        <v>-1147.3999999999996</v>
      </c>
      <c r="P39" s="260">
        <f t="shared" si="40"/>
        <v>872.49999999999909</v>
      </c>
      <c r="Q39" s="260">
        <f t="shared" si="40"/>
        <v>1702.5999999999997</v>
      </c>
      <c r="R39" s="261">
        <f t="shared" si="40"/>
        <v>2104.8999999999978</v>
      </c>
      <c r="S39" s="260">
        <f t="shared" si="40"/>
        <v>-2486.3000000000002</v>
      </c>
      <c r="T39" s="260">
        <f t="shared" si="40"/>
        <v>-55.999999999999567</v>
      </c>
      <c r="U39" s="260">
        <f t="shared" si="40"/>
        <v>-735.90000000000089</v>
      </c>
      <c r="V39" s="260">
        <f t="shared" si="40"/>
        <v>-359.20000000000118</v>
      </c>
      <c r="W39" s="261">
        <f>W37+W27+W22+W38</f>
        <v>-3637.4000000000005</v>
      </c>
      <c r="X39" s="260">
        <f>X37+X27+X22+X38</f>
        <v>368.10000000000014</v>
      </c>
      <c r="Y39" s="260">
        <f t="shared" si="40"/>
        <v>-31.98838161817082</v>
      </c>
      <c r="Z39" s="260">
        <f t="shared" si="40"/>
        <v>-338.15014730187931</v>
      </c>
      <c r="AA39" s="260">
        <f t="shared" si="40"/>
        <v>421.32724845724783</v>
      </c>
      <c r="AB39" s="261">
        <f t="shared" si="40"/>
        <v>419.28871953719772</v>
      </c>
      <c r="AC39" s="260">
        <f t="shared" si="40"/>
        <v>583.27866957546166</v>
      </c>
      <c r="AD39" s="260">
        <f t="shared" si="40"/>
        <v>-467.6930481599552</v>
      </c>
      <c r="AE39" s="260">
        <f t="shared" si="40"/>
        <v>18.639892156370706</v>
      </c>
      <c r="AF39" s="260">
        <f t="shared" si="40"/>
        <v>527.36701082330023</v>
      </c>
      <c r="AG39" s="261">
        <f t="shared" si="40"/>
        <v>661.59252439517695</v>
      </c>
      <c r="AH39" s="260">
        <f t="shared" si="40"/>
        <v>689.45754478957042</v>
      </c>
      <c r="AI39" s="260">
        <f t="shared" si="40"/>
        <v>-336.54085733941338</v>
      </c>
      <c r="AJ39" s="260">
        <f t="shared" si="40"/>
        <v>1956.8340318342002</v>
      </c>
      <c r="AK39" s="260">
        <f t="shared" si="40"/>
        <v>-4648.3636343181988</v>
      </c>
      <c r="AL39" s="261">
        <f t="shared" si="40"/>
        <v>-2338.6129150338429</v>
      </c>
      <c r="AM39" s="260">
        <f t="shared" si="40"/>
        <v>681.06629461510806</v>
      </c>
      <c r="AN39" s="260">
        <f t="shared" si="40"/>
        <v>-1385.5196206913231</v>
      </c>
      <c r="AO39" s="260">
        <f t="shared" si="40"/>
        <v>66.20258593231847</v>
      </c>
      <c r="AP39" s="260">
        <f t="shared" si="40"/>
        <v>601.6190882383853</v>
      </c>
      <c r="AQ39" s="261">
        <f t="shared" si="40"/>
        <v>-36.631651905509898</v>
      </c>
      <c r="AR39" s="260">
        <f t="shared" si="40"/>
        <v>880.81847036285058</v>
      </c>
      <c r="AS39" s="260">
        <f t="shared" si="40"/>
        <v>-396.74564182210656</v>
      </c>
      <c r="AT39" s="260">
        <f t="shared" si="40"/>
        <v>189.81629915830058</v>
      </c>
      <c r="AU39" s="260">
        <f t="shared" si="40"/>
        <v>647.82361792565325</v>
      </c>
      <c r="AV39" s="261">
        <f t="shared" si="40"/>
        <v>1321.7127456246953</v>
      </c>
    </row>
    <row r="40" spans="2:48" ht="16.2" outlineLevel="1" x14ac:dyDescent="0.45">
      <c r="B40" s="580" t="s">
        <v>297</v>
      </c>
      <c r="C40" s="581"/>
      <c r="D40" s="260">
        <v>8756.2999999999993</v>
      </c>
      <c r="E40" s="260">
        <f>D41</f>
        <v>4761.6000000000004</v>
      </c>
      <c r="F40" s="260">
        <f>E41</f>
        <v>2055.1000000000004</v>
      </c>
      <c r="G40" s="260">
        <f>F41</f>
        <v>4763.4000000000015</v>
      </c>
      <c r="H40" s="261">
        <f>D40</f>
        <v>8756.2999999999993</v>
      </c>
      <c r="I40" s="112">
        <f>H41</f>
        <v>2686.5000000000055</v>
      </c>
      <c r="J40" s="260">
        <f>I41</f>
        <v>3040.5000000000036</v>
      </c>
      <c r="K40" s="260">
        <f>J41</f>
        <v>2572.3000000000029</v>
      </c>
      <c r="L40" s="260">
        <f>K41</f>
        <v>3965.9000000000042</v>
      </c>
      <c r="M40" s="261">
        <f>H41</f>
        <v>2686.5000000000055</v>
      </c>
      <c r="N40" s="260">
        <f>+M41</f>
        <v>4350.8000000000102</v>
      </c>
      <c r="O40" s="260">
        <f>N41</f>
        <v>5028.00000000001</v>
      </c>
      <c r="P40" s="260">
        <f>O41</f>
        <v>3880.6000000000104</v>
      </c>
      <c r="Q40" s="260">
        <f>P41</f>
        <v>4753.1000000000095</v>
      </c>
      <c r="R40" s="261">
        <f>M41</f>
        <v>4350.8000000000102</v>
      </c>
      <c r="S40" s="260">
        <f>+R41</f>
        <v>6455.700000000008</v>
      </c>
      <c r="T40" s="260">
        <f>S41</f>
        <v>3969.4000000000078</v>
      </c>
      <c r="U40" s="260">
        <f>T41</f>
        <v>3913.4000000000083</v>
      </c>
      <c r="V40" s="260">
        <f>U41</f>
        <v>3177.5000000000073</v>
      </c>
      <c r="W40" s="261">
        <f>R41</f>
        <v>6455.700000000008</v>
      </c>
      <c r="X40" s="260">
        <f>+W41</f>
        <v>2818.3000000000075</v>
      </c>
      <c r="Y40" s="260">
        <f>X41</f>
        <v>3186.4000000000078</v>
      </c>
      <c r="Z40" s="260">
        <f>Y41</f>
        <v>3154.4116183818369</v>
      </c>
      <c r="AA40" s="260">
        <f>Z41</f>
        <v>2816.2614710799576</v>
      </c>
      <c r="AB40" s="261">
        <f>W41</f>
        <v>2818.3000000000075</v>
      </c>
      <c r="AC40" s="260">
        <f>+AB41</f>
        <v>3237.5887195372052</v>
      </c>
      <c r="AD40" s="260">
        <f>AC41</f>
        <v>3820.8673891126668</v>
      </c>
      <c r="AE40" s="260">
        <f>AD41</f>
        <v>3353.1743409527116</v>
      </c>
      <c r="AF40" s="260">
        <f>AE41</f>
        <v>3371.8142331090821</v>
      </c>
      <c r="AG40" s="261">
        <f>AB41</f>
        <v>3237.5887195372052</v>
      </c>
      <c r="AH40" s="260">
        <f>+AG41</f>
        <v>3899.1812439323821</v>
      </c>
      <c r="AI40" s="260">
        <f>AH41</f>
        <v>4588.6387887219526</v>
      </c>
      <c r="AJ40" s="260">
        <f>AI41</f>
        <v>4252.0979313825392</v>
      </c>
      <c r="AK40" s="260">
        <f>AJ41</f>
        <v>6208.9319632167389</v>
      </c>
      <c r="AL40" s="261">
        <f>AG41</f>
        <v>3899.1812439323821</v>
      </c>
      <c r="AM40" s="260">
        <f>+AL41</f>
        <v>1560.5683288985392</v>
      </c>
      <c r="AN40" s="260">
        <f>AM41</f>
        <v>2241.6346235136471</v>
      </c>
      <c r="AO40" s="260">
        <f>AN41</f>
        <v>856.11500282232396</v>
      </c>
      <c r="AP40" s="260">
        <f>AO41</f>
        <v>922.31758875464243</v>
      </c>
      <c r="AQ40" s="261">
        <f>AL41</f>
        <v>1560.5683288985392</v>
      </c>
      <c r="AR40" s="260">
        <f>+AQ41</f>
        <v>1523.9366769930293</v>
      </c>
      <c r="AS40" s="260">
        <f>AR41</f>
        <v>2404.7551473558797</v>
      </c>
      <c r="AT40" s="260">
        <f>AS41</f>
        <v>2008.0095055337731</v>
      </c>
      <c r="AU40" s="260">
        <f>AT41</f>
        <v>2197.8258046920737</v>
      </c>
      <c r="AV40" s="261">
        <f>AQ41</f>
        <v>1523.9366769930293</v>
      </c>
    </row>
    <row r="41" spans="2:48" outlineLevel="1" x14ac:dyDescent="0.3">
      <c r="B41" s="629" t="s">
        <v>298</v>
      </c>
      <c r="C41" s="630"/>
      <c r="D41" s="116">
        <f>+D40+D39+0.1</f>
        <v>4761.6000000000004</v>
      </c>
      <c r="E41" s="116">
        <f>+E40+E39</f>
        <v>2055.1000000000004</v>
      </c>
      <c r="F41" s="116">
        <f>+F40+F39</f>
        <v>4763.4000000000015</v>
      </c>
      <c r="G41" s="116">
        <f>+G40+G39</f>
        <v>2686.6000000000022</v>
      </c>
      <c r="H41" s="150">
        <f>+D40+H39</f>
        <v>2686.5000000000055</v>
      </c>
      <c r="I41" s="116">
        <f>+I40+I39+0.1</f>
        <v>3040.5000000000036</v>
      </c>
      <c r="J41" s="116">
        <f>+J40+J39</f>
        <v>2572.3000000000029</v>
      </c>
      <c r="K41" s="116">
        <f>+K40+K39</f>
        <v>3965.9000000000042</v>
      </c>
      <c r="L41" s="21">
        <f>+L40+L39</f>
        <v>4350.900000000006</v>
      </c>
      <c r="M41" s="22">
        <f>+I40+M39</f>
        <v>4350.8000000000102</v>
      </c>
      <c r="N41" s="21">
        <f>+N40+N39</f>
        <v>5028.00000000001</v>
      </c>
      <c r="O41" s="21">
        <f>+O40+O39</f>
        <v>3880.6000000000104</v>
      </c>
      <c r="P41" s="21">
        <f>+P40+P39</f>
        <v>4753.1000000000095</v>
      </c>
      <c r="Q41" s="21">
        <f>+Q40+Q39</f>
        <v>6455.7000000000089</v>
      </c>
      <c r="R41" s="22">
        <f>+N40+R39</f>
        <v>6455.700000000008</v>
      </c>
      <c r="S41" s="21">
        <f>+S40+S39</f>
        <v>3969.4000000000078</v>
      </c>
      <c r="T41" s="21">
        <f>+T40+T39</f>
        <v>3913.4000000000083</v>
      </c>
      <c r="U41" s="21">
        <f>+U40+U39</f>
        <v>3177.5000000000073</v>
      </c>
      <c r="V41" s="21">
        <f>+V40+V39</f>
        <v>2818.3000000000061</v>
      </c>
      <c r="W41" s="22">
        <f>+S40+W39</f>
        <v>2818.3000000000075</v>
      </c>
      <c r="X41" s="21">
        <f>+X40+X39</f>
        <v>3186.4000000000078</v>
      </c>
      <c r="Y41" s="21">
        <f>+Y40+Y39</f>
        <v>3154.4116183818369</v>
      </c>
      <c r="Z41" s="21">
        <f>+Z40+Z39</f>
        <v>2816.2614710799576</v>
      </c>
      <c r="AA41" s="21">
        <f>+AA40+AA39</f>
        <v>3237.5887195372052</v>
      </c>
      <c r="AB41" s="22">
        <f>+X40+AB39</f>
        <v>3237.5887195372052</v>
      </c>
      <c r="AC41" s="21">
        <f>+AC40+AC39</f>
        <v>3820.8673891126668</v>
      </c>
      <c r="AD41" s="21">
        <f>+AD40+AD39</f>
        <v>3353.1743409527116</v>
      </c>
      <c r="AE41" s="21">
        <f>+AE40+AE39</f>
        <v>3371.8142331090821</v>
      </c>
      <c r="AF41" s="21">
        <f>+AF40+AF39</f>
        <v>3899.1812439323821</v>
      </c>
      <c r="AG41" s="22">
        <f>+AC40+AG39</f>
        <v>3899.1812439323821</v>
      </c>
      <c r="AH41" s="21">
        <f>+AH40+AH39</f>
        <v>4588.6387887219526</v>
      </c>
      <c r="AI41" s="21">
        <f>+AI40+AI39</f>
        <v>4252.0979313825392</v>
      </c>
      <c r="AJ41" s="21">
        <f>+AJ40+AJ39</f>
        <v>6208.9319632167389</v>
      </c>
      <c r="AK41" s="21">
        <f>+AK40+AK39</f>
        <v>1560.5683288985401</v>
      </c>
      <c r="AL41" s="22">
        <f>+AH40+AL39</f>
        <v>1560.5683288985392</v>
      </c>
      <c r="AM41" s="21">
        <f>+AM40+AM39</f>
        <v>2241.6346235136471</v>
      </c>
      <c r="AN41" s="21">
        <f>+AN40+AN39</f>
        <v>856.11500282232396</v>
      </c>
      <c r="AO41" s="21">
        <f>+AO40+AO39</f>
        <v>922.31758875464243</v>
      </c>
      <c r="AP41" s="21">
        <f>+AP40+AP39</f>
        <v>1523.9366769930277</v>
      </c>
      <c r="AQ41" s="22">
        <f>+AM40+AQ39</f>
        <v>1523.9366769930293</v>
      </c>
      <c r="AR41" s="21">
        <f>+AR40+AR39</f>
        <v>2404.7551473558797</v>
      </c>
      <c r="AS41" s="21">
        <f>+AS40+AS39</f>
        <v>2008.0095055337731</v>
      </c>
      <c r="AT41" s="21">
        <f>+AT40+AT39</f>
        <v>2197.8258046920737</v>
      </c>
      <c r="AU41" s="21">
        <f>+AU40+AU39</f>
        <v>2845.6494226177269</v>
      </c>
      <c r="AV41" s="22">
        <f>+AR40+AV39</f>
        <v>2845.6494226177247</v>
      </c>
    </row>
    <row r="42" spans="2:48" s="23" customFormat="1" outlineLevel="1" x14ac:dyDescent="0.3">
      <c r="B42" s="631" t="s">
        <v>299</v>
      </c>
      <c r="C42" s="632"/>
      <c r="D42" s="321">
        <f>D22-(-D25)+((-'IS (F1Q23)'!D22*(1-'Valuation (F1Q23)'!$F$18)))</f>
        <v>2004.1110132158594</v>
      </c>
      <c r="E42" s="321">
        <f>E22-(-E25)+((-'IS (F1Q23)'!E22*(1-'Valuation (F1Q23)'!$F$18)))</f>
        <v>31.882185022026071</v>
      </c>
      <c r="F42" s="321">
        <f>F22-(-F25)+((-'IS (F1Q23)'!F22*(1-'Valuation (F1Q23)'!$F$18)))</f>
        <v>799.40068722467061</v>
      </c>
      <c r="G42" s="321">
        <f>G22-(-G25)+((-'IS (F1Q23)'!G22*(1-'Valuation (F1Q23)'!$F$18)))</f>
        <v>654.30805286343696</v>
      </c>
      <c r="H42" s="342">
        <f>SUM(D42:G42)</f>
        <v>3489.7019383259931</v>
      </c>
      <c r="I42" s="321">
        <f>I22-(-I25)+((-'IS (F1Q23)'!I22*(1-'Valuation (F1Q23)'!$F$18)))</f>
        <v>1511.0448281938311</v>
      </c>
      <c r="J42" s="321">
        <f>J22-(-J25)+((-'IS (F1Q23)'!J22*(1-'Valuation (F1Q23)'!$F$18)))</f>
        <v>-1650.5547665198246</v>
      </c>
      <c r="K42" s="321">
        <f>K22-(-K25)+((-'IS (F1Q23)'!K22*(1-'Valuation (F1Q23)'!$F$18)))</f>
        <v>-656.77959471365568</v>
      </c>
      <c r="L42" s="321">
        <f>L22-(-L25)+((-'IS (F1Q23)'!L22*(1-'Valuation (F1Q23)'!$F$18)))</f>
        <v>1239.6850220264332</v>
      </c>
      <c r="M42" s="342">
        <f>SUM(I42:L42)</f>
        <v>443.39548898678402</v>
      </c>
      <c r="N42" s="321">
        <f>N22-(-N25)+((-'IS (F1Q23)'!N22*(1-'Valuation (F1Q23)'!$F$18)))</f>
        <v>1602.4450572687226</v>
      </c>
      <c r="O42" s="321">
        <f>O22-(-O25)+((-'IS (F1Q23)'!O22*(1-'Valuation (F1Q23)'!$F$18)))</f>
        <v>646.75022026431725</v>
      </c>
      <c r="P42" s="321">
        <f>P22-(-P25)+((-'IS (F1Q23)'!P22*(1-'Valuation (F1Q23)'!$F$18)))</f>
        <v>1496.644651982378</v>
      </c>
      <c r="Q42" s="321">
        <f>Q22-(-Q25)+((-'IS (F1Q23)'!Q22*(1-'Valuation (F1Q23)'!$F$18)))</f>
        <v>1127.2697092511009</v>
      </c>
      <c r="R42" s="342">
        <f>SUM(N42:Q42)</f>
        <v>4873.1096387665193</v>
      </c>
      <c r="S42" s="321">
        <f>S22-(-S25)+((-'IS (F1Q23)'!S22*(1-'Valuation (F1Q23)'!$F$18)))</f>
        <v>1540.9762643171805</v>
      </c>
      <c r="T42" s="321">
        <f>T22-(-T25)+((-'IS (F1Q23)'!T22*(1-'Valuation (F1Q23)'!$F$18)))</f>
        <v>-203.46051101321564</v>
      </c>
      <c r="U42" s="321">
        <f>U22-(-U25)+((-'IS (F1Q23)'!U22*(1-'Valuation (F1Q23)'!$F$18)))</f>
        <v>934.05340969162899</v>
      </c>
      <c r="V42" s="321">
        <f>V22-(-V25)+((-'IS (F1Q23)'!V22*(1-'Valuation (F1Q23)'!$F$18)))</f>
        <v>648.11106607929423</v>
      </c>
      <c r="W42" s="342">
        <f>SUM(S42:V42)</f>
        <v>2919.6802290748878</v>
      </c>
      <c r="X42" s="321">
        <f>X22-(-X25)+((-'IS (F1Q23)'!X22*(1-'Valuation (F1Q23)'!$F$18)))</f>
        <v>1174.1263788546257</v>
      </c>
      <c r="Y42" s="321">
        <f>Y22-(-Y25)+((-'IS (F1Q23)'!Y22*(1-'Valuation (F1Q23)'!$F$18)))</f>
        <v>375.00270276283516</v>
      </c>
      <c r="Z42" s="321">
        <f>Z22-(-Z25)+((-'IS (F1Q23)'!Z22*(1-'Valuation (F1Q23)'!$F$18)))</f>
        <v>576.16625129629676</v>
      </c>
      <c r="AA42" s="321">
        <f>AA22-(-AA25)+((-'IS (F1Q23)'!AA22*(1-'Valuation (F1Q23)'!$F$18)))</f>
        <v>1369.0165288040976</v>
      </c>
      <c r="AB42" s="342">
        <f>SUM(X42:AA42)</f>
        <v>3494.3118617178552</v>
      </c>
      <c r="AC42" s="321">
        <f>AC22-(-AC25)+((-'IS (F1Q23)'!AC22*(1-'Valuation (F1Q23)'!$F$18)))</f>
        <v>1460.413663281023</v>
      </c>
      <c r="AD42" s="321">
        <f>AD22-(-AD25)+((-'IS (F1Q23)'!AD22*(1-'Valuation (F1Q23)'!$F$18)))</f>
        <v>415.97468453153726</v>
      </c>
      <c r="AE42" s="321">
        <f>AE22-(-AE25)+((-'IS (F1Q23)'!AE22*(1-'Valuation (F1Q23)'!$F$18)))</f>
        <v>935.49665887664514</v>
      </c>
      <c r="AF42" s="321">
        <f>AF22-(-AF25)+((-'IS (F1Q23)'!AF22*(1-'Valuation (F1Q23)'!$F$18)))</f>
        <v>1276.4382799509074</v>
      </c>
      <c r="AG42" s="342">
        <f>SUM(AC42:AF42)</f>
        <v>4088.3232866401131</v>
      </c>
      <c r="AH42" s="321">
        <f>AH22-(-AH25)+((-'IS (F1Q23)'!AH22*(1-'Valuation (F1Q23)'!$F$18)))</f>
        <v>1656.1720767112474</v>
      </c>
      <c r="AI42" s="321">
        <f>AI22-(-AI25)+((-'IS (F1Q23)'!AI22*(1-'Valuation (F1Q23)'!$F$18)))</f>
        <v>592.89699424008825</v>
      </c>
      <c r="AJ42" s="321">
        <f>AJ22-(-AJ25)+((-'IS (F1Q23)'!AJ22*(1-'Valuation (F1Q23)'!$F$18)))</f>
        <v>1133.0398653101472</v>
      </c>
      <c r="AK42" s="321">
        <f>AK22-(-AK25)+((-'IS (F1Q23)'!AK22*(1-'Valuation (F1Q23)'!$F$18)))</f>
        <v>1559.4714572951689</v>
      </c>
      <c r="AL42" s="342">
        <f>SUM(AH42:AK42)</f>
        <v>4941.5803935566519</v>
      </c>
      <c r="AM42" s="321">
        <f>AM22-(-AM25)+((-'IS (F1Q23)'!AM22*(1-'Valuation (F1Q23)'!$F$18)))</f>
        <v>1903.9417803109413</v>
      </c>
      <c r="AN42" s="321">
        <f>AN22-(-AN25)+((-'IS (F1Q23)'!AN22*(1-'Valuation (F1Q23)'!$F$18)))</f>
        <v>753.15156687988861</v>
      </c>
      <c r="AO42" s="321">
        <f>AO22-(-AO25)+((-'IS (F1Q23)'!AO22*(1-'Valuation (F1Q23)'!$F$18)))</f>
        <v>1254.3628367238518</v>
      </c>
      <c r="AP42" s="321">
        <f>AP22-(-AP25)+((-'IS (F1Q23)'!AP22*(1-'Valuation (F1Q23)'!$F$18)))</f>
        <v>1789.7701690566064</v>
      </c>
      <c r="AQ42" s="342">
        <f>SUM(AM42:AP42)</f>
        <v>5701.2263529712882</v>
      </c>
      <c r="AR42" s="321">
        <f>AR22-(-AR25)+((-'IS (F1Q23)'!AR22*(1-'Valuation (F1Q23)'!$F$18)))</f>
        <v>2091.0669407023488</v>
      </c>
      <c r="AS42" s="321">
        <f>AS22-(-AS25)+((-'IS (F1Q23)'!AS22*(1-'Valuation (F1Q23)'!$F$18)))</f>
        <v>758.3627141457323</v>
      </c>
      <c r="AT42" s="321">
        <f>AT22-(-AT25)+((-'IS (F1Q23)'!AT22*(1-'Valuation (F1Q23)'!$F$18)))</f>
        <v>1394.9094561077202</v>
      </c>
      <c r="AU42" s="321">
        <f>AU22-(-AU25)+((-'IS (F1Q23)'!AU22*(1-'Valuation (F1Q23)'!$F$18)))</f>
        <v>1860.3739703296926</v>
      </c>
      <c r="AV42" s="342">
        <f>SUM(AR42:AU42)</f>
        <v>6104.7130812854939</v>
      </c>
    </row>
    <row r="43" spans="2:48" s="23" customFormat="1" outlineLevel="1" x14ac:dyDescent="0.3">
      <c r="B43" s="325" t="s">
        <v>300</v>
      </c>
      <c r="C43" s="326"/>
      <c r="D43" s="327"/>
      <c r="E43" s="327"/>
      <c r="F43" s="343"/>
      <c r="G43" s="327"/>
      <c r="H43" s="328"/>
      <c r="I43" s="327"/>
      <c r="J43" s="327"/>
      <c r="K43" s="327"/>
      <c r="L43" s="327"/>
      <c r="M43" s="328"/>
      <c r="N43" s="327"/>
      <c r="O43" s="327"/>
      <c r="P43" s="327"/>
      <c r="Q43" s="327"/>
      <c r="R43" s="328"/>
      <c r="S43" s="327"/>
      <c r="T43" s="327"/>
      <c r="U43" s="327"/>
      <c r="V43" s="327"/>
      <c r="W43" s="328">
        <v>0</v>
      </c>
      <c r="X43" s="327"/>
      <c r="Y43" s="327"/>
      <c r="Z43" s="327"/>
      <c r="AA43" s="327"/>
      <c r="AB43" s="328">
        <f>1+W43</f>
        <v>1</v>
      </c>
      <c r="AC43" s="327"/>
      <c r="AD43" s="327"/>
      <c r="AE43" s="327"/>
      <c r="AF43" s="327"/>
      <c r="AG43" s="328">
        <f>1+AB43</f>
        <v>2</v>
      </c>
      <c r="AH43" s="327"/>
      <c r="AI43" s="327"/>
      <c r="AJ43" s="327"/>
      <c r="AK43" s="327"/>
      <c r="AL43" s="328">
        <f>1+AG43</f>
        <v>3</v>
      </c>
      <c r="AM43" s="327"/>
      <c r="AN43" s="327"/>
      <c r="AO43" s="327"/>
      <c r="AP43" s="327"/>
      <c r="AQ43" s="328">
        <f>1+AL43</f>
        <v>4</v>
      </c>
      <c r="AR43" s="327"/>
      <c r="AS43" s="327"/>
      <c r="AT43" s="327"/>
      <c r="AU43" s="327"/>
      <c r="AV43" s="328">
        <f>1+AQ43</f>
        <v>5</v>
      </c>
    </row>
    <row r="44" spans="2:48" s="23" customFormat="1" outlineLevel="1" x14ac:dyDescent="0.3">
      <c r="B44" s="633" t="s">
        <v>301</v>
      </c>
      <c r="C44" s="634"/>
      <c r="D44" s="344"/>
      <c r="E44" s="344"/>
      <c r="F44" s="344"/>
      <c r="G44" s="344"/>
      <c r="H44" s="345"/>
      <c r="I44" s="344"/>
      <c r="J44" s="344"/>
      <c r="K44" s="344"/>
      <c r="L44" s="344"/>
      <c r="M44" s="345"/>
      <c r="N44" s="344"/>
      <c r="O44" s="344"/>
      <c r="P44" s="344"/>
      <c r="Q44" s="344"/>
      <c r="R44" s="345"/>
      <c r="S44" s="344"/>
      <c r="T44" s="344"/>
      <c r="U44" s="344"/>
      <c r="V44" s="344"/>
      <c r="W44" s="345">
        <f>W42/(1+'Valuation (F1Q23)'!$F$20)^W43</f>
        <v>2919.6802290748878</v>
      </c>
      <c r="X44" s="344"/>
      <c r="Y44" s="344"/>
      <c r="Z44" s="344"/>
      <c r="AA44" s="344"/>
      <c r="AB44" s="345">
        <f>AB42/(1+'Valuation (F1Q23)'!$F$20)^AB43</f>
        <v>3188.619833888486</v>
      </c>
      <c r="AC44" s="344"/>
      <c r="AD44" s="344"/>
      <c r="AE44" s="344"/>
      <c r="AF44" s="344"/>
      <c r="AG44" s="345">
        <f>AG42/(1+'Valuation (F1Q23)'!$F$20)^AG43</f>
        <v>3404.296607494226</v>
      </c>
      <c r="AH44" s="344"/>
      <c r="AI44" s="344"/>
      <c r="AJ44" s="344"/>
      <c r="AK44" s="344"/>
      <c r="AL44" s="345">
        <f>AL42/(1+'Valuation (F1Q23)'!$F$20)^AL43</f>
        <v>3754.8198692611604</v>
      </c>
      <c r="AM44" s="344"/>
      <c r="AN44" s="344"/>
      <c r="AO44" s="344"/>
      <c r="AP44" s="344"/>
      <c r="AQ44" s="345">
        <f>AQ42/(1+'Valuation (F1Q23)'!$F$20)^AQ43</f>
        <v>3953.0527237441561</v>
      </c>
      <c r="AR44" s="344"/>
      <c r="AS44" s="344"/>
      <c r="AT44" s="344"/>
      <c r="AU44" s="344"/>
      <c r="AV44" s="345">
        <f>AV42/(1+'Valuation (F1Q23)'!$F$20)^AV43</f>
        <v>3862.5192838565927</v>
      </c>
    </row>
    <row r="45" spans="2:48" outlineLevel="1" x14ac:dyDescent="0.3">
      <c r="B45" s="250" t="s">
        <v>302</v>
      </c>
      <c r="C45" s="249"/>
      <c r="D45" s="334"/>
      <c r="E45" s="334"/>
      <c r="F45" s="334"/>
      <c r="G45" s="334"/>
      <c r="H45" s="335"/>
      <c r="I45" s="334"/>
      <c r="J45" s="334"/>
      <c r="K45" s="334"/>
      <c r="L45" s="334"/>
      <c r="M45" s="335"/>
      <c r="N45" s="334"/>
      <c r="O45" s="334"/>
      <c r="P45" s="334"/>
      <c r="Q45" s="334"/>
      <c r="R45" s="335"/>
      <c r="S45" s="334"/>
      <c r="T45" s="334"/>
      <c r="U45" s="334"/>
      <c r="V45" s="334"/>
      <c r="W45" s="335"/>
      <c r="X45" s="334"/>
      <c r="Y45" s="334"/>
      <c r="Z45" s="334"/>
      <c r="AA45" s="334"/>
      <c r="AB45" s="335"/>
      <c r="AC45" s="334"/>
      <c r="AD45" s="334"/>
      <c r="AE45" s="334"/>
      <c r="AF45" s="334"/>
      <c r="AG45" s="335"/>
      <c r="AH45" s="334"/>
      <c r="AI45" s="334"/>
      <c r="AJ45" s="334"/>
      <c r="AK45" s="334"/>
      <c r="AL45" s="335"/>
      <c r="AM45" s="334"/>
      <c r="AN45" s="334"/>
      <c r="AO45" s="334"/>
      <c r="AP45" s="334"/>
      <c r="AQ45" s="335"/>
      <c r="AR45" s="334"/>
      <c r="AS45" s="334"/>
      <c r="AT45" s="334"/>
      <c r="AU45" s="334"/>
      <c r="AV45" s="335"/>
    </row>
    <row r="46" spans="2:48" outlineLevel="1" x14ac:dyDescent="0.3">
      <c r="B46" s="200" t="s">
        <v>303</v>
      </c>
      <c r="C46" s="201"/>
      <c r="D46" s="16">
        <f>+'BS (F1Q23)'!D6+'BS (F1Q23)'!D7+'BS (F1Q23)'!D12</f>
        <v>5256.8</v>
      </c>
      <c r="E46" s="16">
        <f>+'BS (F1Q23)'!E6+'BS (F1Q23)'!E7+'BS (F1Q23)'!E12</f>
        <v>2383.6000000000004</v>
      </c>
      <c r="F46" s="16">
        <f>+'BS (F1Q23)'!F6+'BS (F1Q23)'!F7+'BS (F1Q23)'!F12</f>
        <v>5058.1000000000022</v>
      </c>
      <c r="G46" s="16">
        <f>+'BS (F1Q23)'!G6+'BS (F1Q23)'!G7+'BS (F1Q23)'!G12</f>
        <v>2977.1000000000022</v>
      </c>
      <c r="H46" s="17">
        <f>+'BS (F1Q23)'!H6+'BS (F1Q23)'!H7+'BS (F1Q23)'!H12</f>
        <v>2977.1000000000022</v>
      </c>
      <c r="I46" s="16">
        <f>+'BS (F1Q23)'!I6+'BS (F1Q23)'!I7+'BS (F1Q23)'!I12</f>
        <v>3308.7000000000039</v>
      </c>
      <c r="J46" s="16">
        <f>+'BS (F1Q23)'!J6+'BS (F1Q23)'!J7+'BS (F1Q23)'!J12</f>
        <v>2824.0000000000032</v>
      </c>
      <c r="K46" s="16">
        <f>+'BS (F1Q23)'!K6+'BS (F1Q23)'!K7+'BS (F1Q23)'!K12</f>
        <v>4419.2000000000035</v>
      </c>
      <c r="L46" s="16">
        <f>+'BS (F1Q23)'!L6+'BS (F1Q23)'!L7+'BS (F1Q23)'!L12</f>
        <v>4838.2000000000062</v>
      </c>
      <c r="M46" s="17">
        <f>+'BS (F1Q23)'!M6+'BS (F1Q23)'!M7+'BS (F1Q23)'!M12</f>
        <v>4838.2000000000062</v>
      </c>
      <c r="N46" s="16">
        <f>+'BS (F1Q23)'!N6+'BS (F1Q23)'!N7+'BS (F1Q23)'!N12</f>
        <v>5454.4000000000096</v>
      </c>
      <c r="O46" s="16">
        <f>+'BS (F1Q23)'!O6+'BS (F1Q23)'!O7+'BS (F1Q23)'!O12</f>
        <v>4288.4000000000106</v>
      </c>
      <c r="P46" s="16">
        <f>+'BS (F1Q23)'!P6+'BS (F1Q23)'!P7+'BS (F1Q23)'!P12</f>
        <v>5192.6000000000095</v>
      </c>
      <c r="Q46" s="16">
        <f>+'BS (F1Q23)'!Q6+'BS (F1Q23)'!Q7+'BS (F1Q23)'!Q12</f>
        <v>6899.6000000000085</v>
      </c>
      <c r="R46" s="17">
        <f>+'BS (F1Q23)'!R6+'BS (F1Q23)'!R7+'BS (F1Q23)'!R12</f>
        <v>6899.6000000000085</v>
      </c>
      <c r="S46" s="16">
        <f>+'BS (F1Q23)'!S6+'BS (F1Q23)'!S7+'BS (F1Q23)'!S12</f>
        <v>4356.4000000000078</v>
      </c>
      <c r="T46" s="16">
        <f>+'BS (F1Q23)'!T6+'BS (F1Q23)'!T7+'BS (F1Q23)'!T12</f>
        <v>4281.1000000000085</v>
      </c>
      <c r="U46" s="16">
        <f>+'BS (F1Q23)'!U6+'BS (F1Q23)'!U7+'BS (F1Q23)'!U12</f>
        <v>3546.9000000000074</v>
      </c>
      <c r="V46" s="16">
        <f>+'BS (F1Q23)'!V6+'BS (F1Q23)'!V7+'BS (F1Q23)'!V12</f>
        <v>3461.900000000006</v>
      </c>
      <c r="W46" s="17">
        <f>+'BS (F1Q23)'!W6+'BS (F1Q23)'!W7+'BS (F1Q23)'!W12</f>
        <v>3461.900000000006</v>
      </c>
      <c r="X46" s="16">
        <f>+'BS (F1Q23)'!X6+'BS (F1Q23)'!X7+'BS (F1Q23)'!X12</f>
        <v>3593.9000000000078</v>
      </c>
      <c r="Y46" s="16">
        <f>+'BS (F1Q23)'!Y6+'BS (F1Q23)'!Y7+'BS (F1Q23)'!Y12</f>
        <v>3603.9868480401415</v>
      </c>
      <c r="Z46" s="16">
        <f>+'BS (F1Q23)'!Z6+'BS (F1Q23)'!Z7+'BS (F1Q23)'!Z12</f>
        <v>3295.9650397410765</v>
      </c>
      <c r="AA46" s="16">
        <f>+'BS (F1Q23)'!AA6+'BS (F1Q23)'!AA7+'BS (F1Q23)'!AA12</f>
        <v>3747.4278776945434</v>
      </c>
      <c r="AB46" s="17">
        <f>+'BS (F1Q23)'!AB6+'BS (F1Q23)'!AB7+'BS (F1Q23)'!AB12</f>
        <v>3747.4278776945434</v>
      </c>
      <c r="AC46" s="16">
        <f>+'BS (F1Q23)'!AC6+'BS (F1Q23)'!AC7+'BS (F1Q23)'!AC12</f>
        <v>4305.4647487821439</v>
      </c>
      <c r="AD46" s="16">
        <f>+'BS (F1Q23)'!AD6+'BS (F1Q23)'!AD7+'BS (F1Q23)'!AD12</f>
        <v>3845.7580625142227</v>
      </c>
      <c r="AE46" s="16">
        <f>+'BS (F1Q23)'!AE6+'BS (F1Q23)'!AE7+'BS (F1Q23)'!AE12</f>
        <v>3879.3388142203471</v>
      </c>
      <c r="AF46" s="16">
        <f>+'BS (F1Q23)'!AF6+'BS (F1Q23)'!AF7+'BS (F1Q23)'!AF12</f>
        <v>4417.3340975797082</v>
      </c>
      <c r="AG46" s="17">
        <f>+'BS (F1Q23)'!AG6+'BS (F1Q23)'!AG7+'BS (F1Q23)'!AG12</f>
        <v>4417.3340975797082</v>
      </c>
      <c r="AH46" s="16">
        <f>+'BS (F1Q23)'!AH6+'BS (F1Q23)'!AH7+'BS (F1Q23)'!AH12</f>
        <v>5118.9411502894482</v>
      </c>
      <c r="AI46" s="16">
        <f>+'BS (F1Q23)'!AI6+'BS (F1Q23)'!AI7+'BS (F1Q23)'!AI12</f>
        <v>4783.0169168228385</v>
      </c>
      <c r="AJ46" s="16">
        <f>+'BS (F1Q23)'!AJ6+'BS (F1Q23)'!AJ7+'BS (F1Q23)'!AJ12</f>
        <v>6785.6921934973288</v>
      </c>
      <c r="AK46" s="16">
        <f>+'BS (F1Q23)'!AK6+'BS (F1Q23)'!AK7+'BS (F1Q23)'!AK12</f>
        <v>2057.3651575039871</v>
      </c>
      <c r="AL46" s="17">
        <f>+'BS (F1Q23)'!AL6+'BS (F1Q23)'!AL7+'BS (F1Q23)'!AL12</f>
        <v>2057.3651575039871</v>
      </c>
      <c r="AM46" s="16">
        <f>+'BS (F1Q23)'!AM6+'BS (F1Q23)'!AM7+'BS (F1Q23)'!AM12</f>
        <v>2754.4252909401621</v>
      </c>
      <c r="AN46" s="16">
        <f>+'BS (F1Q23)'!AN6+'BS (F1Q23)'!AN7+'BS (F1Q23)'!AN12</f>
        <v>1347.7483911023085</v>
      </c>
      <c r="AO46" s="16">
        <f>+'BS (F1Q23)'!AO6+'BS (F1Q23)'!AO7+'BS (F1Q23)'!AO12</f>
        <v>1427.3456714088029</v>
      </c>
      <c r="AP46" s="16">
        <f>+'BS (F1Q23)'!AP6+'BS (F1Q23)'!AP7+'BS (F1Q23)'!AP12</f>
        <v>2037.9186804448916</v>
      </c>
      <c r="AQ46" s="17">
        <f>+'BS (F1Q23)'!AQ6+'BS (F1Q23)'!AQ7+'BS (F1Q23)'!AQ12</f>
        <v>2037.9186804448916</v>
      </c>
      <c r="AR46" s="16">
        <f>+'BS (F1Q23)'!AR6+'BS (F1Q23)'!AR7+'BS (F1Q23)'!AR12</f>
        <v>2938.1583778999834</v>
      </c>
      <c r="AS46" s="16">
        <f>+'BS (F1Q23)'!AS6+'BS (F1Q23)'!AS7+'BS (F1Q23)'!AS12</f>
        <v>2537.2693053977846</v>
      </c>
      <c r="AT46" s="16">
        <f>+'BS (F1Q23)'!AT6+'BS (F1Q23)'!AT7+'BS (F1Q23)'!AT12</f>
        <v>2742.1729279386559</v>
      </c>
      <c r="AU46" s="16">
        <f>+'BS (F1Q23)'!AU6+'BS (F1Q23)'!AU7+'BS (F1Q23)'!AU12</f>
        <v>3400.6830655805293</v>
      </c>
      <c r="AV46" s="17">
        <f>+'BS (F1Q23)'!AV6+'BS (F1Q23)'!AV7+'BS (F1Q23)'!AV12</f>
        <v>3400.6830655805293</v>
      </c>
    </row>
    <row r="47" spans="2:48" outlineLevel="1" x14ac:dyDescent="0.3">
      <c r="B47" s="200" t="s">
        <v>304</v>
      </c>
      <c r="C47" s="201"/>
      <c r="D47" s="16">
        <f>'BS (F1Q23)'!D28+'BS (F1Q23)'!D31</f>
        <v>9130.7000000000007</v>
      </c>
      <c r="E47" s="16">
        <f>'BS (F1Q23)'!E28+'BS (F1Q23)'!E31</f>
        <v>9216.5</v>
      </c>
      <c r="F47" s="16">
        <f>'BS (F1Q23)'!F28+'BS (F1Q23)'!F31</f>
        <v>11159.1</v>
      </c>
      <c r="G47" s="16">
        <f>'BS (F1Q23)'!G28+'BS (F1Q23)'!G31</f>
        <v>11167</v>
      </c>
      <c r="H47" s="17">
        <f>'BS (F1Q23)'!H28+'BS (F1Q23)'!H31</f>
        <v>11167</v>
      </c>
      <c r="I47" s="16">
        <f>'BS (F1Q23)'!I28+'BS (F1Q23)'!I31</f>
        <v>11649.800000000001</v>
      </c>
      <c r="J47" s="16">
        <f>'BS (F1Q23)'!J28+'BS (F1Q23)'!J31</f>
        <v>14015.2</v>
      </c>
      <c r="K47" s="16">
        <f>'BS (F1Q23)'!K28+'BS (F1Q23)'!K31</f>
        <v>16831.7</v>
      </c>
      <c r="L47" s="16">
        <f>'BS (F1Q23)'!L28+'BS (F1Q23)'!L31</f>
        <v>16348.300000000001</v>
      </c>
      <c r="M47" s="17">
        <f>'BS (F1Q23)'!M28+'BS (F1Q23)'!M31</f>
        <v>16348.300000000001</v>
      </c>
      <c r="N47" s="16">
        <f>'BS (F1Q23)'!N28+'BS (F1Q23)'!N31</f>
        <v>15916.1</v>
      </c>
      <c r="O47" s="16">
        <f>'BS (F1Q23)'!O28+'BS (F1Q23)'!O31</f>
        <v>14648.599999999999</v>
      </c>
      <c r="P47" s="16">
        <f>'BS (F1Q23)'!P28+'BS (F1Q23)'!P31</f>
        <v>14618.1</v>
      </c>
      <c r="Q47" s="16">
        <f>'BS (F1Q23)'!Q28+'BS (F1Q23)'!Q31</f>
        <v>14615.8</v>
      </c>
      <c r="R47" s="17">
        <f>'BS (F1Q23)'!R28+'BS (F1Q23)'!R31</f>
        <v>14615.8</v>
      </c>
      <c r="S47" s="16">
        <f>'BS (F1Q23)'!S28+'BS (F1Q23)'!S31</f>
        <v>14785.599999999999</v>
      </c>
      <c r="T47" s="16">
        <f>'BS (F1Q23)'!T28+'BS (F1Q23)'!T31</f>
        <v>16013</v>
      </c>
      <c r="U47" s="16">
        <f>'BS (F1Q23)'!U28+'BS (F1Q23)'!U31</f>
        <v>15129.9</v>
      </c>
      <c r="V47" s="16">
        <f>'BS (F1Q23)'!V28+'BS (F1Q23)'!V31</f>
        <v>15043.9</v>
      </c>
      <c r="W47" s="17">
        <f>'BS (F1Q23)'!W28+'BS (F1Q23)'!W31</f>
        <v>15043.9</v>
      </c>
      <c r="X47" s="16">
        <f>'BS (F1Q23)'!X28+'BS (F1Q23)'!X31</f>
        <v>14926</v>
      </c>
      <c r="Y47" s="16">
        <f>'BS (F1Q23)'!Y28+'BS (F1Q23)'!Y31</f>
        <v>15427</v>
      </c>
      <c r="Z47" s="16">
        <f>'BS (F1Q23)'!Z28+'BS (F1Q23)'!Z31</f>
        <v>15427</v>
      </c>
      <c r="AA47" s="16">
        <f>'BS (F1Q23)'!AA28+'BS (F1Q23)'!AA31</f>
        <v>15427</v>
      </c>
      <c r="AB47" s="17">
        <f>'BS (F1Q23)'!AB28+'BS (F1Q23)'!AB31</f>
        <v>15427</v>
      </c>
      <c r="AC47" s="16">
        <f>'BS (F1Q23)'!AC28+'BS (F1Q23)'!AC31</f>
        <v>15427</v>
      </c>
      <c r="AD47" s="16">
        <f>'BS (F1Q23)'!AD28+'BS (F1Q23)'!AD31</f>
        <v>15427</v>
      </c>
      <c r="AE47" s="16">
        <f>'BS (F1Q23)'!AE28+'BS (F1Q23)'!AE31</f>
        <v>15427</v>
      </c>
      <c r="AF47" s="16">
        <f>'BS (F1Q23)'!AF28+'BS (F1Q23)'!AF31</f>
        <v>15627</v>
      </c>
      <c r="AG47" s="17">
        <f>'BS (F1Q23)'!AG28+'BS (F1Q23)'!AG31</f>
        <v>15627</v>
      </c>
      <c r="AH47" s="16">
        <f>'BS (F1Q23)'!AH28+'BS (F1Q23)'!AH31</f>
        <v>15627</v>
      </c>
      <c r="AI47" s="16">
        <f>'BS (F1Q23)'!AI28+'BS (F1Q23)'!AI31</f>
        <v>15627</v>
      </c>
      <c r="AJ47" s="16">
        <f>'BS (F1Q23)'!AJ28+'BS (F1Q23)'!AJ31</f>
        <v>22831.600000000002</v>
      </c>
      <c r="AK47" s="16">
        <f>'BS (F1Q23)'!AK28+'BS (F1Q23)'!AK31</f>
        <v>22831.600000000002</v>
      </c>
      <c r="AL47" s="17">
        <f>'BS (F1Q23)'!AL28+'BS (F1Q23)'!AL31</f>
        <v>22831.600000000002</v>
      </c>
      <c r="AM47" s="16">
        <f>'BS (F1Q23)'!AM28+'BS (F1Q23)'!AM31</f>
        <v>22831.600000000002</v>
      </c>
      <c r="AN47" s="16">
        <f>'BS (F1Q23)'!AN28+'BS (F1Q23)'!AN31</f>
        <v>21831.600000000002</v>
      </c>
      <c r="AO47" s="16">
        <f>'BS (F1Q23)'!AO28+'BS (F1Q23)'!AO31</f>
        <v>21831.600000000002</v>
      </c>
      <c r="AP47" s="16">
        <f>'BS (F1Q23)'!AP28+'BS (F1Q23)'!AP31</f>
        <v>21831.600000000002</v>
      </c>
      <c r="AQ47" s="17">
        <f>'BS (F1Q23)'!AQ28+'BS (F1Q23)'!AQ31</f>
        <v>21831.600000000002</v>
      </c>
      <c r="AR47" s="16">
        <f>'BS (F1Q23)'!AR28+'BS (F1Q23)'!AR31</f>
        <v>21831.600000000002</v>
      </c>
      <c r="AS47" s="16">
        <f>'BS (F1Q23)'!AS28+'BS (F1Q23)'!AS31</f>
        <v>21831.600000000002</v>
      </c>
      <c r="AT47" s="16">
        <f>'BS (F1Q23)'!AT28+'BS (F1Q23)'!AT31</f>
        <v>21831.600000000002</v>
      </c>
      <c r="AU47" s="16">
        <f>'BS (F1Q23)'!AU28+'BS (F1Q23)'!AU31</f>
        <v>21831.600000000002</v>
      </c>
      <c r="AV47" s="17">
        <f>'BS (F1Q23)'!AV28+'BS (F1Q23)'!AV31</f>
        <v>21831.600000000002</v>
      </c>
    </row>
    <row r="48" spans="2:48" outlineLevel="1" x14ac:dyDescent="0.3">
      <c r="B48" s="635" t="s">
        <v>305</v>
      </c>
      <c r="C48" s="636"/>
      <c r="D48" s="346">
        <f>(D46-D47)/'IS (F1Q23)'!D31</f>
        <v>-3.0907132599329823</v>
      </c>
      <c r="E48" s="346">
        <f>(E46-E47)/'IS (F1Q23)'!E31</f>
        <v>-5.4632605740785154</v>
      </c>
      <c r="F48" s="346">
        <f>(F46-F47)/'IS (F1Q23)'!F31</f>
        <v>-4.9885527391659839</v>
      </c>
      <c r="G48" s="346">
        <f>(G46-G47)/'IS (F1Q23)'!G31</f>
        <v>-6.6975821179389685</v>
      </c>
      <c r="H48" s="347">
        <f>(H46-H47)/'IS (F1Q23)'!H31</f>
        <v>-6.6411774245864397</v>
      </c>
      <c r="I48" s="346">
        <f>(I46-I47)/'IS (F1Q23)'!I31</f>
        <v>-7.0034424853064623</v>
      </c>
      <c r="J48" s="346">
        <f>(J46-J47)/'IS (F1Q23)'!J31</f>
        <v>-9.4784449902600123</v>
      </c>
      <c r="K48" s="346">
        <f>(K46-K47)/'IS (F1Q23)'!K31</f>
        <v>-10.62259306803594</v>
      </c>
      <c r="L48" s="346">
        <f>(L46-L47)/'IS (F1Q23)'!L31</f>
        <v>-9.7625954198473242</v>
      </c>
      <c r="M48" s="347">
        <f>(M46-M47)/'IS (F1Q23)'!M31</f>
        <v>-9.6019593007244595</v>
      </c>
      <c r="N48" s="346">
        <f>(N46-N47)/'IS (F1Q23)'!N31</f>
        <v>-8.8433643279797032</v>
      </c>
      <c r="O48" s="346">
        <f>(O46-O47)/'IS (F1Q23)'!O31</f>
        <v>-8.7442606347062704</v>
      </c>
      <c r="P48" s="346">
        <f>(P46-P47)/'IS (F1Q23)'!P31</f>
        <v>-7.9459618951272892</v>
      </c>
      <c r="Q48" s="346">
        <f>(Q46-Q47)/'IS (F1Q23)'!Q31</f>
        <v>-6.4956646182338496</v>
      </c>
      <c r="R48" s="347">
        <f>(R46-R47)/'IS (F1Q23)'!R31</f>
        <v>-6.504862503325251</v>
      </c>
      <c r="S48" s="346">
        <f>(S46-S47)/'IS (F1Q23)'!S31</f>
        <v>-8.8638449770525156</v>
      </c>
      <c r="T48" s="346">
        <f>(T46-T47)/'IS (F1Q23)'!T31</f>
        <v>-10.167172198630722</v>
      </c>
      <c r="U48" s="346">
        <f>(U46-U47)/'IS (F1Q23)'!U31</f>
        <v>-10.06342311033883</v>
      </c>
      <c r="V48" s="346">
        <f>(V46-V47)/'IS (F1Q23)'!V31</f>
        <v>-10.049457700650754</v>
      </c>
      <c r="W48" s="347">
        <f>(W46-W47)/'IS (F1Q23)'!W31</f>
        <v>-9.9985955103363526</v>
      </c>
      <c r="X48" s="346">
        <f>(X46-X47)/'IS (F1Q23)'!X31</f>
        <v>-9.8292132882296741</v>
      </c>
      <c r="Y48" s="346">
        <f>(Y46-Y47)/'IS (F1Q23)'!Y31</f>
        <v>-10.253660653348913</v>
      </c>
      <c r="Z48" s="346">
        <f>(Z46-Z47)/'IS (F1Q23)'!Z31</f>
        <v>-10.519400224871077</v>
      </c>
      <c r="AA48" s="346">
        <f>(AA46-AA47)/'IS (F1Q23)'!AA31</f>
        <v>-10.126569882985667</v>
      </c>
      <c r="AB48" s="347">
        <f>(AB46-AB47)/'IS (F1Q23)'!AB31</f>
        <v>-10.128317137005705</v>
      </c>
      <c r="AC48" s="346">
        <f>(AC46-AC47)/'IS (F1Q23)'!AC31</f>
        <v>-9.6405104986578127</v>
      </c>
      <c r="AD48" s="346">
        <f>(AD46-AD47)/'IS (F1Q23)'!AD31</f>
        <v>-10.036682926556988</v>
      </c>
      <c r="AE48" s="346">
        <f>(AE46-AE47)/'IS (F1Q23)'!AE31</f>
        <v>-10.005269860184834</v>
      </c>
      <c r="AF48" s="346">
        <f>(AF46-AF47)/'IS (F1Q23)'!AF31</f>
        <v>-9.7101752790545941</v>
      </c>
      <c r="AG48" s="347">
        <f>(AG46-AG47)/'IS (F1Q23)'!AG31</f>
        <v>-9.713292584167931</v>
      </c>
      <c r="AH48" s="346">
        <f>(AH46-AH47)/'IS (F1Q23)'!AH31</f>
        <v>-9.0999824273171832</v>
      </c>
      <c r="AI48" s="346">
        <f>(AI46-AI47)/'IS (F1Q23)'!AI31</f>
        <v>-9.3883756920867878</v>
      </c>
      <c r="AJ48" s="346">
        <f>(AJ46-AJ47)/'IS (F1Q23)'!AJ31</f>
        <v>-14.453077891372237</v>
      </c>
      <c r="AK48" s="346">
        <f>(AK46-AK47)/'IS (F1Q23)'!AK31</f>
        <v>-19.500363439784547</v>
      </c>
      <c r="AL48" s="347">
        <f>(AL46-AL47)/'IS (F1Q23)'!AL31</f>
        <v>-18.601936611404781</v>
      </c>
      <c r="AM48" s="346">
        <f>(AM46-AM47)/'IS (F1Q23)'!AM31</f>
        <v>-18.863078506328943</v>
      </c>
      <c r="AN48" s="346">
        <f>(AN46-AN47)/'IS (F1Q23)'!AN31</f>
        <v>-19.262588533965882</v>
      </c>
      <c r="AO48" s="346">
        <f>(AO46-AO47)/'IS (F1Q23)'!AO31</f>
        <v>-19.205143535175925</v>
      </c>
      <c r="AP48" s="346">
        <f>(AP46-AP47)/'IS (F1Q23)'!AP31</f>
        <v>-18.647385842186328</v>
      </c>
      <c r="AQ48" s="347">
        <f>(AQ46-AQ47)/'IS (F1Q23)'!AQ31</f>
        <v>-18.623983072407903</v>
      </c>
      <c r="AR48" s="346">
        <f>(AR46-AR47)/'IS (F1Q23)'!AR31</f>
        <v>-17.814822094131962</v>
      </c>
      <c r="AS48" s="346">
        <f>(AS46-AS47)/'IS (F1Q23)'!AS31</f>
        <v>-18.20873906308681</v>
      </c>
      <c r="AT48" s="346">
        <f>(AT46-AT47)/'IS (F1Q23)'!AT31</f>
        <v>-18.031153153610429</v>
      </c>
      <c r="AU48" s="346">
        <f>(AU46-AU47)/'IS (F1Q23)'!AU31</f>
        <v>-17.424435529842651</v>
      </c>
      <c r="AV48" s="347">
        <f>(AV46-AV47)/'IS (F1Q23)'!AV31</f>
        <v>-17.40328097956602</v>
      </c>
    </row>
    <row r="49" spans="2:48" x14ac:dyDescent="0.3">
      <c r="B49" s="637"/>
      <c r="C49" s="637"/>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583" t="s">
        <v>306</v>
      </c>
      <c r="C50" s="584"/>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3" t="s">
        <v>407</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85"/>
      <c r="C51" s="586"/>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4" t="s">
        <v>408</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601" t="s">
        <v>307</v>
      </c>
      <c r="C52" s="602"/>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D12/'IS (F1Q23)'!D8</f>
        <v>1.4669742337208073E-2</v>
      </c>
      <c r="E53" s="281">
        <f>E12/'IS (F1Q23)'!E8</f>
        <v>1.5033540018078308E-2</v>
      </c>
      <c r="F53" s="113">
        <f>F12/'IS (F1Q23)'!F8</f>
        <v>9.2774439396160081E-3</v>
      </c>
      <c r="G53" s="113">
        <f>G12/'IS (F1Q23)'!G8</f>
        <v>7.7960575070401619E-3</v>
      </c>
      <c r="H53" s="125">
        <f>H12/'IS (F1Q23)'!H8</f>
        <v>1.1618870857004896E-2</v>
      </c>
      <c r="I53" s="113">
        <f>I12/'IS (F1Q23)'!I8</f>
        <v>1.2723506784461259E-2</v>
      </c>
      <c r="J53" s="113">
        <f>J12/'IS (F1Q23)'!J8</f>
        <v>9.3900628783961833E-3</v>
      </c>
      <c r="K53" s="113">
        <f>K12/'IS (F1Q23)'!K8</f>
        <v>9.8055470026763899E-3</v>
      </c>
      <c r="L53" s="113">
        <f>L12/'IS (F1Q23)'!L8</f>
        <v>9.7693088939401224E-3</v>
      </c>
      <c r="M53" s="282">
        <f>M12/'IS (F1Q23)'!M8</f>
        <v>1.0570626753975675E-2</v>
      </c>
      <c r="N53" s="113">
        <f>N12/'IS (F1Q23)'!N8</f>
        <v>1.4712418881678371E-2</v>
      </c>
      <c r="O53" s="113">
        <f>O12/'IS (F1Q23)'!O8</f>
        <v>1.1397720455908821E-2</v>
      </c>
      <c r="P53" s="113">
        <f>P12/'IS (F1Q23)'!P8</f>
        <v>1.0671646768491964E-2</v>
      </c>
      <c r="Q53" s="113">
        <f>Q12/'IS (F1Q23)'!Q8</f>
        <v>7.8313918519155035E-3</v>
      </c>
      <c r="R53" s="282">
        <f>R12/'IS (F1Q23)'!R8</f>
        <v>1.0980502811366593E-2</v>
      </c>
      <c r="S53" s="113">
        <f>S12/'IS (F1Q23)'!S8</f>
        <v>1.1900029812183245E-2</v>
      </c>
      <c r="T53" s="113">
        <f>T12/'IS (F1Q23)'!T8</f>
        <v>6.9935564985069932E-3</v>
      </c>
      <c r="U53" s="113">
        <f>U12/'IS (F1Q23)'!U8</f>
        <v>7.0428583698359517E-3</v>
      </c>
      <c r="V53" s="113">
        <f>V12/'IS (F1Q23)'!V8</f>
        <v>7.7131515770958682E-3</v>
      </c>
      <c r="W53" s="282"/>
      <c r="X53" s="113">
        <f>X12/'IS (F1Q23)'!X8</f>
        <v>9.7774819541192812E-3</v>
      </c>
      <c r="Y53" s="35">
        <f>AVERAGE(X53,V53,U53,T53)</f>
        <v>7.8817620998895242E-3</v>
      </c>
      <c r="Z53" s="35">
        <f>AVERAGE(Y53,X53,V53,U53)</f>
        <v>8.1038135002351568E-3</v>
      </c>
      <c r="AA53" s="35">
        <f>AVERAGE(Z53,Y53,X53,V53)</f>
        <v>8.3690522828349569E-3</v>
      </c>
      <c r="AB53" s="282"/>
      <c r="AC53" s="35">
        <f>AVERAGE(AA53,Z53,Y53,X53)</f>
        <v>8.5330274592697285E-3</v>
      </c>
      <c r="AD53" s="35">
        <f>AVERAGE(AC53,AA53,Z53,Y53)</f>
        <v>8.2219138355573412E-3</v>
      </c>
      <c r="AE53" s="35">
        <f>AVERAGE(AD53,AC53,AA53,Z53)</f>
        <v>8.3069517694742967E-3</v>
      </c>
      <c r="AF53" s="35">
        <f>AVERAGE(AE53,AD53,AC53,AA53)</f>
        <v>8.3577363367840808E-3</v>
      </c>
      <c r="AG53" s="282"/>
      <c r="AH53" s="35">
        <f>AVERAGE(AF53,AE53,AD53,AC53)</f>
        <v>8.3549073502713622E-3</v>
      </c>
      <c r="AI53" s="35">
        <f>AVERAGE(AH53,AF53,AE53,AD53)</f>
        <v>8.3103773230217698E-3</v>
      </c>
      <c r="AJ53" s="35">
        <f>AVERAGE(AI53,AH53,AF53,AE53)</f>
        <v>8.3324931948878765E-3</v>
      </c>
      <c r="AK53" s="35">
        <f>AVERAGE(AJ53,AI53,AH53,AF53)</f>
        <v>8.3388785512412723E-3</v>
      </c>
      <c r="AL53" s="282"/>
      <c r="AM53" s="35">
        <f>AVERAGE(AK53,AJ53,AI53,AH53)</f>
        <v>8.3341641048555702E-3</v>
      </c>
      <c r="AN53" s="35">
        <f>AVERAGE(AM53,AK53,AJ53,AI53)</f>
        <v>8.3289782935016231E-3</v>
      </c>
      <c r="AO53" s="35">
        <f>AVERAGE(AN53,AM53,AK53,AJ53)</f>
        <v>8.3336285361215855E-3</v>
      </c>
      <c r="AP53" s="35">
        <f>AVERAGE(AO53,AN53,AM53,AK53)</f>
        <v>8.3339123714300124E-3</v>
      </c>
      <c r="AQ53" s="282"/>
      <c r="AR53" s="35">
        <f>AVERAGE(AP53,AO53,AN53,AM53)</f>
        <v>8.3326708264771978E-3</v>
      </c>
      <c r="AS53" s="35">
        <f>AVERAGE(AR53,AP53,AO53,AN53)</f>
        <v>8.3322975068826043E-3</v>
      </c>
      <c r="AT53" s="35">
        <f>AVERAGE(AS53,AR53,AP53,AO53)</f>
        <v>8.3331273102278496E-3</v>
      </c>
      <c r="AU53" s="35">
        <f>AVERAGE(AT53,AS53,AR53,AP53)</f>
        <v>8.333002003754416E-3</v>
      </c>
      <c r="AV53" s="282"/>
    </row>
    <row r="54" spans="2:48" s="23" customFormat="1" outlineLevel="1" x14ac:dyDescent="0.3">
      <c r="B54" s="200" t="s">
        <v>309</v>
      </c>
      <c r="C54" s="201"/>
      <c r="D54" s="351">
        <f t="shared" ref="D54:V54" si="41">+D10/-D9</f>
        <v>1.1581818181818182</v>
      </c>
      <c r="E54" s="351">
        <f t="shared" si="41"/>
        <v>0.55639097744360888</v>
      </c>
      <c r="F54" s="113">
        <f t="shared" si="41"/>
        <v>1.0682852807283763</v>
      </c>
      <c r="G54" s="113">
        <f t="shared" si="41"/>
        <v>0.69411764705882406</v>
      </c>
      <c r="H54" s="125">
        <f t="shared" si="41"/>
        <v>0.86512370311252995</v>
      </c>
      <c r="I54" s="113">
        <f t="shared" si="41"/>
        <v>1.0222575516693164</v>
      </c>
      <c r="J54" s="113">
        <f t="shared" si="41"/>
        <v>0.63295880149812733</v>
      </c>
      <c r="K54" s="113">
        <f t="shared" si="41"/>
        <v>1.0227272727272729</v>
      </c>
      <c r="L54" s="113">
        <f t="shared" si="41"/>
        <v>0.63109756097560987</v>
      </c>
      <c r="M54" s="282">
        <f t="shared" si="41"/>
        <v>0.81118631991449952</v>
      </c>
      <c r="N54" s="113">
        <f t="shared" si="41"/>
        <v>1.1188405797101451</v>
      </c>
      <c r="O54" s="113">
        <f t="shared" si="41"/>
        <v>0.85072231139646837</v>
      </c>
      <c r="P54" s="113">
        <f t="shared" si="41"/>
        <v>0.9018691588785045</v>
      </c>
      <c r="Q54" s="113">
        <f t="shared" si="41"/>
        <v>1.0027522935779816</v>
      </c>
      <c r="R54" s="282">
        <f t="shared" si="41"/>
        <v>0.96746328822343797</v>
      </c>
      <c r="S54" s="113">
        <f t="shared" si="41"/>
        <v>0.96351931330472096</v>
      </c>
      <c r="T54" s="113">
        <f t="shared" si="41"/>
        <v>0.77531206657420249</v>
      </c>
      <c r="U54" s="113">
        <f t="shared" si="41"/>
        <v>0.80106571936056836</v>
      </c>
      <c r="V54" s="113">
        <f t="shared" si="41"/>
        <v>0.91035218783351113</v>
      </c>
      <c r="W54" s="282"/>
      <c r="X54" s="113">
        <f t="shared" ref="X54" si="42">+X10/-X9</f>
        <v>0.80316344463971889</v>
      </c>
      <c r="Y54" s="35">
        <v>1</v>
      </c>
      <c r="Z54" s="35">
        <v>1</v>
      </c>
      <c r="AA54" s="35">
        <v>1</v>
      </c>
      <c r="AB54" s="282"/>
      <c r="AC54" s="35">
        <v>1</v>
      </c>
      <c r="AD54" s="35">
        <v>1</v>
      </c>
      <c r="AE54" s="35">
        <v>1</v>
      </c>
      <c r="AF54" s="35">
        <v>1</v>
      </c>
      <c r="AG54" s="282"/>
      <c r="AH54" s="35">
        <v>1</v>
      </c>
      <c r="AI54" s="35">
        <v>1</v>
      </c>
      <c r="AJ54" s="35">
        <v>1</v>
      </c>
      <c r="AK54" s="35">
        <v>1</v>
      </c>
      <c r="AL54" s="282"/>
      <c r="AM54" s="35">
        <v>1</v>
      </c>
      <c r="AN54" s="35">
        <v>1</v>
      </c>
      <c r="AO54" s="35">
        <v>1</v>
      </c>
      <c r="AP54" s="35">
        <v>1</v>
      </c>
      <c r="AQ54" s="282"/>
      <c r="AR54" s="35">
        <v>1</v>
      </c>
      <c r="AS54" s="35">
        <v>1</v>
      </c>
      <c r="AT54" s="35">
        <v>1</v>
      </c>
      <c r="AU54" s="35">
        <v>1</v>
      </c>
      <c r="AV54" s="282"/>
    </row>
    <row r="55" spans="2:48" s="23" customFormat="1" outlineLevel="1" x14ac:dyDescent="0.3">
      <c r="B55" s="580" t="s">
        <v>310</v>
      </c>
      <c r="C55" s="581"/>
      <c r="D55" s="352"/>
      <c r="E55" s="352"/>
      <c r="F55" s="352"/>
      <c r="G55" s="352"/>
      <c r="H55" s="353"/>
      <c r="I55" s="352">
        <f t="shared" ref="I55:AV55" si="43">I22/D22-1</f>
        <v>-0.22820512820512895</v>
      </c>
      <c r="J55" s="352">
        <f t="shared" si="43"/>
        <v>-4.4869364754098413</v>
      </c>
      <c r="K55" s="352">
        <f t="shared" si="43"/>
        <v>-1.314434752864716</v>
      </c>
      <c r="L55" s="352">
        <f t="shared" si="43"/>
        <v>0.34527569713924766</v>
      </c>
      <c r="M55" s="353">
        <f t="shared" si="43"/>
        <v>-0.68340961778517451</v>
      </c>
      <c r="N55" s="352">
        <f t="shared" si="43"/>
        <v>-2.1785305811139466E-4</v>
      </c>
      <c r="O55" s="352">
        <f t="shared" si="43"/>
        <v>-1.649232351428781</v>
      </c>
      <c r="P55" s="352">
        <f t="shared" si="43"/>
        <v>-5.7565950503127619</v>
      </c>
      <c r="Q55" s="352">
        <f t="shared" si="43"/>
        <v>2.012477359629572E-2</v>
      </c>
      <c r="R55" s="353">
        <f t="shared" si="43"/>
        <v>2.7484040555764064</v>
      </c>
      <c r="S55" s="352">
        <f t="shared" si="43"/>
        <v>1.9175246499972598E-2</v>
      </c>
      <c r="T55" s="352">
        <f t="shared" si="43"/>
        <v>-0.81681375876895213</v>
      </c>
      <c r="U55" s="352">
        <f t="shared" si="43"/>
        <v>-0.27684391080617499</v>
      </c>
      <c r="V55" s="352">
        <f t="shared" si="43"/>
        <v>-0.27691194844479561</v>
      </c>
      <c r="W55" s="353">
        <f t="shared" si="43"/>
        <v>-0.26581179456354764</v>
      </c>
      <c r="X55" s="352">
        <f t="shared" si="43"/>
        <v>-0.14843123630338328</v>
      </c>
      <c r="Y55" s="352">
        <f t="shared" si="43"/>
        <v>4.4637703370802537</v>
      </c>
      <c r="Z55" s="352">
        <f t="shared" si="43"/>
        <v>-9.7622169713393214E-2</v>
      </c>
      <c r="AA55" s="352">
        <f t="shared" si="43"/>
        <v>0.77934893426440843</v>
      </c>
      <c r="AB55" s="353">
        <f t="shared" si="43"/>
        <v>0.26800781984829825</v>
      </c>
      <c r="AC55" s="352">
        <f t="shared" si="43"/>
        <v>0.27060646256255705</v>
      </c>
      <c r="AD55" s="352">
        <f t="shared" si="43"/>
        <v>6.8124424539429906E-2</v>
      </c>
      <c r="AE55" s="352">
        <f t="shared" si="43"/>
        <v>0.33588723372200735</v>
      </c>
      <c r="AF55" s="352">
        <f t="shared" si="43"/>
        <v>-3.4678509366291355E-2</v>
      </c>
      <c r="AG55" s="353">
        <f t="shared" si="43"/>
        <v>0.14471737442891119</v>
      </c>
      <c r="AH55" s="352">
        <f t="shared" si="43"/>
        <v>9.3134693126841528E-2</v>
      </c>
      <c r="AI55" s="352">
        <f t="shared" si="43"/>
        <v>0.1801598306637604</v>
      </c>
      <c r="AJ55" s="352">
        <f t="shared" si="43"/>
        <v>0.12541631805708264</v>
      </c>
      <c r="AK55" s="352">
        <f t="shared" si="43"/>
        <v>0.11784636237764201</v>
      </c>
      <c r="AL55" s="353">
        <f t="shared" si="43"/>
        <v>0.12104159930598901</v>
      </c>
      <c r="AM55" s="352">
        <f t="shared" si="43"/>
        <v>0.11521186654166571</v>
      </c>
      <c r="AN55" s="352">
        <f t="shared" si="43"/>
        <v>0.14614039781498644</v>
      </c>
      <c r="AO55" s="352">
        <f t="shared" si="43"/>
        <v>7.9213454664449179E-2</v>
      </c>
      <c r="AP55" s="352">
        <f t="shared" si="43"/>
        <v>0.14257318644465378</v>
      </c>
      <c r="AQ55" s="353">
        <f t="shared" si="43"/>
        <v>0.11947251777404055</v>
      </c>
      <c r="AR55" s="352">
        <f t="shared" si="43"/>
        <v>9.8143163003586054E-2</v>
      </c>
      <c r="AS55" s="352">
        <f t="shared" si="43"/>
        <v>4.5212453205687231E-2</v>
      </c>
      <c r="AT55" s="352">
        <f t="shared" si="43"/>
        <v>0.10229710799861547</v>
      </c>
      <c r="AU55" s="352">
        <f t="shared" si="43"/>
        <v>5.0176274738440663E-2</v>
      </c>
      <c r="AV55" s="353">
        <f t="shared" si="43"/>
        <v>7.6212319942035478E-2</v>
      </c>
    </row>
    <row r="56" spans="2:48" outlineLevel="1" x14ac:dyDescent="0.3">
      <c r="B56" s="200" t="s">
        <v>311</v>
      </c>
      <c r="C56" s="356"/>
      <c r="D56" s="351">
        <f>-D25/'IS (F1Q23)'!D8</f>
        <v>6.5041385860961587E-2</v>
      </c>
      <c r="E56" s="351">
        <f>-E25/'IS (F1Q23)'!E8</f>
        <v>6.5684517673924428E-2</v>
      </c>
      <c r="F56" s="113">
        <f>-F25/'IS (F1Q23)'!F8</f>
        <v>6.3769602814011436E-2</v>
      </c>
      <c r="G56" s="113">
        <f>-G25/'IS (F1Q23)'!G8</f>
        <v>7.7945753668297008E-2</v>
      </c>
      <c r="H56" s="363">
        <f>-H25/'IS (F1Q23)'!H8</f>
        <v>6.8151467825535855E-2</v>
      </c>
      <c r="I56" s="354">
        <f>-I25/'IS (F1Q23)'!I8</f>
        <v>5.555790393259219E-2</v>
      </c>
      <c r="J56" s="118">
        <f>-J25/'IS (F1Q23)'!J8</f>
        <v>6.0710175625865198E-2</v>
      </c>
      <c r="K56" s="118">
        <f>-K25/'IS (F1Q23)'!K8</f>
        <v>9.0026290234717338E-2</v>
      </c>
      <c r="L56" s="113">
        <f>-L25/'IS (F1Q23)'!L8</f>
        <v>5.5649594557559891E-2</v>
      </c>
      <c r="M56" s="353">
        <f>-M25/'IS (F1Q23)'!M8</f>
        <v>6.3083595543838744E-2</v>
      </c>
      <c r="N56" s="354">
        <f>-N25/'IS (F1Q23)'!N8</f>
        <v>4.8033899309568251E-2</v>
      </c>
      <c r="O56" s="118">
        <f>-O25/'IS (F1Q23)'!O8</f>
        <v>4.8545290941811634E-2</v>
      </c>
      <c r="P56" s="118">
        <f>-P25/'IS (F1Q23)'!P8</f>
        <v>4.5061028479957313E-2</v>
      </c>
      <c r="Q56" s="118">
        <f>-Q25/'IS (F1Q23)'!Q8</f>
        <v>5.9447383603176751E-2</v>
      </c>
      <c r="R56" s="353">
        <f>-R25/'IS (F1Q23)'!R8</f>
        <v>5.058395215515165E-2</v>
      </c>
      <c r="S56" s="354">
        <f>-S25/'IS (F1Q23)'!S8</f>
        <v>5.1773824903110409E-2</v>
      </c>
      <c r="T56" s="118">
        <f>-T25/'IS (F1Q23)'!T8</f>
        <v>5.9602388810309603E-2</v>
      </c>
      <c r="U56" s="118">
        <f>-U25/'IS (F1Q23)'!U8</f>
        <v>5.1962552606716499E-2</v>
      </c>
      <c r="V56" s="118">
        <f>-V25/'IS (F1Q23)'!V8</f>
        <v>6.4878419814123733E-2</v>
      </c>
      <c r="W56" s="353">
        <f>-W25/'IS (F1Q23)'!W8</f>
        <v>5.7094042536038427E-2</v>
      </c>
      <c r="X56" s="354">
        <f>-X25/'IS (F1Q23)'!X8</f>
        <v>5.9307543120761079E-2</v>
      </c>
      <c r="Y56" s="355">
        <v>7.3106796291364393E-2</v>
      </c>
      <c r="Z56" s="355">
        <f>Y56</f>
        <v>7.3106796291364393E-2</v>
      </c>
      <c r="AA56" s="355">
        <f>Z56</f>
        <v>7.3106796291364393E-2</v>
      </c>
      <c r="AB56" s="353">
        <f>-AB25/'IS (F1Q23)'!AB8</f>
        <v>6.9755536721746961E-2</v>
      </c>
      <c r="AC56" s="355">
        <v>6.9237389235761101E-2</v>
      </c>
      <c r="AD56" s="35">
        <f>AC56</f>
        <v>6.9237389235761101E-2</v>
      </c>
      <c r="AE56" s="35">
        <f>AD56</f>
        <v>6.9237389235761101E-2</v>
      </c>
      <c r="AF56" s="35">
        <f>AE56</f>
        <v>6.9237389235761101E-2</v>
      </c>
      <c r="AG56" s="353">
        <f>-AG25/'IS (F1Q23)'!AG8</f>
        <v>6.9237389235761101E-2</v>
      </c>
      <c r="AH56" s="355">
        <v>6.2089303557495354E-2</v>
      </c>
      <c r="AI56" s="35">
        <f>AH56</f>
        <v>6.2089303557495354E-2</v>
      </c>
      <c r="AJ56" s="35">
        <f>AI56</f>
        <v>6.2089303557495354E-2</v>
      </c>
      <c r="AK56" s="35">
        <f>AJ56</f>
        <v>6.2089303557495354E-2</v>
      </c>
      <c r="AL56" s="353">
        <f>-AL25/'IS (F1Q23)'!AL8</f>
        <v>6.2089303557495375E-2</v>
      </c>
      <c r="AM56" s="355">
        <f>AVERAGE(AH56,AI56,AJ56,AK56)</f>
        <v>6.2089303557495354E-2</v>
      </c>
      <c r="AN56" s="35">
        <f>AVERAGE(AI56,AJ56,AK56,AM56)</f>
        <v>6.2089303557495354E-2</v>
      </c>
      <c r="AO56" s="35">
        <f>AVERAGE(AN56,AM56,AK56,AJ56)</f>
        <v>6.2089303557495354E-2</v>
      </c>
      <c r="AP56" s="35">
        <f>AVERAGE(AO56,AN56,AM56,AK56)</f>
        <v>6.2089303557495354E-2</v>
      </c>
      <c r="AQ56" s="353">
        <f>-AQ25/'IS (F1Q23)'!AQ8</f>
        <v>6.208930355749534E-2</v>
      </c>
      <c r="AR56" s="355">
        <f>AVERAGE(AM56,AN56,AO56,AP56)</f>
        <v>6.2089303557495354E-2</v>
      </c>
      <c r="AS56" s="35">
        <f>AVERAGE(AN56,AO56,AP56,AR56)</f>
        <v>6.2089303557495354E-2</v>
      </c>
      <c r="AT56" s="35">
        <f>AVERAGE(AS56,AR56,AP56,AO56)</f>
        <v>6.2089303557495354E-2</v>
      </c>
      <c r="AU56" s="35">
        <f>AVERAGE(AT56,AS56,AR56,AP56)</f>
        <v>6.2089303557495354E-2</v>
      </c>
      <c r="AV56" s="353">
        <f>-AV25/'IS (F1Q23)'!AV8</f>
        <v>6.2089303557495354E-2</v>
      </c>
    </row>
    <row r="57" spans="2:48" outlineLevel="1" x14ac:dyDescent="0.3">
      <c r="B57" s="200" t="s">
        <v>312</v>
      </c>
      <c r="C57" s="356"/>
      <c r="D57" s="299">
        <f>-D34-D33</f>
        <v>5561.4</v>
      </c>
      <c r="E57" s="299">
        <f t="shared" ref="E57:AV57" si="44">-E34-E33</f>
        <v>3161</v>
      </c>
      <c r="F57" s="146">
        <f t="shared" si="44"/>
        <v>581.20000000000005</v>
      </c>
      <c r="G57" s="146">
        <f t="shared" si="44"/>
        <v>2679.9999999999995</v>
      </c>
      <c r="H57" s="122">
        <f t="shared" si="44"/>
        <v>11983.599999999999</v>
      </c>
      <c r="I57" s="299">
        <f t="shared" si="44"/>
        <v>1575.6000000000001</v>
      </c>
      <c r="J57" s="146">
        <f t="shared" si="44"/>
        <v>1088.5</v>
      </c>
      <c r="K57" s="146">
        <f t="shared" si="44"/>
        <v>479.00000000000006</v>
      </c>
      <c r="L57" s="146">
        <f t="shared" si="44"/>
        <v>479.3</v>
      </c>
      <c r="M57" s="122">
        <f t="shared" si="44"/>
        <v>3622.4</v>
      </c>
      <c r="N57" s="299">
        <f t="shared" si="44"/>
        <v>528.20000000000005</v>
      </c>
      <c r="O57" s="146">
        <f t="shared" si="44"/>
        <v>529.79999999999995</v>
      </c>
      <c r="P57" s="146">
        <f t="shared" si="44"/>
        <v>530.20000000000005</v>
      </c>
      <c r="Q57" s="146">
        <f t="shared" si="44"/>
        <v>530.79999999999995</v>
      </c>
      <c r="R57" s="122">
        <f t="shared" si="44"/>
        <v>2119</v>
      </c>
      <c r="S57" s="299">
        <f t="shared" si="44"/>
        <v>4096.8999999999996</v>
      </c>
      <c r="T57" s="146">
        <f t="shared" si="44"/>
        <v>1039.8</v>
      </c>
      <c r="U57" s="146">
        <f t="shared" si="44"/>
        <v>577.39999999999986</v>
      </c>
      <c r="V57" s="146">
        <f t="shared" si="44"/>
        <v>562.20000000000027</v>
      </c>
      <c r="W57" s="122">
        <f>-W34-W33</f>
        <v>6276.3</v>
      </c>
      <c r="X57" s="299">
        <f t="shared" si="44"/>
        <v>799.69999999999993</v>
      </c>
      <c r="Y57" s="299">
        <f t="shared" si="44"/>
        <v>709.39241000000004</v>
      </c>
      <c r="Z57" s="299">
        <f t="shared" si="44"/>
        <v>710.08119482000006</v>
      </c>
      <c r="AA57" s="299">
        <f t="shared" si="44"/>
        <v>741.30992507012218</v>
      </c>
      <c r="AB57" s="166">
        <f t="shared" si="44"/>
        <v>2960.4835298901226</v>
      </c>
      <c r="AC57" s="299">
        <f t="shared" si="44"/>
        <v>708.70500000000004</v>
      </c>
      <c r="AD57" s="146">
        <f t="shared" si="44"/>
        <v>709.39241000000004</v>
      </c>
      <c r="AE57" s="146">
        <f t="shared" si="44"/>
        <v>710.08119482000006</v>
      </c>
      <c r="AF57" s="146">
        <f t="shared" si="44"/>
        <v>741.30992507012218</v>
      </c>
      <c r="AG57" s="166">
        <f t="shared" si="44"/>
        <v>2869.4885298901222</v>
      </c>
      <c r="AH57" s="299">
        <f t="shared" si="44"/>
        <v>742.09871775976865</v>
      </c>
      <c r="AI57" s="146">
        <f t="shared" si="44"/>
        <v>742.88908803479444</v>
      </c>
      <c r="AJ57" s="146">
        <f t="shared" si="44"/>
        <v>6085.6810390503706</v>
      </c>
      <c r="AK57" s="146">
        <f>-AK34-AK33</f>
        <v>6118.6983026663756</v>
      </c>
      <c r="AL57" s="122">
        <f t="shared" si="44"/>
        <v>13689.36714751131</v>
      </c>
      <c r="AM57" s="299">
        <f t="shared" si="44"/>
        <v>927.55787211121503</v>
      </c>
      <c r="AN57" s="146">
        <f t="shared" si="44"/>
        <v>928.41916069494368</v>
      </c>
      <c r="AO57" s="146">
        <f t="shared" si="44"/>
        <v>902.90192494225948</v>
      </c>
      <c r="AP57" s="146">
        <f t="shared" si="44"/>
        <v>908.70033745397336</v>
      </c>
      <c r="AQ57" s="122">
        <f t="shared" si="44"/>
        <v>3667.5792952023912</v>
      </c>
      <c r="AR57" s="299">
        <f t="shared" si="44"/>
        <v>908.773957034354</v>
      </c>
      <c r="AS57" s="146">
        <f t="shared" si="44"/>
        <v>908.84772385389545</v>
      </c>
      <c r="AT57" s="146">
        <f t="shared" si="44"/>
        <v>908.92163820707583</v>
      </c>
      <c r="AU57" s="146">
        <f t="shared" si="44"/>
        <v>922.17561439674182</v>
      </c>
      <c r="AV57" s="122">
        <f t="shared" si="44"/>
        <v>3648.7189334920672</v>
      </c>
    </row>
    <row r="58" spans="2:48" outlineLevel="1" x14ac:dyDescent="0.3">
      <c r="B58" s="203" t="s">
        <v>313</v>
      </c>
      <c r="C58" s="364"/>
      <c r="D58" s="365"/>
      <c r="E58" s="365"/>
      <c r="F58" s="366"/>
      <c r="G58" s="366"/>
      <c r="H58" s="367"/>
      <c r="I58" s="365"/>
      <c r="J58" s="366"/>
      <c r="K58" s="366"/>
      <c r="L58" s="366"/>
      <c r="M58" s="367"/>
      <c r="N58" s="365"/>
      <c r="O58" s="366"/>
      <c r="P58" s="366"/>
      <c r="Q58" s="366"/>
      <c r="R58" s="367"/>
      <c r="S58" s="365"/>
      <c r="T58" s="366"/>
      <c r="U58" s="366"/>
      <c r="V58" s="366"/>
      <c r="W58" s="367"/>
      <c r="X58" s="365">
        <f>X57</f>
        <v>799.69999999999993</v>
      </c>
      <c r="Y58" s="365">
        <f>+Y57+X58</f>
        <v>1509.09241</v>
      </c>
      <c r="Z58" s="365">
        <f t="shared" ref="Z58:AA58" si="45">+Z57+Y58</f>
        <v>2219.17360482</v>
      </c>
      <c r="AA58" s="365">
        <f t="shared" si="45"/>
        <v>2960.4835298901221</v>
      </c>
      <c r="AB58" s="368">
        <f>AA58</f>
        <v>2960.4835298901221</v>
      </c>
      <c r="AC58" s="365">
        <f>AA58+AC57</f>
        <v>3669.188529890122</v>
      </c>
      <c r="AD58" s="365">
        <f>AC58+AD57</f>
        <v>4378.580939890122</v>
      </c>
      <c r="AE58" s="365">
        <f t="shared" ref="AE58:AF58" si="46">AD58+AE57</f>
        <v>5088.6621347101218</v>
      </c>
      <c r="AF58" s="365">
        <f t="shared" si="46"/>
        <v>5829.9720597802443</v>
      </c>
      <c r="AG58" s="368">
        <f>+AF58</f>
        <v>5829.9720597802443</v>
      </c>
      <c r="AH58" s="365">
        <f>AF58+AH57</f>
        <v>6572.0707775400133</v>
      </c>
      <c r="AI58" s="365">
        <f>AH58+AI57</f>
        <v>7314.9598655748077</v>
      </c>
      <c r="AJ58" s="365">
        <f t="shared" ref="AJ58" si="47">AI58+AJ57</f>
        <v>13400.640904625179</v>
      </c>
      <c r="AK58" s="365">
        <f>AJ58+AK57</f>
        <v>19519.339207291556</v>
      </c>
      <c r="AL58" s="394">
        <f>+AK58</f>
        <v>19519.339207291556</v>
      </c>
      <c r="AM58" s="365"/>
      <c r="AN58" s="366"/>
      <c r="AO58" s="366"/>
      <c r="AP58" s="366"/>
      <c r="AQ58" s="367"/>
      <c r="AR58" s="365"/>
      <c r="AS58" s="366"/>
      <c r="AT58" s="366"/>
      <c r="AU58" s="366"/>
      <c r="AV58" s="367"/>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('IS (F1Q23)'!AL34/'IS (F1Q23)'!W34)^(1/3)-1</f>
        <v>0.16661416863394818</v>
      </c>
    </row>
    <row r="60" spans="2:48" x14ac:dyDescent="0.3">
      <c r="B60" s="308" t="s">
        <v>330</v>
      </c>
      <c r="D60" s="399"/>
      <c r="E60" s="399"/>
      <c r="I60" s="399"/>
      <c r="J60" s="399"/>
      <c r="N60" s="399"/>
      <c r="O60" s="399"/>
      <c r="S60" s="399"/>
      <c r="T60" s="399"/>
      <c r="X60" s="399"/>
      <c r="Y60" s="399"/>
      <c r="AC60" s="399"/>
      <c r="AD60" s="399"/>
      <c r="AH60" s="399"/>
      <c r="AI60" s="399"/>
      <c r="AL60" s="29">
        <v>0.15605099759847008</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AL59-AL60</f>
        <v>1.0563171035478103E-2</v>
      </c>
      <c r="AM61" s="427"/>
    </row>
    <row r="62" spans="2:48" s="23" customFormat="1" x14ac:dyDescent="0.3">
      <c r="B62" s="395" t="s">
        <v>442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(0.15+1)^3*2.95</f>
        <v>4.4865812499999986</v>
      </c>
      <c r="AM62" s="408"/>
      <c r="AN62" s="48"/>
      <c r="AO62" s="309"/>
      <c r="AP62" s="309"/>
      <c r="AQ62" s="309"/>
      <c r="AR62" s="48"/>
      <c r="AS62" s="48"/>
      <c r="AT62" s="309"/>
      <c r="AU62" s="309"/>
      <c r="AV62" s="309"/>
    </row>
    <row r="63" spans="2:48" s="23" customFormat="1" x14ac:dyDescent="0.3">
      <c r="B63" s="311" t="s">
        <v>443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(0.2+1)^3*2.95</f>
        <v>5.0975999999999999</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552">
        <f>(('IS (F1Q23)'!AK57+'IS (F1Q23)'!AK90)/('IS (F1Q23)'!V57+'IS (F1Q23)'!V90))^(1/3)-1</f>
        <v>6.9498278621522802E-2</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553">
        <f>('IS (F1Q23)'!AL8/'IS (F1Q23)'!W8)^(1/3)-1</f>
        <v>0.11040644045743875</v>
      </c>
      <c r="AM65" s="48"/>
      <c r="AN65" s="48"/>
      <c r="AO65" s="309"/>
      <c r="AP65" s="309"/>
      <c r="AQ65" s="309"/>
      <c r="AR65" s="48"/>
      <c r="AS65" s="48"/>
      <c r="AT65" s="309"/>
      <c r="AU65" s="309"/>
      <c r="AV65" s="309"/>
    </row>
    <row r="66" spans="2:48" x14ac:dyDescent="0.3">
      <c r="B66" s="395" t="s">
        <v>444</v>
      </c>
      <c r="C66" s="409"/>
      <c r="D66" s="410"/>
      <c r="E66" s="410"/>
      <c r="F66" s="411"/>
      <c r="G66" s="411"/>
      <c r="H66" s="411"/>
      <c r="I66" s="410"/>
      <c r="J66" s="410"/>
      <c r="K66" s="411"/>
      <c r="L66" s="411"/>
      <c r="M66" s="411"/>
      <c r="N66" s="410"/>
      <c r="O66" s="410"/>
      <c r="P66" s="411"/>
      <c r="Q66" s="411"/>
      <c r="R66" s="411"/>
      <c r="S66" s="410"/>
      <c r="T66" s="410"/>
      <c r="U66" s="411"/>
      <c r="V66" s="411"/>
      <c r="W66" s="411"/>
      <c r="X66" s="410"/>
      <c r="Y66" s="410"/>
      <c r="Z66" s="411"/>
      <c r="AA66" s="411"/>
      <c r="AB66" s="411"/>
      <c r="AC66" s="410"/>
      <c r="AD66" s="410"/>
      <c r="AE66" s="411"/>
      <c r="AF66" s="411"/>
      <c r="AG66" s="411"/>
      <c r="AH66" s="410"/>
      <c r="AI66" s="410"/>
      <c r="AJ66" s="411"/>
      <c r="AK66" s="411"/>
      <c r="AL66" s="554">
        <f>(0.1+1)^3*32250</f>
        <v>42924.750000000015</v>
      </c>
    </row>
    <row r="67" spans="2:48" x14ac:dyDescent="0.3">
      <c r="B67" s="311" t="s">
        <v>445</v>
      </c>
      <c r="C67" s="413"/>
      <c r="D67" s="313"/>
      <c r="E67" s="313"/>
      <c r="F67" s="314"/>
      <c r="G67" s="314"/>
      <c r="H67" s="314"/>
      <c r="I67" s="313"/>
      <c r="J67" s="313"/>
      <c r="K67" s="314"/>
      <c r="L67" s="314"/>
      <c r="M67" s="314"/>
      <c r="N67" s="313"/>
      <c r="O67" s="313"/>
      <c r="P67" s="314"/>
      <c r="Q67" s="314"/>
      <c r="R67" s="314"/>
      <c r="S67" s="313"/>
      <c r="T67" s="313"/>
      <c r="U67" s="314"/>
      <c r="V67" s="314"/>
      <c r="W67" s="314"/>
      <c r="X67" s="313"/>
      <c r="Y67" s="313"/>
      <c r="Z67" s="314"/>
      <c r="AA67" s="314"/>
      <c r="AB67" s="314"/>
      <c r="AC67" s="313"/>
      <c r="AD67" s="313"/>
      <c r="AE67" s="314"/>
      <c r="AF67" s="314"/>
      <c r="AG67" s="314"/>
      <c r="AH67" s="313"/>
      <c r="AI67" s="313"/>
      <c r="AJ67" s="314"/>
      <c r="AK67" s="314"/>
      <c r="AL67" s="555">
        <f>(0.12+1)^3*32250</f>
        <v>45308.928000000014</v>
      </c>
    </row>
  </sheetData>
  <dataConsolidate/>
  <mergeCells count="27">
    <mergeCell ref="B51:C51"/>
    <mergeCell ref="B52:C52"/>
    <mergeCell ref="B55:C55"/>
    <mergeCell ref="B41:C41"/>
    <mergeCell ref="B42:C42"/>
    <mergeCell ref="B44:C44"/>
    <mergeCell ref="B48:C48"/>
    <mergeCell ref="B49:C49"/>
    <mergeCell ref="B50:C50"/>
    <mergeCell ref="B40:C40"/>
    <mergeCell ref="B21:C21"/>
    <mergeCell ref="B22:C22"/>
    <mergeCell ref="B23:C23"/>
    <mergeCell ref="B25:C25"/>
    <mergeCell ref="B26:C26"/>
    <mergeCell ref="B27:C27"/>
    <mergeCell ref="B28:C28"/>
    <mergeCell ref="B29:C29"/>
    <mergeCell ref="B36:C36"/>
    <mergeCell ref="B37:C37"/>
    <mergeCell ref="B39:C39"/>
    <mergeCell ref="B18:C18"/>
    <mergeCell ref="B3:C3"/>
    <mergeCell ref="B5:C5"/>
    <mergeCell ref="B14:C14"/>
    <mergeCell ref="B15:C15"/>
    <mergeCell ref="B17:C17"/>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173C-52DC-43C0-9DE7-86CD8C82289A}">
  <sheetPr>
    <tabColor theme="4" tint="0.79998168889431442"/>
    <pageSetUpPr fitToPage="1"/>
  </sheetPr>
  <dimension ref="B1:AV65"/>
  <sheetViews>
    <sheetView showGridLines="0" zoomScaleNormal="100" workbookViewId="0">
      <pane xSplit="3" ySplit="4" topLeftCell="D5"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583" t="s">
        <v>266</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601" t="s">
        <v>267</v>
      </c>
      <c r="C5" s="602"/>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v>760.40000000000043</v>
      </c>
      <c r="E6" s="101">
        <v>658.59999999999968</v>
      </c>
      <c r="F6" s="16">
        <v>1373.200000000001</v>
      </c>
      <c r="G6" s="16">
        <v>802.400000000001</v>
      </c>
      <c r="H6" s="17">
        <v>3594.6000000000054</v>
      </c>
      <c r="I6" s="16">
        <v>885.29999999999882</v>
      </c>
      <c r="J6" s="16">
        <v>324.79999999999905</v>
      </c>
      <c r="K6" s="16">
        <v>-678.09999999999923</v>
      </c>
      <c r="L6" s="16">
        <f>924.7-K6-J6-I6</f>
        <v>392.70000000000141</v>
      </c>
      <c r="M6" s="17">
        <v>924.70000000000437</v>
      </c>
      <c r="N6" s="16">
        <v>622.20000000000016</v>
      </c>
      <c r="O6" s="16">
        <v>659.4</v>
      </c>
      <c r="P6" s="16">
        <v>1154.1999999999989</v>
      </c>
      <c r="Q6" s="16">
        <v>1764.6</v>
      </c>
      <c r="R6" s="17">
        <v>4200.3999999999978</v>
      </c>
      <c r="S6" s="16">
        <v>816.10000000000014</v>
      </c>
      <c r="T6" s="16">
        <v>675.00000000000011</v>
      </c>
      <c r="U6" s="16">
        <v>913.69999999999959</v>
      </c>
      <c r="V6" s="16">
        <f>'IS 3Q2022'!V25</f>
        <v>766.45200440213353</v>
      </c>
      <c r="W6" s="17">
        <f t="shared" ref="W6:W13" si="0">SUM(S6:V6)</f>
        <v>3171.2520044021339</v>
      </c>
      <c r="X6" s="16">
        <f>'IS 3Q2022'!X25</f>
        <v>806.52584225126407</v>
      </c>
      <c r="Y6" s="16">
        <f>'IS 3Q2022'!Y25</f>
        <v>785.8876141579351</v>
      </c>
      <c r="Z6" s="16">
        <f>'IS 3Q2022'!Z25</f>
        <v>1013.6072362595346</v>
      </c>
      <c r="AA6" s="16">
        <f>'IS 3Q2022'!AA25</f>
        <v>1082.1271452832177</v>
      </c>
      <c r="AB6" s="17">
        <f t="shared" ref="AB6" si="1">SUM(X6:AA6)</f>
        <v>3688.1478379519513</v>
      </c>
      <c r="AC6" s="16">
        <f>'IS 3Q2022'!AC25</f>
        <v>1109.8061631354949</v>
      </c>
      <c r="AD6" s="16">
        <f>'IS 3Q2022'!AD25</f>
        <v>914.13175288605191</v>
      </c>
      <c r="AE6" s="16">
        <f>'IS 3Q2022'!AE25</f>
        <v>1139.971189996266</v>
      </c>
      <c r="AF6" s="16">
        <f>'IS 3Q2022'!AF25</f>
        <v>1125.9513031539486</v>
      </c>
      <c r="AG6" s="17">
        <f t="shared" ref="AG6" si="2">SUM(AC6:AF6)</f>
        <v>4289.8604091717607</v>
      </c>
      <c r="AH6" s="16">
        <f>'IS 3Q2022'!AH25</f>
        <v>1306.9473475341936</v>
      </c>
      <c r="AI6" s="16">
        <f>'IS 3Q2022'!AI25</f>
        <v>1091.0542437185381</v>
      </c>
      <c r="AJ6" s="16">
        <f>'IS 3Q2022'!AJ25</f>
        <v>1400.1543057318988</v>
      </c>
      <c r="AK6" s="16">
        <f>'IS 3Q2022'!AK25</f>
        <v>1306.4431565599975</v>
      </c>
      <c r="AL6" s="17">
        <f t="shared" ref="AL6" si="3">SUM(AH6:AK6)</f>
        <v>5104.5990535446272</v>
      </c>
      <c r="AM6" s="16">
        <f>'IS 3Q2022'!AM25</f>
        <v>1411.5276426853732</v>
      </c>
      <c r="AN6" s="16">
        <f>'IS 3Q2022'!AN25</f>
        <v>1165.8410324944425</v>
      </c>
      <c r="AO6" s="16">
        <f>'IS 3Q2022'!AO25</f>
        <v>1487.670510723279</v>
      </c>
      <c r="AP6" s="16">
        <f>'IS 3Q2022'!AP25</f>
        <v>1416.6710162256986</v>
      </c>
      <c r="AQ6" s="17">
        <f t="shared" ref="AQ6" si="4">SUM(AM6:AP6)</f>
        <v>5481.7102021287938</v>
      </c>
      <c r="AR6" s="16">
        <f>'IS 3Q2022'!AR25</f>
        <v>1517.1922125879778</v>
      </c>
      <c r="AS6" s="16">
        <f>'IS 3Q2022'!AS25</f>
        <v>1256.1998078812735</v>
      </c>
      <c r="AT6" s="16">
        <f>'IS 3Q2022'!AT25</f>
        <v>1597.6355770318992</v>
      </c>
      <c r="AU6" s="16">
        <f>'IS 3Q2022'!AU25</f>
        <v>1524.8997218286436</v>
      </c>
      <c r="AV6" s="17">
        <f t="shared" ref="AV6" si="5">SUM(AR6:AU6)</f>
        <v>5895.927319329794</v>
      </c>
    </row>
    <row r="7" spans="2:48" outlineLevel="1" x14ac:dyDescent="0.3">
      <c r="B7" s="308" t="s">
        <v>269</v>
      </c>
      <c r="C7" s="44"/>
      <c r="D7" s="16">
        <v>350.8</v>
      </c>
      <c r="E7" s="16">
        <f>723.5-D7</f>
        <v>372.7</v>
      </c>
      <c r="F7" s="16">
        <f>1083.6-E7-D7</f>
        <v>360.09999999999985</v>
      </c>
      <c r="G7" s="16">
        <f>1449.3-F7-E7-D7</f>
        <v>365.7</v>
      </c>
      <c r="H7" s="17">
        <f t="shared" ref="H7:H13" si="6">SUM(D7:G7)</f>
        <v>1449.3</v>
      </c>
      <c r="I7" s="16">
        <v>369.2</v>
      </c>
      <c r="J7" s="16">
        <f>746.9-I7</f>
        <v>377.7</v>
      </c>
      <c r="K7" s="16">
        <f>1124-J7-I7</f>
        <v>377.09999999999997</v>
      </c>
      <c r="L7" s="16">
        <f>1503.2-K7-J7-I7</f>
        <v>379.2000000000001</v>
      </c>
      <c r="M7" s="17">
        <f t="shared" ref="M7:M13" si="7">SUM(I7:L7)</f>
        <v>1503.2</v>
      </c>
      <c r="N7" s="16">
        <v>388.4</v>
      </c>
      <c r="O7" s="16">
        <f>772.9-N7</f>
        <v>384.5</v>
      </c>
      <c r="P7" s="16">
        <f>1146.2-O7-N7</f>
        <v>373.30000000000007</v>
      </c>
      <c r="Q7" s="16">
        <f>1524.1-P7-O7-N7</f>
        <v>377.89999999999975</v>
      </c>
      <c r="R7" s="17">
        <f t="shared" ref="R7:R13" si="8">SUM(N7:Q7)</f>
        <v>1524.1</v>
      </c>
      <c r="S7" s="16">
        <v>386.4</v>
      </c>
      <c r="T7" s="16">
        <f>777.7-S7</f>
        <v>391.30000000000007</v>
      </c>
      <c r="U7" s="16">
        <f>1169-T7-S7</f>
        <v>391.29999999999995</v>
      </c>
      <c r="V7" s="16">
        <f>('BS 3Q2022'!U14*'BS 3Q2022'!V56)</f>
        <v>388.60223486519351</v>
      </c>
      <c r="W7" s="17">
        <f t="shared" si="0"/>
        <v>1557.6022348651936</v>
      </c>
      <c r="X7" s="16">
        <f>('BS 3Q2022'!W14*'BS 3Q2022'!X56)</f>
        <v>395.05484417418882</v>
      </c>
      <c r="Y7" s="16">
        <f>('BS 3Q2022'!X14*'BS 3Q2022'!Y56)</f>
        <v>411.97358561619359</v>
      </c>
      <c r="Z7" s="16">
        <f>('BS 3Q2022'!Y14*'BS 3Q2022'!Z56)</f>
        <v>426.0942333748124</v>
      </c>
      <c r="AA7" s="16">
        <f>('BS 3Q2022'!Z14*'BS 3Q2022'!AA56)</f>
        <v>443.12162482405927</v>
      </c>
      <c r="AB7" s="17">
        <f t="shared" ref="AB7:AB13" si="9">SUM(X7:AA7)</f>
        <v>1676.2442879892542</v>
      </c>
      <c r="AC7" s="16">
        <f>('BS 3Q2022'!AB14*'BS 3Q2022'!AC56)</f>
        <v>460.36469566335944</v>
      </c>
      <c r="AD7" s="16">
        <f>('BS 3Q2022'!AC14*'BS 3Q2022'!AD56)</f>
        <v>473.72843212383037</v>
      </c>
      <c r="AE7" s="16">
        <f>('BS 3Q2022'!AD14*'BS 3Q2022'!AE56)</f>
        <v>483.94719089268239</v>
      </c>
      <c r="AF7" s="16">
        <f>('BS 3Q2022'!AE14*'BS 3Q2022'!AF56)</f>
        <v>497.3308997633788</v>
      </c>
      <c r="AG7" s="17">
        <f t="shared" ref="AG7:AG13" si="10">SUM(AC7:AF7)</f>
        <v>1915.3712184432509</v>
      </c>
      <c r="AH7" s="16">
        <f>('BS 3Q2022'!AG14*'BS 3Q2022'!AH56)</f>
        <v>511.04432742042661</v>
      </c>
      <c r="AI7" s="16">
        <f>('BS 3Q2022'!AH14*'BS 3Q2022'!AI56)</f>
        <v>521.28508540048176</v>
      </c>
      <c r="AJ7" s="16">
        <f>('BS 3Q2022'!AI14*'BS 3Q2022'!AJ56)</f>
        <v>528.61395315514869</v>
      </c>
      <c r="AK7" s="16">
        <f>('BS 3Q2022'!AJ14*'BS 3Q2022'!AK56)</f>
        <v>539.27985303808055</v>
      </c>
      <c r="AL7" s="17">
        <f t="shared" ref="AL7:AL13" si="11">SUM(AH7:AK7)</f>
        <v>2100.2232190141376</v>
      </c>
      <c r="AM7" s="16">
        <f>('BS 3Q2022'!AL14*'BS 3Q2022'!AM56)</f>
        <v>550.49689671777037</v>
      </c>
      <c r="AN7" s="16">
        <f>('BS 3Q2022'!AM14*'BS 3Q2022'!AN56)</f>
        <v>562.47346275039888</v>
      </c>
      <c r="AO7" s="16">
        <f>('BS 3Q2022'!AN14*'BS 3Q2022'!AO56)</f>
        <v>570.9960580289752</v>
      </c>
      <c r="AP7" s="16">
        <f>('BS 3Q2022'!AO14*'BS 3Q2022'!AP56)</f>
        <v>582.95989381806976</v>
      </c>
      <c r="AQ7" s="17">
        <f t="shared" ref="AQ7:AQ13" si="12">SUM(AM7:AP7)</f>
        <v>2266.9263113152142</v>
      </c>
      <c r="AR7" s="16">
        <f>('BS 3Q2022'!AQ14*'BS 3Q2022'!AR56)</f>
        <v>595.35679349257009</v>
      </c>
      <c r="AS7" s="16">
        <f>('BS 3Q2022'!AR14*'BS 3Q2022'!AS56)</f>
        <v>607.56363343668158</v>
      </c>
      <c r="AT7" s="16">
        <f>('BS 3Q2022'!AS14*'BS 3Q2022'!AT56)</f>
        <v>616.09275353103158</v>
      </c>
      <c r="AU7" s="16">
        <f>('BS 3Q2022'!AT14*'BS 3Q2022'!AU56)</f>
        <v>628.30472439664527</v>
      </c>
      <c r="AV7" s="17">
        <f t="shared" ref="AV7:AV13" si="13">SUM(AR7:AU7)</f>
        <v>2447.3179048569286</v>
      </c>
    </row>
    <row r="8" spans="2:48" outlineLevel="1" x14ac:dyDescent="0.3">
      <c r="B8" s="308" t="s">
        <v>222</v>
      </c>
      <c r="C8" s="44"/>
      <c r="D8" s="16">
        <v>-354.6</v>
      </c>
      <c r="E8" s="16">
        <f>-714.5-D8</f>
        <v>-359.9</v>
      </c>
      <c r="F8" s="16">
        <f>-1243.5-E8-D8</f>
        <v>-529</v>
      </c>
      <c r="G8" s="101">
        <f>-1495.4-F8-E8-D8</f>
        <v>-251.90000000000009</v>
      </c>
      <c r="H8" s="17">
        <f t="shared" si="6"/>
        <v>-1495.4</v>
      </c>
      <c r="I8" s="16">
        <v>10.4</v>
      </c>
      <c r="J8" s="16">
        <f>47.7-I8</f>
        <v>37.300000000000004</v>
      </c>
      <c r="K8" s="16">
        <f>20-J8-I8</f>
        <v>-27.700000000000003</v>
      </c>
      <c r="L8" s="101">
        <f>-25.8-K8-J8-I8</f>
        <v>-45.800000000000004</v>
      </c>
      <c r="M8" s="17">
        <f t="shared" si="7"/>
        <v>-25.800000000000004</v>
      </c>
      <c r="N8" s="16">
        <v>-6.1</v>
      </c>
      <c r="O8" s="16">
        <f>-25.2-N8</f>
        <v>-19.100000000000001</v>
      </c>
      <c r="P8" s="16">
        <f>-113.2-O8-N8</f>
        <v>-88</v>
      </c>
      <c r="Q8" s="101">
        <f>-146.2-P8-O8-N8</f>
        <v>-32.999999999999986</v>
      </c>
      <c r="R8" s="17">
        <f t="shared" si="8"/>
        <v>-146.19999999999999</v>
      </c>
      <c r="S8" s="16">
        <v>-0.3</v>
      </c>
      <c r="T8" s="16">
        <f>28.4-S8</f>
        <v>28.7</v>
      </c>
      <c r="U8" s="16">
        <f>35-T8-S8</f>
        <v>6.6000000000000005</v>
      </c>
      <c r="V8" s="16">
        <f>-('BS 3Q2022'!V16-'BS 3Q2022'!U16)</f>
        <v>-29.061088555148217</v>
      </c>
      <c r="W8" s="17">
        <f t="shared" si="0"/>
        <v>5.938911444851783</v>
      </c>
      <c r="X8" s="16">
        <f>-('BS 3Q2022'!X16-'BS 3Q2022'!V16)</f>
        <v>-85.468710659521548</v>
      </c>
      <c r="Y8" s="16">
        <f>-('BS 3Q2022'!Y16-'BS 3Q2022'!X16)</f>
        <v>76.615352043510484</v>
      </c>
      <c r="Z8" s="16">
        <f>-('BS 3Q2022'!Z16-'BS 3Q2022'!Y16)</f>
        <v>13.444085279574892</v>
      </c>
      <c r="AA8" s="16">
        <f>-('BS 3Q2022'!AA16-'BS 3Q2022'!Z16)</f>
        <v>5.796871076917796</v>
      </c>
      <c r="AB8" s="17">
        <f t="shared" si="9"/>
        <v>10.387597740481624</v>
      </c>
      <c r="AC8" s="16">
        <f>-('BS 3Q2022'!AC16-'BS 3Q2022'!AA16)</f>
        <v>-111.80204784423381</v>
      </c>
      <c r="AD8" s="16">
        <f>-('BS 3Q2022'!AD16-'BS 3Q2022'!AC16)</f>
        <v>85.475538825547574</v>
      </c>
      <c r="AE8" s="16">
        <f>-('BS 3Q2022'!AE16-'BS 3Q2022'!AD16)</f>
        <v>11.265955380932837</v>
      </c>
      <c r="AF8" s="16">
        <f>-('BS 3Q2022'!AF16-'BS 3Q2022'!AE16)</f>
        <v>10.591829976826375</v>
      </c>
      <c r="AG8" s="17">
        <f t="shared" si="10"/>
        <v>-4.4687236609270258</v>
      </c>
      <c r="AH8" s="16">
        <f>-('BS 3Q2022'!AH16-'BS 3Q2022'!AF16)</f>
        <v>-125.05453091257664</v>
      </c>
      <c r="AI8" s="16">
        <f>-('BS 3Q2022'!AI16-'BS 3Q2022'!AH16)</f>
        <v>92.478070341651119</v>
      </c>
      <c r="AJ8" s="16">
        <f>-('BS 3Q2022'!AJ16-'BS 3Q2022'!AI16)</f>
        <v>11.449695696046547</v>
      </c>
      <c r="AK8" s="16">
        <f>-('BS 3Q2022'!AK16-'BS 3Q2022'!AJ16)</f>
        <v>11.354166666982792</v>
      </c>
      <c r="AL8" s="17">
        <f t="shared" si="11"/>
        <v>-9.7725982078961806</v>
      </c>
      <c r="AM8" s="16">
        <f>-('BS 3Q2022'!AM16-'BS 3Q2022'!AK16)</f>
        <v>-136.67318679588493</v>
      </c>
      <c r="AN8" s="16">
        <f>-('BS 3Q2022'!AN16-'BS 3Q2022'!AM16)</f>
        <v>99.616436467583071</v>
      </c>
      <c r="AO8" s="16">
        <f>-('BS 3Q2022'!AO16-'BS 3Q2022'!AN16)</f>
        <v>11.747778753396688</v>
      </c>
      <c r="AP8" s="16">
        <f>-('BS 3Q2022'!AP16-'BS 3Q2022'!AO16)</f>
        <v>11.668837291818136</v>
      </c>
      <c r="AQ8" s="17">
        <f t="shared" si="12"/>
        <v>-13.640134283087036</v>
      </c>
      <c r="AR8" s="16">
        <f>-('BS 3Q2022'!AR16-'BS 3Q2022'!AP16)</f>
        <v>-148.77707258237524</v>
      </c>
      <c r="AS8" s="16">
        <f>-('BS 3Q2022'!AS16-'BS 3Q2022'!AR16)</f>
        <v>107.25035350842995</v>
      </c>
      <c r="AT8" s="16">
        <f>-('BS 3Q2022'!AT16-'BS 3Q2022'!AS16)</f>
        <v>12.062876678310658</v>
      </c>
      <c r="AU8" s="16">
        <f>-('BS 3Q2022'!AU16-'BS 3Q2022'!AT16)</f>
        <v>11.975353561145312</v>
      </c>
      <c r="AV8" s="17">
        <f t="shared" si="13"/>
        <v>-17.488488834489317</v>
      </c>
    </row>
    <row r="9" spans="2:48" outlineLevel="1" x14ac:dyDescent="0.3">
      <c r="B9" s="308" t="s">
        <v>270</v>
      </c>
      <c r="C9" s="44"/>
      <c r="D9" s="16">
        <v>-55</v>
      </c>
      <c r="E9" s="16">
        <f>-108.2-D9</f>
        <v>-53.2</v>
      </c>
      <c r="F9" s="16">
        <f>-174.1-E9-D9</f>
        <v>-65.899999999999991</v>
      </c>
      <c r="G9" s="101">
        <f>-250.6-F9-E9-D9</f>
        <v>-76.5</v>
      </c>
      <c r="H9" s="17">
        <f t="shared" si="6"/>
        <v>-250.6</v>
      </c>
      <c r="I9" s="16">
        <v>-62.9</v>
      </c>
      <c r="J9" s="16">
        <f>-116.3-I9</f>
        <v>-53.4</v>
      </c>
      <c r="K9" s="16">
        <f>-182.3-J9-I9</f>
        <v>-66</v>
      </c>
      <c r="L9" s="101">
        <f>-280.7-K9-J9-I9</f>
        <v>-98.399999999999977</v>
      </c>
      <c r="M9" s="17">
        <f t="shared" si="7"/>
        <v>-280.7</v>
      </c>
      <c r="N9" s="16">
        <v>-69</v>
      </c>
      <c r="O9" s="16">
        <f>-131.3-N9</f>
        <v>-62.300000000000011</v>
      </c>
      <c r="P9" s="16">
        <f>-238.3-O9-N9</f>
        <v>-107</v>
      </c>
      <c r="Q9" s="101">
        <f>-347.3-P9-O9-N9</f>
        <v>-109</v>
      </c>
      <c r="R9" s="17">
        <f t="shared" si="8"/>
        <v>-347.3</v>
      </c>
      <c r="S9" s="16">
        <v>-46.6</v>
      </c>
      <c r="T9" s="16">
        <f>-118.7-S9</f>
        <v>-72.099999999999994</v>
      </c>
      <c r="U9" s="16">
        <f>-175-T9-S9</f>
        <v>-56.300000000000004</v>
      </c>
      <c r="V9" s="16">
        <f>-'IS 3Q2022'!V16</f>
        <v>-54.1</v>
      </c>
      <c r="W9" s="17">
        <f t="shared" si="0"/>
        <v>-229.1</v>
      </c>
      <c r="X9" s="16">
        <f>-'IS 3Q2022'!X16</f>
        <v>-54.1</v>
      </c>
      <c r="Y9" s="16">
        <f>-'IS 3Q2022'!Y16</f>
        <v>-54.2</v>
      </c>
      <c r="Z9" s="16">
        <f>-'IS 3Q2022'!Z16</f>
        <v>-54.300000000000004</v>
      </c>
      <c r="AA9" s="16">
        <f>-'IS 3Q2022'!AA16</f>
        <v>-54.400000000000006</v>
      </c>
      <c r="AB9" s="17">
        <f t="shared" si="9"/>
        <v>-217.00000000000003</v>
      </c>
      <c r="AC9" s="16">
        <f>-'IS 3Q2022'!AC16</f>
        <v>-54.7</v>
      </c>
      <c r="AD9" s="16">
        <f>-'IS 3Q2022'!AD16</f>
        <v>-54.7</v>
      </c>
      <c r="AE9" s="16">
        <f>-'IS 3Q2022'!AE16</f>
        <v>-54.7</v>
      </c>
      <c r="AF9" s="16">
        <f>-'IS 3Q2022'!AF16</f>
        <v>-54.7</v>
      </c>
      <c r="AG9" s="17">
        <f t="shared" si="10"/>
        <v>-218.8</v>
      </c>
      <c r="AH9" s="16">
        <f>-'IS 3Q2022'!AH16</f>
        <v>-54.7</v>
      </c>
      <c r="AI9" s="16">
        <f>-'IS 3Q2022'!AI16</f>
        <v>-54.7</v>
      </c>
      <c r="AJ9" s="16">
        <f>-'IS 3Q2022'!AJ16</f>
        <v>-54.7</v>
      </c>
      <c r="AK9" s="16">
        <f>-'IS 3Q2022'!AK16</f>
        <v>-54.7</v>
      </c>
      <c r="AL9" s="17">
        <f t="shared" si="11"/>
        <v>-218.8</v>
      </c>
      <c r="AM9" s="16">
        <f>-'IS 3Q2022'!AM16</f>
        <v>-54.7</v>
      </c>
      <c r="AN9" s="16">
        <f>-'IS 3Q2022'!AN16</f>
        <v>-54.7</v>
      </c>
      <c r="AO9" s="16">
        <f>-'IS 3Q2022'!AO16</f>
        <v>-54.7</v>
      </c>
      <c r="AP9" s="16">
        <f>-'IS 3Q2022'!AP16</f>
        <v>-54.7</v>
      </c>
      <c r="AQ9" s="17">
        <f t="shared" si="12"/>
        <v>-218.8</v>
      </c>
      <c r="AR9" s="16">
        <f>-'IS 3Q2022'!AR16</f>
        <v>-54.7</v>
      </c>
      <c r="AS9" s="16">
        <f>-'IS 3Q2022'!AS16</f>
        <v>-54.7</v>
      </c>
      <c r="AT9" s="16">
        <f>-'IS 3Q2022'!AT16</f>
        <v>-54.7</v>
      </c>
      <c r="AU9" s="16">
        <f>-'IS 3Q2022'!AU16</f>
        <v>-54.7</v>
      </c>
      <c r="AV9" s="17">
        <f t="shared" si="13"/>
        <v>-218.8</v>
      </c>
    </row>
    <row r="10" spans="2:48" outlineLevel="1" x14ac:dyDescent="0.3">
      <c r="B10" s="308" t="s">
        <v>271</v>
      </c>
      <c r="C10" s="44"/>
      <c r="D10" s="16">
        <v>63.7</v>
      </c>
      <c r="E10" s="16">
        <f>93.3-D10</f>
        <v>29.599999999999994</v>
      </c>
      <c r="F10" s="16">
        <f>163.7-E10-D10</f>
        <v>70.399999999999991</v>
      </c>
      <c r="G10" s="101">
        <f>216.8-F10-E10-D10</f>
        <v>53.100000000000037</v>
      </c>
      <c r="H10" s="17">
        <f t="shared" si="6"/>
        <v>216.8</v>
      </c>
      <c r="I10" s="16">
        <v>64.3</v>
      </c>
      <c r="J10" s="16">
        <f>98.1-I10</f>
        <v>33.799999999999997</v>
      </c>
      <c r="K10" s="16">
        <f>165.6-J10-I10</f>
        <v>67.500000000000014</v>
      </c>
      <c r="L10" s="101">
        <f>227.7-K10-J10-I10</f>
        <v>62.099999999999994</v>
      </c>
      <c r="M10" s="17">
        <f t="shared" si="7"/>
        <v>227.70000000000002</v>
      </c>
      <c r="N10" s="16">
        <v>77.2</v>
      </c>
      <c r="O10" s="16">
        <f>130.2-N10</f>
        <v>52.999999999999986</v>
      </c>
      <c r="P10" s="16">
        <f>226.7-O10-N10</f>
        <v>96.499999999999986</v>
      </c>
      <c r="Q10" s="101">
        <f>336-P10-O10-N10</f>
        <v>109.3</v>
      </c>
      <c r="R10" s="17">
        <f t="shared" si="8"/>
        <v>336</v>
      </c>
      <c r="S10" s="16">
        <v>44.9</v>
      </c>
      <c r="T10" s="16">
        <f>100.8-S10</f>
        <v>55.9</v>
      </c>
      <c r="U10" s="16">
        <f>145.9-T10-S10</f>
        <v>45.1</v>
      </c>
      <c r="V10" s="16">
        <f>-V54*V9</f>
        <v>54.1</v>
      </c>
      <c r="W10" s="17">
        <f t="shared" si="0"/>
        <v>200</v>
      </c>
      <c r="X10" s="16">
        <f>-X54*X9</f>
        <v>54.1</v>
      </c>
      <c r="Y10" s="16">
        <f>-Y54*Y9</f>
        <v>54.2</v>
      </c>
      <c r="Z10" s="16">
        <f>-Z54*Z9</f>
        <v>54.300000000000004</v>
      </c>
      <c r="AA10" s="16">
        <f>-AA54*AA9</f>
        <v>54.400000000000006</v>
      </c>
      <c r="AB10" s="17">
        <f t="shared" si="9"/>
        <v>217.00000000000003</v>
      </c>
      <c r="AC10" s="16">
        <f>-AC54*AC9</f>
        <v>54.7</v>
      </c>
      <c r="AD10" s="16">
        <f>-AD54*AD9</f>
        <v>54.7</v>
      </c>
      <c r="AE10" s="16">
        <f>-AE54*AE9</f>
        <v>54.7</v>
      </c>
      <c r="AF10" s="16">
        <f>-AF54*AF9</f>
        <v>54.7</v>
      </c>
      <c r="AG10" s="17">
        <f t="shared" si="10"/>
        <v>218.8</v>
      </c>
      <c r="AH10" s="16">
        <f>-AH54*AH9</f>
        <v>54.7</v>
      </c>
      <c r="AI10" s="16">
        <f>-AI54*AI9</f>
        <v>54.7</v>
      </c>
      <c r="AJ10" s="16">
        <f>-AJ54*AJ9</f>
        <v>54.7</v>
      </c>
      <c r="AK10" s="16">
        <f>-AK54*AK9</f>
        <v>54.7</v>
      </c>
      <c r="AL10" s="17">
        <f t="shared" si="11"/>
        <v>218.8</v>
      </c>
      <c r="AM10" s="16">
        <f>-AM54*AM9</f>
        <v>54.7</v>
      </c>
      <c r="AN10" s="16">
        <f>-AN54*AN9</f>
        <v>54.7</v>
      </c>
      <c r="AO10" s="16">
        <f>-AO54*AO9</f>
        <v>54.7</v>
      </c>
      <c r="AP10" s="16">
        <f>-AP54*AP9</f>
        <v>54.7</v>
      </c>
      <c r="AQ10" s="17">
        <f t="shared" si="12"/>
        <v>218.8</v>
      </c>
      <c r="AR10" s="16">
        <f>-AR54*AR9</f>
        <v>54.7</v>
      </c>
      <c r="AS10" s="16">
        <f>-AS54*AS9</f>
        <v>54.7</v>
      </c>
      <c r="AT10" s="16">
        <f>-AT54*AT9</f>
        <v>54.7</v>
      </c>
      <c r="AU10" s="16">
        <f>-AU54*AU9</f>
        <v>54.7</v>
      </c>
      <c r="AV10" s="17">
        <f t="shared" si="13"/>
        <v>218.8</v>
      </c>
    </row>
    <row r="11" spans="2:48" outlineLevel="1" x14ac:dyDescent="0.3">
      <c r="B11" s="308" t="s">
        <v>272</v>
      </c>
      <c r="C11" s="44"/>
      <c r="D11" s="16">
        <v>0</v>
      </c>
      <c r="E11" s="16">
        <f>-21-D11</f>
        <v>-21</v>
      </c>
      <c r="F11" s="16">
        <f>-622.8-E11-D11</f>
        <v>-601.79999999999995</v>
      </c>
      <c r="G11" s="101">
        <f>-622.8-F11-E11-D11</f>
        <v>0</v>
      </c>
      <c r="H11" s="17">
        <f t="shared" si="6"/>
        <v>-622.79999999999995</v>
      </c>
      <c r="I11" s="16">
        <v>0</v>
      </c>
      <c r="J11" s="16">
        <f>0-I11</f>
        <v>0</v>
      </c>
      <c r="K11" s="16">
        <f>0-J11-I11</f>
        <v>0</v>
      </c>
      <c r="L11" s="101">
        <f>0-K11-J11-I11</f>
        <v>0</v>
      </c>
      <c r="M11" s="17">
        <f t="shared" si="7"/>
        <v>0</v>
      </c>
      <c r="N11" s="16">
        <v>0</v>
      </c>
      <c r="O11" s="16">
        <f>0-N11</f>
        <v>0</v>
      </c>
      <c r="P11" s="16">
        <f>0-O11-N11</f>
        <v>0</v>
      </c>
      <c r="Q11" s="101">
        <f>-864.5-P11-O11-N11</f>
        <v>-864.5</v>
      </c>
      <c r="R11" s="17">
        <f t="shared" si="8"/>
        <v>-864.5</v>
      </c>
      <c r="S11" s="16">
        <v>0</v>
      </c>
      <c r="T11" s="16">
        <f>0-S11</f>
        <v>0</v>
      </c>
      <c r="U11" s="16">
        <f t="shared" ref="U11" si="14">0-T11-S11</f>
        <v>0</v>
      </c>
      <c r="V11" s="16">
        <v>0</v>
      </c>
      <c r="W11" s="17">
        <f t="shared" si="0"/>
        <v>0</v>
      </c>
      <c r="X11" s="16">
        <v>0</v>
      </c>
      <c r="Y11" s="16">
        <v>0</v>
      </c>
      <c r="Z11" s="16">
        <v>0</v>
      </c>
      <c r="AA11" s="16">
        <v>0</v>
      </c>
      <c r="AB11" s="17">
        <f t="shared" si="9"/>
        <v>0</v>
      </c>
      <c r="AC11" s="16">
        <v>0</v>
      </c>
      <c r="AD11" s="16">
        <v>0</v>
      </c>
      <c r="AE11" s="16">
        <v>0</v>
      </c>
      <c r="AF11" s="16">
        <v>0</v>
      </c>
      <c r="AG11" s="17">
        <f t="shared" si="10"/>
        <v>0</v>
      </c>
      <c r="AH11" s="16">
        <v>0</v>
      </c>
      <c r="AI11" s="16">
        <v>0</v>
      </c>
      <c r="AJ11" s="16">
        <v>0</v>
      </c>
      <c r="AK11" s="16">
        <v>0</v>
      </c>
      <c r="AL11" s="17">
        <f t="shared" si="11"/>
        <v>0</v>
      </c>
      <c r="AM11" s="16">
        <v>0</v>
      </c>
      <c r="AN11" s="16">
        <v>0</v>
      </c>
      <c r="AO11" s="16">
        <v>0</v>
      </c>
      <c r="AP11" s="16">
        <v>0</v>
      </c>
      <c r="AQ11" s="17">
        <f t="shared" si="12"/>
        <v>0</v>
      </c>
      <c r="AR11" s="16">
        <v>0</v>
      </c>
      <c r="AS11" s="16">
        <v>0</v>
      </c>
      <c r="AT11" s="16">
        <v>0</v>
      </c>
      <c r="AU11" s="16">
        <v>0</v>
      </c>
      <c r="AV11" s="17">
        <f t="shared" si="13"/>
        <v>0</v>
      </c>
    </row>
    <row r="12" spans="2:48" outlineLevel="1" x14ac:dyDescent="0.3">
      <c r="B12" s="308" t="s">
        <v>273</v>
      </c>
      <c r="C12" s="44"/>
      <c r="D12" s="16">
        <v>97.3</v>
      </c>
      <c r="E12" s="16">
        <f>192.1-D12</f>
        <v>94.8</v>
      </c>
      <c r="F12" s="16">
        <f>255.4-E12-D12</f>
        <v>63.300000000000026</v>
      </c>
      <c r="G12" s="101">
        <f>308-F12-E12-D12</f>
        <v>52.59999999999998</v>
      </c>
      <c r="H12" s="17">
        <f t="shared" si="6"/>
        <v>308</v>
      </c>
      <c r="I12" s="16">
        <v>90.3</v>
      </c>
      <c r="J12" s="16">
        <f>146.6-I12</f>
        <v>56.3</v>
      </c>
      <c r="K12" s="16">
        <f>188-J12-I12</f>
        <v>41.399999999999991</v>
      </c>
      <c r="L12" s="101">
        <f>248.6-K12-J12-I12</f>
        <v>60.59999999999998</v>
      </c>
      <c r="M12" s="17">
        <f t="shared" si="7"/>
        <v>248.59999999999997</v>
      </c>
      <c r="N12" s="16">
        <v>99.3</v>
      </c>
      <c r="O12" s="16">
        <f>175.3-N12</f>
        <v>76.000000000000014</v>
      </c>
      <c r="P12" s="16">
        <f>255.3-O12-N12</f>
        <v>80.000000000000014</v>
      </c>
      <c r="Q12" s="101">
        <f>319.1-P12-O12-N12</f>
        <v>63.800000000000026</v>
      </c>
      <c r="R12" s="17">
        <f t="shared" si="8"/>
        <v>319.10000000000002</v>
      </c>
      <c r="S12" s="16">
        <v>95.8</v>
      </c>
      <c r="T12" s="16">
        <f>149.2-S12</f>
        <v>53.399999999999991</v>
      </c>
      <c r="U12" s="16">
        <f>206.6-T12-S12</f>
        <v>57.399999999999991</v>
      </c>
      <c r="V12" s="16">
        <f>'IS 3Q2022'!V8*V53</f>
        <v>69.964664787652922</v>
      </c>
      <c r="W12" s="17">
        <f t="shared" si="0"/>
        <v>276.56466478765287</v>
      </c>
      <c r="X12" s="16">
        <f>'IS 3Q2022'!X8*X53</f>
        <v>74.500596857055086</v>
      </c>
      <c r="Y12" s="16">
        <f>'IS 3Q2022'!Y8*Y53</f>
        <v>65.198665506355923</v>
      </c>
      <c r="Z12" s="16">
        <f>'IS 3Q2022'!Z8*Z53</f>
        <v>73.176438384221598</v>
      </c>
      <c r="AA12" s="16">
        <f>'IS 3Q2022'!AA8*AA53</f>
        <v>76.99406692963656</v>
      </c>
      <c r="AB12" s="17">
        <f t="shared" si="9"/>
        <v>289.86976767726918</v>
      </c>
      <c r="AC12" s="16">
        <f>'IS 3Q2022'!AC8*AC53</f>
        <v>79.147177393420236</v>
      </c>
      <c r="AD12" s="16">
        <f>'IS 3Q2022'!AD8*AD53</f>
        <v>73.759187719512198</v>
      </c>
      <c r="AE12" s="16">
        <f>'IS 3Q2022'!AE8*AE53</f>
        <v>81.457077993814693</v>
      </c>
      <c r="AF12" s="16">
        <f>'IS 3Q2022'!AF8*AF53</f>
        <v>83.846530958848987</v>
      </c>
      <c r="AG12" s="17">
        <f t="shared" si="10"/>
        <v>318.2099740655961</v>
      </c>
      <c r="AH12" s="16">
        <f>'IS 3Q2022'!AH8*AH53</f>
        <v>87.727634522356112</v>
      </c>
      <c r="AI12" s="16">
        <f>'IS 3Q2022'!AI8*AI53</f>
        <v>82.752156081540846</v>
      </c>
      <c r="AJ12" s="16">
        <f>'IS 3Q2022'!AJ8*AJ53</f>
        <v>90.907008537366281</v>
      </c>
      <c r="AK12" s="16">
        <f>'IS 3Q2022'!AK8*AK53</f>
        <v>93.466833723848723</v>
      </c>
      <c r="AL12" s="17">
        <f t="shared" si="11"/>
        <v>354.85363286511193</v>
      </c>
      <c r="AM12" s="16">
        <f>'IS 3Q2022'!AM8*AM53</f>
        <v>96.484464802490663</v>
      </c>
      <c r="AN12" s="16">
        <f>'IS 3Q2022'!AN8*AN53</f>
        <v>90.684872500253007</v>
      </c>
      <c r="AO12" s="16">
        <f>'IS 3Q2022'!AO8*AO53</f>
        <v>99.121174116546584</v>
      </c>
      <c r="AP12" s="16">
        <f>'IS 3Q2022'!AP8*AP53</f>
        <v>101.58165837586701</v>
      </c>
      <c r="AQ12" s="17">
        <f t="shared" si="12"/>
        <v>387.87216979515722</v>
      </c>
      <c r="AR12" s="16">
        <f>'IS 3Q2022'!AR8*AR53</f>
        <v>102.76941481176389</v>
      </c>
      <c r="AS12" s="16">
        <f>'IS 3Q2022'!AS8*AS53</f>
        <v>96.530864617637349</v>
      </c>
      <c r="AT12" s="16">
        <f>'IS 3Q2022'!AT8*AT53</f>
        <v>105.4619220369474</v>
      </c>
      <c r="AU12" s="16">
        <f>'IS 3Q2022'!AU8*AU53</f>
        <v>108.11259059057532</v>
      </c>
      <c r="AV12" s="17">
        <f t="shared" si="13"/>
        <v>412.87479205692398</v>
      </c>
    </row>
    <row r="13" spans="2:48" outlineLevel="1" x14ac:dyDescent="0.3">
      <c r="B13" s="319" t="s">
        <v>274</v>
      </c>
      <c r="C13" s="320"/>
      <c r="D13" s="16">
        <v>6.1</v>
      </c>
      <c r="E13" s="101">
        <f>5.4+91.1-D13</f>
        <v>90.4</v>
      </c>
      <c r="F13" s="101">
        <f>10.5+122.3-E13-D13</f>
        <v>36.300000000000004</v>
      </c>
      <c r="G13" s="101">
        <f>10.5+187.9-F13-E13-D13</f>
        <v>65.599999999999994</v>
      </c>
      <c r="H13" s="17">
        <f t="shared" si="6"/>
        <v>198.4</v>
      </c>
      <c r="I13" s="101">
        <f>5.1+294.9</f>
        <v>300</v>
      </c>
      <c r="J13" s="101">
        <f>596.3+67.7-I13</f>
        <v>364</v>
      </c>
      <c r="K13" s="101">
        <f>902.4+124.6+63.7-J13-I13</f>
        <v>426.70000000000005</v>
      </c>
      <c r="L13" s="101">
        <f>1197.6+454.4+24.5-K13-J13-I13</f>
        <v>585.79999999999995</v>
      </c>
      <c r="M13" s="17">
        <f t="shared" si="7"/>
        <v>1676.5</v>
      </c>
      <c r="N13" s="101">
        <f>308.3+132.6-10.2</f>
        <v>430.7</v>
      </c>
      <c r="O13" s="101">
        <f>617.9+175.4-15.4-N13</f>
        <v>347.2</v>
      </c>
      <c r="P13" s="101">
        <f>931.7+204.7-6.8-O13-N13</f>
        <v>351.7000000000001</v>
      </c>
      <c r="Q13" s="101">
        <f>1248.6+226.2-6-P13-O13-N13</f>
        <v>339.19999999999987</v>
      </c>
      <c r="R13" s="17">
        <f t="shared" si="8"/>
        <v>1468.8</v>
      </c>
      <c r="S13" s="101">
        <v>0</v>
      </c>
      <c r="T13" s="101">
        <f>0-S13</f>
        <v>0</v>
      </c>
      <c r="U13" s="101">
        <f>1090.4+89.6-44.7</f>
        <v>1135.3</v>
      </c>
      <c r="V13" s="33">
        <v>0</v>
      </c>
      <c r="W13" s="17">
        <f t="shared" si="0"/>
        <v>1135.3</v>
      </c>
      <c r="X13" s="33">
        <v>0</v>
      </c>
      <c r="Y13" s="33">
        <v>0</v>
      </c>
      <c r="Z13" s="33">
        <v>0</v>
      </c>
      <c r="AA13" s="33">
        <v>0</v>
      </c>
      <c r="AB13" s="17">
        <f t="shared" si="9"/>
        <v>0</v>
      </c>
      <c r="AC13" s="33">
        <v>0</v>
      </c>
      <c r="AD13" s="33">
        <v>0</v>
      </c>
      <c r="AE13" s="33">
        <v>0</v>
      </c>
      <c r="AF13" s="33">
        <v>0</v>
      </c>
      <c r="AG13" s="17">
        <f t="shared" si="10"/>
        <v>0</v>
      </c>
      <c r="AH13" s="33">
        <v>0</v>
      </c>
      <c r="AI13" s="33">
        <v>0</v>
      </c>
      <c r="AJ13" s="33">
        <v>0</v>
      </c>
      <c r="AK13" s="33">
        <v>0</v>
      </c>
      <c r="AL13" s="17">
        <f t="shared" si="11"/>
        <v>0</v>
      </c>
      <c r="AM13" s="33">
        <v>0</v>
      </c>
      <c r="AN13" s="33">
        <v>0</v>
      </c>
      <c r="AO13" s="33">
        <v>0</v>
      </c>
      <c r="AP13" s="33">
        <v>0</v>
      </c>
      <c r="AQ13" s="17">
        <f t="shared" si="12"/>
        <v>0</v>
      </c>
      <c r="AR13" s="33">
        <v>0</v>
      </c>
      <c r="AS13" s="33">
        <v>0</v>
      </c>
      <c r="AT13" s="33">
        <v>0</v>
      </c>
      <c r="AU13" s="33">
        <v>0</v>
      </c>
      <c r="AV13" s="17">
        <f t="shared" si="13"/>
        <v>0</v>
      </c>
    </row>
    <row r="14" spans="2:48" outlineLevel="1" x14ac:dyDescent="0.3">
      <c r="B14" s="625" t="s">
        <v>275</v>
      </c>
      <c r="C14" s="626"/>
      <c r="D14" s="321"/>
      <c r="E14" s="322"/>
      <c r="F14" s="323"/>
      <c r="G14" s="323"/>
      <c r="H14" s="324"/>
      <c r="I14" s="323"/>
      <c r="J14" s="323"/>
      <c r="K14" s="323"/>
      <c r="L14" s="323"/>
      <c r="M14" s="324"/>
      <c r="N14" s="323"/>
      <c r="O14" s="323"/>
      <c r="P14" s="323"/>
      <c r="Q14" s="323"/>
      <c r="R14" s="324"/>
      <c r="S14" s="323"/>
      <c r="T14" s="323"/>
      <c r="U14" s="323"/>
      <c r="V14" s="323"/>
      <c r="W14" s="324"/>
      <c r="X14" s="323"/>
      <c r="Y14" s="323"/>
      <c r="Z14" s="323"/>
      <c r="AA14" s="323"/>
      <c r="AB14" s="324"/>
      <c r="AC14" s="323"/>
      <c r="AD14" s="323"/>
      <c r="AE14" s="323"/>
      <c r="AF14" s="323"/>
      <c r="AG14" s="324"/>
      <c r="AH14" s="323"/>
      <c r="AI14" s="323"/>
      <c r="AJ14" s="323"/>
      <c r="AK14" s="323"/>
      <c r="AL14" s="324"/>
      <c r="AM14" s="323"/>
      <c r="AN14" s="323"/>
      <c r="AO14" s="323"/>
      <c r="AP14" s="323"/>
      <c r="AQ14" s="324"/>
      <c r="AR14" s="323"/>
      <c r="AS14" s="323"/>
      <c r="AT14" s="323"/>
      <c r="AU14" s="323"/>
      <c r="AV14" s="324"/>
    </row>
    <row r="15" spans="2:48" outlineLevel="1" x14ac:dyDescent="0.3">
      <c r="B15" s="623" t="s">
        <v>276</v>
      </c>
      <c r="C15" s="624"/>
      <c r="D15" s="327">
        <v>-28.8</v>
      </c>
      <c r="E15" s="327">
        <f>9.8-D15</f>
        <v>38.6</v>
      </c>
      <c r="F15" s="327">
        <f>-70.1-E15-D15</f>
        <v>-79.899999999999991</v>
      </c>
      <c r="G15" s="327">
        <f>-197.7-F15-E15-D15</f>
        <v>-127.60000000000001</v>
      </c>
      <c r="H15" s="328">
        <f t="shared" ref="H15:H21" si="15">SUM(D15:G15)</f>
        <v>-197.7</v>
      </c>
      <c r="I15" s="327">
        <v>-22.9</v>
      </c>
      <c r="J15" s="327">
        <f>-60.7-I15</f>
        <v>-37.800000000000004</v>
      </c>
      <c r="K15" s="327">
        <f>13.4-J15-I15</f>
        <v>74.099999999999994</v>
      </c>
      <c r="L15" s="327">
        <f>-2.7-K15-J15-I15</f>
        <v>-16.099999999999994</v>
      </c>
      <c r="M15" s="328">
        <f t="shared" ref="M15:M21" si="16">SUM(I15:L15)</f>
        <v>-2.7000000000000028</v>
      </c>
      <c r="N15" s="327">
        <v>19.600000000000001</v>
      </c>
      <c r="O15" s="327">
        <f>12.8-N15</f>
        <v>-6.8000000000000007</v>
      </c>
      <c r="P15" s="327">
        <f>-13.1-O15-N15</f>
        <v>-25.9</v>
      </c>
      <c r="Q15" s="327">
        <f>-43-P15-O15-N15</f>
        <v>-29.900000000000002</v>
      </c>
      <c r="R15" s="328">
        <f t="shared" ref="R15:R21" si="17">SUM(N15:Q15)</f>
        <v>-43</v>
      </c>
      <c r="S15" s="327">
        <v>-91.6</v>
      </c>
      <c r="T15" s="327">
        <f>-62.1-S15</f>
        <v>29.499999999999993</v>
      </c>
      <c r="U15" s="327">
        <f>-245.5-T15-S15</f>
        <v>-183.4</v>
      </c>
      <c r="V15" s="327">
        <f>-('BS 3Q2022'!V8-'BS 3Q2022'!U8)</f>
        <v>81.947992724675032</v>
      </c>
      <c r="W15" s="328">
        <f t="shared" ref="W15:W21" si="18">SUM(S15:V15)</f>
        <v>-163.55200727532497</v>
      </c>
      <c r="X15" s="327">
        <f>-('BS 3Q2022'!X8-'BS 3Q2022'!V8)</f>
        <v>-55.610602128540677</v>
      </c>
      <c r="Y15" s="327">
        <f>-('BS 3Q2022'!Y8-'BS 3Q2022'!X8)</f>
        <v>-47.641630315567227</v>
      </c>
      <c r="Z15" s="327">
        <f>-('BS 3Q2022'!Z8-'BS 3Q2022'!Y8)</f>
        <v>-202.30878876819224</v>
      </c>
      <c r="AA15" s="327">
        <f>-('BS 3Q2022'!AA8-'BS 3Q2022'!Z8)</f>
        <v>168.64026072464071</v>
      </c>
      <c r="AB15" s="328">
        <f t="shared" ref="AB15:AB21" si="19">SUM(X15:AA15)</f>
        <v>-136.92076048765944</v>
      </c>
      <c r="AC15" s="327">
        <f>-('BS 3Q2022'!AC8-'BS 3Q2022'!AA8)</f>
        <v>-60.676017205583548</v>
      </c>
      <c r="AD15" s="327">
        <f>-('BS 3Q2022'!AD8-'BS 3Q2022'!AC8)</f>
        <v>28.138516975505127</v>
      </c>
      <c r="AE15" s="327">
        <f>-('BS 3Q2022'!AE8-'BS 3Q2022'!AD8)</f>
        <v>-139.15017764151003</v>
      </c>
      <c r="AF15" s="327">
        <f>-('BS 3Q2022'!AF8-'BS 3Q2022'!AE8)</f>
        <v>94.064754570011473</v>
      </c>
      <c r="AG15" s="328">
        <f t="shared" ref="AG15:AG21" si="20">SUM(AC15:AF15)</f>
        <v>-77.622923301576975</v>
      </c>
      <c r="AH15" s="327">
        <f>-('BS 3Q2022'!AH8-'BS 3Q2022'!AF8)</f>
        <v>-121.44331289662068</v>
      </c>
      <c r="AI15" s="327">
        <f>-('BS 3Q2022'!AI8-'BS 3Q2022'!AH8)</f>
        <v>18.418826250513348</v>
      </c>
      <c r="AJ15" s="327">
        <f>-('BS 3Q2022'!AJ8-'BS 3Q2022'!AI8)</f>
        <v>-212.49332660922414</v>
      </c>
      <c r="AK15" s="327">
        <f>-('BS 3Q2022'!AK8-'BS 3Q2022'!AJ8)</f>
        <v>130.78402029181757</v>
      </c>
      <c r="AL15" s="328">
        <f t="shared" ref="AL15:AL21" si="21">SUM(AH15:AK15)</f>
        <v>-184.73379296351391</v>
      </c>
      <c r="AM15" s="327">
        <f>-('BS 3Q2022'!AM8-'BS 3Q2022'!AK8)</f>
        <v>-80.358458903846667</v>
      </c>
      <c r="AN15" s="327">
        <f>-('BS 3Q2022'!AN8-'BS 3Q2022'!AM8)</f>
        <v>17.955124230011052</v>
      </c>
      <c r="AO15" s="327">
        <f>-('BS 3Q2022'!AO8-'BS 3Q2022'!AN8)</f>
        <v>-217.18976233464264</v>
      </c>
      <c r="AP15" s="327">
        <f>-('BS 3Q2022'!AP8-'BS 3Q2022'!AO8)</f>
        <v>159.51159829116364</v>
      </c>
      <c r="AQ15" s="328">
        <f t="shared" ref="AQ15:AQ21" si="22">SUM(AM15:AP15)</f>
        <v>-120.08149871731462</v>
      </c>
      <c r="AR15" s="327">
        <f>-('BS 3Q2022'!AR8-'BS 3Q2022'!AP8)</f>
        <v>-60.943817533797073</v>
      </c>
      <c r="AS15" s="327">
        <f>-('BS 3Q2022'!AS8-'BS 3Q2022'!AR8)</f>
        <v>32.897915351049051</v>
      </c>
      <c r="AT15" s="327">
        <f>-('BS 3Q2022'!AT8-'BS 3Q2022'!AS8)</f>
        <v>-214.67816604780023</v>
      </c>
      <c r="AU15" s="327">
        <f>-('BS 3Q2022'!AU8-'BS 3Q2022'!AT8)</f>
        <v>148.91455693651801</v>
      </c>
      <c r="AV15" s="328">
        <f t="shared" ref="AV15:AV21" si="23">SUM(AR15:AU15)</f>
        <v>-93.809511294030244</v>
      </c>
    </row>
    <row r="16" spans="2:48" outlineLevel="1" x14ac:dyDescent="0.3">
      <c r="B16" s="325" t="s">
        <v>215</v>
      </c>
      <c r="C16" s="326"/>
      <c r="D16" s="327">
        <v>44.8</v>
      </c>
      <c r="E16" s="327">
        <f>-51-D16</f>
        <v>-95.8</v>
      </c>
      <c r="F16" s="327">
        <f>-140.5-E16-D16</f>
        <v>-89.5</v>
      </c>
      <c r="G16" s="327">
        <f>-173-F16-E16-D16</f>
        <v>-32.5</v>
      </c>
      <c r="H16" s="328">
        <f t="shared" si="15"/>
        <v>-173</v>
      </c>
      <c r="I16" s="327">
        <v>122.8</v>
      </c>
      <c r="J16" s="327">
        <f>36.9-I16</f>
        <v>-85.9</v>
      </c>
      <c r="K16" s="327">
        <f>-51.7-J16-I16</f>
        <v>-88.6</v>
      </c>
      <c r="L16" s="327">
        <f>-10.9-K16-J16-I16</f>
        <v>40.799999999999997</v>
      </c>
      <c r="M16" s="328">
        <f t="shared" si="16"/>
        <v>-10.900000000000006</v>
      </c>
      <c r="N16" s="327">
        <v>90.1</v>
      </c>
      <c r="O16" s="327">
        <f>51.3-N16</f>
        <v>-38.799999999999997</v>
      </c>
      <c r="P16" s="327">
        <f>8.4-O16-N16</f>
        <v>-42.9</v>
      </c>
      <c r="Q16" s="327">
        <f>-49.8-P16-O16-N16</f>
        <v>-58.199999999999996</v>
      </c>
      <c r="R16" s="328">
        <f t="shared" si="17"/>
        <v>-49.8</v>
      </c>
      <c r="S16" s="327">
        <v>-36</v>
      </c>
      <c r="T16" s="327">
        <f>-324.9-S16</f>
        <v>-288.89999999999998</v>
      </c>
      <c r="U16" s="327">
        <f>-557.3-T16-S16</f>
        <v>-232.39999999999998</v>
      </c>
      <c r="V16" s="327">
        <f>-('BS 3Q2022'!V9-'BS 3Q2022'!U9)</f>
        <v>230.17685105161627</v>
      </c>
      <c r="W16" s="328">
        <f t="shared" si="18"/>
        <v>-327.12314894838369</v>
      </c>
      <c r="X16" s="327">
        <f>-('BS 3Q2022'!X9-'BS 3Q2022'!V9)</f>
        <v>50.968836132077286</v>
      </c>
      <c r="Y16" s="327">
        <f>-('BS 3Q2022'!Y9-'BS 3Q2022'!X9)</f>
        <v>-198.34437961405547</v>
      </c>
      <c r="Z16" s="327">
        <f>-('BS 3Q2022'!Z9-'BS 3Q2022'!Y9)</f>
        <v>-418.66248602383303</v>
      </c>
      <c r="AA16" s="327">
        <f>-('BS 3Q2022'!AA9-'BS 3Q2022'!Z9)</f>
        <v>378.81019356275965</v>
      </c>
      <c r="AB16" s="328">
        <f t="shared" si="19"/>
        <v>-187.22783594305156</v>
      </c>
      <c r="AC16" s="327">
        <f>-('BS 3Q2022'!AC9-'BS 3Q2022'!AA9)</f>
        <v>49.022620696068316</v>
      </c>
      <c r="AD16" s="327">
        <f>-('BS 3Q2022'!AD9-'BS 3Q2022'!AC9)</f>
        <v>-177.29332688166505</v>
      </c>
      <c r="AE16" s="327">
        <f>-('BS 3Q2022'!AE9-'BS 3Q2022'!AD9)</f>
        <v>-291.93166011439507</v>
      </c>
      <c r="AF16" s="327">
        <f>-('BS 3Q2022'!AF9-'BS 3Q2022'!AE9)</f>
        <v>235.89924009949391</v>
      </c>
      <c r="AG16" s="328">
        <f t="shared" si="20"/>
        <v>-184.3031262004979</v>
      </c>
      <c r="AH16" s="327">
        <f>-('BS 3Q2022'!AH9-'BS 3Q2022'!AF9)</f>
        <v>57.595713526479813</v>
      </c>
      <c r="AI16" s="327">
        <f>-('BS 3Q2022'!AI9-'BS 3Q2022'!AH9)</f>
        <v>-245.91331939683914</v>
      </c>
      <c r="AJ16" s="327">
        <f>-('BS 3Q2022'!AJ9-'BS 3Q2022'!AI9)</f>
        <v>-402.07896124089893</v>
      </c>
      <c r="AK16" s="327">
        <f>-('BS 3Q2022'!AK9-'BS 3Q2022'!AJ9)</f>
        <v>283.77054281896744</v>
      </c>
      <c r="AL16" s="328">
        <f t="shared" si="21"/>
        <v>-306.62602429229082</v>
      </c>
      <c r="AM16" s="327">
        <f>-('BS 3Q2022'!AM9-'BS 3Q2022'!AK9)</f>
        <v>128.89334725752315</v>
      </c>
      <c r="AN16" s="327">
        <f>-('BS 3Q2022'!AN9-'BS 3Q2022'!AM9)</f>
        <v>-222.49768997264346</v>
      </c>
      <c r="AO16" s="327">
        <f>-('BS 3Q2022'!AO9-'BS 3Q2022'!AN9)</f>
        <v>-434.94924390666256</v>
      </c>
      <c r="AP16" s="327">
        <f>-('BS 3Q2022'!AP9-'BS 3Q2022'!AO9)</f>
        <v>320.90131179469972</v>
      </c>
      <c r="AQ16" s="328">
        <f t="shared" si="22"/>
        <v>-207.65227482708315</v>
      </c>
      <c r="AR16" s="327">
        <f>-('BS 3Q2022'!AR9-'BS 3Q2022'!AP9)</f>
        <v>176.15380559137566</v>
      </c>
      <c r="AS16" s="327">
        <f>-('BS 3Q2022'!AS9-'BS 3Q2022'!AR9)</f>
        <v>-234.21112185295533</v>
      </c>
      <c r="AT16" s="327">
        <f>-('BS 3Q2022'!AT9-'BS 3Q2022'!AS9)</f>
        <v>-420.61642400330174</v>
      </c>
      <c r="AU16" s="327">
        <f>-('BS 3Q2022'!AU9-'BS 3Q2022'!AT9)</f>
        <v>316.91088076407641</v>
      </c>
      <c r="AV16" s="328">
        <f t="shared" si="23"/>
        <v>-161.76285950080501</v>
      </c>
    </row>
    <row r="17" spans="2:48" outlineLevel="1" x14ac:dyDescent="0.3">
      <c r="B17" s="623" t="s">
        <v>277</v>
      </c>
      <c r="C17" s="624"/>
      <c r="D17" s="327">
        <v>847.3</v>
      </c>
      <c r="E17" s="327">
        <f>774.6-D17</f>
        <v>-72.699999999999932</v>
      </c>
      <c r="F17" s="327">
        <f>831.6-E17-D17</f>
        <v>57</v>
      </c>
      <c r="G17" s="327">
        <f>922-F17-E17-D17</f>
        <v>90.399999999999977</v>
      </c>
      <c r="H17" s="328">
        <f t="shared" si="15"/>
        <v>922</v>
      </c>
      <c r="I17" s="327">
        <v>-28.5</v>
      </c>
      <c r="J17" s="327">
        <f>-247.7-I17</f>
        <v>-219.2</v>
      </c>
      <c r="K17" s="327">
        <f>-492.1-J17-I17</f>
        <v>-244.40000000000003</v>
      </c>
      <c r="L17" s="327">
        <f>-317.5-K17-J17-I17</f>
        <v>174.60000000000002</v>
      </c>
      <c r="M17" s="328">
        <f t="shared" si="16"/>
        <v>-317.5</v>
      </c>
      <c r="N17" s="327">
        <v>5.2</v>
      </c>
      <c r="O17" s="327">
        <f>139.7-N17</f>
        <v>134.5</v>
      </c>
      <c r="P17" s="327">
        <f>216.8-O17-N17</f>
        <v>77.100000000000009</v>
      </c>
      <c r="Q17" s="327">
        <f>251.1-P17-O17-N17</f>
        <v>34.299999999999997</v>
      </c>
      <c r="R17" s="328">
        <f t="shared" si="17"/>
        <v>251.10000000000002</v>
      </c>
      <c r="S17" s="327">
        <f>64.6+330.4+50.7-4.9</f>
        <v>440.8</v>
      </c>
      <c r="T17" s="327">
        <f>-120.7+670.7+77.3-17.9-S17</f>
        <v>168.59999999999997</v>
      </c>
      <c r="U17" s="327">
        <f t="shared" ref="U17:U20" si="24">0-T17-S17</f>
        <v>-609.4</v>
      </c>
      <c r="V17" s="327">
        <f>-('BS 3Q2022'!V10-'BS 3Q2022'!U10)</f>
        <v>-5.3410000000000082</v>
      </c>
      <c r="W17" s="328">
        <f t="shared" si="18"/>
        <v>-5.3410000000000082</v>
      </c>
      <c r="X17" s="327">
        <f>-('BS 3Q2022'!X10-'BS 3Q2022'!V10)</f>
        <v>-5.3944099999999935</v>
      </c>
      <c r="Y17" s="327">
        <f>-('BS 3Q2022'!Y10-'BS 3Q2022'!X10)</f>
        <v>-5.4483540999999605</v>
      </c>
      <c r="Z17" s="327">
        <f>-('BS 3Q2022'!Z10-'BS 3Q2022'!Y10)</f>
        <v>-5.5028376410000419</v>
      </c>
      <c r="AA17" s="327">
        <f>-('BS 3Q2022'!AA10-'BS 3Q2022'!Z10)</f>
        <v>-5.5578660174099923</v>
      </c>
      <c r="AB17" s="328">
        <f t="shared" si="19"/>
        <v>-21.903467758409988</v>
      </c>
      <c r="AC17" s="327">
        <f>-('BS 3Q2022'!AC10-'BS 3Q2022'!AA10)</f>
        <v>-5.6134446775840843</v>
      </c>
      <c r="AD17" s="327">
        <f>-('BS 3Q2022'!AD10-'BS 3Q2022'!AC10)</f>
        <v>-5.6695791243599842</v>
      </c>
      <c r="AE17" s="327">
        <f>-('BS 3Q2022'!AE10-'BS 3Q2022'!AD10)</f>
        <v>-5.7262749156035397</v>
      </c>
      <c r="AF17" s="327">
        <f>-('BS 3Q2022'!AF10-'BS 3Q2022'!AE10)</f>
        <v>-5.7835376647595922</v>
      </c>
      <c r="AG17" s="328">
        <f t="shared" si="20"/>
        <v>-22.7928363823072</v>
      </c>
      <c r="AH17" s="327">
        <f>-('BS 3Q2022'!AH10-'BS 3Q2022'!AF10)</f>
        <v>-5.8413730414072234</v>
      </c>
      <c r="AI17" s="327">
        <f>-('BS 3Q2022'!AI10-'BS 3Q2022'!AH10)</f>
        <v>-5.8997867718212547</v>
      </c>
      <c r="AJ17" s="327">
        <f>-('BS 3Q2022'!AJ10-'BS 3Q2022'!AI10)</f>
        <v>-5.9587846395394308</v>
      </c>
      <c r="AK17" s="327">
        <f>-('BS 3Q2022'!AK10-'BS 3Q2022'!AJ10)</f>
        <v>-6.0183724859348331</v>
      </c>
      <c r="AL17" s="328">
        <f t="shared" si="21"/>
        <v>-23.718316938702742</v>
      </c>
      <c r="AM17" s="327">
        <f>-('BS 3Q2022'!AM10-'BS 3Q2022'!AK10)</f>
        <v>-6.0785562107942042</v>
      </c>
      <c r="AN17" s="327">
        <f>-('BS 3Q2022'!AN10-'BS 3Q2022'!AM10)</f>
        <v>-6.1393417729021849</v>
      </c>
      <c r="AO17" s="327">
        <f>-('BS 3Q2022'!AO10-'BS 3Q2022'!AN10)</f>
        <v>-6.2007351906311214</v>
      </c>
      <c r="AP17" s="327">
        <f>-('BS 3Q2022'!AP10-'BS 3Q2022'!AO10)</f>
        <v>-6.2627425425374668</v>
      </c>
      <c r="AQ17" s="328">
        <f t="shared" si="22"/>
        <v>-24.681375716864977</v>
      </c>
      <c r="AR17" s="327">
        <f>-('BS 3Q2022'!AR10-'BS 3Q2022'!AP10)</f>
        <v>-6.3253699679628426</v>
      </c>
      <c r="AS17" s="327">
        <f>-('BS 3Q2022'!AS10-'BS 3Q2022'!AR10)</f>
        <v>-6.3886236676424915</v>
      </c>
      <c r="AT17" s="327">
        <f>-('BS 3Q2022'!AT10-'BS 3Q2022'!AS10)</f>
        <v>-6.4525099043189584</v>
      </c>
      <c r="AU17" s="327">
        <f>-('BS 3Q2022'!AU10-'BS 3Q2022'!AT10)</f>
        <v>-6.5170350033621389</v>
      </c>
      <c r="AV17" s="328">
        <f t="shared" si="23"/>
        <v>-25.683538543286431</v>
      </c>
    </row>
    <row r="18" spans="2:48" outlineLevel="1" x14ac:dyDescent="0.3">
      <c r="B18" s="623" t="s">
        <v>228</v>
      </c>
      <c r="C18" s="624"/>
      <c r="D18" s="327">
        <v>-21.3</v>
      </c>
      <c r="E18" s="327">
        <f>-83.4-D18</f>
        <v>-62.100000000000009</v>
      </c>
      <c r="F18" s="327">
        <f>-15.1-E18-D18</f>
        <v>68.300000000000011</v>
      </c>
      <c r="G18" s="327">
        <f>31.9-F18-E18-D18</f>
        <v>47</v>
      </c>
      <c r="H18" s="328">
        <f t="shared" si="15"/>
        <v>31.900000000000006</v>
      </c>
      <c r="I18" s="327">
        <v>-110.3</v>
      </c>
      <c r="J18" s="327">
        <f>-186.4-I18</f>
        <v>-76.100000000000009</v>
      </c>
      <c r="K18" s="327">
        <f>-320.3-J18-I18</f>
        <v>-133.89999999999998</v>
      </c>
      <c r="L18" s="327">
        <f>-210.8-K18-J18-I18</f>
        <v>109.49999999999997</v>
      </c>
      <c r="M18" s="328">
        <f t="shared" si="16"/>
        <v>-210.79999999999998</v>
      </c>
      <c r="N18" s="327">
        <v>24.8</v>
      </c>
      <c r="O18" s="327">
        <f>21.3-N18</f>
        <v>-3.5</v>
      </c>
      <c r="P18" s="327">
        <f>108.2-O18-N18</f>
        <v>86.9</v>
      </c>
      <c r="Q18" s="327">
        <f>189.9-P18-O18-N18</f>
        <v>81.7</v>
      </c>
      <c r="R18" s="328">
        <f t="shared" si="17"/>
        <v>189.9</v>
      </c>
      <c r="S18" s="327">
        <v>84</v>
      </c>
      <c r="T18" s="327">
        <f>133-S18</f>
        <v>49</v>
      </c>
      <c r="U18" s="327">
        <f>341.7-T18-S18</f>
        <v>208.7</v>
      </c>
      <c r="V18" s="327">
        <f>'BS 3Q2022'!V22-'BS 3Q2022'!U22</f>
        <v>-111.74786545579241</v>
      </c>
      <c r="W18" s="328">
        <f t="shared" si="18"/>
        <v>229.95213454420758</v>
      </c>
      <c r="X18" s="327">
        <f>'BS 3Q2022'!X22-'BS 3Q2022'!V22</f>
        <v>25.014764896827273</v>
      </c>
      <c r="Y18" s="327">
        <f>'BS 3Q2022'!Y22-'BS 3Q2022'!X22</f>
        <v>-3.8333167508994848</v>
      </c>
      <c r="Z18" s="327">
        <f>'BS 3Q2022'!Z22-'BS 3Q2022'!Y22</f>
        <v>229.9983367940149</v>
      </c>
      <c r="AA18" s="327">
        <f>'BS 3Q2022'!AA22-'BS 3Q2022'!Z22</f>
        <v>-149.27702804219052</v>
      </c>
      <c r="AB18" s="328">
        <f t="shared" si="19"/>
        <v>101.90275689775217</v>
      </c>
      <c r="AC18" s="327">
        <f>'BS 3Q2022'!AC22-'BS 3Q2022'!AA22</f>
        <v>57.225010547429974</v>
      </c>
      <c r="AD18" s="327">
        <f>'BS 3Q2022'!AD22-'BS 3Q2022'!AC22</f>
        <v>-12.37999998613077</v>
      </c>
      <c r="AE18" s="327">
        <f>'BS 3Q2022'!AE22-'BS 3Q2022'!AD22</f>
        <v>222.96911897695077</v>
      </c>
      <c r="AF18" s="327">
        <f>'BS 3Q2022'!AF22-'BS 3Q2022'!AE22</f>
        <v>-88.53075887466548</v>
      </c>
      <c r="AG18" s="328">
        <f t="shared" si="20"/>
        <v>179.28337066358449</v>
      </c>
      <c r="AH18" s="327">
        <f>'BS 3Q2022'!AH22-'BS 3Q2022'!AF22</f>
        <v>38.950283760349294</v>
      </c>
      <c r="AI18" s="327">
        <f>'BS 3Q2022'!AI22-'BS 3Q2022'!AH22</f>
        <v>-5.4392831069490057</v>
      </c>
      <c r="AJ18" s="327">
        <f>'BS 3Q2022'!AJ22-'BS 3Q2022'!AI22</f>
        <v>269.01658275997056</v>
      </c>
      <c r="AK18" s="327">
        <f>'BS 3Q2022'!AK22-'BS 3Q2022'!AJ22</f>
        <v>-101.90883775548923</v>
      </c>
      <c r="AL18" s="328">
        <f t="shared" si="21"/>
        <v>200.61874565788162</v>
      </c>
      <c r="AM18" s="327">
        <f>'BS 3Q2022'!AM22-'BS 3Q2022'!AK22</f>
        <v>1.184687747842645</v>
      </c>
      <c r="AN18" s="327">
        <f>'BS 3Q2022'!AN22-'BS 3Q2022'!AM22</f>
        <v>-27.005475101480897</v>
      </c>
      <c r="AO18" s="327">
        <f>'BS 3Q2022'!AO22-'BS 3Q2022'!AN22</f>
        <v>281.69606376357956</v>
      </c>
      <c r="AP18" s="327">
        <f>'BS 3Q2022'!AP22-'BS 3Q2022'!AO22</f>
        <v>-109.52634139320548</v>
      </c>
      <c r="AQ18" s="328">
        <f t="shared" si="22"/>
        <v>146.34893501673582</v>
      </c>
      <c r="AR18" s="327">
        <f>'BS 3Q2022'!AR22-'BS 3Q2022'!AP22</f>
        <v>-22.287725200280875</v>
      </c>
      <c r="AS18" s="327">
        <f>'BS 3Q2022'!AS22-'BS 3Q2022'!AR22</f>
        <v>-28.751378274335366</v>
      </c>
      <c r="AT18" s="327">
        <f>'BS 3Q2022'!AT22-'BS 3Q2022'!AS22</f>
        <v>290.11838658660486</v>
      </c>
      <c r="AU18" s="327">
        <f>'BS 3Q2022'!AU22-'BS 3Q2022'!AT22</f>
        <v>-111.54097907464939</v>
      </c>
      <c r="AV18" s="328">
        <f t="shared" si="23"/>
        <v>127.53830403733923</v>
      </c>
    </row>
    <row r="19" spans="2:48" outlineLevel="1" x14ac:dyDescent="0.3">
      <c r="B19" s="325" t="s">
        <v>233</v>
      </c>
      <c r="C19" s="326"/>
      <c r="D19" s="327">
        <v>362.7</v>
      </c>
      <c r="E19" s="327">
        <f>9.4-D19</f>
        <v>-353.3</v>
      </c>
      <c r="F19" s="327">
        <f>-32.4-E19-D19</f>
        <v>-41.799999999999955</v>
      </c>
      <c r="G19" s="327">
        <f>-30.5-F19-E19-D19</f>
        <v>1.8999999999999773</v>
      </c>
      <c r="H19" s="328">
        <f t="shared" si="15"/>
        <v>-30.5</v>
      </c>
      <c r="I19" s="327">
        <v>426.7</v>
      </c>
      <c r="J19" s="327">
        <f>112.1-I19</f>
        <v>-314.60000000000002</v>
      </c>
      <c r="K19" s="327">
        <f>92-J19-I19</f>
        <v>-20.099999999999966</v>
      </c>
      <c r="L19" s="327">
        <f>31-K19-J19-I19</f>
        <v>-61</v>
      </c>
      <c r="M19" s="328">
        <f t="shared" si="16"/>
        <v>31</v>
      </c>
      <c r="N19" s="327">
        <v>398.9</v>
      </c>
      <c r="O19" s="327">
        <f>89.8-N19</f>
        <v>-309.09999999999997</v>
      </c>
      <c r="P19" s="327">
        <f>52.4-O19-N19</f>
        <v>-37.400000000000034</v>
      </c>
      <c r="Q19" s="327">
        <f>-6.1-P19-O19-N19</f>
        <v>-58.5</v>
      </c>
      <c r="R19" s="328">
        <f t="shared" si="17"/>
        <v>-6.1000000000000227</v>
      </c>
      <c r="S19" s="327">
        <v>461.3</v>
      </c>
      <c r="T19" s="327">
        <f>110.2-S19</f>
        <v>-351.1</v>
      </c>
      <c r="U19" s="327">
        <f>32.7-T19-S19</f>
        <v>-77.5</v>
      </c>
      <c r="V19" s="327">
        <f>+('BS 3Q2022'!V27-'BS 3Q2022'!U27)</f>
        <v>-17.230000000000018</v>
      </c>
      <c r="W19" s="328">
        <f t="shared" si="18"/>
        <v>15.46999999999997</v>
      </c>
      <c r="X19" s="327">
        <f>+('BS 3Q2022'!X27-'BS 3Q2022'!V27)</f>
        <v>511.73100000000022</v>
      </c>
      <c r="Y19" s="327">
        <f>+('BS 3Q2022'!Y27-'BS 3Q2022'!X27)</f>
        <v>-332.62515000000008</v>
      </c>
      <c r="Z19" s="327">
        <f>+('BS 3Q2022'!Z27-'BS 3Q2022'!Y27)</f>
        <v>-18.848758500000031</v>
      </c>
      <c r="AA19" s="327">
        <f>+('BS 3Q2022'!AA27-'BS 3Q2022'!Z27)</f>
        <v>-18.660270914999955</v>
      </c>
      <c r="AB19" s="328">
        <f t="shared" si="19"/>
        <v>141.59682058500016</v>
      </c>
      <c r="AC19" s="327">
        <f>+('BS 3Q2022'!AC27-'BS 3Q2022'!AA27)</f>
        <v>554.21004617550011</v>
      </c>
      <c r="AD19" s="327">
        <f>+('BS 3Q2022'!AD27-'BS 3Q2022'!AC27)</f>
        <v>-360.23653001407502</v>
      </c>
      <c r="AE19" s="327">
        <f>+('BS 3Q2022'!AE27-'BS 3Q2022'!AD27)</f>
        <v>-20.413403367464298</v>
      </c>
      <c r="AF19" s="327">
        <f>+('BS 3Q2022'!AF27-'BS 3Q2022'!AE27)</f>
        <v>-20.209269333789734</v>
      </c>
      <c r="AG19" s="328">
        <f t="shared" si="20"/>
        <v>153.35084346017106</v>
      </c>
      <c r="AH19" s="327">
        <f>+('BS 3Q2022'!AH27-'BS 3Q2022'!AF27)</f>
        <v>600.21529921355159</v>
      </c>
      <c r="AI19" s="327">
        <f>+('BS 3Q2022'!AI27-'BS 3Q2022'!AH27)</f>
        <v>-390.1399444888084</v>
      </c>
      <c r="AJ19" s="327">
        <f>+('BS 3Q2022'!AJ27-'BS 3Q2022'!AI27)</f>
        <v>-22.107930187699367</v>
      </c>
      <c r="AK19" s="327">
        <f>+('BS 3Q2022'!AK27-'BS 3Q2022'!AJ27)</f>
        <v>-21.886850885822241</v>
      </c>
      <c r="AL19" s="328">
        <f t="shared" si="21"/>
        <v>166.08057365122158</v>
      </c>
      <c r="AM19" s="327">
        <f>+('BS 3Q2022'!AM27-'BS 3Q2022'!AK27)</f>
        <v>650.03947130891811</v>
      </c>
      <c r="AN19" s="327">
        <f>+('BS 3Q2022'!AN27-'BS 3Q2022'!AM27)</f>
        <v>-422.52565635079691</v>
      </c>
      <c r="AO19" s="327">
        <f>+('BS 3Q2022'!AO27-'BS 3Q2022'!AN27)</f>
        <v>-23.943120526545044</v>
      </c>
      <c r="AP19" s="327">
        <f>+('BS 3Q2022'!AP27-'BS 3Q2022'!AO27)</f>
        <v>-23.703689321279853</v>
      </c>
      <c r="AQ19" s="328">
        <f t="shared" si="22"/>
        <v>179.8670051102963</v>
      </c>
      <c r="AR19" s="327">
        <f>+('BS 3Q2022'!AR27-'BS 3Q2022'!AP27)</f>
        <v>703.99957284200673</v>
      </c>
      <c r="AS19" s="327">
        <f>+('BS 3Q2022'!AS27-'BS 3Q2022'!AR27)</f>
        <v>-457.59972234730458</v>
      </c>
      <c r="AT19" s="327">
        <f>+('BS 3Q2022'!AT27-'BS 3Q2022'!AS27)</f>
        <v>-25.930650933014022</v>
      </c>
      <c r="AU19" s="327">
        <f>+('BS 3Q2022'!AU27-'BS 3Q2022'!AT27)</f>
        <v>-25.671344423683877</v>
      </c>
      <c r="AV19" s="328">
        <f t="shared" si="23"/>
        <v>194.79785513800425</v>
      </c>
    </row>
    <row r="20" spans="2:48" outlineLevel="1" x14ac:dyDescent="0.3">
      <c r="B20" s="325" t="s">
        <v>278</v>
      </c>
      <c r="C20" s="326"/>
      <c r="D20" s="327">
        <v>0</v>
      </c>
      <c r="E20" s="327">
        <v>0</v>
      </c>
      <c r="F20" s="327">
        <f>1045.4-E20-D20</f>
        <v>1045.4000000000001</v>
      </c>
      <c r="G20" s="327">
        <f>1237-F20-E20-D20</f>
        <v>191.59999999999991</v>
      </c>
      <c r="H20" s="328">
        <f t="shared" si="15"/>
        <v>1237</v>
      </c>
      <c r="I20" s="327">
        <v>125.1</v>
      </c>
      <c r="J20" s="327">
        <f>-1227.4-I20</f>
        <v>-1352.5</v>
      </c>
      <c r="K20" s="327">
        <f>-1224.5-J20-I20</f>
        <v>2.9000000000000057</v>
      </c>
      <c r="L20" s="327">
        <f>-1214.6-K20-J20-I20</f>
        <v>9.9000000000000057</v>
      </c>
      <c r="M20" s="328">
        <f t="shared" si="16"/>
        <v>-1214.5999999999999</v>
      </c>
      <c r="N20" s="327">
        <v>56.9</v>
      </c>
      <c r="O20" s="327">
        <f>40-N20</f>
        <v>-16.899999999999999</v>
      </c>
      <c r="P20" s="327">
        <f>128.9-O20-N20</f>
        <v>88.9</v>
      </c>
      <c r="Q20" s="327">
        <f>286.1-P20-O20-N20</f>
        <v>157.20000000000002</v>
      </c>
      <c r="R20" s="328">
        <f t="shared" si="17"/>
        <v>286.10000000000002</v>
      </c>
      <c r="S20" s="327">
        <v>0</v>
      </c>
      <c r="T20" s="327">
        <f>0-S20</f>
        <v>0</v>
      </c>
      <c r="U20" s="327">
        <f t="shared" si="24"/>
        <v>0</v>
      </c>
      <c r="V20" s="327">
        <f>+('BS 3Q2022'!V25-'BS 3Q2022'!U25)</f>
        <v>0</v>
      </c>
      <c r="W20" s="328">
        <f t="shared" si="18"/>
        <v>0</v>
      </c>
      <c r="X20" s="327">
        <f>+('BS 3Q2022'!X25-'BS 3Q2022'!V25)</f>
        <v>0</v>
      </c>
      <c r="Y20" s="327">
        <f>+('BS 3Q2022'!Y25-'BS 3Q2022'!X25)</f>
        <v>0</v>
      </c>
      <c r="Z20" s="327">
        <f>+('BS 3Q2022'!Z25-'BS 3Q2022'!Y25)</f>
        <v>0</v>
      </c>
      <c r="AA20" s="327">
        <f>+('BS 3Q2022'!AA25-'BS 3Q2022'!Z25)</f>
        <v>0</v>
      </c>
      <c r="AB20" s="328">
        <f t="shared" si="19"/>
        <v>0</v>
      </c>
      <c r="AC20" s="327">
        <f>+('BS 3Q2022'!AC25-'BS 3Q2022'!AA25)</f>
        <v>0</v>
      </c>
      <c r="AD20" s="327">
        <f>+('BS 3Q2022'!AD25-'BS 3Q2022'!AC25)</f>
        <v>0</v>
      </c>
      <c r="AE20" s="327">
        <f>+('BS 3Q2022'!AE25-'BS 3Q2022'!AD25)</f>
        <v>0</v>
      </c>
      <c r="AF20" s="327">
        <f>+('BS 3Q2022'!AF25-'BS 3Q2022'!AE25)</f>
        <v>0</v>
      </c>
      <c r="AG20" s="328">
        <f t="shared" si="20"/>
        <v>0</v>
      </c>
      <c r="AH20" s="327">
        <f>+('BS 3Q2022'!AH25-'BS 3Q2022'!AF25)</f>
        <v>0</v>
      </c>
      <c r="AI20" s="327">
        <f>+('BS 3Q2022'!AI25-'BS 3Q2022'!AH25)</f>
        <v>0</v>
      </c>
      <c r="AJ20" s="327">
        <f>+('BS 3Q2022'!AJ25-'BS 3Q2022'!AI25)</f>
        <v>0</v>
      </c>
      <c r="AK20" s="327">
        <f>+('BS 3Q2022'!AK25-'BS 3Q2022'!AJ25)</f>
        <v>0</v>
      </c>
      <c r="AL20" s="328">
        <f t="shared" si="21"/>
        <v>0</v>
      </c>
      <c r="AM20" s="327">
        <f>+('BS 3Q2022'!AM25-'BS 3Q2022'!AK25)</f>
        <v>0</v>
      </c>
      <c r="AN20" s="327">
        <f>+('BS 3Q2022'!AN25-'BS 3Q2022'!AM25)</f>
        <v>0</v>
      </c>
      <c r="AO20" s="327">
        <f>+('BS 3Q2022'!AO25-'BS 3Q2022'!AN25)</f>
        <v>0</v>
      </c>
      <c r="AP20" s="327">
        <f>+('BS 3Q2022'!AP25-'BS 3Q2022'!AO25)</f>
        <v>0</v>
      </c>
      <c r="AQ20" s="328">
        <f t="shared" si="22"/>
        <v>0</v>
      </c>
      <c r="AR20" s="327">
        <f>+('BS 3Q2022'!AR25-'BS 3Q2022'!AP25)</f>
        <v>0</v>
      </c>
      <c r="AS20" s="327">
        <f>+('BS 3Q2022'!AS25-'BS 3Q2022'!AR25)</f>
        <v>0</v>
      </c>
      <c r="AT20" s="327">
        <f>+('BS 3Q2022'!AT25-'BS 3Q2022'!AS25)</f>
        <v>0</v>
      </c>
      <c r="AU20" s="327">
        <f>+('BS 3Q2022'!AU25-'BS 3Q2022'!AT25)</f>
        <v>0</v>
      </c>
      <c r="AV20" s="328">
        <f t="shared" si="23"/>
        <v>0</v>
      </c>
    </row>
    <row r="21" spans="2:48" ht="16.2" outlineLevel="1" x14ac:dyDescent="0.45">
      <c r="B21" s="623" t="s">
        <v>279</v>
      </c>
      <c r="C21" s="624"/>
      <c r="D21" s="329">
        <v>305.60000000000002</v>
      </c>
      <c r="E21" s="329">
        <f>429.3-D21</f>
        <v>123.69999999999999</v>
      </c>
      <c r="F21" s="329">
        <f>-67.4-E21-D21</f>
        <v>-496.70000000000005</v>
      </c>
      <c r="G21" s="329">
        <f>-141.1-F21-E21-D21</f>
        <v>-73.699999999999989</v>
      </c>
      <c r="H21" s="330">
        <f t="shared" si="15"/>
        <v>-141.10000000000002</v>
      </c>
      <c r="I21" s="329">
        <f>-31.8-301.6</f>
        <v>-333.40000000000003</v>
      </c>
      <c r="J21" s="329">
        <f>-608.6-140.5-I21</f>
        <v>-415.7</v>
      </c>
      <c r="K21" s="329">
        <f>-918.2+70.5-J21-I21</f>
        <v>-98.600000000000023</v>
      </c>
      <c r="L21" s="329">
        <f>-1231.4+280.5-K21-J21-I21</f>
        <v>-103.20000000000005</v>
      </c>
      <c r="M21" s="330">
        <f t="shared" si="16"/>
        <v>-950.90000000000009</v>
      </c>
      <c r="N21" s="329">
        <f>-314.8+12.3</f>
        <v>-302.5</v>
      </c>
      <c r="O21" s="329">
        <f>-676.3+59.5-N21</f>
        <v>-314.29999999999995</v>
      </c>
      <c r="P21" s="329">
        <f>-1029.8+154.6-O21-N21</f>
        <v>-258.39999999999998</v>
      </c>
      <c r="Q21" s="329">
        <f>-1488.1+358.7-P21-O21-N21</f>
        <v>-254.19999999999993</v>
      </c>
      <c r="R21" s="330">
        <f t="shared" si="17"/>
        <v>-1129.3999999999999</v>
      </c>
      <c r="S21" s="329">
        <f>-363.3+79.4</f>
        <v>-283.89999999999998</v>
      </c>
      <c r="T21" s="329">
        <f>-766.3-95-S21</f>
        <v>-577.4</v>
      </c>
      <c r="U21" s="329">
        <f>-1201.4+5.8-T21-S21</f>
        <v>-334.30000000000018</v>
      </c>
      <c r="V21" s="329">
        <f>('BS 3Q2022'!V23-'BS 3Q2022'!U23)+('BS 3Q2022'!V33-'BS 3Q2022'!U33)+('BS 3Q2022'!V34-'BS 3Q2022'!U34)+('BS 3Q2022'!V26-'BS 3Q2022'!U26)+('BS 3Q2022'!V24-'BS 3Q2022'!U24)</f>
        <v>-36.524700000000166</v>
      </c>
      <c r="W21" s="330">
        <f t="shared" si="18"/>
        <v>-1232.1247000000003</v>
      </c>
      <c r="X21" s="329">
        <f>('BS 3Q2022'!X23-'BS 3Q2022'!V23)+('BS 3Q2022'!X33-'BS 3Q2022'!V33)+('BS 3Q2022'!X34-'BS 3Q2022'!V34)+('BS 3Q2022'!X26-'BS 3Q2022'!V26)+('BS 3Q2022'!X24-'BS 3Q2022'!V24)</f>
        <v>-36.346935699999904</v>
      </c>
      <c r="Y21" s="329">
        <f>('BS 3Q2022'!Y23-'BS 3Q2022'!X23)+('BS 3Q2022'!Y33-'BS 3Q2022'!X33)+('BS 3Q2022'!Y34-'BS 3Q2022'!X34)+('BS 3Q2022'!Y26-'BS 3Q2022'!X26)+('BS 3Q2022'!Y24-'BS 3Q2022'!X24)</f>
        <v>-36.170040784700177</v>
      </c>
      <c r="Z21" s="329">
        <f>('BS 3Q2022'!Z23-'BS 3Q2022'!Y23)+('BS 3Q2022'!Z33-'BS 3Q2022'!Y33)+('BS 3Q2022'!Z34-'BS 3Q2022'!Y34)+('BS 3Q2022'!Z26-'BS 3Q2022'!Y26)+('BS 3Q2022'!Z24-'BS 3Q2022'!Y24)</f>
        <v>-35.994010984923307</v>
      </c>
      <c r="AA21" s="329">
        <f>('BS 3Q2022'!AA23-'BS 3Q2022'!Z23)+('BS 3Q2022'!AA33-'BS 3Q2022'!Z33)+('BS 3Q2022'!AA34-'BS 3Q2022'!Z34)+('BS 3Q2022'!AA26-'BS 3Q2022'!Z26)+('BS 3Q2022'!AA24-'BS 3Q2022'!Z24)</f>
        <v>-35.81884205252959</v>
      </c>
      <c r="AB21" s="330">
        <f t="shared" si="19"/>
        <v>-144.32982952215298</v>
      </c>
      <c r="AC21" s="329">
        <f>('BS 3Q2022'!AC23-'BS 3Q2022'!AA23)+('BS 3Q2022'!AC33-'BS 3Q2022'!AA33)+('BS 3Q2022'!AC34-'BS 3Q2022'!AA34)+('BS 3Q2022'!AC26-'BS 3Q2022'!AA26)+('BS 3Q2022'!AC24-'BS 3Q2022'!AA24)</f>
        <v>-35.644529760307478</v>
      </c>
      <c r="AD21" s="329">
        <f>('BS 3Q2022'!AD23-'BS 3Q2022'!AC23)+('BS 3Q2022'!AD33-'BS 3Q2022'!AC33)+('BS 3Q2022'!AD34-'BS 3Q2022'!AC34)+('BS 3Q2022'!AD26-'BS 3Q2022'!AC26)+('BS 3Q2022'!AD24-'BS 3Q2022'!AC24)</f>
        <v>-35.471069901874444</v>
      </c>
      <c r="AE21" s="329">
        <f>('BS 3Q2022'!AE23-'BS 3Q2022'!AD23)+('BS 3Q2022'!AE33-'BS 3Q2022'!AD33)+('BS 3Q2022'!AE34-'BS 3Q2022'!AD34)+('BS 3Q2022'!AE26-'BS 3Q2022'!AD26)+('BS 3Q2022'!AE24-'BS 3Q2022'!AD24)</f>
        <v>-35.298458291571478</v>
      </c>
      <c r="AF21" s="329">
        <f>('BS 3Q2022'!AF23-'BS 3Q2022'!AE23)+('BS 3Q2022'!AF33-'BS 3Q2022'!AE33)+('BS 3Q2022'!AF34-'BS 3Q2022'!AE34)+('BS 3Q2022'!AF26-'BS 3Q2022'!AE26)+('BS 3Q2022'!AF24-'BS 3Q2022'!AE24)</f>
        <v>-35.126690764364412</v>
      </c>
      <c r="AG21" s="330">
        <f t="shared" si="20"/>
        <v>-141.54074871811781</v>
      </c>
      <c r="AH21" s="329">
        <f>('BS 3Q2022'!AH23-'BS 3Q2022'!AF23)+('BS 3Q2022'!AH33-'BS 3Q2022'!AF33)+('BS 3Q2022'!AH34-'BS 3Q2022'!AF34)+('BS 3Q2022'!AH26-'BS 3Q2022'!AF26)+('BS 3Q2022'!AH24-'BS 3Q2022'!AF24)</f>
        <v>-34.955763175734774</v>
      </c>
      <c r="AI21" s="329">
        <f>('BS 3Q2022'!AI23-'BS 3Q2022'!AH23)+('BS 3Q2022'!AI33-'BS 3Q2022'!AH33)+('BS 3Q2022'!AI34-'BS 3Q2022'!AH34)+('BS 3Q2022'!AI26-'BS 3Q2022'!AH26)+('BS 3Q2022'!AI24-'BS 3Q2022'!AH24)</f>
        <v>-34.785671401588388</v>
      </c>
      <c r="AJ21" s="329">
        <f>('BS 3Q2022'!AJ23-'BS 3Q2022'!AI23)+('BS 3Q2022'!AJ33-'BS 3Q2022'!AI33)+('BS 3Q2022'!AJ34-'BS 3Q2022'!AI34)+('BS 3Q2022'!AJ26-'BS 3Q2022'!AI26)+('BS 3Q2022'!AJ24-'BS 3Q2022'!AI24)</f>
        <v>-34.616411338146236</v>
      </c>
      <c r="AK21" s="329">
        <f>('BS 3Q2022'!AK23-'BS 3Q2022'!AJ23)+('BS 3Q2022'!AK33-'BS 3Q2022'!AJ33)+('BS 3Q2022'!AK34-'BS 3Q2022'!AJ34)+('BS 3Q2022'!AK26-'BS 3Q2022'!AJ26)+('BS 3Q2022'!AK24-'BS 3Q2022'!AJ24)</f>
        <v>-34.447978901846909</v>
      </c>
      <c r="AL21" s="330">
        <f t="shared" si="21"/>
        <v>-138.80582481731631</v>
      </c>
      <c r="AM21" s="329">
        <f>('BS 3Q2022'!AM23-'BS 3Q2022'!AK23)+('BS 3Q2022'!AM33-'BS 3Q2022'!AK33)+('BS 3Q2022'!AM34-'BS 3Q2022'!AK34)+('BS 3Q2022'!AM26-'BS 3Q2022'!AK26)+('BS 3Q2022'!AM24-'BS 3Q2022'!AK24)</f>
        <v>-34.280370029247024</v>
      </c>
      <c r="AN21" s="329">
        <f>('BS 3Q2022'!AN23-'BS 3Q2022'!AM23)+('BS 3Q2022'!AN33-'BS 3Q2022'!AM33)+('BS 3Q2022'!AN34-'BS 3Q2022'!AM34)+('BS 3Q2022'!AN26-'BS 3Q2022'!AM26)+('BS 3Q2022'!AN24-'BS 3Q2022'!AM24)</f>
        <v>-34.113580676922538</v>
      </c>
      <c r="AO21" s="329">
        <f>('BS 3Q2022'!AO23-'BS 3Q2022'!AN23)+('BS 3Q2022'!AO33-'BS 3Q2022'!AN33)+('BS 3Q2022'!AO34-'BS 3Q2022'!AN34)+('BS 3Q2022'!AO26-'BS 3Q2022'!AN26)+('BS 3Q2022'!AO24-'BS 3Q2022'!AN24)</f>
        <v>-33.947606821368026</v>
      </c>
      <c r="AP21" s="329">
        <f>('BS 3Q2022'!AP23-'BS 3Q2022'!AO23)+('BS 3Q2022'!AP33-'BS 3Q2022'!AO33)+('BS 3Q2022'!AP34-'BS 3Q2022'!AO34)+('BS 3Q2022'!AP26-'BS 3Q2022'!AO26)+('BS 3Q2022'!AP24-'BS 3Q2022'!AO24)</f>
        <v>-33.7824444589005</v>
      </c>
      <c r="AQ21" s="330">
        <f t="shared" si="22"/>
        <v>-136.12400198643809</v>
      </c>
      <c r="AR21" s="329">
        <f>('BS 3Q2022'!AR23-'BS 3Q2022'!AP23)+('BS 3Q2022'!AR33-'BS 3Q2022'!AP33)+('BS 3Q2022'!AR34-'BS 3Q2022'!AP34)+('BS 3Q2022'!AR26-'BS 3Q2022'!AP26)+('BS 3Q2022'!AR24-'BS 3Q2022'!AP24)</f>
        <v>-33.618089605559135</v>
      </c>
      <c r="AS21" s="329">
        <f>('BS 3Q2022'!AS23-'BS 3Q2022'!AR23)+('BS 3Q2022'!AS33-'BS 3Q2022'!AR33)+('BS 3Q2022'!AS34-'BS 3Q2022'!AR34)+('BS 3Q2022'!AS26-'BS 3Q2022'!AR26)+('BS 3Q2022'!AS24-'BS 3Q2022'!AR24)</f>
        <v>-33.454538297008185</v>
      </c>
      <c r="AT21" s="329">
        <f>('BS 3Q2022'!AT23-'BS 3Q2022'!AS23)+('BS 3Q2022'!AT33-'BS 3Q2022'!AS33)+('BS 3Q2022'!AT34-'BS 3Q2022'!AS34)+('BS 3Q2022'!AT26-'BS 3Q2022'!AS26)+('BS 3Q2022'!AT24-'BS 3Q2022'!AS24)</f>
        <v>-33.291786588442392</v>
      </c>
      <c r="AU21" s="329">
        <f>('BS 3Q2022'!AU23-'BS 3Q2022'!AT23)+('BS 3Q2022'!AU33-'BS 3Q2022'!AT33)+('BS 3Q2022'!AU34-'BS 3Q2022'!AT34)+('BS 3Q2022'!AU26-'BS 3Q2022'!AT26)+('BS 3Q2022'!AU24-'BS 3Q2022'!AT24)</f>
        <v>-33.129830554487398</v>
      </c>
      <c r="AV21" s="330">
        <f t="shared" si="23"/>
        <v>-133.49424504549711</v>
      </c>
    </row>
    <row r="22" spans="2:48" outlineLevel="1" x14ac:dyDescent="0.3">
      <c r="B22" s="627" t="s">
        <v>280</v>
      </c>
      <c r="C22" s="628"/>
      <c r="D22" s="331">
        <f t="shared" ref="D22:AV22" si="25">D6+SUM(D7:D21)</f>
        <v>2379.0000000000005</v>
      </c>
      <c r="E22" s="331">
        <f t="shared" si="25"/>
        <v>390.39999999999969</v>
      </c>
      <c r="F22" s="331">
        <f t="shared" si="25"/>
        <v>1169.400000000001</v>
      </c>
      <c r="G22" s="331">
        <f t="shared" si="25"/>
        <v>1108.1000000000008</v>
      </c>
      <c r="H22" s="332">
        <f t="shared" si="25"/>
        <v>5046.9000000000051</v>
      </c>
      <c r="I22" s="331">
        <f t="shared" si="25"/>
        <v>1836.0999999999985</v>
      </c>
      <c r="J22" s="331">
        <f t="shared" si="25"/>
        <v>-1361.3000000000009</v>
      </c>
      <c r="K22" s="331">
        <f t="shared" si="25"/>
        <v>-367.69999999999925</v>
      </c>
      <c r="L22" s="331">
        <f t="shared" si="25"/>
        <v>1490.7000000000014</v>
      </c>
      <c r="M22" s="332">
        <f t="shared" si="25"/>
        <v>1597.8000000000043</v>
      </c>
      <c r="N22" s="331">
        <f t="shared" si="25"/>
        <v>1835.7000000000003</v>
      </c>
      <c r="O22" s="331">
        <f t="shared" si="25"/>
        <v>883.80000000000018</v>
      </c>
      <c r="P22" s="331">
        <f t="shared" si="25"/>
        <v>1748.9999999999991</v>
      </c>
      <c r="Q22" s="331">
        <f t="shared" si="25"/>
        <v>1520.6999999999996</v>
      </c>
      <c r="R22" s="332">
        <f t="shared" si="25"/>
        <v>5989.199999999998</v>
      </c>
      <c r="S22" s="331">
        <f t="shared" si="25"/>
        <v>1870.8999999999999</v>
      </c>
      <c r="T22" s="331">
        <f t="shared" si="25"/>
        <v>161.9000000000002</v>
      </c>
      <c r="U22" s="331">
        <f t="shared" si="25"/>
        <v>1264.7999999999993</v>
      </c>
      <c r="V22" s="331">
        <f t="shared" si="25"/>
        <v>1337.2390938203303</v>
      </c>
      <c r="W22" s="332">
        <f>W6+SUM(W7:W21)</f>
        <v>4634.8390938203302</v>
      </c>
      <c r="X22" s="331">
        <f t="shared" si="25"/>
        <v>1680.9752258233507</v>
      </c>
      <c r="Y22" s="331">
        <f t="shared" si="25"/>
        <v>715.61234575877268</v>
      </c>
      <c r="Z22" s="331">
        <f t="shared" si="25"/>
        <v>1075.0034481742098</v>
      </c>
      <c r="AA22" s="331">
        <f t="shared" si="25"/>
        <v>1946.1761553741014</v>
      </c>
      <c r="AB22" s="332">
        <f t="shared" si="25"/>
        <v>5417.7671751304351</v>
      </c>
      <c r="AC22" s="331">
        <f t="shared" si="25"/>
        <v>2096.0396741235641</v>
      </c>
      <c r="AD22" s="331">
        <f t="shared" si="25"/>
        <v>984.18292262234183</v>
      </c>
      <c r="AE22" s="331">
        <f t="shared" si="25"/>
        <v>1447.0905589101023</v>
      </c>
      <c r="AF22" s="331">
        <f t="shared" si="25"/>
        <v>1898.0343018849289</v>
      </c>
      <c r="AG22" s="332">
        <f t="shared" si="25"/>
        <v>6425.3474575409364</v>
      </c>
      <c r="AH22" s="331">
        <f t="shared" si="25"/>
        <v>2315.1856259510178</v>
      </c>
      <c r="AI22" s="331">
        <f t="shared" si="25"/>
        <v>1123.8103766267191</v>
      </c>
      <c r="AJ22" s="331">
        <f t="shared" si="25"/>
        <v>1622.8861318649228</v>
      </c>
      <c r="AK22" s="331">
        <f t="shared" si="25"/>
        <v>2200.836533070601</v>
      </c>
      <c r="AL22" s="332">
        <f t="shared" si="25"/>
        <v>7262.7186675132607</v>
      </c>
      <c r="AM22" s="331">
        <f t="shared" si="25"/>
        <v>2581.2359385801456</v>
      </c>
      <c r="AN22" s="331">
        <f t="shared" si="25"/>
        <v>1224.2891845679426</v>
      </c>
      <c r="AO22" s="331">
        <f t="shared" si="25"/>
        <v>1735.0011166059276</v>
      </c>
      <c r="AP22" s="331">
        <f t="shared" si="25"/>
        <v>2420.0190980813932</v>
      </c>
      <c r="AQ22" s="332">
        <f t="shared" si="25"/>
        <v>7960.5453378354086</v>
      </c>
      <c r="AR22" s="331">
        <f t="shared" si="25"/>
        <v>2823.5197244357187</v>
      </c>
      <c r="AS22" s="331">
        <f t="shared" si="25"/>
        <v>1340.0371903558255</v>
      </c>
      <c r="AT22" s="331">
        <f t="shared" si="25"/>
        <v>1920.4019783879162</v>
      </c>
      <c r="AU22" s="331">
        <f t="shared" si="25"/>
        <v>2562.258639021421</v>
      </c>
      <c r="AV22" s="332">
        <f t="shared" si="25"/>
        <v>8646.2175322008825</v>
      </c>
    </row>
    <row r="23" spans="2:48" outlineLevel="1" x14ac:dyDescent="0.3">
      <c r="B23" s="597" t="s">
        <v>281</v>
      </c>
      <c r="C23" s="598"/>
      <c r="D23" s="333"/>
      <c r="E23" s="334"/>
      <c r="F23" s="334"/>
      <c r="G23" s="334"/>
      <c r="H23" s="335"/>
      <c r="I23" s="336"/>
      <c r="J23" s="336"/>
      <c r="K23" s="334"/>
      <c r="L23" s="334"/>
      <c r="M23" s="337"/>
      <c r="N23" s="334"/>
      <c r="O23" s="334"/>
      <c r="P23" s="334"/>
      <c r="Q23" s="334"/>
      <c r="R23" s="337"/>
      <c r="S23" s="334"/>
      <c r="T23" s="334"/>
      <c r="U23" s="334"/>
      <c r="V23" s="334"/>
      <c r="W23" s="337"/>
      <c r="X23" s="334"/>
      <c r="Y23" s="334"/>
      <c r="Z23" s="334"/>
      <c r="AA23" s="334"/>
      <c r="AB23" s="337"/>
      <c r="AC23" s="334"/>
      <c r="AD23" s="334"/>
      <c r="AE23" s="334"/>
      <c r="AF23" s="334"/>
      <c r="AG23" s="337"/>
      <c r="AH23" s="334"/>
      <c r="AI23" s="334"/>
      <c r="AJ23" s="334"/>
      <c r="AK23" s="334"/>
      <c r="AL23" s="337"/>
      <c r="AM23" s="334"/>
      <c r="AN23" s="334"/>
      <c r="AO23" s="334"/>
      <c r="AP23" s="334"/>
      <c r="AQ23" s="337"/>
      <c r="AR23" s="334"/>
      <c r="AS23" s="334"/>
      <c r="AT23" s="334"/>
      <c r="AU23" s="334"/>
      <c r="AV23" s="337"/>
    </row>
    <row r="24" spans="2:48" outlineLevel="1" x14ac:dyDescent="0.3">
      <c r="B24" s="200" t="s">
        <v>282</v>
      </c>
      <c r="C24" s="201"/>
      <c r="D24" s="16">
        <f>-108.7+32.1+14.2</f>
        <v>-62.399999999999991</v>
      </c>
      <c r="E24" s="16">
        <f>-150.2+218.3+55.1-D24</f>
        <v>185.60000000000002</v>
      </c>
      <c r="F24" s="16">
        <f>-176.3+281.7+57.5-E24-D24</f>
        <v>39.699999999999946</v>
      </c>
      <c r="G24" s="16">
        <f>-190.4+298.3+59.8-F24-E24-D24</f>
        <v>4.8000000000000256</v>
      </c>
      <c r="H24" s="17">
        <f>SUM(D24:G24)</f>
        <v>167.7</v>
      </c>
      <c r="I24" s="16">
        <f>-38+64.6+1.3</f>
        <v>27.899999999999995</v>
      </c>
      <c r="J24" s="16">
        <f>-65.1+93.7+4.3-I24</f>
        <v>5.0000000000000107</v>
      </c>
      <c r="K24" s="16">
        <f>-297.4+133.5+10-J24-I24</f>
        <v>-186.79999999999998</v>
      </c>
      <c r="L24" s="16">
        <f>-443.9+186.7+73.7-K24-J24-I24</f>
        <v>-29.600000000000023</v>
      </c>
      <c r="M24" s="17">
        <f>SUM(I24:L24)</f>
        <v>-183.5</v>
      </c>
      <c r="N24" s="16">
        <f>-135.5+91.2+113.7</f>
        <v>69.400000000000006</v>
      </c>
      <c r="O24" s="16">
        <f>-321.7+121.7+289-N24</f>
        <v>19.599999999999994</v>
      </c>
      <c r="P24" s="16">
        <f>-367.3+130.4+298.7-O24-N24</f>
        <v>-27.200000000000017</v>
      </c>
      <c r="Q24" s="16">
        <f>-432+143.2+345.5-P24-O24-N24</f>
        <v>-5.0999999999999943</v>
      </c>
      <c r="R24" s="17">
        <f>SUM(N24:Q24)</f>
        <v>56.699999999999989</v>
      </c>
      <c r="S24" s="16">
        <f>-61+72.6+45.6</f>
        <v>57.199999999999996</v>
      </c>
      <c r="T24" s="16">
        <f>-67.5+72.6+55.7-S24</f>
        <v>3.6000000000000014</v>
      </c>
      <c r="U24" s="16">
        <f>-117.3+72.6+59.5-T24-S24</f>
        <v>-46</v>
      </c>
      <c r="V24" s="16">
        <f>-('BS 3Q2022'!V7-'BS 3Q2022'!U7)-('BS 3Q2022'!V12-'BS 3Q2022'!U12)</f>
        <v>-4.1259993581648757</v>
      </c>
      <c r="W24" s="17">
        <f>SUM(S24:V24)</f>
        <v>10.674000641835121</v>
      </c>
      <c r="X24" s="16">
        <f>-('BS 3Q2022'!X7-'BS 3Q2022'!V7)-('BS 3Q2022'!X12-'BS 3Q2022'!V12)</f>
        <v>-4.3274850693935321</v>
      </c>
      <c r="Y24" s="16">
        <f>-('BS 3Q2022'!Y7-'BS 3Q2022'!X7)-('BS 3Q2022'!Y12-'BS 3Q2022'!X12)</f>
        <v>3.9629849836104825</v>
      </c>
      <c r="Z24" s="16">
        <f>-('BS 3Q2022'!Z7-'BS 3Q2022'!Y7)-('BS 3Q2022'!Z12-'BS 3Q2022'!Y12)</f>
        <v>-11.200484529819349</v>
      </c>
      <c r="AA24" s="16">
        <f>-('BS 3Q2022'!AA7-'BS 3Q2022'!Z7)-('BS 3Q2022'!AA12-'BS 3Q2022'!Z12)</f>
        <v>-4.2586131396127058</v>
      </c>
      <c r="AB24" s="17">
        <f>SUM(X24:AA24)</f>
        <v>-15.823597755215104</v>
      </c>
      <c r="AC24" s="16">
        <f>-('BS 3Q2022'!AC7-'BS 3Q2022'!AA7)-('BS 3Q2022'!AC12-'BS 3Q2022'!AA12)</f>
        <v>-13.793620527275763</v>
      </c>
      <c r="AD24" s="16">
        <f>-('BS 3Q2022'!AD7-'BS 3Q2022'!AC7)-('BS 3Q2022'!AD12-'BS 3Q2022'!AC12)</f>
        <v>0.60459004128858851</v>
      </c>
      <c r="AE24" s="16">
        <f>-('BS 3Q2022'!AE7-'BS 3Q2022'!AD7)-('BS 3Q2022'!AE12-'BS 3Q2022'!AD12)</f>
        <v>-9.2492870448767377</v>
      </c>
      <c r="AF24" s="16">
        <f>-('BS 3Q2022'!AF7-'BS 3Q2022'!AE7)-('BS 3Q2022'!AF12-'BS 3Q2022'!AE12)</f>
        <v>-5.2842195307710114</v>
      </c>
      <c r="AG24" s="17">
        <f>SUM(AC24:AF24)</f>
        <v>-27.722537061634924</v>
      </c>
      <c r="AH24" s="16">
        <f>-('BS 3Q2022'!AH7-'BS 3Q2022'!AF7)-('BS 3Q2022'!AH12-'BS 3Q2022'!AF12)</f>
        <v>-16.099219072777217</v>
      </c>
      <c r="AI24" s="16">
        <f>-('BS 3Q2022'!AI7-'BS 3Q2022'!AH7)-('BS 3Q2022'!AI12-'BS 3Q2022'!AH12)</f>
        <v>0.14542720808130127</v>
      </c>
      <c r="AJ24" s="16">
        <f>-('BS 3Q2022'!AJ7-'BS 3Q2022'!AI7)-('BS 3Q2022'!AJ12-'BS 3Q2022'!AI12)</f>
        <v>-15.112732305197483</v>
      </c>
      <c r="AK24" s="16">
        <f>-('BS 3Q2022'!AK7-'BS 3Q2022'!AJ7)-('BS 3Q2022'!AK12-'BS 3Q2022'!AJ12)</f>
        <v>61.064518598499077</v>
      </c>
      <c r="AL24" s="17">
        <f>SUM(AH24:AK24)</f>
        <v>29.997994428605679</v>
      </c>
      <c r="AM24" s="16">
        <f>-('BS 3Q2022'!AM7-'BS 3Q2022'!AK7)-('BS 3Q2022'!AM12-'BS 3Q2022'!AK12)</f>
        <v>-15.511347889801613</v>
      </c>
      <c r="AN24" s="16">
        <f>-('BS 3Q2022'!AN7-'BS 3Q2022'!AM7)-('BS 3Q2022'!AN12-'BS 3Q2022'!AM12)</f>
        <v>2.2289851837894901</v>
      </c>
      <c r="AO24" s="16">
        <f>-('BS 3Q2022'!AO7-'BS 3Q2022'!AN7)-('BS 3Q2022'!AO12-'BS 3Q2022'!AN12)</f>
        <v>-11.722250650789007</v>
      </c>
      <c r="AP24" s="16">
        <f>-('BS 3Q2022'!AP7-'BS 3Q2022'!AO7)-('BS 3Q2022'!AP12-'BS 3Q2022'!AO12)</f>
        <v>-5.5824430425501959</v>
      </c>
      <c r="AQ24" s="17">
        <f>SUM(AM24:AP24)</f>
        <v>-30.587056399351326</v>
      </c>
      <c r="AR24" s="16">
        <f>-('BS 3Q2022'!AR7-'BS 3Q2022'!AP7)-('BS 3Q2022'!AR12-'BS 3Q2022'!AP12)</f>
        <v>-17.643727490371234</v>
      </c>
      <c r="AS24" s="16">
        <f>-('BS 3Q2022'!AS7-'BS 3Q2022'!AR7)-('BS 3Q2022'!AS12-'BS 3Q2022'!AR12)</f>
        <v>1.2150608149971731</v>
      </c>
      <c r="AT24" s="16">
        <f>-('BS 3Q2022'!AT7-'BS 3Q2022'!AS7)-('BS 3Q2022'!AT12-'BS 3Q2022'!AS12)</f>
        <v>-13.25502087241577</v>
      </c>
      <c r="AU24" s="16">
        <f>-('BS 3Q2022'!AU7-'BS 3Q2022'!AT7)-('BS 3Q2022'!AU12-'BS 3Q2022'!AT12)</f>
        <v>-6.8865534574673717</v>
      </c>
      <c r="AV24" s="17">
        <f>SUM(AR24:AU24)</f>
        <v>-36.570241005257202</v>
      </c>
    </row>
    <row r="25" spans="2:48" outlineLevel="1" x14ac:dyDescent="0.3">
      <c r="B25" s="580" t="s">
        <v>283</v>
      </c>
      <c r="C25" s="581"/>
      <c r="D25" s="16">
        <v>-431.4</v>
      </c>
      <c r="E25" s="16">
        <f>-845.6-D25</f>
        <v>-414.20000000000005</v>
      </c>
      <c r="F25" s="16">
        <f>-1280.7-E25-D25</f>
        <v>-435.1</v>
      </c>
      <c r="G25" s="16">
        <f>-1806.6-F25-E25-D25</f>
        <v>-525.9</v>
      </c>
      <c r="H25" s="169">
        <f>SUM(D25:G25)</f>
        <v>-1806.6</v>
      </c>
      <c r="I25" s="16">
        <v>-394.3</v>
      </c>
      <c r="J25" s="16">
        <f>-758.3-I25</f>
        <v>-363.99999999999994</v>
      </c>
      <c r="K25" s="16">
        <f>-1138.4-J25-I25</f>
        <v>-380.10000000000008</v>
      </c>
      <c r="L25" s="16">
        <f>-1483.6-K25-J25-I25</f>
        <v>-345.19999999999976</v>
      </c>
      <c r="M25" s="169">
        <f>SUM(I25:L25)</f>
        <v>-1483.6</v>
      </c>
      <c r="N25" s="16">
        <v>-324.2</v>
      </c>
      <c r="O25" s="16">
        <f>-647.9-N25</f>
        <v>-323.7</v>
      </c>
      <c r="P25" s="16">
        <f>-985.7-O25-N25</f>
        <v>-337.8</v>
      </c>
      <c r="Q25" s="16">
        <f>-1470-P25-O25-N25</f>
        <v>-484.3</v>
      </c>
      <c r="R25" s="169">
        <f>SUM(N25:Q25)</f>
        <v>-1470</v>
      </c>
      <c r="S25" s="16">
        <v>-416.8</v>
      </c>
      <c r="T25" s="16">
        <f>-871.9-S25</f>
        <v>-455.09999999999997</v>
      </c>
      <c r="U25" s="16">
        <f>-1295.4-T25-S25</f>
        <v>-423.50000000000017</v>
      </c>
      <c r="V25" s="16">
        <f>-'IS 3Q2022'!V8*V56</f>
        <v>-487.54168746488921</v>
      </c>
      <c r="W25" s="169">
        <f>SUM(S25:V25)</f>
        <v>-1782.9416874648894</v>
      </c>
      <c r="X25" s="16">
        <f>-'IS 3Q2022'!X8*X56</f>
        <v>-668.64144810103335</v>
      </c>
      <c r="Y25" s="16">
        <f>-'IS 3Q2022'!Y8*Y56</f>
        <v>-647.40361854763819</v>
      </c>
      <c r="Z25" s="16">
        <f>-'IS 3Q2022'!Z8*Z56</f>
        <v>-708.94568024971056</v>
      </c>
      <c r="AA25" s="16">
        <f>-'IS 3Q2022'!AA8*AA56</f>
        <v>-725.00925310161779</v>
      </c>
      <c r="AB25" s="418">
        <f>SUM(X25:AA25)</f>
        <v>-2750</v>
      </c>
      <c r="AC25" s="16">
        <f>-'IS 3Q2022'!AC8*AC56</f>
        <v>-679.91445090791535</v>
      </c>
      <c r="AD25" s="16">
        <f>-'IS 3Q2022'!AD8*AD56</f>
        <v>-642.83137193609161</v>
      </c>
      <c r="AE25" s="16">
        <f>-'IS 3Q2022'!AE8*AE56</f>
        <v>-704.54610476935875</v>
      </c>
      <c r="AF25" s="16">
        <f>-'IS 3Q2022'!AF8*AF56</f>
        <v>-722.7080723866344</v>
      </c>
      <c r="AG25" s="418">
        <f>SUM(AC25:AF25)</f>
        <v>-2750</v>
      </c>
      <c r="AH25" s="16">
        <f>-'IS 3Q2022'!AH8*AH56</f>
        <v>-679.70233690452073</v>
      </c>
      <c r="AI25" s="16">
        <f>-'IS 3Q2022'!AI8*AI56</f>
        <v>-642.1409233651508</v>
      </c>
      <c r="AJ25" s="16">
        <f>-'IS 3Q2022'!AJ8*AJ56</f>
        <v>-704.23765768572832</v>
      </c>
      <c r="AK25" s="16">
        <f>-'IS 3Q2022'!AK8*AK56</f>
        <v>-723.91908204459253</v>
      </c>
      <c r="AL25" s="418">
        <f>SUM(AH25:AK25)</f>
        <v>-2749.9999999999923</v>
      </c>
      <c r="AM25" s="16">
        <f>-'IS 3Q2022'!AM8*AM56</f>
        <v>-747.74618758998724</v>
      </c>
      <c r="AN25" s="16">
        <f>-'IS 3Q2022'!AN8*AN56</f>
        <v>-702.84617323811699</v>
      </c>
      <c r="AO25" s="16">
        <f>-'IS 3Q2022'!AO8*AO56</f>
        <v>-767.99886256777359</v>
      </c>
      <c r="AP25" s="16">
        <f>-'IS 3Q2022'!AP8*AP56</f>
        <v>-787.09563690279879</v>
      </c>
      <c r="AQ25" s="17">
        <f>SUM(AM25:AP25)</f>
        <v>-3005.6868602986769</v>
      </c>
      <c r="AR25" s="16">
        <f>-'IS 3Q2022'!AR8*AR56</f>
        <v>-796.38125597218891</v>
      </c>
      <c r="AS25" s="16">
        <f>-'IS 3Q2022'!AS8*AS56</f>
        <v>-748.0203714828491</v>
      </c>
      <c r="AT25" s="16">
        <f>-'IS 3Q2022'!AT8*AT56</f>
        <v>-817.19059843482205</v>
      </c>
      <c r="AU25" s="16">
        <f>-'IS 3Q2022'!AU8*AU56</f>
        <v>-837.74595396265283</v>
      </c>
      <c r="AV25" s="17">
        <f>SUM(AR25:AU25)</f>
        <v>-3199.3381798525129</v>
      </c>
    </row>
    <row r="26" spans="2:48" ht="16.2" outlineLevel="1" x14ac:dyDescent="0.45">
      <c r="B26" s="580" t="s">
        <v>284</v>
      </c>
      <c r="C26" s="581"/>
      <c r="D26" s="260">
        <v>-16.600000000000001</v>
      </c>
      <c r="E26" s="260">
        <f>48.5-37.1-D26</f>
        <v>28</v>
      </c>
      <c r="F26" s="260">
        <f>684.2-72.9-E26-D26</f>
        <v>599.90000000000009</v>
      </c>
      <c r="G26" s="260">
        <f>684.3-56.2-F26-E26-D26</f>
        <v>16.79999999999982</v>
      </c>
      <c r="H26" s="261">
        <f>SUM(D26:G26)</f>
        <v>628.09999999999991</v>
      </c>
      <c r="I26" s="260">
        <v>-19.899999999999999</v>
      </c>
      <c r="J26" s="260">
        <f>-22.5-I26</f>
        <v>-2.6000000000000014</v>
      </c>
      <c r="K26" s="260">
        <f>-39.4-J26-I26</f>
        <v>-16.899999999999999</v>
      </c>
      <c r="L26" s="260">
        <f>-44.4-K26-J26-I26</f>
        <v>-5</v>
      </c>
      <c r="M26" s="261">
        <f>SUM(I26:L26)</f>
        <v>-44.4</v>
      </c>
      <c r="N26" s="260">
        <v>-17.7</v>
      </c>
      <c r="O26" s="260">
        <f>-20.1-N26</f>
        <v>-2.4000000000000021</v>
      </c>
      <c r="P26" s="260">
        <f>-62.3-O26-N26</f>
        <v>-42.199999999999989</v>
      </c>
      <c r="Q26" s="260">
        <f>1175-81.2-P26-O26-N26</f>
        <v>1156.1000000000001</v>
      </c>
      <c r="R26" s="261">
        <f>SUM(N26:Q26)</f>
        <v>1093.8000000000002</v>
      </c>
      <c r="S26" s="260">
        <v>-41.4</v>
      </c>
      <c r="T26" s="260">
        <f>-69.8-S26</f>
        <v>-28.4</v>
      </c>
      <c r="U26" s="260">
        <f>-95.7-T26-S26</f>
        <v>-25.900000000000013</v>
      </c>
      <c r="V26" s="260">
        <f>-('BS 3Q2022'!V13-'BS 3Q2022'!U13)-('BS 3Q2022'!V17-'BS 3Q2022'!U17)-('BS 3Q2022'!V15-'BS 3Q2022'!U15)+('BS 3Q2022'!V32-'BS 3Q2022'!U32)-('BS 3Q2022'!V18-'BS 3Q2022'!U18)-('BS 3Q2022'!V19-'BS 3Q2022'!U19)</f>
        <v>21.646156080834032</v>
      </c>
      <c r="W26" s="261">
        <f>SUM(S26:V26)</f>
        <v>-74.053843919165985</v>
      </c>
      <c r="X26" s="260">
        <f>-('BS 3Q2022'!X13-'BS 3Q2022'!V13)-('BS 3Q2022'!X17-'BS 3Q2022'!V17)-('BS 3Q2022'!X15-'BS 3Q2022'!V15)+('BS 3Q2022'!X32-'BS 3Q2022'!V32)-('BS 3Q2022'!X18-'BS 3Q2022'!V18)-('BS 3Q2022'!X19-'BS 3Q2022'!V19)</f>
        <v>-0.33275892022197695</v>
      </c>
      <c r="Y26" s="260">
        <f>-('BS 3Q2022'!Y13-'BS 3Q2022'!X13)-('BS 3Q2022'!Y17-'BS 3Q2022'!X17)-('BS 3Q2022'!Y15-'BS 3Q2022'!X15)+('BS 3Q2022'!Y32-'BS 3Q2022'!X32)-('BS 3Q2022'!Y18-'BS 3Q2022'!X18)-('BS 3Q2022'!Y19-'BS 3Q2022'!X19)</f>
        <v>19.028199364505525</v>
      </c>
      <c r="Z26" s="260">
        <f>-('BS 3Q2022'!Z13-'BS 3Q2022'!Y13)-('BS 3Q2022'!Z17-'BS 3Q2022'!Y17)-('BS 3Q2022'!Z15-'BS 3Q2022'!Y15)+('BS 3Q2022'!Z32-'BS 3Q2022'!Y32)-('BS 3Q2022'!Z18-'BS 3Q2022'!Y18)-('BS 3Q2022'!Z19-'BS 3Q2022'!Y19)</f>
        <v>0.11916738937679838</v>
      </c>
      <c r="AA26" s="260">
        <f>-('BS 3Q2022'!AA13-'BS 3Q2022'!Z13)-('BS 3Q2022'!AA17-'BS 3Q2022'!Z17)-('BS 3Q2022'!AA15-'BS 3Q2022'!Z15)+('BS 3Q2022'!AA32-'BS 3Q2022'!Z32)-('BS 3Q2022'!AA18-'BS 3Q2022'!Z18)-('BS 3Q2022'!AA19-'BS 3Q2022'!Z19)</f>
        <v>6.7786717047456762</v>
      </c>
      <c r="AB26" s="261">
        <f>SUM(X26:AA26)</f>
        <v>25.593279538406023</v>
      </c>
      <c r="AC26" s="260">
        <f>-('BS 3Q2022'!AC13-'BS 3Q2022'!AA13)-('BS 3Q2022'!AC17-'BS 3Q2022'!AA17)-('BS 3Q2022'!AC15-'BS 3Q2022'!AA15)+('BS 3Q2022'!AC32-'BS 3Q2022'!AA32)-('BS 3Q2022'!AC18-'BS 3Q2022'!AA18)-('BS 3Q2022'!AC19-'BS 3Q2022'!AA19)</f>
        <v>-13.339814650338951</v>
      </c>
      <c r="AD26" s="260">
        <f>-('BS 3Q2022'!AD13-'BS 3Q2022'!AC13)-('BS 3Q2022'!AD17-'BS 3Q2022'!AC17)-('BS 3Q2022'!AD15-'BS 3Q2022'!AC15)+('BS 3Q2022'!AD32-'BS 3Q2022'!AC32)-('BS 3Q2022'!AD18-'BS 3Q2022'!AC18)-('BS 3Q2022'!AD19-'BS 3Q2022'!AC19)</f>
        <v>12.786314681317606</v>
      </c>
      <c r="AE26" s="260">
        <f>-('BS 3Q2022'!AE13-'BS 3Q2022'!AD13)-('BS 3Q2022'!AE17-'BS 3Q2022'!AD17)-('BS 3Q2022'!AE15-'BS 3Q2022'!AD15)+('BS 3Q2022'!AE32-'BS 3Q2022'!AD32)-('BS 3Q2022'!AE18-'BS 3Q2022'!AD18)-('BS 3Q2022'!AE19-'BS 3Q2022'!AD19)</f>
        <v>-4.1195312125490489</v>
      </c>
      <c r="AF26" s="260">
        <f>-('BS 3Q2022'!AF13-'BS 3Q2022'!AE13)-('BS 3Q2022'!AF17-'BS 3Q2022'!AE17)-('BS 3Q2022'!AF15-'BS 3Q2022'!AE15)+('BS 3Q2022'!AF32-'BS 3Q2022'!AE32)-('BS 3Q2022'!AF18-'BS 3Q2022'!AE18)-('BS 3Q2022'!AF19-'BS 3Q2022'!AE19)</f>
        <v>0.91949201359113886</v>
      </c>
      <c r="AG26" s="261">
        <f>SUM(AC26:AF26)</f>
        <v>-3.7535391679792554</v>
      </c>
      <c r="AH26" s="260">
        <f>-('BS 3Q2022'!AH13-'BS 3Q2022'!AF13)-('BS 3Q2022'!AH17-'BS 3Q2022'!AF17)-('BS 3Q2022'!AH15-'BS 3Q2022'!AF15)+('BS 3Q2022'!AH32-'BS 3Q2022'!AF32)-('BS 3Q2022'!AH18-'BS 3Q2022'!AF18)-('BS 3Q2022'!AH19-'BS 3Q2022'!AF19)</f>
        <v>-18.682130624768888</v>
      </c>
      <c r="AI26" s="260">
        <f>-('BS 3Q2022'!AI13-'BS 3Q2022'!AH13)-('BS 3Q2022'!AI17-'BS 3Q2022'!AH17)-('BS 3Q2022'!AI15-'BS 3Q2022'!AH15)+('BS 3Q2022'!AI32-'BS 3Q2022'!AH32)-('BS 3Q2022'!AI18-'BS 3Q2022'!AH18)-('BS 3Q2022'!AI19-'BS 3Q2022'!AH19)</f>
        <v>9.2867697898808643</v>
      </c>
      <c r="AJ26" s="260">
        <f>-('BS 3Q2022'!AJ13-'BS 3Q2022'!AI13)-('BS 3Q2022'!AJ17-'BS 3Q2022'!AI17)-('BS 3Q2022'!AJ15-'BS 3Q2022'!AI15)+('BS 3Q2022'!AJ32-'BS 3Q2022'!AI32)-('BS 3Q2022'!AJ18-'BS 3Q2022'!AI18)-('BS 3Q2022'!AJ19-'BS 3Q2022'!AI19)</f>
        <v>-17.6609082117631</v>
      </c>
      <c r="AK26" s="260">
        <f>-('BS 3Q2022'!AK13-'BS 3Q2022'!AJ13)-('BS 3Q2022'!AK17-'BS 3Q2022'!AJ17)-('BS 3Q2022'!AK15-'BS 3Q2022'!AJ15)+('BS 3Q2022'!AK32-'BS 3Q2022'!AJ32)-('BS 3Q2022'!AK18-'BS 3Q2022'!AJ18)-('BS 3Q2022'!AK19-'BS 3Q2022'!AJ19)</f>
        <v>113.43873735190577</v>
      </c>
      <c r="AL26" s="261">
        <f>SUM(AH26:AK26)</f>
        <v>86.382468305254648</v>
      </c>
      <c r="AM26" s="260">
        <f>-('BS 3Q2022'!AM13-'BS 3Q2022'!AK13)-('BS 3Q2022'!AM17-'BS 3Q2022'!AK17)-('BS 3Q2022'!AM15-'BS 3Q2022'!AK15)+('BS 3Q2022'!AM32-'BS 3Q2022'!AK32)-('BS 3Q2022'!AM18-'BS 3Q2022'!AK18)-('BS 3Q2022'!AM19-'BS 3Q2022'!AK19)</f>
        <v>-19.553063234851415</v>
      </c>
      <c r="AN26" s="260">
        <f>-('BS 3Q2022'!AN13-'BS 3Q2022'!AM13)-('BS 3Q2022'!AN17-'BS 3Q2022'!AM17)-('BS 3Q2022'!AN15-'BS 3Q2022'!AM15)+('BS 3Q2022'!AN32-'BS 3Q2022'!AM32)-('BS 3Q2022'!AN18-'BS 3Q2022'!AM18)-('BS 3Q2022'!AN19-'BS 3Q2022'!AM19)</f>
        <v>10.779084451538075</v>
      </c>
      <c r="AO26" s="260">
        <f>-('BS 3Q2022'!AO13-'BS 3Q2022'!AN13)-('BS 3Q2022'!AO17-'BS 3Q2022'!AN17)-('BS 3Q2022'!AO15-'BS 3Q2022'!AN15)+('BS 3Q2022'!AO32-'BS 3Q2022'!AN32)-('BS 3Q2022'!AO18-'BS 3Q2022'!AN18)-('BS 3Q2022'!AO19-'BS 3Q2022'!AN19)</f>
        <v>-13.797765563079629</v>
      </c>
      <c r="AP26" s="260">
        <f>-('BS 3Q2022'!AP13-'BS 3Q2022'!AO13)-('BS 3Q2022'!AP17-'BS 3Q2022'!AO17)-('BS 3Q2022'!AP15-'BS 3Q2022'!AO15)+('BS 3Q2022'!AP32-'BS 3Q2022'!AO32)-('BS 3Q2022'!AP18-'BS 3Q2022'!AO18)-('BS 3Q2022'!AP19-'BS 3Q2022'!AO19)</f>
        <v>-3.5813784385751504</v>
      </c>
      <c r="AQ26" s="261">
        <f>SUM(AM26:AP26)</f>
        <v>-26.153122784968119</v>
      </c>
      <c r="AR26" s="260">
        <f>-('BS 3Q2022'!AR13-'BS 3Q2022'!AP13)-('BS 3Q2022'!AR17-'BS 3Q2022'!AP17)-('BS 3Q2022'!AR15-'BS 3Q2022'!AP15)+('BS 3Q2022'!AR32-'BS 3Q2022'!AP32)-('BS 3Q2022'!AR18-'BS 3Q2022'!AP18)-('BS 3Q2022'!AR19-'BS 3Q2022'!AP19)</f>
        <v>-24.794675230808394</v>
      </c>
      <c r="AS26" s="260">
        <f>-('BS 3Q2022'!AS13-'BS 3Q2022'!AR13)-('BS 3Q2022'!AS17-'BS 3Q2022'!AR17)-('BS 3Q2022'!AS15-'BS 3Q2022'!AR15)+('BS 3Q2022'!AS32-'BS 3Q2022'!AR32)-('BS 3Q2022'!AS18-'BS 3Q2022'!AR18)-('BS 3Q2022'!AS19-'BS 3Q2022'!AR19)</f>
        <v>7.5343720242820282</v>
      </c>
      <c r="AT26" s="260">
        <f>-('BS 3Q2022'!AT13-'BS 3Q2022'!AS13)-('BS 3Q2022'!AT17-'BS 3Q2022'!AS17)-('BS 3Q2022'!AT15-'BS 3Q2022'!AS15)+('BS 3Q2022'!AT32-'BS 3Q2022'!AS32)-('BS 3Q2022'!AT18-'BS 3Q2022'!AS18)-('BS 3Q2022'!AT19-'BS 3Q2022'!AS19)</f>
        <v>-17.814598212621696</v>
      </c>
      <c r="AU26" s="260">
        <f>-('BS 3Q2022'!AU13-'BS 3Q2022'!AT13)-('BS 3Q2022'!AU17-'BS 3Q2022'!AT17)-('BS 3Q2022'!AU15-'BS 3Q2022'!AT15)+('BS 3Q2022'!AU32-'BS 3Q2022'!AT32)-('BS 3Q2022'!AU18-'BS 3Q2022'!AT18)-('BS 3Q2022'!AU19-'BS 3Q2022'!AT19)</f>
        <v>-7.0700320223620139</v>
      </c>
      <c r="AV26" s="261">
        <f>SUM(AR26:AU26)</f>
        <v>-42.144933441510076</v>
      </c>
    </row>
    <row r="27" spans="2:48" outlineLevel="1" x14ac:dyDescent="0.3">
      <c r="B27" s="587" t="s">
        <v>285</v>
      </c>
      <c r="C27" s="588"/>
      <c r="D27" s="21">
        <f t="shared" ref="D27:AV27" si="26">SUM(D24:D26)</f>
        <v>-510.4</v>
      </c>
      <c r="E27" s="21">
        <f t="shared" si="26"/>
        <v>-200.60000000000002</v>
      </c>
      <c r="F27" s="21">
        <f t="shared" si="26"/>
        <v>204.5</v>
      </c>
      <c r="G27" s="21">
        <f t="shared" si="26"/>
        <v>-504.30000000000007</v>
      </c>
      <c r="H27" s="22">
        <f t="shared" si="26"/>
        <v>-1010.8</v>
      </c>
      <c r="I27" s="21">
        <f t="shared" si="26"/>
        <v>-386.3</v>
      </c>
      <c r="J27" s="21">
        <f t="shared" si="26"/>
        <v>-361.59999999999997</v>
      </c>
      <c r="K27" s="21">
        <f t="shared" si="26"/>
        <v>-583.80000000000007</v>
      </c>
      <c r="L27" s="21">
        <f t="shared" si="26"/>
        <v>-379.79999999999978</v>
      </c>
      <c r="M27" s="22">
        <f t="shared" si="26"/>
        <v>-1711.5</v>
      </c>
      <c r="N27" s="21">
        <f t="shared" si="26"/>
        <v>-272.5</v>
      </c>
      <c r="O27" s="21">
        <f t="shared" si="26"/>
        <v>-306.5</v>
      </c>
      <c r="P27" s="21">
        <f t="shared" si="26"/>
        <v>-407.2</v>
      </c>
      <c r="Q27" s="21">
        <f t="shared" si="26"/>
        <v>666.70000000000016</v>
      </c>
      <c r="R27" s="22">
        <f t="shared" si="26"/>
        <v>-319.49999999999977</v>
      </c>
      <c r="S27" s="21">
        <f t="shared" si="26"/>
        <v>-401</v>
      </c>
      <c r="T27" s="21">
        <f t="shared" si="26"/>
        <v>-479.89999999999992</v>
      </c>
      <c r="U27" s="21">
        <f t="shared" si="26"/>
        <v>-495.4000000000002</v>
      </c>
      <c r="V27" s="21">
        <f t="shared" si="26"/>
        <v>-470.02153074222002</v>
      </c>
      <c r="W27" s="22">
        <f t="shared" si="26"/>
        <v>-1846.3215307422201</v>
      </c>
      <c r="X27" s="21">
        <f t="shared" si="26"/>
        <v>-673.30169209064888</v>
      </c>
      <c r="Y27" s="21">
        <f t="shared" si="26"/>
        <v>-624.41243419952218</v>
      </c>
      <c r="Z27" s="21">
        <f t="shared" si="26"/>
        <v>-720.02699739015316</v>
      </c>
      <c r="AA27" s="21">
        <f t="shared" si="26"/>
        <v>-722.48919453648489</v>
      </c>
      <c r="AB27" s="22">
        <f t="shared" si="26"/>
        <v>-2740.2303182168089</v>
      </c>
      <c r="AC27" s="21">
        <f t="shared" si="26"/>
        <v>-707.04788608553008</v>
      </c>
      <c r="AD27" s="21">
        <f t="shared" si="26"/>
        <v>-629.44046721348536</v>
      </c>
      <c r="AE27" s="21">
        <f t="shared" si="26"/>
        <v>-717.91492302678455</v>
      </c>
      <c r="AF27" s="21">
        <f t="shared" si="26"/>
        <v>-727.07279990381426</v>
      </c>
      <c r="AG27" s="22">
        <f t="shared" si="26"/>
        <v>-2781.4760762296141</v>
      </c>
      <c r="AH27" s="21">
        <f t="shared" si="26"/>
        <v>-714.48368660206688</v>
      </c>
      <c r="AI27" s="21">
        <f t="shared" si="26"/>
        <v>-632.70872636718866</v>
      </c>
      <c r="AJ27" s="21">
        <f t="shared" si="26"/>
        <v>-737.01129820268886</v>
      </c>
      <c r="AK27" s="21">
        <f t="shared" si="26"/>
        <v>-549.41582609418776</v>
      </c>
      <c r="AL27" s="22">
        <f t="shared" si="26"/>
        <v>-2633.6195372661318</v>
      </c>
      <c r="AM27" s="21">
        <f t="shared" si="26"/>
        <v>-782.81059871464026</v>
      </c>
      <c r="AN27" s="21">
        <f t="shared" si="26"/>
        <v>-689.83810360278937</v>
      </c>
      <c r="AO27" s="21">
        <f t="shared" si="26"/>
        <v>-793.51887878164223</v>
      </c>
      <c r="AP27" s="21">
        <f t="shared" si="26"/>
        <v>-796.25945838392408</v>
      </c>
      <c r="AQ27" s="22">
        <f t="shared" si="26"/>
        <v>-3062.4270394829964</v>
      </c>
      <c r="AR27" s="21">
        <f t="shared" si="26"/>
        <v>-838.81965869336852</v>
      </c>
      <c r="AS27" s="21">
        <f t="shared" si="26"/>
        <v>-739.27093864356993</v>
      </c>
      <c r="AT27" s="21">
        <f t="shared" si="26"/>
        <v>-848.26021751985957</v>
      </c>
      <c r="AU27" s="21">
        <f t="shared" si="26"/>
        <v>-851.70253944248225</v>
      </c>
      <c r="AV27" s="22">
        <f t="shared" si="26"/>
        <v>-3278.0533542992803</v>
      </c>
    </row>
    <row r="28" spans="2:48" outlineLevel="1" x14ac:dyDescent="0.3">
      <c r="B28" s="625" t="s">
        <v>286</v>
      </c>
      <c r="C28" s="626"/>
      <c r="D28" s="321"/>
      <c r="E28" s="323"/>
      <c r="F28" s="323"/>
      <c r="G28" s="323"/>
      <c r="H28" s="324"/>
      <c r="I28" s="323"/>
      <c r="J28" s="323"/>
      <c r="K28" s="323"/>
      <c r="L28" s="323"/>
      <c r="M28" s="324"/>
      <c r="N28" s="323"/>
      <c r="O28" s="323"/>
      <c r="P28" s="323"/>
      <c r="Q28" s="323"/>
      <c r="R28" s="324"/>
      <c r="S28" s="323"/>
      <c r="T28" s="323"/>
      <c r="U28" s="323"/>
      <c r="V28" s="323"/>
      <c r="W28" s="324"/>
      <c r="X28" s="323"/>
      <c r="Y28" s="323"/>
      <c r="Z28" s="323"/>
      <c r="AA28" s="323"/>
      <c r="AB28" s="324"/>
      <c r="AC28" s="323"/>
      <c r="AD28" s="323"/>
      <c r="AE28" s="323"/>
      <c r="AF28" s="323"/>
      <c r="AG28" s="324"/>
      <c r="AH28" s="323"/>
      <c r="AI28" s="323"/>
      <c r="AJ28" s="323"/>
      <c r="AK28" s="323"/>
      <c r="AL28" s="324"/>
      <c r="AM28" s="323"/>
      <c r="AN28" s="323"/>
      <c r="AO28" s="323"/>
      <c r="AP28" s="323"/>
      <c r="AQ28" s="324"/>
      <c r="AR28" s="323"/>
      <c r="AS28" s="323"/>
      <c r="AT28" s="323"/>
      <c r="AU28" s="323"/>
      <c r="AV28" s="324"/>
    </row>
    <row r="29" spans="2:48" outlineLevel="1" x14ac:dyDescent="0.3">
      <c r="B29" s="623" t="s">
        <v>263</v>
      </c>
      <c r="C29" s="624"/>
      <c r="D29" s="327">
        <v>0</v>
      </c>
      <c r="E29" s="327">
        <f>-D29</f>
        <v>0</v>
      </c>
      <c r="F29" s="327">
        <f>1996-350-E29-D29</f>
        <v>1646</v>
      </c>
      <c r="G29" s="327">
        <f>1996-F29-E29-D29</f>
        <v>350</v>
      </c>
      <c r="H29" s="328">
        <f t="shared" ref="H29:H36" si="27">SUM(D29:G29)</f>
        <v>1996</v>
      </c>
      <c r="I29" s="327">
        <v>0</v>
      </c>
      <c r="J29" s="327">
        <f>1739.7-I29</f>
        <v>1739.7</v>
      </c>
      <c r="K29" s="327">
        <f>1157.2+4727.6-J29-I29</f>
        <v>4145.1000000000004</v>
      </c>
      <c r="L29" s="327">
        <f>1406.6-K29-J29-I29</f>
        <v>-4478.2000000000007</v>
      </c>
      <c r="M29" s="328">
        <f t="shared" ref="M29:M36" si="28">SUM(I29:L29)</f>
        <v>1406.5999999999995</v>
      </c>
      <c r="N29" s="327">
        <v>192.9</v>
      </c>
      <c r="O29" s="327">
        <f>203.3-N29</f>
        <v>10.400000000000006</v>
      </c>
      <c r="P29" s="327">
        <f>215.6-O29-N29</f>
        <v>12.299999999999983</v>
      </c>
      <c r="Q29" s="327">
        <f>-296.5-P29-O29-N29</f>
        <v>-512.09999999999991</v>
      </c>
      <c r="R29" s="328">
        <f t="shared" ref="R29:R36" si="29">SUM(N29:Q29)</f>
        <v>-296.49999999999989</v>
      </c>
      <c r="S29" s="327">
        <v>200</v>
      </c>
      <c r="T29" s="327">
        <f>17.4+1498.1-S29</f>
        <v>1315.5</v>
      </c>
      <c r="U29" s="327">
        <f>200+38.9+1498.1-T29-S29</f>
        <v>221.5</v>
      </c>
      <c r="V29" s="327">
        <f>+('BS 3Q2022'!V28-'BS 3Q2022'!U28)+('BS 3Q2022'!V31-'BS 3Q2022'!U31)</f>
        <v>-199</v>
      </c>
      <c r="W29" s="328">
        <f t="shared" ref="W29:W36" si="30">SUM(S29:V29)</f>
        <v>1538</v>
      </c>
      <c r="X29" s="327">
        <f>+('BS 3Q2022'!X28-'BS 3Q2022'!V28)+('BS 3Q2022'!X31-'BS 3Q2022'!V31)</f>
        <v>0</v>
      </c>
      <c r="Y29" s="327">
        <f>+('BS 3Q2022'!Y28-'BS 3Q2022'!X28)+('BS 3Q2022'!Y31-'BS 3Q2022'!X31)</f>
        <v>0</v>
      </c>
      <c r="Z29" s="327">
        <f>+('BS 3Q2022'!Z28-'BS 3Q2022'!Y28)+('BS 3Q2022'!Z31-'BS 3Q2022'!Y31)</f>
        <v>0</v>
      </c>
      <c r="AA29" s="327">
        <f>+('BS 3Q2022'!AA28-'BS 3Q2022'!Z28)+('BS 3Q2022'!AA31-'BS 3Q2022'!Z31)</f>
        <v>0</v>
      </c>
      <c r="AB29" s="328">
        <f t="shared" ref="AB29:AB36" si="31">SUM(X29:AA29)</f>
        <v>0</v>
      </c>
      <c r="AC29" s="327">
        <f>+('BS 3Q2022'!AC28-'BS 3Q2022'!AA28)+('BS 3Q2022'!AC31-'BS 3Q2022'!AA31)</f>
        <v>0</v>
      </c>
      <c r="AD29" s="327">
        <f>+('BS 3Q2022'!AD28-'BS 3Q2022'!AC28)+('BS 3Q2022'!AD31-'BS 3Q2022'!AC31)</f>
        <v>-0.29999999999995453</v>
      </c>
      <c r="AE29" s="327">
        <f>+('BS 3Q2022'!AE28-'BS 3Q2022'!AD28)+('BS 3Q2022'!AE31-'BS 3Q2022'!AD31)</f>
        <v>0</v>
      </c>
      <c r="AF29" s="327">
        <f>+('BS 3Q2022'!AF28-'BS 3Q2022'!AE28)+('BS 3Q2022'!AF31-'BS 3Q2022'!AE31)</f>
        <v>100</v>
      </c>
      <c r="AG29" s="328">
        <f t="shared" ref="AG29:AG36" si="32">SUM(AC29:AF29)</f>
        <v>99.700000000000045</v>
      </c>
      <c r="AH29" s="327">
        <f>+('BS 3Q2022'!AH28-'BS 3Q2022'!AF28)+('BS 3Q2022'!AH31-'BS 3Q2022'!AF31)</f>
        <v>0</v>
      </c>
      <c r="AI29" s="327">
        <f>+('BS 3Q2022'!AI28-'BS 3Q2022'!AH28)+('BS 3Q2022'!AI31-'BS 3Q2022'!AH31)</f>
        <v>0</v>
      </c>
      <c r="AJ29" s="327">
        <f>+('BS 3Q2022'!AJ28-'BS 3Q2022'!AI28)+('BS 3Q2022'!AJ31-'BS 3Q2022'!AI31)</f>
        <v>5290.5983828510798</v>
      </c>
      <c r="AK29" s="327">
        <f>+('BS 3Q2022'!AK28-'BS 3Q2022'!AJ28)+('BS 3Q2022'!AK31-'BS 3Q2022'!AJ31)</f>
        <v>0</v>
      </c>
      <c r="AL29" s="328">
        <f t="shared" ref="AL29:AL36" si="33">SUM(AH29:AK29)</f>
        <v>5290.5983828510798</v>
      </c>
      <c r="AM29" s="327">
        <f>+('BS 3Q2022'!AM28-'BS 3Q2022'!AK28)+('BS 3Q2022'!AM31-'BS 3Q2022'!AK31)</f>
        <v>0</v>
      </c>
      <c r="AN29" s="327">
        <f>+('BS 3Q2022'!AN28-'BS 3Q2022'!AM28)+('BS 3Q2022'!AN31-'BS 3Q2022'!AM31)</f>
        <v>0</v>
      </c>
      <c r="AO29" s="327">
        <f>+('BS 3Q2022'!AO28-'BS 3Q2022'!AN28)+('BS 3Q2022'!AO31-'BS 3Q2022'!AN31)</f>
        <v>0</v>
      </c>
      <c r="AP29" s="327">
        <f>+('BS 3Q2022'!AP28-'BS 3Q2022'!AO28)+('BS 3Q2022'!AP31-'BS 3Q2022'!AO31)</f>
        <v>0</v>
      </c>
      <c r="AQ29" s="328">
        <f t="shared" ref="AQ29:AQ36" si="34">SUM(AM29:AP29)</f>
        <v>0</v>
      </c>
      <c r="AR29" s="327">
        <f>+('BS 3Q2022'!AR28-'BS 3Q2022'!AP28)+('BS 3Q2022'!AR31-'BS 3Q2022'!AP31)</f>
        <v>0</v>
      </c>
      <c r="AS29" s="327">
        <f>+('BS 3Q2022'!AS28-'BS 3Q2022'!AR28)+('BS 3Q2022'!AS31-'BS 3Q2022'!AR31)</f>
        <v>0</v>
      </c>
      <c r="AT29" s="327">
        <f>+('BS 3Q2022'!AT28-'BS 3Q2022'!AS28)+('BS 3Q2022'!AT31-'BS 3Q2022'!AS31)</f>
        <v>0</v>
      </c>
      <c r="AU29" s="327">
        <f>+('BS 3Q2022'!AU28-'BS 3Q2022'!AT28)+('BS 3Q2022'!AU31-'BS 3Q2022'!AT31)</f>
        <v>0</v>
      </c>
      <c r="AV29" s="328">
        <f t="shared" ref="AV29:AV36" si="35">SUM(AR29:AU29)</f>
        <v>0</v>
      </c>
    </row>
    <row r="30" spans="2:48" outlineLevel="1" x14ac:dyDescent="0.3">
      <c r="B30" s="325" t="s">
        <v>287</v>
      </c>
      <c r="C30" s="326"/>
      <c r="D30" s="327">
        <v>-350</v>
      </c>
      <c r="E30" s="327">
        <v>0</v>
      </c>
      <c r="F30" s="327">
        <f>-75-E30-D30</f>
        <v>275</v>
      </c>
      <c r="G30" s="327">
        <f>-350-F30-E30-D30</f>
        <v>-275</v>
      </c>
      <c r="H30" s="328">
        <f t="shared" si="27"/>
        <v>-350</v>
      </c>
      <c r="I30" s="327"/>
      <c r="J30" s="327">
        <f>0-I30</f>
        <v>0</v>
      </c>
      <c r="K30" s="327">
        <v>-220.7</v>
      </c>
      <c r="L30" s="327">
        <f>-967.7-K30-J30-I30</f>
        <v>-747</v>
      </c>
      <c r="M30" s="328">
        <f t="shared" si="28"/>
        <v>-967.7</v>
      </c>
      <c r="N30" s="327">
        <f>-144.7-500</f>
        <v>-644.70000000000005</v>
      </c>
      <c r="O30" s="327">
        <f>-296.5-320.5-1250-N30</f>
        <v>-1222.3</v>
      </c>
      <c r="P30" s="327">
        <f>-296.5-346.2-1250-O30-N30</f>
        <v>-25.700000000000045</v>
      </c>
      <c r="Q30" s="327">
        <f>215.1-349.8-1250-P30-O30-N30</f>
        <v>508</v>
      </c>
      <c r="R30" s="328">
        <f t="shared" si="29"/>
        <v>-1384.7</v>
      </c>
      <c r="S30" s="327"/>
      <c r="T30" s="327">
        <v>-12.6</v>
      </c>
      <c r="U30" s="327">
        <f>-38.9-1000-T30-S30</f>
        <v>-1026.3000000000002</v>
      </c>
      <c r="V30" s="327"/>
      <c r="W30" s="328">
        <f t="shared" si="30"/>
        <v>-1038.9000000000001</v>
      </c>
      <c r="X30" s="327"/>
      <c r="Y30" s="327"/>
      <c r="Z30" s="327"/>
      <c r="AA30" s="327"/>
      <c r="AB30" s="328">
        <f t="shared" si="31"/>
        <v>0</v>
      </c>
      <c r="AC30" s="327"/>
      <c r="AD30" s="327"/>
      <c r="AE30" s="327"/>
      <c r="AF30" s="327"/>
      <c r="AG30" s="328">
        <f t="shared" si="32"/>
        <v>0</v>
      </c>
      <c r="AH30" s="327"/>
      <c r="AI30" s="327"/>
      <c r="AJ30" s="327"/>
      <c r="AK30" s="327"/>
      <c r="AL30" s="328">
        <f t="shared" si="33"/>
        <v>0</v>
      </c>
      <c r="AM30" s="327"/>
      <c r="AN30" s="327"/>
      <c r="AO30" s="327"/>
      <c r="AP30" s="327"/>
      <c r="AQ30" s="328">
        <f t="shared" si="34"/>
        <v>0</v>
      </c>
      <c r="AR30" s="327"/>
      <c r="AS30" s="327"/>
      <c r="AT30" s="327"/>
      <c r="AU30" s="327"/>
      <c r="AV30" s="328">
        <f t="shared" si="35"/>
        <v>0</v>
      </c>
    </row>
    <row r="31" spans="2:48" outlineLevel="1" x14ac:dyDescent="0.3">
      <c r="B31" s="325" t="s">
        <v>288</v>
      </c>
      <c r="C31" s="326"/>
      <c r="D31" s="327"/>
      <c r="E31" s="327">
        <v>75</v>
      </c>
      <c r="F31" s="327">
        <v>0</v>
      </c>
      <c r="G31" s="327">
        <f>0-F31-E31-D31</f>
        <v>-75</v>
      </c>
      <c r="H31" s="328">
        <f t="shared" si="27"/>
        <v>0</v>
      </c>
      <c r="I31" s="327">
        <f>398.9+99</f>
        <v>497.9</v>
      </c>
      <c r="J31" s="327">
        <f>613+494.1-I31</f>
        <v>609.19999999999993</v>
      </c>
      <c r="K31" s="327">
        <f>0-J31-I31</f>
        <v>-1107.0999999999999</v>
      </c>
      <c r="L31" s="327">
        <f>4727.6-K31-J31-I31</f>
        <v>4727.6000000000013</v>
      </c>
      <c r="M31" s="328">
        <f t="shared" si="28"/>
        <v>4727.6000000000013</v>
      </c>
      <c r="N31" s="327">
        <v>0</v>
      </c>
      <c r="O31" s="327">
        <f>0-N31</f>
        <v>0</v>
      </c>
      <c r="P31" s="327">
        <f>0-O31-N31</f>
        <v>0</v>
      </c>
      <c r="Q31" s="327">
        <f>0-P31-O31-N31</f>
        <v>0</v>
      </c>
      <c r="R31" s="328">
        <f t="shared" si="29"/>
        <v>0</v>
      </c>
      <c r="S31" s="327">
        <v>0</v>
      </c>
      <c r="T31" s="327">
        <f>0-S31</f>
        <v>0</v>
      </c>
      <c r="U31" s="327">
        <f t="shared" ref="U31" si="36">0-T31-S31</f>
        <v>0</v>
      </c>
      <c r="V31" s="327"/>
      <c r="W31" s="328">
        <f t="shared" si="30"/>
        <v>0</v>
      </c>
      <c r="X31" s="327"/>
      <c r="Y31" s="327"/>
      <c r="Z31" s="327"/>
      <c r="AA31" s="327"/>
      <c r="AB31" s="328">
        <f t="shared" si="31"/>
        <v>0</v>
      </c>
      <c r="AC31" s="327"/>
      <c r="AD31" s="327"/>
      <c r="AE31" s="327"/>
      <c r="AF31" s="327"/>
      <c r="AG31" s="328">
        <f t="shared" si="32"/>
        <v>0</v>
      </c>
      <c r="AH31" s="327"/>
      <c r="AI31" s="327"/>
      <c r="AJ31" s="327"/>
      <c r="AK31" s="327"/>
      <c r="AL31" s="328">
        <f t="shared" si="33"/>
        <v>0</v>
      </c>
      <c r="AM31" s="327"/>
      <c r="AN31" s="327"/>
      <c r="AO31" s="327"/>
      <c r="AP31" s="327"/>
      <c r="AQ31" s="328">
        <f t="shared" si="34"/>
        <v>0</v>
      </c>
      <c r="AR31" s="327"/>
      <c r="AS31" s="327"/>
      <c r="AT31" s="327"/>
      <c r="AU31" s="327"/>
      <c r="AV31" s="328">
        <f t="shared" si="35"/>
        <v>0</v>
      </c>
    </row>
    <row r="32" spans="2:48" outlineLevel="1" x14ac:dyDescent="0.3">
      <c r="B32" s="325" t="s">
        <v>289</v>
      </c>
      <c r="C32" s="326"/>
      <c r="D32" s="327">
        <v>108.4</v>
      </c>
      <c r="E32" s="327">
        <f>275.7-D32</f>
        <v>167.29999999999998</v>
      </c>
      <c r="F32" s="327">
        <f>358.5-E32-D32</f>
        <v>82.800000000000011</v>
      </c>
      <c r="G32" s="327">
        <f>409.8-F32-E32-D32</f>
        <v>51.300000000000011</v>
      </c>
      <c r="H32" s="328">
        <f t="shared" si="27"/>
        <v>409.8</v>
      </c>
      <c r="I32" s="327">
        <v>33.1</v>
      </c>
      <c r="J32" s="327">
        <f>65.4-I32</f>
        <v>32.300000000000004</v>
      </c>
      <c r="K32" s="327">
        <f>98.9-J32-I32</f>
        <v>33.499999999999993</v>
      </c>
      <c r="L32" s="327">
        <f>298.8-K32-J32-I32</f>
        <v>199.9</v>
      </c>
      <c r="M32" s="328">
        <f t="shared" si="28"/>
        <v>298.8</v>
      </c>
      <c r="N32" s="327">
        <v>102.8</v>
      </c>
      <c r="O32" s="327">
        <f>134.4-N32</f>
        <v>31.600000000000009</v>
      </c>
      <c r="P32" s="327">
        <f>191.6-O32-N32</f>
        <v>57.2</v>
      </c>
      <c r="Q32" s="327">
        <f>246.2-P32-O32-N32</f>
        <v>54.59999999999998</v>
      </c>
      <c r="R32" s="328">
        <f t="shared" si="29"/>
        <v>246.2</v>
      </c>
      <c r="S32" s="327">
        <v>41.3</v>
      </c>
      <c r="T32" s="327">
        <f>56.3-S32</f>
        <v>15</v>
      </c>
      <c r="U32" s="327">
        <f>75.5-T32-S32</f>
        <v>19.200000000000003</v>
      </c>
      <c r="V32" s="327">
        <v>0</v>
      </c>
      <c r="W32" s="328">
        <f t="shared" si="30"/>
        <v>75.5</v>
      </c>
      <c r="X32" s="327">
        <v>0</v>
      </c>
      <c r="Y32" s="327">
        <v>0</v>
      </c>
      <c r="Z32" s="327">
        <v>0</v>
      </c>
      <c r="AA32" s="327">
        <v>0</v>
      </c>
      <c r="AB32" s="328">
        <f t="shared" si="31"/>
        <v>0</v>
      </c>
      <c r="AC32" s="327">
        <v>0</v>
      </c>
      <c r="AD32" s="327">
        <v>0</v>
      </c>
      <c r="AE32" s="327">
        <v>0</v>
      </c>
      <c r="AF32" s="327">
        <v>0</v>
      </c>
      <c r="AG32" s="328">
        <f t="shared" si="32"/>
        <v>0</v>
      </c>
      <c r="AH32" s="327">
        <v>0</v>
      </c>
      <c r="AI32" s="327">
        <v>0</v>
      </c>
      <c r="AJ32" s="327">
        <v>0</v>
      </c>
      <c r="AK32" s="327">
        <v>0</v>
      </c>
      <c r="AL32" s="328">
        <f t="shared" si="33"/>
        <v>0</v>
      </c>
      <c r="AM32" s="327">
        <v>0</v>
      </c>
      <c r="AN32" s="327">
        <v>0</v>
      </c>
      <c r="AO32" s="327">
        <v>0</v>
      </c>
      <c r="AP32" s="327">
        <v>0</v>
      </c>
      <c r="AQ32" s="328">
        <f t="shared" si="34"/>
        <v>0</v>
      </c>
      <c r="AR32" s="327">
        <v>0</v>
      </c>
      <c r="AS32" s="327">
        <v>0</v>
      </c>
      <c r="AT32" s="327">
        <v>0</v>
      </c>
      <c r="AU32" s="327">
        <v>0</v>
      </c>
      <c r="AV32" s="328">
        <f t="shared" si="35"/>
        <v>0</v>
      </c>
    </row>
    <row r="33" spans="2:48" outlineLevel="1" x14ac:dyDescent="0.3">
      <c r="B33" s="325" t="s">
        <v>290</v>
      </c>
      <c r="C33" s="326"/>
      <c r="D33" s="327">
        <v>-446.7</v>
      </c>
      <c r="E33" s="327">
        <f>-894.5-D33</f>
        <v>-447.8</v>
      </c>
      <c r="F33" s="327">
        <f>-1330.7-E33-D33</f>
        <v>-436.2000000000001</v>
      </c>
      <c r="G33" s="327">
        <f>-1761.3-F33-E33-D33</f>
        <v>-430.59999999999997</v>
      </c>
      <c r="H33" s="328">
        <f t="shared" si="27"/>
        <v>-1761.3</v>
      </c>
      <c r="I33" s="327">
        <v>-484.2</v>
      </c>
      <c r="J33" s="327">
        <f>-965.2-I33</f>
        <v>-481.00000000000006</v>
      </c>
      <c r="K33" s="327">
        <f>-1444.2-J33-I33</f>
        <v>-479.00000000000006</v>
      </c>
      <c r="L33" s="327">
        <f>-1923.5-K33-J33-I33</f>
        <v>-479.3</v>
      </c>
      <c r="M33" s="328">
        <f t="shared" si="28"/>
        <v>-1923.5</v>
      </c>
      <c r="N33" s="327">
        <v>-528.20000000000005</v>
      </c>
      <c r="O33" s="327">
        <f>-1058-N33</f>
        <v>-529.79999999999995</v>
      </c>
      <c r="P33" s="327">
        <f>-1588.2-O33-N33</f>
        <v>-530.20000000000005</v>
      </c>
      <c r="Q33" s="327">
        <f>-2119-P33-O33-N33</f>
        <v>-530.79999999999995</v>
      </c>
      <c r="R33" s="328">
        <f t="shared" si="29"/>
        <v>-2119</v>
      </c>
      <c r="S33" s="327">
        <v>-576</v>
      </c>
      <c r="T33" s="327">
        <f>-1139.2-S33</f>
        <v>-563.20000000000005</v>
      </c>
      <c r="U33" s="327">
        <f>-1701.1-T33-S33</f>
        <v>-561.89999999999986</v>
      </c>
      <c r="V33" s="327">
        <f>-'IS 3Q2022'!V35*'IS 3Q2022'!V30</f>
        <v>-591.31176300000004</v>
      </c>
      <c r="W33" s="328">
        <f t="shared" si="30"/>
        <v>-2292.4117630000001</v>
      </c>
      <c r="X33" s="327">
        <f>-'IS 3Q2022'!X35*'IS 3Q2022'!X30</f>
        <v>-592.49438652600008</v>
      </c>
      <c r="Y33" s="327">
        <f>-'IS 3Q2022'!Y35*'IS 3Q2022'!Y30</f>
        <v>-593.67937529905203</v>
      </c>
      <c r="Z33" s="327">
        <f>-'IS 3Q2022'!Z35*'IS 3Q2022'!Z30</f>
        <v>-594.86673404965018</v>
      </c>
      <c r="AA33" s="327">
        <f>-'IS 3Q2022'!AA35*'IS 3Q2022'!AA30</f>
        <v>-625.85929089363685</v>
      </c>
      <c r="AB33" s="328">
        <f t="shared" si="31"/>
        <v>-2406.8997867683393</v>
      </c>
      <c r="AC33" s="327">
        <f>-'IS 3Q2022'!X35*'IS 3Q2022'!X30</f>
        <v>-592.49438652600008</v>
      </c>
      <c r="AD33" s="327">
        <f>-'IS 3Q2022'!Y35*'IS 3Q2022'!Y30</f>
        <v>-593.67937529905203</v>
      </c>
      <c r="AE33" s="327">
        <f>-'IS 3Q2022'!Z35*'IS 3Q2022'!Z30</f>
        <v>-594.86673404965018</v>
      </c>
      <c r="AF33" s="327">
        <f>-'IS 3Q2022'!AA35*'IS 3Q2022'!AA30</f>
        <v>-625.85929089363685</v>
      </c>
      <c r="AG33" s="328">
        <f t="shared" si="32"/>
        <v>-2406.8997867683393</v>
      </c>
      <c r="AH33" s="327">
        <f>-'IS 3Q2022'!AC35*'IS 3Q2022'!AC30</f>
        <v>-627.11100947542411</v>
      </c>
      <c r="AI33" s="327">
        <f>-'IS 3Q2022'!AD35*'IS 3Q2022'!AD30</f>
        <v>-628.36523149437494</v>
      </c>
      <c r="AJ33" s="327">
        <f>-'IS 3Q2022'!AE35*'IS 3Q2022'!AE30</f>
        <v>-629.12813479686986</v>
      </c>
      <c r="AK33" s="327">
        <f>-'IS 3Q2022'!AF35*'IS 3Q2022'!AF30</f>
        <v>-661.38719210126828</v>
      </c>
      <c r="AL33" s="328">
        <f t="shared" si="33"/>
        <v>-2545.9915678679372</v>
      </c>
      <c r="AM33" s="327">
        <f>-'IS 3Q2022'!AH35*'IS 3Q2022'!AH30</f>
        <v>-662.21613932497689</v>
      </c>
      <c r="AN33" s="327">
        <f>-'IS 3Q2022'!AI35*'IS 3Q2022'!AI30</f>
        <v>-663.04674444313298</v>
      </c>
      <c r="AO33" s="327">
        <f>-'IS 3Q2022'!AJ35*'IS 3Q2022'!AJ30</f>
        <v>-638.74025332534723</v>
      </c>
      <c r="AP33" s="327">
        <f>-'IS 3Q2022'!AK35*'IS 3Q2022'!AK30</f>
        <v>-645.10440668659226</v>
      </c>
      <c r="AQ33" s="328">
        <f t="shared" si="34"/>
        <v>-2609.1075437800491</v>
      </c>
      <c r="AR33" s="327">
        <f>-'IS 3Q2022'!AM35*'IS 3Q2022'!AM30</f>
        <v>-645.15083440543822</v>
      </c>
      <c r="AS33" s="327">
        <f>-'IS 3Q2022'!AN35*'IS 3Q2022'!AN30</f>
        <v>-645.19735497972169</v>
      </c>
      <c r="AT33" s="327">
        <f>-'IS 3Q2022'!AO35*'IS 3Q2022'!AO30</f>
        <v>-645.24396859515389</v>
      </c>
      <c r="AU33" s="327">
        <f>-'IS 3Q2022'!AP35*'IS 3Q2022'!AP30</f>
        <v>-658.19648894657325</v>
      </c>
      <c r="AV33" s="328">
        <f t="shared" si="35"/>
        <v>-2593.7886469268869</v>
      </c>
    </row>
    <row r="34" spans="2:48" outlineLevel="1" x14ac:dyDescent="0.3">
      <c r="B34" s="325" t="s">
        <v>291</v>
      </c>
      <c r="C34" s="338"/>
      <c r="D34" s="327">
        <v>-5114.7</v>
      </c>
      <c r="E34" s="327">
        <f>-7827.9-D34</f>
        <v>-2713.2</v>
      </c>
      <c r="F34" s="327">
        <f>-7972.9-E34-D34</f>
        <v>-145</v>
      </c>
      <c r="G34" s="327">
        <f>-10222.3-F34-E34-D34</f>
        <v>-2249.3999999999996</v>
      </c>
      <c r="H34" s="328">
        <f t="shared" si="27"/>
        <v>-10222.299999999999</v>
      </c>
      <c r="I34" s="327">
        <v>-1091.4000000000001</v>
      </c>
      <c r="J34" s="327">
        <f>-1698.9-I34</f>
        <v>-607.5</v>
      </c>
      <c r="K34" s="327">
        <f>-1698.9-J34-I34</f>
        <v>0</v>
      </c>
      <c r="L34" s="327">
        <f>-1698.9-K34-J34-I34</f>
        <v>0</v>
      </c>
      <c r="M34" s="328">
        <f t="shared" si="28"/>
        <v>-1698.9</v>
      </c>
      <c r="N34" s="327">
        <v>0</v>
      </c>
      <c r="O34" s="327">
        <f>0-N34</f>
        <v>0</v>
      </c>
      <c r="P34" s="327">
        <f>0-O34-N34</f>
        <v>0</v>
      </c>
      <c r="Q34" s="327">
        <f>0-P34-O34-N34</f>
        <v>0</v>
      </c>
      <c r="R34" s="328">
        <f t="shared" si="29"/>
        <v>0</v>
      </c>
      <c r="S34" s="327">
        <v>-3520.9</v>
      </c>
      <c r="T34" s="327">
        <f>-3997.5-S34</f>
        <v>-476.59999999999991</v>
      </c>
      <c r="U34" s="327">
        <f>-4013-T34-S34</f>
        <v>-15.5</v>
      </c>
      <c r="V34" s="327">
        <f>-'IS 3Q2022'!V154</f>
        <v>0</v>
      </c>
      <c r="W34" s="328">
        <f t="shared" si="30"/>
        <v>-4013</v>
      </c>
      <c r="X34" s="327">
        <f>-'IS 3Q2022'!X154</f>
        <v>0</v>
      </c>
      <c r="Y34" s="327">
        <f>-'IS 3Q2022'!Y154</f>
        <v>0</v>
      </c>
      <c r="Z34" s="327">
        <f>-'IS 3Q2022'!Z154</f>
        <v>0</v>
      </c>
      <c r="AA34" s="327">
        <f>-'IS 3Q2022'!AA154</f>
        <v>0</v>
      </c>
      <c r="AB34" s="328">
        <f t="shared" si="31"/>
        <v>0</v>
      </c>
      <c r="AC34" s="327">
        <f>-'IS 3Q2022'!AC154</f>
        <v>0</v>
      </c>
      <c r="AD34" s="327">
        <f>-'IS 3Q2022'!AD154</f>
        <v>0</v>
      </c>
      <c r="AE34" s="327">
        <f>-'IS 3Q2022'!AE154</f>
        <v>-100</v>
      </c>
      <c r="AF34" s="327">
        <f>-'IS 3Q2022'!AF154</f>
        <v>-100</v>
      </c>
      <c r="AG34" s="328">
        <f t="shared" si="32"/>
        <v>-200</v>
      </c>
      <c r="AH34" s="327">
        <f>-'IS 3Q2022'!AH154</f>
        <v>-100</v>
      </c>
      <c r="AI34" s="327">
        <f>-'IS 3Q2022'!AI154</f>
        <v>-100</v>
      </c>
      <c r="AJ34" s="327">
        <f>-'IS 3Q2022'!AJ154</f>
        <v>-5190.5983828510816</v>
      </c>
      <c r="AK34" s="327">
        <f>-'IS 3Q2022'!AK154</f>
        <v>-5190.5983828510816</v>
      </c>
      <c r="AL34" s="328">
        <f t="shared" si="33"/>
        <v>-10581.196765702163</v>
      </c>
      <c r="AM34" s="327">
        <f>-'IS 3Q2022'!AM154</f>
        <v>-250</v>
      </c>
      <c r="AN34" s="327">
        <f>-'IS 3Q2022'!AN154</f>
        <v>-250</v>
      </c>
      <c r="AO34" s="327">
        <f>-'IS 3Q2022'!AO154</f>
        <v>-250</v>
      </c>
      <c r="AP34" s="327">
        <f>-'IS 3Q2022'!AP154</f>
        <v>-250</v>
      </c>
      <c r="AQ34" s="328">
        <f t="shared" si="34"/>
        <v>-1000</v>
      </c>
      <c r="AR34" s="327">
        <f>-'IS 3Q2022'!AR154</f>
        <v>-250</v>
      </c>
      <c r="AS34" s="327">
        <f>-'IS 3Q2022'!AS154</f>
        <v>-250</v>
      </c>
      <c r="AT34" s="327">
        <f>-'IS 3Q2022'!AT154</f>
        <v>-250</v>
      </c>
      <c r="AU34" s="327">
        <f>-'IS 3Q2022'!AU154</f>
        <v>-250</v>
      </c>
      <c r="AV34" s="328">
        <f t="shared" si="35"/>
        <v>-1000</v>
      </c>
    </row>
    <row r="35" spans="2:48" outlineLevel="1" x14ac:dyDescent="0.3">
      <c r="B35" s="325" t="s">
        <v>292</v>
      </c>
      <c r="C35" s="339"/>
      <c r="D35" s="327">
        <v>-55.3</v>
      </c>
      <c r="E35" s="327">
        <f>-56.3-D35</f>
        <v>-1</v>
      </c>
      <c r="F35" s="327">
        <f>-106.1-E35-D35</f>
        <v>-49.8</v>
      </c>
      <c r="G35" s="327">
        <f>-111.6-F35-E35-D35</f>
        <v>-5.5</v>
      </c>
      <c r="H35" s="328">
        <f t="shared" si="27"/>
        <v>-111.6</v>
      </c>
      <c r="I35" s="327">
        <v>-78.400000000000006</v>
      </c>
      <c r="J35" s="327">
        <f>-87.6-I35</f>
        <v>-9.1999999999999886</v>
      </c>
      <c r="K35" s="327">
        <f>-89.1-J35-I35</f>
        <v>-1.5</v>
      </c>
      <c r="L35" s="327">
        <f>-91.9-K35-J35-I35</f>
        <v>-2.8000000000000114</v>
      </c>
      <c r="M35" s="328">
        <f t="shared" si="28"/>
        <v>-91.9</v>
      </c>
      <c r="N35" s="327">
        <v>-88.6</v>
      </c>
      <c r="O35" s="327">
        <f>-90.1-N35</f>
        <v>-1.5</v>
      </c>
      <c r="P35" s="327">
        <f>-94.2-O35-N35</f>
        <v>-4.1000000000000085</v>
      </c>
      <c r="Q35" s="327">
        <f>-97-P35-O35-N35</f>
        <v>-2.7999999999999972</v>
      </c>
      <c r="R35" s="328">
        <f t="shared" si="29"/>
        <v>-97</v>
      </c>
      <c r="S35" s="327">
        <v>-113.6</v>
      </c>
      <c r="T35" s="327">
        <f>-122.1-S35</f>
        <v>-8.5</v>
      </c>
      <c r="U35" s="327">
        <f>-123.5-T35-S35</f>
        <v>-1.4000000000000057</v>
      </c>
      <c r="V35" s="327">
        <f>(U35/U12)*V12</f>
        <v>-1.706455238723249</v>
      </c>
      <c r="W35" s="328">
        <f t="shared" si="30"/>
        <v>-125.20645523872325</v>
      </c>
      <c r="X35" s="327">
        <f>(V35/V12)*X12</f>
        <v>-1.8170877282208633</v>
      </c>
      <c r="Y35" s="327">
        <f>(X35/X12)*Y12</f>
        <v>-1.5902113538135656</v>
      </c>
      <c r="Z35" s="327">
        <f>(Y35/Y12)*Z12</f>
        <v>-1.7847911801029732</v>
      </c>
      <c r="AA35" s="327">
        <f>(Z35/Z12)*AA12</f>
        <v>-1.8779040714545581</v>
      </c>
      <c r="AB35" s="328">
        <f t="shared" si="31"/>
        <v>-7.0699943335919597</v>
      </c>
      <c r="AC35" s="327">
        <f>(AA35/AA12)*AC12</f>
        <v>-1.9304189608151356</v>
      </c>
      <c r="AD35" s="327">
        <f>(AC35/AC12)*AD12</f>
        <v>-1.7990045785246953</v>
      </c>
      <c r="AE35" s="327">
        <f>(AD35/AD12)*AE12</f>
        <v>-1.9867579998491471</v>
      </c>
      <c r="AF35" s="327">
        <f>(AE35/AE12)*AF12</f>
        <v>-2.0450373404597397</v>
      </c>
      <c r="AG35" s="328">
        <f t="shared" si="32"/>
        <v>-7.7612188796487178</v>
      </c>
      <c r="AH35" s="327">
        <f>(AF35/AF12)*AH12</f>
        <v>-2.1396984029843038</v>
      </c>
      <c r="AI35" s="327">
        <f>(AH35/AH12)*AI12</f>
        <v>-2.0183452702814919</v>
      </c>
      <c r="AJ35" s="327">
        <f>(AI35/AI12)*AJ12</f>
        <v>-2.2172441106674787</v>
      </c>
      <c r="AK35" s="327">
        <f>(AJ35/AJ12)*AK12</f>
        <v>-2.2796788713133922</v>
      </c>
      <c r="AL35" s="328">
        <f t="shared" si="33"/>
        <v>-8.6549666552466675</v>
      </c>
      <c r="AM35" s="327">
        <f>(AK35/AK12)*AM12</f>
        <v>-2.3532796293290499</v>
      </c>
      <c r="AN35" s="327">
        <f>(AM35/AM12)*AN12</f>
        <v>-2.211826158542765</v>
      </c>
      <c r="AO35" s="327">
        <f>(AN35/AN12)*AO12</f>
        <v>-2.4175896125987064</v>
      </c>
      <c r="AP35" s="327">
        <f>(AO35/AO12)*AP12</f>
        <v>-2.4776014238016439</v>
      </c>
      <c r="AQ35" s="328">
        <f t="shared" si="34"/>
        <v>-9.4602968242721648</v>
      </c>
      <c r="AR35" s="327">
        <f>(AP35/AP12)*AR12</f>
        <v>-2.5065710929698608</v>
      </c>
      <c r="AS35" s="327">
        <f>(AR35/AR12)*AS12</f>
        <v>-2.3544113321375053</v>
      </c>
      <c r="AT35" s="327">
        <f>(AS35/AS12)*AT12</f>
        <v>-2.5722420009011659</v>
      </c>
      <c r="AU35" s="327">
        <f>(AT35/AT12)*AU12</f>
        <v>-2.6368924534286768</v>
      </c>
      <c r="AV35" s="328">
        <f t="shared" si="35"/>
        <v>-10.07011687943721</v>
      </c>
    </row>
    <row r="36" spans="2:48" ht="16.2" outlineLevel="1" x14ac:dyDescent="0.45">
      <c r="B36" s="623" t="s">
        <v>293</v>
      </c>
      <c r="C36" s="624"/>
      <c r="D36" s="329">
        <v>-0.3</v>
      </c>
      <c r="E36" s="329">
        <f>0.1-D36</f>
        <v>0.4</v>
      </c>
      <c r="F36" s="329">
        <f>-17.6-E36-D36</f>
        <v>-17.7</v>
      </c>
      <c r="G36" s="329">
        <f>-17.5-F36-E36-D36</f>
        <v>9.9999999999999256E-2</v>
      </c>
      <c r="H36" s="330">
        <f t="shared" si="27"/>
        <v>-17.5</v>
      </c>
      <c r="I36" s="329">
        <v>0</v>
      </c>
      <c r="J36" s="329">
        <f>-10.4-I36</f>
        <v>-10.4</v>
      </c>
      <c r="K36" s="329">
        <f>-37.8-J36-I36</f>
        <v>-27.4</v>
      </c>
      <c r="L36" s="329">
        <f>-37.7-K36-J36-I36</f>
        <v>9.9999999999996092E-2</v>
      </c>
      <c r="M36" s="330">
        <f t="shared" si="28"/>
        <v>-37.700000000000003</v>
      </c>
      <c r="N36" s="329">
        <v>0</v>
      </c>
      <c r="O36" s="329">
        <f>0-N36</f>
        <v>0</v>
      </c>
      <c r="P36" s="329">
        <f>0-O36-N36</f>
        <v>0</v>
      </c>
      <c r="Q36" s="329">
        <f>0-P36-O36-N36</f>
        <v>0</v>
      </c>
      <c r="R36" s="330">
        <f t="shared" si="29"/>
        <v>0</v>
      </c>
      <c r="S36" s="329">
        <v>0</v>
      </c>
      <c r="T36" s="329">
        <f>-9.2-S36</f>
        <v>-9.1999999999999993</v>
      </c>
      <c r="U36" s="329">
        <f>-9.2-T36-S36</f>
        <v>0</v>
      </c>
      <c r="V36" s="329">
        <v>0</v>
      </c>
      <c r="W36" s="330">
        <f t="shared" si="30"/>
        <v>-9.1999999999999993</v>
      </c>
      <c r="X36" s="329">
        <v>0</v>
      </c>
      <c r="Y36" s="329">
        <v>0</v>
      </c>
      <c r="Z36" s="329">
        <v>0</v>
      </c>
      <c r="AA36" s="329">
        <v>0</v>
      </c>
      <c r="AB36" s="330">
        <f t="shared" si="31"/>
        <v>0</v>
      </c>
      <c r="AC36" s="329">
        <v>0</v>
      </c>
      <c r="AD36" s="329">
        <v>0</v>
      </c>
      <c r="AE36" s="329">
        <v>0</v>
      </c>
      <c r="AF36" s="329">
        <v>0</v>
      </c>
      <c r="AG36" s="330">
        <f t="shared" si="32"/>
        <v>0</v>
      </c>
      <c r="AH36" s="329">
        <v>0</v>
      </c>
      <c r="AI36" s="329">
        <v>0</v>
      </c>
      <c r="AJ36" s="329">
        <v>0</v>
      </c>
      <c r="AK36" s="329">
        <v>0</v>
      </c>
      <c r="AL36" s="330">
        <f t="shared" si="33"/>
        <v>0</v>
      </c>
      <c r="AM36" s="329">
        <v>0</v>
      </c>
      <c r="AN36" s="329">
        <v>0</v>
      </c>
      <c r="AO36" s="329">
        <v>0</v>
      </c>
      <c r="AP36" s="329">
        <v>0</v>
      </c>
      <c r="AQ36" s="330">
        <f t="shared" si="34"/>
        <v>0</v>
      </c>
      <c r="AR36" s="329">
        <v>0</v>
      </c>
      <c r="AS36" s="329">
        <v>0</v>
      </c>
      <c r="AT36" s="329">
        <v>0</v>
      </c>
      <c r="AU36" s="329">
        <v>0</v>
      </c>
      <c r="AV36" s="330">
        <f t="shared" si="35"/>
        <v>0</v>
      </c>
    </row>
    <row r="37" spans="2:48" outlineLevel="1" x14ac:dyDescent="0.3">
      <c r="B37" s="627" t="s">
        <v>294</v>
      </c>
      <c r="C37" s="628"/>
      <c r="D37" s="331">
        <f t="shared" ref="D37:AV37" si="37">SUM(D29:D36)</f>
        <v>-5858.6</v>
      </c>
      <c r="E37" s="331">
        <f t="shared" si="37"/>
        <v>-2919.2999999999997</v>
      </c>
      <c r="F37" s="331">
        <f t="shared" si="37"/>
        <v>1355.1</v>
      </c>
      <c r="G37" s="331">
        <f t="shared" si="37"/>
        <v>-2634.1</v>
      </c>
      <c r="H37" s="332">
        <f t="shared" si="37"/>
        <v>-10056.9</v>
      </c>
      <c r="I37" s="331">
        <f t="shared" si="37"/>
        <v>-1123.0000000000002</v>
      </c>
      <c r="J37" s="331">
        <f t="shared" si="37"/>
        <v>1273.1000000000001</v>
      </c>
      <c r="K37" s="331">
        <f t="shared" si="37"/>
        <v>2342.9000000000005</v>
      </c>
      <c r="L37" s="331">
        <f t="shared" si="37"/>
        <v>-779.69999999999948</v>
      </c>
      <c r="M37" s="332">
        <f t="shared" si="37"/>
        <v>1713.3000000000009</v>
      </c>
      <c r="N37" s="331">
        <f t="shared" si="37"/>
        <v>-965.80000000000007</v>
      </c>
      <c r="O37" s="331">
        <f t="shared" si="37"/>
        <v>-1711.6</v>
      </c>
      <c r="P37" s="331">
        <f t="shared" si="37"/>
        <v>-490.50000000000011</v>
      </c>
      <c r="Q37" s="331">
        <f t="shared" si="37"/>
        <v>-483.09999999999991</v>
      </c>
      <c r="R37" s="332">
        <f t="shared" si="37"/>
        <v>-3651</v>
      </c>
      <c r="S37" s="331">
        <f t="shared" si="37"/>
        <v>-3969.2</v>
      </c>
      <c r="T37" s="331">
        <f t="shared" si="37"/>
        <v>260.40000000000015</v>
      </c>
      <c r="U37" s="331">
        <f t="shared" si="37"/>
        <v>-1364.4</v>
      </c>
      <c r="V37" s="331">
        <f t="shared" si="37"/>
        <v>-792.01821823872331</v>
      </c>
      <c r="W37" s="332">
        <f t="shared" si="37"/>
        <v>-5865.2182182387223</v>
      </c>
      <c r="X37" s="331">
        <f t="shared" si="37"/>
        <v>-594.31147425422091</v>
      </c>
      <c r="Y37" s="331">
        <f t="shared" si="37"/>
        <v>-595.26958665286554</v>
      </c>
      <c r="Z37" s="331">
        <f t="shared" si="37"/>
        <v>-596.65152522975313</v>
      </c>
      <c r="AA37" s="331">
        <f t="shared" si="37"/>
        <v>-627.73719496509136</v>
      </c>
      <c r="AB37" s="332">
        <f t="shared" si="37"/>
        <v>-2413.9697811019314</v>
      </c>
      <c r="AC37" s="331">
        <f t="shared" si="37"/>
        <v>-594.42480548681522</v>
      </c>
      <c r="AD37" s="331">
        <f t="shared" si="37"/>
        <v>-595.77837987757664</v>
      </c>
      <c r="AE37" s="331">
        <f t="shared" si="37"/>
        <v>-696.85349204949932</v>
      </c>
      <c r="AF37" s="331">
        <f t="shared" si="37"/>
        <v>-627.90432823409662</v>
      </c>
      <c r="AG37" s="332">
        <f t="shared" si="37"/>
        <v>-2514.9610056479883</v>
      </c>
      <c r="AH37" s="331">
        <f t="shared" si="37"/>
        <v>-729.25070787840843</v>
      </c>
      <c r="AI37" s="331">
        <f t="shared" si="37"/>
        <v>-730.38357676465648</v>
      </c>
      <c r="AJ37" s="331">
        <f t="shared" si="37"/>
        <v>-531.34537890753904</v>
      </c>
      <c r="AK37" s="331">
        <f t="shared" si="37"/>
        <v>-5854.2652538236634</v>
      </c>
      <c r="AL37" s="332">
        <f t="shared" si="37"/>
        <v>-7845.2449173742671</v>
      </c>
      <c r="AM37" s="331">
        <f t="shared" si="37"/>
        <v>-914.56941895430589</v>
      </c>
      <c r="AN37" s="331">
        <f t="shared" si="37"/>
        <v>-915.25857060167573</v>
      </c>
      <c r="AO37" s="331">
        <f t="shared" si="37"/>
        <v>-891.15784293794593</v>
      </c>
      <c r="AP37" s="331">
        <f t="shared" si="37"/>
        <v>-897.58200811039387</v>
      </c>
      <c r="AQ37" s="332">
        <f t="shared" si="37"/>
        <v>-3618.5678406043212</v>
      </c>
      <c r="AR37" s="331">
        <f t="shared" si="37"/>
        <v>-897.65740549840802</v>
      </c>
      <c r="AS37" s="331">
        <f t="shared" si="37"/>
        <v>-897.55176631185918</v>
      </c>
      <c r="AT37" s="331">
        <f t="shared" si="37"/>
        <v>-897.81621059605504</v>
      </c>
      <c r="AU37" s="331">
        <f t="shared" si="37"/>
        <v>-910.83338140000194</v>
      </c>
      <c r="AV37" s="332">
        <f t="shared" si="37"/>
        <v>-3603.8587638063241</v>
      </c>
    </row>
    <row r="38" spans="2:48" outlineLevel="1" x14ac:dyDescent="0.3">
      <c r="B38" s="248" t="s">
        <v>295</v>
      </c>
      <c r="C38" s="249"/>
      <c r="D38" s="333">
        <f>-4.7-0.1</f>
        <v>-4.8</v>
      </c>
      <c r="E38" s="340">
        <f>18.3-0.1-D38</f>
        <v>23</v>
      </c>
      <c r="F38" s="340">
        <f>-2.5-E38-D38</f>
        <v>-20.7</v>
      </c>
      <c r="G38" s="340">
        <f>-49-F38-E38-D38</f>
        <v>-46.5</v>
      </c>
      <c r="H38" s="337">
        <f>SUM(D38:G38)</f>
        <v>-49</v>
      </c>
      <c r="I38" s="340">
        <v>27.1</v>
      </c>
      <c r="J38" s="340">
        <f>8.7-I38</f>
        <v>-18.400000000000002</v>
      </c>
      <c r="K38" s="340">
        <f>10.9-J38-I38</f>
        <v>2.2000000000000028</v>
      </c>
      <c r="L38" s="340">
        <f>64.7-K38-J38-I38</f>
        <v>53.800000000000004</v>
      </c>
      <c r="M38" s="337">
        <f>SUM(I38:L38)</f>
        <v>64.7</v>
      </c>
      <c r="N38" s="340">
        <v>79.8</v>
      </c>
      <c r="O38" s="340">
        <f>66.7-N38</f>
        <v>-13.099999999999994</v>
      </c>
      <c r="P38" s="340">
        <f>87.9-O38-N38</f>
        <v>21.200000000000003</v>
      </c>
      <c r="Q38" s="340">
        <f>86.2-P38-O38-N38</f>
        <v>-1.7000000000000028</v>
      </c>
      <c r="R38" s="337">
        <f>SUM(N38:Q38)</f>
        <v>86.2</v>
      </c>
      <c r="S38" s="340">
        <v>13</v>
      </c>
      <c r="T38" s="340">
        <f>14.6-S38</f>
        <v>1.5999999999999996</v>
      </c>
      <c r="U38" s="340">
        <f>-126.3-T38-S38</f>
        <v>-140.89999999999998</v>
      </c>
      <c r="V38" s="341">
        <v>0</v>
      </c>
      <c r="W38" s="337">
        <f>SUM(S38:V38)</f>
        <v>-126.29999999999998</v>
      </c>
      <c r="X38" s="341">
        <v>0</v>
      </c>
      <c r="Y38" s="341">
        <v>0</v>
      </c>
      <c r="Z38" s="341">
        <v>0</v>
      </c>
      <c r="AA38" s="341">
        <v>0</v>
      </c>
      <c r="AB38" s="337">
        <f>SUM(X38:AA38)</f>
        <v>0</v>
      </c>
      <c r="AC38" s="341">
        <v>0</v>
      </c>
      <c r="AD38" s="341">
        <v>0</v>
      </c>
      <c r="AE38" s="341">
        <v>0</v>
      </c>
      <c r="AF38" s="341">
        <v>0</v>
      </c>
      <c r="AG38" s="337">
        <f>SUM(AC38:AF38)</f>
        <v>0</v>
      </c>
      <c r="AH38" s="341">
        <v>0</v>
      </c>
      <c r="AI38" s="341">
        <v>0</v>
      </c>
      <c r="AJ38" s="341">
        <v>0</v>
      </c>
      <c r="AK38" s="341">
        <v>0</v>
      </c>
      <c r="AL38" s="337">
        <f>SUM(AH38:AK38)</f>
        <v>0</v>
      </c>
      <c r="AM38" s="341">
        <v>0</v>
      </c>
      <c r="AN38" s="341">
        <v>0</v>
      </c>
      <c r="AO38" s="341">
        <v>0</v>
      </c>
      <c r="AP38" s="341">
        <v>0</v>
      </c>
      <c r="AQ38" s="337">
        <f>SUM(AM38:AP38)</f>
        <v>0</v>
      </c>
      <c r="AR38" s="341">
        <v>0</v>
      </c>
      <c r="AS38" s="341">
        <v>0</v>
      </c>
      <c r="AT38" s="341">
        <v>0</v>
      </c>
      <c r="AU38" s="341">
        <v>0</v>
      </c>
      <c r="AV38" s="337">
        <f>SUM(AR38:AU38)</f>
        <v>0</v>
      </c>
    </row>
    <row r="39" spans="2:48" ht="16.2" outlineLevel="1" x14ac:dyDescent="0.45">
      <c r="B39" s="580" t="s">
        <v>296</v>
      </c>
      <c r="C39" s="581"/>
      <c r="D39" s="260">
        <f t="shared" ref="D39:AV39" si="38">D37+D27+D22+D38</f>
        <v>-3994.7999999999997</v>
      </c>
      <c r="E39" s="260">
        <f t="shared" si="38"/>
        <v>-2706.5</v>
      </c>
      <c r="F39" s="260">
        <f t="shared" si="38"/>
        <v>2708.3000000000011</v>
      </c>
      <c r="G39" s="260">
        <f t="shared" si="38"/>
        <v>-2076.7999999999993</v>
      </c>
      <c r="H39" s="261">
        <f t="shared" si="38"/>
        <v>-6069.7999999999938</v>
      </c>
      <c r="I39" s="260">
        <f t="shared" si="38"/>
        <v>353.89999999999839</v>
      </c>
      <c r="J39" s="260">
        <f t="shared" si="38"/>
        <v>-468.20000000000061</v>
      </c>
      <c r="K39" s="260">
        <f t="shared" si="38"/>
        <v>1393.600000000001</v>
      </c>
      <c r="L39" s="260">
        <f t="shared" si="38"/>
        <v>385.0000000000021</v>
      </c>
      <c r="M39" s="261">
        <f t="shared" si="38"/>
        <v>1664.3000000000052</v>
      </c>
      <c r="N39" s="260">
        <f t="shared" si="38"/>
        <v>677.2</v>
      </c>
      <c r="O39" s="260">
        <f t="shared" si="38"/>
        <v>-1147.3999999999996</v>
      </c>
      <c r="P39" s="260">
        <f t="shared" si="38"/>
        <v>872.49999999999909</v>
      </c>
      <c r="Q39" s="260">
        <f t="shared" si="38"/>
        <v>1702.5999999999997</v>
      </c>
      <c r="R39" s="261">
        <f t="shared" si="38"/>
        <v>2104.8999999999978</v>
      </c>
      <c r="S39" s="260">
        <f t="shared" si="38"/>
        <v>-2486.3000000000002</v>
      </c>
      <c r="T39" s="260">
        <f t="shared" si="38"/>
        <v>-55.999999999999567</v>
      </c>
      <c r="U39" s="260">
        <f t="shared" si="38"/>
        <v>-735.90000000000089</v>
      </c>
      <c r="V39" s="260">
        <f t="shared" si="38"/>
        <v>75.199344839386868</v>
      </c>
      <c r="W39" s="261">
        <f>W37+W27+W22+W38</f>
        <v>-3203.000655160612</v>
      </c>
      <c r="X39" s="260">
        <f>X37+X27+X22+X38</f>
        <v>413.36205947848089</v>
      </c>
      <c r="Y39" s="260">
        <f t="shared" si="38"/>
        <v>-504.06967509361505</v>
      </c>
      <c r="Z39" s="260">
        <f t="shared" si="38"/>
        <v>-241.67507444569651</v>
      </c>
      <c r="AA39" s="260">
        <f t="shared" si="38"/>
        <v>595.94976587252518</v>
      </c>
      <c r="AB39" s="261">
        <f t="shared" si="38"/>
        <v>263.56707581169485</v>
      </c>
      <c r="AC39" s="260">
        <f t="shared" si="38"/>
        <v>794.56698255121864</v>
      </c>
      <c r="AD39" s="260">
        <f t="shared" si="38"/>
        <v>-241.03592446872005</v>
      </c>
      <c r="AE39" s="260">
        <f t="shared" si="38"/>
        <v>32.322143833818473</v>
      </c>
      <c r="AF39" s="260">
        <f t="shared" si="38"/>
        <v>543.05717374701817</v>
      </c>
      <c r="AG39" s="261">
        <f t="shared" si="38"/>
        <v>1128.910375663334</v>
      </c>
      <c r="AH39" s="260">
        <f t="shared" si="38"/>
        <v>871.45123147054255</v>
      </c>
      <c r="AI39" s="260">
        <f t="shared" si="38"/>
        <v>-239.28192650512619</v>
      </c>
      <c r="AJ39" s="260">
        <f t="shared" si="38"/>
        <v>354.52945475469505</v>
      </c>
      <c r="AK39" s="260">
        <f t="shared" si="38"/>
        <v>-4202.8445468472501</v>
      </c>
      <c r="AL39" s="261">
        <f t="shared" si="38"/>
        <v>-3216.1457871271386</v>
      </c>
      <c r="AM39" s="260">
        <f t="shared" si="38"/>
        <v>883.85592091119952</v>
      </c>
      <c r="AN39" s="260">
        <f t="shared" si="38"/>
        <v>-380.80748963652263</v>
      </c>
      <c r="AO39" s="260">
        <f t="shared" si="38"/>
        <v>50.324394886339405</v>
      </c>
      <c r="AP39" s="260">
        <f t="shared" si="38"/>
        <v>726.17763158707521</v>
      </c>
      <c r="AQ39" s="261">
        <f t="shared" si="38"/>
        <v>1279.5504577480915</v>
      </c>
      <c r="AR39" s="260">
        <f t="shared" si="38"/>
        <v>1087.042660243942</v>
      </c>
      <c r="AS39" s="260">
        <f t="shared" si="38"/>
        <v>-296.78551459960363</v>
      </c>
      <c r="AT39" s="260">
        <f t="shared" si="38"/>
        <v>174.32555027200169</v>
      </c>
      <c r="AU39" s="260">
        <f t="shared" si="38"/>
        <v>799.7227181789367</v>
      </c>
      <c r="AV39" s="261">
        <f t="shared" si="38"/>
        <v>1764.3054140952781</v>
      </c>
    </row>
    <row r="40" spans="2:48" ht="16.2" outlineLevel="1" x14ac:dyDescent="0.45">
      <c r="B40" s="580" t="s">
        <v>297</v>
      </c>
      <c r="C40" s="581"/>
      <c r="D40" s="260">
        <v>8756.2999999999993</v>
      </c>
      <c r="E40" s="260">
        <f>D41</f>
        <v>4761.6000000000004</v>
      </c>
      <c r="F40" s="260">
        <f>E41</f>
        <v>2055.1000000000004</v>
      </c>
      <c r="G40" s="260">
        <f>F41</f>
        <v>4763.4000000000015</v>
      </c>
      <c r="H40" s="261">
        <f>D40</f>
        <v>8756.2999999999993</v>
      </c>
      <c r="I40" s="112">
        <f>H41</f>
        <v>2686.5000000000055</v>
      </c>
      <c r="J40" s="260">
        <f>I41</f>
        <v>3040.5000000000036</v>
      </c>
      <c r="K40" s="260">
        <f>J41</f>
        <v>2572.3000000000029</v>
      </c>
      <c r="L40" s="260">
        <f>K41</f>
        <v>3965.9000000000042</v>
      </c>
      <c r="M40" s="261">
        <f>H41</f>
        <v>2686.5000000000055</v>
      </c>
      <c r="N40" s="260">
        <f>+M41</f>
        <v>4350.8000000000102</v>
      </c>
      <c r="O40" s="260">
        <f>N41</f>
        <v>5028.00000000001</v>
      </c>
      <c r="P40" s="260">
        <f>O41</f>
        <v>3880.6000000000104</v>
      </c>
      <c r="Q40" s="260">
        <f>P41</f>
        <v>4753.1000000000095</v>
      </c>
      <c r="R40" s="261">
        <f>M41</f>
        <v>4350.8000000000102</v>
      </c>
      <c r="S40" s="260">
        <f>+R41</f>
        <v>6455.700000000008</v>
      </c>
      <c r="T40" s="260">
        <f>S41</f>
        <v>3969.4000000000078</v>
      </c>
      <c r="U40" s="260">
        <f>T41</f>
        <v>3913.4000000000083</v>
      </c>
      <c r="V40" s="260">
        <f>U41</f>
        <v>3177.5000000000073</v>
      </c>
      <c r="W40" s="261">
        <f>R41</f>
        <v>6455.700000000008</v>
      </c>
      <c r="X40" s="260">
        <f>+W41</f>
        <v>3252.699344839396</v>
      </c>
      <c r="Y40" s="260">
        <f>X41</f>
        <v>3666.0614043178766</v>
      </c>
      <c r="Z40" s="260">
        <f>Y41</f>
        <v>3161.9917292242617</v>
      </c>
      <c r="AA40" s="260">
        <f>Z41</f>
        <v>2920.316654778565</v>
      </c>
      <c r="AB40" s="261">
        <f>W41</f>
        <v>3252.699344839396</v>
      </c>
      <c r="AC40" s="260">
        <f>+AB41</f>
        <v>3516.2664206510908</v>
      </c>
      <c r="AD40" s="260">
        <f>AC41</f>
        <v>4310.8334032023095</v>
      </c>
      <c r="AE40" s="260">
        <f>AD41</f>
        <v>4069.7974787335893</v>
      </c>
      <c r="AF40" s="260">
        <f>AE41</f>
        <v>4102.1196225674075</v>
      </c>
      <c r="AG40" s="261">
        <f>AB41</f>
        <v>3516.2664206510908</v>
      </c>
      <c r="AH40" s="260">
        <f>+AG41</f>
        <v>4645.1767963144248</v>
      </c>
      <c r="AI40" s="260">
        <f>AH41</f>
        <v>5516.6280277849673</v>
      </c>
      <c r="AJ40" s="260">
        <f>AI41</f>
        <v>5277.3461012798416</v>
      </c>
      <c r="AK40" s="260">
        <f>AJ41</f>
        <v>5631.8755560345362</v>
      </c>
      <c r="AL40" s="261">
        <f>AG41</f>
        <v>4645.1767963144248</v>
      </c>
      <c r="AM40" s="260">
        <f>+AL41</f>
        <v>1429.0310091872861</v>
      </c>
      <c r="AN40" s="260">
        <f>AM41</f>
        <v>2312.8869300984857</v>
      </c>
      <c r="AO40" s="260">
        <f>AN41</f>
        <v>1932.079440461963</v>
      </c>
      <c r="AP40" s="260">
        <f>AO41</f>
        <v>1982.4038353483024</v>
      </c>
      <c r="AQ40" s="261">
        <f>AL41</f>
        <v>1429.0310091872861</v>
      </c>
      <c r="AR40" s="260">
        <f>+AQ41</f>
        <v>2708.5814669353776</v>
      </c>
      <c r="AS40" s="260">
        <f>AR41</f>
        <v>3795.6241271793197</v>
      </c>
      <c r="AT40" s="260">
        <f>AS41</f>
        <v>3498.838612579716</v>
      </c>
      <c r="AU40" s="260">
        <f>AT41</f>
        <v>3673.1641628517177</v>
      </c>
      <c r="AV40" s="261">
        <f>AQ41</f>
        <v>2708.5814669353776</v>
      </c>
    </row>
    <row r="41" spans="2:48" outlineLevel="1" x14ac:dyDescent="0.3">
      <c r="B41" s="629" t="s">
        <v>298</v>
      </c>
      <c r="C41" s="630"/>
      <c r="D41" s="116">
        <f>+D40+D39+0.1</f>
        <v>4761.6000000000004</v>
      </c>
      <c r="E41" s="116">
        <f>+E40+E39</f>
        <v>2055.1000000000004</v>
      </c>
      <c r="F41" s="116">
        <f>+F40+F39</f>
        <v>4763.4000000000015</v>
      </c>
      <c r="G41" s="116">
        <f>+G40+G39</f>
        <v>2686.6000000000022</v>
      </c>
      <c r="H41" s="150">
        <f>+D40+H39</f>
        <v>2686.5000000000055</v>
      </c>
      <c r="I41" s="116">
        <f>+I40+I39+0.1</f>
        <v>3040.5000000000036</v>
      </c>
      <c r="J41" s="116">
        <f>+J40+J39</f>
        <v>2572.3000000000029</v>
      </c>
      <c r="K41" s="116">
        <f>+K40+K39</f>
        <v>3965.9000000000042</v>
      </c>
      <c r="L41" s="21">
        <f>+L40+L39</f>
        <v>4350.900000000006</v>
      </c>
      <c r="M41" s="22">
        <f>+I40+M39</f>
        <v>4350.8000000000102</v>
      </c>
      <c r="N41" s="21">
        <f>+N40+N39</f>
        <v>5028.00000000001</v>
      </c>
      <c r="O41" s="21">
        <f>+O40+O39</f>
        <v>3880.6000000000104</v>
      </c>
      <c r="P41" s="21">
        <f>+P40+P39</f>
        <v>4753.1000000000095</v>
      </c>
      <c r="Q41" s="21">
        <f>+Q40+Q39</f>
        <v>6455.7000000000089</v>
      </c>
      <c r="R41" s="22">
        <f>+N40+R39</f>
        <v>6455.700000000008</v>
      </c>
      <c r="S41" s="21">
        <f>+S40+S39</f>
        <v>3969.4000000000078</v>
      </c>
      <c r="T41" s="21">
        <f>+T40+T39</f>
        <v>3913.4000000000083</v>
      </c>
      <c r="U41" s="21">
        <f>+U40+U39</f>
        <v>3177.5000000000073</v>
      </c>
      <c r="V41" s="21">
        <f>+V40+V39</f>
        <v>3252.6993448393941</v>
      </c>
      <c r="W41" s="22">
        <f>+S40+W39</f>
        <v>3252.699344839396</v>
      </c>
      <c r="X41" s="21">
        <f>+X40+X39</f>
        <v>3666.0614043178766</v>
      </c>
      <c r="Y41" s="21">
        <f>+Y40+Y39</f>
        <v>3161.9917292242617</v>
      </c>
      <c r="Z41" s="21">
        <f>+Z40+Z39</f>
        <v>2920.316654778565</v>
      </c>
      <c r="AA41" s="21">
        <f>+AA40+AA39</f>
        <v>3516.2664206510899</v>
      </c>
      <c r="AB41" s="22">
        <f>+X40+AB39</f>
        <v>3516.2664206510908</v>
      </c>
      <c r="AC41" s="21">
        <f>+AC40+AC39</f>
        <v>4310.8334032023095</v>
      </c>
      <c r="AD41" s="21">
        <f>+AD40+AD39</f>
        <v>4069.7974787335893</v>
      </c>
      <c r="AE41" s="21">
        <f>+AE40+AE39</f>
        <v>4102.1196225674075</v>
      </c>
      <c r="AF41" s="21">
        <f>+AF40+AF39</f>
        <v>4645.1767963144257</v>
      </c>
      <c r="AG41" s="22">
        <f>+AC40+AG39</f>
        <v>4645.1767963144248</v>
      </c>
      <c r="AH41" s="21">
        <f>+AH40+AH39</f>
        <v>5516.6280277849673</v>
      </c>
      <c r="AI41" s="21">
        <f>+AI40+AI39</f>
        <v>5277.3461012798416</v>
      </c>
      <c r="AJ41" s="21">
        <f>+AJ40+AJ39</f>
        <v>5631.8755560345362</v>
      </c>
      <c r="AK41" s="21">
        <f>+AK40+AK39</f>
        <v>1429.0310091872861</v>
      </c>
      <c r="AL41" s="22">
        <f>+AH40+AL39</f>
        <v>1429.0310091872861</v>
      </c>
      <c r="AM41" s="21">
        <f>+AM40+AM39</f>
        <v>2312.8869300984857</v>
      </c>
      <c r="AN41" s="21">
        <f>+AN40+AN39</f>
        <v>1932.079440461963</v>
      </c>
      <c r="AO41" s="21">
        <f>+AO40+AO39</f>
        <v>1982.4038353483024</v>
      </c>
      <c r="AP41" s="21">
        <f>+AP40+AP39</f>
        <v>2708.5814669353776</v>
      </c>
      <c r="AQ41" s="22">
        <f>+AM40+AQ39</f>
        <v>2708.5814669353776</v>
      </c>
      <c r="AR41" s="21">
        <f>+AR40+AR39</f>
        <v>3795.6241271793197</v>
      </c>
      <c r="AS41" s="21">
        <f>+AS40+AS39</f>
        <v>3498.838612579716</v>
      </c>
      <c r="AT41" s="21">
        <f>+AT40+AT39</f>
        <v>3673.1641628517177</v>
      </c>
      <c r="AU41" s="21">
        <f>+AU40+AU39</f>
        <v>4472.886881030654</v>
      </c>
      <c r="AV41" s="22">
        <f>+AR40+AV39</f>
        <v>4472.8868810306558</v>
      </c>
    </row>
    <row r="42" spans="2:48" s="23" customFormat="1" outlineLevel="1" x14ac:dyDescent="0.3">
      <c r="B42" s="631" t="s">
        <v>299</v>
      </c>
      <c r="C42" s="632"/>
      <c r="D42" s="321"/>
      <c r="E42" s="321"/>
      <c r="F42" s="321"/>
      <c r="G42" s="321"/>
      <c r="H42" s="342"/>
      <c r="I42" s="321"/>
      <c r="J42" s="321"/>
      <c r="K42" s="321"/>
      <c r="L42" s="321"/>
      <c r="M42" s="342"/>
      <c r="N42" s="321"/>
      <c r="O42" s="321"/>
      <c r="P42" s="321"/>
      <c r="Q42" s="321"/>
      <c r="R42" s="342"/>
      <c r="S42" s="321"/>
      <c r="T42" s="321"/>
      <c r="U42" s="321"/>
      <c r="V42" s="321"/>
      <c r="W42" s="342"/>
      <c r="X42" s="321"/>
      <c r="Y42" s="321"/>
      <c r="Z42" s="321"/>
      <c r="AA42" s="321"/>
      <c r="AB42" s="342"/>
      <c r="AC42" s="321"/>
      <c r="AD42" s="321"/>
      <c r="AE42" s="321"/>
      <c r="AF42" s="321"/>
      <c r="AG42" s="342"/>
      <c r="AH42" s="321"/>
      <c r="AI42" s="321"/>
      <c r="AJ42" s="321"/>
      <c r="AK42" s="321"/>
      <c r="AL42" s="342"/>
      <c r="AM42" s="321"/>
      <c r="AN42" s="321"/>
      <c r="AO42" s="321"/>
      <c r="AP42" s="321"/>
      <c r="AQ42" s="342"/>
      <c r="AR42" s="321"/>
      <c r="AS42" s="321"/>
      <c r="AT42" s="321"/>
      <c r="AU42" s="321"/>
      <c r="AV42" s="342"/>
    </row>
    <row r="43" spans="2:48" s="23" customFormat="1" outlineLevel="1" x14ac:dyDescent="0.3">
      <c r="B43" s="325" t="s">
        <v>300</v>
      </c>
      <c r="C43" s="326"/>
      <c r="D43" s="327"/>
      <c r="E43" s="327"/>
      <c r="F43" s="343"/>
      <c r="G43" s="327"/>
      <c r="H43" s="328"/>
      <c r="I43" s="327"/>
      <c r="J43" s="327"/>
      <c r="K43" s="327"/>
      <c r="L43" s="327"/>
      <c r="M43" s="328"/>
      <c r="N43" s="327"/>
      <c r="O43" s="327"/>
      <c r="P43" s="327"/>
      <c r="Q43" s="327"/>
      <c r="R43" s="328"/>
      <c r="S43" s="327"/>
      <c r="T43" s="327"/>
      <c r="U43" s="327"/>
      <c r="V43" s="327"/>
      <c r="W43" s="328"/>
      <c r="X43" s="327"/>
      <c r="Y43" s="327"/>
      <c r="Z43" s="327"/>
      <c r="AA43" s="327"/>
      <c r="AB43" s="328"/>
      <c r="AC43" s="327"/>
      <c r="AD43" s="327"/>
      <c r="AE43" s="327"/>
      <c r="AF43" s="327"/>
      <c r="AG43" s="328"/>
      <c r="AH43" s="327"/>
      <c r="AI43" s="327"/>
      <c r="AJ43" s="327"/>
      <c r="AK43" s="327"/>
      <c r="AL43" s="328"/>
      <c r="AM43" s="327"/>
      <c r="AN43" s="327"/>
      <c r="AO43" s="327"/>
      <c r="AP43" s="327"/>
      <c r="AQ43" s="328"/>
      <c r="AR43" s="327"/>
      <c r="AS43" s="327"/>
      <c r="AT43" s="327"/>
      <c r="AU43" s="327"/>
      <c r="AV43" s="328"/>
    </row>
    <row r="44" spans="2:48" s="23" customFormat="1" outlineLevel="1" x14ac:dyDescent="0.3">
      <c r="B44" s="633" t="s">
        <v>301</v>
      </c>
      <c r="C44" s="634"/>
      <c r="D44" s="344"/>
      <c r="E44" s="344"/>
      <c r="F44" s="344"/>
      <c r="G44" s="344"/>
      <c r="H44" s="345"/>
      <c r="I44" s="344"/>
      <c r="J44" s="344"/>
      <c r="K44" s="344"/>
      <c r="L44" s="344"/>
      <c r="M44" s="345"/>
      <c r="N44" s="344"/>
      <c r="O44" s="344"/>
      <c r="P44" s="344"/>
      <c r="Q44" s="344"/>
      <c r="R44" s="345"/>
      <c r="S44" s="344"/>
      <c r="T44" s="344"/>
      <c r="U44" s="344"/>
      <c r="V44" s="344"/>
      <c r="W44" s="345"/>
      <c r="X44" s="344"/>
      <c r="Y44" s="344"/>
      <c r="Z44" s="344"/>
      <c r="AA44" s="344"/>
      <c r="AB44" s="345"/>
      <c r="AC44" s="344"/>
      <c r="AD44" s="344"/>
      <c r="AE44" s="344"/>
      <c r="AF44" s="344"/>
      <c r="AG44" s="345"/>
      <c r="AH44" s="344"/>
      <c r="AI44" s="344"/>
      <c r="AJ44" s="344"/>
      <c r="AK44" s="344"/>
      <c r="AL44" s="345"/>
      <c r="AM44" s="344"/>
      <c r="AN44" s="344"/>
      <c r="AO44" s="344"/>
      <c r="AP44" s="344"/>
      <c r="AQ44" s="345"/>
      <c r="AR44" s="344"/>
      <c r="AS44" s="344"/>
      <c r="AT44" s="344"/>
      <c r="AU44" s="344"/>
      <c r="AV44" s="345"/>
    </row>
    <row r="45" spans="2:48" outlineLevel="1" x14ac:dyDescent="0.3">
      <c r="B45" s="250" t="s">
        <v>302</v>
      </c>
      <c r="C45" s="249"/>
      <c r="D45" s="334"/>
      <c r="E45" s="334"/>
      <c r="F45" s="334"/>
      <c r="G45" s="334"/>
      <c r="H45" s="335"/>
      <c r="I45" s="334"/>
      <c r="J45" s="334"/>
      <c r="K45" s="334"/>
      <c r="L45" s="334"/>
      <c r="M45" s="335"/>
      <c r="N45" s="334"/>
      <c r="O45" s="334"/>
      <c r="P45" s="334"/>
      <c r="Q45" s="334"/>
      <c r="R45" s="335"/>
      <c r="S45" s="334"/>
      <c r="T45" s="334"/>
      <c r="U45" s="334"/>
      <c r="V45" s="334"/>
      <c r="W45" s="335"/>
      <c r="X45" s="334"/>
      <c r="Y45" s="334"/>
      <c r="Z45" s="334"/>
      <c r="AA45" s="334"/>
      <c r="AB45" s="335"/>
      <c r="AC45" s="334"/>
      <c r="AD45" s="334"/>
      <c r="AE45" s="334"/>
      <c r="AF45" s="334"/>
      <c r="AG45" s="335"/>
      <c r="AH45" s="334"/>
      <c r="AI45" s="334"/>
      <c r="AJ45" s="334"/>
      <c r="AK45" s="334"/>
      <c r="AL45" s="335"/>
      <c r="AM45" s="334"/>
      <c r="AN45" s="334"/>
      <c r="AO45" s="334"/>
      <c r="AP45" s="334"/>
      <c r="AQ45" s="335"/>
      <c r="AR45" s="334"/>
      <c r="AS45" s="334"/>
      <c r="AT45" s="334"/>
      <c r="AU45" s="334"/>
      <c r="AV45" s="335"/>
    </row>
    <row r="46" spans="2:48" outlineLevel="1" x14ac:dyDescent="0.3">
      <c r="B46" s="200" t="s">
        <v>303</v>
      </c>
      <c r="C46" s="201"/>
      <c r="D46" s="16">
        <f>+'BS 3Q2022'!D6+'BS 3Q2022'!D7+'BS 3Q2022'!D12</f>
        <v>5256.8</v>
      </c>
      <c r="E46" s="16">
        <f>+'BS 3Q2022'!E6+'BS 3Q2022'!E7+'BS 3Q2022'!E12</f>
        <v>2383.6000000000004</v>
      </c>
      <c r="F46" s="16">
        <f>+'BS 3Q2022'!F6+'BS 3Q2022'!F7+'BS 3Q2022'!F12</f>
        <v>5058.1000000000022</v>
      </c>
      <c r="G46" s="16">
        <f>+'BS 3Q2022'!G6+'BS 3Q2022'!G7+'BS 3Q2022'!G12</f>
        <v>2977.1000000000022</v>
      </c>
      <c r="H46" s="17">
        <f>+'BS 3Q2022'!H6+'BS 3Q2022'!H7+'BS 3Q2022'!H12</f>
        <v>2977.1000000000022</v>
      </c>
      <c r="I46" s="16">
        <f>+'BS 3Q2022'!I6+'BS 3Q2022'!I7+'BS 3Q2022'!I12</f>
        <v>3308.7000000000039</v>
      </c>
      <c r="J46" s="16">
        <f>+'BS 3Q2022'!J6+'BS 3Q2022'!J7+'BS 3Q2022'!J12</f>
        <v>2824.0000000000032</v>
      </c>
      <c r="K46" s="16">
        <f>+'BS 3Q2022'!K6+'BS 3Q2022'!K7+'BS 3Q2022'!K12</f>
        <v>4419.2000000000035</v>
      </c>
      <c r="L46" s="16">
        <f>+'BS 3Q2022'!L6+'BS 3Q2022'!L7+'BS 3Q2022'!L12</f>
        <v>4838.2000000000062</v>
      </c>
      <c r="M46" s="17">
        <f>+'BS 3Q2022'!M6+'BS 3Q2022'!M7+'BS 3Q2022'!M12</f>
        <v>4838.2000000000062</v>
      </c>
      <c r="N46" s="16">
        <f>+'BS 3Q2022'!N6+'BS 3Q2022'!N7+'BS 3Q2022'!N12</f>
        <v>5454.4000000000096</v>
      </c>
      <c r="O46" s="16">
        <f>+'BS 3Q2022'!O6+'BS 3Q2022'!O7+'BS 3Q2022'!O12</f>
        <v>4288.4000000000106</v>
      </c>
      <c r="P46" s="16">
        <f>+'BS 3Q2022'!P6+'BS 3Q2022'!P7+'BS 3Q2022'!P12</f>
        <v>5192.6000000000095</v>
      </c>
      <c r="Q46" s="16">
        <f>+'BS 3Q2022'!Q6+'BS 3Q2022'!Q7+'BS 3Q2022'!Q12</f>
        <v>6899.6000000000085</v>
      </c>
      <c r="R46" s="17">
        <f>+'BS 3Q2022'!R6+'BS 3Q2022'!R7+'BS 3Q2022'!R12</f>
        <v>6899.6000000000085</v>
      </c>
      <c r="S46" s="16">
        <f>+'BS 3Q2022'!S6+'BS 3Q2022'!S7+'BS 3Q2022'!S12</f>
        <v>4356.4000000000078</v>
      </c>
      <c r="T46" s="16">
        <f>+'BS 3Q2022'!T6+'BS 3Q2022'!T7+'BS 3Q2022'!T12</f>
        <v>4281.1000000000085</v>
      </c>
      <c r="U46" s="16">
        <f>+'BS 3Q2022'!U6+'BS 3Q2022'!U7+'BS 3Q2022'!U12</f>
        <v>3546.9000000000074</v>
      </c>
      <c r="V46" s="16">
        <f>+'BS 3Q2022'!V6+'BS 3Q2022'!V7+'BS 3Q2022'!V12</f>
        <v>3626.225344197559</v>
      </c>
      <c r="W46" s="17">
        <f>+'BS 3Q2022'!W6+'BS 3Q2022'!W7+'BS 3Q2022'!W12</f>
        <v>3626.225344197559</v>
      </c>
      <c r="X46" s="16">
        <f>+'BS 3Q2022'!X6+'BS 3Q2022'!X7+'BS 3Q2022'!X12</f>
        <v>4043.9148887454353</v>
      </c>
      <c r="Y46" s="16">
        <f>+'BS 3Q2022'!Y6+'BS 3Q2022'!Y7+'BS 3Q2022'!Y12</f>
        <v>3535.8822286682098</v>
      </c>
      <c r="Z46" s="16">
        <f>+'BS 3Q2022'!Z6+'BS 3Q2022'!Z7+'BS 3Q2022'!Z12</f>
        <v>3305.4076387523319</v>
      </c>
      <c r="AA46" s="16">
        <f>+'BS 3Q2022'!AA6+'BS 3Q2022'!AA7+'BS 3Q2022'!AA12</f>
        <v>3905.6160177644697</v>
      </c>
      <c r="AB46" s="17">
        <f>+'BS 3Q2022'!AB6+'BS 3Q2022'!AB7+'BS 3Q2022'!AB12</f>
        <v>3905.6160177644697</v>
      </c>
      <c r="AC46" s="16">
        <f>+'BS 3Q2022'!AC6+'BS 3Q2022'!AC7+'BS 3Q2022'!AC12</f>
        <v>4713.9766208429646</v>
      </c>
      <c r="AD46" s="16">
        <f>+'BS 3Q2022'!AD6+'BS 3Q2022'!AD7+'BS 3Q2022'!AD12</f>
        <v>4472.3361063329567</v>
      </c>
      <c r="AE46" s="16">
        <f>+'BS 3Q2022'!AE6+'BS 3Q2022'!AE7+'BS 3Q2022'!AE12</f>
        <v>4513.9075372116513</v>
      </c>
      <c r="AF46" s="16">
        <f>+'BS 3Q2022'!AF6+'BS 3Q2022'!AF7+'BS 3Q2022'!AF12</f>
        <v>5062.2489304894407</v>
      </c>
      <c r="AG46" s="17">
        <f>+'BS 3Q2022'!AG6+'BS 3Q2022'!AG7+'BS 3Q2022'!AG12</f>
        <v>5062.2489304894407</v>
      </c>
      <c r="AH46" s="16">
        <f>+'BS 3Q2022'!AH6+'BS 3Q2022'!AH7+'BS 3Q2022'!AH12</f>
        <v>5949.7993810327598</v>
      </c>
      <c r="AI46" s="16">
        <f>+'BS 3Q2022'!AI6+'BS 3Q2022'!AI7+'BS 3Q2022'!AI12</f>
        <v>5710.3720273195531</v>
      </c>
      <c r="AJ46" s="16">
        <f>+'BS 3Q2022'!AJ6+'BS 3Q2022'!AJ7+'BS 3Q2022'!AJ12</f>
        <v>6080.0142143794446</v>
      </c>
      <c r="AK46" s="16">
        <f>+'BS 3Q2022'!AK6+'BS 3Q2022'!AK7+'BS 3Q2022'!AK12</f>
        <v>1816.1051489336953</v>
      </c>
      <c r="AL46" s="17">
        <f>+'BS 3Q2022'!AL6+'BS 3Q2022'!AL7+'BS 3Q2022'!AL12</f>
        <v>1816.1051489336953</v>
      </c>
      <c r="AM46" s="16">
        <f>+'BS 3Q2022'!AM6+'BS 3Q2022'!AM7+'BS 3Q2022'!AM12</f>
        <v>2715.4724177346966</v>
      </c>
      <c r="AN46" s="16">
        <f>+'BS 3Q2022'!AN6+'BS 3Q2022'!AN7+'BS 3Q2022'!AN12</f>
        <v>2332.4359429143842</v>
      </c>
      <c r="AO46" s="16">
        <f>+'BS 3Q2022'!AO6+'BS 3Q2022'!AO7+'BS 3Q2022'!AO12</f>
        <v>2394.4825884515126</v>
      </c>
      <c r="AP46" s="16">
        <f>+'BS 3Q2022'!AP6+'BS 3Q2022'!AP7+'BS 3Q2022'!AP12</f>
        <v>3126.2426630811383</v>
      </c>
      <c r="AQ46" s="17">
        <f>+'BS 3Q2022'!AQ6+'BS 3Q2022'!AQ7+'BS 3Q2022'!AQ12</f>
        <v>3126.2426630811383</v>
      </c>
      <c r="AR46" s="16">
        <f>+'BS 3Q2022'!AR6+'BS 3Q2022'!AR7+'BS 3Q2022'!AR12</f>
        <v>4230.9290508154518</v>
      </c>
      <c r="AS46" s="16">
        <f>+'BS 3Q2022'!AS6+'BS 3Q2022'!AS7+'BS 3Q2022'!AS12</f>
        <v>3932.9284754008504</v>
      </c>
      <c r="AT46" s="16">
        <f>+'BS 3Q2022'!AT6+'BS 3Q2022'!AT7+'BS 3Q2022'!AT12</f>
        <v>4120.5090465452677</v>
      </c>
      <c r="AU46" s="16">
        <f>+'BS 3Q2022'!AU6+'BS 3Q2022'!AU7+'BS 3Q2022'!AU12</f>
        <v>4927.1183181816714</v>
      </c>
      <c r="AV46" s="17">
        <f>+'BS 3Q2022'!AV6+'BS 3Q2022'!AV7+'BS 3Q2022'!AV12</f>
        <v>4927.1183181816714</v>
      </c>
    </row>
    <row r="47" spans="2:48" outlineLevel="1" x14ac:dyDescent="0.3">
      <c r="B47" s="200" t="s">
        <v>304</v>
      </c>
      <c r="C47" s="201"/>
      <c r="D47" s="16">
        <f>'BS 3Q2022'!D28+'BS 3Q2022'!D31</f>
        <v>9130.7000000000007</v>
      </c>
      <c r="E47" s="16">
        <f>'BS 3Q2022'!E28+'BS 3Q2022'!E31</f>
        <v>9216.5</v>
      </c>
      <c r="F47" s="16">
        <f>'BS 3Q2022'!F28+'BS 3Q2022'!F31</f>
        <v>11159.1</v>
      </c>
      <c r="G47" s="16">
        <f>'BS 3Q2022'!G28+'BS 3Q2022'!G31</f>
        <v>11167</v>
      </c>
      <c r="H47" s="17">
        <f>'BS 3Q2022'!H28+'BS 3Q2022'!H31</f>
        <v>11167</v>
      </c>
      <c r="I47" s="16">
        <f>'BS 3Q2022'!I28+'BS 3Q2022'!I31</f>
        <v>11649.800000000001</v>
      </c>
      <c r="J47" s="16">
        <f>'BS 3Q2022'!J28+'BS 3Q2022'!J31</f>
        <v>14015.2</v>
      </c>
      <c r="K47" s="16">
        <f>'BS 3Q2022'!K28+'BS 3Q2022'!K31</f>
        <v>16831.7</v>
      </c>
      <c r="L47" s="16">
        <f>'BS 3Q2022'!L28+'BS 3Q2022'!L31</f>
        <v>16348.300000000001</v>
      </c>
      <c r="M47" s="17">
        <f>'BS 3Q2022'!M28+'BS 3Q2022'!M31</f>
        <v>16348.300000000001</v>
      </c>
      <c r="N47" s="16">
        <f>'BS 3Q2022'!N28+'BS 3Q2022'!N31</f>
        <v>15916.1</v>
      </c>
      <c r="O47" s="16">
        <f>'BS 3Q2022'!O28+'BS 3Q2022'!O31</f>
        <v>14648.599999999999</v>
      </c>
      <c r="P47" s="16">
        <f>'BS 3Q2022'!P28+'BS 3Q2022'!P31</f>
        <v>14618.1</v>
      </c>
      <c r="Q47" s="16">
        <f>'BS 3Q2022'!Q28+'BS 3Q2022'!Q31</f>
        <v>14615.8</v>
      </c>
      <c r="R47" s="17">
        <f>'BS 3Q2022'!R28+'BS 3Q2022'!R31</f>
        <v>14615.8</v>
      </c>
      <c r="S47" s="16">
        <f>'BS 3Q2022'!S28+'BS 3Q2022'!S31</f>
        <v>14785.599999999999</v>
      </c>
      <c r="T47" s="16">
        <f>'BS 3Q2022'!T28+'BS 3Q2022'!T31</f>
        <v>16013</v>
      </c>
      <c r="U47" s="16">
        <f>'BS 3Q2022'!U28+'BS 3Q2022'!U31</f>
        <v>15129.9</v>
      </c>
      <c r="V47" s="16">
        <f>'BS 3Q2022'!V28+'BS 3Q2022'!V31</f>
        <v>14930.9</v>
      </c>
      <c r="W47" s="17">
        <f>'BS 3Q2022'!W28+'BS 3Q2022'!W31</f>
        <v>14930.9</v>
      </c>
      <c r="X47" s="16">
        <f>'BS 3Q2022'!X28+'BS 3Q2022'!X31</f>
        <v>14930.9</v>
      </c>
      <c r="Y47" s="16">
        <f>'BS 3Q2022'!Y28+'BS 3Q2022'!Y31</f>
        <v>14930.9</v>
      </c>
      <c r="Z47" s="16">
        <f>'BS 3Q2022'!Z28+'BS 3Q2022'!Z31</f>
        <v>14930.9</v>
      </c>
      <c r="AA47" s="16">
        <f>'BS 3Q2022'!AA28+'BS 3Q2022'!AA31</f>
        <v>14930.9</v>
      </c>
      <c r="AB47" s="17">
        <f>'BS 3Q2022'!AB28+'BS 3Q2022'!AB31</f>
        <v>14930.9</v>
      </c>
      <c r="AC47" s="16">
        <f>'BS 3Q2022'!AC28+'BS 3Q2022'!AC31</f>
        <v>14930.9</v>
      </c>
      <c r="AD47" s="16">
        <f>'BS 3Q2022'!AD28+'BS 3Q2022'!AD31</f>
        <v>14930.6</v>
      </c>
      <c r="AE47" s="16">
        <f>'BS 3Q2022'!AE28+'BS 3Q2022'!AE31</f>
        <v>14930.6</v>
      </c>
      <c r="AF47" s="16">
        <f>'BS 3Q2022'!AF28+'BS 3Q2022'!AF31</f>
        <v>15030.6</v>
      </c>
      <c r="AG47" s="17">
        <f>'BS 3Q2022'!AG28+'BS 3Q2022'!AG31</f>
        <v>15030.6</v>
      </c>
      <c r="AH47" s="16">
        <f>'BS 3Q2022'!AH28+'BS 3Q2022'!AH31</f>
        <v>15030.6</v>
      </c>
      <c r="AI47" s="16">
        <f>'BS 3Q2022'!AI28+'BS 3Q2022'!AI31</f>
        <v>15030.6</v>
      </c>
      <c r="AJ47" s="16">
        <f>'BS 3Q2022'!AJ28+'BS 3Q2022'!AJ31</f>
        <v>20321.198382851078</v>
      </c>
      <c r="AK47" s="16">
        <f>'BS 3Q2022'!AK28+'BS 3Q2022'!AK31</f>
        <v>20321.198382851078</v>
      </c>
      <c r="AL47" s="17">
        <f>'BS 3Q2022'!AL28+'BS 3Q2022'!AL31</f>
        <v>20321.198382851078</v>
      </c>
      <c r="AM47" s="16">
        <f>'BS 3Q2022'!AM28+'BS 3Q2022'!AM31</f>
        <v>20321.198382851078</v>
      </c>
      <c r="AN47" s="16">
        <f>'BS 3Q2022'!AN28+'BS 3Q2022'!AN31</f>
        <v>20321.198382851078</v>
      </c>
      <c r="AO47" s="16">
        <f>'BS 3Q2022'!AO28+'BS 3Q2022'!AO31</f>
        <v>20321.198382851078</v>
      </c>
      <c r="AP47" s="16">
        <f>'BS 3Q2022'!AP28+'BS 3Q2022'!AP31</f>
        <v>20321.198382851078</v>
      </c>
      <c r="AQ47" s="17">
        <f>'BS 3Q2022'!AQ28+'BS 3Q2022'!AQ31</f>
        <v>20321.198382851078</v>
      </c>
      <c r="AR47" s="16">
        <f>'BS 3Q2022'!AR28+'BS 3Q2022'!AR31</f>
        <v>20321.198382851078</v>
      </c>
      <c r="AS47" s="16">
        <f>'BS 3Q2022'!AS28+'BS 3Q2022'!AS31</f>
        <v>20321.198382851078</v>
      </c>
      <c r="AT47" s="16">
        <f>'BS 3Q2022'!AT28+'BS 3Q2022'!AT31</f>
        <v>20321.198382851078</v>
      </c>
      <c r="AU47" s="16">
        <f>'BS 3Q2022'!AU28+'BS 3Q2022'!AU31</f>
        <v>20321.198382851078</v>
      </c>
      <c r="AV47" s="17">
        <f>'BS 3Q2022'!AV28+'BS 3Q2022'!AV31</f>
        <v>20321.198382851078</v>
      </c>
    </row>
    <row r="48" spans="2:48" outlineLevel="1" x14ac:dyDescent="0.3">
      <c r="B48" s="635" t="s">
        <v>305</v>
      </c>
      <c r="C48" s="636"/>
      <c r="D48" s="346">
        <f>(D46-D47)/'IS 3Q2022'!D31</f>
        <v>-3.0907132599329823</v>
      </c>
      <c r="E48" s="346">
        <f>(E46-E47)/'IS 3Q2022'!E31</f>
        <v>-5.4632605740785154</v>
      </c>
      <c r="F48" s="346">
        <f>(F46-F47)/'IS 3Q2022'!F31</f>
        <v>-4.9885527391659839</v>
      </c>
      <c r="G48" s="346">
        <f>(G46-G47)/'IS 3Q2022'!G31</f>
        <v>-6.6975821179389685</v>
      </c>
      <c r="H48" s="347">
        <f>(H46-H47)/'IS 3Q2022'!H31</f>
        <v>-6.6411774245864397</v>
      </c>
      <c r="I48" s="346">
        <f>(I46-I47)/'IS 3Q2022'!I31</f>
        <v>-7.0034424853064623</v>
      </c>
      <c r="J48" s="346">
        <f>(J46-J47)/'IS 3Q2022'!J31</f>
        <v>-9.4784449902600123</v>
      </c>
      <c r="K48" s="346">
        <f>(K46-K47)/'IS 3Q2022'!K31</f>
        <v>-10.62259306803594</v>
      </c>
      <c r="L48" s="346">
        <f>(L46-L47)/'IS 3Q2022'!L31</f>
        <v>-9.7625954198473242</v>
      </c>
      <c r="M48" s="347">
        <f>(M46-M47)/'IS 3Q2022'!M31</f>
        <v>-9.6019593007244595</v>
      </c>
      <c r="N48" s="346">
        <f>(N46-N47)/'IS 3Q2022'!N31</f>
        <v>-8.8433643279797032</v>
      </c>
      <c r="O48" s="346">
        <f>(O46-O47)/'IS 3Q2022'!O31</f>
        <v>-8.7442606347062704</v>
      </c>
      <c r="P48" s="346">
        <f>(P46-P47)/'IS 3Q2022'!P31</f>
        <v>-7.9459618951272892</v>
      </c>
      <c r="Q48" s="346">
        <f>(Q46-Q47)/'IS 3Q2022'!Q31</f>
        <v>-6.4956646182338496</v>
      </c>
      <c r="R48" s="347">
        <f>(R46-R47)/'IS 3Q2022'!R31</f>
        <v>-6.504862503325251</v>
      </c>
      <c r="S48" s="346">
        <f>(S46-S47)/'IS 3Q2022'!S31</f>
        <v>-8.8638449770525156</v>
      </c>
      <c r="T48" s="346">
        <f>(T46-T47)/'IS 3Q2022'!T31</f>
        <v>-10.167172198630722</v>
      </c>
      <c r="U48" s="346">
        <f>(U46-U47)/'IS 3Q2022'!U31</f>
        <v>-10.06342311033883</v>
      </c>
      <c r="V48" s="346">
        <f>(V46-V47)/'IS 3Q2022'!V31</f>
        <v>-9.8117995434647387</v>
      </c>
      <c r="W48" s="347">
        <f>(W46-W47)/'IS 3Q2022'!W31</f>
        <v>-9.7581506396475532</v>
      </c>
      <c r="X48" s="346">
        <f>(X46-X47)/'IS 3Q2022'!X31</f>
        <v>-9.4398295034698716</v>
      </c>
      <c r="Y48" s="346">
        <f>(Y46-Y47)/'IS 3Q2022'!Y31</f>
        <v>-9.8704613156776162</v>
      </c>
      <c r="Z48" s="346">
        <f>(Z46-Z47)/'IS 3Q2022'!Z31</f>
        <v>-10.060040325475839</v>
      </c>
      <c r="AA48" s="346">
        <f>(AA46-AA47)/'IS 3Q2022'!AA31</f>
        <v>-9.5311229856381736</v>
      </c>
      <c r="AB48" s="347">
        <f>(AB46-AB47)/'IS 3Q2022'!AB31</f>
        <v>-9.544052897566921</v>
      </c>
      <c r="AC48" s="346">
        <f>(AC46-AC47)/'IS 3Q2022'!AC31</f>
        <v>-8.8234889864553576</v>
      </c>
      <c r="AD48" s="346">
        <f>(AD46-AD47)/'IS 3Q2022'!AD31</f>
        <v>-9.0228914000848413</v>
      </c>
      <c r="AE48" s="346">
        <f>(AE46-AE47)/'IS 3Q2022'!AE31</f>
        <v>-8.9851265798956348</v>
      </c>
      <c r="AF48" s="346">
        <f>(AF46-AF47)/'IS 3Q2022'!AF31</f>
        <v>-8.5965824501494748</v>
      </c>
      <c r="AG48" s="347">
        <f>(AG46-AG47)/'IS 3Q2022'!AG31</f>
        <v>-8.6010031298334102</v>
      </c>
      <c r="AH48" s="346">
        <f>(AH46-AH47)/'IS 3Q2022'!AH31</f>
        <v>-7.8292187517801022</v>
      </c>
      <c r="AI48" s="346">
        <f>(AI46-AI47)/'IS 3Q2022'!AI31</f>
        <v>-8.0336428533463344</v>
      </c>
      <c r="AJ48" s="346">
        <f>(AJ46-AJ47)/'IS 3Q2022'!AJ31</f>
        <v>-12.759531412759575</v>
      </c>
      <c r="AK48" s="346">
        <f>(AK46-AK47)/'IS 3Q2022'!AK31</f>
        <v>-17.261427717773124</v>
      </c>
      <c r="AL48" s="347">
        <f>(AL46-AL47)/'IS 3Q2022'!AL31</f>
        <v>-16.442390842696405</v>
      </c>
      <c r="AM48" s="346">
        <f>(AM46-AM47)/'IS 3Q2022'!AM31</f>
        <v>-16.438086278560323</v>
      </c>
      <c r="AN48" s="346">
        <f>(AN46-AN47)/'IS 3Q2022'!AN31</f>
        <v>-16.811686750078103</v>
      </c>
      <c r="AO48" s="346">
        <f>(AO46-AO47)/'IS 3Q2022'!AO31</f>
        <v>-16.769658812311746</v>
      </c>
      <c r="AP48" s="346">
        <f>(AP46-AP47)/'IS 3Q2022'!AP31</f>
        <v>-16.100481120652798</v>
      </c>
      <c r="AQ48" s="347">
        <f>(AQ46-AQ47)/'IS 3Q2022'!AQ31</f>
        <v>-16.077950911531907</v>
      </c>
      <c r="AR48" s="346">
        <f>(AR46-AR47)/'IS 3Q2022'!AR31</f>
        <v>-15.079937742500038</v>
      </c>
      <c r="AS48" s="346">
        <f>(AS46-AS47)/'IS 3Q2022'!AS31</f>
        <v>-15.373351258388739</v>
      </c>
      <c r="AT48" s="346">
        <f>(AT46-AT47)/'IS 3Q2022'!AT31</f>
        <v>-15.211390340362108</v>
      </c>
      <c r="AU48" s="346">
        <f>(AU46-AU47)/'IS 3Q2022'!AU31</f>
        <v>-14.467380427558908</v>
      </c>
      <c r="AV48" s="347">
        <f>(AV46-AV47)/'IS 3Q2022'!AV31</f>
        <v>-14.447799317808673</v>
      </c>
    </row>
    <row r="49" spans="2:48" x14ac:dyDescent="0.3">
      <c r="B49" s="637"/>
      <c r="C49" s="637"/>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583" t="s">
        <v>306</v>
      </c>
      <c r="C50" s="584"/>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5" t="s">
        <v>20</v>
      </c>
      <c r="W50" s="41" t="s">
        <v>20</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85"/>
      <c r="C51" s="586"/>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2" t="s">
        <v>25</v>
      </c>
      <c r="W51" s="42" t="s">
        <v>26</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601" t="s">
        <v>307</v>
      </c>
      <c r="C52" s="602"/>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D12/'IS 3Q2022'!D8</f>
        <v>1.4669742337208073E-2</v>
      </c>
      <c r="E53" s="281">
        <f>E12/'IS 3Q2022'!E8</f>
        <v>1.5033540018078308E-2</v>
      </c>
      <c r="F53" s="113">
        <f>F12/'IS 3Q2022'!F8</f>
        <v>9.2774439396160081E-3</v>
      </c>
      <c r="G53" s="113">
        <f>G12/'IS 3Q2022'!G8</f>
        <v>7.7960575070401619E-3</v>
      </c>
      <c r="H53" s="125">
        <f>H12/'IS 3Q2022'!H8</f>
        <v>1.1618870857004896E-2</v>
      </c>
      <c r="I53" s="113">
        <f>I12/'IS 3Q2022'!I8</f>
        <v>1.2723506784461259E-2</v>
      </c>
      <c r="J53" s="113">
        <f>J12/'IS 3Q2022'!J8</f>
        <v>9.3900628783961833E-3</v>
      </c>
      <c r="K53" s="113">
        <f>K12/'IS 3Q2022'!K8</f>
        <v>9.8055470026763899E-3</v>
      </c>
      <c r="L53" s="113">
        <f>L12/'IS 3Q2022'!L8</f>
        <v>9.7693088939401224E-3</v>
      </c>
      <c r="M53" s="282">
        <f>M12/'IS 3Q2022'!M8</f>
        <v>1.0570626753975675E-2</v>
      </c>
      <c r="N53" s="113">
        <f>N12/'IS 3Q2022'!N8</f>
        <v>1.4712418881678371E-2</v>
      </c>
      <c r="O53" s="113">
        <f>O12/'IS 3Q2022'!O8</f>
        <v>1.1397720455908821E-2</v>
      </c>
      <c r="P53" s="113">
        <f>P12/'IS 3Q2022'!P8</f>
        <v>1.0671646768491964E-2</v>
      </c>
      <c r="Q53" s="113">
        <f>Q12/'IS 3Q2022'!Q8</f>
        <v>7.8313918519155035E-3</v>
      </c>
      <c r="R53" s="282">
        <f>R12/'IS 3Q2022'!R8</f>
        <v>1.0980502811366593E-2</v>
      </c>
      <c r="S53" s="113">
        <f>S12/'IS 3Q2022'!S8</f>
        <v>1.1900029812183245E-2</v>
      </c>
      <c r="T53" s="113">
        <f>T12/'IS 3Q2022'!T8</f>
        <v>6.9935564985069932E-3</v>
      </c>
      <c r="U53" s="113">
        <f>U12/'IS 3Q2022'!U8</f>
        <v>7.0428583698359517E-3</v>
      </c>
      <c r="V53" s="35">
        <f>AVERAGE(U53,T53,S53,Q53)</f>
        <v>8.4419591331104243E-3</v>
      </c>
      <c r="W53" s="282"/>
      <c r="X53" s="35">
        <f>AVERAGE(V53,U53,T53,S53)</f>
        <v>8.5946009534091546E-3</v>
      </c>
      <c r="Y53" s="35">
        <f>AVERAGE(X53,V53,U53,T53)</f>
        <v>7.7682437387156314E-3</v>
      </c>
      <c r="Z53" s="35">
        <f>AVERAGE(Y53,X53,V53,U53)</f>
        <v>7.9619155487677899E-3</v>
      </c>
      <c r="AA53" s="35">
        <f>AVERAGE(Z53,Y53,X53,V53)</f>
        <v>8.1916798435007487E-3</v>
      </c>
      <c r="AB53" s="282"/>
      <c r="AC53" s="35">
        <f>AVERAGE(AA53,Z53,Y53,X53)</f>
        <v>8.1291100210983298E-3</v>
      </c>
      <c r="AD53" s="35">
        <f>AVERAGE(AC53,AA53,Z53,Y53)</f>
        <v>8.0127372880206254E-3</v>
      </c>
      <c r="AE53" s="35">
        <f>AVERAGE(AD53,AC53,AA53,Z53)</f>
        <v>8.0738606753468726E-3</v>
      </c>
      <c r="AF53" s="35">
        <f>AVERAGE(AE53,AD53,AC53,AA53)</f>
        <v>8.101846956991645E-3</v>
      </c>
      <c r="AG53" s="282"/>
      <c r="AH53" s="35">
        <f>AVERAGE(AF53,AE53,AD53,AC53)</f>
        <v>8.0793887353643699E-3</v>
      </c>
      <c r="AI53" s="35">
        <f>AVERAGE(AH53,AF53,AE53,AD53)</f>
        <v>8.0669584139308782E-3</v>
      </c>
      <c r="AJ53" s="35">
        <f>AVERAGE(AI53,AH53,AF53,AE53)</f>
        <v>8.0805136954084419E-3</v>
      </c>
      <c r="AK53" s="35">
        <f>AVERAGE(AJ53,AI53,AH53,AF53)</f>
        <v>8.0821769504238333E-3</v>
      </c>
      <c r="AL53" s="282"/>
      <c r="AM53" s="35">
        <f>AVERAGE(AK53,AJ53,AI53,AH53)</f>
        <v>8.0772594487818813E-3</v>
      </c>
      <c r="AN53" s="35">
        <f>AVERAGE(AM53,AK53,AJ53,AI53)</f>
        <v>8.0767271271362587E-3</v>
      </c>
      <c r="AO53" s="35">
        <f>AVERAGE(AN53,AM53,AK53,AJ53)</f>
        <v>8.0791693054376047E-3</v>
      </c>
      <c r="AP53" s="35">
        <f>AVERAGE(AO53,AN53,AM53,AK53)</f>
        <v>8.0788332079448945E-3</v>
      </c>
      <c r="AQ53" s="282"/>
      <c r="AR53" s="35">
        <f>AVERAGE(AP53,AO53,AN53,AM53)</f>
        <v>8.0779972723251606E-3</v>
      </c>
      <c r="AS53" s="35">
        <f>AVERAGE(AR53,AP53,AO53,AN53)</f>
        <v>8.0781817282109796E-3</v>
      </c>
      <c r="AT53" s="35">
        <f>AVERAGE(AS53,AR53,AP53,AO53)</f>
        <v>8.0785453784796603E-3</v>
      </c>
      <c r="AU53" s="35">
        <f>AVERAGE(AT53,AS53,AR53,AP53)</f>
        <v>8.0783893967401738E-3</v>
      </c>
      <c r="AV53" s="282"/>
    </row>
    <row r="54" spans="2:48" s="23" customFormat="1" outlineLevel="1" x14ac:dyDescent="0.3">
      <c r="B54" s="200" t="s">
        <v>309</v>
      </c>
      <c r="C54" s="201"/>
      <c r="D54" s="351">
        <f t="shared" ref="D54" si="39">+D10/-D9</f>
        <v>1.1581818181818182</v>
      </c>
      <c r="E54" s="351">
        <f t="shared" ref="E54:U54" si="40">+E10/-E9</f>
        <v>0.55639097744360888</v>
      </c>
      <c r="F54" s="113">
        <f t="shared" si="40"/>
        <v>1.0682852807283763</v>
      </c>
      <c r="G54" s="113">
        <f t="shared" si="40"/>
        <v>0.69411764705882406</v>
      </c>
      <c r="H54" s="125">
        <f t="shared" si="40"/>
        <v>0.86512370311252995</v>
      </c>
      <c r="I54" s="113">
        <f t="shared" si="40"/>
        <v>1.0222575516693164</v>
      </c>
      <c r="J54" s="113">
        <f t="shared" si="40"/>
        <v>0.63295880149812733</v>
      </c>
      <c r="K54" s="113">
        <f t="shared" si="40"/>
        <v>1.0227272727272729</v>
      </c>
      <c r="L54" s="113">
        <f t="shared" si="40"/>
        <v>0.63109756097560987</v>
      </c>
      <c r="M54" s="282">
        <f t="shared" si="40"/>
        <v>0.81118631991449952</v>
      </c>
      <c r="N54" s="113">
        <f t="shared" si="40"/>
        <v>1.1188405797101451</v>
      </c>
      <c r="O54" s="113">
        <f t="shared" si="40"/>
        <v>0.85072231139646837</v>
      </c>
      <c r="P54" s="113">
        <f t="shared" si="40"/>
        <v>0.9018691588785045</v>
      </c>
      <c r="Q54" s="113">
        <f t="shared" si="40"/>
        <v>1.0027522935779816</v>
      </c>
      <c r="R54" s="282">
        <f t="shared" si="40"/>
        <v>0.96746328822343797</v>
      </c>
      <c r="S54" s="113">
        <f t="shared" si="40"/>
        <v>0.96351931330472096</v>
      </c>
      <c r="T54" s="113">
        <f t="shared" si="40"/>
        <v>0.77531206657420249</v>
      </c>
      <c r="U54" s="113">
        <f t="shared" si="40"/>
        <v>0.80106571936056836</v>
      </c>
      <c r="V54" s="35">
        <v>1</v>
      </c>
      <c r="W54" s="282"/>
      <c r="X54" s="35">
        <v>1</v>
      </c>
      <c r="Y54" s="35">
        <v>1</v>
      </c>
      <c r="Z54" s="35">
        <v>1</v>
      </c>
      <c r="AA54" s="35">
        <v>1</v>
      </c>
      <c r="AB54" s="282"/>
      <c r="AC54" s="35">
        <v>1</v>
      </c>
      <c r="AD54" s="35">
        <v>1</v>
      </c>
      <c r="AE54" s="35">
        <v>1</v>
      </c>
      <c r="AF54" s="35">
        <v>1</v>
      </c>
      <c r="AG54" s="282"/>
      <c r="AH54" s="35">
        <v>1</v>
      </c>
      <c r="AI54" s="35">
        <v>1</v>
      </c>
      <c r="AJ54" s="35">
        <v>1</v>
      </c>
      <c r="AK54" s="35">
        <v>1</v>
      </c>
      <c r="AL54" s="282"/>
      <c r="AM54" s="35">
        <v>1</v>
      </c>
      <c r="AN54" s="35">
        <v>1</v>
      </c>
      <c r="AO54" s="35">
        <v>1</v>
      </c>
      <c r="AP54" s="35">
        <v>1</v>
      </c>
      <c r="AQ54" s="282"/>
      <c r="AR54" s="35">
        <v>1</v>
      </c>
      <c r="AS54" s="35">
        <v>1</v>
      </c>
      <c r="AT54" s="35">
        <v>1</v>
      </c>
      <c r="AU54" s="35">
        <v>1</v>
      </c>
      <c r="AV54" s="282"/>
    </row>
    <row r="55" spans="2:48" s="23" customFormat="1" outlineLevel="1" x14ac:dyDescent="0.3">
      <c r="B55" s="580" t="s">
        <v>310</v>
      </c>
      <c r="C55" s="581"/>
      <c r="D55" s="352"/>
      <c r="E55" s="352"/>
      <c r="F55" s="352"/>
      <c r="G55" s="352"/>
      <c r="H55" s="353"/>
      <c r="I55" s="352">
        <f t="shared" ref="I55" si="41">I22/D22-1</f>
        <v>-0.22820512820512895</v>
      </c>
      <c r="J55" s="352">
        <f t="shared" ref="J55" si="42">J22/E22-1</f>
        <v>-4.4869364754098413</v>
      </c>
      <c r="K55" s="352">
        <f t="shared" ref="K55" si="43">K22/F22-1</f>
        <v>-1.314434752864716</v>
      </c>
      <c r="L55" s="352">
        <f t="shared" ref="L55" si="44">L22/G22-1</f>
        <v>0.34527569713924766</v>
      </c>
      <c r="M55" s="353">
        <f t="shared" ref="M55" si="45">M22/H22-1</f>
        <v>-0.68340961778517451</v>
      </c>
      <c r="N55" s="352">
        <f t="shared" ref="N55" si="46">N22/I22-1</f>
        <v>-2.1785305811139466E-4</v>
      </c>
      <c r="O55" s="352">
        <f t="shared" ref="O55" si="47">O22/J22-1</f>
        <v>-1.649232351428781</v>
      </c>
      <c r="P55" s="352">
        <f t="shared" ref="P55" si="48">P22/K22-1</f>
        <v>-5.7565950503127619</v>
      </c>
      <c r="Q55" s="352">
        <f t="shared" ref="Q55" si="49">Q22/L22-1</f>
        <v>2.012477359629572E-2</v>
      </c>
      <c r="R55" s="353">
        <f t="shared" ref="R55" si="50">R22/M22-1</f>
        <v>2.7484040555764064</v>
      </c>
      <c r="S55" s="352">
        <f t="shared" ref="S55" si="51">S22/N22-1</f>
        <v>1.9175246499972598E-2</v>
      </c>
      <c r="T55" s="352">
        <f t="shared" ref="T55" si="52">T22/O22-1</f>
        <v>-0.81681375876895213</v>
      </c>
      <c r="U55" s="352">
        <f t="shared" ref="U55" si="53">U22/P22-1</f>
        <v>-0.27684391080617499</v>
      </c>
      <c r="V55" s="352">
        <f t="shared" ref="V55:AV55" si="54">V22/Q22-1</f>
        <v>-0.12064240558931372</v>
      </c>
      <c r="W55" s="353">
        <f t="shared" si="54"/>
        <v>-0.22613385864216728</v>
      </c>
      <c r="X55" s="352">
        <f t="shared" si="54"/>
        <v>-0.10151519278243049</v>
      </c>
      <c r="Y55" s="352">
        <f t="shared" si="54"/>
        <v>3.42008860876326</v>
      </c>
      <c r="Z55" s="352">
        <f t="shared" si="54"/>
        <v>-0.15006052484644972</v>
      </c>
      <c r="AA55" s="352">
        <f t="shared" si="54"/>
        <v>0.45536887484654054</v>
      </c>
      <c r="AB55" s="353">
        <f t="shared" si="54"/>
        <v>0.16892238661618042</v>
      </c>
      <c r="AC55" s="352">
        <f t="shared" si="54"/>
        <v>0.24691883730583397</v>
      </c>
      <c r="AD55" s="352">
        <f t="shared" si="54"/>
        <v>0.37530176562116235</v>
      </c>
      <c r="AE55" s="352">
        <f t="shared" si="54"/>
        <v>0.34612643463409065</v>
      </c>
      <c r="AF55" s="352">
        <f t="shared" si="54"/>
        <v>-2.4736637203284673E-2</v>
      </c>
      <c r="AG55" s="353">
        <f t="shared" si="54"/>
        <v>0.18597703626609663</v>
      </c>
      <c r="AH55" s="352">
        <f t="shared" si="54"/>
        <v>0.10455238731064909</v>
      </c>
      <c r="AI55" s="352">
        <f t="shared" si="54"/>
        <v>0.14187144563770904</v>
      </c>
      <c r="AJ55" s="352">
        <f t="shared" si="54"/>
        <v>0.12148208131993044</v>
      </c>
      <c r="AK55" s="352">
        <f t="shared" si="54"/>
        <v>0.15953464638914094</v>
      </c>
      <c r="AL55" s="353">
        <f t="shared" si="54"/>
        <v>0.13032310166971062</v>
      </c>
      <c r="AM55" s="352">
        <f t="shared" si="54"/>
        <v>0.11491532672238369</v>
      </c>
      <c r="AN55" s="352">
        <f t="shared" si="54"/>
        <v>8.9409040912066695E-2</v>
      </c>
      <c r="AO55" s="352">
        <f t="shared" si="54"/>
        <v>6.908370374215278E-2</v>
      </c>
      <c r="AP55" s="352">
        <f t="shared" si="54"/>
        <v>9.9590570093358588E-2</v>
      </c>
      <c r="AQ55" s="353">
        <f t="shared" si="54"/>
        <v>9.6083395525643045E-2</v>
      </c>
      <c r="AR55" s="352">
        <f t="shared" si="54"/>
        <v>9.3863479209438605E-2</v>
      </c>
      <c r="AS55" s="352">
        <f t="shared" si="54"/>
        <v>9.4543027290346471E-2</v>
      </c>
      <c r="AT55" s="352">
        <f t="shared" si="54"/>
        <v>0.10685921755755201</v>
      </c>
      <c r="AU55" s="352">
        <f t="shared" si="54"/>
        <v>5.8776205961678762E-2</v>
      </c>
      <c r="AV55" s="353">
        <f t="shared" si="54"/>
        <v>8.6133821901191343E-2</v>
      </c>
    </row>
    <row r="56" spans="2:48" outlineLevel="1" x14ac:dyDescent="0.3">
      <c r="B56" s="200" t="s">
        <v>311</v>
      </c>
      <c r="C56" s="356"/>
      <c r="D56" s="351">
        <f>-D25/'IS 3Q2022'!D8</f>
        <v>6.5041385860961587E-2</v>
      </c>
      <c r="E56" s="351">
        <f>-E25/'IS 3Q2022'!E8</f>
        <v>6.5684517673924428E-2</v>
      </c>
      <c r="F56" s="113">
        <f>-F25/'IS 3Q2022'!F8</f>
        <v>6.3769602814011436E-2</v>
      </c>
      <c r="G56" s="113">
        <f>-G25/'IS 3Q2022'!G8</f>
        <v>7.7945753668297008E-2</v>
      </c>
      <c r="H56" s="363">
        <f>-H25/'IS 3Q2022'!H8</f>
        <v>6.8151467825535855E-2</v>
      </c>
      <c r="I56" s="354">
        <f>-I25/'IS 3Q2022'!I8</f>
        <v>5.555790393259219E-2</v>
      </c>
      <c r="J56" s="118">
        <f>-J25/'IS 3Q2022'!J8</f>
        <v>6.0710175625865198E-2</v>
      </c>
      <c r="K56" s="118">
        <f>-K25/'IS 3Q2022'!K8</f>
        <v>9.0026290234717338E-2</v>
      </c>
      <c r="L56" s="113">
        <f>-L25/'IS 3Q2022'!L8</f>
        <v>5.5649594557559891E-2</v>
      </c>
      <c r="M56" s="353">
        <f>-M25/'IS 3Q2022'!M8</f>
        <v>6.3083595543838744E-2</v>
      </c>
      <c r="N56" s="354">
        <f>-N25/'IS 3Q2022'!N8</f>
        <v>4.8033899309568251E-2</v>
      </c>
      <c r="O56" s="118">
        <f>-O25/'IS 3Q2022'!O8</f>
        <v>4.8545290941811634E-2</v>
      </c>
      <c r="P56" s="118">
        <f>-P25/'IS 3Q2022'!P8</f>
        <v>4.5061028479957313E-2</v>
      </c>
      <c r="Q56" s="118">
        <f>-Q25/'IS 3Q2022'!Q8</f>
        <v>5.9447383603176751E-2</v>
      </c>
      <c r="R56" s="353">
        <f>-R25/'IS 3Q2022'!R8</f>
        <v>5.058395215515165E-2</v>
      </c>
      <c r="S56" s="354">
        <f>-S25/'IS 3Q2022'!S8</f>
        <v>5.1773824903110409E-2</v>
      </c>
      <c r="T56" s="118">
        <f>-T25/'IS 3Q2022'!T8</f>
        <v>5.9602388810309603E-2</v>
      </c>
      <c r="U56" s="118">
        <f>-U25/'IS 3Q2022'!U8</f>
        <v>5.1962552606716499E-2</v>
      </c>
      <c r="V56" s="35">
        <v>5.8826938051629606E-2</v>
      </c>
      <c r="W56" s="353">
        <f>-W25/'IS 3Q2022'!W8</f>
        <v>5.5502154447597589E-2</v>
      </c>
      <c r="X56" s="355">
        <v>7.7136381046238753E-2</v>
      </c>
      <c r="Y56" s="355">
        <f>X56</f>
        <v>7.7136381046238753E-2</v>
      </c>
      <c r="Z56" s="355">
        <f>Y56</f>
        <v>7.7136381046238753E-2</v>
      </c>
      <c r="AA56" s="355">
        <f>Z56</f>
        <v>7.7136381046238753E-2</v>
      </c>
      <c r="AB56" s="353">
        <f>-AB25/'IS 3Q2022'!AB8</f>
        <v>7.7136381046238753E-2</v>
      </c>
      <c r="AC56" s="355">
        <v>6.9833183676169711E-2</v>
      </c>
      <c r="AD56" s="35">
        <f>AC56</f>
        <v>6.9833183676169711E-2</v>
      </c>
      <c r="AE56" s="35">
        <f>AD56</f>
        <v>6.9833183676169711E-2</v>
      </c>
      <c r="AF56" s="35">
        <f>AE56</f>
        <v>6.9833183676169711E-2</v>
      </c>
      <c r="AG56" s="353">
        <f>-AG25/'IS 3Q2022'!AG8</f>
        <v>6.9833183676169711E-2</v>
      </c>
      <c r="AH56" s="355">
        <v>6.2598056291917614E-2</v>
      </c>
      <c r="AI56" s="35">
        <f>AH56</f>
        <v>6.2598056291917614E-2</v>
      </c>
      <c r="AJ56" s="35">
        <f>AI56</f>
        <v>6.2598056291917614E-2</v>
      </c>
      <c r="AK56" s="35">
        <f>AJ56</f>
        <v>6.2598056291917614E-2</v>
      </c>
      <c r="AL56" s="353">
        <f>-AL25/'IS 3Q2022'!AL8</f>
        <v>6.2598056291917614E-2</v>
      </c>
      <c r="AM56" s="355">
        <f>AVERAGE(AH56,AI56,AJ56,AK56)</f>
        <v>6.2598056291917614E-2</v>
      </c>
      <c r="AN56" s="35">
        <f>AVERAGE(AI56,AJ56,AK56,AM56)</f>
        <v>6.2598056291917614E-2</v>
      </c>
      <c r="AO56" s="35">
        <f>AVERAGE(AN56,AM56,AK56,AJ56)</f>
        <v>6.2598056291917614E-2</v>
      </c>
      <c r="AP56" s="35">
        <f>AVERAGE(AO56,AN56,AM56,AK56)</f>
        <v>6.2598056291917614E-2</v>
      </c>
      <c r="AQ56" s="353">
        <f>-AQ25/'IS 3Q2022'!AQ8</f>
        <v>6.2598056291917614E-2</v>
      </c>
      <c r="AR56" s="355">
        <f>AVERAGE(AM56,AN56,AO56,AP56)</f>
        <v>6.2598056291917614E-2</v>
      </c>
      <c r="AS56" s="35">
        <f>AVERAGE(AN56,AO56,AP56,AR56)</f>
        <v>6.2598056291917614E-2</v>
      </c>
      <c r="AT56" s="35">
        <f>AVERAGE(AS56,AR56,AP56,AO56)</f>
        <v>6.2598056291917614E-2</v>
      </c>
      <c r="AU56" s="35">
        <f>AVERAGE(AT56,AS56,AR56,AP56)</f>
        <v>6.2598056291917614E-2</v>
      </c>
      <c r="AV56" s="353">
        <f>-AV25/'IS 3Q2022'!AV8</f>
        <v>6.25980562919176E-2</v>
      </c>
    </row>
    <row r="57" spans="2:48" outlineLevel="1" x14ac:dyDescent="0.3">
      <c r="B57" s="200" t="s">
        <v>312</v>
      </c>
      <c r="C57" s="356"/>
      <c r="D57" s="299">
        <f>-D34-D33</f>
        <v>5561.4</v>
      </c>
      <c r="E57" s="299">
        <f t="shared" ref="E57:AV57" si="55">-E34-E33</f>
        <v>3161</v>
      </c>
      <c r="F57" s="146">
        <f t="shared" si="55"/>
        <v>581.20000000000005</v>
      </c>
      <c r="G57" s="146">
        <f t="shared" si="55"/>
        <v>2679.9999999999995</v>
      </c>
      <c r="H57" s="122">
        <f t="shared" si="55"/>
        <v>11983.599999999999</v>
      </c>
      <c r="I57" s="299">
        <f t="shared" si="55"/>
        <v>1575.6000000000001</v>
      </c>
      <c r="J57" s="146">
        <f t="shared" si="55"/>
        <v>1088.5</v>
      </c>
      <c r="K57" s="146">
        <f t="shared" si="55"/>
        <v>479.00000000000006</v>
      </c>
      <c r="L57" s="146">
        <f t="shared" si="55"/>
        <v>479.3</v>
      </c>
      <c r="M57" s="122">
        <f t="shared" si="55"/>
        <v>3622.4</v>
      </c>
      <c r="N57" s="299">
        <f t="shared" si="55"/>
        <v>528.20000000000005</v>
      </c>
      <c r="O57" s="146">
        <f t="shared" si="55"/>
        <v>529.79999999999995</v>
      </c>
      <c r="P57" s="146">
        <f t="shared" si="55"/>
        <v>530.20000000000005</v>
      </c>
      <c r="Q57" s="146">
        <f t="shared" si="55"/>
        <v>530.79999999999995</v>
      </c>
      <c r="R57" s="122">
        <f t="shared" si="55"/>
        <v>2119</v>
      </c>
      <c r="S57" s="299">
        <f t="shared" si="55"/>
        <v>4096.8999999999996</v>
      </c>
      <c r="T57" s="146">
        <f t="shared" si="55"/>
        <v>1039.8</v>
      </c>
      <c r="U57" s="146">
        <f t="shared" si="55"/>
        <v>577.39999999999986</v>
      </c>
      <c r="V57" s="146">
        <f t="shared" si="55"/>
        <v>591.31176300000004</v>
      </c>
      <c r="W57" s="122">
        <f>-W34-W33</f>
        <v>6305.4117630000001</v>
      </c>
      <c r="X57" s="299">
        <f t="shared" si="55"/>
        <v>592.49438652600008</v>
      </c>
      <c r="Y57" s="299">
        <f t="shared" si="55"/>
        <v>593.67937529905203</v>
      </c>
      <c r="Z57" s="299">
        <f t="shared" si="55"/>
        <v>594.86673404965018</v>
      </c>
      <c r="AA57" s="299">
        <f t="shared" si="55"/>
        <v>625.85929089363685</v>
      </c>
      <c r="AB57" s="166">
        <f t="shared" si="55"/>
        <v>2406.8997867683393</v>
      </c>
      <c r="AC57" s="299">
        <f t="shared" si="55"/>
        <v>592.49438652600008</v>
      </c>
      <c r="AD57" s="146">
        <f t="shared" si="55"/>
        <v>593.67937529905203</v>
      </c>
      <c r="AE57" s="146">
        <f t="shared" si="55"/>
        <v>694.86673404965018</v>
      </c>
      <c r="AF57" s="146">
        <f t="shared" si="55"/>
        <v>725.85929089363685</v>
      </c>
      <c r="AG57" s="166">
        <f t="shared" si="55"/>
        <v>2606.8997867683393</v>
      </c>
      <c r="AH57" s="299">
        <f t="shared" si="55"/>
        <v>727.11100947542411</v>
      </c>
      <c r="AI57" s="146">
        <f t="shared" si="55"/>
        <v>728.36523149437494</v>
      </c>
      <c r="AJ57" s="146">
        <f t="shared" si="55"/>
        <v>5819.7265176479514</v>
      </c>
      <c r="AK57" s="146">
        <f>-AK34-AK33</f>
        <v>5851.9855749523504</v>
      </c>
      <c r="AL57" s="122">
        <f t="shared" si="55"/>
        <v>13127.1883335701</v>
      </c>
      <c r="AM57" s="299">
        <f t="shared" si="55"/>
        <v>912.21613932497689</v>
      </c>
      <c r="AN57" s="146">
        <f t="shared" si="55"/>
        <v>913.04674444313298</v>
      </c>
      <c r="AO57" s="146">
        <f t="shared" si="55"/>
        <v>888.74025332534723</v>
      </c>
      <c r="AP57" s="146">
        <f t="shared" si="55"/>
        <v>895.10440668659226</v>
      </c>
      <c r="AQ57" s="122">
        <f t="shared" si="55"/>
        <v>3609.1075437800491</v>
      </c>
      <c r="AR57" s="299">
        <f t="shared" si="55"/>
        <v>895.15083440543822</v>
      </c>
      <c r="AS57" s="146">
        <f t="shared" si="55"/>
        <v>895.19735497972169</v>
      </c>
      <c r="AT57" s="146">
        <f t="shared" si="55"/>
        <v>895.24396859515389</v>
      </c>
      <c r="AU57" s="146">
        <f t="shared" si="55"/>
        <v>908.19648894657325</v>
      </c>
      <c r="AV57" s="122">
        <f t="shared" si="55"/>
        <v>3593.7886469268869</v>
      </c>
    </row>
    <row r="58" spans="2:48" outlineLevel="1" x14ac:dyDescent="0.3">
      <c r="B58" s="203" t="s">
        <v>313</v>
      </c>
      <c r="C58" s="364"/>
      <c r="D58" s="365"/>
      <c r="E58" s="365"/>
      <c r="F58" s="366"/>
      <c r="G58" s="366"/>
      <c r="H58" s="367"/>
      <c r="I58" s="365"/>
      <c r="J58" s="366"/>
      <c r="K58" s="366"/>
      <c r="L58" s="366"/>
      <c r="M58" s="367"/>
      <c r="N58" s="365"/>
      <c r="O58" s="366"/>
      <c r="P58" s="366"/>
      <c r="Q58" s="366"/>
      <c r="R58" s="367"/>
      <c r="S58" s="365"/>
      <c r="T58" s="366"/>
      <c r="U58" s="366"/>
      <c r="V58" s="366"/>
      <c r="W58" s="367"/>
      <c r="X58" s="365">
        <f>X57</f>
        <v>592.49438652600008</v>
      </c>
      <c r="Y58" s="365">
        <f>+Y57+X58</f>
        <v>1186.1737618250522</v>
      </c>
      <c r="Z58" s="365">
        <f t="shared" ref="Z58:AA58" si="56">+Z57+Y58</f>
        <v>1781.0404958747024</v>
      </c>
      <c r="AA58" s="365">
        <f t="shared" si="56"/>
        <v>2406.8997867683393</v>
      </c>
      <c r="AB58" s="368">
        <f>AA58</f>
        <v>2406.8997867683393</v>
      </c>
      <c r="AC58" s="365">
        <f>AA58+AC57</f>
        <v>2999.3941732943395</v>
      </c>
      <c r="AD58" s="365">
        <f>AC58+AD57</f>
        <v>3593.0735485933915</v>
      </c>
      <c r="AE58" s="365">
        <f t="shared" ref="AE58:AF58" si="57">AD58+AE57</f>
        <v>4287.9402826430414</v>
      </c>
      <c r="AF58" s="365">
        <f t="shared" si="57"/>
        <v>5013.7995735366785</v>
      </c>
      <c r="AG58" s="368">
        <f>+AF58</f>
        <v>5013.7995735366785</v>
      </c>
      <c r="AH58" s="365">
        <f>AF58+AH57</f>
        <v>5740.9105830121025</v>
      </c>
      <c r="AI58" s="365">
        <f>AH58+AI57</f>
        <v>6469.2758145064772</v>
      </c>
      <c r="AJ58" s="365">
        <f t="shared" ref="AJ58" si="58">AI58+AJ57</f>
        <v>12289.002332154429</v>
      </c>
      <c r="AK58" s="365">
        <f>AJ58+AK57</f>
        <v>18140.987907106777</v>
      </c>
      <c r="AL58" s="394">
        <f>+AK58</f>
        <v>18140.987907106777</v>
      </c>
      <c r="AM58" s="365"/>
      <c r="AN58" s="366"/>
      <c r="AO58" s="366"/>
      <c r="AP58" s="366"/>
      <c r="AQ58" s="367"/>
      <c r="AR58" s="365"/>
      <c r="AS58" s="366"/>
      <c r="AT58" s="366"/>
      <c r="AU58" s="366"/>
      <c r="AV58" s="367"/>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('IS 3Q2022'!AL34/'IS 3Q2022'!W34)^(1/3)-1</f>
        <v>0.17678317249137177</v>
      </c>
    </row>
    <row r="60" spans="2:48" x14ac:dyDescent="0.3">
      <c r="B60" s="308" t="s">
        <v>330</v>
      </c>
      <c r="D60" s="399"/>
      <c r="E60" s="399"/>
      <c r="I60" s="399"/>
      <c r="J60" s="399"/>
      <c r="N60" s="399"/>
      <c r="O60" s="399"/>
      <c r="S60" s="399"/>
      <c r="T60" s="399"/>
      <c r="X60" s="399"/>
      <c r="Y60" s="399"/>
      <c r="AC60" s="399"/>
      <c r="AD60" s="399"/>
      <c r="AH60" s="399"/>
      <c r="AI60" s="399"/>
      <c r="AL60" s="29">
        <v>0.16676103207707516</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AL59-AL60</f>
        <v>1.002214041429661E-2</v>
      </c>
    </row>
    <row r="62" spans="2:48" s="23" customFormat="1" x14ac:dyDescent="0.3">
      <c r="B62" s="395" t="s">
        <v>332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(0.15+1)^3*2.88</f>
        <v>4.3801199999999989</v>
      </c>
      <c r="AM62" s="408"/>
      <c r="AN62" s="48"/>
      <c r="AO62" s="309"/>
      <c r="AP62" s="309"/>
      <c r="AQ62" s="309"/>
      <c r="AR62" s="48"/>
      <c r="AS62" s="48"/>
      <c r="AT62" s="309"/>
      <c r="AU62" s="309"/>
      <c r="AV62" s="309"/>
    </row>
    <row r="63" spans="2:48" s="23" customFormat="1" x14ac:dyDescent="0.3">
      <c r="B63" s="311" t="s">
        <v>333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(0.2+1)^3*2.88</f>
        <v>4.9766399999999997</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403">
        <f>(('IS 3Q2022'!AK57+'IS 3Q2022'!AK90)/('IS 3Q2022'!V57+'IS 3Q2022'!V90))^(1/3)-1</f>
        <v>7.0002254704243816E-2</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425">
        <f>('IS 3Q2022'!AL8/'IS 3Q2022'!W8)^(1/3)-1</f>
        <v>0.10997922210109468</v>
      </c>
      <c r="AM65" s="48"/>
      <c r="AN65" s="48"/>
      <c r="AO65" s="309"/>
      <c r="AP65" s="309"/>
      <c r="AQ65" s="309"/>
      <c r="AR65" s="48"/>
      <c r="AS65" s="48"/>
      <c r="AT65" s="309"/>
      <c r="AU65" s="309"/>
      <c r="AV65" s="309"/>
    </row>
  </sheetData>
  <dataConsolidate/>
  <mergeCells count="27">
    <mergeCell ref="B51:C51"/>
    <mergeCell ref="B52:C52"/>
    <mergeCell ref="B55:C55"/>
    <mergeCell ref="B41:C41"/>
    <mergeCell ref="B42:C42"/>
    <mergeCell ref="B44:C44"/>
    <mergeCell ref="B48:C48"/>
    <mergeCell ref="B49:C49"/>
    <mergeCell ref="B50:C50"/>
    <mergeCell ref="B40:C40"/>
    <mergeCell ref="B21:C21"/>
    <mergeCell ref="B22:C22"/>
    <mergeCell ref="B23:C23"/>
    <mergeCell ref="B25:C25"/>
    <mergeCell ref="B26:C26"/>
    <mergeCell ref="B27:C27"/>
    <mergeCell ref="B28:C28"/>
    <mergeCell ref="B29:C29"/>
    <mergeCell ref="B36:C36"/>
    <mergeCell ref="B37:C37"/>
    <mergeCell ref="B39:C39"/>
    <mergeCell ref="B18:C18"/>
    <mergeCell ref="B3:C3"/>
    <mergeCell ref="B5:C5"/>
    <mergeCell ref="B14:C14"/>
    <mergeCell ref="B15:C15"/>
    <mergeCell ref="B17:C17"/>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02D07-9B06-44CF-A020-50DD97CF27E8}">
  <sheetPr>
    <tabColor theme="9" tint="0.79998168889431442"/>
    <pageSetUpPr fitToPage="1"/>
  </sheetPr>
  <dimension ref="A1:AV316"/>
  <sheetViews>
    <sheetView showGridLines="0" zoomScaleNormal="100" workbookViewId="0">
      <pane xSplit="3" ySplit="4" topLeftCell="AA39"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582"/>
      <c r="B3" s="583" t="s">
        <v>18</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82"/>
      <c r="B4" s="585" t="s">
        <v>3</v>
      </c>
      <c r="C4" s="586"/>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580" t="s">
        <v>101</v>
      </c>
      <c r="C5" s="581"/>
      <c r="D5" s="105" t="e">
        <f>#REF!-'IS 3Q2022'!D5</f>
        <v>#REF!</v>
      </c>
      <c r="E5" s="105" t="e">
        <f>#REF!-'IS 3Q2022'!E5</f>
        <v>#REF!</v>
      </c>
      <c r="F5" s="105" t="e">
        <f>#REF!-'IS 3Q2022'!F5</f>
        <v>#REF!</v>
      </c>
      <c r="G5" s="105" t="e">
        <f>#REF!-'IS 3Q2022'!G5</f>
        <v>#REF!</v>
      </c>
      <c r="H5" s="170" t="e">
        <f>#REF!-'IS 3Q2022'!H5</f>
        <v>#REF!</v>
      </c>
      <c r="I5" s="105" t="e">
        <f>#REF!-'IS 3Q2022'!I5</f>
        <v>#REF!</v>
      </c>
      <c r="J5" s="105" t="e">
        <f>#REF!-'IS 3Q2022'!J5</f>
        <v>#REF!</v>
      </c>
      <c r="K5" s="105" t="e">
        <f>#REF!-'IS 3Q2022'!K5</f>
        <v>#REF!</v>
      </c>
      <c r="L5" s="105" t="e">
        <f>#REF!-'IS 3Q2022'!L5</f>
        <v>#REF!</v>
      </c>
      <c r="M5" s="49" t="e">
        <f>#REF!-'IS 3Q2022'!M5</f>
        <v>#REF!</v>
      </c>
      <c r="N5" s="48" t="e">
        <f>#REF!-'IS 3Q2022'!N5</f>
        <v>#REF!</v>
      </c>
      <c r="O5" s="48" t="e">
        <f>#REF!-'IS 3Q2022'!O5</f>
        <v>#REF!</v>
      </c>
      <c r="P5" s="48" t="e">
        <f>#REF!-'IS 3Q2022'!P5</f>
        <v>#REF!</v>
      </c>
      <c r="Q5" s="105" t="e">
        <f>#REF!-'IS 3Q2022'!Q5</f>
        <v>#REF!</v>
      </c>
      <c r="R5" s="49" t="e">
        <f>#REF!-'IS 3Q2022'!R5</f>
        <v>#REF!</v>
      </c>
      <c r="S5" s="48" t="e">
        <f>#REF!-'IS 3Q2022'!S5</f>
        <v>#REF!</v>
      </c>
      <c r="T5" s="48" t="e">
        <f>#REF!-'IS 3Q2022'!T5</f>
        <v>#REF!</v>
      </c>
      <c r="U5" s="48" t="e">
        <f>#REF!-'IS 3Q2022'!U5</f>
        <v>#REF!</v>
      </c>
      <c r="V5" s="48" t="e">
        <f>#REF!-'IS 3Q2022'!V5</f>
        <v>#REF!</v>
      </c>
      <c r="W5" s="49" t="e">
        <f>#REF!-'IS 3Q2022'!W5</f>
        <v>#REF!</v>
      </c>
      <c r="X5" s="48" t="e">
        <f>#REF!-'IS 3Q2022'!X5</f>
        <v>#REF!</v>
      </c>
      <c r="Y5" s="48" t="e">
        <f>#REF!-'IS 3Q2022'!Y5</f>
        <v>#REF!</v>
      </c>
      <c r="Z5" s="48" t="e">
        <f>#REF!-'IS 3Q2022'!Z5</f>
        <v>#REF!</v>
      </c>
      <c r="AA5" s="48" t="e">
        <f>#REF!-'IS 3Q2022'!AA5</f>
        <v>#REF!</v>
      </c>
      <c r="AB5" s="49" t="e">
        <f>#REF!-'IS 3Q2022'!AB5</f>
        <v>#REF!</v>
      </c>
      <c r="AC5" s="48" t="e">
        <f>#REF!-'IS 3Q2022'!AC5</f>
        <v>#REF!</v>
      </c>
      <c r="AD5" s="48" t="e">
        <f>#REF!-'IS 3Q2022'!AD5</f>
        <v>#REF!</v>
      </c>
      <c r="AE5" s="48" t="e">
        <f>#REF!-'IS 3Q2022'!AE5</f>
        <v>#REF!</v>
      </c>
      <c r="AF5" s="48" t="e">
        <f>#REF!-'IS 3Q2022'!AF5</f>
        <v>#REF!</v>
      </c>
      <c r="AG5" s="49" t="e">
        <f>#REF!-'IS 3Q2022'!AG5</f>
        <v>#REF!</v>
      </c>
      <c r="AH5" s="48" t="e">
        <f>#REF!-'IS 3Q2022'!AH5</f>
        <v>#REF!</v>
      </c>
      <c r="AI5" s="48" t="e">
        <f>#REF!-'IS 3Q2022'!AI5</f>
        <v>#REF!</v>
      </c>
      <c r="AJ5" s="48" t="e">
        <f>#REF!-'IS 3Q2022'!AJ5</f>
        <v>#REF!</v>
      </c>
      <c r="AK5" s="48" t="e">
        <f>#REF!-'IS 3Q2022'!AK5</f>
        <v>#REF!</v>
      </c>
      <c r="AL5" s="49" t="e">
        <f>#REF!-'IS 3Q2022'!AL5</f>
        <v>#REF!</v>
      </c>
      <c r="AM5" s="48" t="e">
        <f>#REF!-'IS 3Q2022'!AM5</f>
        <v>#REF!</v>
      </c>
      <c r="AN5" s="48" t="e">
        <f>#REF!-'IS 3Q2022'!AN5</f>
        <v>#REF!</v>
      </c>
      <c r="AO5" s="48" t="e">
        <f>#REF!-'IS 3Q2022'!AO5</f>
        <v>#REF!</v>
      </c>
      <c r="AP5" s="48" t="e">
        <f>#REF!-'IS 3Q2022'!AP5</f>
        <v>#REF!</v>
      </c>
      <c r="AQ5" s="49" t="e">
        <f>#REF!-'IS 3Q2022'!AQ5</f>
        <v>#REF!</v>
      </c>
      <c r="AR5" s="48" t="e">
        <f>#REF!-'IS 3Q2022'!AR5</f>
        <v>#REF!</v>
      </c>
      <c r="AS5" s="48" t="e">
        <f>#REF!-'IS 3Q2022'!AS5</f>
        <v>#REF!</v>
      </c>
      <c r="AT5" s="48" t="e">
        <f>#REF!-'IS 3Q2022'!AT5</f>
        <v>#REF!</v>
      </c>
      <c r="AU5" s="48" t="e">
        <f>#REF!-'IS 3Q2022'!AU5</f>
        <v>#REF!</v>
      </c>
      <c r="AV5" s="49" t="e">
        <f>#REF!-'IS 3Q2022'!AV5</f>
        <v>#REF!</v>
      </c>
    </row>
    <row r="6" spans="1:48" outlineLevel="1" x14ac:dyDescent="0.3">
      <c r="B6" s="580" t="s">
        <v>102</v>
      </c>
      <c r="C6" s="581"/>
      <c r="D6" s="105" t="e">
        <f>#REF!-'IS 3Q2022'!D6</f>
        <v>#REF!</v>
      </c>
      <c r="E6" s="105" t="e">
        <f>#REF!-'IS 3Q2022'!E6</f>
        <v>#REF!</v>
      </c>
      <c r="F6" s="105" t="e">
        <f>#REF!-'IS 3Q2022'!F6</f>
        <v>#REF!</v>
      </c>
      <c r="G6" s="105" t="e">
        <f>#REF!-'IS 3Q2022'!G6</f>
        <v>#REF!</v>
      </c>
      <c r="H6" s="170" t="e">
        <f>#REF!-'IS 3Q2022'!H6</f>
        <v>#REF!</v>
      </c>
      <c r="I6" s="105" t="e">
        <f>#REF!-'IS 3Q2022'!I6</f>
        <v>#REF!</v>
      </c>
      <c r="J6" s="105" t="e">
        <f>#REF!-'IS 3Q2022'!J6</f>
        <v>#REF!</v>
      </c>
      <c r="K6" s="105" t="e">
        <f>#REF!-'IS 3Q2022'!K6</f>
        <v>#REF!</v>
      </c>
      <c r="L6" s="48" t="e">
        <f>#REF!-'IS 3Q2022'!L6</f>
        <v>#REF!</v>
      </c>
      <c r="M6" s="49" t="e">
        <f>#REF!-'IS 3Q2022'!M6</f>
        <v>#REF!</v>
      </c>
      <c r="N6" s="48" t="e">
        <f>#REF!-'IS 3Q2022'!N6</f>
        <v>#REF!</v>
      </c>
      <c r="O6" s="48" t="e">
        <f>#REF!-'IS 3Q2022'!O6</f>
        <v>#REF!</v>
      </c>
      <c r="P6" s="48" t="e">
        <f>#REF!-'IS 3Q2022'!P6</f>
        <v>#REF!</v>
      </c>
      <c r="Q6" s="105" t="e">
        <f>#REF!-'IS 3Q2022'!Q6</f>
        <v>#REF!</v>
      </c>
      <c r="R6" s="49" t="e">
        <f>#REF!-'IS 3Q2022'!R6</f>
        <v>#REF!</v>
      </c>
      <c r="S6" s="48" t="e">
        <f>#REF!-'IS 3Q2022'!S6</f>
        <v>#REF!</v>
      </c>
      <c r="T6" s="48" t="e">
        <f>#REF!-'IS 3Q2022'!T6</f>
        <v>#REF!</v>
      </c>
      <c r="U6" s="48" t="e">
        <f>#REF!-'IS 3Q2022'!U6</f>
        <v>#REF!</v>
      </c>
      <c r="V6" s="48" t="e">
        <f>#REF!-'IS 3Q2022'!V6</f>
        <v>#REF!</v>
      </c>
      <c r="W6" s="49" t="e">
        <f>#REF!-'IS 3Q2022'!W6</f>
        <v>#REF!</v>
      </c>
      <c r="X6" s="48" t="e">
        <f>#REF!-'IS 3Q2022'!X6</f>
        <v>#REF!</v>
      </c>
      <c r="Y6" s="48" t="e">
        <f>#REF!-'IS 3Q2022'!Y6</f>
        <v>#REF!</v>
      </c>
      <c r="Z6" s="48" t="e">
        <f>#REF!-'IS 3Q2022'!Z6</f>
        <v>#REF!</v>
      </c>
      <c r="AA6" s="48" t="e">
        <f>#REF!-'IS 3Q2022'!AA6</f>
        <v>#REF!</v>
      </c>
      <c r="AB6" s="49" t="e">
        <f>#REF!-'IS 3Q2022'!AB6</f>
        <v>#REF!</v>
      </c>
      <c r="AC6" s="48" t="e">
        <f>#REF!-'IS 3Q2022'!AC6</f>
        <v>#REF!</v>
      </c>
      <c r="AD6" s="48" t="e">
        <f>#REF!-'IS 3Q2022'!AD6</f>
        <v>#REF!</v>
      </c>
      <c r="AE6" s="48" t="e">
        <f>#REF!-'IS 3Q2022'!AE6</f>
        <v>#REF!</v>
      </c>
      <c r="AF6" s="48" t="e">
        <f>#REF!-'IS 3Q2022'!AF6</f>
        <v>#REF!</v>
      </c>
      <c r="AG6" s="49" t="e">
        <f>#REF!-'IS 3Q2022'!AG6</f>
        <v>#REF!</v>
      </c>
      <c r="AH6" s="48" t="e">
        <f>#REF!-'IS 3Q2022'!AH6</f>
        <v>#REF!</v>
      </c>
      <c r="AI6" s="48" t="e">
        <f>#REF!-'IS 3Q2022'!AI6</f>
        <v>#REF!</v>
      </c>
      <c r="AJ6" s="48" t="e">
        <f>#REF!-'IS 3Q2022'!AJ6</f>
        <v>#REF!</v>
      </c>
      <c r="AK6" s="48" t="e">
        <f>#REF!-'IS 3Q2022'!AK6</f>
        <v>#REF!</v>
      </c>
      <c r="AL6" s="49" t="e">
        <f>#REF!-'IS 3Q2022'!AL6</f>
        <v>#REF!</v>
      </c>
      <c r="AM6" s="48" t="e">
        <f>#REF!-'IS 3Q2022'!AM6</f>
        <v>#REF!</v>
      </c>
      <c r="AN6" s="48" t="e">
        <f>#REF!-'IS 3Q2022'!AN6</f>
        <v>#REF!</v>
      </c>
      <c r="AO6" s="48" t="e">
        <f>#REF!-'IS 3Q2022'!AO6</f>
        <v>#REF!</v>
      </c>
      <c r="AP6" s="48" t="e">
        <f>#REF!-'IS 3Q2022'!AP6</f>
        <v>#REF!</v>
      </c>
      <c r="AQ6" s="49" t="e">
        <f>#REF!-'IS 3Q2022'!AQ6</f>
        <v>#REF!</v>
      </c>
      <c r="AR6" s="48" t="e">
        <f>#REF!-'IS 3Q2022'!AR6</f>
        <v>#REF!</v>
      </c>
      <c r="AS6" s="48" t="e">
        <f>#REF!-'IS 3Q2022'!AS6</f>
        <v>#REF!</v>
      </c>
      <c r="AT6" s="48" t="e">
        <f>#REF!-'IS 3Q2022'!AT6</f>
        <v>#REF!</v>
      </c>
      <c r="AU6" s="48" t="e">
        <f>#REF!-'IS 3Q2022'!AU6</f>
        <v>#REF!</v>
      </c>
      <c r="AV6" s="49" t="e">
        <f>#REF!-'IS 3Q2022'!AV6</f>
        <v>#REF!</v>
      </c>
    </row>
    <row r="7" spans="1:48" ht="16.2" outlineLevel="1" x14ac:dyDescent="0.45">
      <c r="B7" s="580" t="s">
        <v>103</v>
      </c>
      <c r="C7" s="581"/>
      <c r="D7" s="104" t="e">
        <f>#REF!-'IS 3Q2022'!D7</f>
        <v>#REF!</v>
      </c>
      <c r="E7" s="104" t="e">
        <f>#REF!-'IS 3Q2022'!E7</f>
        <v>#REF!</v>
      </c>
      <c r="F7" s="104" t="e">
        <f>#REF!-'IS 3Q2022'!F7</f>
        <v>#REF!</v>
      </c>
      <c r="G7" s="104" t="e">
        <f>#REF!-'IS 3Q2022'!G7</f>
        <v>#REF!</v>
      </c>
      <c r="H7" s="173" t="e">
        <f>#REF!-'IS 3Q2022'!H7</f>
        <v>#REF!</v>
      </c>
      <c r="I7" s="104" t="e">
        <f>#REF!-'IS 3Q2022'!I7</f>
        <v>#REF!</v>
      </c>
      <c r="J7" s="104" t="e">
        <f>#REF!-'IS 3Q2022'!J7</f>
        <v>#REF!</v>
      </c>
      <c r="K7" s="104" t="e">
        <f>#REF!-'IS 3Q2022'!K7</f>
        <v>#REF!</v>
      </c>
      <c r="L7" s="52" t="e">
        <f>#REF!-'IS 3Q2022'!L7</f>
        <v>#REF!</v>
      </c>
      <c r="M7" s="53" t="e">
        <f>#REF!-'IS 3Q2022'!M7</f>
        <v>#REF!</v>
      </c>
      <c r="N7" s="52" t="e">
        <f>#REF!-'IS 3Q2022'!N7</f>
        <v>#REF!</v>
      </c>
      <c r="O7" s="52" t="e">
        <f>#REF!-'IS 3Q2022'!O7</f>
        <v>#REF!</v>
      </c>
      <c r="P7" s="52" t="e">
        <f>#REF!-'IS 3Q2022'!P7</f>
        <v>#REF!</v>
      </c>
      <c r="Q7" s="104" t="e">
        <f>#REF!-'IS 3Q2022'!Q7</f>
        <v>#REF!</v>
      </c>
      <c r="R7" s="53" t="e">
        <f>#REF!-'IS 3Q2022'!R7</f>
        <v>#REF!</v>
      </c>
      <c r="S7" s="52" t="e">
        <f>#REF!-'IS 3Q2022'!S7</f>
        <v>#REF!</v>
      </c>
      <c r="T7" s="52" t="e">
        <f>#REF!-'IS 3Q2022'!T7</f>
        <v>#REF!</v>
      </c>
      <c r="U7" s="52" t="e">
        <f>#REF!-'IS 3Q2022'!U7</f>
        <v>#REF!</v>
      </c>
      <c r="V7" s="52" t="e">
        <f>#REF!-'IS 3Q2022'!V7</f>
        <v>#REF!</v>
      </c>
      <c r="W7" s="173" t="e">
        <f>#REF!-'IS 3Q2022'!W7</f>
        <v>#REF!</v>
      </c>
      <c r="X7" s="52" t="e">
        <f>#REF!-'IS 3Q2022'!X7</f>
        <v>#REF!</v>
      </c>
      <c r="Y7" s="52" t="e">
        <f>#REF!-'IS 3Q2022'!Y7</f>
        <v>#REF!</v>
      </c>
      <c r="Z7" s="52" t="e">
        <f>#REF!-'IS 3Q2022'!Z7</f>
        <v>#REF!</v>
      </c>
      <c r="AA7" s="52" t="e">
        <f>#REF!-'IS 3Q2022'!AA7</f>
        <v>#REF!</v>
      </c>
      <c r="AB7" s="53" t="e">
        <f>#REF!-'IS 3Q2022'!AB7</f>
        <v>#REF!</v>
      </c>
      <c r="AC7" s="52" t="e">
        <f>#REF!-'IS 3Q2022'!AC7</f>
        <v>#REF!</v>
      </c>
      <c r="AD7" s="52" t="e">
        <f>#REF!-'IS 3Q2022'!AD7</f>
        <v>#REF!</v>
      </c>
      <c r="AE7" s="52" t="e">
        <f>#REF!-'IS 3Q2022'!AE7</f>
        <v>#REF!</v>
      </c>
      <c r="AF7" s="52" t="e">
        <f>#REF!-'IS 3Q2022'!AF7</f>
        <v>#REF!</v>
      </c>
      <c r="AG7" s="53" t="e">
        <f>#REF!-'IS 3Q2022'!AG7</f>
        <v>#REF!</v>
      </c>
      <c r="AH7" s="52" t="e">
        <f>#REF!-'IS 3Q2022'!AH7</f>
        <v>#REF!</v>
      </c>
      <c r="AI7" s="52" t="e">
        <f>#REF!-'IS 3Q2022'!AI7</f>
        <v>#REF!</v>
      </c>
      <c r="AJ7" s="52" t="e">
        <f>#REF!-'IS 3Q2022'!AJ7</f>
        <v>#REF!</v>
      </c>
      <c r="AK7" s="52" t="e">
        <f>#REF!-'IS 3Q2022'!AK7</f>
        <v>#REF!</v>
      </c>
      <c r="AL7" s="53" t="e">
        <f>#REF!-'IS 3Q2022'!AL7</f>
        <v>#REF!</v>
      </c>
      <c r="AM7" s="52" t="e">
        <f>#REF!-'IS 3Q2022'!AM7</f>
        <v>#REF!</v>
      </c>
      <c r="AN7" s="52" t="e">
        <f>#REF!-'IS 3Q2022'!AN7</f>
        <v>#REF!</v>
      </c>
      <c r="AO7" s="52" t="e">
        <f>#REF!-'IS 3Q2022'!AO7</f>
        <v>#REF!</v>
      </c>
      <c r="AP7" s="52" t="e">
        <f>#REF!-'IS 3Q2022'!AP7</f>
        <v>#REF!</v>
      </c>
      <c r="AQ7" s="53" t="e">
        <f>#REF!-'IS 3Q2022'!AQ7</f>
        <v>#REF!</v>
      </c>
      <c r="AR7" s="52" t="e">
        <f>#REF!-'IS 3Q2022'!AR7</f>
        <v>#REF!</v>
      </c>
      <c r="AS7" s="52" t="e">
        <f>#REF!-'IS 3Q2022'!AS7</f>
        <v>#REF!</v>
      </c>
      <c r="AT7" s="52" t="e">
        <f>#REF!-'IS 3Q2022'!AT7</f>
        <v>#REF!</v>
      </c>
      <c r="AU7" s="52" t="e">
        <f>#REF!-'IS 3Q2022'!AU7</f>
        <v>#REF!</v>
      </c>
      <c r="AV7" s="53" t="e">
        <f>#REF!-'IS 3Q2022'!AV7</f>
        <v>#REF!</v>
      </c>
    </row>
    <row r="8" spans="1:48" s="8" customFormat="1" x14ac:dyDescent="0.3">
      <c r="B8" s="587" t="s">
        <v>104</v>
      </c>
      <c r="C8" s="588"/>
      <c r="D8" s="103" t="e">
        <f>#REF!-'IS 3Q2022'!D8</f>
        <v>#REF!</v>
      </c>
      <c r="E8" s="103" t="e">
        <f>#REF!-'IS 3Q2022'!E8</f>
        <v>#REF!</v>
      </c>
      <c r="F8" s="103" t="e">
        <f>#REF!-'IS 3Q2022'!F8</f>
        <v>#REF!</v>
      </c>
      <c r="G8" s="103" t="e">
        <f>#REF!-'IS 3Q2022'!G8</f>
        <v>#REF!</v>
      </c>
      <c r="H8" s="171" t="e">
        <f>#REF!-'IS 3Q2022'!H8</f>
        <v>#REF!</v>
      </c>
      <c r="I8" s="103" t="e">
        <f>#REF!-'IS 3Q2022'!I8</f>
        <v>#REF!</v>
      </c>
      <c r="J8" s="103" t="e">
        <f>#REF!-'IS 3Q2022'!J8</f>
        <v>#REF!</v>
      </c>
      <c r="K8" s="103" t="e">
        <f>#REF!-'IS 3Q2022'!K8</f>
        <v>#REF!</v>
      </c>
      <c r="L8" s="103" t="e">
        <f>#REF!-'IS 3Q2022'!L8</f>
        <v>#REF!</v>
      </c>
      <c r="M8" s="171" t="e">
        <f>#REF!-'IS 3Q2022'!M8</f>
        <v>#REF!</v>
      </c>
      <c r="N8" s="103" t="e">
        <f>#REF!-'IS 3Q2022'!N8</f>
        <v>#REF!</v>
      </c>
      <c r="O8" s="103" t="e">
        <f>#REF!-'IS 3Q2022'!O8</f>
        <v>#REF!</v>
      </c>
      <c r="P8" s="103" t="e">
        <f>#REF!-'IS 3Q2022'!P8</f>
        <v>#REF!</v>
      </c>
      <c r="Q8" s="103" t="e">
        <f>#REF!-'IS 3Q2022'!Q8</f>
        <v>#REF!</v>
      </c>
      <c r="R8" s="171" t="e">
        <f>#REF!-'IS 3Q2022'!R8</f>
        <v>#REF!</v>
      </c>
      <c r="S8" s="103" t="e">
        <f>#REF!-'IS 3Q2022'!S8</f>
        <v>#REF!</v>
      </c>
      <c r="T8" s="103" t="e">
        <f>#REF!-'IS 3Q2022'!T8</f>
        <v>#REF!</v>
      </c>
      <c r="U8" s="103" t="e">
        <f>#REF!-'IS 3Q2022'!U8</f>
        <v>#REF!</v>
      </c>
      <c r="V8" s="103" t="e">
        <f>#REF!-'IS 3Q2022'!V8</f>
        <v>#REF!</v>
      </c>
      <c r="W8" s="171" t="e">
        <f>#REF!-'IS 3Q2022'!W8</f>
        <v>#REF!</v>
      </c>
      <c r="X8" s="50" t="e">
        <f>#REF!-'IS 3Q2022'!X8</f>
        <v>#REF!</v>
      </c>
      <c r="Y8" s="50" t="e">
        <f>#REF!-'IS 3Q2022'!Y8</f>
        <v>#REF!</v>
      </c>
      <c r="Z8" s="50" t="e">
        <f>#REF!-'IS 3Q2022'!Z8</f>
        <v>#REF!</v>
      </c>
      <c r="AA8" s="50" t="e">
        <f>#REF!-'IS 3Q2022'!AA8</f>
        <v>#REF!</v>
      </c>
      <c r="AB8" s="171" t="e">
        <f>#REF!-'IS 3Q2022'!AB8</f>
        <v>#REF!</v>
      </c>
      <c r="AC8" s="50" t="e">
        <f>#REF!-'IS 3Q2022'!AC8</f>
        <v>#REF!</v>
      </c>
      <c r="AD8" s="50" t="e">
        <f>#REF!-'IS 3Q2022'!AD8</f>
        <v>#REF!</v>
      </c>
      <c r="AE8" s="50" t="e">
        <f>#REF!-'IS 3Q2022'!AE8</f>
        <v>#REF!</v>
      </c>
      <c r="AF8" s="50" t="e">
        <f>#REF!-'IS 3Q2022'!AF8</f>
        <v>#REF!</v>
      </c>
      <c r="AG8" s="51" t="e">
        <f>#REF!-'IS 3Q2022'!AG8</f>
        <v>#REF!</v>
      </c>
      <c r="AH8" s="50" t="e">
        <f>#REF!-'IS 3Q2022'!AH8</f>
        <v>#REF!</v>
      </c>
      <c r="AI8" s="50" t="e">
        <f>#REF!-'IS 3Q2022'!AI8</f>
        <v>#REF!</v>
      </c>
      <c r="AJ8" s="50" t="e">
        <f>#REF!-'IS 3Q2022'!AJ8</f>
        <v>#REF!</v>
      </c>
      <c r="AK8" s="50" t="e">
        <f>#REF!-'IS 3Q2022'!AK8</f>
        <v>#REF!</v>
      </c>
      <c r="AL8" s="51" t="e">
        <f>#REF!-'IS 3Q2022'!AL8</f>
        <v>#REF!</v>
      </c>
      <c r="AM8" s="50" t="e">
        <f>#REF!-'IS 3Q2022'!AM8</f>
        <v>#REF!</v>
      </c>
      <c r="AN8" s="50" t="e">
        <f>#REF!-'IS 3Q2022'!AN8</f>
        <v>#REF!</v>
      </c>
      <c r="AO8" s="50" t="e">
        <f>#REF!-'IS 3Q2022'!AO8</f>
        <v>#REF!</v>
      </c>
      <c r="AP8" s="50" t="e">
        <f>#REF!-'IS 3Q2022'!AP8</f>
        <v>#REF!</v>
      </c>
      <c r="AQ8" s="51" t="e">
        <f>#REF!-'IS 3Q2022'!AQ8</f>
        <v>#REF!</v>
      </c>
      <c r="AR8" s="50" t="e">
        <f>#REF!-'IS 3Q2022'!AR8</f>
        <v>#REF!</v>
      </c>
      <c r="AS8" s="50" t="e">
        <f>#REF!-'IS 3Q2022'!AS8</f>
        <v>#REF!</v>
      </c>
      <c r="AT8" s="50" t="e">
        <f>#REF!-'IS 3Q2022'!AT8</f>
        <v>#REF!</v>
      </c>
      <c r="AU8" s="50" t="e">
        <f>#REF!-'IS 3Q2022'!AU8</f>
        <v>#REF!</v>
      </c>
      <c r="AV8" s="51" t="e">
        <f>#REF!-'IS 3Q2022'!AV8</f>
        <v>#REF!</v>
      </c>
    </row>
    <row r="9" spans="1:48" outlineLevel="1" x14ac:dyDescent="0.3">
      <c r="B9" s="589" t="s">
        <v>100</v>
      </c>
      <c r="C9" s="590"/>
      <c r="D9" s="105" t="e">
        <f>#REF!-'IS 3Q2022'!D9</f>
        <v>#REF!</v>
      </c>
      <c r="E9" s="105" t="e">
        <f>#REF!-'IS 3Q2022'!E9</f>
        <v>#REF!</v>
      </c>
      <c r="F9" s="105" t="e">
        <f>#REF!-'IS 3Q2022'!F9</f>
        <v>#REF!</v>
      </c>
      <c r="G9" s="105" t="e">
        <f>#REF!-'IS 3Q2022'!G9</f>
        <v>#REF!</v>
      </c>
      <c r="H9" s="170" t="e">
        <f>#REF!-'IS 3Q2022'!H9</f>
        <v>#REF!</v>
      </c>
      <c r="I9" s="105" t="e">
        <f>#REF!-'IS 3Q2022'!I9</f>
        <v>#REF!</v>
      </c>
      <c r="J9" s="105" t="e">
        <f>#REF!-'IS 3Q2022'!J9</f>
        <v>#REF!</v>
      </c>
      <c r="K9" s="105" t="e">
        <f>#REF!-'IS 3Q2022'!K9</f>
        <v>#REF!</v>
      </c>
      <c r="L9" s="105" t="e">
        <f>#REF!-'IS 3Q2022'!L9</f>
        <v>#REF!</v>
      </c>
      <c r="M9" s="170" t="e">
        <f>#REF!-'IS 3Q2022'!M9</f>
        <v>#REF!</v>
      </c>
      <c r="N9" s="105" t="e">
        <f>#REF!-'IS 3Q2022'!N9</f>
        <v>#REF!</v>
      </c>
      <c r="O9" s="105" t="e">
        <f>#REF!-'IS 3Q2022'!O9</f>
        <v>#REF!</v>
      </c>
      <c r="P9" s="105" t="e">
        <f>#REF!-'IS 3Q2022'!P9</f>
        <v>#REF!</v>
      </c>
      <c r="Q9" s="105" t="e">
        <f>#REF!-'IS 3Q2022'!Q9</f>
        <v>#REF!</v>
      </c>
      <c r="R9" s="170" t="e">
        <f>#REF!-'IS 3Q2022'!R9</f>
        <v>#REF!</v>
      </c>
      <c r="S9" s="105" t="e">
        <f>#REF!-'IS 3Q2022'!S9</f>
        <v>#REF!</v>
      </c>
      <c r="T9" s="105" t="e">
        <f>#REF!-'IS 3Q2022'!T9</f>
        <v>#REF!</v>
      </c>
      <c r="U9" s="105" t="e">
        <f>#REF!-'IS 3Q2022'!U9</f>
        <v>#REF!</v>
      </c>
      <c r="V9" s="105" t="e">
        <f>#REF!-'IS 3Q2022'!V9</f>
        <v>#REF!</v>
      </c>
      <c r="W9" s="170" t="e">
        <f>#REF!-'IS 3Q2022'!W9</f>
        <v>#REF!</v>
      </c>
      <c r="X9" s="105" t="e">
        <f>#REF!-'IS 3Q2022'!X9</f>
        <v>#REF!</v>
      </c>
      <c r="Y9" s="105" t="e">
        <f>#REF!-'IS 3Q2022'!Y9</f>
        <v>#REF!</v>
      </c>
      <c r="Z9" s="105" t="e">
        <f>#REF!-'IS 3Q2022'!Z9</f>
        <v>#REF!</v>
      </c>
      <c r="AA9" s="105" t="e">
        <f>#REF!-'IS 3Q2022'!AA9</f>
        <v>#REF!</v>
      </c>
      <c r="AB9" s="49" t="e">
        <f>#REF!-'IS 3Q2022'!AB9</f>
        <v>#REF!</v>
      </c>
      <c r="AC9" s="105" t="e">
        <f>#REF!-'IS 3Q2022'!AC9</f>
        <v>#REF!</v>
      </c>
      <c r="AD9" s="105" t="e">
        <f>#REF!-'IS 3Q2022'!AD9</f>
        <v>#REF!</v>
      </c>
      <c r="AE9" s="105" t="e">
        <f>#REF!-'IS 3Q2022'!AE9</f>
        <v>#REF!</v>
      </c>
      <c r="AF9" s="105" t="e">
        <f>#REF!-'IS 3Q2022'!AF9</f>
        <v>#REF!</v>
      </c>
      <c r="AG9" s="49" t="e">
        <f>#REF!-'IS 3Q2022'!AG9</f>
        <v>#REF!</v>
      </c>
      <c r="AH9" s="105" t="e">
        <f>#REF!-'IS 3Q2022'!AH9</f>
        <v>#REF!</v>
      </c>
      <c r="AI9" s="105" t="e">
        <f>#REF!-'IS 3Q2022'!AI9</f>
        <v>#REF!</v>
      </c>
      <c r="AJ9" s="105" t="e">
        <f>#REF!-'IS 3Q2022'!AJ9</f>
        <v>#REF!</v>
      </c>
      <c r="AK9" s="105" t="e">
        <f>#REF!-'IS 3Q2022'!AK9</f>
        <v>#REF!</v>
      </c>
      <c r="AL9" s="49" t="e">
        <f>#REF!-'IS 3Q2022'!AL9</f>
        <v>#REF!</v>
      </c>
      <c r="AM9" s="105" t="e">
        <f>#REF!-'IS 3Q2022'!AM9</f>
        <v>#REF!</v>
      </c>
      <c r="AN9" s="105" t="e">
        <f>#REF!-'IS 3Q2022'!AN9</f>
        <v>#REF!</v>
      </c>
      <c r="AO9" s="105" t="e">
        <f>#REF!-'IS 3Q2022'!AO9</f>
        <v>#REF!</v>
      </c>
      <c r="AP9" s="105" t="e">
        <f>#REF!-'IS 3Q2022'!AP9</f>
        <v>#REF!</v>
      </c>
      <c r="AQ9" s="49" t="e">
        <f>#REF!-'IS 3Q2022'!AQ9</f>
        <v>#REF!</v>
      </c>
      <c r="AR9" s="105" t="e">
        <f>#REF!-'IS 3Q2022'!AR9</f>
        <v>#REF!</v>
      </c>
      <c r="AS9" s="105" t="e">
        <f>#REF!-'IS 3Q2022'!AS9</f>
        <v>#REF!</v>
      </c>
      <c r="AT9" s="105" t="e">
        <f>#REF!-'IS 3Q2022'!AT9</f>
        <v>#REF!</v>
      </c>
      <c r="AU9" s="105" t="e">
        <f>#REF!-'IS 3Q2022'!AU9</f>
        <v>#REF!</v>
      </c>
      <c r="AV9" s="49" t="e">
        <f>#REF!-'IS 3Q2022'!AV9</f>
        <v>#REF!</v>
      </c>
    </row>
    <row r="10" spans="1:48" outlineLevel="1" x14ac:dyDescent="0.3">
      <c r="B10" s="38" t="s">
        <v>32</v>
      </c>
      <c r="C10" s="18"/>
      <c r="D10" s="105" t="e">
        <f>#REF!-'IS 3Q2022'!D10</f>
        <v>#REF!</v>
      </c>
      <c r="E10" s="105" t="e">
        <f>#REF!-'IS 3Q2022'!E10</f>
        <v>#REF!</v>
      </c>
      <c r="F10" s="105" t="e">
        <f>#REF!-'IS 3Q2022'!F10</f>
        <v>#REF!</v>
      </c>
      <c r="G10" s="105" t="e">
        <f>#REF!-'IS 3Q2022'!G10</f>
        <v>#REF!</v>
      </c>
      <c r="H10" s="170" t="e">
        <f>#REF!-'IS 3Q2022'!H10</f>
        <v>#REF!</v>
      </c>
      <c r="I10" s="105" t="e">
        <f>#REF!-'IS 3Q2022'!I10</f>
        <v>#REF!</v>
      </c>
      <c r="J10" s="105" t="e">
        <f>#REF!-'IS 3Q2022'!J10</f>
        <v>#REF!</v>
      </c>
      <c r="K10" s="105" t="e">
        <f>#REF!-'IS 3Q2022'!K10</f>
        <v>#REF!</v>
      </c>
      <c r="L10" s="48" t="e">
        <f>#REF!-'IS 3Q2022'!L10</f>
        <v>#REF!</v>
      </c>
      <c r="M10" s="49" t="e">
        <f>#REF!-'IS 3Q2022'!M10</f>
        <v>#REF!</v>
      </c>
      <c r="N10" s="48" t="e">
        <f>#REF!-'IS 3Q2022'!N10</f>
        <v>#REF!</v>
      </c>
      <c r="O10" s="105" t="e">
        <f>#REF!-'IS 3Q2022'!O10</f>
        <v>#REF!</v>
      </c>
      <c r="P10" s="105" t="e">
        <f>#REF!-'IS 3Q2022'!P10</f>
        <v>#REF!</v>
      </c>
      <c r="Q10" s="105" t="e">
        <f>#REF!-'IS 3Q2022'!Q10</f>
        <v>#REF!</v>
      </c>
      <c r="R10" s="170" t="e">
        <f>#REF!-'IS 3Q2022'!R10</f>
        <v>#REF!</v>
      </c>
      <c r="S10" s="48" t="e">
        <f>#REF!-'IS 3Q2022'!S10</f>
        <v>#REF!</v>
      </c>
      <c r="T10" s="48" t="e">
        <f>#REF!-'IS 3Q2022'!T10</f>
        <v>#REF!</v>
      </c>
      <c r="U10" s="48" t="e">
        <f>#REF!-'IS 3Q2022'!U10</f>
        <v>#REF!</v>
      </c>
      <c r="V10" s="48" t="e">
        <f>#REF!-'IS 3Q2022'!V10</f>
        <v>#REF!</v>
      </c>
      <c r="W10" s="170" t="e">
        <f>#REF!-'IS 3Q2022'!W10</f>
        <v>#REF!</v>
      </c>
      <c r="X10" s="48" t="e">
        <f>#REF!-'IS 3Q2022'!X10</f>
        <v>#REF!</v>
      </c>
      <c r="Y10" s="48" t="e">
        <f>#REF!-'IS 3Q2022'!Y10</f>
        <v>#REF!</v>
      </c>
      <c r="Z10" s="48" t="e">
        <f>#REF!-'IS 3Q2022'!Z10</f>
        <v>#REF!</v>
      </c>
      <c r="AA10" s="48" t="e">
        <f>#REF!-'IS 3Q2022'!AA10</f>
        <v>#REF!</v>
      </c>
      <c r="AB10" s="49" t="e">
        <f>#REF!-'IS 3Q2022'!AB10</f>
        <v>#REF!</v>
      </c>
      <c r="AC10" s="48" t="e">
        <f>#REF!-'IS 3Q2022'!AC10</f>
        <v>#REF!</v>
      </c>
      <c r="AD10" s="48" t="e">
        <f>#REF!-'IS 3Q2022'!AD10</f>
        <v>#REF!</v>
      </c>
      <c r="AE10" s="48" t="e">
        <f>#REF!-'IS 3Q2022'!AE10</f>
        <v>#REF!</v>
      </c>
      <c r="AF10" s="48" t="e">
        <f>#REF!-'IS 3Q2022'!AF10</f>
        <v>#REF!</v>
      </c>
      <c r="AG10" s="49" t="e">
        <f>#REF!-'IS 3Q2022'!AG10</f>
        <v>#REF!</v>
      </c>
      <c r="AH10" s="48" t="e">
        <f>#REF!-'IS 3Q2022'!AH10</f>
        <v>#REF!</v>
      </c>
      <c r="AI10" s="48" t="e">
        <f>#REF!-'IS 3Q2022'!AI10</f>
        <v>#REF!</v>
      </c>
      <c r="AJ10" s="48" t="e">
        <f>#REF!-'IS 3Q2022'!AJ10</f>
        <v>#REF!</v>
      </c>
      <c r="AK10" s="48" t="e">
        <f>#REF!-'IS 3Q2022'!AK10</f>
        <v>#REF!</v>
      </c>
      <c r="AL10" s="49" t="e">
        <f>#REF!-'IS 3Q2022'!AL10</f>
        <v>#REF!</v>
      </c>
      <c r="AM10" s="48" t="e">
        <f>#REF!-'IS 3Q2022'!AM10</f>
        <v>#REF!</v>
      </c>
      <c r="AN10" s="48" t="e">
        <f>#REF!-'IS 3Q2022'!AN10</f>
        <v>#REF!</v>
      </c>
      <c r="AO10" s="48" t="e">
        <f>#REF!-'IS 3Q2022'!AO10</f>
        <v>#REF!</v>
      </c>
      <c r="AP10" s="48" t="e">
        <f>#REF!-'IS 3Q2022'!AP10</f>
        <v>#REF!</v>
      </c>
      <c r="AQ10" s="49" t="e">
        <f>#REF!-'IS 3Q2022'!AQ10</f>
        <v>#REF!</v>
      </c>
      <c r="AR10" s="48" t="e">
        <f>#REF!-'IS 3Q2022'!AR10</f>
        <v>#REF!</v>
      </c>
      <c r="AS10" s="48" t="e">
        <f>#REF!-'IS 3Q2022'!AS10</f>
        <v>#REF!</v>
      </c>
      <c r="AT10" s="48" t="e">
        <f>#REF!-'IS 3Q2022'!AT10</f>
        <v>#REF!</v>
      </c>
      <c r="AU10" s="48" t="e">
        <f>#REF!-'IS 3Q2022'!AU10</f>
        <v>#REF!</v>
      </c>
      <c r="AV10" s="49" t="e">
        <f>#REF!-'IS 3Q2022'!AV10</f>
        <v>#REF!</v>
      </c>
    </row>
    <row r="11" spans="1:48" outlineLevel="1" x14ac:dyDescent="0.3">
      <c r="B11" s="38" t="s">
        <v>33</v>
      </c>
      <c r="C11" s="18"/>
      <c r="D11" s="105" t="e">
        <f>#REF!-'IS 3Q2022'!D11</f>
        <v>#REF!</v>
      </c>
      <c r="E11" s="105" t="e">
        <f>#REF!-'IS 3Q2022'!E11</f>
        <v>#REF!</v>
      </c>
      <c r="F11" s="105" t="e">
        <f>#REF!-'IS 3Q2022'!F11</f>
        <v>#REF!</v>
      </c>
      <c r="G11" s="105" t="e">
        <f>#REF!-'IS 3Q2022'!G11</f>
        <v>#REF!</v>
      </c>
      <c r="H11" s="170" t="e">
        <f>#REF!-'IS 3Q2022'!H11</f>
        <v>#REF!</v>
      </c>
      <c r="I11" s="105" t="e">
        <f>#REF!-'IS 3Q2022'!I11</f>
        <v>#REF!</v>
      </c>
      <c r="J11" s="105" t="e">
        <f>#REF!-'IS 3Q2022'!J11</f>
        <v>#REF!</v>
      </c>
      <c r="K11" s="105" t="e">
        <f>#REF!-'IS 3Q2022'!K11</f>
        <v>#REF!</v>
      </c>
      <c r="L11" s="48" t="e">
        <f>#REF!-'IS 3Q2022'!L11</f>
        <v>#REF!</v>
      </c>
      <c r="M11" s="49" t="e">
        <f>#REF!-'IS 3Q2022'!M11</f>
        <v>#REF!</v>
      </c>
      <c r="N11" s="48" t="e">
        <f>#REF!-'IS 3Q2022'!N11</f>
        <v>#REF!</v>
      </c>
      <c r="O11" s="105" t="e">
        <f>#REF!-'IS 3Q2022'!O11</f>
        <v>#REF!</v>
      </c>
      <c r="P11" s="105" t="e">
        <f>#REF!-'IS 3Q2022'!P11</f>
        <v>#REF!</v>
      </c>
      <c r="Q11" s="105" t="e">
        <f>#REF!-'IS 3Q2022'!Q11</f>
        <v>#REF!</v>
      </c>
      <c r="R11" s="170" t="e">
        <f>#REF!-'IS 3Q2022'!R11</f>
        <v>#REF!</v>
      </c>
      <c r="S11" s="48" t="e">
        <f>#REF!-'IS 3Q2022'!S11</f>
        <v>#REF!</v>
      </c>
      <c r="T11" s="48" t="e">
        <f>#REF!-'IS 3Q2022'!T11</f>
        <v>#REF!</v>
      </c>
      <c r="U11" s="48" t="e">
        <f>#REF!-'IS 3Q2022'!U11</f>
        <v>#REF!</v>
      </c>
      <c r="V11" s="48" t="e">
        <f>#REF!-'IS 3Q2022'!V11</f>
        <v>#REF!</v>
      </c>
      <c r="W11" s="170" t="e">
        <f>#REF!-'IS 3Q2022'!W11</f>
        <v>#REF!</v>
      </c>
      <c r="X11" s="48" t="e">
        <f>#REF!-'IS 3Q2022'!X11</f>
        <v>#REF!</v>
      </c>
      <c r="Y11" s="48" t="e">
        <f>#REF!-'IS 3Q2022'!Y11</f>
        <v>#REF!</v>
      </c>
      <c r="Z11" s="48" t="e">
        <f>#REF!-'IS 3Q2022'!Z11</f>
        <v>#REF!</v>
      </c>
      <c r="AA11" s="48" t="e">
        <f>#REF!-'IS 3Q2022'!AA11</f>
        <v>#REF!</v>
      </c>
      <c r="AB11" s="49" t="e">
        <f>#REF!-'IS 3Q2022'!AB11</f>
        <v>#REF!</v>
      </c>
      <c r="AC11" s="48" t="e">
        <f>#REF!-'IS 3Q2022'!AC11</f>
        <v>#REF!</v>
      </c>
      <c r="AD11" s="48" t="e">
        <f>#REF!-'IS 3Q2022'!AD11</f>
        <v>#REF!</v>
      </c>
      <c r="AE11" s="48" t="e">
        <f>#REF!-'IS 3Q2022'!AE11</f>
        <v>#REF!</v>
      </c>
      <c r="AF11" s="48" t="e">
        <f>#REF!-'IS 3Q2022'!AF11</f>
        <v>#REF!</v>
      </c>
      <c r="AG11" s="49" t="e">
        <f>#REF!-'IS 3Q2022'!AG11</f>
        <v>#REF!</v>
      </c>
      <c r="AH11" s="48" t="e">
        <f>#REF!-'IS 3Q2022'!AH11</f>
        <v>#REF!</v>
      </c>
      <c r="AI11" s="48" t="e">
        <f>#REF!-'IS 3Q2022'!AI11</f>
        <v>#REF!</v>
      </c>
      <c r="AJ11" s="48" t="e">
        <f>#REF!-'IS 3Q2022'!AJ11</f>
        <v>#REF!</v>
      </c>
      <c r="AK11" s="48" t="e">
        <f>#REF!-'IS 3Q2022'!AK11</f>
        <v>#REF!</v>
      </c>
      <c r="AL11" s="49" t="e">
        <f>#REF!-'IS 3Q2022'!AL11</f>
        <v>#REF!</v>
      </c>
      <c r="AM11" s="48" t="e">
        <f>#REF!-'IS 3Q2022'!AM11</f>
        <v>#REF!</v>
      </c>
      <c r="AN11" s="48" t="e">
        <f>#REF!-'IS 3Q2022'!AN11</f>
        <v>#REF!</v>
      </c>
      <c r="AO11" s="48" t="e">
        <f>#REF!-'IS 3Q2022'!AO11</f>
        <v>#REF!</v>
      </c>
      <c r="AP11" s="48" t="e">
        <f>#REF!-'IS 3Q2022'!AP11</f>
        <v>#REF!</v>
      </c>
      <c r="AQ11" s="49" t="e">
        <f>#REF!-'IS 3Q2022'!AQ11</f>
        <v>#REF!</v>
      </c>
      <c r="AR11" s="48" t="e">
        <f>#REF!-'IS 3Q2022'!AR11</f>
        <v>#REF!</v>
      </c>
      <c r="AS11" s="48" t="e">
        <f>#REF!-'IS 3Q2022'!AS11</f>
        <v>#REF!</v>
      </c>
      <c r="AT11" s="48" t="e">
        <f>#REF!-'IS 3Q2022'!AT11</f>
        <v>#REF!</v>
      </c>
      <c r="AU11" s="48" t="e">
        <f>#REF!-'IS 3Q2022'!AU11</f>
        <v>#REF!</v>
      </c>
      <c r="AV11" s="49" t="e">
        <f>#REF!-'IS 3Q2022'!AV11</f>
        <v>#REF!</v>
      </c>
    </row>
    <row r="12" spans="1:48" outlineLevel="1" x14ac:dyDescent="0.3">
      <c r="B12" s="38" t="s">
        <v>34</v>
      </c>
      <c r="C12" s="18"/>
      <c r="D12" s="105" t="e">
        <f>#REF!-'IS 3Q2022'!D12</f>
        <v>#REF!</v>
      </c>
      <c r="E12" s="105" t="e">
        <f>#REF!-'IS 3Q2022'!E12</f>
        <v>#REF!</v>
      </c>
      <c r="F12" s="105" t="e">
        <f>#REF!-'IS 3Q2022'!F12</f>
        <v>#REF!</v>
      </c>
      <c r="G12" s="105" t="e">
        <f>#REF!-'IS 3Q2022'!G12</f>
        <v>#REF!</v>
      </c>
      <c r="H12" s="170" t="e">
        <f>#REF!-'IS 3Q2022'!H12</f>
        <v>#REF!</v>
      </c>
      <c r="I12" s="105" t="e">
        <f>#REF!-'IS 3Q2022'!I12</f>
        <v>#REF!</v>
      </c>
      <c r="J12" s="105" t="e">
        <f>#REF!-'IS 3Q2022'!J12</f>
        <v>#REF!</v>
      </c>
      <c r="K12" s="105" t="e">
        <f>#REF!-'IS 3Q2022'!K12</f>
        <v>#REF!</v>
      </c>
      <c r="L12" s="48" t="e">
        <f>#REF!-'IS 3Q2022'!L12</f>
        <v>#REF!</v>
      </c>
      <c r="M12" s="49" t="e">
        <f>#REF!-'IS 3Q2022'!M12</f>
        <v>#REF!</v>
      </c>
      <c r="N12" s="48" t="e">
        <f>#REF!-'IS 3Q2022'!N12</f>
        <v>#REF!</v>
      </c>
      <c r="O12" s="105" t="e">
        <f>#REF!-'IS 3Q2022'!O12</f>
        <v>#REF!</v>
      </c>
      <c r="P12" s="105" t="e">
        <f>#REF!-'IS 3Q2022'!P12</f>
        <v>#REF!</v>
      </c>
      <c r="Q12" s="105" t="e">
        <f>#REF!-'IS 3Q2022'!Q12</f>
        <v>#REF!</v>
      </c>
      <c r="R12" s="170" t="e">
        <f>#REF!-'IS 3Q2022'!R12</f>
        <v>#REF!</v>
      </c>
      <c r="S12" s="48" t="e">
        <f>#REF!-'IS 3Q2022'!S12</f>
        <v>#REF!</v>
      </c>
      <c r="T12" s="48" t="e">
        <f>#REF!-'IS 3Q2022'!T12</f>
        <v>#REF!</v>
      </c>
      <c r="U12" s="48" t="e">
        <f>#REF!-'IS 3Q2022'!U12</f>
        <v>#REF!</v>
      </c>
      <c r="V12" s="48" t="e">
        <f>#REF!-'IS 3Q2022'!V12</f>
        <v>#REF!</v>
      </c>
      <c r="W12" s="170" t="e">
        <f>#REF!-'IS 3Q2022'!W12</f>
        <v>#REF!</v>
      </c>
      <c r="X12" s="48" t="e">
        <f>#REF!-'IS 3Q2022'!X12</f>
        <v>#REF!</v>
      </c>
      <c r="Y12" s="48" t="e">
        <f>#REF!-'IS 3Q2022'!Y12</f>
        <v>#REF!</v>
      </c>
      <c r="Z12" s="48" t="e">
        <f>#REF!-'IS 3Q2022'!Z12</f>
        <v>#REF!</v>
      </c>
      <c r="AA12" s="48" t="e">
        <f>#REF!-'IS 3Q2022'!AA12</f>
        <v>#REF!</v>
      </c>
      <c r="AB12" s="49" t="e">
        <f>#REF!-'IS 3Q2022'!AB12</f>
        <v>#REF!</v>
      </c>
      <c r="AC12" s="48" t="e">
        <f>#REF!-'IS 3Q2022'!AC12</f>
        <v>#REF!</v>
      </c>
      <c r="AD12" s="48" t="e">
        <f>#REF!-'IS 3Q2022'!AD12</f>
        <v>#REF!</v>
      </c>
      <c r="AE12" s="48" t="e">
        <f>#REF!-'IS 3Q2022'!AE12</f>
        <v>#REF!</v>
      </c>
      <c r="AF12" s="48" t="e">
        <f>#REF!-'IS 3Q2022'!AF12</f>
        <v>#REF!</v>
      </c>
      <c r="AG12" s="49" t="e">
        <f>#REF!-'IS 3Q2022'!AG12</f>
        <v>#REF!</v>
      </c>
      <c r="AH12" s="48" t="e">
        <f>#REF!-'IS 3Q2022'!AH12</f>
        <v>#REF!</v>
      </c>
      <c r="AI12" s="48" t="e">
        <f>#REF!-'IS 3Q2022'!AI12</f>
        <v>#REF!</v>
      </c>
      <c r="AJ12" s="48" t="e">
        <f>#REF!-'IS 3Q2022'!AJ12</f>
        <v>#REF!</v>
      </c>
      <c r="AK12" s="48" t="e">
        <f>#REF!-'IS 3Q2022'!AK12</f>
        <v>#REF!</v>
      </c>
      <c r="AL12" s="49" t="e">
        <f>#REF!-'IS 3Q2022'!AL12</f>
        <v>#REF!</v>
      </c>
      <c r="AM12" s="48" t="e">
        <f>#REF!-'IS 3Q2022'!AM12</f>
        <v>#REF!</v>
      </c>
      <c r="AN12" s="48" t="e">
        <f>#REF!-'IS 3Q2022'!AN12</f>
        <v>#REF!</v>
      </c>
      <c r="AO12" s="48" t="e">
        <f>#REF!-'IS 3Q2022'!AO12</f>
        <v>#REF!</v>
      </c>
      <c r="AP12" s="48" t="e">
        <f>#REF!-'IS 3Q2022'!AP12</f>
        <v>#REF!</v>
      </c>
      <c r="AQ12" s="49" t="e">
        <f>#REF!-'IS 3Q2022'!AQ12</f>
        <v>#REF!</v>
      </c>
      <c r="AR12" s="48" t="e">
        <f>#REF!-'IS 3Q2022'!AR12</f>
        <v>#REF!</v>
      </c>
      <c r="AS12" s="48" t="e">
        <f>#REF!-'IS 3Q2022'!AS12</f>
        <v>#REF!</v>
      </c>
      <c r="AT12" s="48" t="e">
        <f>#REF!-'IS 3Q2022'!AT12</f>
        <v>#REF!</v>
      </c>
      <c r="AU12" s="48" t="e">
        <f>#REF!-'IS 3Q2022'!AU12</f>
        <v>#REF!</v>
      </c>
      <c r="AV12" s="49" t="e">
        <f>#REF!-'IS 3Q2022'!AV12</f>
        <v>#REF!</v>
      </c>
    </row>
    <row r="13" spans="1:48" ht="17.25" customHeight="1" outlineLevel="1" x14ac:dyDescent="0.3">
      <c r="B13" s="38" t="s">
        <v>83</v>
      </c>
      <c r="C13" s="18"/>
      <c r="D13" s="105" t="e">
        <f>#REF!-'IS 3Q2022'!D13</f>
        <v>#REF!</v>
      </c>
      <c r="E13" s="105" t="e">
        <f>#REF!-'IS 3Q2022'!E13</f>
        <v>#REF!</v>
      </c>
      <c r="F13" s="105" t="e">
        <f>#REF!-'IS 3Q2022'!F13</f>
        <v>#REF!</v>
      </c>
      <c r="G13" s="105" t="e">
        <f>#REF!-'IS 3Q2022'!G13</f>
        <v>#REF!</v>
      </c>
      <c r="H13" s="170" t="e">
        <f>#REF!-'IS 3Q2022'!H13</f>
        <v>#REF!</v>
      </c>
      <c r="I13" s="105" t="e">
        <f>#REF!-'IS 3Q2022'!I13</f>
        <v>#REF!</v>
      </c>
      <c r="J13" s="105" t="e">
        <f>#REF!-'IS 3Q2022'!J13</f>
        <v>#REF!</v>
      </c>
      <c r="K13" s="105" t="e">
        <f>#REF!-'IS 3Q2022'!K13</f>
        <v>#REF!</v>
      </c>
      <c r="L13" s="48" t="e">
        <f>#REF!-'IS 3Q2022'!L13</f>
        <v>#REF!</v>
      </c>
      <c r="M13" s="170" t="e">
        <f>#REF!-'IS 3Q2022'!M13</f>
        <v>#REF!</v>
      </c>
      <c r="N13" s="48" t="e">
        <f>#REF!-'IS 3Q2022'!N13</f>
        <v>#REF!</v>
      </c>
      <c r="O13" s="105" t="e">
        <f>#REF!-'IS 3Q2022'!O13</f>
        <v>#REF!</v>
      </c>
      <c r="P13" s="105" t="e">
        <f>#REF!-'IS 3Q2022'!P13</f>
        <v>#REF!</v>
      </c>
      <c r="Q13" s="105" t="e">
        <f>#REF!-'IS 3Q2022'!Q13</f>
        <v>#REF!</v>
      </c>
      <c r="R13" s="170" t="e">
        <f>#REF!-'IS 3Q2022'!R13</f>
        <v>#REF!</v>
      </c>
      <c r="S13" s="48" t="e">
        <f>#REF!-'IS 3Q2022'!S13</f>
        <v>#REF!</v>
      </c>
      <c r="T13" s="48" t="e">
        <f>#REF!-'IS 3Q2022'!T13</f>
        <v>#REF!</v>
      </c>
      <c r="U13" s="48" t="e">
        <f>#REF!-'IS 3Q2022'!U13</f>
        <v>#REF!</v>
      </c>
      <c r="V13" s="48" t="e">
        <f>#REF!-'IS 3Q2022'!V13</f>
        <v>#REF!</v>
      </c>
      <c r="W13" s="170" t="e">
        <f>#REF!-'IS 3Q2022'!W13</f>
        <v>#REF!</v>
      </c>
      <c r="X13" s="48" t="e">
        <f>#REF!-'IS 3Q2022'!X13</f>
        <v>#REF!</v>
      </c>
      <c r="Y13" s="48" t="e">
        <f>#REF!-'IS 3Q2022'!Y13</f>
        <v>#REF!</v>
      </c>
      <c r="Z13" s="48" t="e">
        <f>#REF!-'IS 3Q2022'!Z13</f>
        <v>#REF!</v>
      </c>
      <c r="AA13" s="48" t="e">
        <f>#REF!-'IS 3Q2022'!AA13</f>
        <v>#REF!</v>
      </c>
      <c r="AB13" s="49" t="e">
        <f>#REF!-'IS 3Q2022'!AB13</f>
        <v>#REF!</v>
      </c>
      <c r="AC13" s="48" t="e">
        <f>#REF!-'IS 3Q2022'!AC13</f>
        <v>#REF!</v>
      </c>
      <c r="AD13" s="48" t="e">
        <f>#REF!-'IS 3Q2022'!AD13</f>
        <v>#REF!</v>
      </c>
      <c r="AE13" s="48" t="e">
        <f>#REF!-'IS 3Q2022'!AE13</f>
        <v>#REF!</v>
      </c>
      <c r="AF13" s="48" t="e">
        <f>#REF!-'IS 3Q2022'!AF13</f>
        <v>#REF!</v>
      </c>
      <c r="AG13" s="49" t="e">
        <f>#REF!-'IS 3Q2022'!AG13</f>
        <v>#REF!</v>
      </c>
      <c r="AH13" s="48" t="e">
        <f>#REF!-'IS 3Q2022'!AH13</f>
        <v>#REF!</v>
      </c>
      <c r="AI13" s="48" t="e">
        <f>#REF!-'IS 3Q2022'!AI13</f>
        <v>#REF!</v>
      </c>
      <c r="AJ13" s="48" t="e">
        <f>#REF!-'IS 3Q2022'!AJ13</f>
        <v>#REF!</v>
      </c>
      <c r="AK13" s="48" t="e">
        <f>#REF!-'IS 3Q2022'!AK13</f>
        <v>#REF!</v>
      </c>
      <c r="AL13" s="49" t="e">
        <f>#REF!-'IS 3Q2022'!AL13</f>
        <v>#REF!</v>
      </c>
      <c r="AM13" s="48" t="e">
        <f>#REF!-'IS 3Q2022'!AM13</f>
        <v>#REF!</v>
      </c>
      <c r="AN13" s="48" t="e">
        <f>#REF!-'IS 3Q2022'!AN13</f>
        <v>#REF!</v>
      </c>
      <c r="AO13" s="48" t="e">
        <f>#REF!-'IS 3Q2022'!AO13</f>
        <v>#REF!</v>
      </c>
      <c r="AP13" s="48" t="e">
        <f>#REF!-'IS 3Q2022'!AP13</f>
        <v>#REF!</v>
      </c>
      <c r="AQ13" s="49" t="e">
        <f>#REF!-'IS 3Q2022'!AQ13</f>
        <v>#REF!</v>
      </c>
      <c r="AR13" s="48" t="e">
        <f>#REF!-'IS 3Q2022'!AR13</f>
        <v>#REF!</v>
      </c>
      <c r="AS13" s="48" t="e">
        <f>#REF!-'IS 3Q2022'!AS13</f>
        <v>#REF!</v>
      </c>
      <c r="AT13" s="48" t="e">
        <f>#REF!-'IS 3Q2022'!AT13</f>
        <v>#REF!</v>
      </c>
      <c r="AU13" s="48" t="e">
        <f>#REF!-'IS 3Q2022'!AU13</f>
        <v>#REF!</v>
      </c>
      <c r="AV13" s="49" t="e">
        <f>#REF!-'IS 3Q2022'!AV13</f>
        <v>#REF!</v>
      </c>
    </row>
    <row r="14" spans="1:48" ht="17.25" customHeight="1" outlineLevel="1" x14ac:dyDescent="0.45">
      <c r="B14" s="38" t="s">
        <v>42</v>
      </c>
      <c r="C14" s="18"/>
      <c r="D14" s="104" t="e">
        <f>#REF!-'IS 3Q2022'!D14</f>
        <v>#REF!</v>
      </c>
      <c r="E14" s="104" t="e">
        <f>#REF!-'IS 3Q2022'!E14</f>
        <v>#REF!</v>
      </c>
      <c r="F14" s="104" t="e">
        <f>#REF!-'IS 3Q2022'!F14</f>
        <v>#REF!</v>
      </c>
      <c r="G14" s="104" t="e">
        <f>#REF!-'IS 3Q2022'!G14</f>
        <v>#REF!</v>
      </c>
      <c r="H14" s="173" t="e">
        <f>#REF!-'IS 3Q2022'!H14</f>
        <v>#REF!</v>
      </c>
      <c r="I14" s="104" t="e">
        <f>#REF!-'IS 3Q2022'!I14</f>
        <v>#REF!</v>
      </c>
      <c r="J14" s="104" t="e">
        <f>#REF!-'IS 3Q2022'!J14</f>
        <v>#REF!</v>
      </c>
      <c r="K14" s="104" t="e">
        <f>#REF!-'IS 3Q2022'!K14</f>
        <v>#REF!</v>
      </c>
      <c r="L14" s="104" t="e">
        <f>#REF!-'IS 3Q2022'!L14</f>
        <v>#REF!</v>
      </c>
      <c r="M14" s="53" t="e">
        <f>#REF!-'IS 3Q2022'!M14</f>
        <v>#REF!</v>
      </c>
      <c r="N14" s="52" t="e">
        <f>#REF!-'IS 3Q2022'!N14</f>
        <v>#REF!</v>
      </c>
      <c r="O14" s="104" t="e">
        <f>#REF!-'IS 3Q2022'!O14</f>
        <v>#REF!</v>
      </c>
      <c r="P14" s="104" t="e">
        <f>#REF!-'IS 3Q2022'!P14</f>
        <v>#REF!</v>
      </c>
      <c r="Q14" s="104" t="e">
        <f>#REF!-'IS 3Q2022'!Q14</f>
        <v>#REF!</v>
      </c>
      <c r="R14" s="173" t="e">
        <f>#REF!-'IS 3Q2022'!R14</f>
        <v>#REF!</v>
      </c>
      <c r="S14" s="52" t="e">
        <f>#REF!-'IS 3Q2022'!S14</f>
        <v>#REF!</v>
      </c>
      <c r="T14" s="52" t="e">
        <f>#REF!-'IS 3Q2022'!T14</f>
        <v>#REF!</v>
      </c>
      <c r="U14" s="52" t="e">
        <f>#REF!-'IS 3Q2022'!U14</f>
        <v>#REF!</v>
      </c>
      <c r="V14" s="52" t="e">
        <f>#REF!-'IS 3Q2022'!V14</f>
        <v>#REF!</v>
      </c>
      <c r="W14" s="173" t="e">
        <f>#REF!-'IS 3Q2022'!W14</f>
        <v>#REF!</v>
      </c>
      <c r="X14" s="52" t="e">
        <f>#REF!-'IS 3Q2022'!X14</f>
        <v>#REF!</v>
      </c>
      <c r="Y14" s="52" t="e">
        <f>#REF!-'IS 3Q2022'!Y14</f>
        <v>#REF!</v>
      </c>
      <c r="Z14" s="52" t="e">
        <f>#REF!-'IS 3Q2022'!Z14</f>
        <v>#REF!</v>
      </c>
      <c r="AA14" s="52" t="e">
        <f>#REF!-'IS 3Q2022'!AA14</f>
        <v>#REF!</v>
      </c>
      <c r="AB14" s="53" t="e">
        <f>#REF!-'IS 3Q2022'!AB14</f>
        <v>#REF!</v>
      </c>
      <c r="AC14" s="52" t="e">
        <f>#REF!-'IS 3Q2022'!AC14</f>
        <v>#REF!</v>
      </c>
      <c r="AD14" s="52" t="e">
        <f>#REF!-'IS 3Q2022'!AD14</f>
        <v>#REF!</v>
      </c>
      <c r="AE14" s="52" t="e">
        <f>#REF!-'IS 3Q2022'!AE14</f>
        <v>#REF!</v>
      </c>
      <c r="AF14" s="52" t="e">
        <f>#REF!-'IS 3Q2022'!AF14</f>
        <v>#REF!</v>
      </c>
      <c r="AG14" s="53" t="e">
        <f>#REF!-'IS 3Q2022'!AG14</f>
        <v>#REF!</v>
      </c>
      <c r="AH14" s="52" t="e">
        <f>#REF!-'IS 3Q2022'!AH14</f>
        <v>#REF!</v>
      </c>
      <c r="AI14" s="52" t="e">
        <f>#REF!-'IS 3Q2022'!AI14</f>
        <v>#REF!</v>
      </c>
      <c r="AJ14" s="52" t="e">
        <f>#REF!-'IS 3Q2022'!AJ14</f>
        <v>#REF!</v>
      </c>
      <c r="AK14" s="52" t="e">
        <f>#REF!-'IS 3Q2022'!AK14</f>
        <v>#REF!</v>
      </c>
      <c r="AL14" s="53" t="e">
        <f>#REF!-'IS 3Q2022'!AL14</f>
        <v>#REF!</v>
      </c>
      <c r="AM14" s="52" t="e">
        <f>#REF!-'IS 3Q2022'!AM14</f>
        <v>#REF!</v>
      </c>
      <c r="AN14" s="52" t="e">
        <f>#REF!-'IS 3Q2022'!AN14</f>
        <v>#REF!</v>
      </c>
      <c r="AO14" s="52" t="e">
        <f>#REF!-'IS 3Q2022'!AO14</f>
        <v>#REF!</v>
      </c>
      <c r="AP14" s="52" t="e">
        <f>#REF!-'IS 3Q2022'!AP14</f>
        <v>#REF!</v>
      </c>
      <c r="AQ14" s="53" t="e">
        <f>#REF!-'IS 3Q2022'!AQ14</f>
        <v>#REF!</v>
      </c>
      <c r="AR14" s="52" t="e">
        <f>#REF!-'IS 3Q2022'!AR14</f>
        <v>#REF!</v>
      </c>
      <c r="AS14" s="52" t="e">
        <f>#REF!-'IS 3Q2022'!AS14</f>
        <v>#REF!</v>
      </c>
      <c r="AT14" s="52" t="e">
        <f>#REF!-'IS 3Q2022'!AT14</f>
        <v>#REF!</v>
      </c>
      <c r="AU14" s="52" t="e">
        <f>#REF!-'IS 3Q2022'!AU14</f>
        <v>#REF!</v>
      </c>
      <c r="AV14" s="53" t="e">
        <f>#REF!-'IS 3Q2022'!AV14</f>
        <v>#REF!</v>
      </c>
    </row>
    <row r="15" spans="1:48" s="20" customFormat="1" ht="17.25" customHeight="1" x14ac:dyDescent="0.45">
      <c r="B15" s="46" t="s">
        <v>8</v>
      </c>
      <c r="C15" s="19"/>
      <c r="D15" s="106" t="e">
        <f>#REF!-'IS 3Q2022'!D15</f>
        <v>#REF!</v>
      </c>
      <c r="E15" s="106" t="e">
        <f>#REF!-'IS 3Q2022'!E15</f>
        <v>#REF!</v>
      </c>
      <c r="F15" s="106" t="e">
        <f>#REF!-'IS 3Q2022'!F15</f>
        <v>#REF!</v>
      </c>
      <c r="G15" s="106" t="e">
        <f>#REF!-'IS 3Q2022'!G15</f>
        <v>#REF!</v>
      </c>
      <c r="H15" s="175" t="e">
        <f>#REF!-'IS 3Q2022'!H15</f>
        <v>#REF!</v>
      </c>
      <c r="I15" s="106" t="e">
        <f>#REF!-'IS 3Q2022'!I15</f>
        <v>#REF!</v>
      </c>
      <c r="J15" s="106" t="e">
        <f>#REF!-'IS 3Q2022'!J15</f>
        <v>#REF!</v>
      </c>
      <c r="K15" s="106" t="e">
        <f>#REF!-'IS 3Q2022'!K15</f>
        <v>#REF!</v>
      </c>
      <c r="L15" s="54" t="e">
        <f>#REF!-'IS 3Q2022'!L15</f>
        <v>#REF!</v>
      </c>
      <c r="M15" s="55" t="e">
        <f>#REF!-'IS 3Q2022'!M15</f>
        <v>#REF!</v>
      </c>
      <c r="N15" s="54" t="e">
        <f>#REF!-'IS 3Q2022'!N15</f>
        <v>#REF!</v>
      </c>
      <c r="O15" s="106" t="e">
        <f>#REF!-'IS 3Q2022'!O15</f>
        <v>#REF!</v>
      </c>
      <c r="P15" s="106" t="e">
        <f>#REF!-'IS 3Q2022'!P15</f>
        <v>#REF!</v>
      </c>
      <c r="Q15" s="106" t="e">
        <f>#REF!-'IS 3Q2022'!Q15</f>
        <v>#REF!</v>
      </c>
      <c r="R15" s="175" t="e">
        <f>#REF!-'IS 3Q2022'!R15</f>
        <v>#REF!</v>
      </c>
      <c r="S15" s="54" t="e">
        <f>#REF!-'IS 3Q2022'!S15</f>
        <v>#REF!</v>
      </c>
      <c r="T15" s="54" t="e">
        <f>#REF!-'IS 3Q2022'!T15</f>
        <v>#REF!</v>
      </c>
      <c r="U15" s="54" t="e">
        <f>#REF!-'IS 3Q2022'!U15</f>
        <v>#REF!</v>
      </c>
      <c r="V15" s="54" t="e">
        <f>#REF!-'IS 3Q2022'!V15</f>
        <v>#REF!</v>
      </c>
      <c r="W15" s="175" t="e">
        <f>#REF!-'IS 3Q2022'!W15</f>
        <v>#REF!</v>
      </c>
      <c r="X15" s="54" t="e">
        <f>#REF!-'IS 3Q2022'!X15</f>
        <v>#REF!</v>
      </c>
      <c r="Y15" s="54" t="e">
        <f>#REF!-'IS 3Q2022'!Y15</f>
        <v>#REF!</v>
      </c>
      <c r="Z15" s="54" t="e">
        <f>#REF!-'IS 3Q2022'!Z15</f>
        <v>#REF!</v>
      </c>
      <c r="AA15" s="54" t="e">
        <f>#REF!-'IS 3Q2022'!AA15</f>
        <v>#REF!</v>
      </c>
      <c r="AB15" s="55" t="e">
        <f>#REF!-'IS 3Q2022'!AB15</f>
        <v>#REF!</v>
      </c>
      <c r="AC15" s="54" t="e">
        <f>#REF!-'IS 3Q2022'!AC15</f>
        <v>#REF!</v>
      </c>
      <c r="AD15" s="54" t="e">
        <f>#REF!-'IS 3Q2022'!AD15</f>
        <v>#REF!</v>
      </c>
      <c r="AE15" s="54" t="e">
        <f>#REF!-'IS 3Q2022'!AE15</f>
        <v>#REF!</v>
      </c>
      <c r="AF15" s="54" t="e">
        <f>#REF!-'IS 3Q2022'!AF15</f>
        <v>#REF!</v>
      </c>
      <c r="AG15" s="55" t="e">
        <f>#REF!-'IS 3Q2022'!AG15</f>
        <v>#REF!</v>
      </c>
      <c r="AH15" s="54" t="e">
        <f>#REF!-'IS 3Q2022'!AH15</f>
        <v>#REF!</v>
      </c>
      <c r="AI15" s="54" t="e">
        <f>#REF!-'IS 3Q2022'!AI15</f>
        <v>#REF!</v>
      </c>
      <c r="AJ15" s="54" t="e">
        <f>#REF!-'IS 3Q2022'!AJ15</f>
        <v>#REF!</v>
      </c>
      <c r="AK15" s="54" t="e">
        <f>#REF!-'IS 3Q2022'!AK15</f>
        <v>#REF!</v>
      </c>
      <c r="AL15" s="55" t="e">
        <f>#REF!-'IS 3Q2022'!AL15</f>
        <v>#REF!</v>
      </c>
      <c r="AM15" s="54" t="e">
        <f>#REF!-'IS 3Q2022'!AM15</f>
        <v>#REF!</v>
      </c>
      <c r="AN15" s="54" t="e">
        <f>#REF!-'IS 3Q2022'!AN15</f>
        <v>#REF!</v>
      </c>
      <c r="AO15" s="54" t="e">
        <f>#REF!-'IS 3Q2022'!AO15</f>
        <v>#REF!</v>
      </c>
      <c r="AP15" s="54" t="e">
        <f>#REF!-'IS 3Q2022'!AP15</f>
        <v>#REF!</v>
      </c>
      <c r="AQ15" s="55" t="e">
        <f>#REF!-'IS 3Q2022'!AQ15</f>
        <v>#REF!</v>
      </c>
      <c r="AR15" s="54" t="e">
        <f>#REF!-'IS 3Q2022'!AR15</f>
        <v>#REF!</v>
      </c>
      <c r="AS15" s="54" t="e">
        <f>#REF!-'IS 3Q2022'!AS15</f>
        <v>#REF!</v>
      </c>
      <c r="AT15" s="54" t="e">
        <f>#REF!-'IS 3Q2022'!AT15</f>
        <v>#REF!</v>
      </c>
      <c r="AU15" s="54" t="e">
        <f>#REF!-'IS 3Q2022'!AU15</f>
        <v>#REF!</v>
      </c>
      <c r="AV15" s="55" t="e">
        <f>#REF!-'IS 3Q2022'!AV15</f>
        <v>#REF!</v>
      </c>
    </row>
    <row r="16" spans="1:48" s="23" customFormat="1" ht="17.25" customHeight="1" x14ac:dyDescent="0.45">
      <c r="B16" s="591" t="s">
        <v>36</v>
      </c>
      <c r="C16" s="592"/>
      <c r="D16" s="104" t="e">
        <f>#REF!-'IS 3Q2022'!D16</f>
        <v>#REF!</v>
      </c>
      <c r="E16" s="104" t="e">
        <f>#REF!-'IS 3Q2022'!E16</f>
        <v>#REF!</v>
      </c>
      <c r="F16" s="104" t="e">
        <f>#REF!-'IS 3Q2022'!F16</f>
        <v>#REF!</v>
      </c>
      <c r="G16" s="104" t="e">
        <f>#REF!-'IS 3Q2022'!G16</f>
        <v>#REF!</v>
      </c>
      <c r="H16" s="173" t="e">
        <f>#REF!-'IS 3Q2022'!H16</f>
        <v>#REF!</v>
      </c>
      <c r="I16" s="104" t="e">
        <f>#REF!-'IS 3Q2022'!I16</f>
        <v>#REF!</v>
      </c>
      <c r="J16" s="104" t="e">
        <f>#REF!-'IS 3Q2022'!J16</f>
        <v>#REF!</v>
      </c>
      <c r="K16" s="104" t="e">
        <f>#REF!-'IS 3Q2022'!K16</f>
        <v>#REF!</v>
      </c>
      <c r="L16" s="52" t="e">
        <f>#REF!-'IS 3Q2022'!L16</f>
        <v>#REF!</v>
      </c>
      <c r="M16" s="53" t="e">
        <f>#REF!-'IS 3Q2022'!M16</f>
        <v>#REF!</v>
      </c>
      <c r="N16" s="52" t="e">
        <f>#REF!-'IS 3Q2022'!N16</f>
        <v>#REF!</v>
      </c>
      <c r="O16" s="104" t="e">
        <f>#REF!-'IS 3Q2022'!O16</f>
        <v>#REF!</v>
      </c>
      <c r="P16" s="104" t="e">
        <f>#REF!-'IS 3Q2022'!P16</f>
        <v>#REF!</v>
      </c>
      <c r="Q16" s="104" t="e">
        <f>#REF!-'IS 3Q2022'!Q16</f>
        <v>#REF!</v>
      </c>
      <c r="R16" s="173" t="e">
        <f>#REF!-'IS 3Q2022'!R16</f>
        <v>#REF!</v>
      </c>
      <c r="S16" s="52" t="e">
        <f>#REF!-'IS 3Q2022'!S16</f>
        <v>#REF!</v>
      </c>
      <c r="T16" s="52" t="e">
        <f>#REF!-'IS 3Q2022'!T16</f>
        <v>#REF!</v>
      </c>
      <c r="U16" s="52" t="e">
        <f>#REF!-'IS 3Q2022'!U16</f>
        <v>#REF!</v>
      </c>
      <c r="V16" s="52" t="e">
        <f>#REF!-'IS 3Q2022'!V16</f>
        <v>#REF!</v>
      </c>
      <c r="W16" s="173" t="e">
        <f>#REF!-'IS 3Q2022'!W16</f>
        <v>#REF!</v>
      </c>
      <c r="X16" s="52" t="e">
        <f>#REF!-'IS 3Q2022'!X16</f>
        <v>#REF!</v>
      </c>
      <c r="Y16" s="52" t="e">
        <f>#REF!-'IS 3Q2022'!Y16</f>
        <v>#REF!</v>
      </c>
      <c r="Z16" s="52" t="e">
        <f>#REF!-'IS 3Q2022'!Z16</f>
        <v>#REF!</v>
      </c>
      <c r="AA16" s="52" t="e">
        <f>#REF!-'IS 3Q2022'!AA16</f>
        <v>#REF!</v>
      </c>
      <c r="AB16" s="53" t="e">
        <f>#REF!-'IS 3Q2022'!AB16</f>
        <v>#REF!</v>
      </c>
      <c r="AC16" s="52" t="e">
        <f>#REF!-'IS 3Q2022'!AC16</f>
        <v>#REF!</v>
      </c>
      <c r="AD16" s="52" t="e">
        <f>#REF!-'IS 3Q2022'!AD16</f>
        <v>#REF!</v>
      </c>
      <c r="AE16" s="52" t="e">
        <f>#REF!-'IS 3Q2022'!AE16</f>
        <v>#REF!</v>
      </c>
      <c r="AF16" s="52" t="e">
        <f>#REF!-'IS 3Q2022'!AF16</f>
        <v>#REF!</v>
      </c>
      <c r="AG16" s="53" t="e">
        <f>#REF!-'IS 3Q2022'!AG16</f>
        <v>#REF!</v>
      </c>
      <c r="AH16" s="52" t="e">
        <f>#REF!-'IS 3Q2022'!AH16</f>
        <v>#REF!</v>
      </c>
      <c r="AI16" s="52" t="e">
        <f>#REF!-'IS 3Q2022'!AI16</f>
        <v>#REF!</v>
      </c>
      <c r="AJ16" s="52" t="e">
        <f>#REF!-'IS 3Q2022'!AJ16</f>
        <v>#REF!</v>
      </c>
      <c r="AK16" s="52" t="e">
        <f>#REF!-'IS 3Q2022'!AK16</f>
        <v>#REF!</v>
      </c>
      <c r="AL16" s="53" t="e">
        <f>#REF!-'IS 3Q2022'!AL16</f>
        <v>#REF!</v>
      </c>
      <c r="AM16" s="52" t="e">
        <f>#REF!-'IS 3Q2022'!AM16</f>
        <v>#REF!</v>
      </c>
      <c r="AN16" s="52" t="e">
        <f>#REF!-'IS 3Q2022'!AN16</f>
        <v>#REF!</v>
      </c>
      <c r="AO16" s="52" t="e">
        <f>#REF!-'IS 3Q2022'!AO16</f>
        <v>#REF!</v>
      </c>
      <c r="AP16" s="52" t="e">
        <f>#REF!-'IS 3Q2022'!AP16</f>
        <v>#REF!</v>
      </c>
      <c r="AQ16" s="53" t="e">
        <f>#REF!-'IS 3Q2022'!AQ16</f>
        <v>#REF!</v>
      </c>
      <c r="AR16" s="52" t="e">
        <f>#REF!-'IS 3Q2022'!AR16</f>
        <v>#REF!</v>
      </c>
      <c r="AS16" s="52" t="e">
        <f>#REF!-'IS 3Q2022'!AS16</f>
        <v>#REF!</v>
      </c>
      <c r="AT16" s="52" t="e">
        <f>#REF!-'IS 3Q2022'!AT16</f>
        <v>#REF!</v>
      </c>
      <c r="AU16" s="52" t="e">
        <f>#REF!-'IS 3Q2022'!AU16</f>
        <v>#REF!</v>
      </c>
      <c r="AV16" s="53" t="e">
        <f>#REF!-'IS 3Q2022'!AV16</f>
        <v>#REF!</v>
      </c>
    </row>
    <row r="17" spans="1:48" x14ac:dyDescent="0.3">
      <c r="B17" s="135" t="s">
        <v>10</v>
      </c>
      <c r="C17" s="136"/>
      <c r="D17" s="103" t="e">
        <f>#REF!-'IS 3Q2022'!D17</f>
        <v>#REF!</v>
      </c>
      <c r="E17" s="103" t="e">
        <f>#REF!-'IS 3Q2022'!E17</f>
        <v>#REF!</v>
      </c>
      <c r="F17" s="103" t="e">
        <f>#REF!-'IS 3Q2022'!F17</f>
        <v>#REF!</v>
      </c>
      <c r="G17" s="103" t="e">
        <f>#REF!-'IS 3Q2022'!G17</f>
        <v>#REF!</v>
      </c>
      <c r="H17" s="171" t="e">
        <f>#REF!-'IS 3Q2022'!H17</f>
        <v>#REF!</v>
      </c>
      <c r="I17" s="103" t="e">
        <f>#REF!-'IS 3Q2022'!I17</f>
        <v>#REF!</v>
      </c>
      <c r="J17" s="103" t="e">
        <f>#REF!-'IS 3Q2022'!J17</f>
        <v>#REF!</v>
      </c>
      <c r="K17" s="103" t="e">
        <f>#REF!-'IS 3Q2022'!K17</f>
        <v>#REF!</v>
      </c>
      <c r="L17" s="50" t="e">
        <f>#REF!-'IS 3Q2022'!L17</f>
        <v>#REF!</v>
      </c>
      <c r="M17" s="51" t="e">
        <f>#REF!-'IS 3Q2022'!M17</f>
        <v>#REF!</v>
      </c>
      <c r="N17" s="50" t="e">
        <f>#REF!-'IS 3Q2022'!N17</f>
        <v>#REF!</v>
      </c>
      <c r="O17" s="103" t="e">
        <f>#REF!-'IS 3Q2022'!O17</f>
        <v>#REF!</v>
      </c>
      <c r="P17" s="103" t="e">
        <f>#REF!-'IS 3Q2022'!P17</f>
        <v>#REF!</v>
      </c>
      <c r="Q17" s="103" t="e">
        <f>#REF!-'IS 3Q2022'!Q17</f>
        <v>#REF!</v>
      </c>
      <c r="R17" s="171" t="e">
        <f>#REF!-'IS 3Q2022'!R17</f>
        <v>#REF!</v>
      </c>
      <c r="S17" s="50" t="e">
        <f>#REF!-'IS 3Q2022'!S17</f>
        <v>#REF!</v>
      </c>
      <c r="T17" s="50" t="e">
        <f>#REF!-'IS 3Q2022'!T17</f>
        <v>#REF!</v>
      </c>
      <c r="U17" s="50" t="e">
        <f>#REF!-'IS 3Q2022'!U17</f>
        <v>#REF!</v>
      </c>
      <c r="V17" s="50" t="e">
        <f>#REF!-'IS 3Q2022'!V17</f>
        <v>#REF!</v>
      </c>
      <c r="W17" s="171" t="e">
        <f>#REF!-'IS 3Q2022'!W17</f>
        <v>#REF!</v>
      </c>
      <c r="X17" s="50" t="e">
        <f>#REF!-'IS 3Q2022'!X17</f>
        <v>#REF!</v>
      </c>
      <c r="Y17" s="50" t="e">
        <f>#REF!-'IS 3Q2022'!Y17</f>
        <v>#REF!</v>
      </c>
      <c r="Z17" s="50" t="e">
        <f>#REF!-'IS 3Q2022'!Z17</f>
        <v>#REF!</v>
      </c>
      <c r="AA17" s="50" t="e">
        <f>#REF!-'IS 3Q2022'!AA17</f>
        <v>#REF!</v>
      </c>
      <c r="AB17" s="51" t="e">
        <f>#REF!-'IS 3Q2022'!AB17</f>
        <v>#REF!</v>
      </c>
      <c r="AC17" s="50" t="e">
        <f>#REF!-'IS 3Q2022'!AC17</f>
        <v>#REF!</v>
      </c>
      <c r="AD17" s="50" t="e">
        <f>#REF!-'IS 3Q2022'!AD17</f>
        <v>#REF!</v>
      </c>
      <c r="AE17" s="50" t="e">
        <f>#REF!-'IS 3Q2022'!AE17</f>
        <v>#REF!</v>
      </c>
      <c r="AF17" s="50" t="e">
        <f>#REF!-'IS 3Q2022'!AF17</f>
        <v>#REF!</v>
      </c>
      <c r="AG17" s="51" t="e">
        <f>#REF!-'IS 3Q2022'!AG17</f>
        <v>#REF!</v>
      </c>
      <c r="AH17" s="50" t="e">
        <f>#REF!-'IS 3Q2022'!AH17</f>
        <v>#REF!</v>
      </c>
      <c r="AI17" s="50" t="e">
        <f>#REF!-'IS 3Q2022'!AI17</f>
        <v>#REF!</v>
      </c>
      <c r="AJ17" s="50" t="e">
        <f>#REF!-'IS 3Q2022'!AJ17</f>
        <v>#REF!</v>
      </c>
      <c r="AK17" s="50" t="e">
        <f>#REF!-'IS 3Q2022'!AK17</f>
        <v>#REF!</v>
      </c>
      <c r="AL17" s="51" t="e">
        <f>#REF!-'IS 3Q2022'!AL17</f>
        <v>#REF!</v>
      </c>
      <c r="AM17" s="50" t="e">
        <f>#REF!-'IS 3Q2022'!AM17</f>
        <v>#REF!</v>
      </c>
      <c r="AN17" s="50" t="e">
        <f>#REF!-'IS 3Q2022'!AN17</f>
        <v>#REF!</v>
      </c>
      <c r="AO17" s="50" t="e">
        <f>#REF!-'IS 3Q2022'!AO17</f>
        <v>#REF!</v>
      </c>
      <c r="AP17" s="50" t="e">
        <f>#REF!-'IS 3Q2022'!AP17</f>
        <v>#REF!</v>
      </c>
      <c r="AQ17" s="51" t="e">
        <f>#REF!-'IS 3Q2022'!AQ17</f>
        <v>#REF!</v>
      </c>
      <c r="AR17" s="50" t="e">
        <f>#REF!-'IS 3Q2022'!AR17</f>
        <v>#REF!</v>
      </c>
      <c r="AS17" s="50" t="e">
        <f>#REF!-'IS 3Q2022'!AS17</f>
        <v>#REF!</v>
      </c>
      <c r="AT17" s="50" t="e">
        <f>#REF!-'IS 3Q2022'!AT17</f>
        <v>#REF!</v>
      </c>
      <c r="AU17" s="50" t="e">
        <f>#REF!-'IS 3Q2022'!AU17</f>
        <v>#REF!</v>
      </c>
      <c r="AV17" s="51" t="e">
        <f>#REF!-'IS 3Q2022'!AV17</f>
        <v>#REF!</v>
      </c>
    </row>
    <row r="18" spans="1:48" ht="16.2" x14ac:dyDescent="0.45">
      <c r="B18" s="123" t="s">
        <v>70</v>
      </c>
      <c r="C18" s="88"/>
      <c r="D18" s="107" t="e">
        <f>#REF!-'IS 3Q2022'!D18</f>
        <v>#REF!</v>
      </c>
      <c r="E18" s="107" t="e">
        <f>#REF!-'IS 3Q2022'!E18</f>
        <v>#REF!</v>
      </c>
      <c r="F18" s="107" t="e">
        <f>#REF!-'IS 3Q2022'!F18</f>
        <v>#REF!</v>
      </c>
      <c r="G18" s="107" t="e">
        <f>#REF!-'IS 3Q2022'!G18</f>
        <v>#REF!</v>
      </c>
      <c r="H18" s="176" t="e">
        <f>#REF!-'IS 3Q2022'!H18</f>
        <v>#REF!</v>
      </c>
      <c r="I18" s="107" t="e">
        <f>#REF!-'IS 3Q2022'!I18</f>
        <v>#REF!</v>
      </c>
      <c r="J18" s="107" t="e">
        <f>#REF!-'IS 3Q2022'!J18</f>
        <v>#REF!</v>
      </c>
      <c r="K18" s="107" t="e">
        <f>#REF!-'IS 3Q2022'!K18</f>
        <v>#REF!</v>
      </c>
      <c r="L18" s="89" t="e">
        <f>#REF!-'IS 3Q2022'!L18</f>
        <v>#REF!</v>
      </c>
      <c r="M18" s="90" t="e">
        <f>#REF!-'IS 3Q2022'!M18</f>
        <v>#REF!</v>
      </c>
      <c r="N18" s="107" t="e">
        <f>#REF!-'IS 3Q2022'!N18</f>
        <v>#REF!</v>
      </c>
      <c r="O18" s="107" t="e">
        <f>#REF!-'IS 3Q2022'!O18</f>
        <v>#REF!</v>
      </c>
      <c r="P18" s="107" t="e">
        <f>#REF!-'IS 3Q2022'!P18</f>
        <v>#REF!</v>
      </c>
      <c r="Q18" s="107" t="e">
        <f>#REF!-'IS 3Q2022'!Q18</f>
        <v>#REF!</v>
      </c>
      <c r="R18" s="176" t="e">
        <f>#REF!-'IS 3Q2022'!R18</f>
        <v>#REF!</v>
      </c>
      <c r="S18" s="89" t="e">
        <f>#REF!-'IS 3Q2022'!S18</f>
        <v>#REF!</v>
      </c>
      <c r="T18" s="89" t="e">
        <f>#REF!-'IS 3Q2022'!T18</f>
        <v>#REF!</v>
      </c>
      <c r="U18" s="89" t="e">
        <f>#REF!-'IS 3Q2022'!U18</f>
        <v>#REF!</v>
      </c>
      <c r="V18" s="89" t="e">
        <f>#REF!-'IS 3Q2022'!V18</f>
        <v>#REF!</v>
      </c>
      <c r="W18" s="176" t="e">
        <f>#REF!-'IS 3Q2022'!W18</f>
        <v>#REF!</v>
      </c>
      <c r="X18" s="89" t="e">
        <f>#REF!-'IS 3Q2022'!X18</f>
        <v>#REF!</v>
      </c>
      <c r="Y18" s="89" t="e">
        <f>#REF!-'IS 3Q2022'!Y18</f>
        <v>#REF!</v>
      </c>
      <c r="Z18" s="89" t="e">
        <f>#REF!-'IS 3Q2022'!Z18</f>
        <v>#REF!</v>
      </c>
      <c r="AA18" s="89" t="e">
        <f>#REF!-'IS 3Q2022'!AA18</f>
        <v>#REF!</v>
      </c>
      <c r="AB18" s="90" t="e">
        <f>#REF!-'IS 3Q2022'!AB18</f>
        <v>#REF!</v>
      </c>
      <c r="AC18" s="89" t="e">
        <f>#REF!-'IS 3Q2022'!AC18</f>
        <v>#REF!</v>
      </c>
      <c r="AD18" s="89" t="e">
        <f>#REF!-'IS 3Q2022'!AD18</f>
        <v>#REF!</v>
      </c>
      <c r="AE18" s="89" t="e">
        <f>#REF!-'IS 3Q2022'!AE18</f>
        <v>#REF!</v>
      </c>
      <c r="AF18" s="89" t="e">
        <f>#REF!-'IS 3Q2022'!AF18</f>
        <v>#REF!</v>
      </c>
      <c r="AG18" s="90" t="e">
        <f>#REF!-'IS 3Q2022'!AG18</f>
        <v>#REF!</v>
      </c>
      <c r="AH18" s="89" t="e">
        <f>#REF!-'IS 3Q2022'!AH18</f>
        <v>#REF!</v>
      </c>
      <c r="AI18" s="89" t="e">
        <f>#REF!-'IS 3Q2022'!AI18</f>
        <v>#REF!</v>
      </c>
      <c r="AJ18" s="89" t="e">
        <f>#REF!-'IS 3Q2022'!AJ18</f>
        <v>#REF!</v>
      </c>
      <c r="AK18" s="89" t="e">
        <f>#REF!-'IS 3Q2022'!AK18</f>
        <v>#REF!</v>
      </c>
      <c r="AL18" s="90" t="e">
        <f>#REF!-'IS 3Q2022'!AL18</f>
        <v>#REF!</v>
      </c>
      <c r="AM18" s="89" t="e">
        <f>#REF!-'IS 3Q2022'!AM18</f>
        <v>#REF!</v>
      </c>
      <c r="AN18" s="89" t="e">
        <f>#REF!-'IS 3Q2022'!AN18</f>
        <v>#REF!</v>
      </c>
      <c r="AO18" s="89" t="e">
        <f>#REF!-'IS 3Q2022'!AO18</f>
        <v>#REF!</v>
      </c>
      <c r="AP18" s="89" t="e">
        <f>#REF!-'IS 3Q2022'!AP18</f>
        <v>#REF!</v>
      </c>
      <c r="AQ18" s="90" t="e">
        <f>#REF!-'IS 3Q2022'!AQ18</f>
        <v>#REF!</v>
      </c>
      <c r="AR18" s="89" t="e">
        <f>#REF!-'IS 3Q2022'!AR18</f>
        <v>#REF!</v>
      </c>
      <c r="AS18" s="89" t="e">
        <f>#REF!-'IS 3Q2022'!AS18</f>
        <v>#REF!</v>
      </c>
      <c r="AT18" s="89" t="e">
        <f>#REF!-'IS 3Q2022'!AT18</f>
        <v>#REF!</v>
      </c>
      <c r="AU18" s="89" t="e">
        <f>#REF!-'IS 3Q2022'!AU18</f>
        <v>#REF!</v>
      </c>
      <c r="AV18" s="90" t="e">
        <f>#REF!-'IS 3Q2022'!AV18</f>
        <v>#REF!</v>
      </c>
    </row>
    <row r="19" spans="1:48" x14ac:dyDescent="0.3">
      <c r="B19" s="124" t="s">
        <v>71</v>
      </c>
      <c r="C19" s="79"/>
      <c r="D19" s="108" t="e">
        <f>#REF!-'IS 3Q2022'!D19</f>
        <v>#REF!</v>
      </c>
      <c r="E19" s="108" t="e">
        <f>#REF!-'IS 3Q2022'!E19</f>
        <v>#REF!</v>
      </c>
      <c r="F19" s="108" t="e">
        <f>#REF!-'IS 3Q2022'!F19</f>
        <v>#REF!</v>
      </c>
      <c r="G19" s="108" t="e">
        <f>#REF!-'IS 3Q2022'!G19</f>
        <v>#REF!</v>
      </c>
      <c r="H19" s="177" t="e">
        <f>#REF!-'IS 3Q2022'!H19</f>
        <v>#REF!</v>
      </c>
      <c r="I19" s="108" t="e">
        <f>#REF!-'IS 3Q2022'!I19</f>
        <v>#REF!</v>
      </c>
      <c r="J19" s="108" t="e">
        <f>#REF!-'IS 3Q2022'!J19</f>
        <v>#REF!</v>
      </c>
      <c r="K19" s="108" t="e">
        <f>#REF!-'IS 3Q2022'!K19</f>
        <v>#REF!</v>
      </c>
      <c r="L19" s="80" t="e">
        <f>#REF!-'IS 3Q2022'!L19</f>
        <v>#REF!</v>
      </c>
      <c r="M19" s="81" t="e">
        <f>#REF!-'IS 3Q2022'!M19</f>
        <v>#REF!</v>
      </c>
      <c r="N19" s="108" t="e">
        <f>#REF!-'IS 3Q2022'!N19</f>
        <v>#REF!</v>
      </c>
      <c r="O19" s="108" t="e">
        <f>#REF!-'IS 3Q2022'!O19</f>
        <v>#REF!</v>
      </c>
      <c r="P19" s="108" t="e">
        <f>#REF!-'IS 3Q2022'!P19</f>
        <v>#REF!</v>
      </c>
      <c r="Q19" s="108" t="e">
        <f>#REF!-'IS 3Q2022'!Q19</f>
        <v>#REF!</v>
      </c>
      <c r="R19" s="177" t="e">
        <f>#REF!-'IS 3Q2022'!R19</f>
        <v>#REF!</v>
      </c>
      <c r="S19" s="80" t="e">
        <f>#REF!-'IS 3Q2022'!S19</f>
        <v>#REF!</v>
      </c>
      <c r="T19" s="80" t="e">
        <f>#REF!-'IS 3Q2022'!T19</f>
        <v>#REF!</v>
      </c>
      <c r="U19" s="80" t="e">
        <f>#REF!-'IS 3Q2022'!U19</f>
        <v>#REF!</v>
      </c>
      <c r="V19" s="80" t="e">
        <f>#REF!-'IS 3Q2022'!V19</f>
        <v>#REF!</v>
      </c>
      <c r="W19" s="177" t="e">
        <f>#REF!-'IS 3Q2022'!W19</f>
        <v>#REF!</v>
      </c>
      <c r="X19" s="80" t="e">
        <f>#REF!-'IS 3Q2022'!X19</f>
        <v>#REF!</v>
      </c>
      <c r="Y19" s="80" t="e">
        <f>#REF!-'IS 3Q2022'!Y19</f>
        <v>#REF!</v>
      </c>
      <c r="Z19" s="80" t="e">
        <f>#REF!-'IS 3Q2022'!Z19</f>
        <v>#REF!</v>
      </c>
      <c r="AA19" s="80" t="e">
        <f>#REF!-'IS 3Q2022'!AA19</f>
        <v>#REF!</v>
      </c>
      <c r="AB19" s="81" t="e">
        <f>#REF!-'IS 3Q2022'!AB19</f>
        <v>#REF!</v>
      </c>
      <c r="AC19" s="80" t="e">
        <f>#REF!-'IS 3Q2022'!AC19</f>
        <v>#REF!</v>
      </c>
      <c r="AD19" s="80" t="e">
        <f>#REF!-'IS 3Q2022'!AD19</f>
        <v>#REF!</v>
      </c>
      <c r="AE19" s="80" t="e">
        <f>#REF!-'IS 3Q2022'!AE19</f>
        <v>#REF!</v>
      </c>
      <c r="AF19" s="80" t="e">
        <f>#REF!-'IS 3Q2022'!AF19</f>
        <v>#REF!</v>
      </c>
      <c r="AG19" s="81" t="e">
        <f>#REF!-'IS 3Q2022'!AG19</f>
        <v>#REF!</v>
      </c>
      <c r="AH19" s="80" t="e">
        <f>#REF!-'IS 3Q2022'!AH19</f>
        <v>#REF!</v>
      </c>
      <c r="AI19" s="80" t="e">
        <f>#REF!-'IS 3Q2022'!AI19</f>
        <v>#REF!</v>
      </c>
      <c r="AJ19" s="80" t="e">
        <f>#REF!-'IS 3Q2022'!AJ19</f>
        <v>#REF!</v>
      </c>
      <c r="AK19" s="80" t="e">
        <f>#REF!-'IS 3Q2022'!AK19</f>
        <v>#REF!</v>
      </c>
      <c r="AL19" s="81" t="e">
        <f>#REF!-'IS 3Q2022'!AL19</f>
        <v>#REF!</v>
      </c>
      <c r="AM19" s="80" t="e">
        <f>#REF!-'IS 3Q2022'!AM19</f>
        <v>#REF!</v>
      </c>
      <c r="AN19" s="80" t="e">
        <f>#REF!-'IS 3Q2022'!AN19</f>
        <v>#REF!</v>
      </c>
      <c r="AO19" s="80" t="e">
        <f>#REF!-'IS 3Q2022'!AO19</f>
        <v>#REF!</v>
      </c>
      <c r="AP19" s="80" t="e">
        <f>#REF!-'IS 3Q2022'!AP19</f>
        <v>#REF!</v>
      </c>
      <c r="AQ19" s="81" t="e">
        <f>#REF!-'IS 3Q2022'!AQ19</f>
        <v>#REF!</v>
      </c>
      <c r="AR19" s="80" t="e">
        <f>#REF!-'IS 3Q2022'!AR19</f>
        <v>#REF!</v>
      </c>
      <c r="AS19" s="80" t="e">
        <f>#REF!-'IS 3Q2022'!AS19</f>
        <v>#REF!</v>
      </c>
      <c r="AT19" s="80" t="e">
        <f>#REF!-'IS 3Q2022'!AT19</f>
        <v>#REF!</v>
      </c>
      <c r="AU19" s="80" t="e">
        <f>#REF!-'IS 3Q2022'!AU19</f>
        <v>#REF!</v>
      </c>
      <c r="AV19" s="81" t="e">
        <f>#REF!-'IS 3Q2022'!AV19</f>
        <v>#REF!</v>
      </c>
    </row>
    <row r="20" spans="1:48" x14ac:dyDescent="0.3">
      <c r="B20" s="38" t="s">
        <v>63</v>
      </c>
      <c r="C20" s="18"/>
      <c r="D20" s="105" t="e">
        <f>#REF!-'IS 3Q2022'!D20</f>
        <v>#REF!</v>
      </c>
      <c r="E20" s="105" t="e">
        <f>#REF!-'IS 3Q2022'!E20</f>
        <v>#REF!</v>
      </c>
      <c r="F20" s="105" t="e">
        <f>#REF!-'IS 3Q2022'!F20</f>
        <v>#REF!</v>
      </c>
      <c r="G20" s="105" t="e">
        <f>#REF!-'IS 3Q2022'!G20</f>
        <v>#REF!</v>
      </c>
      <c r="H20" s="170" t="e">
        <f>#REF!-'IS 3Q2022'!H20</f>
        <v>#REF!</v>
      </c>
      <c r="I20" s="105" t="e">
        <f>#REF!-'IS 3Q2022'!I20</f>
        <v>#REF!</v>
      </c>
      <c r="J20" s="105" t="e">
        <f>#REF!-'IS 3Q2022'!J20</f>
        <v>#REF!</v>
      </c>
      <c r="K20" s="105" t="e">
        <f>#REF!-'IS 3Q2022'!K20</f>
        <v>#REF!</v>
      </c>
      <c r="L20" s="105" t="e">
        <f>#REF!-'IS 3Q2022'!L20</f>
        <v>#REF!</v>
      </c>
      <c r="M20" s="170" t="e">
        <f>#REF!-'IS 3Q2022'!M20</f>
        <v>#REF!</v>
      </c>
      <c r="N20" s="105" t="e">
        <f>#REF!-'IS 3Q2022'!N20</f>
        <v>#REF!</v>
      </c>
      <c r="O20" s="105" t="e">
        <f>#REF!-'IS 3Q2022'!O20</f>
        <v>#REF!</v>
      </c>
      <c r="P20" s="105" t="e">
        <f>#REF!-'IS 3Q2022'!P20</f>
        <v>#REF!</v>
      </c>
      <c r="Q20" s="105" t="e">
        <f>#REF!-'IS 3Q2022'!Q20</f>
        <v>#REF!</v>
      </c>
      <c r="R20" s="170" t="e">
        <f>#REF!-'IS 3Q2022'!R20</f>
        <v>#REF!</v>
      </c>
      <c r="S20" s="105" t="e">
        <f>#REF!-'IS 3Q2022'!S20</f>
        <v>#REF!</v>
      </c>
      <c r="T20" s="105" t="e">
        <f>#REF!-'IS 3Q2022'!T20</f>
        <v>#REF!</v>
      </c>
      <c r="U20" s="105" t="e">
        <f>#REF!-'IS 3Q2022'!U20</f>
        <v>#REF!</v>
      </c>
      <c r="V20" s="105" t="e">
        <f>#REF!-'IS 3Q2022'!V20</f>
        <v>#REF!</v>
      </c>
      <c r="W20" s="170" t="e">
        <f>#REF!-'IS 3Q2022'!W20</f>
        <v>#REF!</v>
      </c>
      <c r="X20" s="105" t="e">
        <f>#REF!-'IS 3Q2022'!X20</f>
        <v>#REF!</v>
      </c>
      <c r="Y20" s="105" t="e">
        <f>#REF!-'IS 3Q2022'!Y20</f>
        <v>#REF!</v>
      </c>
      <c r="Z20" s="105" t="e">
        <f>#REF!-'IS 3Q2022'!Z20</f>
        <v>#REF!</v>
      </c>
      <c r="AA20" s="105" t="e">
        <f>#REF!-'IS 3Q2022'!AA20</f>
        <v>#REF!</v>
      </c>
      <c r="AB20" s="170" t="e">
        <f>#REF!-'IS 3Q2022'!AB20</f>
        <v>#REF!</v>
      </c>
      <c r="AC20" s="105" t="e">
        <f>#REF!-'IS 3Q2022'!AC20</f>
        <v>#REF!</v>
      </c>
      <c r="AD20" s="105" t="e">
        <f>#REF!-'IS 3Q2022'!AD20</f>
        <v>#REF!</v>
      </c>
      <c r="AE20" s="105" t="e">
        <f>#REF!-'IS 3Q2022'!AE20</f>
        <v>#REF!</v>
      </c>
      <c r="AF20" s="105" t="e">
        <f>#REF!-'IS 3Q2022'!AF20</f>
        <v>#REF!</v>
      </c>
      <c r="AG20" s="170" t="e">
        <f>#REF!-'IS 3Q2022'!AG20</f>
        <v>#REF!</v>
      </c>
      <c r="AH20" s="105" t="e">
        <f>#REF!-'IS 3Q2022'!AH20</f>
        <v>#REF!</v>
      </c>
      <c r="AI20" s="105" t="e">
        <f>#REF!-'IS 3Q2022'!AI20</f>
        <v>#REF!</v>
      </c>
      <c r="AJ20" s="105" t="e">
        <f>#REF!-'IS 3Q2022'!AJ20</f>
        <v>#REF!</v>
      </c>
      <c r="AK20" s="105" t="e">
        <f>#REF!-'IS 3Q2022'!AK20</f>
        <v>#REF!</v>
      </c>
      <c r="AL20" s="170" t="e">
        <f>#REF!-'IS 3Q2022'!AL20</f>
        <v>#REF!</v>
      </c>
      <c r="AM20" s="105" t="e">
        <f>#REF!-'IS 3Q2022'!AM20</f>
        <v>#REF!</v>
      </c>
      <c r="AN20" s="105" t="e">
        <f>#REF!-'IS 3Q2022'!AN20</f>
        <v>#REF!</v>
      </c>
      <c r="AO20" s="105" t="e">
        <f>#REF!-'IS 3Q2022'!AO20</f>
        <v>#REF!</v>
      </c>
      <c r="AP20" s="105" t="e">
        <f>#REF!-'IS 3Q2022'!AP20</f>
        <v>#REF!</v>
      </c>
      <c r="AQ20" s="170" t="e">
        <f>#REF!-'IS 3Q2022'!AQ20</f>
        <v>#REF!</v>
      </c>
      <c r="AR20" s="105" t="e">
        <f>#REF!-'IS 3Q2022'!AR20</f>
        <v>#REF!</v>
      </c>
      <c r="AS20" s="105" t="e">
        <f>#REF!-'IS 3Q2022'!AS20</f>
        <v>#REF!</v>
      </c>
      <c r="AT20" s="105" t="e">
        <f>#REF!-'IS 3Q2022'!AT20</f>
        <v>#REF!</v>
      </c>
      <c r="AU20" s="105" t="e">
        <f>#REF!-'IS 3Q2022'!AU20</f>
        <v>#REF!</v>
      </c>
      <c r="AV20" s="170" t="e">
        <f>#REF!-'IS 3Q2022'!AV20</f>
        <v>#REF!</v>
      </c>
    </row>
    <row r="21" spans="1:48" x14ac:dyDescent="0.3">
      <c r="B21" s="38" t="s">
        <v>37</v>
      </c>
      <c r="C21" s="18"/>
      <c r="D21" s="105" t="e">
        <f>#REF!-'IS 3Q2022'!D21</f>
        <v>#REF!</v>
      </c>
      <c r="E21" s="105" t="e">
        <f>#REF!-'IS 3Q2022'!E21</f>
        <v>#REF!</v>
      </c>
      <c r="F21" s="102" t="e">
        <f>#REF!-'IS 3Q2022'!F21</f>
        <v>#REF!</v>
      </c>
      <c r="G21" s="105" t="e">
        <f>#REF!-'IS 3Q2022'!G21</f>
        <v>#REF!</v>
      </c>
      <c r="H21" s="170" t="e">
        <f>#REF!-'IS 3Q2022'!H21</f>
        <v>#REF!</v>
      </c>
      <c r="I21" s="105" t="e">
        <f>#REF!-'IS 3Q2022'!I21</f>
        <v>#REF!</v>
      </c>
      <c r="J21" s="105" t="e">
        <f>#REF!-'IS 3Q2022'!J21</f>
        <v>#REF!</v>
      </c>
      <c r="K21" s="105" t="e">
        <f>#REF!-'IS 3Q2022'!K21</f>
        <v>#REF!</v>
      </c>
      <c r="L21" s="105" t="e">
        <f>#REF!-'IS 3Q2022'!L21</f>
        <v>#REF!</v>
      </c>
      <c r="M21" s="170" t="e">
        <f>#REF!-'IS 3Q2022'!M21</f>
        <v>#REF!</v>
      </c>
      <c r="N21" s="105" t="e">
        <f>#REF!-'IS 3Q2022'!N21</f>
        <v>#REF!</v>
      </c>
      <c r="O21" s="105" t="e">
        <f>#REF!-'IS 3Q2022'!O21</f>
        <v>#REF!</v>
      </c>
      <c r="P21" s="105" t="e">
        <f>#REF!-'IS 3Q2022'!P21</f>
        <v>#REF!</v>
      </c>
      <c r="Q21" s="105" t="e">
        <f>#REF!-'IS 3Q2022'!Q21</f>
        <v>#REF!</v>
      </c>
      <c r="R21" s="170" t="e">
        <f>#REF!-'IS 3Q2022'!R21</f>
        <v>#REF!</v>
      </c>
      <c r="S21" s="105" t="e">
        <f>#REF!-'IS 3Q2022'!S21</f>
        <v>#REF!</v>
      </c>
      <c r="T21" s="105" t="e">
        <f>#REF!-'IS 3Q2022'!T21</f>
        <v>#REF!</v>
      </c>
      <c r="U21" s="105" t="e">
        <f>#REF!-'IS 3Q2022'!U21</f>
        <v>#REF!</v>
      </c>
      <c r="V21" s="105" t="e">
        <f>#REF!-'IS 3Q2022'!V21</f>
        <v>#REF!</v>
      </c>
      <c r="W21" s="170" t="e">
        <f>#REF!-'IS 3Q2022'!W21</f>
        <v>#REF!</v>
      </c>
      <c r="X21" s="105" t="e">
        <f>#REF!-'IS 3Q2022'!X21</f>
        <v>#REF!</v>
      </c>
      <c r="Y21" s="105" t="e">
        <f>#REF!-'IS 3Q2022'!Y21</f>
        <v>#REF!</v>
      </c>
      <c r="Z21" s="105" t="e">
        <f>#REF!-'IS 3Q2022'!Z21</f>
        <v>#REF!</v>
      </c>
      <c r="AA21" s="105" t="e">
        <f>#REF!-'IS 3Q2022'!AA21</f>
        <v>#REF!</v>
      </c>
      <c r="AB21" s="170" t="e">
        <f>#REF!-'IS 3Q2022'!AB21</f>
        <v>#REF!</v>
      </c>
      <c r="AC21" s="105" t="e">
        <f>#REF!-'IS 3Q2022'!AC21</f>
        <v>#REF!</v>
      </c>
      <c r="AD21" s="105" t="e">
        <f>#REF!-'IS 3Q2022'!AD21</f>
        <v>#REF!</v>
      </c>
      <c r="AE21" s="105" t="e">
        <f>#REF!-'IS 3Q2022'!AE21</f>
        <v>#REF!</v>
      </c>
      <c r="AF21" s="105" t="e">
        <f>#REF!-'IS 3Q2022'!AF21</f>
        <v>#REF!</v>
      </c>
      <c r="AG21" s="170" t="e">
        <f>#REF!-'IS 3Q2022'!AG21</f>
        <v>#REF!</v>
      </c>
      <c r="AH21" s="105" t="e">
        <f>#REF!-'IS 3Q2022'!AH21</f>
        <v>#REF!</v>
      </c>
      <c r="AI21" s="105" t="e">
        <f>#REF!-'IS 3Q2022'!AI21</f>
        <v>#REF!</v>
      </c>
      <c r="AJ21" s="105" t="e">
        <f>#REF!-'IS 3Q2022'!AJ21</f>
        <v>#REF!</v>
      </c>
      <c r="AK21" s="105" t="e">
        <f>#REF!-'IS 3Q2022'!AK21</f>
        <v>#REF!</v>
      </c>
      <c r="AL21" s="170" t="e">
        <f>#REF!-'IS 3Q2022'!AL21</f>
        <v>#REF!</v>
      </c>
      <c r="AM21" s="105" t="e">
        <f>#REF!-'IS 3Q2022'!AM21</f>
        <v>#REF!</v>
      </c>
      <c r="AN21" s="105" t="e">
        <f>#REF!-'IS 3Q2022'!AN21</f>
        <v>#REF!</v>
      </c>
      <c r="AO21" s="105" t="e">
        <f>#REF!-'IS 3Q2022'!AO21</f>
        <v>#REF!</v>
      </c>
      <c r="AP21" s="105" t="e">
        <f>#REF!-'IS 3Q2022'!AP21</f>
        <v>#REF!</v>
      </c>
      <c r="AQ21" s="170" t="e">
        <f>#REF!-'IS 3Q2022'!AQ21</f>
        <v>#REF!</v>
      </c>
      <c r="AR21" s="105" t="e">
        <f>#REF!-'IS 3Q2022'!AR21</f>
        <v>#REF!</v>
      </c>
      <c r="AS21" s="105" t="e">
        <f>#REF!-'IS 3Q2022'!AS21</f>
        <v>#REF!</v>
      </c>
      <c r="AT21" s="105" t="e">
        <f>#REF!-'IS 3Q2022'!AT21</f>
        <v>#REF!</v>
      </c>
      <c r="AU21" s="105" t="e">
        <f>#REF!-'IS 3Q2022'!AU21</f>
        <v>#REF!</v>
      </c>
      <c r="AV21" s="170" t="e">
        <f>#REF!-'IS 3Q2022'!AV21</f>
        <v>#REF!</v>
      </c>
    </row>
    <row r="22" spans="1:48" ht="16.2" x14ac:dyDescent="0.45">
      <c r="B22" s="38" t="s">
        <v>38</v>
      </c>
      <c r="C22" s="356"/>
      <c r="D22" s="104" t="e">
        <f>#REF!-'IS 3Q2022'!D22</f>
        <v>#REF!</v>
      </c>
      <c r="E22" s="104" t="e">
        <f>#REF!-'IS 3Q2022'!E22</f>
        <v>#REF!</v>
      </c>
      <c r="F22" s="104" t="e">
        <f>#REF!-'IS 3Q2022'!F22</f>
        <v>#REF!</v>
      </c>
      <c r="G22" s="104" t="e">
        <f>#REF!-'IS 3Q2022'!G22</f>
        <v>#REF!</v>
      </c>
      <c r="H22" s="173" t="e">
        <f>#REF!-'IS 3Q2022'!H22</f>
        <v>#REF!</v>
      </c>
      <c r="I22" s="104" t="e">
        <f>#REF!-'IS 3Q2022'!I22</f>
        <v>#REF!</v>
      </c>
      <c r="J22" s="104" t="e">
        <f>#REF!-'IS 3Q2022'!J22</f>
        <v>#REF!</v>
      </c>
      <c r="K22" s="104" t="e">
        <f>#REF!-'IS 3Q2022'!K22</f>
        <v>#REF!</v>
      </c>
      <c r="L22" s="104" t="e">
        <f>#REF!-'IS 3Q2022'!L22</f>
        <v>#REF!</v>
      </c>
      <c r="M22" s="173" t="e">
        <f>#REF!-'IS 3Q2022'!M22</f>
        <v>#REF!</v>
      </c>
      <c r="N22" s="104" t="e">
        <f>#REF!-'IS 3Q2022'!N22</f>
        <v>#REF!</v>
      </c>
      <c r="O22" s="104" t="e">
        <f>#REF!-'IS 3Q2022'!O22</f>
        <v>#REF!</v>
      </c>
      <c r="P22" s="104" t="e">
        <f>#REF!-'IS 3Q2022'!P22</f>
        <v>#REF!</v>
      </c>
      <c r="Q22" s="104" t="e">
        <f>#REF!-'IS 3Q2022'!Q22</f>
        <v>#REF!</v>
      </c>
      <c r="R22" s="173" t="e">
        <f>#REF!-'IS 3Q2022'!R22</f>
        <v>#REF!</v>
      </c>
      <c r="S22" s="104" t="e">
        <f>#REF!-'IS 3Q2022'!S22</f>
        <v>#REF!</v>
      </c>
      <c r="T22" s="104" t="e">
        <f>#REF!-'IS 3Q2022'!T22</f>
        <v>#REF!</v>
      </c>
      <c r="U22" s="104" t="e">
        <f>#REF!-'IS 3Q2022'!U22</f>
        <v>#REF!</v>
      </c>
      <c r="V22" s="104" t="e">
        <f>#REF!-'IS 3Q2022'!V22</f>
        <v>#REF!</v>
      </c>
      <c r="W22" s="173" t="e">
        <f>#REF!-'IS 3Q2022'!W22</f>
        <v>#REF!</v>
      </c>
      <c r="X22" s="104" t="e">
        <f>#REF!-'IS 3Q2022'!X22</f>
        <v>#REF!</v>
      </c>
      <c r="Y22" s="104" t="e">
        <f>#REF!-'IS 3Q2022'!Y22</f>
        <v>#REF!</v>
      </c>
      <c r="Z22" s="104" t="e">
        <f>#REF!-'IS 3Q2022'!Z22</f>
        <v>#REF!</v>
      </c>
      <c r="AA22" s="104" t="e">
        <f>#REF!-'IS 3Q2022'!AA22</f>
        <v>#REF!</v>
      </c>
      <c r="AB22" s="173" t="e">
        <f>#REF!-'IS 3Q2022'!AB22</f>
        <v>#REF!</v>
      </c>
      <c r="AC22" s="104" t="e">
        <f>#REF!-'IS 3Q2022'!AC22</f>
        <v>#REF!</v>
      </c>
      <c r="AD22" s="104" t="e">
        <f>#REF!-'IS 3Q2022'!AD22</f>
        <v>#REF!</v>
      </c>
      <c r="AE22" s="104" t="e">
        <f>#REF!-'IS 3Q2022'!AE22</f>
        <v>#REF!</v>
      </c>
      <c r="AF22" s="104" t="e">
        <f>#REF!-'IS 3Q2022'!AF22</f>
        <v>#REF!</v>
      </c>
      <c r="AG22" s="173" t="e">
        <f>#REF!-'IS 3Q2022'!AG22</f>
        <v>#REF!</v>
      </c>
      <c r="AH22" s="104" t="e">
        <f>#REF!-'IS 3Q2022'!AH22</f>
        <v>#REF!</v>
      </c>
      <c r="AI22" s="104" t="e">
        <f>#REF!-'IS 3Q2022'!AI22</f>
        <v>#REF!</v>
      </c>
      <c r="AJ22" s="104" t="e">
        <f>#REF!-'IS 3Q2022'!AJ22</f>
        <v>#REF!</v>
      </c>
      <c r="AK22" s="104" t="e">
        <f>#REF!-'IS 3Q2022'!AK22</f>
        <v>#REF!</v>
      </c>
      <c r="AL22" s="173" t="e">
        <f>#REF!-'IS 3Q2022'!AL22</f>
        <v>#REF!</v>
      </c>
      <c r="AM22" s="104" t="e">
        <f>#REF!-'IS 3Q2022'!AM22</f>
        <v>#REF!</v>
      </c>
      <c r="AN22" s="104" t="e">
        <f>#REF!-'IS 3Q2022'!AN22</f>
        <v>#REF!</v>
      </c>
      <c r="AO22" s="104" t="e">
        <f>#REF!-'IS 3Q2022'!AO22</f>
        <v>#REF!</v>
      </c>
      <c r="AP22" s="104" t="e">
        <f>#REF!-'IS 3Q2022'!AP22</f>
        <v>#REF!</v>
      </c>
      <c r="AQ22" s="173" t="e">
        <f>#REF!-'IS 3Q2022'!AQ22</f>
        <v>#REF!</v>
      </c>
      <c r="AR22" s="104" t="e">
        <f>#REF!-'IS 3Q2022'!AR22</f>
        <v>#REF!</v>
      </c>
      <c r="AS22" s="104" t="e">
        <f>#REF!-'IS 3Q2022'!AS22</f>
        <v>#REF!</v>
      </c>
      <c r="AT22" s="104" t="e">
        <f>#REF!-'IS 3Q2022'!AT22</f>
        <v>#REF!</v>
      </c>
      <c r="AU22" s="104" t="e">
        <f>#REF!-'IS 3Q2022'!AU22</f>
        <v>#REF!</v>
      </c>
      <c r="AV22" s="173" t="e">
        <f>#REF!-'IS 3Q2022'!AV22</f>
        <v>#REF!</v>
      </c>
    </row>
    <row r="23" spans="1:48" x14ac:dyDescent="0.3">
      <c r="B23" s="593" t="s">
        <v>11</v>
      </c>
      <c r="C23" s="594"/>
      <c r="D23" s="103" t="e">
        <f>#REF!-'IS 3Q2022'!D23</f>
        <v>#REF!</v>
      </c>
      <c r="E23" s="103" t="e">
        <f>#REF!-'IS 3Q2022'!E23</f>
        <v>#REF!</v>
      </c>
      <c r="F23" s="103" t="e">
        <f>#REF!-'IS 3Q2022'!F23</f>
        <v>#REF!</v>
      </c>
      <c r="G23" s="103" t="e">
        <f>#REF!-'IS 3Q2022'!G23</f>
        <v>#REF!</v>
      </c>
      <c r="H23" s="171" t="e">
        <f>#REF!-'IS 3Q2022'!H23</f>
        <v>#REF!</v>
      </c>
      <c r="I23" s="103" t="e">
        <f>#REF!-'IS 3Q2022'!I23</f>
        <v>#REF!</v>
      </c>
      <c r="J23" s="103" t="e">
        <f>#REF!-'IS 3Q2022'!J23</f>
        <v>#REF!</v>
      </c>
      <c r="K23" s="103" t="e">
        <f>#REF!-'IS 3Q2022'!K23</f>
        <v>#REF!</v>
      </c>
      <c r="L23" s="50" t="e">
        <f>#REF!-'IS 3Q2022'!L23</f>
        <v>#REF!</v>
      </c>
      <c r="M23" s="51" t="e">
        <f>#REF!-'IS 3Q2022'!M23</f>
        <v>#REF!</v>
      </c>
      <c r="N23" s="50" t="e">
        <f>#REF!-'IS 3Q2022'!N23</f>
        <v>#REF!</v>
      </c>
      <c r="O23" s="103" t="e">
        <f>#REF!-'IS 3Q2022'!O23</f>
        <v>#REF!</v>
      </c>
      <c r="P23" s="103" t="e">
        <f>#REF!-'IS 3Q2022'!P23</f>
        <v>#REF!</v>
      </c>
      <c r="Q23" s="103" t="e">
        <f>#REF!-'IS 3Q2022'!Q23</f>
        <v>#REF!</v>
      </c>
      <c r="R23" s="171" t="e">
        <f>#REF!-'IS 3Q2022'!R23</f>
        <v>#REF!</v>
      </c>
      <c r="S23" s="50" t="e">
        <f>#REF!-'IS 3Q2022'!S23</f>
        <v>#REF!</v>
      </c>
      <c r="T23" s="50" t="e">
        <f>#REF!-'IS 3Q2022'!T23</f>
        <v>#REF!</v>
      </c>
      <c r="U23" s="50" t="e">
        <f>#REF!-'IS 3Q2022'!U23</f>
        <v>#REF!</v>
      </c>
      <c r="V23" s="50" t="e">
        <f>#REF!-'IS 3Q2022'!V23</f>
        <v>#REF!</v>
      </c>
      <c r="W23" s="171" t="e">
        <f>#REF!-'IS 3Q2022'!W23</f>
        <v>#REF!</v>
      </c>
      <c r="X23" s="50" t="e">
        <f>#REF!-'IS 3Q2022'!X23</f>
        <v>#REF!</v>
      </c>
      <c r="Y23" s="50" t="e">
        <f>#REF!-'IS 3Q2022'!Y23</f>
        <v>#REF!</v>
      </c>
      <c r="Z23" s="50" t="e">
        <f>#REF!-'IS 3Q2022'!Z23</f>
        <v>#REF!</v>
      </c>
      <c r="AA23" s="50" t="e">
        <f>#REF!-'IS 3Q2022'!AA23</f>
        <v>#REF!</v>
      </c>
      <c r="AB23" s="51" t="e">
        <f>#REF!-'IS 3Q2022'!AB23</f>
        <v>#REF!</v>
      </c>
      <c r="AC23" s="50" t="e">
        <f>#REF!-'IS 3Q2022'!AC23</f>
        <v>#REF!</v>
      </c>
      <c r="AD23" s="50" t="e">
        <f>#REF!-'IS 3Q2022'!AD23</f>
        <v>#REF!</v>
      </c>
      <c r="AE23" s="50" t="e">
        <f>#REF!-'IS 3Q2022'!AE23</f>
        <v>#REF!</v>
      </c>
      <c r="AF23" s="50" t="e">
        <f>#REF!-'IS 3Q2022'!AF23</f>
        <v>#REF!</v>
      </c>
      <c r="AG23" s="51" t="e">
        <f>#REF!-'IS 3Q2022'!AG23</f>
        <v>#REF!</v>
      </c>
      <c r="AH23" s="50" t="e">
        <f>#REF!-'IS 3Q2022'!AH23</f>
        <v>#REF!</v>
      </c>
      <c r="AI23" s="50" t="e">
        <f>#REF!-'IS 3Q2022'!AI23</f>
        <v>#REF!</v>
      </c>
      <c r="AJ23" s="50" t="e">
        <f>#REF!-'IS 3Q2022'!AJ23</f>
        <v>#REF!</v>
      </c>
      <c r="AK23" s="50" t="e">
        <f>#REF!-'IS 3Q2022'!AK23</f>
        <v>#REF!</v>
      </c>
      <c r="AL23" s="51" t="e">
        <f>#REF!-'IS 3Q2022'!AL23</f>
        <v>#REF!</v>
      </c>
      <c r="AM23" s="50" t="e">
        <f>#REF!-'IS 3Q2022'!AM23</f>
        <v>#REF!</v>
      </c>
      <c r="AN23" s="50" t="e">
        <f>#REF!-'IS 3Q2022'!AN23</f>
        <v>#REF!</v>
      </c>
      <c r="AO23" s="50" t="e">
        <f>#REF!-'IS 3Q2022'!AO23</f>
        <v>#REF!</v>
      </c>
      <c r="AP23" s="50" t="e">
        <f>#REF!-'IS 3Q2022'!AP23</f>
        <v>#REF!</v>
      </c>
      <c r="AQ23" s="51" t="e">
        <f>#REF!-'IS 3Q2022'!AQ23</f>
        <v>#REF!</v>
      </c>
      <c r="AR23" s="50" t="e">
        <f>#REF!-'IS 3Q2022'!AR23</f>
        <v>#REF!</v>
      </c>
      <c r="AS23" s="50" t="e">
        <f>#REF!-'IS 3Q2022'!AS23</f>
        <v>#REF!</v>
      </c>
      <c r="AT23" s="50" t="e">
        <f>#REF!-'IS 3Q2022'!AT23</f>
        <v>#REF!</v>
      </c>
      <c r="AU23" s="50" t="e">
        <f>#REF!-'IS 3Q2022'!AU23</f>
        <v>#REF!</v>
      </c>
      <c r="AV23" s="51" t="e">
        <f>#REF!-'IS 3Q2022'!AV23</f>
        <v>#REF!</v>
      </c>
    </row>
    <row r="24" spans="1:48" ht="16.2" x14ac:dyDescent="0.45">
      <c r="B24" s="595" t="s">
        <v>5</v>
      </c>
      <c r="C24" s="596"/>
      <c r="D24" s="104" t="e">
        <f>#REF!-'IS 3Q2022'!D24</f>
        <v>#REF!</v>
      </c>
      <c r="E24" s="104" t="e">
        <f>#REF!-'IS 3Q2022'!E24</f>
        <v>#REF!</v>
      </c>
      <c r="F24" s="104" t="e">
        <f>#REF!-'IS 3Q2022'!F24</f>
        <v>#REF!</v>
      </c>
      <c r="G24" s="104" t="e">
        <f>#REF!-'IS 3Q2022'!G24</f>
        <v>#REF!</v>
      </c>
      <c r="H24" s="173" t="e">
        <f>#REF!-'IS 3Q2022'!H24</f>
        <v>#REF!</v>
      </c>
      <c r="I24" s="104" t="e">
        <f>#REF!-'IS 3Q2022'!I24</f>
        <v>#REF!</v>
      </c>
      <c r="J24" s="104" t="e">
        <f>#REF!-'IS 3Q2022'!J24</f>
        <v>#REF!</v>
      </c>
      <c r="K24" s="104" t="e">
        <f>#REF!-'IS 3Q2022'!K24</f>
        <v>#REF!</v>
      </c>
      <c r="L24" s="52" t="e">
        <f>#REF!-'IS 3Q2022'!L24</f>
        <v>#REF!</v>
      </c>
      <c r="M24" s="53" t="e">
        <f>#REF!-'IS 3Q2022'!M24</f>
        <v>#REF!</v>
      </c>
      <c r="N24" s="52" t="e">
        <f>#REF!-'IS 3Q2022'!N24</f>
        <v>#REF!</v>
      </c>
      <c r="O24" s="104" t="e">
        <f>#REF!-'IS 3Q2022'!O24</f>
        <v>#REF!</v>
      </c>
      <c r="P24" s="104" t="e">
        <f>#REF!-'IS 3Q2022'!P24</f>
        <v>#REF!</v>
      </c>
      <c r="Q24" s="104" t="e">
        <f>#REF!-'IS 3Q2022'!Q24</f>
        <v>#REF!</v>
      </c>
      <c r="R24" s="173" t="e">
        <f>#REF!-'IS 3Q2022'!R24</f>
        <v>#REF!</v>
      </c>
      <c r="S24" s="52" t="e">
        <f>#REF!-'IS 3Q2022'!S24</f>
        <v>#REF!</v>
      </c>
      <c r="T24" s="52" t="e">
        <f>#REF!-'IS 3Q2022'!T24</f>
        <v>#REF!</v>
      </c>
      <c r="U24" s="52" t="e">
        <f>#REF!-'IS 3Q2022'!U24</f>
        <v>#REF!</v>
      </c>
      <c r="V24" s="52" t="e">
        <f>#REF!-'IS 3Q2022'!V24</f>
        <v>#REF!</v>
      </c>
      <c r="W24" s="173" t="e">
        <f>#REF!-'IS 3Q2022'!W24</f>
        <v>#REF!</v>
      </c>
      <c r="X24" s="52" t="e">
        <f>#REF!-'IS 3Q2022'!X24</f>
        <v>#REF!</v>
      </c>
      <c r="Y24" s="52" t="e">
        <f>#REF!-'IS 3Q2022'!Y24</f>
        <v>#REF!</v>
      </c>
      <c r="Z24" s="52" t="e">
        <f>#REF!-'IS 3Q2022'!Z24</f>
        <v>#REF!</v>
      </c>
      <c r="AA24" s="52" t="e">
        <f>#REF!-'IS 3Q2022'!AA24</f>
        <v>#REF!</v>
      </c>
      <c r="AB24" s="53" t="e">
        <f>#REF!-'IS 3Q2022'!AB24</f>
        <v>#REF!</v>
      </c>
      <c r="AC24" s="52" t="e">
        <f>#REF!-'IS 3Q2022'!AC24</f>
        <v>#REF!</v>
      </c>
      <c r="AD24" s="52" t="e">
        <f>#REF!-'IS 3Q2022'!AD24</f>
        <v>#REF!</v>
      </c>
      <c r="AE24" s="52" t="e">
        <f>#REF!-'IS 3Q2022'!AE24</f>
        <v>#REF!</v>
      </c>
      <c r="AF24" s="52" t="e">
        <f>#REF!-'IS 3Q2022'!AF24</f>
        <v>#REF!</v>
      </c>
      <c r="AG24" s="53" t="e">
        <f>#REF!-'IS 3Q2022'!AG24</f>
        <v>#REF!</v>
      </c>
      <c r="AH24" s="52" t="e">
        <f>#REF!-'IS 3Q2022'!AH24</f>
        <v>#REF!</v>
      </c>
      <c r="AI24" s="52" t="e">
        <f>#REF!-'IS 3Q2022'!AI24</f>
        <v>#REF!</v>
      </c>
      <c r="AJ24" s="52" t="e">
        <f>#REF!-'IS 3Q2022'!AJ24</f>
        <v>#REF!</v>
      </c>
      <c r="AK24" s="52" t="e">
        <f>#REF!-'IS 3Q2022'!AK24</f>
        <v>#REF!</v>
      </c>
      <c r="AL24" s="53" t="e">
        <f>#REF!-'IS 3Q2022'!AL24</f>
        <v>#REF!</v>
      </c>
      <c r="AM24" s="52" t="e">
        <f>#REF!-'IS 3Q2022'!AM24</f>
        <v>#REF!</v>
      </c>
      <c r="AN24" s="52" t="e">
        <f>#REF!-'IS 3Q2022'!AN24</f>
        <v>#REF!</v>
      </c>
      <c r="AO24" s="52" t="e">
        <f>#REF!-'IS 3Q2022'!AO24</f>
        <v>#REF!</v>
      </c>
      <c r="AP24" s="52" t="e">
        <f>#REF!-'IS 3Q2022'!AP24</f>
        <v>#REF!</v>
      </c>
      <c r="AQ24" s="53" t="e">
        <f>#REF!-'IS 3Q2022'!AQ24</f>
        <v>#REF!</v>
      </c>
      <c r="AR24" s="52" t="e">
        <f>#REF!-'IS 3Q2022'!AR24</f>
        <v>#REF!</v>
      </c>
      <c r="AS24" s="52" t="e">
        <f>#REF!-'IS 3Q2022'!AS24</f>
        <v>#REF!</v>
      </c>
      <c r="AT24" s="52" t="e">
        <f>#REF!-'IS 3Q2022'!AT24</f>
        <v>#REF!</v>
      </c>
      <c r="AU24" s="52" t="e">
        <f>#REF!-'IS 3Q2022'!AU24</f>
        <v>#REF!</v>
      </c>
      <c r="AV24" s="53" t="e">
        <f>#REF!-'IS 3Q2022'!AV24</f>
        <v>#REF!</v>
      </c>
    </row>
    <row r="25" spans="1:48" x14ac:dyDescent="0.3">
      <c r="A25" s="23"/>
      <c r="B25" s="593" t="s">
        <v>39</v>
      </c>
      <c r="C25" s="594"/>
      <c r="D25" s="103" t="e">
        <f>#REF!-'IS 3Q2022'!D25</f>
        <v>#REF!</v>
      </c>
      <c r="E25" s="103" t="e">
        <f>#REF!-'IS 3Q2022'!E25</f>
        <v>#REF!</v>
      </c>
      <c r="F25" s="103" t="e">
        <f>#REF!-'IS 3Q2022'!F25</f>
        <v>#REF!</v>
      </c>
      <c r="G25" s="103" t="e">
        <f>#REF!-'IS 3Q2022'!G25</f>
        <v>#REF!</v>
      </c>
      <c r="H25" s="171" t="e">
        <f>#REF!-'IS 3Q2022'!H25</f>
        <v>#REF!</v>
      </c>
      <c r="I25" s="103" t="e">
        <f>#REF!-'IS 3Q2022'!I25</f>
        <v>#REF!</v>
      </c>
      <c r="J25" s="103" t="e">
        <f>#REF!-'IS 3Q2022'!J25</f>
        <v>#REF!</v>
      </c>
      <c r="K25" s="103" t="e">
        <f>#REF!-'IS 3Q2022'!K25</f>
        <v>#REF!</v>
      </c>
      <c r="L25" s="50" t="e">
        <f>#REF!-'IS 3Q2022'!L25</f>
        <v>#REF!</v>
      </c>
      <c r="M25" s="51" t="e">
        <f>#REF!-'IS 3Q2022'!M25</f>
        <v>#REF!</v>
      </c>
      <c r="N25" s="50" t="e">
        <f>#REF!-'IS 3Q2022'!N25</f>
        <v>#REF!</v>
      </c>
      <c r="O25" s="103" t="e">
        <f>#REF!-'IS 3Q2022'!O25</f>
        <v>#REF!</v>
      </c>
      <c r="P25" s="103" t="e">
        <f>#REF!-'IS 3Q2022'!P25</f>
        <v>#REF!</v>
      </c>
      <c r="Q25" s="103" t="e">
        <f>#REF!-'IS 3Q2022'!Q25</f>
        <v>#REF!</v>
      </c>
      <c r="R25" s="171" t="e">
        <f>#REF!-'IS 3Q2022'!R25</f>
        <v>#REF!</v>
      </c>
      <c r="S25" s="50" t="e">
        <f>#REF!-'IS 3Q2022'!S25</f>
        <v>#REF!</v>
      </c>
      <c r="T25" s="50" t="e">
        <f>#REF!-'IS 3Q2022'!T25</f>
        <v>#REF!</v>
      </c>
      <c r="U25" s="50" t="e">
        <f>#REF!-'IS 3Q2022'!U25</f>
        <v>#REF!</v>
      </c>
      <c r="V25" s="50" t="e">
        <f>#REF!-'IS 3Q2022'!V25</f>
        <v>#REF!</v>
      </c>
      <c r="W25" s="171" t="e">
        <f>#REF!-'IS 3Q2022'!W25</f>
        <v>#REF!</v>
      </c>
      <c r="X25" s="50" t="e">
        <f>#REF!-'IS 3Q2022'!X25</f>
        <v>#REF!</v>
      </c>
      <c r="Y25" s="50" t="e">
        <f>#REF!-'IS 3Q2022'!Y25</f>
        <v>#REF!</v>
      </c>
      <c r="Z25" s="50" t="e">
        <f>#REF!-'IS 3Q2022'!Z25</f>
        <v>#REF!</v>
      </c>
      <c r="AA25" s="50" t="e">
        <f>#REF!-'IS 3Q2022'!AA25</f>
        <v>#REF!</v>
      </c>
      <c r="AB25" s="51" t="e">
        <f>#REF!-'IS 3Q2022'!AB25</f>
        <v>#REF!</v>
      </c>
      <c r="AC25" s="50" t="e">
        <f>#REF!-'IS 3Q2022'!AC25</f>
        <v>#REF!</v>
      </c>
      <c r="AD25" s="50" t="e">
        <f>#REF!-'IS 3Q2022'!AD25</f>
        <v>#REF!</v>
      </c>
      <c r="AE25" s="50" t="e">
        <f>#REF!-'IS 3Q2022'!AE25</f>
        <v>#REF!</v>
      </c>
      <c r="AF25" s="103" t="e">
        <f>#REF!-'IS 3Q2022'!AF25</f>
        <v>#REF!</v>
      </c>
      <c r="AG25" s="171" t="e">
        <f>#REF!-'IS 3Q2022'!AG25</f>
        <v>#REF!</v>
      </c>
      <c r="AH25" s="103" t="e">
        <f>#REF!-'IS 3Q2022'!AH25</f>
        <v>#REF!</v>
      </c>
      <c r="AI25" s="103" t="e">
        <f>#REF!-'IS 3Q2022'!AI25</f>
        <v>#REF!</v>
      </c>
      <c r="AJ25" s="103" t="e">
        <f>#REF!-'IS 3Q2022'!AJ25</f>
        <v>#REF!</v>
      </c>
      <c r="AK25" s="103" t="e">
        <f>#REF!-'IS 3Q2022'!AK25</f>
        <v>#REF!</v>
      </c>
      <c r="AL25" s="51" t="e">
        <f>#REF!-'IS 3Q2022'!AL25</f>
        <v>#REF!</v>
      </c>
      <c r="AM25" s="103" t="e">
        <f>#REF!-'IS 3Q2022'!AM25</f>
        <v>#REF!</v>
      </c>
      <c r="AN25" s="103" t="e">
        <f>#REF!-'IS 3Q2022'!AN25</f>
        <v>#REF!</v>
      </c>
      <c r="AO25" s="103" t="e">
        <f>#REF!-'IS 3Q2022'!AO25</f>
        <v>#REF!</v>
      </c>
      <c r="AP25" s="103" t="e">
        <f>#REF!-'IS 3Q2022'!AP25</f>
        <v>#REF!</v>
      </c>
      <c r="AQ25" s="51" t="e">
        <f>#REF!-'IS 3Q2022'!AQ25</f>
        <v>#REF!</v>
      </c>
      <c r="AR25" s="103" t="e">
        <f>#REF!-'IS 3Q2022'!AR25</f>
        <v>#REF!</v>
      </c>
      <c r="AS25" s="103" t="e">
        <f>#REF!-'IS 3Q2022'!AS25</f>
        <v>#REF!</v>
      </c>
      <c r="AT25" s="103" t="e">
        <f>#REF!-'IS 3Q2022'!AT25</f>
        <v>#REF!</v>
      </c>
      <c r="AU25" s="103" t="e">
        <f>#REF!-'IS 3Q2022'!AU25</f>
        <v>#REF!</v>
      </c>
      <c r="AV25" s="51" t="e">
        <f>#REF!-'IS 3Q2022'!AV25</f>
        <v>#REF!</v>
      </c>
    </row>
    <row r="26" spans="1:48" ht="16.2" x14ac:dyDescent="0.45">
      <c r="A26" s="23"/>
      <c r="B26" s="210" t="s">
        <v>40</v>
      </c>
      <c r="C26" s="201"/>
      <c r="D26" s="104" t="e">
        <f>#REF!-'IS 3Q2022'!D26</f>
        <v>#REF!</v>
      </c>
      <c r="E26" s="104" t="e">
        <f>#REF!-'IS 3Q2022'!E26</f>
        <v>#REF!</v>
      </c>
      <c r="F26" s="104" t="e">
        <f>#REF!-'IS 3Q2022'!F26</f>
        <v>#REF!</v>
      </c>
      <c r="G26" s="104" t="e">
        <f>#REF!-'IS 3Q2022'!G26</f>
        <v>#REF!</v>
      </c>
      <c r="H26" s="173" t="e">
        <f>#REF!-'IS 3Q2022'!H26</f>
        <v>#REF!</v>
      </c>
      <c r="I26" s="104" t="e">
        <f>#REF!-'IS 3Q2022'!I26</f>
        <v>#REF!</v>
      </c>
      <c r="J26" s="104" t="e">
        <f>#REF!-'IS 3Q2022'!J26</f>
        <v>#REF!</v>
      </c>
      <c r="K26" s="104" t="e">
        <f>#REF!-'IS 3Q2022'!K26</f>
        <v>#REF!</v>
      </c>
      <c r="L26" s="104" t="e">
        <f>#REF!-'IS 3Q2022'!L26</f>
        <v>#REF!</v>
      </c>
      <c r="M26" s="173" t="e">
        <f>#REF!-'IS 3Q2022'!M26</f>
        <v>#REF!</v>
      </c>
      <c r="N26" s="104" t="e">
        <f>#REF!-'IS 3Q2022'!N26</f>
        <v>#REF!</v>
      </c>
      <c r="O26" s="104" t="e">
        <f>#REF!-'IS 3Q2022'!O26</f>
        <v>#REF!</v>
      </c>
      <c r="P26" s="104" t="e">
        <f>#REF!-'IS 3Q2022'!P26</f>
        <v>#REF!</v>
      </c>
      <c r="Q26" s="104" t="e">
        <f>#REF!-'IS 3Q2022'!Q26</f>
        <v>#REF!</v>
      </c>
      <c r="R26" s="173" t="e">
        <f>#REF!-'IS 3Q2022'!R26</f>
        <v>#REF!</v>
      </c>
      <c r="S26" s="104" t="e">
        <f>#REF!-'IS 3Q2022'!S26</f>
        <v>#REF!</v>
      </c>
      <c r="T26" s="104" t="e">
        <f>#REF!-'IS 3Q2022'!T26</f>
        <v>#REF!</v>
      </c>
      <c r="U26" s="104" t="e">
        <f>#REF!-'IS 3Q2022'!U26</f>
        <v>#REF!</v>
      </c>
      <c r="V26" s="104" t="e">
        <f>#REF!-'IS 3Q2022'!V26</f>
        <v>#REF!</v>
      </c>
      <c r="W26" s="173" t="e">
        <f>#REF!-'IS 3Q2022'!W26</f>
        <v>#REF!</v>
      </c>
      <c r="X26" s="104" t="e">
        <f>#REF!-'IS 3Q2022'!X26</f>
        <v>#REF!</v>
      </c>
      <c r="Y26" s="104" t="e">
        <f>#REF!-'IS 3Q2022'!Y26</f>
        <v>#REF!</v>
      </c>
      <c r="Z26" s="104" t="e">
        <f>#REF!-'IS 3Q2022'!Z26</f>
        <v>#REF!</v>
      </c>
      <c r="AA26" s="104" t="e">
        <f>#REF!-'IS 3Q2022'!AA26</f>
        <v>#REF!</v>
      </c>
      <c r="AB26" s="173" t="e">
        <f>#REF!-'IS 3Q2022'!AB26</f>
        <v>#REF!</v>
      </c>
      <c r="AC26" s="104" t="e">
        <f>#REF!-'IS 3Q2022'!AC26</f>
        <v>#REF!</v>
      </c>
      <c r="AD26" s="104" t="e">
        <f>#REF!-'IS 3Q2022'!AD26</f>
        <v>#REF!</v>
      </c>
      <c r="AE26" s="104" t="e">
        <f>#REF!-'IS 3Q2022'!AE26</f>
        <v>#REF!</v>
      </c>
      <c r="AF26" s="104" t="e">
        <f>#REF!-'IS 3Q2022'!AF26</f>
        <v>#REF!</v>
      </c>
      <c r="AG26" s="173" t="e">
        <f>#REF!-'IS 3Q2022'!AG26</f>
        <v>#REF!</v>
      </c>
      <c r="AH26" s="104" t="e">
        <f>#REF!-'IS 3Q2022'!AH26</f>
        <v>#REF!</v>
      </c>
      <c r="AI26" s="104" t="e">
        <f>#REF!-'IS 3Q2022'!AI26</f>
        <v>#REF!</v>
      </c>
      <c r="AJ26" s="104" t="e">
        <f>#REF!-'IS 3Q2022'!AJ26</f>
        <v>#REF!</v>
      </c>
      <c r="AK26" s="104" t="e">
        <f>#REF!-'IS 3Q2022'!AK26</f>
        <v>#REF!</v>
      </c>
      <c r="AL26" s="53" t="e">
        <f>#REF!-'IS 3Q2022'!AL26</f>
        <v>#REF!</v>
      </c>
      <c r="AM26" s="104" t="e">
        <f>#REF!-'IS 3Q2022'!AM26</f>
        <v>#REF!</v>
      </c>
      <c r="AN26" s="104" t="e">
        <f>#REF!-'IS 3Q2022'!AN26</f>
        <v>#REF!</v>
      </c>
      <c r="AO26" s="104" t="e">
        <f>#REF!-'IS 3Q2022'!AO26</f>
        <v>#REF!</v>
      </c>
      <c r="AP26" s="104" t="e">
        <f>#REF!-'IS 3Q2022'!AP26</f>
        <v>#REF!</v>
      </c>
      <c r="AQ26" s="53" t="e">
        <f>#REF!-'IS 3Q2022'!AQ26</f>
        <v>#REF!</v>
      </c>
      <c r="AR26" s="104" t="e">
        <f>#REF!-'IS 3Q2022'!AR26</f>
        <v>#REF!</v>
      </c>
      <c r="AS26" s="104" t="e">
        <f>#REF!-'IS 3Q2022'!AS26</f>
        <v>#REF!</v>
      </c>
      <c r="AT26" s="104" t="e">
        <f>#REF!-'IS 3Q2022'!AT26</f>
        <v>#REF!</v>
      </c>
      <c r="AU26" s="104" t="e">
        <f>#REF!-'IS 3Q2022'!AU26</f>
        <v>#REF!</v>
      </c>
      <c r="AV26" s="53" t="e">
        <f>#REF!-'IS 3Q2022'!AV26</f>
        <v>#REF!</v>
      </c>
    </row>
    <row r="27" spans="1:48" s="8" customFormat="1" x14ac:dyDescent="0.3">
      <c r="A27" s="20"/>
      <c r="B27" s="209" t="s">
        <v>16</v>
      </c>
      <c r="C27" s="202"/>
      <c r="D27" s="103" t="e">
        <f>#REF!-'IS 3Q2022'!D27</f>
        <v>#REF!</v>
      </c>
      <c r="E27" s="103" t="e">
        <f>#REF!-'IS 3Q2022'!E27</f>
        <v>#REF!</v>
      </c>
      <c r="F27" s="103" t="e">
        <f>#REF!-'IS 3Q2022'!F27</f>
        <v>#REF!</v>
      </c>
      <c r="G27" s="103" t="e">
        <f>#REF!-'IS 3Q2022'!G27</f>
        <v>#REF!</v>
      </c>
      <c r="H27" s="171" t="e">
        <f>#REF!-'IS 3Q2022'!H27</f>
        <v>#REF!</v>
      </c>
      <c r="I27" s="103" t="e">
        <f>#REF!-'IS 3Q2022'!I27</f>
        <v>#REF!</v>
      </c>
      <c r="J27" s="103" t="e">
        <f>#REF!-'IS 3Q2022'!J27</f>
        <v>#REF!</v>
      </c>
      <c r="K27" s="103" t="e">
        <f>#REF!-'IS 3Q2022'!K27</f>
        <v>#REF!</v>
      </c>
      <c r="L27" s="50" t="e">
        <f>#REF!-'IS 3Q2022'!L27</f>
        <v>#REF!</v>
      </c>
      <c r="M27" s="51" t="e">
        <f>#REF!-'IS 3Q2022'!M27</f>
        <v>#REF!</v>
      </c>
      <c r="N27" s="50" t="e">
        <f>#REF!-'IS 3Q2022'!N27</f>
        <v>#REF!</v>
      </c>
      <c r="O27" s="103" t="e">
        <f>#REF!-'IS 3Q2022'!O27</f>
        <v>#REF!</v>
      </c>
      <c r="P27" s="103" t="e">
        <f>#REF!-'IS 3Q2022'!P27</f>
        <v>#REF!</v>
      </c>
      <c r="Q27" s="103" t="e">
        <f>#REF!-'IS 3Q2022'!Q27</f>
        <v>#REF!</v>
      </c>
      <c r="R27" s="171" t="e">
        <f>#REF!-'IS 3Q2022'!R27</f>
        <v>#REF!</v>
      </c>
      <c r="S27" s="50" t="e">
        <f>#REF!-'IS 3Q2022'!S27</f>
        <v>#REF!</v>
      </c>
      <c r="T27" s="50" t="e">
        <f>#REF!-'IS 3Q2022'!T27</f>
        <v>#REF!</v>
      </c>
      <c r="U27" s="50" t="e">
        <f>#REF!-'IS 3Q2022'!U27</f>
        <v>#REF!</v>
      </c>
      <c r="V27" s="50" t="e">
        <f>#REF!-'IS 3Q2022'!V27</f>
        <v>#REF!</v>
      </c>
      <c r="W27" s="171" t="e">
        <f>#REF!-'IS 3Q2022'!W27</f>
        <v>#REF!</v>
      </c>
      <c r="X27" s="50" t="e">
        <f>#REF!-'IS 3Q2022'!X27</f>
        <v>#REF!</v>
      </c>
      <c r="Y27" s="50" t="e">
        <f>#REF!-'IS 3Q2022'!Y27</f>
        <v>#REF!</v>
      </c>
      <c r="Z27" s="50" t="e">
        <f>#REF!-'IS 3Q2022'!Z27</f>
        <v>#REF!</v>
      </c>
      <c r="AA27" s="50" t="e">
        <f>#REF!-'IS 3Q2022'!AA27</f>
        <v>#REF!</v>
      </c>
      <c r="AB27" s="51" t="e">
        <f>#REF!-'IS 3Q2022'!AB27</f>
        <v>#REF!</v>
      </c>
      <c r="AC27" s="50" t="e">
        <f>#REF!-'IS 3Q2022'!AC27</f>
        <v>#REF!</v>
      </c>
      <c r="AD27" s="50" t="e">
        <f>#REF!-'IS 3Q2022'!AD27</f>
        <v>#REF!</v>
      </c>
      <c r="AE27" s="50" t="e">
        <f>#REF!-'IS 3Q2022'!AE27</f>
        <v>#REF!</v>
      </c>
      <c r="AF27" s="50" t="e">
        <f>#REF!-'IS 3Q2022'!AF27</f>
        <v>#REF!</v>
      </c>
      <c r="AG27" s="51" t="e">
        <f>#REF!-'IS 3Q2022'!AG27</f>
        <v>#REF!</v>
      </c>
      <c r="AH27" s="50" t="e">
        <f>#REF!-'IS 3Q2022'!AH27</f>
        <v>#REF!</v>
      </c>
      <c r="AI27" s="50" t="e">
        <f>#REF!-'IS 3Q2022'!AI27</f>
        <v>#REF!</v>
      </c>
      <c r="AJ27" s="50" t="e">
        <f>#REF!-'IS 3Q2022'!AJ27</f>
        <v>#REF!</v>
      </c>
      <c r="AK27" s="50" t="e">
        <f>#REF!-'IS 3Q2022'!AK27</f>
        <v>#REF!</v>
      </c>
      <c r="AL27" s="51" t="e">
        <f>#REF!-'IS 3Q2022'!AL27</f>
        <v>#REF!</v>
      </c>
      <c r="AM27" s="50" t="e">
        <f>#REF!-'IS 3Q2022'!AM27</f>
        <v>#REF!</v>
      </c>
      <c r="AN27" s="50" t="e">
        <f>#REF!-'IS 3Q2022'!AN27</f>
        <v>#REF!</v>
      </c>
      <c r="AO27" s="50" t="e">
        <f>#REF!-'IS 3Q2022'!AO27</f>
        <v>#REF!</v>
      </c>
      <c r="AP27" s="50" t="e">
        <f>#REF!-'IS 3Q2022'!AP27</f>
        <v>#REF!</v>
      </c>
      <c r="AQ27" s="51" t="e">
        <f>#REF!-'IS 3Q2022'!AQ27</f>
        <v>#REF!</v>
      </c>
      <c r="AR27" s="50" t="e">
        <f>#REF!-'IS 3Q2022'!AR27</f>
        <v>#REF!</v>
      </c>
      <c r="AS27" s="50" t="e">
        <f>#REF!-'IS 3Q2022'!AS27</f>
        <v>#REF!</v>
      </c>
      <c r="AT27" s="50" t="e">
        <f>#REF!-'IS 3Q2022'!AT27</f>
        <v>#REF!</v>
      </c>
      <c r="AU27" s="50" t="e">
        <f>#REF!-'IS 3Q2022'!AU27</f>
        <v>#REF!</v>
      </c>
      <c r="AV27" s="51" t="e">
        <f>#REF!-'IS 3Q2022'!AV27</f>
        <v>#REF!</v>
      </c>
    </row>
    <row r="28" spans="1:48" s="8" customFormat="1" ht="16.2" x14ac:dyDescent="0.45">
      <c r="A28" s="20"/>
      <c r="B28" s="87" t="s">
        <v>72</v>
      </c>
      <c r="C28" s="84"/>
      <c r="D28" s="109" t="e">
        <f>#REF!-'IS 3Q2022'!D28</f>
        <v>#REF!</v>
      </c>
      <c r="E28" s="109" t="e">
        <f>#REF!-'IS 3Q2022'!E28</f>
        <v>#REF!</v>
      </c>
      <c r="F28" s="109" t="e">
        <f>#REF!-'IS 3Q2022'!F28</f>
        <v>#REF!</v>
      </c>
      <c r="G28" s="109" t="e">
        <f>#REF!-'IS 3Q2022'!G28</f>
        <v>#REF!</v>
      </c>
      <c r="H28" s="178" t="e">
        <f>#REF!-'IS 3Q2022'!H28</f>
        <v>#REF!</v>
      </c>
      <c r="I28" s="109" t="e">
        <f>#REF!-'IS 3Q2022'!I28</f>
        <v>#REF!</v>
      </c>
      <c r="J28" s="109" t="e">
        <f>#REF!-'IS 3Q2022'!J28</f>
        <v>#REF!</v>
      </c>
      <c r="K28" s="109" t="e">
        <f>#REF!-'IS 3Q2022'!K28</f>
        <v>#REF!</v>
      </c>
      <c r="L28" s="91" t="e">
        <f>#REF!-'IS 3Q2022'!L28</f>
        <v>#REF!</v>
      </c>
      <c r="M28" s="92" t="e">
        <f>#REF!-'IS 3Q2022'!M28</f>
        <v>#REF!</v>
      </c>
      <c r="N28" s="109" t="e">
        <f>#REF!-'IS 3Q2022'!N28</f>
        <v>#REF!</v>
      </c>
      <c r="O28" s="109" t="e">
        <f>#REF!-'IS 3Q2022'!O28</f>
        <v>#REF!</v>
      </c>
      <c r="P28" s="109" t="e">
        <f>#REF!-'IS 3Q2022'!P28</f>
        <v>#REF!</v>
      </c>
      <c r="Q28" s="109" t="e">
        <f>#REF!-'IS 3Q2022'!Q28</f>
        <v>#REF!</v>
      </c>
      <c r="R28" s="178" t="e">
        <f>#REF!-'IS 3Q2022'!R28</f>
        <v>#REF!</v>
      </c>
      <c r="S28" s="91" t="e">
        <f>#REF!-'IS 3Q2022'!S28</f>
        <v>#REF!</v>
      </c>
      <c r="T28" s="91" t="e">
        <f>#REF!-'IS 3Q2022'!T28</f>
        <v>#REF!</v>
      </c>
      <c r="U28" s="91" t="e">
        <f>#REF!-'IS 3Q2022'!U28</f>
        <v>#REF!</v>
      </c>
      <c r="V28" s="91" t="e">
        <f>#REF!-'IS 3Q2022'!V28</f>
        <v>#REF!</v>
      </c>
      <c r="W28" s="178" t="e">
        <f>#REF!-'IS 3Q2022'!W28</f>
        <v>#REF!</v>
      </c>
      <c r="X28" s="91" t="e">
        <f>#REF!-'IS 3Q2022'!X28</f>
        <v>#REF!</v>
      </c>
      <c r="Y28" s="91" t="e">
        <f>#REF!-'IS 3Q2022'!Y28</f>
        <v>#REF!</v>
      </c>
      <c r="Z28" s="91" t="e">
        <f>#REF!-'IS 3Q2022'!Z28</f>
        <v>#REF!</v>
      </c>
      <c r="AA28" s="91" t="e">
        <f>#REF!-'IS 3Q2022'!AA28</f>
        <v>#REF!</v>
      </c>
      <c r="AB28" s="92" t="e">
        <f>#REF!-'IS 3Q2022'!AB28</f>
        <v>#REF!</v>
      </c>
      <c r="AC28" s="91" t="e">
        <f>#REF!-'IS 3Q2022'!AC28</f>
        <v>#REF!</v>
      </c>
      <c r="AD28" s="91" t="e">
        <f>#REF!-'IS 3Q2022'!AD28</f>
        <v>#REF!</v>
      </c>
      <c r="AE28" s="91" t="e">
        <f>#REF!-'IS 3Q2022'!AE28</f>
        <v>#REF!</v>
      </c>
      <c r="AF28" s="91" t="e">
        <f>#REF!-'IS 3Q2022'!AF28</f>
        <v>#REF!</v>
      </c>
      <c r="AG28" s="92" t="e">
        <f>#REF!-'IS 3Q2022'!AG28</f>
        <v>#REF!</v>
      </c>
      <c r="AH28" s="91" t="e">
        <f>#REF!-'IS 3Q2022'!AH28</f>
        <v>#REF!</v>
      </c>
      <c r="AI28" s="91" t="e">
        <f>#REF!-'IS 3Q2022'!AI28</f>
        <v>#REF!</v>
      </c>
      <c r="AJ28" s="91" t="e">
        <f>#REF!-'IS 3Q2022'!AJ28</f>
        <v>#REF!</v>
      </c>
      <c r="AK28" s="91" t="e">
        <f>#REF!-'IS 3Q2022'!AK28</f>
        <v>#REF!</v>
      </c>
      <c r="AL28" s="92" t="e">
        <f>#REF!-'IS 3Q2022'!AL28</f>
        <v>#REF!</v>
      </c>
      <c r="AM28" s="91" t="e">
        <f>#REF!-'IS 3Q2022'!AM28</f>
        <v>#REF!</v>
      </c>
      <c r="AN28" s="91" t="e">
        <f>#REF!-'IS 3Q2022'!AN28</f>
        <v>#REF!</v>
      </c>
      <c r="AO28" s="91" t="e">
        <f>#REF!-'IS 3Q2022'!AO28</f>
        <v>#REF!</v>
      </c>
      <c r="AP28" s="91" t="e">
        <f>#REF!-'IS 3Q2022'!AP28</f>
        <v>#REF!</v>
      </c>
      <c r="AQ28" s="92" t="e">
        <f>#REF!-'IS 3Q2022'!AQ28</f>
        <v>#REF!</v>
      </c>
      <c r="AR28" s="91" t="e">
        <f>#REF!-'IS 3Q2022'!AR28</f>
        <v>#REF!</v>
      </c>
      <c r="AS28" s="91" t="e">
        <f>#REF!-'IS 3Q2022'!AS28</f>
        <v>#REF!</v>
      </c>
      <c r="AT28" s="91" t="e">
        <f>#REF!-'IS 3Q2022'!AT28</f>
        <v>#REF!</v>
      </c>
      <c r="AU28" s="91" t="e">
        <f>#REF!-'IS 3Q2022'!AU28</f>
        <v>#REF!</v>
      </c>
      <c r="AV28" s="92" t="e">
        <f>#REF!-'IS 3Q2022'!AV28</f>
        <v>#REF!</v>
      </c>
    </row>
    <row r="29" spans="1:48" s="8" customFormat="1" x14ac:dyDescent="0.3">
      <c r="A29" s="20"/>
      <c r="B29" s="85" t="s">
        <v>73</v>
      </c>
      <c r="C29" s="86"/>
      <c r="D29" s="108" t="e">
        <f>#REF!-'IS 3Q2022'!D29</f>
        <v>#REF!</v>
      </c>
      <c r="E29" s="108" t="e">
        <f>#REF!-'IS 3Q2022'!E29</f>
        <v>#REF!</v>
      </c>
      <c r="F29" s="108" t="e">
        <f>#REF!-'IS 3Q2022'!F29</f>
        <v>#REF!</v>
      </c>
      <c r="G29" s="108" t="e">
        <f>#REF!-'IS 3Q2022'!G29</f>
        <v>#REF!</v>
      </c>
      <c r="H29" s="177" t="e">
        <f>#REF!-'IS 3Q2022'!H29</f>
        <v>#REF!</v>
      </c>
      <c r="I29" s="108" t="e">
        <f>#REF!-'IS 3Q2022'!I29</f>
        <v>#REF!</v>
      </c>
      <c r="J29" s="108" t="e">
        <f>#REF!-'IS 3Q2022'!J29</f>
        <v>#REF!</v>
      </c>
      <c r="K29" s="108" t="e">
        <f>#REF!-'IS 3Q2022'!K29</f>
        <v>#REF!</v>
      </c>
      <c r="L29" s="80" t="e">
        <f>#REF!-'IS 3Q2022'!L29</f>
        <v>#REF!</v>
      </c>
      <c r="M29" s="81" t="e">
        <f>#REF!-'IS 3Q2022'!M29</f>
        <v>#REF!</v>
      </c>
      <c r="N29" s="108" t="e">
        <f>#REF!-'IS 3Q2022'!N29</f>
        <v>#REF!</v>
      </c>
      <c r="O29" s="108" t="e">
        <f>#REF!-'IS 3Q2022'!O29</f>
        <v>#REF!</v>
      </c>
      <c r="P29" s="108" t="e">
        <f>#REF!-'IS 3Q2022'!P29</f>
        <v>#REF!</v>
      </c>
      <c r="Q29" s="108" t="e">
        <f>#REF!-'IS 3Q2022'!Q29</f>
        <v>#REF!</v>
      </c>
      <c r="R29" s="177" t="e">
        <f>#REF!-'IS 3Q2022'!R29</f>
        <v>#REF!</v>
      </c>
      <c r="S29" s="80" t="e">
        <f>#REF!-'IS 3Q2022'!S29</f>
        <v>#REF!</v>
      </c>
      <c r="T29" s="80" t="e">
        <f>#REF!-'IS 3Q2022'!T29</f>
        <v>#REF!</v>
      </c>
      <c r="U29" s="80" t="e">
        <f>#REF!-'IS 3Q2022'!U29</f>
        <v>#REF!</v>
      </c>
      <c r="V29" s="80" t="e">
        <f>#REF!-'IS 3Q2022'!V29</f>
        <v>#REF!</v>
      </c>
      <c r="W29" s="177" t="e">
        <f>#REF!-'IS 3Q2022'!W29</f>
        <v>#REF!</v>
      </c>
      <c r="X29" s="80" t="e">
        <f>#REF!-'IS 3Q2022'!X29</f>
        <v>#REF!</v>
      </c>
      <c r="Y29" s="80" t="e">
        <f>#REF!-'IS 3Q2022'!Y29</f>
        <v>#REF!</v>
      </c>
      <c r="Z29" s="80" t="e">
        <f>#REF!-'IS 3Q2022'!Z29</f>
        <v>#REF!</v>
      </c>
      <c r="AA29" s="80" t="e">
        <f>#REF!-'IS 3Q2022'!AA29</f>
        <v>#REF!</v>
      </c>
      <c r="AB29" s="81" t="e">
        <f>#REF!-'IS 3Q2022'!AB29</f>
        <v>#REF!</v>
      </c>
      <c r="AC29" s="80" t="e">
        <f>#REF!-'IS 3Q2022'!AC29</f>
        <v>#REF!</v>
      </c>
      <c r="AD29" s="80" t="e">
        <f>#REF!-'IS 3Q2022'!AD29</f>
        <v>#REF!</v>
      </c>
      <c r="AE29" s="80" t="e">
        <f>#REF!-'IS 3Q2022'!AE29</f>
        <v>#REF!</v>
      </c>
      <c r="AF29" s="80" t="e">
        <f>#REF!-'IS 3Q2022'!AF29</f>
        <v>#REF!</v>
      </c>
      <c r="AG29" s="81" t="e">
        <f>#REF!-'IS 3Q2022'!AG29</f>
        <v>#REF!</v>
      </c>
      <c r="AH29" s="80" t="e">
        <f>#REF!-'IS 3Q2022'!AH29</f>
        <v>#REF!</v>
      </c>
      <c r="AI29" s="80" t="e">
        <f>#REF!-'IS 3Q2022'!AI29</f>
        <v>#REF!</v>
      </c>
      <c r="AJ29" s="80" t="e">
        <f>#REF!-'IS 3Q2022'!AJ29</f>
        <v>#REF!</v>
      </c>
      <c r="AK29" s="80" t="e">
        <f>#REF!-'IS 3Q2022'!AK29</f>
        <v>#REF!</v>
      </c>
      <c r="AL29" s="81" t="e">
        <f>#REF!-'IS 3Q2022'!AL29</f>
        <v>#REF!</v>
      </c>
      <c r="AM29" s="80" t="e">
        <f>#REF!-'IS 3Q2022'!AM29</f>
        <v>#REF!</v>
      </c>
      <c r="AN29" s="80" t="e">
        <f>#REF!-'IS 3Q2022'!AN29</f>
        <v>#REF!</v>
      </c>
      <c r="AO29" s="80" t="e">
        <f>#REF!-'IS 3Q2022'!AO29</f>
        <v>#REF!</v>
      </c>
      <c r="AP29" s="80" t="e">
        <f>#REF!-'IS 3Q2022'!AP29</f>
        <v>#REF!</v>
      </c>
      <c r="AQ29" s="81" t="e">
        <f>#REF!-'IS 3Q2022'!AQ29</f>
        <v>#REF!</v>
      </c>
      <c r="AR29" s="80" t="e">
        <f>#REF!-'IS 3Q2022'!AR29</f>
        <v>#REF!</v>
      </c>
      <c r="AS29" s="80" t="e">
        <f>#REF!-'IS 3Q2022'!AS29</f>
        <v>#REF!</v>
      </c>
      <c r="AT29" s="80" t="e">
        <f>#REF!-'IS 3Q2022'!AT29</f>
        <v>#REF!</v>
      </c>
      <c r="AU29" s="80" t="e">
        <f>#REF!-'IS 3Q2022'!AU29</f>
        <v>#REF!</v>
      </c>
      <c r="AV29" s="81" t="e">
        <f>#REF!-'IS 3Q2022'!AV29</f>
        <v>#REF!</v>
      </c>
    </row>
    <row r="30" spans="1:48" x14ac:dyDescent="0.3">
      <c r="B30" s="580" t="s">
        <v>0</v>
      </c>
      <c r="C30" s="581"/>
      <c r="D30" s="101" t="e">
        <f>#REF!-'IS 3Q2022'!D30</f>
        <v>#REF!</v>
      </c>
      <c r="E30" s="101" t="e">
        <f>#REF!-'IS 3Q2022'!E30</f>
        <v>#REF!</v>
      </c>
      <c r="F30" s="101" t="e">
        <f>#REF!-'IS 3Q2022'!F30</f>
        <v>#REF!</v>
      </c>
      <c r="G30" s="101" t="e">
        <f>#REF!-'IS 3Q2022'!G30</f>
        <v>#REF!</v>
      </c>
      <c r="H30" s="169" t="e">
        <f>#REF!-'IS 3Q2022'!H30</f>
        <v>#REF!</v>
      </c>
      <c r="I30" s="101" t="e">
        <f>#REF!-'IS 3Q2022'!I30</f>
        <v>#REF!</v>
      </c>
      <c r="J30" s="101" t="e">
        <f>#REF!-'IS 3Q2022'!J30</f>
        <v>#REF!</v>
      </c>
      <c r="K30" s="101" t="e">
        <f>#REF!-'IS 3Q2022'!K30</f>
        <v>#REF!</v>
      </c>
      <c r="L30" s="101" t="e">
        <f>#REF!-'IS 3Q2022'!L30</f>
        <v>#REF!</v>
      </c>
      <c r="M30" s="17" t="e">
        <f>#REF!-'IS 3Q2022'!M30</f>
        <v>#REF!</v>
      </c>
      <c r="N30" s="101" t="e">
        <f>#REF!-'IS 3Q2022'!N30</f>
        <v>#REF!</v>
      </c>
      <c r="O30" s="101" t="e">
        <f>#REF!-'IS 3Q2022'!O30</f>
        <v>#REF!</v>
      </c>
      <c r="P30" s="101" t="e">
        <f>#REF!-'IS 3Q2022'!P30</f>
        <v>#REF!</v>
      </c>
      <c r="Q30" s="101" t="e">
        <f>#REF!-'IS 3Q2022'!Q30</f>
        <v>#REF!</v>
      </c>
      <c r="R30" s="169" t="e">
        <f>#REF!-'IS 3Q2022'!R30</f>
        <v>#REF!</v>
      </c>
      <c r="S30" s="16" t="e">
        <f>#REF!-'IS 3Q2022'!S30</f>
        <v>#REF!</v>
      </c>
      <c r="T30" s="16" t="e">
        <f>#REF!-'IS 3Q2022'!T30</f>
        <v>#REF!</v>
      </c>
      <c r="U30" s="16" t="e">
        <f>#REF!-'IS 3Q2022'!U30</f>
        <v>#REF!</v>
      </c>
      <c r="V30" s="16" t="e">
        <f>#REF!-'IS 3Q2022'!V30</f>
        <v>#REF!</v>
      </c>
      <c r="W30" s="169" t="e">
        <f>#REF!-'IS 3Q2022'!W30</f>
        <v>#REF!</v>
      </c>
      <c r="X30" s="16" t="e">
        <f>#REF!-'IS 3Q2022'!X30</f>
        <v>#REF!</v>
      </c>
      <c r="Y30" s="16" t="e">
        <f>#REF!-'IS 3Q2022'!Y30</f>
        <v>#REF!</v>
      </c>
      <c r="Z30" s="16" t="e">
        <f>#REF!-'IS 3Q2022'!Z30</f>
        <v>#REF!</v>
      </c>
      <c r="AA30" s="16" t="e">
        <f>#REF!-'IS 3Q2022'!AA30</f>
        <v>#REF!</v>
      </c>
      <c r="AB30" s="17" t="e">
        <f>#REF!-'IS 3Q2022'!AB30</f>
        <v>#REF!</v>
      </c>
      <c r="AC30" s="16" t="e">
        <f>#REF!-'IS 3Q2022'!AC30</f>
        <v>#REF!</v>
      </c>
      <c r="AD30" s="16" t="e">
        <f>#REF!-'IS 3Q2022'!AD30</f>
        <v>#REF!</v>
      </c>
      <c r="AE30" s="16" t="e">
        <f>#REF!-'IS 3Q2022'!AE30</f>
        <v>#REF!</v>
      </c>
      <c r="AF30" s="16" t="e">
        <f>#REF!-'IS 3Q2022'!AF30</f>
        <v>#REF!</v>
      </c>
      <c r="AG30" s="17" t="e">
        <f>#REF!-'IS 3Q2022'!AG30</f>
        <v>#REF!</v>
      </c>
      <c r="AH30" s="16" t="e">
        <f>#REF!-'IS 3Q2022'!AH30</f>
        <v>#REF!</v>
      </c>
      <c r="AI30" s="16" t="e">
        <f>#REF!-'IS 3Q2022'!AI30</f>
        <v>#REF!</v>
      </c>
      <c r="AJ30" s="16" t="e">
        <f>#REF!-'IS 3Q2022'!AJ30</f>
        <v>#REF!</v>
      </c>
      <c r="AK30" s="16" t="e">
        <f>#REF!-'IS 3Q2022'!AK30</f>
        <v>#REF!</v>
      </c>
      <c r="AL30" s="17" t="e">
        <f>#REF!-'IS 3Q2022'!AL30</f>
        <v>#REF!</v>
      </c>
      <c r="AM30" s="16" t="e">
        <f>#REF!-'IS 3Q2022'!AM30</f>
        <v>#REF!</v>
      </c>
      <c r="AN30" s="16" t="e">
        <f>#REF!-'IS 3Q2022'!AN30</f>
        <v>#REF!</v>
      </c>
      <c r="AO30" s="16" t="e">
        <f>#REF!-'IS 3Q2022'!AO30</f>
        <v>#REF!</v>
      </c>
      <c r="AP30" s="16" t="e">
        <f>#REF!-'IS 3Q2022'!AP30</f>
        <v>#REF!</v>
      </c>
      <c r="AQ30" s="17" t="e">
        <f>#REF!-'IS 3Q2022'!AQ30</f>
        <v>#REF!</v>
      </c>
      <c r="AR30" s="16" t="e">
        <f>#REF!-'IS 3Q2022'!AR30</f>
        <v>#REF!</v>
      </c>
      <c r="AS30" s="16" t="e">
        <f>#REF!-'IS 3Q2022'!AS30</f>
        <v>#REF!</v>
      </c>
      <c r="AT30" s="16" t="e">
        <f>#REF!-'IS 3Q2022'!AT30</f>
        <v>#REF!</v>
      </c>
      <c r="AU30" s="16" t="e">
        <f>#REF!-'IS 3Q2022'!AU30</f>
        <v>#REF!</v>
      </c>
      <c r="AV30" s="17" t="e">
        <f>#REF!-'IS 3Q2022'!AV30</f>
        <v>#REF!</v>
      </c>
    </row>
    <row r="31" spans="1:48" ht="15.75" customHeight="1" x14ac:dyDescent="0.3">
      <c r="B31" s="580" t="s">
        <v>1</v>
      </c>
      <c r="C31" s="581"/>
      <c r="D31" s="101" t="e">
        <f>#REF!-'IS 3Q2022'!D31</f>
        <v>#REF!</v>
      </c>
      <c r="E31" s="101" t="e">
        <f>#REF!-'IS 3Q2022'!E31</f>
        <v>#REF!</v>
      </c>
      <c r="F31" s="101" t="e">
        <f>#REF!-'IS 3Q2022'!F31</f>
        <v>#REF!</v>
      </c>
      <c r="G31" s="101" t="e">
        <f>#REF!-'IS 3Q2022'!G31</f>
        <v>#REF!</v>
      </c>
      <c r="H31" s="169" t="e">
        <f>#REF!-'IS 3Q2022'!H31</f>
        <v>#REF!</v>
      </c>
      <c r="I31" s="101" t="e">
        <f>#REF!-'IS 3Q2022'!I31</f>
        <v>#REF!</v>
      </c>
      <c r="J31" s="101" t="e">
        <f>#REF!-'IS 3Q2022'!J31</f>
        <v>#REF!</v>
      </c>
      <c r="K31" s="101" t="e">
        <f>#REF!-'IS 3Q2022'!K31</f>
        <v>#REF!</v>
      </c>
      <c r="L31" s="101" t="e">
        <f>#REF!-'IS 3Q2022'!L31</f>
        <v>#REF!</v>
      </c>
      <c r="M31" s="17" t="e">
        <f>#REF!-'IS 3Q2022'!M31</f>
        <v>#REF!</v>
      </c>
      <c r="N31" s="101" t="e">
        <f>#REF!-'IS 3Q2022'!N31</f>
        <v>#REF!</v>
      </c>
      <c r="O31" s="101" t="e">
        <f>#REF!-'IS 3Q2022'!O31</f>
        <v>#REF!</v>
      </c>
      <c r="P31" s="101" t="e">
        <f>#REF!-'IS 3Q2022'!P31</f>
        <v>#REF!</v>
      </c>
      <c r="Q31" s="101" t="e">
        <f>#REF!-'IS 3Q2022'!Q31</f>
        <v>#REF!</v>
      </c>
      <c r="R31" s="169" t="e">
        <f>#REF!-'IS 3Q2022'!R31</f>
        <v>#REF!</v>
      </c>
      <c r="S31" s="16" t="e">
        <f>#REF!-'IS 3Q2022'!S31</f>
        <v>#REF!</v>
      </c>
      <c r="T31" s="16" t="e">
        <f>#REF!-'IS 3Q2022'!T31</f>
        <v>#REF!</v>
      </c>
      <c r="U31" s="16" t="e">
        <f>#REF!-'IS 3Q2022'!U31</f>
        <v>#REF!</v>
      </c>
      <c r="V31" s="16" t="e">
        <f>#REF!-'IS 3Q2022'!V31</f>
        <v>#REF!</v>
      </c>
      <c r="W31" s="169" t="e">
        <f>#REF!-'IS 3Q2022'!W31</f>
        <v>#REF!</v>
      </c>
      <c r="X31" s="16" t="e">
        <f>#REF!-'IS 3Q2022'!X31</f>
        <v>#REF!</v>
      </c>
      <c r="Y31" s="16" t="e">
        <f>#REF!-'IS 3Q2022'!Y31</f>
        <v>#REF!</v>
      </c>
      <c r="Z31" s="16" t="e">
        <f>#REF!-'IS 3Q2022'!Z31</f>
        <v>#REF!</v>
      </c>
      <c r="AA31" s="16" t="e">
        <f>#REF!-'IS 3Q2022'!AA31</f>
        <v>#REF!</v>
      </c>
      <c r="AB31" s="17" t="e">
        <f>#REF!-'IS 3Q2022'!AB31</f>
        <v>#REF!</v>
      </c>
      <c r="AC31" s="16" t="e">
        <f>#REF!-'IS 3Q2022'!AC31</f>
        <v>#REF!</v>
      </c>
      <c r="AD31" s="16" t="e">
        <f>#REF!-'IS 3Q2022'!AD31</f>
        <v>#REF!</v>
      </c>
      <c r="AE31" s="16" t="e">
        <f>#REF!-'IS 3Q2022'!AE31</f>
        <v>#REF!</v>
      </c>
      <c r="AF31" s="16" t="e">
        <f>#REF!-'IS 3Q2022'!AF31</f>
        <v>#REF!</v>
      </c>
      <c r="AG31" s="17" t="e">
        <f>#REF!-'IS 3Q2022'!AG31</f>
        <v>#REF!</v>
      </c>
      <c r="AH31" s="16" t="e">
        <f>#REF!-'IS 3Q2022'!AH31</f>
        <v>#REF!</v>
      </c>
      <c r="AI31" s="16" t="e">
        <f>#REF!-'IS 3Q2022'!AI31</f>
        <v>#REF!</v>
      </c>
      <c r="AJ31" s="16" t="e">
        <f>#REF!-'IS 3Q2022'!AJ31</f>
        <v>#REF!</v>
      </c>
      <c r="AK31" s="16" t="e">
        <f>#REF!-'IS 3Q2022'!AK31</f>
        <v>#REF!</v>
      </c>
      <c r="AL31" s="17" t="e">
        <f>#REF!-'IS 3Q2022'!AL31</f>
        <v>#REF!</v>
      </c>
      <c r="AM31" s="16" t="e">
        <f>#REF!-'IS 3Q2022'!AM31</f>
        <v>#REF!</v>
      </c>
      <c r="AN31" s="16" t="e">
        <f>#REF!-'IS 3Q2022'!AN31</f>
        <v>#REF!</v>
      </c>
      <c r="AO31" s="16" t="e">
        <f>#REF!-'IS 3Q2022'!AO31</f>
        <v>#REF!</v>
      </c>
      <c r="AP31" s="16" t="e">
        <f>#REF!-'IS 3Q2022'!AP31</f>
        <v>#REF!</v>
      </c>
      <c r="AQ31" s="17" t="e">
        <f>#REF!-'IS 3Q2022'!AQ31</f>
        <v>#REF!</v>
      </c>
      <c r="AR31" s="16" t="e">
        <f>#REF!-'IS 3Q2022'!AR31</f>
        <v>#REF!</v>
      </c>
      <c r="AS31" s="16" t="e">
        <f>#REF!-'IS 3Q2022'!AS31</f>
        <v>#REF!</v>
      </c>
      <c r="AT31" s="16" t="e">
        <f>#REF!-'IS 3Q2022'!AT31</f>
        <v>#REF!</v>
      </c>
      <c r="AU31" s="16" t="e">
        <f>#REF!-'IS 3Q2022'!AU31</f>
        <v>#REF!</v>
      </c>
      <c r="AV31" s="17" t="e">
        <f>#REF!-'IS 3Q2022'!AV31</f>
        <v>#REF!</v>
      </c>
    </row>
    <row r="32" spans="1:48" ht="15.75" customHeight="1" x14ac:dyDescent="0.3">
      <c r="B32" s="587" t="s">
        <v>6</v>
      </c>
      <c r="C32" s="588"/>
      <c r="D32" s="110" t="e">
        <f>#REF!-'IS 3Q2022'!D32</f>
        <v>#REF!</v>
      </c>
      <c r="E32" s="110" t="e">
        <f>#REF!-'IS 3Q2022'!E32</f>
        <v>#REF!</v>
      </c>
      <c r="F32" s="110" t="e">
        <f>#REF!-'IS 3Q2022'!F32</f>
        <v>#REF!</v>
      </c>
      <c r="G32" s="110" t="e">
        <f>#REF!-'IS 3Q2022'!G32</f>
        <v>#REF!</v>
      </c>
      <c r="H32" s="174" t="e">
        <f>#REF!-'IS 3Q2022'!H32</f>
        <v>#REF!</v>
      </c>
      <c r="I32" s="110" t="e">
        <f>#REF!-'IS 3Q2022'!I32</f>
        <v>#REF!</v>
      </c>
      <c r="J32" s="110" t="e">
        <f>#REF!-'IS 3Q2022'!J32</f>
        <v>#REF!</v>
      </c>
      <c r="K32" s="110" t="e">
        <f>#REF!-'IS 3Q2022'!K32</f>
        <v>#REF!</v>
      </c>
      <c r="L32" s="110" t="e">
        <f>#REF!-'IS 3Q2022'!L32</f>
        <v>#REF!</v>
      </c>
      <c r="M32" s="25" t="e">
        <f>#REF!-'IS 3Q2022'!M32</f>
        <v>#REF!</v>
      </c>
      <c r="N32" s="110" t="e">
        <f>#REF!-'IS 3Q2022'!N32</f>
        <v>#REF!</v>
      </c>
      <c r="O32" s="110" t="e">
        <f>#REF!-'IS 3Q2022'!O32</f>
        <v>#REF!</v>
      </c>
      <c r="P32" s="110" t="e">
        <f>#REF!-'IS 3Q2022'!P32</f>
        <v>#REF!</v>
      </c>
      <c r="Q32" s="110" t="e">
        <f>#REF!-'IS 3Q2022'!Q32</f>
        <v>#REF!</v>
      </c>
      <c r="R32" s="174" t="e">
        <f>#REF!-'IS 3Q2022'!R32</f>
        <v>#REF!</v>
      </c>
      <c r="S32" s="24" t="e">
        <f>#REF!-'IS 3Q2022'!S32</f>
        <v>#REF!</v>
      </c>
      <c r="T32" s="24" t="e">
        <f>#REF!-'IS 3Q2022'!T32</f>
        <v>#REF!</v>
      </c>
      <c r="U32" s="24" t="e">
        <f>#REF!-'IS 3Q2022'!U32</f>
        <v>#REF!</v>
      </c>
      <c r="V32" s="24" t="e">
        <f>#REF!-'IS 3Q2022'!V32</f>
        <v>#REF!</v>
      </c>
      <c r="W32" s="174" t="e">
        <f>#REF!-'IS 3Q2022'!W32</f>
        <v>#REF!</v>
      </c>
      <c r="X32" s="24" t="e">
        <f>#REF!-'IS 3Q2022'!X32</f>
        <v>#REF!</v>
      </c>
      <c r="Y32" s="24" t="e">
        <f>#REF!-'IS 3Q2022'!Y32</f>
        <v>#REF!</v>
      </c>
      <c r="Z32" s="24" t="e">
        <f>#REF!-'IS 3Q2022'!Z32</f>
        <v>#REF!</v>
      </c>
      <c r="AA32" s="24" t="e">
        <f>#REF!-'IS 3Q2022'!AA32</f>
        <v>#REF!</v>
      </c>
      <c r="AB32" s="25" t="e">
        <f>#REF!-'IS 3Q2022'!AB32</f>
        <v>#REF!</v>
      </c>
      <c r="AC32" s="24" t="e">
        <f>#REF!-'IS 3Q2022'!AC32</f>
        <v>#REF!</v>
      </c>
      <c r="AD32" s="24" t="e">
        <f>#REF!-'IS 3Q2022'!AD32</f>
        <v>#REF!</v>
      </c>
      <c r="AE32" s="24" t="e">
        <f>#REF!-'IS 3Q2022'!AE32</f>
        <v>#REF!</v>
      </c>
      <c r="AF32" s="24" t="e">
        <f>#REF!-'IS 3Q2022'!AF32</f>
        <v>#REF!</v>
      </c>
      <c r="AG32" s="25" t="e">
        <f>#REF!-'IS 3Q2022'!AG32</f>
        <v>#REF!</v>
      </c>
      <c r="AH32" s="24" t="e">
        <f>#REF!-'IS 3Q2022'!AH32</f>
        <v>#REF!</v>
      </c>
      <c r="AI32" s="24" t="e">
        <f>#REF!-'IS 3Q2022'!AI32</f>
        <v>#REF!</v>
      </c>
      <c r="AJ32" s="24" t="e">
        <f>#REF!-'IS 3Q2022'!AJ32</f>
        <v>#REF!</v>
      </c>
      <c r="AK32" s="24" t="e">
        <f>#REF!-'IS 3Q2022'!AK32</f>
        <v>#REF!</v>
      </c>
      <c r="AL32" s="25" t="e">
        <f>#REF!-'IS 3Q2022'!AL32</f>
        <v>#REF!</v>
      </c>
      <c r="AM32" s="24" t="e">
        <f>#REF!-'IS 3Q2022'!AM32</f>
        <v>#REF!</v>
      </c>
      <c r="AN32" s="24" t="e">
        <f>#REF!-'IS 3Q2022'!AN32</f>
        <v>#REF!</v>
      </c>
      <c r="AO32" s="24" t="e">
        <f>#REF!-'IS 3Q2022'!AO32</f>
        <v>#REF!</v>
      </c>
      <c r="AP32" s="24" t="e">
        <f>#REF!-'IS 3Q2022'!AP32</f>
        <v>#REF!</v>
      </c>
      <c r="AQ32" s="25" t="e">
        <f>#REF!-'IS 3Q2022'!AQ32</f>
        <v>#REF!</v>
      </c>
      <c r="AR32" s="24" t="e">
        <f>#REF!-'IS 3Q2022'!AR32</f>
        <v>#REF!</v>
      </c>
      <c r="AS32" s="24" t="e">
        <f>#REF!-'IS 3Q2022'!AS32</f>
        <v>#REF!</v>
      </c>
      <c r="AT32" s="24" t="e">
        <f>#REF!-'IS 3Q2022'!AT32</f>
        <v>#REF!</v>
      </c>
      <c r="AU32" s="24" t="e">
        <f>#REF!-'IS 3Q2022'!AU32</f>
        <v>#REF!</v>
      </c>
      <c r="AV32" s="25" t="e">
        <f>#REF!-'IS 3Q2022'!AV32</f>
        <v>#REF!</v>
      </c>
    </row>
    <row r="33" spans="2:48" x14ac:dyDescent="0.3">
      <c r="B33" s="587" t="s">
        <v>7</v>
      </c>
      <c r="C33" s="588"/>
      <c r="D33" s="110" t="e">
        <f>#REF!-'IS 3Q2022'!D33</f>
        <v>#REF!</v>
      </c>
      <c r="E33" s="110" t="e">
        <f>#REF!-'IS 3Q2022'!E33</f>
        <v>#REF!</v>
      </c>
      <c r="F33" s="110" t="e">
        <f>#REF!-'IS 3Q2022'!F33</f>
        <v>#REF!</v>
      </c>
      <c r="G33" s="110" t="e">
        <f>#REF!-'IS 3Q2022'!G33</f>
        <v>#REF!</v>
      </c>
      <c r="H33" s="174" t="e">
        <f>#REF!-'IS 3Q2022'!H33</f>
        <v>#REF!</v>
      </c>
      <c r="I33" s="110" t="e">
        <f>#REF!-'IS 3Q2022'!I33</f>
        <v>#REF!</v>
      </c>
      <c r="J33" s="110" t="e">
        <f>#REF!-'IS 3Q2022'!J33</f>
        <v>#REF!</v>
      </c>
      <c r="K33" s="110" t="e">
        <f>#REF!-'IS 3Q2022'!K33</f>
        <v>#REF!</v>
      </c>
      <c r="L33" s="110" t="e">
        <f>#REF!-'IS 3Q2022'!L33</f>
        <v>#REF!</v>
      </c>
      <c r="M33" s="174" t="e">
        <f>#REF!-'IS 3Q2022'!M33</f>
        <v>#REF!</v>
      </c>
      <c r="N33" s="110" t="e">
        <f>#REF!-'IS 3Q2022'!N33</f>
        <v>#REF!</v>
      </c>
      <c r="O33" s="110" t="e">
        <f>#REF!-'IS 3Q2022'!O33</f>
        <v>#REF!</v>
      </c>
      <c r="P33" s="110" t="e">
        <f>#REF!-'IS 3Q2022'!P33</f>
        <v>#REF!</v>
      </c>
      <c r="Q33" s="110" t="e">
        <f>#REF!-'IS 3Q2022'!Q33</f>
        <v>#REF!</v>
      </c>
      <c r="R33" s="174" t="e">
        <f>#REF!-'IS 3Q2022'!R33</f>
        <v>#REF!</v>
      </c>
      <c r="S33" s="24" t="e">
        <f>#REF!-'IS 3Q2022'!S33</f>
        <v>#REF!</v>
      </c>
      <c r="T33" s="24" t="e">
        <f>#REF!-'IS 3Q2022'!T33</f>
        <v>#REF!</v>
      </c>
      <c r="U33" s="24" t="e">
        <f>#REF!-'IS 3Q2022'!U33</f>
        <v>#REF!</v>
      </c>
      <c r="V33" s="24" t="e">
        <f>#REF!-'IS 3Q2022'!V33</f>
        <v>#REF!</v>
      </c>
      <c r="W33" s="174" t="e">
        <f>#REF!-'IS 3Q2022'!W33</f>
        <v>#REF!</v>
      </c>
      <c r="X33" s="24" t="e">
        <f>#REF!-'IS 3Q2022'!X33</f>
        <v>#REF!</v>
      </c>
      <c r="Y33" s="24" t="e">
        <f>#REF!-'IS 3Q2022'!Y33</f>
        <v>#REF!</v>
      </c>
      <c r="Z33" s="24" t="e">
        <f>#REF!-'IS 3Q2022'!Z33</f>
        <v>#REF!</v>
      </c>
      <c r="AA33" s="24" t="e">
        <f>#REF!-'IS 3Q2022'!AA33</f>
        <v>#REF!</v>
      </c>
      <c r="AB33" s="25" t="e">
        <f>#REF!-'IS 3Q2022'!AB33</f>
        <v>#REF!</v>
      </c>
      <c r="AC33" s="24" t="e">
        <f>#REF!-'IS 3Q2022'!AC33</f>
        <v>#REF!</v>
      </c>
      <c r="AD33" s="24" t="e">
        <f>#REF!-'IS 3Q2022'!AD33</f>
        <v>#REF!</v>
      </c>
      <c r="AE33" s="24" t="e">
        <f>#REF!-'IS 3Q2022'!AE33</f>
        <v>#REF!</v>
      </c>
      <c r="AF33" s="24" t="e">
        <f>#REF!-'IS 3Q2022'!AF33</f>
        <v>#REF!</v>
      </c>
      <c r="AG33" s="25" t="e">
        <f>#REF!-'IS 3Q2022'!AG33</f>
        <v>#REF!</v>
      </c>
      <c r="AH33" s="24" t="e">
        <f>#REF!-'IS 3Q2022'!AH33</f>
        <v>#REF!</v>
      </c>
      <c r="AI33" s="24" t="e">
        <f>#REF!-'IS 3Q2022'!AI33</f>
        <v>#REF!</v>
      </c>
      <c r="AJ33" s="24" t="e">
        <f>#REF!-'IS 3Q2022'!AJ33</f>
        <v>#REF!</v>
      </c>
      <c r="AK33" s="24" t="e">
        <f>#REF!-'IS 3Q2022'!AK33</f>
        <v>#REF!</v>
      </c>
      <c r="AL33" s="25" t="e">
        <f>#REF!-'IS 3Q2022'!AL33</f>
        <v>#REF!</v>
      </c>
      <c r="AM33" s="24" t="e">
        <f>#REF!-'IS 3Q2022'!AM33</f>
        <v>#REF!</v>
      </c>
      <c r="AN33" s="24" t="e">
        <f>#REF!-'IS 3Q2022'!AN33</f>
        <v>#REF!</v>
      </c>
      <c r="AO33" s="24" t="e">
        <f>#REF!-'IS 3Q2022'!AO33</f>
        <v>#REF!</v>
      </c>
      <c r="AP33" s="24" t="e">
        <f>#REF!-'IS 3Q2022'!AP33</f>
        <v>#REF!</v>
      </c>
      <c r="AQ33" s="25" t="e">
        <f>#REF!-'IS 3Q2022'!AQ33</f>
        <v>#REF!</v>
      </c>
      <c r="AR33" s="24" t="e">
        <f>#REF!-'IS 3Q2022'!AR33</f>
        <v>#REF!</v>
      </c>
      <c r="AS33" s="24" t="e">
        <f>#REF!-'IS 3Q2022'!AS33</f>
        <v>#REF!</v>
      </c>
      <c r="AT33" s="24" t="e">
        <f>#REF!-'IS 3Q2022'!AT33</f>
        <v>#REF!</v>
      </c>
      <c r="AU33" s="24" t="e">
        <f>#REF!-'IS 3Q2022'!AU33</f>
        <v>#REF!</v>
      </c>
      <c r="AV33" s="25" t="e">
        <f>#REF!-'IS 3Q2022'!AV33</f>
        <v>#REF!</v>
      </c>
    </row>
    <row r="34" spans="2:48" x14ac:dyDescent="0.3">
      <c r="B34" s="93" t="s">
        <v>74</v>
      </c>
      <c r="C34" s="100"/>
      <c r="D34" s="111" t="e">
        <f>#REF!-'IS 3Q2022'!D34</f>
        <v>#REF!</v>
      </c>
      <c r="E34" s="111" t="e">
        <f>#REF!-'IS 3Q2022'!E34</f>
        <v>#REF!</v>
      </c>
      <c r="F34" s="111" t="e">
        <f>#REF!-'IS 3Q2022'!F34</f>
        <v>#REF!</v>
      </c>
      <c r="G34" s="111" t="e">
        <f>#REF!-'IS 3Q2022'!G34</f>
        <v>#REF!</v>
      </c>
      <c r="H34" s="172" t="e">
        <f>#REF!-'IS 3Q2022'!H34</f>
        <v>#REF!</v>
      </c>
      <c r="I34" s="111" t="e">
        <f>#REF!-'IS 3Q2022'!I34</f>
        <v>#REF!</v>
      </c>
      <c r="J34" s="111" t="e">
        <f>#REF!-'IS 3Q2022'!J34</f>
        <v>#REF!</v>
      </c>
      <c r="K34" s="111" t="e">
        <f>#REF!-'IS 3Q2022'!K34</f>
        <v>#REF!</v>
      </c>
      <c r="L34" s="111" t="e">
        <f>#REF!-'IS 3Q2022'!L34</f>
        <v>#REF!</v>
      </c>
      <c r="M34" s="172" t="e">
        <f>#REF!-'IS 3Q2022'!M34</f>
        <v>#REF!</v>
      </c>
      <c r="N34" s="111" t="e">
        <f>#REF!-'IS 3Q2022'!N34</f>
        <v>#REF!</v>
      </c>
      <c r="O34" s="111" t="e">
        <f>#REF!-'IS 3Q2022'!O34</f>
        <v>#REF!</v>
      </c>
      <c r="P34" s="111" t="e">
        <f>#REF!-'IS 3Q2022'!P34</f>
        <v>#REF!</v>
      </c>
      <c r="Q34" s="111" t="e">
        <f>#REF!-'IS 3Q2022'!Q34</f>
        <v>#REF!</v>
      </c>
      <c r="R34" s="172" t="e">
        <f>#REF!-'IS 3Q2022'!R34</f>
        <v>#REF!</v>
      </c>
      <c r="S34" s="111" t="e">
        <f>#REF!-'IS 3Q2022'!S34</f>
        <v>#REF!</v>
      </c>
      <c r="T34" s="111" t="e">
        <f>#REF!-'IS 3Q2022'!T34</f>
        <v>#REF!</v>
      </c>
      <c r="U34" s="111" t="e">
        <f>#REF!-'IS 3Q2022'!U34</f>
        <v>#REF!</v>
      </c>
      <c r="V34" s="419" t="e">
        <f>#REF!-'IS 3Q2022'!V34</f>
        <v>#REF!</v>
      </c>
      <c r="W34" s="172" t="e">
        <f>#REF!-'IS 3Q2022'!W34</f>
        <v>#REF!</v>
      </c>
      <c r="X34" s="82" t="e">
        <f>#REF!-'IS 3Q2022'!X34</f>
        <v>#REF!</v>
      </c>
      <c r="Y34" s="82" t="e">
        <f>#REF!-'IS 3Q2022'!Y34</f>
        <v>#REF!</v>
      </c>
      <c r="Z34" s="82" t="e">
        <f>#REF!-'IS 3Q2022'!Z34</f>
        <v>#REF!</v>
      </c>
      <c r="AA34" s="82" t="e">
        <f>#REF!-'IS 3Q2022'!AA34</f>
        <v>#REF!</v>
      </c>
      <c r="AB34" s="83" t="e">
        <f>#REF!-'IS 3Q2022'!AB34</f>
        <v>#REF!</v>
      </c>
      <c r="AC34" s="82" t="e">
        <f>#REF!-'IS 3Q2022'!AC34</f>
        <v>#REF!</v>
      </c>
      <c r="AD34" s="82" t="e">
        <f>#REF!-'IS 3Q2022'!AD34</f>
        <v>#REF!</v>
      </c>
      <c r="AE34" s="82" t="e">
        <f>#REF!-'IS 3Q2022'!AE34</f>
        <v>#REF!</v>
      </c>
      <c r="AF34" s="82" t="e">
        <f>#REF!-'IS 3Q2022'!AF34</f>
        <v>#REF!</v>
      </c>
      <c r="AG34" s="83" t="e">
        <f>#REF!-'IS 3Q2022'!AG34</f>
        <v>#REF!</v>
      </c>
      <c r="AH34" s="82" t="e">
        <f>#REF!-'IS 3Q2022'!AH34</f>
        <v>#REF!</v>
      </c>
      <c r="AI34" s="82" t="e">
        <f>#REF!-'IS 3Q2022'!AI34</f>
        <v>#REF!</v>
      </c>
      <c r="AJ34" s="82" t="e">
        <f>#REF!-'IS 3Q2022'!AJ34</f>
        <v>#REF!</v>
      </c>
      <c r="AK34" s="82" t="e">
        <f>#REF!-'IS 3Q2022'!AK34</f>
        <v>#REF!</v>
      </c>
      <c r="AL34" s="415" t="e">
        <f>#REF!-'IS 3Q2022'!AL34</f>
        <v>#REF!</v>
      </c>
      <c r="AM34" s="82" t="e">
        <f>#REF!-'IS 3Q2022'!AM34</f>
        <v>#REF!</v>
      </c>
      <c r="AN34" s="82" t="e">
        <f>#REF!-'IS 3Q2022'!AN34</f>
        <v>#REF!</v>
      </c>
      <c r="AO34" s="82" t="e">
        <f>#REF!-'IS 3Q2022'!AO34</f>
        <v>#REF!</v>
      </c>
      <c r="AP34" s="82" t="e">
        <f>#REF!-'IS 3Q2022'!AP34</f>
        <v>#REF!</v>
      </c>
      <c r="AQ34" s="83" t="e">
        <f>#REF!-'IS 3Q2022'!AQ34</f>
        <v>#REF!</v>
      </c>
      <c r="AR34" s="82" t="e">
        <f>#REF!-'IS 3Q2022'!AR34</f>
        <v>#REF!</v>
      </c>
      <c r="AS34" s="82" t="e">
        <f>#REF!-'IS 3Q2022'!AS34</f>
        <v>#REF!</v>
      </c>
      <c r="AT34" s="82" t="e">
        <f>#REF!-'IS 3Q2022'!AT34</f>
        <v>#REF!</v>
      </c>
      <c r="AU34" s="82" t="e">
        <f>#REF!-'IS 3Q2022'!AU34</f>
        <v>#REF!</v>
      </c>
      <c r="AV34" s="83" t="e">
        <f>#REF!-'IS 3Q2022'!AV34</f>
        <v>#REF!</v>
      </c>
    </row>
    <row r="35" spans="2:48" x14ac:dyDescent="0.3">
      <c r="B35" s="38" t="s">
        <v>41</v>
      </c>
      <c r="C35" s="207"/>
      <c r="D35" s="239" t="e">
        <f>#REF!-'IS 3Q2022'!D35</f>
        <v>#REF!</v>
      </c>
      <c r="E35" s="239" t="e">
        <f>#REF!-'IS 3Q2022'!E35</f>
        <v>#REF!</v>
      </c>
      <c r="F35" s="239" t="e">
        <f>#REF!-'IS 3Q2022'!F35</f>
        <v>#REF!</v>
      </c>
      <c r="G35" s="239" t="e">
        <f>#REF!-'IS 3Q2022'!G35</f>
        <v>#REF!</v>
      </c>
      <c r="H35" s="174" t="e">
        <f>#REF!-'IS 3Q2022'!H35</f>
        <v>#REF!</v>
      </c>
      <c r="I35" s="239" t="e">
        <f>#REF!-'IS 3Q2022'!I35</f>
        <v>#REF!</v>
      </c>
      <c r="J35" s="239" t="e">
        <f>#REF!-'IS 3Q2022'!J35</f>
        <v>#REF!</v>
      </c>
      <c r="K35" s="239" t="e">
        <f>#REF!-'IS 3Q2022'!K35</f>
        <v>#REF!</v>
      </c>
      <c r="L35" s="239" t="e">
        <f>#REF!-'IS 3Q2022'!L35</f>
        <v>#REF!</v>
      </c>
      <c r="M35" s="25" t="e">
        <f>#REF!-'IS 3Q2022'!M35</f>
        <v>#REF!</v>
      </c>
      <c r="N35" s="239" t="e">
        <f>#REF!-'IS 3Q2022'!N35</f>
        <v>#REF!</v>
      </c>
      <c r="O35" s="239" t="e">
        <f>#REF!-'IS 3Q2022'!O35</f>
        <v>#REF!</v>
      </c>
      <c r="P35" s="239" t="e">
        <f>#REF!-'IS 3Q2022'!P35</f>
        <v>#REF!</v>
      </c>
      <c r="Q35" s="239" t="e">
        <f>#REF!-'IS 3Q2022'!Q35</f>
        <v>#REF!</v>
      </c>
      <c r="R35" s="25" t="e">
        <f>#REF!-'IS 3Q2022'!R35</f>
        <v>#REF!</v>
      </c>
      <c r="S35" s="239" t="e">
        <f>#REF!-'IS 3Q2022'!S35</f>
        <v>#REF!</v>
      </c>
      <c r="T35" s="239" t="e">
        <f>#REF!-'IS 3Q2022'!T35</f>
        <v>#REF!</v>
      </c>
      <c r="U35" s="239" t="e">
        <f>#REF!-'IS 3Q2022'!U35</f>
        <v>#REF!</v>
      </c>
      <c r="V35" s="240" t="e">
        <f>#REF!-'IS 3Q2022'!V35</f>
        <v>#REF!</v>
      </c>
      <c r="W35" s="25" t="e">
        <f>#REF!-'IS 3Q2022'!W35</f>
        <v>#REF!</v>
      </c>
      <c r="X35" s="240" t="e">
        <f>#REF!-'IS 3Q2022'!X35</f>
        <v>#REF!</v>
      </c>
      <c r="Y35" s="240" t="e">
        <f>#REF!-'IS 3Q2022'!Y35</f>
        <v>#REF!</v>
      </c>
      <c r="Z35" s="240" t="e">
        <f>#REF!-'IS 3Q2022'!Z35</f>
        <v>#REF!</v>
      </c>
      <c r="AA35" s="240" t="e">
        <f>#REF!-'IS 3Q2022'!AA35</f>
        <v>#REF!</v>
      </c>
      <c r="AB35" s="25" t="e">
        <f>#REF!-'IS 3Q2022'!AB35</f>
        <v>#REF!</v>
      </c>
      <c r="AC35" s="240" t="e">
        <f>#REF!-'IS 3Q2022'!AC35</f>
        <v>#REF!</v>
      </c>
      <c r="AD35" s="240" t="e">
        <f>#REF!-'IS 3Q2022'!AD35</f>
        <v>#REF!</v>
      </c>
      <c r="AE35" s="240" t="e">
        <f>#REF!-'IS 3Q2022'!AE35</f>
        <v>#REF!</v>
      </c>
      <c r="AF35" s="240" t="e">
        <f>#REF!-'IS 3Q2022'!AF35</f>
        <v>#REF!</v>
      </c>
      <c r="AG35" s="25" t="e">
        <f>#REF!-'IS 3Q2022'!AG35</f>
        <v>#REF!</v>
      </c>
      <c r="AH35" s="240" t="e">
        <f>#REF!-'IS 3Q2022'!AH35</f>
        <v>#REF!</v>
      </c>
      <c r="AI35" s="240" t="e">
        <f>#REF!-'IS 3Q2022'!AI35</f>
        <v>#REF!</v>
      </c>
      <c r="AJ35" s="240" t="e">
        <f>#REF!-'IS 3Q2022'!AJ35</f>
        <v>#REF!</v>
      </c>
      <c r="AK35" s="240" t="e">
        <f>#REF!-'IS 3Q2022'!AK35</f>
        <v>#REF!</v>
      </c>
      <c r="AL35" s="25" t="e">
        <f>#REF!-'IS 3Q2022'!AL35</f>
        <v>#REF!</v>
      </c>
      <c r="AM35" s="240" t="e">
        <f>#REF!-'IS 3Q2022'!AM35</f>
        <v>#REF!</v>
      </c>
      <c r="AN35" s="240" t="e">
        <f>#REF!-'IS 3Q2022'!AN35</f>
        <v>#REF!</v>
      </c>
      <c r="AO35" s="240" t="e">
        <f>#REF!-'IS 3Q2022'!AO35</f>
        <v>#REF!</v>
      </c>
      <c r="AP35" s="240" t="e">
        <f>#REF!-'IS 3Q2022'!AP35</f>
        <v>#REF!</v>
      </c>
      <c r="AQ35" s="25" t="e">
        <f>#REF!-'IS 3Q2022'!AQ35</f>
        <v>#REF!</v>
      </c>
      <c r="AR35" s="240" t="e">
        <f>#REF!-'IS 3Q2022'!AR35</f>
        <v>#REF!</v>
      </c>
      <c r="AS35" s="240" t="e">
        <f>#REF!-'IS 3Q2022'!AS35</f>
        <v>#REF!</v>
      </c>
      <c r="AT35" s="240" t="e">
        <f>#REF!-'IS 3Q2022'!AT35</f>
        <v>#REF!</v>
      </c>
      <c r="AU35" s="240" t="e">
        <f>#REF!-'IS 3Q2022'!AU35</f>
        <v>#REF!</v>
      </c>
      <c r="AV35" s="25" t="e">
        <f>#REF!-'IS 3Q2022'!AV35</f>
        <v>#REF!</v>
      </c>
    </row>
    <row r="36" spans="2:48" s="241" customFormat="1" x14ac:dyDescent="0.3">
      <c r="B36" s="242" t="s">
        <v>170</v>
      </c>
      <c r="C36" s="243"/>
      <c r="D36" s="211" t="e">
        <f>#REF!-'IS 3Q2022'!D36</f>
        <v>#REF!</v>
      </c>
      <c r="E36" s="211" t="e">
        <f>#REF!-'IS 3Q2022'!E36</f>
        <v>#REF!</v>
      </c>
      <c r="F36" s="211" t="e">
        <f>#REF!-'IS 3Q2022'!F36</f>
        <v>#REF!</v>
      </c>
      <c r="G36" s="211" t="e">
        <f>#REF!-'IS 3Q2022'!G36</f>
        <v>#REF!</v>
      </c>
      <c r="H36" s="244" t="e">
        <f>#REF!-'IS 3Q2022'!H36</f>
        <v>#REF!</v>
      </c>
      <c r="I36" s="211" t="e">
        <f>#REF!-'IS 3Q2022'!I36</f>
        <v>#REF!</v>
      </c>
      <c r="J36" s="211" t="e">
        <f>#REF!-'IS 3Q2022'!J36</f>
        <v>#REF!</v>
      </c>
      <c r="K36" s="211" t="e">
        <f>#REF!-'IS 3Q2022'!K36</f>
        <v>#REF!</v>
      </c>
      <c r="L36" s="211" t="e">
        <f>#REF!-'IS 3Q2022'!L36</f>
        <v>#REF!</v>
      </c>
      <c r="M36" s="244" t="e">
        <f>#REF!-'IS 3Q2022'!M36</f>
        <v>#REF!</v>
      </c>
      <c r="N36" s="211" t="e">
        <f>#REF!-'IS 3Q2022'!N36</f>
        <v>#REF!</v>
      </c>
      <c r="O36" s="211" t="e">
        <f>#REF!-'IS 3Q2022'!O36</f>
        <v>#REF!</v>
      </c>
      <c r="P36" s="211" t="e">
        <f>#REF!-'IS 3Q2022'!P36</f>
        <v>#REF!</v>
      </c>
      <c r="Q36" s="211" t="e">
        <f>#REF!-'IS 3Q2022'!Q36</f>
        <v>#REF!</v>
      </c>
      <c r="R36" s="244" t="e">
        <f>#REF!-'IS 3Q2022'!R36</f>
        <v>#REF!</v>
      </c>
      <c r="S36" s="211" t="e">
        <f>#REF!-'IS 3Q2022'!S36</f>
        <v>#REF!</v>
      </c>
      <c r="T36" s="211" t="e">
        <f>#REF!-'IS 3Q2022'!T36</f>
        <v>#REF!</v>
      </c>
      <c r="U36" s="211" t="e">
        <f>#REF!-'IS 3Q2022'!U36</f>
        <v>#REF!</v>
      </c>
      <c r="V36" s="211" t="e">
        <f>#REF!-'IS 3Q2022'!V36</f>
        <v>#REF!</v>
      </c>
      <c r="W36" s="244" t="e">
        <f>#REF!-'IS 3Q2022'!W36</f>
        <v>#REF!</v>
      </c>
      <c r="X36" s="211" t="e">
        <f>#REF!-'IS 3Q2022'!X36</f>
        <v>#REF!</v>
      </c>
      <c r="Y36" s="211" t="e">
        <f>#REF!-'IS 3Q2022'!Y36</f>
        <v>#REF!</v>
      </c>
      <c r="Z36" s="211" t="e">
        <f>#REF!-'IS 3Q2022'!Z36</f>
        <v>#REF!</v>
      </c>
      <c r="AA36" s="211" t="e">
        <f>#REF!-'IS 3Q2022'!AA36</f>
        <v>#REF!</v>
      </c>
      <c r="AB36" s="244" t="e">
        <f>#REF!-'IS 3Q2022'!AB36</f>
        <v>#REF!</v>
      </c>
      <c r="AC36" s="211" t="e">
        <f>#REF!-'IS 3Q2022'!AC36</f>
        <v>#REF!</v>
      </c>
      <c r="AD36" s="211" t="e">
        <f>#REF!-'IS 3Q2022'!AD36</f>
        <v>#REF!</v>
      </c>
      <c r="AE36" s="211" t="e">
        <f>#REF!-'IS 3Q2022'!AE36</f>
        <v>#REF!</v>
      </c>
      <c r="AF36" s="211" t="e">
        <f>#REF!-'IS 3Q2022'!AF36</f>
        <v>#REF!</v>
      </c>
      <c r="AG36" s="244" t="e">
        <f>#REF!-'IS 3Q2022'!AG36</f>
        <v>#REF!</v>
      </c>
      <c r="AH36" s="211" t="e">
        <f>#REF!-'IS 3Q2022'!AH36</f>
        <v>#REF!</v>
      </c>
      <c r="AI36" s="211" t="e">
        <f>#REF!-'IS 3Q2022'!AI36</f>
        <v>#REF!</v>
      </c>
      <c r="AJ36" s="211" t="e">
        <f>#REF!-'IS 3Q2022'!AJ36</f>
        <v>#REF!</v>
      </c>
      <c r="AK36" s="211" t="e">
        <f>#REF!-'IS 3Q2022'!AK36</f>
        <v>#REF!</v>
      </c>
      <c r="AL36" s="428" t="e">
        <f>#REF!-'IS 3Q2022'!AL36</f>
        <v>#REF!</v>
      </c>
      <c r="AM36" s="211" t="e">
        <f>#REF!-'IS 3Q2022'!AM36</f>
        <v>#REF!</v>
      </c>
      <c r="AN36" s="211" t="e">
        <f>#REF!-'IS 3Q2022'!AN36</f>
        <v>#REF!</v>
      </c>
      <c r="AO36" s="211" t="e">
        <f>#REF!-'IS 3Q2022'!AO36</f>
        <v>#REF!</v>
      </c>
      <c r="AP36" s="211" t="e">
        <f>#REF!-'IS 3Q2022'!AP36</f>
        <v>#REF!</v>
      </c>
      <c r="AQ36" s="244" t="e">
        <f>#REF!-'IS 3Q2022'!AQ36</f>
        <v>#REF!</v>
      </c>
      <c r="AR36" s="211" t="e">
        <f>#REF!-'IS 3Q2022'!AR36</f>
        <v>#REF!</v>
      </c>
      <c r="AS36" s="211" t="e">
        <f>#REF!-'IS 3Q2022'!AS36</f>
        <v>#REF!</v>
      </c>
      <c r="AT36" s="211" t="e">
        <f>#REF!-'IS 3Q2022'!AT36</f>
        <v>#REF!</v>
      </c>
      <c r="AU36" s="211" t="e">
        <f>#REF!-'IS 3Q2022'!AU36</f>
        <v>#REF!</v>
      </c>
      <c r="AV36" s="244" t="e">
        <f>#REF!-'IS 3Q2022'!AV36</f>
        <v>#REF!</v>
      </c>
    </row>
    <row r="37" spans="2:48" s="63" customFormat="1" x14ac:dyDescent="0.3">
      <c r="B37" s="198"/>
      <c r="C37" s="371"/>
      <c r="D37" s="372" t="e">
        <f>#REF!-'IS 3Q2022'!D37</f>
        <v>#REF!</v>
      </c>
      <c r="E37" s="196" t="e">
        <f>#REF!-'IS 3Q2022'!E37</f>
        <v>#REF!</v>
      </c>
      <c r="F37" s="196" t="e">
        <f>#REF!-'IS 3Q2022'!F37</f>
        <v>#REF!</v>
      </c>
      <c r="G37" s="196" t="e">
        <f>#REF!-'IS 3Q2022'!G37</f>
        <v>#REF!</v>
      </c>
      <c r="H37" s="196" t="e">
        <f>#REF!-'IS 3Q2022'!H37</f>
        <v>#REF!</v>
      </c>
      <c r="I37" s="196" t="e">
        <f>#REF!-'IS 3Q2022'!I37</f>
        <v>#REF!</v>
      </c>
      <c r="J37" s="196" t="e">
        <f>#REF!-'IS 3Q2022'!J37</f>
        <v>#REF!</v>
      </c>
      <c r="K37" s="196" t="e">
        <f>#REF!-'IS 3Q2022'!K37</f>
        <v>#REF!</v>
      </c>
      <c r="L37" s="196" t="e">
        <f>#REF!-'IS 3Q2022'!L37</f>
        <v>#REF!</v>
      </c>
      <c r="M37" s="196" t="e">
        <f>#REF!-'IS 3Q2022'!M37</f>
        <v>#REF!</v>
      </c>
      <c r="N37" s="196" t="e">
        <f>#REF!-'IS 3Q2022'!N37</f>
        <v>#REF!</v>
      </c>
      <c r="O37" s="196" t="e">
        <f>#REF!-'IS 3Q2022'!O37</f>
        <v>#REF!</v>
      </c>
      <c r="P37" s="196" t="e">
        <f>#REF!-'IS 3Q2022'!P37</f>
        <v>#REF!</v>
      </c>
      <c r="Q37" s="196" t="e">
        <f>#REF!-'IS 3Q2022'!Q37</f>
        <v>#REF!</v>
      </c>
      <c r="R37" s="196" t="e">
        <f>#REF!-'IS 3Q2022'!R37</f>
        <v>#REF!</v>
      </c>
      <c r="S37" s="196" t="e">
        <f>#REF!-'IS 3Q2022'!S37</f>
        <v>#REF!</v>
      </c>
      <c r="T37" s="196" t="e">
        <f>#REF!-'IS 3Q2022'!T37</f>
        <v>#REF!</v>
      </c>
      <c r="U37" s="196" t="e">
        <f>#REF!-'IS 3Q2022'!U37</f>
        <v>#REF!</v>
      </c>
      <c r="V37" s="196" t="e">
        <f>#REF!-'IS 3Q2022'!V37</f>
        <v>#REF!</v>
      </c>
      <c r="W37" s="392" t="e">
        <f>#REF!-'IS 3Q2022'!W37</f>
        <v>#REF!</v>
      </c>
      <c r="X37" s="196" t="e">
        <f>#REF!-'IS 3Q2022'!X37</f>
        <v>#REF!</v>
      </c>
      <c r="Y37" s="196" t="e">
        <f>#REF!-'IS 3Q2022'!Y37</f>
        <v>#REF!</v>
      </c>
      <c r="Z37" s="196" t="e">
        <f>#REF!-'IS 3Q2022'!Z37</f>
        <v>#REF!</v>
      </c>
      <c r="AA37" s="196" t="e">
        <f>#REF!-'IS 3Q2022'!AA37</f>
        <v>#REF!</v>
      </c>
      <c r="AB37" s="392" t="e">
        <f>#REF!-'IS 3Q2022'!AB37</f>
        <v>#REF!</v>
      </c>
      <c r="AC37" s="196" t="e">
        <f>#REF!-'IS 3Q2022'!AC37</f>
        <v>#REF!</v>
      </c>
      <c r="AD37" s="196" t="e">
        <f>#REF!-'IS 3Q2022'!AD37</f>
        <v>#REF!</v>
      </c>
      <c r="AE37" s="196" t="e">
        <f>#REF!-'IS 3Q2022'!AE37</f>
        <v>#REF!</v>
      </c>
      <c r="AF37" s="392" t="e">
        <f>#REF!-'IS 3Q2022'!AF37</f>
        <v>#REF!</v>
      </c>
      <c r="AG37" s="392" t="e">
        <f>#REF!-'IS 3Q2022'!AG37</f>
        <v>#REF!</v>
      </c>
      <c r="AH37" s="196" t="e">
        <f>#REF!-'IS 3Q2022'!AH37</f>
        <v>#REF!</v>
      </c>
      <c r="AI37" s="196" t="e">
        <f>#REF!-'IS 3Q2022'!AI37</f>
        <v>#REF!</v>
      </c>
      <c r="AJ37" s="196" t="e">
        <f>#REF!-'IS 3Q2022'!AJ37</f>
        <v>#REF!</v>
      </c>
      <c r="AK37" s="196" t="e">
        <f>#REF!-'IS 3Q2022'!AK37</f>
        <v>#REF!</v>
      </c>
      <c r="AL37" s="372" t="e">
        <f>#REF!-'IS 3Q2022'!AL37</f>
        <v>#REF!</v>
      </c>
      <c r="AM37" s="196" t="e">
        <f>#REF!-'IS 3Q2022'!AM37</f>
        <v>#REF!</v>
      </c>
      <c r="AN37" s="196" t="e">
        <f>#REF!-'IS 3Q2022'!AN37</f>
        <v>#REF!</v>
      </c>
      <c r="AO37" s="196" t="e">
        <f>#REF!-'IS 3Q2022'!AO37</f>
        <v>#REF!</v>
      </c>
      <c r="AP37" s="196" t="e">
        <f>#REF!-'IS 3Q2022'!AP37</f>
        <v>#REF!</v>
      </c>
      <c r="AQ37" s="196" t="e">
        <f>#REF!-'IS 3Q2022'!AQ37</f>
        <v>#REF!</v>
      </c>
      <c r="AR37" s="196" t="e">
        <f>#REF!-'IS 3Q2022'!AR37</f>
        <v>#REF!</v>
      </c>
      <c r="AS37" s="196" t="e">
        <f>#REF!-'IS 3Q2022'!AS37</f>
        <v>#REF!</v>
      </c>
      <c r="AT37" s="196" t="e">
        <f>#REF!-'IS 3Q2022'!AT37</f>
        <v>#REF!</v>
      </c>
      <c r="AU37" s="196" t="e">
        <f>#REF!-'IS 3Q2022'!AU37</f>
        <v>#REF!</v>
      </c>
      <c r="AV37" s="196" t="e">
        <f>#REF!-'IS 3Q2022'!AV37</f>
        <v>#REF!</v>
      </c>
    </row>
    <row r="38" spans="2:48" ht="15.6" x14ac:dyDescent="0.3">
      <c r="B38" s="583" t="s">
        <v>13</v>
      </c>
      <c r="C38" s="584"/>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5" t="s">
        <v>20</v>
      </c>
      <c r="W38" s="41" t="s">
        <v>20</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85"/>
      <c r="C39" s="586"/>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2" t="s">
        <v>25</v>
      </c>
      <c r="W39" s="42" t="s">
        <v>26</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99" t="s">
        <v>174</v>
      </c>
      <c r="C40" s="600"/>
      <c r="D40" s="14"/>
      <c r="E40" s="14"/>
      <c r="F40" s="14"/>
      <c r="G40" s="14"/>
      <c r="H40" s="40"/>
      <c r="I40" s="14"/>
      <c r="J40" s="14"/>
      <c r="K40" s="14"/>
      <c r="L40" s="14"/>
      <c r="M40" s="40"/>
      <c r="N40" s="14"/>
      <c r="O40" s="14"/>
      <c r="P40" s="14"/>
      <c r="Q40" s="14"/>
      <c r="R40" s="40"/>
      <c r="S40" s="14"/>
      <c r="T40" s="14"/>
      <c r="U40" s="14"/>
      <c r="V40" s="12"/>
      <c r="W40" s="42"/>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601" t="s">
        <v>175</v>
      </c>
      <c r="C41" s="602"/>
      <c r="D41" s="101" t="e">
        <f>#REF!-'IS 3Q2022'!D41</f>
        <v>#REF!</v>
      </c>
      <c r="E41" s="21" t="e">
        <f>#REF!-'IS 3Q2022'!E41</f>
        <v>#REF!</v>
      </c>
      <c r="F41" s="116" t="e">
        <f>#REF!-'IS 3Q2022'!F41</f>
        <v>#REF!</v>
      </c>
      <c r="G41" s="21" t="e">
        <f>#REF!-'IS 3Q2022'!G41</f>
        <v>#REF!</v>
      </c>
      <c r="H41" s="57" t="e">
        <f>#REF!-'IS 3Q2022'!H41</f>
        <v>#REF!</v>
      </c>
      <c r="I41" s="21" t="e">
        <f>#REF!-'IS 3Q2022'!I41</f>
        <v>#REF!</v>
      </c>
      <c r="J41" s="21" t="e">
        <f>#REF!-'IS 3Q2022'!J41</f>
        <v>#REF!</v>
      </c>
      <c r="K41" s="21" t="e">
        <f>#REF!-'IS 3Q2022'!K41</f>
        <v>#REF!</v>
      </c>
      <c r="L41" s="21" t="e">
        <f>#REF!-'IS 3Q2022'!L41</f>
        <v>#REF!</v>
      </c>
      <c r="M41" s="57" t="e">
        <f>#REF!-'IS 3Q2022'!M41</f>
        <v>#REF!</v>
      </c>
      <c r="N41" s="21" t="e">
        <f>#REF!-'IS 3Q2022'!N41</f>
        <v>#REF!</v>
      </c>
      <c r="O41" s="21" t="e">
        <f>#REF!-'IS 3Q2022'!O41</f>
        <v>#REF!</v>
      </c>
      <c r="P41" s="21" t="e">
        <f>#REF!-'IS 3Q2022'!P41</f>
        <v>#REF!</v>
      </c>
      <c r="Q41" s="21" t="e">
        <f>#REF!-'IS 3Q2022'!Q41</f>
        <v>#REF!</v>
      </c>
      <c r="R41" s="191" t="e">
        <f>#REF!-'IS 3Q2022'!R41</f>
        <v>#REF!</v>
      </c>
      <c r="S41" s="21" t="e">
        <f>#REF!-'IS 3Q2022'!S41</f>
        <v>#REF!</v>
      </c>
      <c r="T41" s="21" t="e">
        <f>#REF!-'IS 3Q2022'!T41</f>
        <v>#REF!</v>
      </c>
      <c r="U41" s="21" t="e">
        <f>#REF!-'IS 3Q2022'!U41</f>
        <v>#REF!</v>
      </c>
      <c r="V41" s="21" t="e">
        <f>#REF!-'IS 3Q2022'!V41</f>
        <v>#REF!</v>
      </c>
      <c r="W41" s="191" t="e">
        <f>#REF!-'IS 3Q2022'!W41</f>
        <v>#REF!</v>
      </c>
      <c r="X41" s="21" t="e">
        <f>#REF!-'IS 3Q2022'!X41</f>
        <v>#REF!</v>
      </c>
      <c r="Y41" s="21" t="e">
        <f>#REF!-'IS 3Q2022'!Y41</f>
        <v>#REF!</v>
      </c>
      <c r="Z41" s="21" t="e">
        <f>#REF!-'IS 3Q2022'!Z41</f>
        <v>#REF!</v>
      </c>
      <c r="AA41" s="21" t="e">
        <f>#REF!-'IS 3Q2022'!AA41</f>
        <v>#REF!</v>
      </c>
      <c r="AB41" s="191" t="e">
        <f>#REF!-'IS 3Q2022'!AB41</f>
        <v>#REF!</v>
      </c>
      <c r="AC41" s="21" t="e">
        <f>#REF!-'IS 3Q2022'!AC41</f>
        <v>#REF!</v>
      </c>
      <c r="AD41" s="21" t="e">
        <f>#REF!-'IS 3Q2022'!AD41</f>
        <v>#REF!</v>
      </c>
      <c r="AE41" s="21" t="e">
        <f>#REF!-'IS 3Q2022'!AE41</f>
        <v>#REF!</v>
      </c>
      <c r="AF41" s="21" t="e">
        <f>#REF!-'IS 3Q2022'!AF41</f>
        <v>#REF!</v>
      </c>
      <c r="AG41" s="191" t="e">
        <f>#REF!-'IS 3Q2022'!AG41</f>
        <v>#REF!</v>
      </c>
      <c r="AH41" s="21" t="e">
        <f>#REF!-'IS 3Q2022'!AH41</f>
        <v>#REF!</v>
      </c>
      <c r="AI41" s="21" t="e">
        <f>#REF!-'IS 3Q2022'!AI41</f>
        <v>#REF!</v>
      </c>
      <c r="AJ41" s="21" t="e">
        <f>#REF!-'IS 3Q2022'!AJ41</f>
        <v>#REF!</v>
      </c>
      <c r="AK41" s="21" t="e">
        <f>#REF!-'IS 3Q2022'!AK41</f>
        <v>#REF!</v>
      </c>
      <c r="AL41" s="191" t="e">
        <f>#REF!-'IS 3Q2022'!AL41</f>
        <v>#REF!</v>
      </c>
      <c r="AM41" s="21" t="e">
        <f>#REF!-'IS 3Q2022'!AM41</f>
        <v>#REF!</v>
      </c>
      <c r="AN41" s="21" t="e">
        <f>#REF!-'IS 3Q2022'!AN41</f>
        <v>#REF!</v>
      </c>
      <c r="AO41" s="21" t="e">
        <f>#REF!-'IS 3Q2022'!AO41</f>
        <v>#REF!</v>
      </c>
      <c r="AP41" s="21" t="e">
        <f>#REF!-'IS 3Q2022'!AP41</f>
        <v>#REF!</v>
      </c>
      <c r="AQ41" s="191" t="e">
        <f>#REF!-'IS 3Q2022'!AQ41</f>
        <v>#REF!</v>
      </c>
      <c r="AR41" s="21" t="e">
        <f>#REF!-'IS 3Q2022'!AR41</f>
        <v>#REF!</v>
      </c>
      <c r="AS41" s="21" t="e">
        <f>#REF!-'IS 3Q2022'!AS41</f>
        <v>#REF!</v>
      </c>
      <c r="AT41" s="21" t="e">
        <f>#REF!-'IS 3Q2022'!AT41</f>
        <v>#REF!</v>
      </c>
      <c r="AU41" s="21" t="e">
        <f>#REF!-'IS 3Q2022'!AU41</f>
        <v>#REF!</v>
      </c>
      <c r="AV41" s="191" t="e">
        <f>#REF!-'IS 3Q2022'!AV41</f>
        <v>#REF!</v>
      </c>
    </row>
    <row r="42" spans="2:48" outlineLevel="1" x14ac:dyDescent="0.3">
      <c r="B42" s="180" t="s">
        <v>46</v>
      </c>
      <c r="C42" s="201"/>
      <c r="D42" s="101" t="e">
        <f>#REF!-'IS 3Q2022'!D42</f>
        <v>#REF!</v>
      </c>
      <c r="E42" s="101" t="e">
        <f>#REF!-'IS 3Q2022'!E42</f>
        <v>#REF!</v>
      </c>
      <c r="F42" s="101" t="e">
        <f>#REF!-'IS 3Q2022'!F42</f>
        <v>#REF!</v>
      </c>
      <c r="G42" s="101" t="e">
        <f>#REF!-'IS 3Q2022'!G42</f>
        <v>#REF!</v>
      </c>
      <c r="H42" s="122" t="e">
        <f>#REF!-'IS 3Q2022'!H42</f>
        <v>#REF!</v>
      </c>
      <c r="I42" s="101" t="e">
        <f>#REF!-'IS 3Q2022'!I42</f>
        <v>#REF!</v>
      </c>
      <c r="J42" s="101" t="e">
        <f>#REF!-'IS 3Q2022'!J42</f>
        <v>#REF!</v>
      </c>
      <c r="K42" s="101" t="e">
        <f>#REF!-'IS 3Q2022'!K42</f>
        <v>#REF!</v>
      </c>
      <c r="L42" s="101" t="e">
        <f>#REF!-'IS 3Q2022'!L42</f>
        <v>#REF!</v>
      </c>
      <c r="M42" s="122" t="e">
        <f>#REF!-'IS 3Q2022'!M42</f>
        <v>#REF!</v>
      </c>
      <c r="N42" s="101" t="e">
        <f>#REF!-'IS 3Q2022'!N42</f>
        <v>#REF!</v>
      </c>
      <c r="O42" s="101" t="e">
        <f>#REF!-'IS 3Q2022'!O42</f>
        <v>#REF!</v>
      </c>
      <c r="P42" s="101" t="e">
        <f>#REF!-'IS 3Q2022'!P42</f>
        <v>#REF!</v>
      </c>
      <c r="Q42" s="101" t="e">
        <f>#REF!-'IS 3Q2022'!Q42</f>
        <v>#REF!</v>
      </c>
      <c r="R42" s="26" t="e">
        <f>#REF!-'IS 3Q2022'!R42</f>
        <v>#REF!</v>
      </c>
      <c r="S42" s="101" t="e">
        <f>#REF!-'IS 3Q2022'!S42</f>
        <v>#REF!</v>
      </c>
      <c r="T42" s="101" t="e">
        <f>#REF!-'IS 3Q2022'!T42</f>
        <v>#REF!</v>
      </c>
      <c r="U42" s="101" t="e">
        <f>#REF!-'IS 3Q2022'!U42</f>
        <v>#REF!</v>
      </c>
      <c r="V42" s="33" t="e">
        <f>#REF!-'IS 3Q2022'!V42</f>
        <v>#REF!</v>
      </c>
      <c r="W42" s="122" t="e">
        <f>#REF!-'IS 3Q2022'!W42</f>
        <v>#REF!</v>
      </c>
      <c r="X42" s="33" t="e">
        <f>#REF!-'IS 3Q2022'!X42</f>
        <v>#REF!</v>
      </c>
      <c r="Y42" s="33" t="e">
        <f>#REF!-'IS 3Q2022'!Y42</f>
        <v>#REF!</v>
      </c>
      <c r="Z42" s="33" t="e">
        <f>#REF!-'IS 3Q2022'!Z42</f>
        <v>#REF!</v>
      </c>
      <c r="AA42" s="33" t="e">
        <f>#REF!-'IS 3Q2022'!AA42</f>
        <v>#REF!</v>
      </c>
      <c r="AB42" s="26" t="e">
        <f>#REF!-'IS 3Q2022'!AB42</f>
        <v>#REF!</v>
      </c>
      <c r="AC42" s="33" t="e">
        <f>#REF!-'IS 3Q2022'!AC42</f>
        <v>#REF!</v>
      </c>
      <c r="AD42" s="33" t="e">
        <f>#REF!-'IS 3Q2022'!AD42</f>
        <v>#REF!</v>
      </c>
      <c r="AE42" s="33" t="e">
        <f>#REF!-'IS 3Q2022'!AE42</f>
        <v>#REF!</v>
      </c>
      <c r="AF42" s="33" t="e">
        <f>#REF!-'IS 3Q2022'!AF42</f>
        <v>#REF!</v>
      </c>
      <c r="AG42" s="26" t="e">
        <f>#REF!-'IS 3Q2022'!AG42</f>
        <v>#REF!</v>
      </c>
      <c r="AH42" s="33" t="e">
        <f>#REF!-'IS 3Q2022'!AH42</f>
        <v>#REF!</v>
      </c>
      <c r="AI42" s="33" t="e">
        <f>#REF!-'IS 3Q2022'!AI42</f>
        <v>#REF!</v>
      </c>
      <c r="AJ42" s="33" t="e">
        <f>#REF!-'IS 3Q2022'!AJ42</f>
        <v>#REF!</v>
      </c>
      <c r="AK42" s="33" t="e">
        <f>#REF!-'IS 3Q2022'!AK42</f>
        <v>#REF!</v>
      </c>
      <c r="AL42" s="26" t="e">
        <f>#REF!-'IS 3Q2022'!AL42</f>
        <v>#REF!</v>
      </c>
      <c r="AM42" s="33" t="e">
        <f>#REF!-'IS 3Q2022'!AM42</f>
        <v>#REF!</v>
      </c>
      <c r="AN42" s="33" t="e">
        <f>#REF!-'IS 3Q2022'!AN42</f>
        <v>#REF!</v>
      </c>
      <c r="AO42" s="33" t="e">
        <f>#REF!-'IS 3Q2022'!AO42</f>
        <v>#REF!</v>
      </c>
      <c r="AP42" s="33" t="e">
        <f>#REF!-'IS 3Q2022'!AP42</f>
        <v>#REF!</v>
      </c>
      <c r="AQ42" s="26" t="e">
        <f>#REF!-'IS 3Q2022'!AQ42</f>
        <v>#REF!</v>
      </c>
      <c r="AR42" s="33" t="e">
        <f>#REF!-'IS 3Q2022'!AR42</f>
        <v>#REF!</v>
      </c>
      <c r="AS42" s="33" t="e">
        <f>#REF!-'IS 3Q2022'!AS42</f>
        <v>#REF!</v>
      </c>
      <c r="AT42" s="33" t="e">
        <f>#REF!-'IS 3Q2022'!AT42</f>
        <v>#REF!</v>
      </c>
      <c r="AU42" s="33" t="e">
        <f>#REF!-'IS 3Q2022'!AU42</f>
        <v>#REF!</v>
      </c>
      <c r="AV42" s="26" t="e">
        <f>#REF!-'IS 3Q2022'!AV42</f>
        <v>#REF!</v>
      </c>
    </row>
    <row r="43" spans="2:48" outlineLevel="1" x14ac:dyDescent="0.3">
      <c r="B43" s="180" t="s">
        <v>201</v>
      </c>
      <c r="C43" s="201"/>
      <c r="D43" s="101" t="e">
        <f>#REF!-'IS 3Q2022'!D43</f>
        <v>#REF!</v>
      </c>
      <c r="E43" s="101" t="e">
        <f>#REF!-'IS 3Q2022'!E43</f>
        <v>#REF!</v>
      </c>
      <c r="F43" s="101" t="e">
        <f>#REF!-'IS 3Q2022'!F43</f>
        <v>#REF!</v>
      </c>
      <c r="G43" s="101" t="e">
        <f>#REF!-'IS 3Q2022'!G43</f>
        <v>#REF!</v>
      </c>
      <c r="H43" s="122" t="e">
        <f>#REF!-'IS 3Q2022'!H43</f>
        <v>#REF!</v>
      </c>
      <c r="I43" s="101" t="e">
        <f>#REF!-'IS 3Q2022'!I43</f>
        <v>#REF!</v>
      </c>
      <c r="J43" s="101" t="e">
        <f>#REF!-'IS 3Q2022'!J43</f>
        <v>#REF!</v>
      </c>
      <c r="K43" s="101" t="e">
        <f>#REF!-'IS 3Q2022'!K43</f>
        <v>#REF!</v>
      </c>
      <c r="L43" s="101" t="e">
        <f>#REF!-'IS 3Q2022'!L43</f>
        <v>#REF!</v>
      </c>
      <c r="M43" s="122" t="e">
        <f>#REF!-'IS 3Q2022'!M43</f>
        <v>#REF!</v>
      </c>
      <c r="N43" s="101" t="e">
        <f>#REF!-'IS 3Q2022'!N43</f>
        <v>#REF!</v>
      </c>
      <c r="O43" s="101" t="e">
        <f>#REF!-'IS 3Q2022'!O43</f>
        <v>#REF!</v>
      </c>
      <c r="P43" s="101" t="e">
        <f>#REF!-'IS 3Q2022'!P43</f>
        <v>#REF!</v>
      </c>
      <c r="Q43" s="101" t="e">
        <f>#REF!-'IS 3Q2022'!Q43</f>
        <v>#REF!</v>
      </c>
      <c r="R43" s="122" t="e">
        <f>#REF!-'IS 3Q2022'!R43</f>
        <v>#REF!</v>
      </c>
      <c r="S43" s="101" t="e">
        <f>#REF!-'IS 3Q2022'!S43</f>
        <v>#REF!</v>
      </c>
      <c r="T43" s="101" t="e">
        <f>#REF!-'IS 3Q2022'!T43</f>
        <v>#REF!</v>
      </c>
      <c r="U43" s="101" t="e">
        <f>#REF!-'IS 3Q2022'!U43</f>
        <v>#REF!</v>
      </c>
      <c r="V43" s="101" t="e">
        <f>#REF!-'IS 3Q2022'!V43</f>
        <v>#REF!</v>
      </c>
      <c r="W43" s="122" t="e">
        <f>#REF!-'IS 3Q2022'!W43</f>
        <v>#REF!</v>
      </c>
      <c r="X43" s="101" t="e">
        <f>#REF!-'IS 3Q2022'!X43</f>
        <v>#REF!</v>
      </c>
      <c r="Y43" s="101" t="e">
        <f>#REF!-'IS 3Q2022'!Y43</f>
        <v>#REF!</v>
      </c>
      <c r="Z43" s="101" t="e">
        <f>#REF!-'IS 3Q2022'!Z43</f>
        <v>#REF!</v>
      </c>
      <c r="AA43" s="101" t="e">
        <f>#REF!-'IS 3Q2022'!AA43</f>
        <v>#REF!</v>
      </c>
      <c r="AB43" s="122" t="e">
        <f>#REF!-'IS 3Q2022'!AB43</f>
        <v>#REF!</v>
      </c>
      <c r="AC43" s="101" t="e">
        <f>#REF!-'IS 3Q2022'!AC43</f>
        <v>#REF!</v>
      </c>
      <c r="AD43" s="101" t="e">
        <f>#REF!-'IS 3Q2022'!AD43</f>
        <v>#REF!</v>
      </c>
      <c r="AE43" s="101" t="e">
        <f>#REF!-'IS 3Q2022'!AE43</f>
        <v>#REF!</v>
      </c>
      <c r="AF43" s="101" t="e">
        <f>#REF!-'IS 3Q2022'!AF43</f>
        <v>#REF!</v>
      </c>
      <c r="AG43" s="122" t="e">
        <f>#REF!-'IS 3Q2022'!AG43</f>
        <v>#REF!</v>
      </c>
      <c r="AH43" s="101" t="e">
        <f>#REF!-'IS 3Q2022'!AH43</f>
        <v>#REF!</v>
      </c>
      <c r="AI43" s="101" t="e">
        <f>#REF!-'IS 3Q2022'!AI43</f>
        <v>#REF!</v>
      </c>
      <c r="AJ43" s="101" t="e">
        <f>#REF!-'IS 3Q2022'!AJ43</f>
        <v>#REF!</v>
      </c>
      <c r="AK43" s="101" t="e">
        <f>#REF!-'IS 3Q2022'!AK43</f>
        <v>#REF!</v>
      </c>
      <c r="AL43" s="122" t="e">
        <f>#REF!-'IS 3Q2022'!AL43</f>
        <v>#REF!</v>
      </c>
      <c r="AM43" s="101" t="e">
        <f>#REF!-'IS 3Q2022'!AM43</f>
        <v>#REF!</v>
      </c>
      <c r="AN43" s="101" t="e">
        <f>#REF!-'IS 3Q2022'!AN43</f>
        <v>#REF!</v>
      </c>
      <c r="AO43" s="101" t="e">
        <f>#REF!-'IS 3Q2022'!AO43</f>
        <v>#REF!</v>
      </c>
      <c r="AP43" s="101" t="e">
        <f>#REF!-'IS 3Q2022'!AP43</f>
        <v>#REF!</v>
      </c>
      <c r="AQ43" s="122" t="e">
        <f>#REF!-'IS 3Q2022'!AQ43</f>
        <v>#REF!</v>
      </c>
      <c r="AR43" s="101" t="e">
        <f>#REF!-'IS 3Q2022'!AR43</f>
        <v>#REF!</v>
      </c>
      <c r="AS43" s="101" t="e">
        <f>#REF!-'IS 3Q2022'!AS43</f>
        <v>#REF!</v>
      </c>
      <c r="AT43" s="101" t="e">
        <f>#REF!-'IS 3Q2022'!AT43</f>
        <v>#REF!</v>
      </c>
      <c r="AU43" s="101" t="e">
        <f>#REF!-'IS 3Q2022'!AU43</f>
        <v>#REF!</v>
      </c>
      <c r="AV43" s="122" t="e">
        <f>#REF!-'IS 3Q2022'!AV43</f>
        <v>#REF!</v>
      </c>
    </row>
    <row r="44" spans="2:48" s="8" customFormat="1" outlineLevel="1" x14ac:dyDescent="0.3">
      <c r="B44" s="180" t="s">
        <v>205</v>
      </c>
      <c r="C44" s="206"/>
      <c r="D44" s="43" t="e">
        <f>#REF!-'IS 3Q2022'!D44</f>
        <v>#REF!</v>
      </c>
      <c r="E44" s="43" t="e">
        <f>#REF!-'IS 3Q2022'!E44</f>
        <v>#REF!</v>
      </c>
      <c r="F44" s="43" t="e">
        <f>#REF!-'IS 3Q2022'!F44</f>
        <v>#REF!</v>
      </c>
      <c r="G44" s="43" t="e">
        <f>#REF!-'IS 3Q2022'!G44</f>
        <v>#REF!</v>
      </c>
      <c r="H44" s="97" t="e">
        <f>#REF!-'IS 3Q2022'!H44</f>
        <v>#REF!</v>
      </c>
      <c r="I44" s="43" t="e">
        <f>#REF!-'IS 3Q2022'!I44</f>
        <v>#REF!</v>
      </c>
      <c r="J44" s="43" t="e">
        <f>#REF!-'IS 3Q2022'!J44</f>
        <v>#REF!</v>
      </c>
      <c r="K44" s="43" t="e">
        <f>#REF!-'IS 3Q2022'!K44</f>
        <v>#REF!</v>
      </c>
      <c r="L44" s="43" t="e">
        <f>#REF!-'IS 3Q2022'!L44</f>
        <v>#REF!</v>
      </c>
      <c r="M44" s="97" t="e">
        <f>#REF!-'IS 3Q2022'!M44</f>
        <v>#REF!</v>
      </c>
      <c r="N44" s="43" t="e">
        <f>#REF!-'IS 3Q2022'!N44</f>
        <v>#REF!</v>
      </c>
      <c r="O44" s="43" t="e">
        <f>#REF!-'IS 3Q2022'!O44</f>
        <v>#REF!</v>
      </c>
      <c r="P44" s="43" t="e">
        <f>#REF!-'IS 3Q2022'!P44</f>
        <v>#REF!</v>
      </c>
      <c r="Q44" s="43" t="e">
        <f>#REF!-'IS 3Q2022'!Q44</f>
        <v>#REF!</v>
      </c>
      <c r="R44" s="97" t="e">
        <f>#REF!-'IS 3Q2022'!R44</f>
        <v>#REF!</v>
      </c>
      <c r="S44" s="43" t="e">
        <f>#REF!-'IS 3Q2022'!S44</f>
        <v>#REF!</v>
      </c>
      <c r="T44" s="43" t="e">
        <f>#REF!-'IS 3Q2022'!T44</f>
        <v>#REF!</v>
      </c>
      <c r="U44" s="43" t="e">
        <f>#REF!-'IS 3Q2022'!U44</f>
        <v>#REF!</v>
      </c>
      <c r="V44" s="219" t="e">
        <f>#REF!-'IS 3Q2022'!V44</f>
        <v>#REF!</v>
      </c>
      <c r="W44" s="132" t="e">
        <f>#REF!-'IS 3Q2022'!W44</f>
        <v>#REF!</v>
      </c>
      <c r="X44" s="219" t="e">
        <f>#REF!-'IS 3Q2022'!X44</f>
        <v>#REF!</v>
      </c>
      <c r="Y44" s="219" t="e">
        <f>#REF!-'IS 3Q2022'!Y44</f>
        <v>#REF!</v>
      </c>
      <c r="Z44" s="219" t="e">
        <f>#REF!-'IS 3Q2022'!Z44</f>
        <v>#REF!</v>
      </c>
      <c r="AA44" s="219" t="e">
        <f>#REF!-'IS 3Q2022'!AA44</f>
        <v>#REF!</v>
      </c>
      <c r="AB44" s="97" t="e">
        <f>#REF!-'IS 3Q2022'!AB44</f>
        <v>#REF!</v>
      </c>
      <c r="AC44" s="219" t="e">
        <f>#REF!-'IS 3Q2022'!AC44</f>
        <v>#REF!</v>
      </c>
      <c r="AD44" s="219" t="e">
        <f>#REF!-'IS 3Q2022'!AD44</f>
        <v>#REF!</v>
      </c>
      <c r="AE44" s="219" t="e">
        <f>#REF!-'IS 3Q2022'!AE44</f>
        <v>#REF!</v>
      </c>
      <c r="AF44" s="219" t="e">
        <f>#REF!-'IS 3Q2022'!AF44</f>
        <v>#REF!</v>
      </c>
      <c r="AG44" s="97" t="e">
        <f>#REF!-'IS 3Q2022'!AG44</f>
        <v>#REF!</v>
      </c>
      <c r="AH44" s="219" t="e">
        <f>#REF!-'IS 3Q2022'!AH44</f>
        <v>#REF!</v>
      </c>
      <c r="AI44" s="219" t="e">
        <f>#REF!-'IS 3Q2022'!AI44</f>
        <v>#REF!</v>
      </c>
      <c r="AJ44" s="219" t="e">
        <f>#REF!-'IS 3Q2022'!AJ44</f>
        <v>#REF!</v>
      </c>
      <c r="AK44" s="219" t="e">
        <f>#REF!-'IS 3Q2022'!AK44</f>
        <v>#REF!</v>
      </c>
      <c r="AL44" s="97" t="e">
        <f>#REF!-'IS 3Q2022'!AL44</f>
        <v>#REF!</v>
      </c>
      <c r="AM44" s="219" t="e">
        <f>#REF!-'IS 3Q2022'!AM44</f>
        <v>#REF!</v>
      </c>
      <c r="AN44" s="219" t="e">
        <f>#REF!-'IS 3Q2022'!AN44</f>
        <v>#REF!</v>
      </c>
      <c r="AO44" s="219" t="e">
        <f>#REF!-'IS 3Q2022'!AO44</f>
        <v>#REF!</v>
      </c>
      <c r="AP44" s="219" t="e">
        <f>#REF!-'IS 3Q2022'!AP44</f>
        <v>#REF!</v>
      </c>
      <c r="AQ44" s="97" t="e">
        <f>#REF!-'IS 3Q2022'!AQ44</f>
        <v>#REF!</v>
      </c>
      <c r="AR44" s="219" t="e">
        <f>#REF!-'IS 3Q2022'!AR44</f>
        <v>#REF!</v>
      </c>
      <c r="AS44" s="219" t="e">
        <f>#REF!-'IS 3Q2022'!AS44</f>
        <v>#REF!</v>
      </c>
      <c r="AT44" s="219" t="e">
        <f>#REF!-'IS 3Q2022'!AT44</f>
        <v>#REF!</v>
      </c>
      <c r="AU44" s="219" t="e">
        <f>#REF!-'IS 3Q2022'!AU44</f>
        <v>#REF!</v>
      </c>
      <c r="AV44" s="97" t="e">
        <f>#REF!-'IS 3Q2022'!AV44</f>
        <v>#REF!</v>
      </c>
    </row>
    <row r="45" spans="2:48" s="8" customFormat="1" outlineLevel="1" x14ac:dyDescent="0.3">
      <c r="B45" s="587" t="s">
        <v>176</v>
      </c>
      <c r="C45" s="588"/>
      <c r="D45" s="50" t="e">
        <f>#REF!-'IS 3Q2022'!D45</f>
        <v>#REF!</v>
      </c>
      <c r="E45" s="50" t="e">
        <f>#REF!-'IS 3Q2022'!E45</f>
        <v>#REF!</v>
      </c>
      <c r="F45" s="50" t="e">
        <f>#REF!-'IS 3Q2022'!F45</f>
        <v>#REF!</v>
      </c>
      <c r="G45" s="50" t="e">
        <f>#REF!-'IS 3Q2022'!G45</f>
        <v>#REF!</v>
      </c>
      <c r="H45" s="97" t="e">
        <f>#REF!-'IS 3Q2022'!H45</f>
        <v>#REF!</v>
      </c>
      <c r="I45" s="50" t="e">
        <f>#REF!-'IS 3Q2022'!I45</f>
        <v>#REF!</v>
      </c>
      <c r="J45" s="50" t="e">
        <f>#REF!-'IS 3Q2022'!J45</f>
        <v>#REF!</v>
      </c>
      <c r="K45" s="103" t="e">
        <f>#REF!-'IS 3Q2022'!K45</f>
        <v>#REF!</v>
      </c>
      <c r="L45" s="50" t="e">
        <f>#REF!-'IS 3Q2022'!L45</f>
        <v>#REF!</v>
      </c>
      <c r="M45" s="97" t="e">
        <f>#REF!-'IS 3Q2022'!M45</f>
        <v>#REF!</v>
      </c>
      <c r="N45" s="50" t="e">
        <f>#REF!-'IS 3Q2022'!N45</f>
        <v>#REF!</v>
      </c>
      <c r="O45" s="50" t="e">
        <f>#REF!-'IS 3Q2022'!O45</f>
        <v>#REF!</v>
      </c>
      <c r="P45" s="50" t="e">
        <f>#REF!-'IS 3Q2022'!P45</f>
        <v>#REF!</v>
      </c>
      <c r="Q45" s="103" t="e">
        <f>#REF!-'IS 3Q2022'!Q45</f>
        <v>#REF!</v>
      </c>
      <c r="R45" s="132" t="e">
        <f>#REF!-'IS 3Q2022'!R45</f>
        <v>#REF!</v>
      </c>
      <c r="S45" s="50" t="e">
        <f>#REF!-'IS 3Q2022'!S45</f>
        <v>#REF!</v>
      </c>
      <c r="T45" s="50" t="e">
        <f>#REF!-'IS 3Q2022'!T45</f>
        <v>#REF!</v>
      </c>
      <c r="U45" s="50" t="e">
        <f>#REF!-'IS 3Q2022'!U45</f>
        <v>#REF!</v>
      </c>
      <c r="V45" s="50" t="e">
        <f>#REF!-'IS 3Q2022'!V45</f>
        <v>#REF!</v>
      </c>
      <c r="W45" s="132" t="e">
        <f>#REF!-'IS 3Q2022'!W45</f>
        <v>#REF!</v>
      </c>
      <c r="X45" s="50" t="e">
        <f>#REF!-'IS 3Q2022'!X45</f>
        <v>#REF!</v>
      </c>
      <c r="Y45" s="50" t="e">
        <f>#REF!-'IS 3Q2022'!Y45</f>
        <v>#REF!</v>
      </c>
      <c r="Z45" s="50" t="e">
        <f>#REF!-'IS 3Q2022'!Z45</f>
        <v>#REF!</v>
      </c>
      <c r="AA45" s="50" t="e">
        <f>#REF!-'IS 3Q2022'!AA45</f>
        <v>#REF!</v>
      </c>
      <c r="AB45" s="97" t="e">
        <f>#REF!-'IS 3Q2022'!AB45</f>
        <v>#REF!</v>
      </c>
      <c r="AC45" s="50" t="e">
        <f>#REF!-'IS 3Q2022'!AC45</f>
        <v>#REF!</v>
      </c>
      <c r="AD45" s="50" t="e">
        <f>#REF!-'IS 3Q2022'!AD45</f>
        <v>#REF!</v>
      </c>
      <c r="AE45" s="50" t="e">
        <f>#REF!-'IS 3Q2022'!AE45</f>
        <v>#REF!</v>
      </c>
      <c r="AF45" s="50" t="e">
        <f>#REF!-'IS 3Q2022'!AF45</f>
        <v>#REF!</v>
      </c>
      <c r="AG45" s="97" t="e">
        <f>#REF!-'IS 3Q2022'!AG45</f>
        <v>#REF!</v>
      </c>
      <c r="AH45" s="50" t="e">
        <f>#REF!-'IS 3Q2022'!AH45</f>
        <v>#REF!</v>
      </c>
      <c r="AI45" s="50" t="e">
        <f>#REF!-'IS 3Q2022'!AI45</f>
        <v>#REF!</v>
      </c>
      <c r="AJ45" s="50" t="e">
        <f>#REF!-'IS 3Q2022'!AJ45</f>
        <v>#REF!</v>
      </c>
      <c r="AK45" s="50" t="e">
        <f>#REF!-'IS 3Q2022'!AK45</f>
        <v>#REF!</v>
      </c>
      <c r="AL45" s="97" t="e">
        <f>#REF!-'IS 3Q2022'!AL45</f>
        <v>#REF!</v>
      </c>
      <c r="AM45" s="50" t="e">
        <f>#REF!-'IS 3Q2022'!AM45</f>
        <v>#REF!</v>
      </c>
      <c r="AN45" s="50" t="e">
        <f>#REF!-'IS 3Q2022'!AN45</f>
        <v>#REF!</v>
      </c>
      <c r="AO45" s="50" t="e">
        <f>#REF!-'IS 3Q2022'!AO45</f>
        <v>#REF!</v>
      </c>
      <c r="AP45" s="50" t="e">
        <f>#REF!-'IS 3Q2022'!AP45</f>
        <v>#REF!</v>
      </c>
      <c r="AQ45" s="97" t="e">
        <f>#REF!-'IS 3Q2022'!AQ45</f>
        <v>#REF!</v>
      </c>
      <c r="AR45" s="50" t="e">
        <f>#REF!-'IS 3Q2022'!AR45</f>
        <v>#REF!</v>
      </c>
      <c r="AS45" s="50" t="e">
        <f>#REF!-'IS 3Q2022'!AS45</f>
        <v>#REF!</v>
      </c>
      <c r="AT45" s="50" t="e">
        <f>#REF!-'IS 3Q2022'!AT45</f>
        <v>#REF!</v>
      </c>
      <c r="AU45" s="50" t="e">
        <f>#REF!-'IS 3Q2022'!AU45</f>
        <v>#REF!</v>
      </c>
      <c r="AV45" s="97" t="e">
        <f>#REF!-'IS 3Q2022'!AV45</f>
        <v>#REF!</v>
      </c>
    </row>
    <row r="46" spans="2:48" s="8" customFormat="1" outlineLevel="1" x14ac:dyDescent="0.3">
      <c r="B46" s="38" t="s">
        <v>200</v>
      </c>
      <c r="C46" s="206"/>
      <c r="D46" s="43" t="e">
        <f>#REF!-'IS 3Q2022'!D46</f>
        <v>#REF!</v>
      </c>
      <c r="E46" s="43" t="e">
        <f>#REF!-'IS 3Q2022'!E46</f>
        <v>#REF!</v>
      </c>
      <c r="F46" s="43" t="e">
        <f>#REF!-'IS 3Q2022'!F46</f>
        <v>#REF!</v>
      </c>
      <c r="G46" s="43" t="e">
        <f>#REF!-'IS 3Q2022'!G46</f>
        <v>#REF!</v>
      </c>
      <c r="H46" s="97" t="e">
        <f>#REF!-'IS 3Q2022'!H46</f>
        <v>#REF!</v>
      </c>
      <c r="I46" s="27" t="e">
        <f>#REF!-'IS 3Q2022'!I46</f>
        <v>#REF!</v>
      </c>
      <c r="J46" s="27" t="e">
        <f>#REF!-'IS 3Q2022'!J46</f>
        <v>#REF!</v>
      </c>
      <c r="K46" s="27" t="e">
        <f>#REF!-'IS 3Q2022'!K46</f>
        <v>#REF!</v>
      </c>
      <c r="L46" s="27" t="e">
        <f>#REF!-'IS 3Q2022'!L46</f>
        <v>#REF!</v>
      </c>
      <c r="M46" s="97" t="e">
        <f>#REF!-'IS 3Q2022'!M46</f>
        <v>#REF!</v>
      </c>
      <c r="N46" s="27" t="e">
        <f>#REF!-'IS 3Q2022'!N46</f>
        <v>#REF!</v>
      </c>
      <c r="O46" s="27" t="e">
        <f>#REF!-'IS 3Q2022'!O46</f>
        <v>#REF!</v>
      </c>
      <c r="P46" s="27" t="e">
        <f>#REF!-'IS 3Q2022'!P46</f>
        <v>#REF!</v>
      </c>
      <c r="Q46" s="27" t="e">
        <f>#REF!-'IS 3Q2022'!Q46</f>
        <v>#REF!</v>
      </c>
      <c r="R46" s="97" t="e">
        <f>#REF!-'IS 3Q2022'!R46</f>
        <v>#REF!</v>
      </c>
      <c r="S46" s="27" t="e">
        <f>#REF!-'IS 3Q2022'!S46</f>
        <v>#REF!</v>
      </c>
      <c r="T46" s="27" t="e">
        <f>#REF!-'IS 3Q2022'!T46</f>
        <v>#REF!</v>
      </c>
      <c r="U46" s="27" t="e">
        <f>#REF!-'IS 3Q2022'!U46</f>
        <v>#REF!</v>
      </c>
      <c r="V46" s="27" t="e">
        <f>#REF!-'IS 3Q2022'!V46</f>
        <v>#REF!</v>
      </c>
      <c r="W46" s="98" t="e">
        <f>#REF!-'IS 3Q2022'!W46</f>
        <v>#REF!</v>
      </c>
      <c r="X46" s="27" t="e">
        <f>#REF!-'IS 3Q2022'!X46</f>
        <v>#REF!</v>
      </c>
      <c r="Y46" s="27" t="e">
        <f>#REF!-'IS 3Q2022'!Y46</f>
        <v>#REF!</v>
      </c>
      <c r="Z46" s="27" t="e">
        <f>#REF!-'IS 3Q2022'!Z46</f>
        <v>#REF!</v>
      </c>
      <c r="AA46" s="27" t="e">
        <f>#REF!-'IS 3Q2022'!AA46</f>
        <v>#REF!</v>
      </c>
      <c r="AB46" s="98" t="e">
        <f>#REF!-'IS 3Q2022'!AB46</f>
        <v>#REF!</v>
      </c>
      <c r="AC46" s="27" t="e">
        <f>#REF!-'IS 3Q2022'!AC46</f>
        <v>#REF!</v>
      </c>
      <c r="AD46" s="27" t="e">
        <f>#REF!-'IS 3Q2022'!AD46</f>
        <v>#REF!</v>
      </c>
      <c r="AE46" s="27" t="e">
        <f>#REF!-'IS 3Q2022'!AE46</f>
        <v>#REF!</v>
      </c>
      <c r="AF46" s="27" t="e">
        <f>#REF!-'IS 3Q2022'!AF46</f>
        <v>#REF!</v>
      </c>
      <c r="AG46" s="98" t="e">
        <f>#REF!-'IS 3Q2022'!AG46</f>
        <v>#REF!</v>
      </c>
      <c r="AH46" s="27" t="e">
        <f>#REF!-'IS 3Q2022'!AH46</f>
        <v>#REF!</v>
      </c>
      <c r="AI46" s="27" t="e">
        <f>#REF!-'IS 3Q2022'!AI46</f>
        <v>#REF!</v>
      </c>
      <c r="AJ46" s="27" t="e">
        <f>#REF!-'IS 3Q2022'!AJ46</f>
        <v>#REF!</v>
      </c>
      <c r="AK46" s="27" t="e">
        <f>#REF!-'IS 3Q2022'!AK46</f>
        <v>#REF!</v>
      </c>
      <c r="AL46" s="98" t="e">
        <f>#REF!-'IS 3Q2022'!AL46</f>
        <v>#REF!</v>
      </c>
      <c r="AM46" s="27" t="e">
        <f>#REF!-'IS 3Q2022'!AM46</f>
        <v>#REF!</v>
      </c>
      <c r="AN46" s="27" t="e">
        <f>#REF!-'IS 3Q2022'!AN46</f>
        <v>#REF!</v>
      </c>
      <c r="AO46" s="27" t="e">
        <f>#REF!-'IS 3Q2022'!AO46</f>
        <v>#REF!</v>
      </c>
      <c r="AP46" s="27" t="e">
        <f>#REF!-'IS 3Q2022'!AP46</f>
        <v>#REF!</v>
      </c>
      <c r="AQ46" s="98" t="e">
        <f>#REF!-'IS 3Q2022'!AQ46</f>
        <v>#REF!</v>
      </c>
      <c r="AR46" s="27" t="e">
        <f>#REF!-'IS 3Q2022'!AR46</f>
        <v>#REF!</v>
      </c>
      <c r="AS46" s="27" t="e">
        <f>#REF!-'IS 3Q2022'!AS46</f>
        <v>#REF!</v>
      </c>
      <c r="AT46" s="27" t="e">
        <f>#REF!-'IS 3Q2022'!AT46</f>
        <v>#REF!</v>
      </c>
      <c r="AU46" s="27" t="e">
        <f>#REF!-'IS 3Q2022'!AU46</f>
        <v>#REF!</v>
      </c>
      <c r="AV46" s="98" t="e">
        <f>#REF!-'IS 3Q2022'!AV46</f>
        <v>#REF!</v>
      </c>
    </row>
    <row r="47" spans="2:48" outlineLevel="1" x14ac:dyDescent="0.3">
      <c r="B47" s="220" t="s">
        <v>44</v>
      </c>
      <c r="C47" s="221"/>
      <c r="D47" s="222" t="e">
        <f>#REF!-'IS 3Q2022'!D47</f>
        <v>#REF!</v>
      </c>
      <c r="E47" s="222" t="e">
        <f>#REF!-'IS 3Q2022'!E47</f>
        <v>#REF!</v>
      </c>
      <c r="F47" s="222" t="e">
        <f>#REF!-'IS 3Q2022'!F47</f>
        <v>#REF!</v>
      </c>
      <c r="G47" s="222" t="e">
        <f>#REF!-'IS 3Q2022'!G47</f>
        <v>#REF!</v>
      </c>
      <c r="H47" s="223" t="e">
        <f>#REF!-'IS 3Q2022'!H47</f>
        <v>#REF!</v>
      </c>
      <c r="I47" s="222" t="e">
        <f>#REF!-'IS 3Q2022'!I47</f>
        <v>#REF!</v>
      </c>
      <c r="J47" s="222" t="e">
        <f>#REF!-'IS 3Q2022'!J47</f>
        <v>#REF!</v>
      </c>
      <c r="K47" s="222" t="e">
        <f>#REF!-'IS 3Q2022'!K47</f>
        <v>#REF!</v>
      </c>
      <c r="L47" s="224" t="e">
        <f>#REF!-'IS 3Q2022'!L47</f>
        <v>#REF!</v>
      </c>
      <c r="M47" s="223" t="e">
        <f>#REF!-'IS 3Q2022'!M47</f>
        <v>#REF!</v>
      </c>
      <c r="N47" s="222" t="e">
        <f>#REF!-'IS 3Q2022'!N47</f>
        <v>#REF!</v>
      </c>
      <c r="O47" s="222" t="e">
        <f>#REF!-'IS 3Q2022'!O47</f>
        <v>#REF!</v>
      </c>
      <c r="P47" s="222" t="e">
        <f>#REF!-'IS 3Q2022'!P47</f>
        <v>#REF!</v>
      </c>
      <c r="Q47" s="222" t="e">
        <f>#REF!-'IS 3Q2022'!Q47</f>
        <v>#REF!</v>
      </c>
      <c r="R47" s="225" t="e">
        <f>#REF!-'IS 3Q2022'!R47</f>
        <v>#REF!</v>
      </c>
      <c r="S47" s="224" t="e">
        <f>#REF!-'IS 3Q2022'!S47</f>
        <v>#REF!</v>
      </c>
      <c r="T47" s="224" t="e">
        <f>#REF!-'IS 3Q2022'!T47</f>
        <v>#REF!</v>
      </c>
      <c r="U47" s="224" t="e">
        <f>#REF!-'IS 3Q2022'!U47</f>
        <v>#REF!</v>
      </c>
      <c r="V47" s="224" t="e">
        <f>#REF!-'IS 3Q2022'!V47</f>
        <v>#REF!</v>
      </c>
      <c r="W47" s="223" t="e">
        <f>#REF!-'IS 3Q2022'!W47</f>
        <v>#REF!</v>
      </c>
      <c r="X47" s="224" t="e">
        <f>#REF!-'IS 3Q2022'!X47</f>
        <v>#REF!</v>
      </c>
      <c r="Y47" s="224" t="e">
        <f>#REF!-'IS 3Q2022'!Y47</f>
        <v>#REF!</v>
      </c>
      <c r="Z47" s="224" t="e">
        <f>#REF!-'IS 3Q2022'!Z47</f>
        <v>#REF!</v>
      </c>
      <c r="AA47" s="224" t="e">
        <f>#REF!-'IS 3Q2022'!AA47</f>
        <v>#REF!</v>
      </c>
      <c r="AB47" s="376" t="e">
        <f>#REF!-'IS 3Q2022'!AB47</f>
        <v>#REF!</v>
      </c>
      <c r="AC47" s="224" t="e">
        <f>#REF!-'IS 3Q2022'!AC47</f>
        <v>#REF!</v>
      </c>
      <c r="AD47" s="224" t="e">
        <f>#REF!-'IS 3Q2022'!AD47</f>
        <v>#REF!</v>
      </c>
      <c r="AE47" s="224" t="e">
        <f>#REF!-'IS 3Q2022'!AE47</f>
        <v>#REF!</v>
      </c>
      <c r="AF47" s="224" t="e">
        <f>#REF!-'IS 3Q2022'!AF47</f>
        <v>#REF!</v>
      </c>
      <c r="AG47" s="225" t="e">
        <f>#REF!-'IS 3Q2022'!AG47</f>
        <v>#REF!</v>
      </c>
      <c r="AH47" s="224" t="e">
        <f>#REF!-'IS 3Q2022'!AH47</f>
        <v>#REF!</v>
      </c>
      <c r="AI47" s="224" t="e">
        <f>#REF!-'IS 3Q2022'!AI47</f>
        <v>#REF!</v>
      </c>
      <c r="AJ47" s="224" t="e">
        <f>#REF!-'IS 3Q2022'!AJ47</f>
        <v>#REF!</v>
      </c>
      <c r="AK47" s="224" t="e">
        <f>#REF!-'IS 3Q2022'!AK47</f>
        <v>#REF!</v>
      </c>
      <c r="AL47" s="225" t="e">
        <f>#REF!-'IS 3Q2022'!AL47</f>
        <v>#REF!</v>
      </c>
      <c r="AM47" s="224" t="e">
        <f>#REF!-'IS 3Q2022'!AM47</f>
        <v>#REF!</v>
      </c>
      <c r="AN47" s="224" t="e">
        <f>#REF!-'IS 3Q2022'!AN47</f>
        <v>#REF!</v>
      </c>
      <c r="AO47" s="224" t="e">
        <f>#REF!-'IS 3Q2022'!AO47</f>
        <v>#REF!</v>
      </c>
      <c r="AP47" s="224" t="e">
        <f>#REF!-'IS 3Q2022'!AP47</f>
        <v>#REF!</v>
      </c>
      <c r="AQ47" s="225" t="e">
        <f>#REF!-'IS 3Q2022'!AQ47</f>
        <v>#REF!</v>
      </c>
      <c r="AR47" s="224" t="e">
        <f>#REF!-'IS 3Q2022'!AR47</f>
        <v>#REF!</v>
      </c>
      <c r="AS47" s="224" t="e">
        <f>#REF!-'IS 3Q2022'!AS47</f>
        <v>#REF!</v>
      </c>
      <c r="AT47" s="224" t="e">
        <f>#REF!-'IS 3Q2022'!AT47</f>
        <v>#REF!</v>
      </c>
      <c r="AU47" s="224" t="e">
        <f>#REF!-'IS 3Q2022'!AU47</f>
        <v>#REF!</v>
      </c>
      <c r="AV47" s="225" t="e">
        <f>#REF!-'IS 3Q2022'!AV47</f>
        <v>#REF!</v>
      </c>
    </row>
    <row r="48" spans="2:48" outlineLevel="1" x14ac:dyDescent="0.3">
      <c r="B48" s="38" t="s">
        <v>43</v>
      </c>
      <c r="C48" s="207"/>
      <c r="D48" s="226" t="e">
        <f>#REF!-'IS 3Q2022'!D48</f>
        <v>#REF!</v>
      </c>
      <c r="E48" s="226" t="e">
        <f>#REF!-'IS 3Q2022'!E48</f>
        <v>#REF!</v>
      </c>
      <c r="F48" s="226" t="e">
        <f>#REF!-'IS 3Q2022'!F48</f>
        <v>#REF!</v>
      </c>
      <c r="G48" s="226" t="e">
        <f>#REF!-'IS 3Q2022'!G48</f>
        <v>#REF!</v>
      </c>
      <c r="H48" s="217" t="e">
        <f>#REF!-'IS 3Q2022'!H48</f>
        <v>#REF!</v>
      </c>
      <c r="I48" s="226" t="e">
        <f>#REF!-'IS 3Q2022'!I48</f>
        <v>#REF!</v>
      </c>
      <c r="J48" s="226" t="e">
        <f>#REF!-'IS 3Q2022'!J48</f>
        <v>#REF!</v>
      </c>
      <c r="K48" s="226" t="e">
        <f>#REF!-'IS 3Q2022'!K48</f>
        <v>#REF!</v>
      </c>
      <c r="L48" s="227" t="e">
        <f>#REF!-'IS 3Q2022'!L48</f>
        <v>#REF!</v>
      </c>
      <c r="M48" s="217" t="e">
        <f>#REF!-'IS 3Q2022'!M48</f>
        <v>#REF!</v>
      </c>
      <c r="N48" s="226" t="e">
        <f>#REF!-'IS 3Q2022'!N48</f>
        <v>#REF!</v>
      </c>
      <c r="O48" s="226" t="e">
        <f>#REF!-'IS 3Q2022'!O48</f>
        <v>#REF!</v>
      </c>
      <c r="P48" s="226" t="e">
        <f>#REF!-'IS 3Q2022'!P48</f>
        <v>#REF!</v>
      </c>
      <c r="Q48" s="226" t="e">
        <f>#REF!-'IS 3Q2022'!Q48</f>
        <v>#REF!</v>
      </c>
      <c r="R48" s="218" t="e">
        <f>#REF!-'IS 3Q2022'!R48</f>
        <v>#REF!</v>
      </c>
      <c r="S48" s="227" t="e">
        <f>#REF!-'IS 3Q2022'!S48</f>
        <v>#REF!</v>
      </c>
      <c r="T48" s="227" t="e">
        <f>#REF!-'IS 3Q2022'!T48</f>
        <v>#REF!</v>
      </c>
      <c r="U48" s="228" t="e">
        <f>#REF!-'IS 3Q2022'!U48</f>
        <v>#REF!</v>
      </c>
      <c r="V48" s="228" t="e">
        <f>#REF!-'IS 3Q2022'!V48</f>
        <v>#REF!</v>
      </c>
      <c r="W48" s="148" t="e">
        <f>#REF!-'IS 3Q2022'!W48</f>
        <v>#REF!</v>
      </c>
      <c r="X48" s="228" t="e">
        <f>#REF!-'IS 3Q2022'!X48</f>
        <v>#REF!</v>
      </c>
      <c r="Y48" s="228" t="e">
        <f>#REF!-'IS 3Q2022'!Y48</f>
        <v>#REF!</v>
      </c>
      <c r="Z48" s="228" t="e">
        <f>#REF!-'IS 3Q2022'!Z48</f>
        <v>#REF!</v>
      </c>
      <c r="AA48" s="228" t="e">
        <f>#REF!-'IS 3Q2022'!AA48</f>
        <v>#REF!</v>
      </c>
      <c r="AB48" s="362" t="e">
        <f>#REF!-'IS 3Q2022'!AB48</f>
        <v>#REF!</v>
      </c>
      <c r="AC48" s="228" t="e">
        <f>#REF!-'IS 3Q2022'!AC48</f>
        <v>#REF!</v>
      </c>
      <c r="AD48" s="228" t="e">
        <f>#REF!-'IS 3Q2022'!AD48</f>
        <v>#REF!</v>
      </c>
      <c r="AE48" s="228" t="e">
        <f>#REF!-'IS 3Q2022'!AE48</f>
        <v>#REF!</v>
      </c>
      <c r="AF48" s="228" t="e">
        <f>#REF!-'IS 3Q2022'!AF48</f>
        <v>#REF!</v>
      </c>
      <c r="AG48" s="60" t="e">
        <f>#REF!-'IS 3Q2022'!AG48</f>
        <v>#REF!</v>
      </c>
      <c r="AH48" s="228" t="e">
        <f>#REF!-'IS 3Q2022'!AH48</f>
        <v>#REF!</v>
      </c>
      <c r="AI48" s="228" t="e">
        <f>#REF!-'IS 3Q2022'!AI48</f>
        <v>#REF!</v>
      </c>
      <c r="AJ48" s="228" t="e">
        <f>#REF!-'IS 3Q2022'!AJ48</f>
        <v>#REF!</v>
      </c>
      <c r="AK48" s="228" t="e">
        <f>#REF!-'IS 3Q2022'!AK48</f>
        <v>#REF!</v>
      </c>
      <c r="AL48" s="60" t="e">
        <f>#REF!-'IS 3Q2022'!AL48</f>
        <v>#REF!</v>
      </c>
      <c r="AM48" s="228" t="e">
        <f>#REF!-'IS 3Q2022'!AM48</f>
        <v>#REF!</v>
      </c>
      <c r="AN48" s="228" t="e">
        <f>#REF!-'IS 3Q2022'!AN48</f>
        <v>#REF!</v>
      </c>
      <c r="AO48" s="228" t="e">
        <f>#REF!-'IS 3Q2022'!AO48</f>
        <v>#REF!</v>
      </c>
      <c r="AP48" s="228" t="e">
        <f>#REF!-'IS 3Q2022'!AP48</f>
        <v>#REF!</v>
      </c>
      <c r="AQ48" s="60" t="e">
        <f>#REF!-'IS 3Q2022'!AQ48</f>
        <v>#REF!</v>
      </c>
      <c r="AR48" s="228" t="e">
        <f>#REF!-'IS 3Q2022'!AR48</f>
        <v>#REF!</v>
      </c>
      <c r="AS48" s="228" t="e">
        <f>#REF!-'IS 3Q2022'!AS48</f>
        <v>#REF!</v>
      </c>
      <c r="AT48" s="228" t="e">
        <f>#REF!-'IS 3Q2022'!AT48</f>
        <v>#REF!</v>
      </c>
      <c r="AU48" s="228" t="e">
        <f>#REF!-'IS 3Q2022'!AU48</f>
        <v>#REF!</v>
      </c>
      <c r="AV48" s="60" t="e">
        <f>#REF!-'IS 3Q2022'!AV48</f>
        <v>#REF!</v>
      </c>
    </row>
    <row r="49" spans="2:48" s="8" customFormat="1" outlineLevel="1" x14ac:dyDescent="0.3">
      <c r="B49" s="229" t="s">
        <v>45</v>
      </c>
      <c r="C49" s="230"/>
      <c r="D49" s="231" t="e">
        <f>#REF!-'IS 3Q2022'!D49</f>
        <v>#REF!</v>
      </c>
      <c r="E49" s="231" t="e">
        <f>#REF!-'IS 3Q2022'!E49</f>
        <v>#REF!</v>
      </c>
      <c r="F49" s="231" t="e">
        <f>#REF!-'IS 3Q2022'!F49</f>
        <v>#REF!</v>
      </c>
      <c r="G49" s="231" t="e">
        <f>#REF!-'IS 3Q2022'!G49</f>
        <v>#REF!</v>
      </c>
      <c r="H49" s="232" t="e">
        <f>#REF!-'IS 3Q2022'!H49</f>
        <v>#REF!</v>
      </c>
      <c r="I49" s="231" t="e">
        <f>#REF!-'IS 3Q2022'!I49</f>
        <v>#REF!</v>
      </c>
      <c r="J49" s="231" t="e">
        <f>#REF!-'IS 3Q2022'!J49</f>
        <v>#REF!</v>
      </c>
      <c r="K49" s="231" t="e">
        <f>#REF!-'IS 3Q2022'!K49</f>
        <v>#REF!</v>
      </c>
      <c r="L49" s="233" t="e">
        <f>#REF!-'IS 3Q2022'!L49</f>
        <v>#REF!</v>
      </c>
      <c r="M49" s="234" t="e">
        <f>#REF!-'IS 3Q2022'!M49</f>
        <v>#REF!</v>
      </c>
      <c r="N49" s="233" t="e">
        <f>#REF!-'IS 3Q2022'!N49</f>
        <v>#REF!</v>
      </c>
      <c r="O49" s="233" t="e">
        <f>#REF!-'IS 3Q2022'!O49</f>
        <v>#REF!</v>
      </c>
      <c r="P49" s="231" t="e">
        <f>#REF!-'IS 3Q2022'!P49</f>
        <v>#REF!</v>
      </c>
      <c r="Q49" s="231" t="e">
        <f>#REF!-'IS 3Q2022'!Q49</f>
        <v>#REF!</v>
      </c>
      <c r="R49" s="235" t="e">
        <f>#REF!-'IS 3Q2022'!R49</f>
        <v>#REF!</v>
      </c>
      <c r="S49" s="233" t="e">
        <f>#REF!-'IS 3Q2022'!S49</f>
        <v>#REF!</v>
      </c>
      <c r="T49" s="233" t="e">
        <f>#REF!-'IS 3Q2022'!T49</f>
        <v>#REF!</v>
      </c>
      <c r="U49" s="231" t="e">
        <f>#REF!-'IS 3Q2022'!U49</f>
        <v>#REF!</v>
      </c>
      <c r="V49" s="231" t="e">
        <f>#REF!-'IS 3Q2022'!V49</f>
        <v>#REF!</v>
      </c>
      <c r="W49" s="232" t="e">
        <f>#REF!-'IS 3Q2022'!W49</f>
        <v>#REF!</v>
      </c>
      <c r="X49" s="233" t="e">
        <f>#REF!-'IS 3Q2022'!X49</f>
        <v>#REF!</v>
      </c>
      <c r="Y49" s="233" t="e">
        <f>#REF!-'IS 3Q2022'!Y49</f>
        <v>#REF!</v>
      </c>
      <c r="Z49" s="233" t="e">
        <f>#REF!-'IS 3Q2022'!Z49</f>
        <v>#REF!</v>
      </c>
      <c r="AA49" s="233" t="e">
        <f>#REF!-'IS 3Q2022'!AA49</f>
        <v>#REF!</v>
      </c>
      <c r="AB49" s="361" t="e">
        <f>#REF!-'IS 3Q2022'!AB49</f>
        <v>#REF!</v>
      </c>
      <c r="AC49" s="233" t="e">
        <f>#REF!-'IS 3Q2022'!AC49</f>
        <v>#REF!</v>
      </c>
      <c r="AD49" s="233" t="e">
        <f>#REF!-'IS 3Q2022'!AD49</f>
        <v>#REF!</v>
      </c>
      <c r="AE49" s="233" t="e">
        <f>#REF!-'IS 3Q2022'!AE49</f>
        <v>#REF!</v>
      </c>
      <c r="AF49" s="233" t="e">
        <f>#REF!-'IS 3Q2022'!AF49</f>
        <v>#REF!</v>
      </c>
      <c r="AG49" s="232" t="e">
        <f>#REF!-'IS 3Q2022'!AG49</f>
        <v>#REF!</v>
      </c>
      <c r="AH49" s="233" t="e">
        <f>#REF!-'IS 3Q2022'!AH49</f>
        <v>#REF!</v>
      </c>
      <c r="AI49" s="233" t="e">
        <f>#REF!-'IS 3Q2022'!AI49</f>
        <v>#REF!</v>
      </c>
      <c r="AJ49" s="233" t="e">
        <f>#REF!-'IS 3Q2022'!AJ49</f>
        <v>#REF!</v>
      </c>
      <c r="AK49" s="233" t="e">
        <f>#REF!-'IS 3Q2022'!AK49</f>
        <v>#REF!</v>
      </c>
      <c r="AL49" s="232" t="e">
        <f>#REF!-'IS 3Q2022'!AL49</f>
        <v>#REF!</v>
      </c>
      <c r="AM49" s="233" t="e">
        <f>#REF!-'IS 3Q2022'!AM49</f>
        <v>#REF!</v>
      </c>
      <c r="AN49" s="233" t="e">
        <f>#REF!-'IS 3Q2022'!AN49</f>
        <v>#REF!</v>
      </c>
      <c r="AO49" s="233" t="e">
        <f>#REF!-'IS 3Q2022'!AO49</f>
        <v>#REF!</v>
      </c>
      <c r="AP49" s="233" t="e">
        <f>#REF!-'IS 3Q2022'!AP49</f>
        <v>#REF!</v>
      </c>
      <c r="AQ49" s="232" t="e">
        <f>#REF!-'IS 3Q2022'!AQ49</f>
        <v>#REF!</v>
      </c>
      <c r="AR49" s="233" t="e">
        <f>#REF!-'IS 3Q2022'!AR49</f>
        <v>#REF!</v>
      </c>
      <c r="AS49" s="233" t="e">
        <f>#REF!-'IS 3Q2022'!AS49</f>
        <v>#REF!</v>
      </c>
      <c r="AT49" s="233" t="e">
        <f>#REF!-'IS 3Q2022'!AT49</f>
        <v>#REF!</v>
      </c>
      <c r="AU49" s="233" t="e">
        <f>#REF!-'IS 3Q2022'!AU49</f>
        <v>#REF!</v>
      </c>
      <c r="AV49" s="232" t="e">
        <f>#REF!-'IS 3Q2022'!AV49</f>
        <v>#REF!</v>
      </c>
    </row>
    <row r="50" spans="2:48" s="8" customFormat="1" outlineLevel="1" x14ac:dyDescent="0.3">
      <c r="B50" s="597" t="s">
        <v>177</v>
      </c>
      <c r="C50" s="598"/>
      <c r="D50" s="67" t="e">
        <f>#REF!-'IS 3Q2022'!D50</f>
        <v>#REF!</v>
      </c>
      <c r="E50" s="67" t="e">
        <f>#REF!-'IS 3Q2022'!E50</f>
        <v>#REF!</v>
      </c>
      <c r="F50" s="117" t="e">
        <f>#REF!-'IS 3Q2022'!F50</f>
        <v>#REF!</v>
      </c>
      <c r="G50" s="67" t="e">
        <f>#REF!-'IS 3Q2022'!G50</f>
        <v>#REF!</v>
      </c>
      <c r="H50" s="68" t="e">
        <f>#REF!-'IS 3Q2022'!H50</f>
        <v>#REF!</v>
      </c>
      <c r="I50" s="67" t="e">
        <f>#REF!-'IS 3Q2022'!I50</f>
        <v>#REF!</v>
      </c>
      <c r="J50" s="67" t="e">
        <f>#REF!-'IS 3Q2022'!J50</f>
        <v>#REF!</v>
      </c>
      <c r="K50" s="67" t="e">
        <f>#REF!-'IS 3Q2022'!K50</f>
        <v>#REF!</v>
      </c>
      <c r="L50" s="67" t="e">
        <f>#REF!-'IS 3Q2022'!L50</f>
        <v>#REF!</v>
      </c>
      <c r="M50" s="68" t="e">
        <f>#REF!-'IS 3Q2022'!M50</f>
        <v>#REF!</v>
      </c>
      <c r="N50" s="67" t="e">
        <f>#REF!-'IS 3Q2022'!N50</f>
        <v>#REF!</v>
      </c>
      <c r="O50" s="67" t="e">
        <f>#REF!-'IS 3Q2022'!O50</f>
        <v>#REF!</v>
      </c>
      <c r="P50" s="67" t="e">
        <f>#REF!-'IS 3Q2022'!P50</f>
        <v>#REF!</v>
      </c>
      <c r="Q50" s="67" t="e">
        <f>#REF!-'IS 3Q2022'!Q50</f>
        <v>#REF!</v>
      </c>
      <c r="R50" s="192" t="e">
        <f>#REF!-'IS 3Q2022'!R50</f>
        <v>#REF!</v>
      </c>
      <c r="S50" s="67" t="e">
        <f>#REF!-'IS 3Q2022'!S50</f>
        <v>#REF!</v>
      </c>
      <c r="T50" s="67" t="e">
        <f>#REF!-'IS 3Q2022'!T50</f>
        <v>#REF!</v>
      </c>
      <c r="U50" s="67" t="e">
        <f>#REF!-'IS 3Q2022'!U50</f>
        <v>#REF!</v>
      </c>
      <c r="V50" s="67" t="e">
        <f>#REF!-'IS 3Q2022'!V50</f>
        <v>#REF!</v>
      </c>
      <c r="W50" s="253" t="e">
        <f>#REF!-'IS 3Q2022'!W50</f>
        <v>#REF!</v>
      </c>
      <c r="X50" s="67" t="e">
        <f>#REF!-'IS 3Q2022'!X50</f>
        <v>#REF!</v>
      </c>
      <c r="Y50" s="67" t="e">
        <f>#REF!-'IS 3Q2022'!Y50</f>
        <v>#REF!</v>
      </c>
      <c r="Z50" s="67" t="e">
        <f>#REF!-'IS 3Q2022'!Z50</f>
        <v>#REF!</v>
      </c>
      <c r="AA50" s="67" t="e">
        <f>#REF!-'IS 3Q2022'!AA50</f>
        <v>#REF!</v>
      </c>
      <c r="AB50" s="192" t="e">
        <f>#REF!-'IS 3Q2022'!AB50</f>
        <v>#REF!</v>
      </c>
      <c r="AC50" s="67" t="e">
        <f>#REF!-'IS 3Q2022'!AC50</f>
        <v>#REF!</v>
      </c>
      <c r="AD50" s="67" t="e">
        <f>#REF!-'IS 3Q2022'!AD50</f>
        <v>#REF!</v>
      </c>
      <c r="AE50" s="67" t="e">
        <f>#REF!-'IS 3Q2022'!AE50</f>
        <v>#REF!</v>
      </c>
      <c r="AF50" s="67" t="e">
        <f>#REF!-'IS 3Q2022'!AF50</f>
        <v>#REF!</v>
      </c>
      <c r="AG50" s="192" t="e">
        <f>#REF!-'IS 3Q2022'!AG50</f>
        <v>#REF!</v>
      </c>
      <c r="AH50" s="67" t="e">
        <f>#REF!-'IS 3Q2022'!AH50</f>
        <v>#REF!</v>
      </c>
      <c r="AI50" s="67" t="e">
        <f>#REF!-'IS 3Q2022'!AI50</f>
        <v>#REF!</v>
      </c>
      <c r="AJ50" s="67" t="e">
        <f>#REF!-'IS 3Q2022'!AJ50</f>
        <v>#REF!</v>
      </c>
      <c r="AK50" s="67" t="e">
        <f>#REF!-'IS 3Q2022'!AK50</f>
        <v>#REF!</v>
      </c>
      <c r="AL50" s="192" t="e">
        <f>#REF!-'IS 3Q2022'!AL50</f>
        <v>#REF!</v>
      </c>
      <c r="AM50" s="67" t="e">
        <f>#REF!-'IS 3Q2022'!AM50</f>
        <v>#REF!</v>
      </c>
      <c r="AN50" s="67" t="e">
        <f>#REF!-'IS 3Q2022'!AN50</f>
        <v>#REF!</v>
      </c>
      <c r="AO50" s="67" t="e">
        <f>#REF!-'IS 3Q2022'!AO50</f>
        <v>#REF!</v>
      </c>
      <c r="AP50" s="67" t="e">
        <f>#REF!-'IS 3Q2022'!AP50</f>
        <v>#REF!</v>
      </c>
      <c r="AQ50" s="192" t="e">
        <f>#REF!-'IS 3Q2022'!AQ50</f>
        <v>#REF!</v>
      </c>
      <c r="AR50" s="67" t="e">
        <f>#REF!-'IS 3Q2022'!AR50</f>
        <v>#REF!</v>
      </c>
      <c r="AS50" s="67" t="e">
        <f>#REF!-'IS 3Q2022'!AS50</f>
        <v>#REF!</v>
      </c>
      <c r="AT50" s="67" t="e">
        <f>#REF!-'IS 3Q2022'!AT50</f>
        <v>#REF!</v>
      </c>
      <c r="AU50" s="67" t="e">
        <f>#REF!-'IS 3Q2022'!AU50</f>
        <v>#REF!</v>
      </c>
      <c r="AV50" s="192" t="e">
        <f>#REF!-'IS 3Q2022'!AV50</f>
        <v>#REF!</v>
      </c>
    </row>
    <row r="51" spans="2:48" outlineLevel="1" x14ac:dyDescent="0.3">
      <c r="B51" s="180" t="s">
        <v>47</v>
      </c>
      <c r="C51" s="201"/>
      <c r="D51" s="101" t="e">
        <f>#REF!-'IS 3Q2022'!D51</f>
        <v>#REF!</v>
      </c>
      <c r="E51" s="101" t="e">
        <f>#REF!-'IS 3Q2022'!E51</f>
        <v>#REF!</v>
      </c>
      <c r="F51" s="101" t="e">
        <f>#REF!-'IS 3Q2022'!F51</f>
        <v>#REF!</v>
      </c>
      <c r="G51" s="101" t="e">
        <f>#REF!-'IS 3Q2022'!G51</f>
        <v>#REF!</v>
      </c>
      <c r="H51" s="122" t="e">
        <f>#REF!-'IS 3Q2022'!H51</f>
        <v>#REF!</v>
      </c>
      <c r="I51" s="101" t="e">
        <f>#REF!-'IS 3Q2022'!I51</f>
        <v>#REF!</v>
      </c>
      <c r="J51" s="101" t="e">
        <f>#REF!-'IS 3Q2022'!J51</f>
        <v>#REF!</v>
      </c>
      <c r="K51" s="101" t="e">
        <f>#REF!-'IS 3Q2022'!K51</f>
        <v>#REF!</v>
      </c>
      <c r="L51" s="101" t="e">
        <f>#REF!-'IS 3Q2022'!L51</f>
        <v>#REF!</v>
      </c>
      <c r="M51" s="122" t="e">
        <f>#REF!-'IS 3Q2022'!M51</f>
        <v>#REF!</v>
      </c>
      <c r="N51" s="101" t="e">
        <f>#REF!-'IS 3Q2022'!N51</f>
        <v>#REF!</v>
      </c>
      <c r="O51" s="101" t="e">
        <f>#REF!-'IS 3Q2022'!O51</f>
        <v>#REF!</v>
      </c>
      <c r="P51" s="101" t="e">
        <f>#REF!-'IS 3Q2022'!P51</f>
        <v>#REF!</v>
      </c>
      <c r="Q51" s="101" t="e">
        <f>#REF!-'IS 3Q2022'!Q51</f>
        <v>#REF!</v>
      </c>
      <c r="R51" s="26" t="e">
        <f>#REF!-'IS 3Q2022'!R51</f>
        <v>#REF!</v>
      </c>
      <c r="S51" s="101" t="e">
        <f>#REF!-'IS 3Q2022'!S51</f>
        <v>#REF!</v>
      </c>
      <c r="T51" s="101" t="e">
        <f>#REF!-'IS 3Q2022'!T51</f>
        <v>#REF!</v>
      </c>
      <c r="U51" s="101" t="e">
        <f>#REF!-'IS 3Q2022'!U51</f>
        <v>#REF!</v>
      </c>
      <c r="V51" s="33" t="e">
        <f>#REF!-'IS 3Q2022'!V51</f>
        <v>#REF!</v>
      </c>
      <c r="W51" s="122" t="e">
        <f>#REF!-'IS 3Q2022'!W51</f>
        <v>#REF!</v>
      </c>
      <c r="X51" s="33" t="e">
        <f>#REF!-'IS 3Q2022'!X51</f>
        <v>#REF!</v>
      </c>
      <c r="Y51" s="33" t="e">
        <f>#REF!-'IS 3Q2022'!Y51</f>
        <v>#REF!</v>
      </c>
      <c r="Z51" s="33" t="e">
        <f>#REF!-'IS 3Q2022'!Z51</f>
        <v>#REF!</v>
      </c>
      <c r="AA51" s="33" t="e">
        <f>#REF!-'IS 3Q2022'!AA51</f>
        <v>#REF!</v>
      </c>
      <c r="AB51" s="26" t="e">
        <f>#REF!-'IS 3Q2022'!AB51</f>
        <v>#REF!</v>
      </c>
      <c r="AC51" s="33" t="e">
        <f>#REF!-'IS 3Q2022'!AC51</f>
        <v>#REF!</v>
      </c>
      <c r="AD51" s="33" t="e">
        <f>#REF!-'IS 3Q2022'!AD51</f>
        <v>#REF!</v>
      </c>
      <c r="AE51" s="33" t="e">
        <f>#REF!-'IS 3Q2022'!AE51</f>
        <v>#REF!</v>
      </c>
      <c r="AF51" s="33" t="e">
        <f>#REF!-'IS 3Q2022'!AF51</f>
        <v>#REF!</v>
      </c>
      <c r="AG51" s="26" t="e">
        <f>#REF!-'IS 3Q2022'!AG51</f>
        <v>#REF!</v>
      </c>
      <c r="AH51" s="33" t="e">
        <f>#REF!-'IS 3Q2022'!AH51</f>
        <v>#REF!</v>
      </c>
      <c r="AI51" s="33" t="e">
        <f>#REF!-'IS 3Q2022'!AI51</f>
        <v>#REF!</v>
      </c>
      <c r="AJ51" s="33" t="e">
        <f>#REF!-'IS 3Q2022'!AJ51</f>
        <v>#REF!</v>
      </c>
      <c r="AK51" s="33" t="e">
        <f>#REF!-'IS 3Q2022'!AK51</f>
        <v>#REF!</v>
      </c>
      <c r="AL51" s="26" t="e">
        <f>#REF!-'IS 3Q2022'!AL51</f>
        <v>#REF!</v>
      </c>
      <c r="AM51" s="33" t="e">
        <f>#REF!-'IS 3Q2022'!AM51</f>
        <v>#REF!</v>
      </c>
      <c r="AN51" s="33" t="e">
        <f>#REF!-'IS 3Q2022'!AN51</f>
        <v>#REF!</v>
      </c>
      <c r="AO51" s="33" t="e">
        <f>#REF!-'IS 3Q2022'!AO51</f>
        <v>#REF!</v>
      </c>
      <c r="AP51" s="33" t="e">
        <f>#REF!-'IS 3Q2022'!AP51</f>
        <v>#REF!</v>
      </c>
      <c r="AQ51" s="26" t="e">
        <f>#REF!-'IS 3Q2022'!AQ51</f>
        <v>#REF!</v>
      </c>
      <c r="AR51" s="33" t="e">
        <f>#REF!-'IS 3Q2022'!AR51</f>
        <v>#REF!</v>
      </c>
      <c r="AS51" s="33" t="e">
        <f>#REF!-'IS 3Q2022'!AS51</f>
        <v>#REF!</v>
      </c>
      <c r="AT51" s="33" t="e">
        <f>#REF!-'IS 3Q2022'!AT51</f>
        <v>#REF!</v>
      </c>
      <c r="AU51" s="33" t="e">
        <f>#REF!-'IS 3Q2022'!AU51</f>
        <v>#REF!</v>
      </c>
      <c r="AV51" s="26" t="e">
        <f>#REF!-'IS 3Q2022'!AV51</f>
        <v>#REF!</v>
      </c>
    </row>
    <row r="52" spans="2:48" outlineLevel="1" x14ac:dyDescent="0.3">
      <c r="B52" s="180" t="s">
        <v>49</v>
      </c>
      <c r="C52" s="201"/>
      <c r="D52" s="16" t="e">
        <f>#REF!-'IS 3Q2022'!D52</f>
        <v>#REF!</v>
      </c>
      <c r="E52" s="16" t="e">
        <f>#REF!-'IS 3Q2022'!E52</f>
        <v>#REF!</v>
      </c>
      <c r="F52" s="16" t="e">
        <f>#REF!-'IS 3Q2022'!F52</f>
        <v>#REF!</v>
      </c>
      <c r="G52" s="16" t="e">
        <f>#REF!-'IS 3Q2022'!G52</f>
        <v>#REF!</v>
      </c>
      <c r="H52" s="26" t="e">
        <f>#REF!-'IS 3Q2022'!H52</f>
        <v>#REF!</v>
      </c>
      <c r="I52" s="16" t="e">
        <f>#REF!-'IS 3Q2022'!I52</f>
        <v>#REF!</v>
      </c>
      <c r="J52" s="16" t="e">
        <f>#REF!-'IS 3Q2022'!J52</f>
        <v>#REF!</v>
      </c>
      <c r="K52" s="16" t="e">
        <f>#REF!-'IS 3Q2022'!K52</f>
        <v>#REF!</v>
      </c>
      <c r="L52" s="16" t="e">
        <f>#REF!-'IS 3Q2022'!L52</f>
        <v>#REF!</v>
      </c>
      <c r="M52" s="6" t="e">
        <f>#REF!-'IS 3Q2022'!M52</f>
        <v>#REF!</v>
      </c>
      <c r="N52" s="16" t="e">
        <f>#REF!-'IS 3Q2022'!N52</f>
        <v>#REF!</v>
      </c>
      <c r="O52" s="16" t="e">
        <f>#REF!-'IS 3Q2022'!O52</f>
        <v>#REF!</v>
      </c>
      <c r="P52" s="16" t="e">
        <f>#REF!-'IS 3Q2022'!P52</f>
        <v>#REF!</v>
      </c>
      <c r="Q52" s="16" t="e">
        <f>#REF!-'IS 3Q2022'!Q52</f>
        <v>#REF!</v>
      </c>
      <c r="R52" s="6" t="e">
        <f>#REF!-'IS 3Q2022'!R52</f>
        <v>#REF!</v>
      </c>
      <c r="S52" s="16" t="e">
        <f>#REF!-'IS 3Q2022'!S52</f>
        <v>#REF!</v>
      </c>
      <c r="T52" s="16" t="e">
        <f>#REF!-'IS 3Q2022'!T52</f>
        <v>#REF!</v>
      </c>
      <c r="U52" s="16" t="e">
        <f>#REF!-'IS 3Q2022'!U52</f>
        <v>#REF!</v>
      </c>
      <c r="V52" s="16" t="e">
        <f>#REF!-'IS 3Q2022'!V52</f>
        <v>#REF!</v>
      </c>
      <c r="W52" s="130" t="e">
        <f>#REF!-'IS 3Q2022'!W52</f>
        <v>#REF!</v>
      </c>
      <c r="X52" s="16" t="e">
        <f>#REF!-'IS 3Q2022'!X52</f>
        <v>#REF!</v>
      </c>
      <c r="Y52" s="16" t="e">
        <f>#REF!-'IS 3Q2022'!Y52</f>
        <v>#REF!</v>
      </c>
      <c r="Z52" s="16" t="e">
        <f>#REF!-'IS 3Q2022'!Z52</f>
        <v>#REF!</v>
      </c>
      <c r="AA52" s="16" t="e">
        <f>#REF!-'IS 3Q2022'!AA52</f>
        <v>#REF!</v>
      </c>
      <c r="AB52" s="6" t="e">
        <f>#REF!-'IS 3Q2022'!AB52</f>
        <v>#REF!</v>
      </c>
      <c r="AC52" s="16" t="e">
        <f>#REF!-'IS 3Q2022'!AC52</f>
        <v>#REF!</v>
      </c>
      <c r="AD52" s="16" t="e">
        <f>#REF!-'IS 3Q2022'!AD52</f>
        <v>#REF!</v>
      </c>
      <c r="AE52" s="16" t="e">
        <f>#REF!-'IS 3Q2022'!AE52</f>
        <v>#REF!</v>
      </c>
      <c r="AF52" s="16" t="e">
        <f>#REF!-'IS 3Q2022'!AF52</f>
        <v>#REF!</v>
      </c>
      <c r="AG52" s="6" t="e">
        <f>#REF!-'IS 3Q2022'!AG52</f>
        <v>#REF!</v>
      </c>
      <c r="AH52" s="16" t="e">
        <f>#REF!-'IS 3Q2022'!AH52</f>
        <v>#REF!</v>
      </c>
      <c r="AI52" s="16" t="e">
        <f>#REF!-'IS 3Q2022'!AI52</f>
        <v>#REF!</v>
      </c>
      <c r="AJ52" s="16" t="e">
        <f>#REF!-'IS 3Q2022'!AJ52</f>
        <v>#REF!</v>
      </c>
      <c r="AK52" s="16" t="e">
        <f>#REF!-'IS 3Q2022'!AK52</f>
        <v>#REF!</v>
      </c>
      <c r="AL52" s="6" t="e">
        <f>#REF!-'IS 3Q2022'!AL52</f>
        <v>#REF!</v>
      </c>
      <c r="AM52" s="16" t="e">
        <f>#REF!-'IS 3Q2022'!AM52</f>
        <v>#REF!</v>
      </c>
      <c r="AN52" s="16" t="e">
        <f>#REF!-'IS 3Q2022'!AN52</f>
        <v>#REF!</v>
      </c>
      <c r="AO52" s="16" t="e">
        <f>#REF!-'IS 3Q2022'!AO52</f>
        <v>#REF!</v>
      </c>
      <c r="AP52" s="16" t="e">
        <f>#REF!-'IS 3Q2022'!AP52</f>
        <v>#REF!</v>
      </c>
      <c r="AQ52" s="6" t="e">
        <f>#REF!-'IS 3Q2022'!AQ52</f>
        <v>#REF!</v>
      </c>
      <c r="AR52" s="16" t="e">
        <f>#REF!-'IS 3Q2022'!AR52</f>
        <v>#REF!</v>
      </c>
      <c r="AS52" s="16" t="e">
        <f>#REF!-'IS 3Q2022'!AS52</f>
        <v>#REF!</v>
      </c>
      <c r="AT52" s="16" t="e">
        <f>#REF!-'IS 3Q2022'!AT52</f>
        <v>#REF!</v>
      </c>
      <c r="AU52" s="16" t="e">
        <f>#REF!-'IS 3Q2022'!AU52</f>
        <v>#REF!</v>
      </c>
      <c r="AV52" s="6" t="e">
        <f>#REF!-'IS 3Q2022'!AV52</f>
        <v>#REF!</v>
      </c>
    </row>
    <row r="53" spans="2:48" outlineLevel="1" x14ac:dyDescent="0.3">
      <c r="B53" s="180" t="s">
        <v>202</v>
      </c>
      <c r="C53" s="201"/>
      <c r="D53" s="43" t="e">
        <f>#REF!-'IS 3Q2022'!D53</f>
        <v>#REF!</v>
      </c>
      <c r="E53" s="43" t="e">
        <f>#REF!-'IS 3Q2022'!E53</f>
        <v>#REF!</v>
      </c>
      <c r="F53" s="43" t="e">
        <f>#REF!-'IS 3Q2022'!F53</f>
        <v>#REF!</v>
      </c>
      <c r="G53" s="114" t="e">
        <f>#REF!-'IS 3Q2022'!G53</f>
        <v>#REF!</v>
      </c>
      <c r="H53" s="127" t="e">
        <f>#REF!-'IS 3Q2022'!H53</f>
        <v>#REF!</v>
      </c>
      <c r="I53" s="114" t="e">
        <f>#REF!-'IS 3Q2022'!I53</f>
        <v>#REF!</v>
      </c>
      <c r="J53" s="114" t="e">
        <f>#REF!-'IS 3Q2022'!J53</f>
        <v>#REF!</v>
      </c>
      <c r="K53" s="114" t="e">
        <f>#REF!-'IS 3Q2022'!K53</f>
        <v>#REF!</v>
      </c>
      <c r="L53" s="114" t="e">
        <f>#REF!-'IS 3Q2022'!L53</f>
        <v>#REF!</v>
      </c>
      <c r="M53" s="6" t="e">
        <f>#REF!-'IS 3Q2022'!M53</f>
        <v>#REF!</v>
      </c>
      <c r="N53" s="114" t="e">
        <f>#REF!-'IS 3Q2022'!N53</f>
        <v>#REF!</v>
      </c>
      <c r="O53" s="114" t="e">
        <f>#REF!-'IS 3Q2022'!O53</f>
        <v>#REF!</v>
      </c>
      <c r="P53" s="114" t="e">
        <f>#REF!-'IS 3Q2022'!P53</f>
        <v>#REF!</v>
      </c>
      <c r="Q53" s="114" t="e">
        <f>#REF!-'IS 3Q2022'!Q53</f>
        <v>#REF!</v>
      </c>
      <c r="R53" s="6" t="e">
        <f>#REF!-'IS 3Q2022'!R53</f>
        <v>#REF!</v>
      </c>
      <c r="S53" s="114" t="e">
        <f>#REF!-'IS 3Q2022'!S53</f>
        <v>#REF!</v>
      </c>
      <c r="T53" s="114" t="e">
        <f>#REF!-'IS 3Q2022'!T53</f>
        <v>#REF!</v>
      </c>
      <c r="U53" s="114" t="e">
        <f>#REF!-'IS 3Q2022'!U53</f>
        <v>#REF!</v>
      </c>
      <c r="V53" s="62" t="e">
        <f>#REF!-'IS 3Q2022'!V53</f>
        <v>#REF!</v>
      </c>
      <c r="W53" s="130" t="e">
        <f>#REF!-'IS 3Q2022'!W53</f>
        <v>#REF!</v>
      </c>
      <c r="X53" s="62" t="e">
        <f>#REF!-'IS 3Q2022'!X53</f>
        <v>#REF!</v>
      </c>
      <c r="Y53" s="62" t="e">
        <f>#REF!-'IS 3Q2022'!Y53</f>
        <v>#REF!</v>
      </c>
      <c r="Z53" s="62" t="e">
        <f>#REF!-'IS 3Q2022'!Z53</f>
        <v>#REF!</v>
      </c>
      <c r="AA53" s="62" t="e">
        <f>#REF!-'IS 3Q2022'!AA53</f>
        <v>#REF!</v>
      </c>
      <c r="AB53" s="378" t="e">
        <f>#REF!-'IS 3Q2022'!AB53</f>
        <v>#REF!</v>
      </c>
      <c r="AC53" s="62" t="e">
        <f>#REF!-'IS 3Q2022'!AC53</f>
        <v>#REF!</v>
      </c>
      <c r="AD53" s="62" t="e">
        <f>#REF!-'IS 3Q2022'!AD53</f>
        <v>#REF!</v>
      </c>
      <c r="AE53" s="62" t="e">
        <f>#REF!-'IS 3Q2022'!AE53</f>
        <v>#REF!</v>
      </c>
      <c r="AF53" s="62" t="e">
        <f>#REF!-'IS 3Q2022'!AF53</f>
        <v>#REF!</v>
      </c>
      <c r="AG53" s="378" t="e">
        <f>#REF!-'IS 3Q2022'!AG53</f>
        <v>#REF!</v>
      </c>
      <c r="AH53" s="62" t="e">
        <f>#REF!-'IS 3Q2022'!AH53</f>
        <v>#REF!</v>
      </c>
      <c r="AI53" s="62" t="e">
        <f>#REF!-'IS 3Q2022'!AI53</f>
        <v>#REF!</v>
      </c>
      <c r="AJ53" s="62" t="e">
        <f>#REF!-'IS 3Q2022'!AJ53</f>
        <v>#REF!</v>
      </c>
      <c r="AK53" s="62" t="e">
        <f>#REF!-'IS 3Q2022'!AK53</f>
        <v>#REF!</v>
      </c>
      <c r="AL53" s="379" t="e">
        <f>#REF!-'IS 3Q2022'!AL53</f>
        <v>#REF!</v>
      </c>
      <c r="AM53" s="219" t="e">
        <f>#REF!-'IS 3Q2022'!AM53</f>
        <v>#REF!</v>
      </c>
      <c r="AN53" s="219" t="e">
        <f>#REF!-'IS 3Q2022'!AN53</f>
        <v>#REF!</v>
      </c>
      <c r="AO53" s="219" t="e">
        <f>#REF!-'IS 3Q2022'!AO53</f>
        <v>#REF!</v>
      </c>
      <c r="AP53" s="219" t="e">
        <f>#REF!-'IS 3Q2022'!AP53</f>
        <v>#REF!</v>
      </c>
      <c r="AQ53" s="97" t="e">
        <f>#REF!-'IS 3Q2022'!AQ53</f>
        <v>#REF!</v>
      </c>
      <c r="AR53" s="219" t="e">
        <f>#REF!-'IS 3Q2022'!AR53</f>
        <v>#REF!</v>
      </c>
      <c r="AS53" s="219" t="e">
        <f>#REF!-'IS 3Q2022'!AS53</f>
        <v>#REF!</v>
      </c>
      <c r="AT53" s="219" t="e">
        <f>#REF!-'IS 3Q2022'!AT53</f>
        <v>#REF!</v>
      </c>
      <c r="AU53" s="219" t="e">
        <f>#REF!-'IS 3Q2022'!AU53</f>
        <v>#REF!</v>
      </c>
      <c r="AV53" s="6" t="e">
        <f>#REF!-'IS 3Q2022'!AV53</f>
        <v>#REF!</v>
      </c>
    </row>
    <row r="54" spans="2:48" s="8" customFormat="1" outlineLevel="1" x14ac:dyDescent="0.3">
      <c r="B54" s="603" t="s">
        <v>178</v>
      </c>
      <c r="C54" s="604"/>
      <c r="D54" s="115" t="e">
        <f>#REF!-'IS 3Q2022'!D54</f>
        <v>#REF!</v>
      </c>
      <c r="E54" s="115" t="e">
        <f>#REF!-'IS 3Q2022'!E54</f>
        <v>#REF!</v>
      </c>
      <c r="F54" s="115" t="e">
        <f>#REF!-'IS 3Q2022'!F54</f>
        <v>#REF!</v>
      </c>
      <c r="G54" s="115" t="e">
        <f>#REF!-'IS 3Q2022'!G54</f>
        <v>#REF!</v>
      </c>
      <c r="H54" s="153" t="e">
        <f>#REF!-'IS 3Q2022'!H54</f>
        <v>#REF!</v>
      </c>
      <c r="I54" s="115" t="e">
        <f>#REF!-'IS 3Q2022'!I54</f>
        <v>#REF!</v>
      </c>
      <c r="J54" s="115" t="e">
        <f>#REF!-'IS 3Q2022'!J54</f>
        <v>#REF!</v>
      </c>
      <c r="K54" s="115" t="e">
        <f>#REF!-'IS 3Q2022'!K54</f>
        <v>#REF!</v>
      </c>
      <c r="L54" s="72" t="e">
        <f>#REF!-'IS 3Q2022'!L54</f>
        <v>#REF!</v>
      </c>
      <c r="M54" s="73" t="e">
        <f>#REF!-'IS 3Q2022'!M54</f>
        <v>#REF!</v>
      </c>
      <c r="N54" s="72" t="e">
        <f>#REF!-'IS 3Q2022'!N54</f>
        <v>#REF!</v>
      </c>
      <c r="O54" s="72" t="e">
        <f>#REF!-'IS 3Q2022'!O54</f>
        <v>#REF!</v>
      </c>
      <c r="P54" s="72" t="e">
        <f>#REF!-'IS 3Q2022'!P54</f>
        <v>#REF!</v>
      </c>
      <c r="Q54" s="115" t="e">
        <f>#REF!-'IS 3Q2022'!Q54</f>
        <v>#REF!</v>
      </c>
      <c r="R54" s="73" t="e">
        <f>#REF!-'IS 3Q2022'!R54</f>
        <v>#REF!</v>
      </c>
      <c r="S54" s="72" t="e">
        <f>#REF!-'IS 3Q2022'!S54</f>
        <v>#REF!</v>
      </c>
      <c r="T54" s="72" t="e">
        <f>#REF!-'IS 3Q2022'!T54</f>
        <v>#REF!</v>
      </c>
      <c r="U54" s="72" t="e">
        <f>#REF!-'IS 3Q2022'!U54</f>
        <v>#REF!</v>
      </c>
      <c r="V54" s="72" t="e">
        <f>#REF!-'IS 3Q2022'!V54</f>
        <v>#REF!</v>
      </c>
      <c r="W54" s="213" t="e">
        <f>#REF!-'IS 3Q2022'!W54</f>
        <v>#REF!</v>
      </c>
      <c r="X54" s="72" t="e">
        <f>#REF!-'IS 3Q2022'!X54</f>
        <v>#REF!</v>
      </c>
      <c r="Y54" s="72" t="e">
        <f>#REF!-'IS 3Q2022'!Y54</f>
        <v>#REF!</v>
      </c>
      <c r="Z54" s="72" t="e">
        <f>#REF!-'IS 3Q2022'!Z54</f>
        <v>#REF!</v>
      </c>
      <c r="AA54" s="72" t="e">
        <f>#REF!-'IS 3Q2022'!AA54</f>
        <v>#REF!</v>
      </c>
      <c r="AB54" s="73" t="e">
        <f>#REF!-'IS 3Q2022'!AB54</f>
        <v>#REF!</v>
      </c>
      <c r="AC54" s="72" t="e">
        <f>#REF!-'IS 3Q2022'!AC54</f>
        <v>#REF!</v>
      </c>
      <c r="AD54" s="72" t="e">
        <f>#REF!-'IS 3Q2022'!AD54</f>
        <v>#REF!</v>
      </c>
      <c r="AE54" s="72" t="e">
        <f>#REF!-'IS 3Q2022'!AE54</f>
        <v>#REF!</v>
      </c>
      <c r="AF54" s="72" t="e">
        <f>#REF!-'IS 3Q2022'!AF54</f>
        <v>#REF!</v>
      </c>
      <c r="AG54" s="73" t="e">
        <f>#REF!-'IS 3Q2022'!AG54</f>
        <v>#REF!</v>
      </c>
      <c r="AH54" s="72" t="e">
        <f>#REF!-'IS 3Q2022'!AH54</f>
        <v>#REF!</v>
      </c>
      <c r="AI54" s="72" t="e">
        <f>#REF!-'IS 3Q2022'!AI54</f>
        <v>#REF!</v>
      </c>
      <c r="AJ54" s="72" t="e">
        <f>#REF!-'IS 3Q2022'!AJ54</f>
        <v>#REF!</v>
      </c>
      <c r="AK54" s="72" t="e">
        <f>#REF!-'IS 3Q2022'!AK54</f>
        <v>#REF!</v>
      </c>
      <c r="AL54" s="73" t="e">
        <f>#REF!-'IS 3Q2022'!AL54</f>
        <v>#REF!</v>
      </c>
      <c r="AM54" s="72" t="e">
        <f>#REF!-'IS 3Q2022'!AM54</f>
        <v>#REF!</v>
      </c>
      <c r="AN54" s="72" t="e">
        <f>#REF!-'IS 3Q2022'!AN54</f>
        <v>#REF!</v>
      </c>
      <c r="AO54" s="72" t="e">
        <f>#REF!-'IS 3Q2022'!AO54</f>
        <v>#REF!</v>
      </c>
      <c r="AP54" s="72" t="e">
        <f>#REF!-'IS 3Q2022'!AP54</f>
        <v>#REF!</v>
      </c>
      <c r="AQ54" s="73" t="e">
        <f>#REF!-'IS 3Q2022'!AQ54</f>
        <v>#REF!</v>
      </c>
      <c r="AR54" s="72" t="e">
        <f>#REF!-'IS 3Q2022'!AR54</f>
        <v>#REF!</v>
      </c>
      <c r="AS54" s="72" t="e">
        <f>#REF!-'IS 3Q2022'!AS54</f>
        <v>#REF!</v>
      </c>
      <c r="AT54" s="72" t="e">
        <f>#REF!-'IS 3Q2022'!AT54</f>
        <v>#REF!</v>
      </c>
      <c r="AU54" s="72" t="e">
        <f>#REF!-'IS 3Q2022'!AU54</f>
        <v>#REF!</v>
      </c>
      <c r="AV54" s="73" t="e">
        <f>#REF!-'IS 3Q2022'!AV54</f>
        <v>#REF!</v>
      </c>
    </row>
    <row r="55" spans="2:48" s="8" customFormat="1" outlineLevel="1" x14ac:dyDescent="0.3">
      <c r="B55" s="587" t="s">
        <v>179</v>
      </c>
      <c r="C55" s="588"/>
      <c r="D55" s="103" t="e">
        <f>#REF!-'IS 3Q2022'!D55</f>
        <v>#REF!</v>
      </c>
      <c r="E55" s="103" t="e">
        <f>#REF!-'IS 3Q2022'!E55</f>
        <v>#REF!</v>
      </c>
      <c r="F55" s="103" t="e">
        <f>#REF!-'IS 3Q2022'!F55</f>
        <v>#REF!</v>
      </c>
      <c r="G55" s="103" t="e">
        <f>#REF!-'IS 3Q2022'!G55</f>
        <v>#REF!</v>
      </c>
      <c r="H55" s="154" t="e">
        <f>#REF!-'IS 3Q2022'!H55</f>
        <v>#REF!</v>
      </c>
      <c r="I55" s="103" t="e">
        <f>#REF!-'IS 3Q2022'!I55</f>
        <v>#REF!</v>
      </c>
      <c r="J55" s="103" t="e">
        <f>#REF!-'IS 3Q2022'!J55</f>
        <v>#REF!</v>
      </c>
      <c r="K55" s="103" t="e">
        <f>#REF!-'IS 3Q2022'!K55</f>
        <v>#REF!</v>
      </c>
      <c r="L55" s="50" t="e">
        <f>#REF!-'IS 3Q2022'!L55</f>
        <v>#REF!</v>
      </c>
      <c r="M55" s="97" t="e">
        <f>#REF!-'IS 3Q2022'!M55</f>
        <v>#REF!</v>
      </c>
      <c r="N55" s="50" t="e">
        <f>#REF!-'IS 3Q2022'!N55</f>
        <v>#REF!</v>
      </c>
      <c r="O55" s="50" t="e">
        <f>#REF!-'IS 3Q2022'!O55</f>
        <v>#REF!</v>
      </c>
      <c r="P55" s="50" t="e">
        <f>#REF!-'IS 3Q2022'!P55</f>
        <v>#REF!</v>
      </c>
      <c r="Q55" s="103" t="e">
        <f>#REF!-'IS 3Q2022'!Q55</f>
        <v>#REF!</v>
      </c>
      <c r="R55" s="191" t="e">
        <f>#REF!-'IS 3Q2022'!R55</f>
        <v>#REF!</v>
      </c>
      <c r="S55" s="50" t="e">
        <f>#REF!-'IS 3Q2022'!S55</f>
        <v>#REF!</v>
      </c>
      <c r="T55" s="50" t="e">
        <f>#REF!-'IS 3Q2022'!T55</f>
        <v>#REF!</v>
      </c>
      <c r="U55" s="50" t="e">
        <f>#REF!-'IS 3Q2022'!U55</f>
        <v>#REF!</v>
      </c>
      <c r="V55" s="50" t="e">
        <f>#REF!-'IS 3Q2022'!V55</f>
        <v>#REF!</v>
      </c>
      <c r="W55" s="166" t="e">
        <f>#REF!-'IS 3Q2022'!W55</f>
        <v>#REF!</v>
      </c>
      <c r="X55" s="50" t="e">
        <f>#REF!-'IS 3Q2022'!X55</f>
        <v>#REF!</v>
      </c>
      <c r="Y55" s="50" t="e">
        <f>#REF!-'IS 3Q2022'!Y55</f>
        <v>#REF!</v>
      </c>
      <c r="Z55" s="50" t="e">
        <f>#REF!-'IS 3Q2022'!Z55</f>
        <v>#REF!</v>
      </c>
      <c r="AA55" s="50" t="e">
        <f>#REF!-'IS 3Q2022'!AA55</f>
        <v>#REF!</v>
      </c>
      <c r="AB55" s="191" t="e">
        <f>#REF!-'IS 3Q2022'!AB55</f>
        <v>#REF!</v>
      </c>
      <c r="AC55" s="50" t="e">
        <f>#REF!-'IS 3Q2022'!AC55</f>
        <v>#REF!</v>
      </c>
      <c r="AD55" s="50" t="e">
        <f>#REF!-'IS 3Q2022'!AD55</f>
        <v>#REF!</v>
      </c>
      <c r="AE55" s="50" t="e">
        <f>#REF!-'IS 3Q2022'!AE55</f>
        <v>#REF!</v>
      </c>
      <c r="AF55" s="50" t="e">
        <f>#REF!-'IS 3Q2022'!AF55</f>
        <v>#REF!</v>
      </c>
      <c r="AG55" s="191" t="e">
        <f>#REF!-'IS 3Q2022'!AG55</f>
        <v>#REF!</v>
      </c>
      <c r="AH55" s="50" t="e">
        <f>#REF!-'IS 3Q2022'!AH55</f>
        <v>#REF!</v>
      </c>
      <c r="AI55" s="50" t="e">
        <f>#REF!-'IS 3Q2022'!AI55</f>
        <v>#REF!</v>
      </c>
      <c r="AJ55" s="50" t="e">
        <f>#REF!-'IS 3Q2022'!AJ55</f>
        <v>#REF!</v>
      </c>
      <c r="AK55" s="50" t="e">
        <f>#REF!-'IS 3Q2022'!AK55</f>
        <v>#REF!</v>
      </c>
      <c r="AL55" s="191" t="e">
        <f>#REF!-'IS 3Q2022'!AL55</f>
        <v>#REF!</v>
      </c>
      <c r="AM55" s="50" t="e">
        <f>#REF!-'IS 3Q2022'!AM55</f>
        <v>#REF!</v>
      </c>
      <c r="AN55" s="50" t="e">
        <f>#REF!-'IS 3Q2022'!AN55</f>
        <v>#REF!</v>
      </c>
      <c r="AO55" s="50" t="e">
        <f>#REF!-'IS 3Q2022'!AO55</f>
        <v>#REF!</v>
      </c>
      <c r="AP55" s="50" t="e">
        <f>#REF!-'IS 3Q2022'!AP55</f>
        <v>#REF!</v>
      </c>
      <c r="AQ55" s="191" t="e">
        <f>#REF!-'IS 3Q2022'!AQ55</f>
        <v>#REF!</v>
      </c>
      <c r="AR55" s="50" t="e">
        <f>#REF!-'IS 3Q2022'!AR55</f>
        <v>#REF!</v>
      </c>
      <c r="AS55" s="50" t="e">
        <f>#REF!-'IS 3Q2022'!AS55</f>
        <v>#REF!</v>
      </c>
      <c r="AT55" s="50" t="e">
        <f>#REF!-'IS 3Q2022'!AT55</f>
        <v>#REF!</v>
      </c>
      <c r="AU55" s="50" t="e">
        <f>#REF!-'IS 3Q2022'!AU55</f>
        <v>#REF!</v>
      </c>
      <c r="AV55" s="191" t="e">
        <f>#REF!-'IS 3Q2022'!AV55</f>
        <v>#REF!</v>
      </c>
    </row>
    <row r="56" spans="2:48" outlineLevel="1" x14ac:dyDescent="0.3">
      <c r="B56" s="69" t="s">
        <v>50</v>
      </c>
      <c r="C56" s="70"/>
      <c r="D56" s="120" t="e">
        <f>#REF!-'IS 3Q2022'!D56</f>
        <v>#REF!</v>
      </c>
      <c r="E56" s="120" t="e">
        <f>#REF!-'IS 3Q2022'!E56</f>
        <v>#REF!</v>
      </c>
      <c r="F56" s="120" t="e">
        <f>#REF!-'IS 3Q2022'!F56</f>
        <v>#REF!</v>
      </c>
      <c r="G56" s="120" t="e">
        <f>#REF!-'IS 3Q2022'!G56</f>
        <v>#REF!</v>
      </c>
      <c r="H56" s="155" t="e">
        <f>#REF!-'IS 3Q2022'!H56</f>
        <v>#REF!</v>
      </c>
      <c r="I56" s="120" t="e">
        <f>#REF!-'IS 3Q2022'!I56</f>
        <v>#REF!</v>
      </c>
      <c r="J56" s="120" t="e">
        <f>#REF!-'IS 3Q2022'!J56</f>
        <v>#REF!</v>
      </c>
      <c r="K56" s="120" t="e">
        <f>#REF!-'IS 3Q2022'!K56</f>
        <v>#REF!</v>
      </c>
      <c r="L56" s="120" t="e">
        <f>#REF!-'IS 3Q2022'!L56</f>
        <v>#REF!</v>
      </c>
      <c r="M56" s="58" t="e">
        <f>#REF!-'IS 3Q2022'!M56</f>
        <v>#REF!</v>
      </c>
      <c r="N56" s="120" t="e">
        <f>#REF!-'IS 3Q2022'!N56</f>
        <v>#REF!</v>
      </c>
      <c r="O56" s="120" t="e">
        <f>#REF!-'IS 3Q2022'!O56</f>
        <v>#REF!</v>
      </c>
      <c r="P56" s="120" t="e">
        <f>#REF!-'IS 3Q2022'!P56</f>
        <v>#REF!</v>
      </c>
      <c r="Q56" s="120" t="e">
        <f>#REF!-'IS 3Q2022'!Q56</f>
        <v>#REF!</v>
      </c>
      <c r="R56" s="58" t="e">
        <f>#REF!-'IS 3Q2022'!R56</f>
        <v>#REF!</v>
      </c>
      <c r="S56" s="120" t="e">
        <f>#REF!-'IS 3Q2022'!S56</f>
        <v>#REF!</v>
      </c>
      <c r="T56" s="120" t="e">
        <f>#REF!-'IS 3Q2022'!T56</f>
        <v>#REF!</v>
      </c>
      <c r="U56" s="120" t="e">
        <f>#REF!-'IS 3Q2022'!U56</f>
        <v>#REF!</v>
      </c>
      <c r="V56" s="71" t="e">
        <f>#REF!-'IS 3Q2022'!V56</f>
        <v>#REF!</v>
      </c>
      <c r="W56" s="155" t="e">
        <f>#REF!-'IS 3Q2022'!W56</f>
        <v>#REF!</v>
      </c>
      <c r="X56" s="71" t="e">
        <f>#REF!-'IS 3Q2022'!X56</f>
        <v>#REF!</v>
      </c>
      <c r="Y56" s="71" t="e">
        <f>#REF!-'IS 3Q2022'!Y56</f>
        <v>#REF!</v>
      </c>
      <c r="Z56" s="71" t="e">
        <f>#REF!-'IS 3Q2022'!Z56</f>
        <v>#REF!</v>
      </c>
      <c r="AA56" s="71" t="e">
        <f>#REF!-'IS 3Q2022'!AA56</f>
        <v>#REF!</v>
      </c>
      <c r="AB56" s="374" t="e">
        <f>#REF!-'IS 3Q2022'!AB56</f>
        <v>#REF!</v>
      </c>
      <c r="AC56" s="71" t="e">
        <f>#REF!-'IS 3Q2022'!AC56</f>
        <v>#REF!</v>
      </c>
      <c r="AD56" s="71" t="e">
        <f>#REF!-'IS 3Q2022'!AD56</f>
        <v>#REF!</v>
      </c>
      <c r="AE56" s="71" t="e">
        <f>#REF!-'IS 3Q2022'!AE56</f>
        <v>#REF!</v>
      </c>
      <c r="AF56" s="71" t="e">
        <f>#REF!-'IS 3Q2022'!AF56</f>
        <v>#REF!</v>
      </c>
      <c r="AG56" s="58" t="e">
        <f>#REF!-'IS 3Q2022'!AG56</f>
        <v>#REF!</v>
      </c>
      <c r="AH56" s="71" t="e">
        <f>#REF!-'IS 3Q2022'!AH56</f>
        <v>#REF!</v>
      </c>
      <c r="AI56" s="71" t="e">
        <f>#REF!-'IS 3Q2022'!AI56</f>
        <v>#REF!</v>
      </c>
      <c r="AJ56" s="71" t="e">
        <f>#REF!-'IS 3Q2022'!AJ56</f>
        <v>#REF!</v>
      </c>
      <c r="AK56" s="71" t="e">
        <f>#REF!-'IS 3Q2022'!AK56</f>
        <v>#REF!</v>
      </c>
      <c r="AL56" s="58" t="e">
        <f>#REF!-'IS 3Q2022'!AL56</f>
        <v>#REF!</v>
      </c>
      <c r="AM56" s="71" t="e">
        <f>#REF!-'IS 3Q2022'!AM56</f>
        <v>#REF!</v>
      </c>
      <c r="AN56" s="71" t="e">
        <f>#REF!-'IS 3Q2022'!AN56</f>
        <v>#REF!</v>
      </c>
      <c r="AO56" s="71" t="e">
        <f>#REF!-'IS 3Q2022'!AO56</f>
        <v>#REF!</v>
      </c>
      <c r="AP56" s="71" t="e">
        <f>#REF!-'IS 3Q2022'!AP56</f>
        <v>#REF!</v>
      </c>
      <c r="AQ56" s="58" t="e">
        <f>#REF!-'IS 3Q2022'!AQ56</f>
        <v>#REF!</v>
      </c>
      <c r="AR56" s="71" t="e">
        <f>#REF!-'IS 3Q2022'!AR56</f>
        <v>#REF!</v>
      </c>
      <c r="AS56" s="71" t="e">
        <f>#REF!-'IS 3Q2022'!AS56</f>
        <v>#REF!</v>
      </c>
      <c r="AT56" s="71" t="e">
        <f>#REF!-'IS 3Q2022'!AT56</f>
        <v>#REF!</v>
      </c>
      <c r="AU56" s="71" t="e">
        <f>#REF!-'IS 3Q2022'!AU56</f>
        <v>#REF!</v>
      </c>
      <c r="AV56" s="58" t="e">
        <f>#REF!-'IS 3Q2022'!AV56</f>
        <v>#REF!</v>
      </c>
    </row>
    <row r="57" spans="2:48" outlineLevel="1" x14ac:dyDescent="0.3">
      <c r="B57" s="180" t="s">
        <v>180</v>
      </c>
      <c r="C57" s="207"/>
      <c r="D57" s="101" t="e">
        <f>#REF!-'IS 3Q2022'!D57</f>
        <v>#REF!</v>
      </c>
      <c r="E57" s="101" t="e">
        <f>#REF!-'IS 3Q2022'!E57</f>
        <v>#REF!</v>
      </c>
      <c r="F57" s="101" t="e">
        <f>#REF!-'IS 3Q2022'!F57</f>
        <v>#REF!</v>
      </c>
      <c r="G57" s="101" t="e">
        <f>#REF!-'IS 3Q2022'!G57</f>
        <v>#REF!</v>
      </c>
      <c r="H57" s="122" t="e">
        <f>#REF!-'IS 3Q2022'!H57</f>
        <v>#REF!</v>
      </c>
      <c r="I57" s="101" t="e">
        <f>#REF!-'IS 3Q2022'!I57</f>
        <v>#REF!</v>
      </c>
      <c r="J57" s="101" t="e">
        <f>#REF!-'IS 3Q2022'!J57</f>
        <v>#REF!</v>
      </c>
      <c r="K57" s="101" t="e">
        <f>#REF!-'IS 3Q2022'!K57</f>
        <v>#REF!</v>
      </c>
      <c r="L57" s="16" t="e">
        <f>#REF!-'IS 3Q2022'!L57</f>
        <v>#REF!</v>
      </c>
      <c r="M57" s="6" t="e">
        <f>#REF!-'IS 3Q2022'!M57</f>
        <v>#REF!</v>
      </c>
      <c r="N57" s="16" t="e">
        <f>#REF!-'IS 3Q2022'!N57</f>
        <v>#REF!</v>
      </c>
      <c r="O57" s="16" t="e">
        <f>#REF!-'IS 3Q2022'!O57</f>
        <v>#REF!</v>
      </c>
      <c r="P57" s="16" t="e">
        <f>#REF!-'IS 3Q2022'!P57</f>
        <v>#REF!</v>
      </c>
      <c r="Q57" s="101" t="e">
        <f>#REF!-'IS 3Q2022'!Q57</f>
        <v>#REF!</v>
      </c>
      <c r="R57" s="6" t="e">
        <f>#REF!-'IS 3Q2022'!R57</f>
        <v>#REF!</v>
      </c>
      <c r="S57" s="16" t="e">
        <f>#REF!-'IS 3Q2022'!S57</f>
        <v>#REF!</v>
      </c>
      <c r="T57" s="16" t="e">
        <f>#REF!-'IS 3Q2022'!T57</f>
        <v>#REF!</v>
      </c>
      <c r="U57" s="16" t="e">
        <f>#REF!-'IS 3Q2022'!U57</f>
        <v>#REF!</v>
      </c>
      <c r="V57" s="16" t="e">
        <f>#REF!-'IS 3Q2022'!V57</f>
        <v>#REF!</v>
      </c>
      <c r="W57" s="254" t="e">
        <f>#REF!-'IS 3Q2022'!W57</f>
        <v>#REF!</v>
      </c>
      <c r="X57" s="16" t="e">
        <f>#REF!-'IS 3Q2022'!X57</f>
        <v>#REF!</v>
      </c>
      <c r="Y57" s="16" t="e">
        <f>#REF!-'IS 3Q2022'!Y57</f>
        <v>#REF!</v>
      </c>
      <c r="Z57" s="16" t="e">
        <f>#REF!-'IS 3Q2022'!Z57</f>
        <v>#REF!</v>
      </c>
      <c r="AA57" s="16" t="e">
        <f>#REF!-'IS 3Q2022'!AA57</f>
        <v>#REF!</v>
      </c>
      <c r="AB57" s="254" t="e">
        <f>#REF!-'IS 3Q2022'!AB57</f>
        <v>#REF!</v>
      </c>
      <c r="AC57" s="16" t="e">
        <f>#REF!-'IS 3Q2022'!AC57</f>
        <v>#REF!</v>
      </c>
      <c r="AD57" s="16" t="e">
        <f>#REF!-'IS 3Q2022'!AD57</f>
        <v>#REF!</v>
      </c>
      <c r="AE57" s="16" t="e">
        <f>#REF!-'IS 3Q2022'!AE57</f>
        <v>#REF!</v>
      </c>
      <c r="AF57" s="16" t="e">
        <f>#REF!-'IS 3Q2022'!AF57</f>
        <v>#REF!</v>
      </c>
      <c r="AG57" s="254" t="e">
        <f>#REF!-'IS 3Q2022'!AG57</f>
        <v>#REF!</v>
      </c>
      <c r="AH57" s="16" t="e">
        <f>#REF!-'IS 3Q2022'!AH57</f>
        <v>#REF!</v>
      </c>
      <c r="AI57" s="16" t="e">
        <f>#REF!-'IS 3Q2022'!AI57</f>
        <v>#REF!</v>
      </c>
      <c r="AJ57" s="16" t="e">
        <f>#REF!-'IS 3Q2022'!AJ57</f>
        <v>#REF!</v>
      </c>
      <c r="AK57" s="16" t="e">
        <f>#REF!-'IS 3Q2022'!AK57</f>
        <v>#REF!</v>
      </c>
      <c r="AL57" s="254" t="e">
        <f>#REF!-'IS 3Q2022'!AL57</f>
        <v>#REF!</v>
      </c>
      <c r="AM57" s="16" t="e">
        <f>#REF!-'IS 3Q2022'!AM57</f>
        <v>#REF!</v>
      </c>
      <c r="AN57" s="16" t="e">
        <f>#REF!-'IS 3Q2022'!AN57</f>
        <v>#REF!</v>
      </c>
      <c r="AO57" s="16" t="e">
        <f>#REF!-'IS 3Q2022'!AO57</f>
        <v>#REF!</v>
      </c>
      <c r="AP57" s="16" t="e">
        <f>#REF!-'IS 3Q2022'!AP57</f>
        <v>#REF!</v>
      </c>
      <c r="AQ57" s="254" t="e">
        <f>#REF!-'IS 3Q2022'!AQ57</f>
        <v>#REF!</v>
      </c>
      <c r="AR57" s="16" t="e">
        <f>#REF!-'IS 3Q2022'!AR57</f>
        <v>#REF!</v>
      </c>
      <c r="AS57" s="16" t="e">
        <f>#REF!-'IS 3Q2022'!AS57</f>
        <v>#REF!</v>
      </c>
      <c r="AT57" s="16" t="e">
        <f>#REF!-'IS 3Q2022'!AT57</f>
        <v>#REF!</v>
      </c>
      <c r="AU57" s="16" t="e">
        <f>#REF!-'IS 3Q2022'!AU57</f>
        <v>#REF!</v>
      </c>
      <c r="AV57" s="254" t="e">
        <f>#REF!-'IS 3Q2022'!AV57</f>
        <v>#REF!</v>
      </c>
    </row>
    <row r="58" spans="2:48" outlineLevel="1" x14ac:dyDescent="0.3">
      <c r="B58" s="180" t="s">
        <v>181</v>
      </c>
      <c r="C58" s="207"/>
      <c r="D58" s="101" t="e">
        <f>#REF!-'IS 3Q2022'!D58</f>
        <v>#REF!</v>
      </c>
      <c r="E58" s="101" t="e">
        <f>#REF!-'IS 3Q2022'!E58</f>
        <v>#REF!</v>
      </c>
      <c r="F58" s="101" t="e">
        <f>#REF!-'IS 3Q2022'!F58</f>
        <v>#REF!</v>
      </c>
      <c r="G58" s="101" t="e">
        <f>#REF!-'IS 3Q2022'!G58</f>
        <v>#REF!</v>
      </c>
      <c r="H58" s="122" t="e">
        <f>#REF!-'IS 3Q2022'!H58</f>
        <v>#REF!</v>
      </c>
      <c r="I58" s="101" t="e">
        <f>#REF!-'IS 3Q2022'!I58</f>
        <v>#REF!</v>
      </c>
      <c r="J58" s="101" t="e">
        <f>#REF!-'IS 3Q2022'!J58</f>
        <v>#REF!</v>
      </c>
      <c r="K58" s="101" t="e">
        <f>#REF!-'IS 3Q2022'!K58</f>
        <v>#REF!</v>
      </c>
      <c r="L58" s="16" t="e">
        <f>#REF!-'IS 3Q2022'!L58</f>
        <v>#REF!</v>
      </c>
      <c r="M58" s="122" t="e">
        <f>#REF!-'IS 3Q2022'!M58</f>
        <v>#REF!</v>
      </c>
      <c r="N58" s="16" t="e">
        <f>#REF!-'IS 3Q2022'!N58</f>
        <v>#REF!</v>
      </c>
      <c r="O58" s="16" t="e">
        <f>#REF!-'IS 3Q2022'!O58</f>
        <v>#REF!</v>
      </c>
      <c r="P58" s="16" t="e">
        <f>#REF!-'IS 3Q2022'!P58</f>
        <v>#REF!</v>
      </c>
      <c r="Q58" s="101" t="e">
        <f>#REF!-'IS 3Q2022'!Q58</f>
        <v>#REF!</v>
      </c>
      <c r="R58" s="122" t="e">
        <f>#REF!-'IS 3Q2022'!R58</f>
        <v>#REF!</v>
      </c>
      <c r="S58" s="16" t="e">
        <f>#REF!-'IS 3Q2022'!S58</f>
        <v>#REF!</v>
      </c>
      <c r="T58" s="16" t="e">
        <f>#REF!-'IS 3Q2022'!T58</f>
        <v>#REF!</v>
      </c>
      <c r="U58" s="16" t="e">
        <f>#REF!-'IS 3Q2022'!U58</f>
        <v>#REF!</v>
      </c>
      <c r="V58" s="16" t="e">
        <f>#REF!-'IS 3Q2022'!V58</f>
        <v>#REF!</v>
      </c>
      <c r="W58" s="122" t="e">
        <f>#REF!-'IS 3Q2022'!W58</f>
        <v>#REF!</v>
      </c>
      <c r="X58" s="16" t="e">
        <f>#REF!-'IS 3Q2022'!X58</f>
        <v>#REF!</v>
      </c>
      <c r="Y58" s="16" t="e">
        <f>#REF!-'IS 3Q2022'!Y58</f>
        <v>#REF!</v>
      </c>
      <c r="Z58" s="16" t="e">
        <f>#REF!-'IS 3Q2022'!Z58</f>
        <v>#REF!</v>
      </c>
      <c r="AA58" s="16" t="e">
        <f>#REF!-'IS 3Q2022'!AA58</f>
        <v>#REF!</v>
      </c>
      <c r="AB58" s="122" t="e">
        <f>#REF!-'IS 3Q2022'!AB58</f>
        <v>#REF!</v>
      </c>
      <c r="AC58" s="16" t="e">
        <f>#REF!-'IS 3Q2022'!AC58</f>
        <v>#REF!</v>
      </c>
      <c r="AD58" s="16" t="e">
        <f>#REF!-'IS 3Q2022'!AD58</f>
        <v>#REF!</v>
      </c>
      <c r="AE58" s="16" t="e">
        <f>#REF!-'IS 3Q2022'!AE58</f>
        <v>#REF!</v>
      </c>
      <c r="AF58" s="16" t="e">
        <f>#REF!-'IS 3Q2022'!AF58</f>
        <v>#REF!</v>
      </c>
      <c r="AG58" s="122" t="e">
        <f>#REF!-'IS 3Q2022'!AG58</f>
        <v>#REF!</v>
      </c>
      <c r="AH58" s="16" t="e">
        <f>#REF!-'IS 3Q2022'!AH58</f>
        <v>#REF!</v>
      </c>
      <c r="AI58" s="16" t="e">
        <f>#REF!-'IS 3Q2022'!AI58</f>
        <v>#REF!</v>
      </c>
      <c r="AJ58" s="16" t="e">
        <f>#REF!-'IS 3Q2022'!AJ58</f>
        <v>#REF!</v>
      </c>
      <c r="AK58" s="16" t="e">
        <f>#REF!-'IS 3Q2022'!AK58</f>
        <v>#REF!</v>
      </c>
      <c r="AL58" s="122" t="e">
        <f>#REF!-'IS 3Q2022'!AL58</f>
        <v>#REF!</v>
      </c>
      <c r="AM58" s="16" t="e">
        <f>#REF!-'IS 3Q2022'!AM58</f>
        <v>#REF!</v>
      </c>
      <c r="AN58" s="16" t="e">
        <f>#REF!-'IS 3Q2022'!AN58</f>
        <v>#REF!</v>
      </c>
      <c r="AO58" s="16" t="e">
        <f>#REF!-'IS 3Q2022'!AO58</f>
        <v>#REF!</v>
      </c>
      <c r="AP58" s="16" t="e">
        <f>#REF!-'IS 3Q2022'!AP58</f>
        <v>#REF!</v>
      </c>
      <c r="AQ58" s="122" t="e">
        <f>#REF!-'IS 3Q2022'!AQ58</f>
        <v>#REF!</v>
      </c>
      <c r="AR58" s="16" t="e">
        <f>#REF!-'IS 3Q2022'!AR58</f>
        <v>#REF!</v>
      </c>
      <c r="AS58" s="16" t="e">
        <f>#REF!-'IS 3Q2022'!AS58</f>
        <v>#REF!</v>
      </c>
      <c r="AT58" s="16" t="e">
        <f>#REF!-'IS 3Q2022'!AT58</f>
        <v>#REF!</v>
      </c>
      <c r="AU58" s="16" t="e">
        <f>#REF!-'IS 3Q2022'!AU58</f>
        <v>#REF!</v>
      </c>
      <c r="AV58" s="122" t="e">
        <f>#REF!-'IS 3Q2022'!AV58</f>
        <v>#REF!</v>
      </c>
    </row>
    <row r="59" spans="2:48" outlineLevel="1" x14ac:dyDescent="0.3">
      <c r="B59" s="605" t="s">
        <v>182</v>
      </c>
      <c r="C59" s="606"/>
      <c r="D59" s="115" t="e">
        <f>#REF!-'IS 3Q2022'!D59</f>
        <v>#REF!</v>
      </c>
      <c r="E59" s="115" t="e">
        <f>#REF!-'IS 3Q2022'!E59</f>
        <v>#REF!</v>
      </c>
      <c r="F59" s="115" t="e">
        <f>#REF!-'IS 3Q2022'!F59</f>
        <v>#REF!</v>
      </c>
      <c r="G59" s="115" t="e">
        <f>#REF!-'IS 3Q2022'!G59</f>
        <v>#REF!</v>
      </c>
      <c r="H59" s="132" t="e">
        <f>#REF!-'IS 3Q2022'!H59</f>
        <v>#REF!</v>
      </c>
      <c r="I59" s="115" t="e">
        <f>#REF!-'IS 3Q2022'!I59</f>
        <v>#REF!</v>
      </c>
      <c r="J59" s="115" t="e">
        <f>#REF!-'IS 3Q2022'!J59</f>
        <v>#REF!</v>
      </c>
      <c r="K59" s="115" t="e">
        <f>#REF!-'IS 3Q2022'!K59</f>
        <v>#REF!</v>
      </c>
      <c r="L59" s="72" t="e">
        <f>#REF!-'IS 3Q2022'!L59</f>
        <v>#REF!</v>
      </c>
      <c r="M59" s="97" t="e">
        <f>#REF!-'IS 3Q2022'!M59</f>
        <v>#REF!</v>
      </c>
      <c r="N59" s="72" t="e">
        <f>#REF!-'IS 3Q2022'!N59</f>
        <v>#REF!</v>
      </c>
      <c r="O59" s="72" t="e">
        <f>#REF!-'IS 3Q2022'!O59</f>
        <v>#REF!</v>
      </c>
      <c r="P59" s="72" t="e">
        <f>#REF!-'IS 3Q2022'!P59</f>
        <v>#REF!</v>
      </c>
      <c r="Q59" s="115" t="e">
        <f>#REF!-'IS 3Q2022'!Q59</f>
        <v>#REF!</v>
      </c>
      <c r="R59" s="97" t="e">
        <f>#REF!-'IS 3Q2022'!R59</f>
        <v>#REF!</v>
      </c>
      <c r="S59" s="72" t="e">
        <f>#REF!-'IS 3Q2022'!S59</f>
        <v>#REF!</v>
      </c>
      <c r="T59" s="72" t="e">
        <f>#REF!-'IS 3Q2022'!T59</f>
        <v>#REF!</v>
      </c>
      <c r="U59" s="72" t="e">
        <f>#REF!-'IS 3Q2022'!U59</f>
        <v>#REF!</v>
      </c>
      <c r="V59" s="72" t="e">
        <f>#REF!-'IS 3Q2022'!V59</f>
        <v>#REF!</v>
      </c>
      <c r="W59" s="97" t="e">
        <f>#REF!-'IS 3Q2022'!W59</f>
        <v>#REF!</v>
      </c>
      <c r="X59" s="72" t="e">
        <f>#REF!-'IS 3Q2022'!X59</f>
        <v>#REF!</v>
      </c>
      <c r="Y59" s="72" t="e">
        <f>#REF!-'IS 3Q2022'!Y59</f>
        <v>#REF!</v>
      </c>
      <c r="Z59" s="72" t="e">
        <f>#REF!-'IS 3Q2022'!Z59</f>
        <v>#REF!</v>
      </c>
      <c r="AA59" s="72" t="e">
        <f>#REF!-'IS 3Q2022'!AA59</f>
        <v>#REF!</v>
      </c>
      <c r="AB59" s="97" t="e">
        <f>#REF!-'IS 3Q2022'!AB59</f>
        <v>#REF!</v>
      </c>
      <c r="AC59" s="72" t="e">
        <f>#REF!-'IS 3Q2022'!AC59</f>
        <v>#REF!</v>
      </c>
      <c r="AD59" s="72" t="e">
        <f>#REF!-'IS 3Q2022'!AD59</f>
        <v>#REF!</v>
      </c>
      <c r="AE59" s="72" t="e">
        <f>#REF!-'IS 3Q2022'!AE59</f>
        <v>#REF!</v>
      </c>
      <c r="AF59" s="72" t="e">
        <f>#REF!-'IS 3Q2022'!AF59</f>
        <v>#REF!</v>
      </c>
      <c r="AG59" s="97" t="e">
        <f>#REF!-'IS 3Q2022'!AG59</f>
        <v>#REF!</v>
      </c>
      <c r="AH59" s="72" t="e">
        <f>#REF!-'IS 3Q2022'!AH59</f>
        <v>#REF!</v>
      </c>
      <c r="AI59" s="72" t="e">
        <f>#REF!-'IS 3Q2022'!AI59</f>
        <v>#REF!</v>
      </c>
      <c r="AJ59" s="72" t="e">
        <f>#REF!-'IS 3Q2022'!AJ59</f>
        <v>#REF!</v>
      </c>
      <c r="AK59" s="72" t="e">
        <f>#REF!-'IS 3Q2022'!AK59</f>
        <v>#REF!</v>
      </c>
      <c r="AL59" s="97" t="e">
        <f>#REF!-'IS 3Q2022'!AL59</f>
        <v>#REF!</v>
      </c>
      <c r="AM59" s="72" t="e">
        <f>#REF!-'IS 3Q2022'!AM59</f>
        <v>#REF!</v>
      </c>
      <c r="AN59" s="72" t="e">
        <f>#REF!-'IS 3Q2022'!AN59</f>
        <v>#REF!</v>
      </c>
      <c r="AO59" s="72" t="e">
        <f>#REF!-'IS 3Q2022'!AO59</f>
        <v>#REF!</v>
      </c>
      <c r="AP59" s="72" t="e">
        <f>#REF!-'IS 3Q2022'!AP59</f>
        <v>#REF!</v>
      </c>
      <c r="AQ59" s="97" t="e">
        <f>#REF!-'IS 3Q2022'!AQ59</f>
        <v>#REF!</v>
      </c>
      <c r="AR59" s="72" t="e">
        <f>#REF!-'IS 3Q2022'!AR59</f>
        <v>#REF!</v>
      </c>
      <c r="AS59" s="72" t="e">
        <f>#REF!-'IS 3Q2022'!AS59</f>
        <v>#REF!</v>
      </c>
      <c r="AT59" s="72" t="e">
        <f>#REF!-'IS 3Q2022'!AT59</f>
        <v>#REF!</v>
      </c>
      <c r="AU59" s="72" t="e">
        <f>#REF!-'IS 3Q2022'!AU59</f>
        <v>#REF!</v>
      </c>
      <c r="AV59" s="97" t="e">
        <f>#REF!-'IS 3Q2022'!AV59</f>
        <v>#REF!</v>
      </c>
    </row>
    <row r="60" spans="2:48" outlineLevel="1" x14ac:dyDescent="0.3">
      <c r="B60" s="607" t="s">
        <v>100</v>
      </c>
      <c r="C60" s="608"/>
      <c r="D60" s="105" t="e">
        <f>#REF!-'IS 3Q2022'!D60</f>
        <v>#REF!</v>
      </c>
      <c r="E60" s="105" t="e">
        <f>#REF!-'IS 3Q2022'!E60</f>
        <v>#REF!</v>
      </c>
      <c r="F60" s="105" t="e">
        <f>#REF!-'IS 3Q2022'!F60</f>
        <v>#REF!</v>
      </c>
      <c r="G60" s="105" t="e">
        <f>#REF!-'IS 3Q2022'!G60</f>
        <v>#REF!</v>
      </c>
      <c r="H60" s="129" t="e">
        <f>#REF!-'IS 3Q2022'!H60</f>
        <v>#REF!</v>
      </c>
      <c r="I60" s="105" t="e">
        <f>#REF!-'IS 3Q2022'!I60</f>
        <v>#REF!</v>
      </c>
      <c r="J60" s="105" t="e">
        <f>#REF!-'IS 3Q2022'!J60</f>
        <v>#REF!</v>
      </c>
      <c r="K60" s="105" t="e">
        <f>#REF!-'IS 3Q2022'!K60</f>
        <v>#REF!</v>
      </c>
      <c r="L60" s="48" t="e">
        <f>#REF!-'IS 3Q2022'!L60</f>
        <v>#REF!</v>
      </c>
      <c r="M60" s="76" t="e">
        <f>#REF!-'IS 3Q2022'!M60</f>
        <v>#REF!</v>
      </c>
      <c r="N60" s="48" t="e">
        <f>#REF!-'IS 3Q2022'!N60</f>
        <v>#REF!</v>
      </c>
      <c r="O60" s="48" t="e">
        <f>#REF!-'IS 3Q2022'!O60</f>
        <v>#REF!</v>
      </c>
      <c r="P60" s="48" t="e">
        <f>#REF!-'IS 3Q2022'!P60</f>
        <v>#REF!</v>
      </c>
      <c r="Q60" s="105" t="e">
        <f>#REF!-'IS 3Q2022'!Q60</f>
        <v>#REF!</v>
      </c>
      <c r="R60" s="76" t="e">
        <f>#REF!-'IS 3Q2022'!R60</f>
        <v>#REF!</v>
      </c>
      <c r="S60" s="48" t="e">
        <f>#REF!-'IS 3Q2022'!S60</f>
        <v>#REF!</v>
      </c>
      <c r="T60" s="48" t="e">
        <f>#REF!-'IS 3Q2022'!T60</f>
        <v>#REF!</v>
      </c>
      <c r="U60" s="48" t="e">
        <f>#REF!-'IS 3Q2022'!U60</f>
        <v>#REF!</v>
      </c>
      <c r="V60" s="48" t="e">
        <f>#REF!-'IS 3Q2022'!V60</f>
        <v>#REF!</v>
      </c>
      <c r="W60" s="76" t="e">
        <f>#REF!-'IS 3Q2022'!W60</f>
        <v>#REF!</v>
      </c>
      <c r="X60" s="48" t="e">
        <f>#REF!-'IS 3Q2022'!X60</f>
        <v>#REF!</v>
      </c>
      <c r="Y60" s="48" t="e">
        <f>#REF!-'IS 3Q2022'!Y60</f>
        <v>#REF!</v>
      </c>
      <c r="Z60" s="48" t="e">
        <f>#REF!-'IS 3Q2022'!Z60</f>
        <v>#REF!</v>
      </c>
      <c r="AA60" s="48" t="e">
        <f>#REF!-'IS 3Q2022'!AA60</f>
        <v>#REF!</v>
      </c>
      <c r="AB60" s="76" t="e">
        <f>#REF!-'IS 3Q2022'!AB60</f>
        <v>#REF!</v>
      </c>
      <c r="AC60" s="48" t="e">
        <f>#REF!-'IS 3Q2022'!AC60</f>
        <v>#REF!</v>
      </c>
      <c r="AD60" s="48" t="e">
        <f>#REF!-'IS 3Q2022'!AD60</f>
        <v>#REF!</v>
      </c>
      <c r="AE60" s="48" t="e">
        <f>#REF!-'IS 3Q2022'!AE60</f>
        <v>#REF!</v>
      </c>
      <c r="AF60" s="48" t="e">
        <f>#REF!-'IS 3Q2022'!AF60</f>
        <v>#REF!</v>
      </c>
      <c r="AG60" s="76" t="e">
        <f>#REF!-'IS 3Q2022'!AG60</f>
        <v>#REF!</v>
      </c>
      <c r="AH60" s="48" t="e">
        <f>#REF!-'IS 3Q2022'!AH60</f>
        <v>#REF!</v>
      </c>
      <c r="AI60" s="48" t="e">
        <f>#REF!-'IS 3Q2022'!AI60</f>
        <v>#REF!</v>
      </c>
      <c r="AJ60" s="48" t="e">
        <f>#REF!-'IS 3Q2022'!AJ60</f>
        <v>#REF!</v>
      </c>
      <c r="AK60" s="48" t="e">
        <f>#REF!-'IS 3Q2022'!AK60</f>
        <v>#REF!</v>
      </c>
      <c r="AL60" s="76" t="e">
        <f>#REF!-'IS 3Q2022'!AL60</f>
        <v>#REF!</v>
      </c>
      <c r="AM60" s="48" t="e">
        <f>#REF!-'IS 3Q2022'!AM60</f>
        <v>#REF!</v>
      </c>
      <c r="AN60" s="48" t="e">
        <f>#REF!-'IS 3Q2022'!AN60</f>
        <v>#REF!</v>
      </c>
      <c r="AO60" s="48" t="e">
        <f>#REF!-'IS 3Q2022'!AO60</f>
        <v>#REF!</v>
      </c>
      <c r="AP60" s="48" t="e">
        <f>#REF!-'IS 3Q2022'!AP60</f>
        <v>#REF!</v>
      </c>
      <c r="AQ60" s="76" t="e">
        <f>#REF!-'IS 3Q2022'!AQ60</f>
        <v>#REF!</v>
      </c>
      <c r="AR60" s="48" t="e">
        <f>#REF!-'IS 3Q2022'!AR60</f>
        <v>#REF!</v>
      </c>
      <c r="AS60" s="48" t="e">
        <f>#REF!-'IS 3Q2022'!AS60</f>
        <v>#REF!</v>
      </c>
      <c r="AT60" s="48" t="e">
        <f>#REF!-'IS 3Q2022'!AT60</f>
        <v>#REF!</v>
      </c>
      <c r="AU60" s="48" t="e">
        <f>#REF!-'IS 3Q2022'!AU60</f>
        <v>#REF!</v>
      </c>
      <c r="AV60" s="76" t="e">
        <f>#REF!-'IS 3Q2022'!AV60</f>
        <v>#REF!</v>
      </c>
    </row>
    <row r="61" spans="2:48" s="184" customFormat="1" outlineLevel="1" x14ac:dyDescent="0.3">
      <c r="B61" s="181" t="s">
        <v>151</v>
      </c>
      <c r="C61" s="185"/>
      <c r="D61" s="167" t="e">
        <f>#REF!-'IS 3Q2022'!D61</f>
        <v>#REF!</v>
      </c>
      <c r="E61" s="167" t="e">
        <f>#REF!-'IS 3Q2022'!E61</f>
        <v>#REF!</v>
      </c>
      <c r="F61" s="167" t="e">
        <f>#REF!-'IS 3Q2022'!F61</f>
        <v>#REF!</v>
      </c>
      <c r="G61" s="167" t="e">
        <f>#REF!-'IS 3Q2022'!G61</f>
        <v>#REF!</v>
      </c>
      <c r="H61" s="186" t="e">
        <f>#REF!-'IS 3Q2022'!H61</f>
        <v>#REF!</v>
      </c>
      <c r="I61" s="167" t="e">
        <f>#REF!-'IS 3Q2022'!I61</f>
        <v>#REF!</v>
      </c>
      <c r="J61" s="167" t="e">
        <f>#REF!-'IS 3Q2022'!J61</f>
        <v>#REF!</v>
      </c>
      <c r="K61" s="167" t="e">
        <f>#REF!-'IS 3Q2022'!K61</f>
        <v>#REF!</v>
      </c>
      <c r="L61" s="187" t="e">
        <f>#REF!-'IS 3Q2022'!L61</f>
        <v>#REF!</v>
      </c>
      <c r="M61" s="188" t="e">
        <f>#REF!-'IS 3Q2022'!M61</f>
        <v>#REF!</v>
      </c>
      <c r="N61" s="187" t="e">
        <f>#REF!-'IS 3Q2022'!N61</f>
        <v>#REF!</v>
      </c>
      <c r="O61" s="167" t="e">
        <f>#REF!-'IS 3Q2022'!O61</f>
        <v>#REF!</v>
      </c>
      <c r="P61" s="167" t="e">
        <f>#REF!-'IS 3Q2022'!P61</f>
        <v>#REF!</v>
      </c>
      <c r="Q61" s="167" t="e">
        <f>#REF!-'IS 3Q2022'!Q61</f>
        <v>#REF!</v>
      </c>
      <c r="R61" s="188" t="e">
        <f>#REF!-'IS 3Q2022'!R61</f>
        <v>#REF!</v>
      </c>
      <c r="S61" s="187" t="e">
        <f>#REF!-'IS 3Q2022'!S61</f>
        <v>#REF!</v>
      </c>
      <c r="T61" s="167" t="e">
        <f>#REF!-'IS 3Q2022'!T61</f>
        <v>#REF!</v>
      </c>
      <c r="U61" s="167" t="e">
        <f>#REF!-'IS 3Q2022'!U61</f>
        <v>#REF!</v>
      </c>
      <c r="V61" s="189" t="e">
        <f>#REF!-'IS 3Q2022'!V61</f>
        <v>#REF!</v>
      </c>
      <c r="W61" s="188" t="e">
        <f>#REF!-'IS 3Q2022'!W61</f>
        <v>#REF!</v>
      </c>
      <c r="X61" s="189" t="e">
        <f>#REF!-'IS 3Q2022'!X61</f>
        <v>#REF!</v>
      </c>
      <c r="Y61" s="189" t="e">
        <f>#REF!-'IS 3Q2022'!Y61</f>
        <v>#REF!</v>
      </c>
      <c r="Z61" s="189" t="e">
        <f>#REF!-'IS 3Q2022'!Z61</f>
        <v>#REF!</v>
      </c>
      <c r="AA61" s="189" t="e">
        <f>#REF!-'IS 3Q2022'!AA61</f>
        <v>#REF!</v>
      </c>
      <c r="AB61" s="188" t="e">
        <f>#REF!-'IS 3Q2022'!AB61</f>
        <v>#REF!</v>
      </c>
      <c r="AC61" s="189" t="e">
        <f>#REF!-'IS 3Q2022'!AC61</f>
        <v>#REF!</v>
      </c>
      <c r="AD61" s="189" t="e">
        <f>#REF!-'IS 3Q2022'!AD61</f>
        <v>#REF!</v>
      </c>
      <c r="AE61" s="189" t="e">
        <f>#REF!-'IS 3Q2022'!AE61</f>
        <v>#REF!</v>
      </c>
      <c r="AF61" s="189" t="e">
        <f>#REF!-'IS 3Q2022'!AF61</f>
        <v>#REF!</v>
      </c>
      <c r="AG61" s="188" t="e">
        <f>#REF!-'IS 3Q2022'!AG61</f>
        <v>#REF!</v>
      </c>
      <c r="AH61" s="189" t="e">
        <f>#REF!-'IS 3Q2022'!AH61</f>
        <v>#REF!</v>
      </c>
      <c r="AI61" s="189" t="e">
        <f>#REF!-'IS 3Q2022'!AI61</f>
        <v>#REF!</v>
      </c>
      <c r="AJ61" s="189" t="e">
        <f>#REF!-'IS 3Q2022'!AJ61</f>
        <v>#REF!</v>
      </c>
      <c r="AK61" s="189" t="e">
        <f>#REF!-'IS 3Q2022'!AK61</f>
        <v>#REF!</v>
      </c>
      <c r="AL61" s="188" t="e">
        <f>#REF!-'IS 3Q2022'!AL61</f>
        <v>#REF!</v>
      </c>
      <c r="AM61" s="189" t="e">
        <f>#REF!-'IS 3Q2022'!AM61</f>
        <v>#REF!</v>
      </c>
      <c r="AN61" s="189" t="e">
        <f>#REF!-'IS 3Q2022'!AN61</f>
        <v>#REF!</v>
      </c>
      <c r="AO61" s="189" t="e">
        <f>#REF!-'IS 3Q2022'!AO61</f>
        <v>#REF!</v>
      </c>
      <c r="AP61" s="189" t="e">
        <f>#REF!-'IS 3Q2022'!AP61</f>
        <v>#REF!</v>
      </c>
      <c r="AQ61" s="188" t="e">
        <f>#REF!-'IS 3Q2022'!AQ61</f>
        <v>#REF!</v>
      </c>
      <c r="AR61" s="189" t="e">
        <f>#REF!-'IS 3Q2022'!AR61</f>
        <v>#REF!</v>
      </c>
      <c r="AS61" s="189" t="e">
        <f>#REF!-'IS 3Q2022'!AS61</f>
        <v>#REF!</v>
      </c>
      <c r="AT61" s="189" t="e">
        <f>#REF!-'IS 3Q2022'!AT61</f>
        <v>#REF!</v>
      </c>
      <c r="AU61" s="189" t="e">
        <f>#REF!-'IS 3Q2022'!AU61</f>
        <v>#REF!</v>
      </c>
      <c r="AV61" s="188" t="e">
        <f>#REF!-'IS 3Q2022'!AV61</f>
        <v>#REF!</v>
      </c>
    </row>
    <row r="62" spans="2:48" outlineLevel="1" x14ac:dyDescent="0.3">
      <c r="B62" s="180" t="s">
        <v>32</v>
      </c>
      <c r="C62" s="18"/>
      <c r="D62" s="48" t="e">
        <f>#REF!-'IS 3Q2022'!D62</f>
        <v>#REF!</v>
      </c>
      <c r="E62" s="48" t="e">
        <f>#REF!-'IS 3Q2022'!E62</f>
        <v>#REF!</v>
      </c>
      <c r="F62" s="48" t="e">
        <f>#REF!-'IS 3Q2022'!F62</f>
        <v>#REF!</v>
      </c>
      <c r="G62" s="48" t="e">
        <f>#REF!-'IS 3Q2022'!G62</f>
        <v>#REF!</v>
      </c>
      <c r="H62" s="49" t="e">
        <f>#REF!-'IS 3Q2022'!H62</f>
        <v>#REF!</v>
      </c>
      <c r="I62" s="48" t="e">
        <f>#REF!-'IS 3Q2022'!I62</f>
        <v>#REF!</v>
      </c>
      <c r="J62" s="48" t="e">
        <f>#REF!-'IS 3Q2022'!J62</f>
        <v>#REF!</v>
      </c>
      <c r="K62" s="48" t="e">
        <f>#REF!-'IS 3Q2022'!K62</f>
        <v>#REF!</v>
      </c>
      <c r="L62" s="48" t="e">
        <f>#REF!-'IS 3Q2022'!L62</f>
        <v>#REF!</v>
      </c>
      <c r="M62" s="165" t="e">
        <f>#REF!-'IS 3Q2022'!M62</f>
        <v>#REF!</v>
      </c>
      <c r="N62" s="48" t="e">
        <f>#REF!-'IS 3Q2022'!N62</f>
        <v>#REF!</v>
      </c>
      <c r="O62" s="48" t="e">
        <f>#REF!-'IS 3Q2022'!O62</f>
        <v>#REF!</v>
      </c>
      <c r="P62" s="48" t="e">
        <f>#REF!-'IS 3Q2022'!P62</f>
        <v>#REF!</v>
      </c>
      <c r="Q62" s="105" t="e">
        <f>#REF!-'IS 3Q2022'!Q62</f>
        <v>#REF!</v>
      </c>
      <c r="R62" s="49" t="e">
        <f>#REF!-'IS 3Q2022'!R62</f>
        <v>#REF!</v>
      </c>
      <c r="S62" s="48" t="e">
        <f>#REF!-'IS 3Q2022'!S62</f>
        <v>#REF!</v>
      </c>
      <c r="T62" s="48" t="e">
        <f>#REF!-'IS 3Q2022'!T62</f>
        <v>#REF!</v>
      </c>
      <c r="U62" s="48" t="e">
        <f>#REF!-'IS 3Q2022'!U62</f>
        <v>#REF!</v>
      </c>
      <c r="V62" s="48" t="e">
        <f>#REF!-'IS 3Q2022'!V62</f>
        <v>#REF!</v>
      </c>
      <c r="W62" s="49" t="e">
        <f>#REF!-'IS 3Q2022'!W62</f>
        <v>#REF!</v>
      </c>
      <c r="X62" s="48" t="e">
        <f>#REF!-'IS 3Q2022'!X62</f>
        <v>#REF!</v>
      </c>
      <c r="Y62" s="48" t="e">
        <f>#REF!-'IS 3Q2022'!Y62</f>
        <v>#REF!</v>
      </c>
      <c r="Z62" s="48" t="e">
        <f>#REF!-'IS 3Q2022'!Z62</f>
        <v>#REF!</v>
      </c>
      <c r="AA62" s="48" t="e">
        <f>#REF!-'IS 3Q2022'!AA62</f>
        <v>#REF!</v>
      </c>
      <c r="AB62" s="49" t="e">
        <f>#REF!-'IS 3Q2022'!AB62</f>
        <v>#REF!</v>
      </c>
      <c r="AC62" s="48" t="e">
        <f>#REF!-'IS 3Q2022'!AC62</f>
        <v>#REF!</v>
      </c>
      <c r="AD62" s="48" t="e">
        <f>#REF!-'IS 3Q2022'!AD62</f>
        <v>#REF!</v>
      </c>
      <c r="AE62" s="48" t="e">
        <f>#REF!-'IS 3Q2022'!AE62</f>
        <v>#REF!</v>
      </c>
      <c r="AF62" s="48" t="e">
        <f>#REF!-'IS 3Q2022'!AF62</f>
        <v>#REF!</v>
      </c>
      <c r="AG62" s="49" t="e">
        <f>#REF!-'IS 3Q2022'!AG62</f>
        <v>#REF!</v>
      </c>
      <c r="AH62" s="48" t="e">
        <f>#REF!-'IS 3Q2022'!AH62</f>
        <v>#REF!</v>
      </c>
      <c r="AI62" s="48" t="e">
        <f>#REF!-'IS 3Q2022'!AI62</f>
        <v>#REF!</v>
      </c>
      <c r="AJ62" s="48" t="e">
        <f>#REF!-'IS 3Q2022'!AJ62</f>
        <v>#REF!</v>
      </c>
      <c r="AK62" s="48" t="e">
        <f>#REF!-'IS 3Q2022'!AK62</f>
        <v>#REF!</v>
      </c>
      <c r="AL62" s="49" t="e">
        <f>#REF!-'IS 3Q2022'!AL62</f>
        <v>#REF!</v>
      </c>
      <c r="AM62" s="48" t="e">
        <f>#REF!-'IS 3Q2022'!AM62</f>
        <v>#REF!</v>
      </c>
      <c r="AN62" s="48" t="e">
        <f>#REF!-'IS 3Q2022'!AN62</f>
        <v>#REF!</v>
      </c>
      <c r="AO62" s="48" t="e">
        <f>#REF!-'IS 3Q2022'!AO62</f>
        <v>#REF!</v>
      </c>
      <c r="AP62" s="48" t="e">
        <f>#REF!-'IS 3Q2022'!AP62</f>
        <v>#REF!</v>
      </c>
      <c r="AQ62" s="49" t="e">
        <f>#REF!-'IS 3Q2022'!AQ62</f>
        <v>#REF!</v>
      </c>
      <c r="AR62" s="48" t="e">
        <f>#REF!-'IS 3Q2022'!AR62</f>
        <v>#REF!</v>
      </c>
      <c r="AS62" s="48" t="e">
        <f>#REF!-'IS 3Q2022'!AS62</f>
        <v>#REF!</v>
      </c>
      <c r="AT62" s="48" t="e">
        <f>#REF!-'IS 3Q2022'!AT62</f>
        <v>#REF!</v>
      </c>
      <c r="AU62" s="48" t="e">
        <f>#REF!-'IS 3Q2022'!AU62</f>
        <v>#REF!</v>
      </c>
      <c r="AV62" s="49" t="e">
        <f>#REF!-'IS 3Q2022'!AV62</f>
        <v>#REF!</v>
      </c>
    </row>
    <row r="63" spans="2:48" s="184" customFormat="1" outlineLevel="1" x14ac:dyDescent="0.3">
      <c r="B63" s="181" t="s">
        <v>150</v>
      </c>
      <c r="C63" s="190"/>
      <c r="D63" s="187" t="e">
        <f>#REF!-'IS 3Q2022'!D63</f>
        <v>#REF!</v>
      </c>
      <c r="E63" s="187" t="e">
        <f>#REF!-'IS 3Q2022'!E63</f>
        <v>#REF!</v>
      </c>
      <c r="F63" s="187" t="e">
        <f>#REF!-'IS 3Q2022'!F63</f>
        <v>#REF!</v>
      </c>
      <c r="G63" s="187" t="e">
        <f>#REF!-'IS 3Q2022'!G63</f>
        <v>#REF!</v>
      </c>
      <c r="H63" s="188" t="e">
        <f>#REF!-'IS 3Q2022'!H63</f>
        <v>#REF!</v>
      </c>
      <c r="I63" s="187" t="e">
        <f>#REF!-'IS 3Q2022'!I63</f>
        <v>#REF!</v>
      </c>
      <c r="J63" s="187" t="e">
        <f>#REF!-'IS 3Q2022'!J63</f>
        <v>#REF!</v>
      </c>
      <c r="K63" s="187" t="e">
        <f>#REF!-'IS 3Q2022'!K63</f>
        <v>#REF!</v>
      </c>
      <c r="L63" s="187" t="e">
        <f>#REF!-'IS 3Q2022'!L63</f>
        <v>#REF!</v>
      </c>
      <c r="M63" s="188" t="e">
        <f>#REF!-'IS 3Q2022'!M63</f>
        <v>#REF!</v>
      </c>
      <c r="N63" s="187" t="e">
        <f>#REF!-'IS 3Q2022'!N63</f>
        <v>#REF!</v>
      </c>
      <c r="O63" s="187" t="e">
        <f>#REF!-'IS 3Q2022'!O63</f>
        <v>#REF!</v>
      </c>
      <c r="P63" s="187" t="e">
        <f>#REF!-'IS 3Q2022'!P63</f>
        <v>#REF!</v>
      </c>
      <c r="Q63" s="167" t="e">
        <f>#REF!-'IS 3Q2022'!Q63</f>
        <v>#REF!</v>
      </c>
      <c r="R63" s="188" t="e">
        <f>#REF!-'IS 3Q2022'!R63</f>
        <v>#REF!</v>
      </c>
      <c r="S63" s="187" t="e">
        <f>#REF!-'IS 3Q2022'!S63</f>
        <v>#REF!</v>
      </c>
      <c r="T63" s="187" t="e">
        <f>#REF!-'IS 3Q2022'!T63</f>
        <v>#REF!</v>
      </c>
      <c r="U63" s="187" t="e">
        <f>#REF!-'IS 3Q2022'!U63</f>
        <v>#REF!</v>
      </c>
      <c r="V63" s="189" t="e">
        <f>#REF!-'IS 3Q2022'!V63</f>
        <v>#REF!</v>
      </c>
      <c r="W63" s="188" t="e">
        <f>#REF!-'IS 3Q2022'!W63</f>
        <v>#REF!</v>
      </c>
      <c r="X63" s="189" t="e">
        <f>#REF!-'IS 3Q2022'!X63</f>
        <v>#REF!</v>
      </c>
      <c r="Y63" s="189" t="e">
        <f>#REF!-'IS 3Q2022'!Y63</f>
        <v>#REF!</v>
      </c>
      <c r="Z63" s="189" t="e">
        <f>#REF!-'IS 3Q2022'!Z63</f>
        <v>#REF!</v>
      </c>
      <c r="AA63" s="189" t="e">
        <f>#REF!-'IS 3Q2022'!AA63</f>
        <v>#REF!</v>
      </c>
      <c r="AB63" s="188" t="e">
        <f>#REF!-'IS 3Q2022'!AB63</f>
        <v>#REF!</v>
      </c>
      <c r="AC63" s="189" t="e">
        <f>#REF!-'IS 3Q2022'!AC63</f>
        <v>#REF!</v>
      </c>
      <c r="AD63" s="189" t="e">
        <f>#REF!-'IS 3Q2022'!AD63</f>
        <v>#REF!</v>
      </c>
      <c r="AE63" s="189" t="e">
        <f>#REF!-'IS 3Q2022'!AE63</f>
        <v>#REF!</v>
      </c>
      <c r="AF63" s="189" t="e">
        <f>#REF!-'IS 3Q2022'!AF63</f>
        <v>#REF!</v>
      </c>
      <c r="AG63" s="188" t="e">
        <f>#REF!-'IS 3Q2022'!AG63</f>
        <v>#REF!</v>
      </c>
      <c r="AH63" s="189" t="e">
        <f>#REF!-'IS 3Q2022'!AH63</f>
        <v>#REF!</v>
      </c>
      <c r="AI63" s="189" t="e">
        <f>#REF!-'IS 3Q2022'!AI63</f>
        <v>#REF!</v>
      </c>
      <c r="AJ63" s="189" t="e">
        <f>#REF!-'IS 3Q2022'!AJ63</f>
        <v>#REF!</v>
      </c>
      <c r="AK63" s="189" t="e">
        <f>#REF!-'IS 3Q2022'!AK63</f>
        <v>#REF!</v>
      </c>
      <c r="AL63" s="188" t="e">
        <f>#REF!-'IS 3Q2022'!AL63</f>
        <v>#REF!</v>
      </c>
      <c r="AM63" s="189" t="e">
        <f>#REF!-'IS 3Q2022'!AM63</f>
        <v>#REF!</v>
      </c>
      <c r="AN63" s="189" t="e">
        <f>#REF!-'IS 3Q2022'!AN63</f>
        <v>#REF!</v>
      </c>
      <c r="AO63" s="189" t="e">
        <f>#REF!-'IS 3Q2022'!AO63</f>
        <v>#REF!</v>
      </c>
      <c r="AP63" s="189" t="e">
        <f>#REF!-'IS 3Q2022'!AP63</f>
        <v>#REF!</v>
      </c>
      <c r="AQ63" s="188" t="e">
        <f>#REF!-'IS 3Q2022'!AQ63</f>
        <v>#REF!</v>
      </c>
      <c r="AR63" s="189" t="e">
        <f>#REF!-'IS 3Q2022'!AR63</f>
        <v>#REF!</v>
      </c>
      <c r="AS63" s="189" t="e">
        <f>#REF!-'IS 3Q2022'!AS63</f>
        <v>#REF!</v>
      </c>
      <c r="AT63" s="189" t="e">
        <f>#REF!-'IS 3Q2022'!AT63</f>
        <v>#REF!</v>
      </c>
      <c r="AU63" s="189" t="e">
        <f>#REF!-'IS 3Q2022'!AU63</f>
        <v>#REF!</v>
      </c>
      <c r="AV63" s="188" t="e">
        <f>#REF!-'IS 3Q2022'!AV63</f>
        <v>#REF!</v>
      </c>
    </row>
    <row r="64" spans="2:48" outlineLevel="1" x14ac:dyDescent="0.3">
      <c r="B64" s="180" t="s">
        <v>33</v>
      </c>
      <c r="C64" s="18"/>
      <c r="D64" s="48" t="e">
        <f>#REF!-'IS 3Q2022'!D64</f>
        <v>#REF!</v>
      </c>
      <c r="E64" s="48" t="e">
        <f>#REF!-'IS 3Q2022'!E64</f>
        <v>#REF!</v>
      </c>
      <c r="F64" s="48" t="e">
        <f>#REF!-'IS 3Q2022'!F64</f>
        <v>#REF!</v>
      </c>
      <c r="G64" s="48" t="e">
        <f>#REF!-'IS 3Q2022'!G64</f>
        <v>#REF!</v>
      </c>
      <c r="H64" s="49" t="e">
        <f>#REF!-'IS 3Q2022'!H64</f>
        <v>#REF!</v>
      </c>
      <c r="I64" s="48" t="e">
        <f>#REF!-'IS 3Q2022'!I64</f>
        <v>#REF!</v>
      </c>
      <c r="J64" s="48" t="e">
        <f>#REF!-'IS 3Q2022'!J64</f>
        <v>#REF!</v>
      </c>
      <c r="K64" s="48" t="e">
        <f>#REF!-'IS 3Q2022'!K64</f>
        <v>#REF!</v>
      </c>
      <c r="L64" s="48" t="e">
        <f>#REF!-'IS 3Q2022'!L64</f>
        <v>#REF!</v>
      </c>
      <c r="M64" s="49" t="e">
        <f>#REF!-'IS 3Q2022'!M64</f>
        <v>#REF!</v>
      </c>
      <c r="N64" s="48" t="e">
        <f>#REF!-'IS 3Q2022'!N64</f>
        <v>#REF!</v>
      </c>
      <c r="O64" s="48" t="e">
        <f>#REF!-'IS 3Q2022'!O64</f>
        <v>#REF!</v>
      </c>
      <c r="P64" s="48" t="e">
        <f>#REF!-'IS 3Q2022'!P64</f>
        <v>#REF!</v>
      </c>
      <c r="Q64" s="105" t="e">
        <f>#REF!-'IS 3Q2022'!Q64</f>
        <v>#REF!</v>
      </c>
      <c r="R64" s="49" t="e">
        <f>#REF!-'IS 3Q2022'!R64</f>
        <v>#REF!</v>
      </c>
      <c r="S64" s="48" t="e">
        <f>#REF!-'IS 3Q2022'!S64</f>
        <v>#REF!</v>
      </c>
      <c r="T64" s="48" t="e">
        <f>#REF!-'IS 3Q2022'!T64</f>
        <v>#REF!</v>
      </c>
      <c r="U64" s="48" t="e">
        <f>#REF!-'IS 3Q2022'!U64</f>
        <v>#REF!</v>
      </c>
      <c r="V64" s="48" t="e">
        <f>#REF!-'IS 3Q2022'!V64</f>
        <v>#REF!</v>
      </c>
      <c r="W64" s="49" t="e">
        <f>#REF!-'IS 3Q2022'!W64</f>
        <v>#REF!</v>
      </c>
      <c r="X64" s="48" t="e">
        <f>#REF!-'IS 3Q2022'!X64</f>
        <v>#REF!</v>
      </c>
      <c r="Y64" s="48" t="e">
        <f>#REF!-'IS 3Q2022'!Y64</f>
        <v>#REF!</v>
      </c>
      <c r="Z64" s="48" t="e">
        <f>#REF!-'IS 3Q2022'!Z64</f>
        <v>#REF!</v>
      </c>
      <c r="AA64" s="48" t="e">
        <f>#REF!-'IS 3Q2022'!AA64</f>
        <v>#REF!</v>
      </c>
      <c r="AB64" s="49" t="e">
        <f>#REF!-'IS 3Q2022'!AB64</f>
        <v>#REF!</v>
      </c>
      <c r="AC64" s="48" t="e">
        <f>#REF!-'IS 3Q2022'!AC64</f>
        <v>#REF!</v>
      </c>
      <c r="AD64" s="48" t="e">
        <f>#REF!-'IS 3Q2022'!AD64</f>
        <v>#REF!</v>
      </c>
      <c r="AE64" s="48" t="e">
        <f>#REF!-'IS 3Q2022'!AE64</f>
        <v>#REF!</v>
      </c>
      <c r="AF64" s="48" t="e">
        <f>#REF!-'IS 3Q2022'!AF64</f>
        <v>#REF!</v>
      </c>
      <c r="AG64" s="49" t="e">
        <f>#REF!-'IS 3Q2022'!AG64</f>
        <v>#REF!</v>
      </c>
      <c r="AH64" s="48" t="e">
        <f>#REF!-'IS 3Q2022'!AH64</f>
        <v>#REF!</v>
      </c>
      <c r="AI64" s="48" t="e">
        <f>#REF!-'IS 3Q2022'!AI64</f>
        <v>#REF!</v>
      </c>
      <c r="AJ64" s="48" t="e">
        <f>#REF!-'IS 3Q2022'!AJ64</f>
        <v>#REF!</v>
      </c>
      <c r="AK64" s="48" t="e">
        <f>#REF!-'IS 3Q2022'!AK64</f>
        <v>#REF!</v>
      </c>
      <c r="AL64" s="49" t="e">
        <f>#REF!-'IS 3Q2022'!AL64</f>
        <v>#REF!</v>
      </c>
      <c r="AM64" s="48" t="e">
        <f>#REF!-'IS 3Q2022'!AM64</f>
        <v>#REF!</v>
      </c>
      <c r="AN64" s="48" t="e">
        <f>#REF!-'IS 3Q2022'!AN64</f>
        <v>#REF!</v>
      </c>
      <c r="AO64" s="48" t="e">
        <f>#REF!-'IS 3Q2022'!AO64</f>
        <v>#REF!</v>
      </c>
      <c r="AP64" s="48" t="e">
        <f>#REF!-'IS 3Q2022'!AP64</f>
        <v>#REF!</v>
      </c>
      <c r="AQ64" s="49" t="e">
        <f>#REF!-'IS 3Q2022'!AQ64</f>
        <v>#REF!</v>
      </c>
      <c r="AR64" s="48" t="e">
        <f>#REF!-'IS 3Q2022'!AR64</f>
        <v>#REF!</v>
      </c>
      <c r="AS64" s="48" t="e">
        <f>#REF!-'IS 3Q2022'!AS64</f>
        <v>#REF!</v>
      </c>
      <c r="AT64" s="48" t="e">
        <f>#REF!-'IS 3Q2022'!AT64</f>
        <v>#REF!</v>
      </c>
      <c r="AU64" s="48" t="e">
        <f>#REF!-'IS 3Q2022'!AU64</f>
        <v>#REF!</v>
      </c>
      <c r="AV64" s="49" t="e">
        <f>#REF!-'IS 3Q2022'!AV64</f>
        <v>#REF!</v>
      </c>
    </row>
    <row r="65" spans="2:48" s="184" customFormat="1" outlineLevel="1" x14ac:dyDescent="0.3">
      <c r="B65" s="181" t="s">
        <v>152</v>
      </c>
      <c r="C65" s="190"/>
      <c r="D65" s="187" t="e">
        <f>#REF!-'IS 3Q2022'!D65</f>
        <v>#REF!</v>
      </c>
      <c r="E65" s="187" t="e">
        <f>#REF!-'IS 3Q2022'!E65</f>
        <v>#REF!</v>
      </c>
      <c r="F65" s="187" t="e">
        <f>#REF!-'IS 3Q2022'!F65</f>
        <v>#REF!</v>
      </c>
      <c r="G65" s="187" t="e">
        <f>#REF!-'IS 3Q2022'!G65</f>
        <v>#REF!</v>
      </c>
      <c r="H65" s="188" t="e">
        <f>#REF!-'IS 3Q2022'!H65</f>
        <v>#REF!</v>
      </c>
      <c r="I65" s="187" t="e">
        <f>#REF!-'IS 3Q2022'!I65</f>
        <v>#REF!</v>
      </c>
      <c r="J65" s="187" t="e">
        <f>#REF!-'IS 3Q2022'!J65</f>
        <v>#REF!</v>
      </c>
      <c r="K65" s="187" t="e">
        <f>#REF!-'IS 3Q2022'!K65</f>
        <v>#REF!</v>
      </c>
      <c r="L65" s="187" t="e">
        <f>#REF!-'IS 3Q2022'!L65</f>
        <v>#REF!</v>
      </c>
      <c r="M65" s="188" t="e">
        <f>#REF!-'IS 3Q2022'!M65</f>
        <v>#REF!</v>
      </c>
      <c r="N65" s="187" t="e">
        <f>#REF!-'IS 3Q2022'!N65</f>
        <v>#REF!</v>
      </c>
      <c r="O65" s="187" t="e">
        <f>#REF!-'IS 3Q2022'!O65</f>
        <v>#REF!</v>
      </c>
      <c r="P65" s="187" t="e">
        <f>#REF!-'IS 3Q2022'!P65</f>
        <v>#REF!</v>
      </c>
      <c r="Q65" s="167" t="e">
        <f>#REF!-'IS 3Q2022'!Q65</f>
        <v>#REF!</v>
      </c>
      <c r="R65" s="188" t="e">
        <f>#REF!-'IS 3Q2022'!R65</f>
        <v>#REF!</v>
      </c>
      <c r="S65" s="187" t="e">
        <f>#REF!-'IS 3Q2022'!S65</f>
        <v>#REF!</v>
      </c>
      <c r="T65" s="187" t="e">
        <f>#REF!-'IS 3Q2022'!T65</f>
        <v>#REF!</v>
      </c>
      <c r="U65" s="187" t="e">
        <f>#REF!-'IS 3Q2022'!U65</f>
        <v>#REF!</v>
      </c>
      <c r="V65" s="189" t="e">
        <f>#REF!-'IS 3Q2022'!V65</f>
        <v>#REF!</v>
      </c>
      <c r="W65" s="188" t="e">
        <f>#REF!-'IS 3Q2022'!W65</f>
        <v>#REF!</v>
      </c>
      <c r="X65" s="189" t="e">
        <f>#REF!-'IS 3Q2022'!X65</f>
        <v>#REF!</v>
      </c>
      <c r="Y65" s="189" t="e">
        <f>#REF!-'IS 3Q2022'!Y65</f>
        <v>#REF!</v>
      </c>
      <c r="Z65" s="189" t="e">
        <f>#REF!-'IS 3Q2022'!Z65</f>
        <v>#REF!</v>
      </c>
      <c r="AA65" s="189" t="e">
        <f>#REF!-'IS 3Q2022'!AA65</f>
        <v>#REF!</v>
      </c>
      <c r="AB65" s="188" t="e">
        <f>#REF!-'IS 3Q2022'!AB65</f>
        <v>#REF!</v>
      </c>
      <c r="AC65" s="189" t="e">
        <f>#REF!-'IS 3Q2022'!AC65</f>
        <v>#REF!</v>
      </c>
      <c r="AD65" s="189" t="e">
        <f>#REF!-'IS 3Q2022'!AD65</f>
        <v>#REF!</v>
      </c>
      <c r="AE65" s="189" t="e">
        <f>#REF!-'IS 3Q2022'!AE65</f>
        <v>#REF!</v>
      </c>
      <c r="AF65" s="189" t="e">
        <f>#REF!-'IS 3Q2022'!AF65</f>
        <v>#REF!</v>
      </c>
      <c r="AG65" s="188" t="e">
        <f>#REF!-'IS 3Q2022'!AG65</f>
        <v>#REF!</v>
      </c>
      <c r="AH65" s="189" t="e">
        <f>#REF!-'IS 3Q2022'!AH65</f>
        <v>#REF!</v>
      </c>
      <c r="AI65" s="189" t="e">
        <f>#REF!-'IS 3Q2022'!AI65</f>
        <v>#REF!</v>
      </c>
      <c r="AJ65" s="189" t="e">
        <f>#REF!-'IS 3Q2022'!AJ65</f>
        <v>#REF!</v>
      </c>
      <c r="AK65" s="189" t="e">
        <f>#REF!-'IS 3Q2022'!AK65</f>
        <v>#REF!</v>
      </c>
      <c r="AL65" s="188" t="e">
        <f>#REF!-'IS 3Q2022'!AL65</f>
        <v>#REF!</v>
      </c>
      <c r="AM65" s="189" t="e">
        <f>#REF!-'IS 3Q2022'!AM65</f>
        <v>#REF!</v>
      </c>
      <c r="AN65" s="189" t="e">
        <f>#REF!-'IS 3Q2022'!AN65</f>
        <v>#REF!</v>
      </c>
      <c r="AO65" s="189" t="e">
        <f>#REF!-'IS 3Q2022'!AO65</f>
        <v>#REF!</v>
      </c>
      <c r="AP65" s="189" t="e">
        <f>#REF!-'IS 3Q2022'!AP65</f>
        <v>#REF!</v>
      </c>
      <c r="AQ65" s="188" t="e">
        <f>#REF!-'IS 3Q2022'!AQ65</f>
        <v>#REF!</v>
      </c>
      <c r="AR65" s="189" t="e">
        <f>#REF!-'IS 3Q2022'!AR65</f>
        <v>#REF!</v>
      </c>
      <c r="AS65" s="189" t="e">
        <f>#REF!-'IS 3Q2022'!AS65</f>
        <v>#REF!</v>
      </c>
      <c r="AT65" s="189" t="e">
        <f>#REF!-'IS 3Q2022'!AT65</f>
        <v>#REF!</v>
      </c>
      <c r="AU65" s="189" t="e">
        <f>#REF!-'IS 3Q2022'!AU65</f>
        <v>#REF!</v>
      </c>
      <c r="AV65" s="188" t="e">
        <f>#REF!-'IS 3Q2022'!AV65</f>
        <v>#REF!</v>
      </c>
    </row>
    <row r="66" spans="2:48" outlineLevel="1" x14ac:dyDescent="0.3">
      <c r="B66" s="180" t="s">
        <v>34</v>
      </c>
      <c r="C66" s="18"/>
      <c r="D66" s="358" t="e">
        <f>#REF!-'IS 3Q2022'!D66</f>
        <v>#REF!</v>
      </c>
      <c r="E66" s="358" t="e">
        <f>#REF!-'IS 3Q2022'!E66</f>
        <v>#REF!</v>
      </c>
      <c r="F66" s="358" t="e">
        <f>#REF!-'IS 3Q2022'!F66</f>
        <v>#REF!</v>
      </c>
      <c r="G66" s="358" t="e">
        <f>#REF!-'IS 3Q2022'!G66</f>
        <v>#REF!</v>
      </c>
      <c r="H66" s="130" t="e">
        <f>#REF!-'IS 3Q2022'!H66</f>
        <v>#REF!</v>
      </c>
      <c r="I66" s="358" t="e">
        <f>#REF!-'IS 3Q2022'!I66</f>
        <v>#REF!</v>
      </c>
      <c r="J66" s="358" t="e">
        <f>#REF!-'IS 3Q2022'!J66</f>
        <v>#REF!</v>
      </c>
      <c r="K66" s="358" t="e">
        <f>#REF!-'IS 3Q2022'!K66</f>
        <v>#REF!</v>
      </c>
      <c r="L66" s="358" t="e">
        <f>#REF!-'IS 3Q2022'!L66</f>
        <v>#REF!</v>
      </c>
      <c r="M66" s="359" t="e">
        <f>#REF!-'IS 3Q2022'!M66</f>
        <v>#REF!</v>
      </c>
      <c r="N66" s="358" t="e">
        <f>#REF!-'IS 3Q2022'!N66</f>
        <v>#REF!</v>
      </c>
      <c r="O66" s="358" t="e">
        <f>#REF!-'IS 3Q2022'!O66</f>
        <v>#REF!</v>
      </c>
      <c r="P66" s="358" t="e">
        <f>#REF!-'IS 3Q2022'!P66</f>
        <v>#REF!</v>
      </c>
      <c r="Q66" s="358" t="e">
        <f>#REF!-'IS 3Q2022'!Q66</f>
        <v>#REF!</v>
      </c>
      <c r="R66" s="170" t="e">
        <f>#REF!-'IS 3Q2022'!R66</f>
        <v>#REF!</v>
      </c>
      <c r="S66" s="358" t="e">
        <f>#REF!-'IS 3Q2022'!S66</f>
        <v>#REF!</v>
      </c>
      <c r="T66" s="358" t="e">
        <f>#REF!-'IS 3Q2022'!T66</f>
        <v>#REF!</v>
      </c>
      <c r="U66" s="358" t="e">
        <f>#REF!-'IS 3Q2022'!U66</f>
        <v>#REF!</v>
      </c>
      <c r="V66" s="358" t="e">
        <f>#REF!-'IS 3Q2022'!V66</f>
        <v>#REF!</v>
      </c>
      <c r="W66" s="170" t="e">
        <f>#REF!-'IS 3Q2022'!W66</f>
        <v>#REF!</v>
      </c>
      <c r="X66" s="358" t="e">
        <f>#REF!-'IS 3Q2022'!X66</f>
        <v>#REF!</v>
      </c>
      <c r="Y66" s="358" t="e">
        <f>#REF!-'IS 3Q2022'!Y66</f>
        <v>#REF!</v>
      </c>
      <c r="Z66" s="358" t="e">
        <f>#REF!-'IS 3Q2022'!Z66</f>
        <v>#REF!</v>
      </c>
      <c r="AA66" s="358" t="e">
        <f>#REF!-'IS 3Q2022'!AA66</f>
        <v>#REF!</v>
      </c>
      <c r="AB66" s="170" t="e">
        <f>#REF!-'IS 3Q2022'!AB66</f>
        <v>#REF!</v>
      </c>
      <c r="AC66" s="358" t="e">
        <f>#REF!-'IS 3Q2022'!AC66</f>
        <v>#REF!</v>
      </c>
      <c r="AD66" s="358" t="e">
        <f>#REF!-'IS 3Q2022'!AD66</f>
        <v>#REF!</v>
      </c>
      <c r="AE66" s="358" t="e">
        <f>#REF!-'IS 3Q2022'!AE66</f>
        <v>#REF!</v>
      </c>
      <c r="AF66" s="358" t="e">
        <f>#REF!-'IS 3Q2022'!AF66</f>
        <v>#REF!</v>
      </c>
      <c r="AG66" s="170" t="e">
        <f>#REF!-'IS 3Q2022'!AG66</f>
        <v>#REF!</v>
      </c>
      <c r="AH66" s="358" t="e">
        <f>#REF!-'IS 3Q2022'!AH66</f>
        <v>#REF!</v>
      </c>
      <c r="AI66" s="358" t="e">
        <f>#REF!-'IS 3Q2022'!AI66</f>
        <v>#REF!</v>
      </c>
      <c r="AJ66" s="358" t="e">
        <f>#REF!-'IS 3Q2022'!AJ66</f>
        <v>#REF!</v>
      </c>
      <c r="AK66" s="358" t="e">
        <f>#REF!-'IS 3Q2022'!AK66</f>
        <v>#REF!</v>
      </c>
      <c r="AL66" s="170" t="e">
        <f>#REF!-'IS 3Q2022'!AL66</f>
        <v>#REF!</v>
      </c>
      <c r="AM66" s="358" t="e">
        <f>#REF!-'IS 3Q2022'!AM66</f>
        <v>#REF!</v>
      </c>
      <c r="AN66" s="358" t="e">
        <f>#REF!-'IS 3Q2022'!AN66</f>
        <v>#REF!</v>
      </c>
      <c r="AO66" s="358" t="e">
        <f>#REF!-'IS 3Q2022'!AO66</f>
        <v>#REF!</v>
      </c>
      <c r="AP66" s="358" t="e">
        <f>#REF!-'IS 3Q2022'!AP66</f>
        <v>#REF!</v>
      </c>
      <c r="AQ66" s="170" t="e">
        <f>#REF!-'IS 3Q2022'!AQ66</f>
        <v>#REF!</v>
      </c>
      <c r="AR66" s="358" t="e">
        <f>#REF!-'IS 3Q2022'!AR66</f>
        <v>#REF!</v>
      </c>
      <c r="AS66" s="358" t="e">
        <f>#REF!-'IS 3Q2022'!AS66</f>
        <v>#REF!</v>
      </c>
      <c r="AT66" s="358" t="e">
        <f>#REF!-'IS 3Q2022'!AT66</f>
        <v>#REF!</v>
      </c>
      <c r="AU66" s="358" t="e">
        <f>#REF!-'IS 3Q2022'!AU66</f>
        <v>#REF!</v>
      </c>
      <c r="AV66" s="170" t="e">
        <f>#REF!-'IS 3Q2022'!AV66</f>
        <v>#REF!</v>
      </c>
    </row>
    <row r="67" spans="2:48" outlineLevel="1" x14ac:dyDescent="0.3">
      <c r="B67" s="180" t="s">
        <v>35</v>
      </c>
      <c r="C67" s="18"/>
      <c r="D67" s="48" t="e">
        <f>#REF!-'IS 3Q2022'!D67</f>
        <v>#REF!</v>
      </c>
      <c r="E67" s="48" t="e">
        <f>#REF!-'IS 3Q2022'!E67</f>
        <v>#REF!</v>
      </c>
      <c r="F67" s="48" t="e">
        <f>#REF!-'IS 3Q2022'!F67</f>
        <v>#REF!</v>
      </c>
      <c r="G67" s="48" t="e">
        <f>#REF!-'IS 3Q2022'!G67</f>
        <v>#REF!</v>
      </c>
      <c r="H67" s="49" t="e">
        <f>#REF!-'IS 3Q2022'!H67</f>
        <v>#REF!</v>
      </c>
      <c r="I67" s="48" t="e">
        <f>#REF!-'IS 3Q2022'!I67</f>
        <v>#REF!</v>
      </c>
      <c r="J67" s="48" t="e">
        <f>#REF!-'IS 3Q2022'!J67</f>
        <v>#REF!</v>
      </c>
      <c r="K67" s="48" t="e">
        <f>#REF!-'IS 3Q2022'!K67</f>
        <v>#REF!</v>
      </c>
      <c r="L67" s="48" t="e">
        <f>#REF!-'IS 3Q2022'!L67</f>
        <v>#REF!</v>
      </c>
      <c r="M67" s="165" t="e">
        <f>#REF!-'IS 3Q2022'!M67</f>
        <v>#REF!</v>
      </c>
      <c r="N67" s="48" t="e">
        <f>#REF!-'IS 3Q2022'!N67</f>
        <v>#REF!</v>
      </c>
      <c r="O67" s="48" t="e">
        <f>#REF!-'IS 3Q2022'!O67</f>
        <v>#REF!</v>
      </c>
      <c r="P67" s="48" t="e">
        <f>#REF!-'IS 3Q2022'!P67</f>
        <v>#REF!</v>
      </c>
      <c r="Q67" s="105" t="e">
        <f>#REF!-'IS 3Q2022'!Q67</f>
        <v>#REF!</v>
      </c>
      <c r="R67" s="49" t="e">
        <f>#REF!-'IS 3Q2022'!R67</f>
        <v>#REF!</v>
      </c>
      <c r="S67" s="48" t="e">
        <f>#REF!-'IS 3Q2022'!S67</f>
        <v>#REF!</v>
      </c>
      <c r="T67" s="48" t="e">
        <f>#REF!-'IS 3Q2022'!T67</f>
        <v>#REF!</v>
      </c>
      <c r="U67" s="48" t="e">
        <f>#REF!-'IS 3Q2022'!U67</f>
        <v>#REF!</v>
      </c>
      <c r="V67" s="48" t="e">
        <f>#REF!-'IS 3Q2022'!V67</f>
        <v>#REF!</v>
      </c>
      <c r="W67" s="49" t="e">
        <f>#REF!-'IS 3Q2022'!W67</f>
        <v>#REF!</v>
      </c>
      <c r="X67" s="48" t="e">
        <f>#REF!-'IS 3Q2022'!X67</f>
        <v>#REF!</v>
      </c>
      <c r="Y67" s="48" t="e">
        <f>#REF!-'IS 3Q2022'!Y67</f>
        <v>#REF!</v>
      </c>
      <c r="Z67" s="48" t="e">
        <f>#REF!-'IS 3Q2022'!Z67</f>
        <v>#REF!</v>
      </c>
      <c r="AA67" s="48" t="e">
        <f>#REF!-'IS 3Q2022'!AA67</f>
        <v>#REF!</v>
      </c>
      <c r="AB67" s="49" t="e">
        <f>#REF!-'IS 3Q2022'!AB67</f>
        <v>#REF!</v>
      </c>
      <c r="AC67" s="48" t="e">
        <f>#REF!-'IS 3Q2022'!AC67</f>
        <v>#REF!</v>
      </c>
      <c r="AD67" s="48" t="e">
        <f>#REF!-'IS 3Q2022'!AD67</f>
        <v>#REF!</v>
      </c>
      <c r="AE67" s="48" t="e">
        <f>#REF!-'IS 3Q2022'!AE67</f>
        <v>#REF!</v>
      </c>
      <c r="AF67" s="48" t="e">
        <f>#REF!-'IS 3Q2022'!AF67</f>
        <v>#REF!</v>
      </c>
      <c r="AG67" s="49" t="e">
        <f>#REF!-'IS 3Q2022'!AG67</f>
        <v>#REF!</v>
      </c>
      <c r="AH67" s="48" t="e">
        <f>#REF!-'IS 3Q2022'!AH67</f>
        <v>#REF!</v>
      </c>
      <c r="AI67" s="48" t="e">
        <f>#REF!-'IS 3Q2022'!AI67</f>
        <v>#REF!</v>
      </c>
      <c r="AJ67" s="48" t="e">
        <f>#REF!-'IS 3Q2022'!AJ67</f>
        <v>#REF!</v>
      </c>
      <c r="AK67" s="48" t="e">
        <f>#REF!-'IS 3Q2022'!AK67</f>
        <v>#REF!</v>
      </c>
      <c r="AL67" s="49" t="e">
        <f>#REF!-'IS 3Q2022'!AL67</f>
        <v>#REF!</v>
      </c>
      <c r="AM67" s="48" t="e">
        <f>#REF!-'IS 3Q2022'!AM67</f>
        <v>#REF!</v>
      </c>
      <c r="AN67" s="48" t="e">
        <f>#REF!-'IS 3Q2022'!AN67</f>
        <v>#REF!</v>
      </c>
      <c r="AO67" s="48" t="e">
        <f>#REF!-'IS 3Q2022'!AO67</f>
        <v>#REF!</v>
      </c>
      <c r="AP67" s="48" t="e">
        <f>#REF!-'IS 3Q2022'!AP67</f>
        <v>#REF!</v>
      </c>
      <c r="AQ67" s="49" t="e">
        <f>#REF!-'IS 3Q2022'!AQ67</f>
        <v>#REF!</v>
      </c>
      <c r="AR67" s="48" t="e">
        <f>#REF!-'IS 3Q2022'!AR67</f>
        <v>#REF!</v>
      </c>
      <c r="AS67" s="48" t="e">
        <f>#REF!-'IS 3Q2022'!AS67</f>
        <v>#REF!</v>
      </c>
      <c r="AT67" s="48" t="e">
        <f>#REF!-'IS 3Q2022'!AT67</f>
        <v>#REF!</v>
      </c>
      <c r="AU67" s="48" t="e">
        <f>#REF!-'IS 3Q2022'!AU67</f>
        <v>#REF!</v>
      </c>
      <c r="AV67" s="49" t="e">
        <f>#REF!-'IS 3Q2022'!AV67</f>
        <v>#REF!</v>
      </c>
    </row>
    <row r="68" spans="2:48" s="184" customFormat="1" outlineLevel="1" x14ac:dyDescent="0.3">
      <c r="B68" s="181" t="s">
        <v>153</v>
      </c>
      <c r="C68" s="190"/>
      <c r="D68" s="187" t="e">
        <f>#REF!-'IS 3Q2022'!D68</f>
        <v>#REF!</v>
      </c>
      <c r="E68" s="187" t="e">
        <f>#REF!-'IS 3Q2022'!E68</f>
        <v>#REF!</v>
      </c>
      <c r="F68" s="187" t="e">
        <f>#REF!-'IS 3Q2022'!F68</f>
        <v>#REF!</v>
      </c>
      <c r="G68" s="187" t="e">
        <f>#REF!-'IS 3Q2022'!G68</f>
        <v>#REF!</v>
      </c>
      <c r="H68" s="188" t="e">
        <f>#REF!-'IS 3Q2022'!H68</f>
        <v>#REF!</v>
      </c>
      <c r="I68" s="187" t="e">
        <f>#REF!-'IS 3Q2022'!I68</f>
        <v>#REF!</v>
      </c>
      <c r="J68" s="187" t="e">
        <f>#REF!-'IS 3Q2022'!J68</f>
        <v>#REF!</v>
      </c>
      <c r="K68" s="187" t="e">
        <f>#REF!-'IS 3Q2022'!K68</f>
        <v>#REF!</v>
      </c>
      <c r="L68" s="187" t="e">
        <f>#REF!-'IS 3Q2022'!L68</f>
        <v>#REF!</v>
      </c>
      <c r="M68" s="188" t="e">
        <f>#REF!-'IS 3Q2022'!M68</f>
        <v>#REF!</v>
      </c>
      <c r="N68" s="187" t="e">
        <f>#REF!-'IS 3Q2022'!N68</f>
        <v>#REF!</v>
      </c>
      <c r="O68" s="187" t="e">
        <f>#REF!-'IS 3Q2022'!O68</f>
        <v>#REF!</v>
      </c>
      <c r="P68" s="187" t="e">
        <f>#REF!-'IS 3Q2022'!P68</f>
        <v>#REF!</v>
      </c>
      <c r="Q68" s="167" t="e">
        <f>#REF!-'IS 3Q2022'!Q68</f>
        <v>#REF!</v>
      </c>
      <c r="R68" s="188" t="e">
        <f>#REF!-'IS 3Q2022'!R68</f>
        <v>#REF!</v>
      </c>
      <c r="S68" s="187" t="e">
        <f>#REF!-'IS 3Q2022'!S68</f>
        <v>#REF!</v>
      </c>
      <c r="T68" s="187" t="e">
        <f>#REF!-'IS 3Q2022'!T68</f>
        <v>#REF!</v>
      </c>
      <c r="U68" s="187" t="e">
        <f>#REF!-'IS 3Q2022'!U68</f>
        <v>#REF!</v>
      </c>
      <c r="V68" s="189" t="e">
        <f>#REF!-'IS 3Q2022'!V68</f>
        <v>#REF!</v>
      </c>
      <c r="W68" s="188" t="e">
        <f>#REF!-'IS 3Q2022'!W68</f>
        <v>#REF!</v>
      </c>
      <c r="X68" s="189" t="e">
        <f>#REF!-'IS 3Q2022'!X68</f>
        <v>#REF!</v>
      </c>
      <c r="Y68" s="189" t="e">
        <f>#REF!-'IS 3Q2022'!Y68</f>
        <v>#REF!</v>
      </c>
      <c r="Z68" s="189" t="e">
        <f>#REF!-'IS 3Q2022'!Z68</f>
        <v>#REF!</v>
      </c>
      <c r="AA68" s="189" t="e">
        <f>#REF!-'IS 3Q2022'!AA68</f>
        <v>#REF!</v>
      </c>
      <c r="AB68" s="188" t="e">
        <f>#REF!-'IS 3Q2022'!AB68</f>
        <v>#REF!</v>
      </c>
      <c r="AC68" s="189" t="e">
        <f>#REF!-'IS 3Q2022'!AC68</f>
        <v>#REF!</v>
      </c>
      <c r="AD68" s="189" t="e">
        <f>#REF!-'IS 3Q2022'!AD68</f>
        <v>#REF!</v>
      </c>
      <c r="AE68" s="189" t="e">
        <f>#REF!-'IS 3Q2022'!AE68</f>
        <v>#REF!</v>
      </c>
      <c r="AF68" s="189" t="e">
        <f>#REF!-'IS 3Q2022'!AF68</f>
        <v>#REF!</v>
      </c>
      <c r="AG68" s="188" t="e">
        <f>#REF!-'IS 3Q2022'!AG68</f>
        <v>#REF!</v>
      </c>
      <c r="AH68" s="189" t="e">
        <f>#REF!-'IS 3Q2022'!AH68</f>
        <v>#REF!</v>
      </c>
      <c r="AI68" s="189" t="e">
        <f>#REF!-'IS 3Q2022'!AI68</f>
        <v>#REF!</v>
      </c>
      <c r="AJ68" s="189" t="e">
        <f>#REF!-'IS 3Q2022'!AJ68</f>
        <v>#REF!</v>
      </c>
      <c r="AK68" s="189" t="e">
        <f>#REF!-'IS 3Q2022'!AK68</f>
        <v>#REF!</v>
      </c>
      <c r="AL68" s="188" t="e">
        <f>#REF!-'IS 3Q2022'!AL68</f>
        <v>#REF!</v>
      </c>
      <c r="AM68" s="189" t="e">
        <f>#REF!-'IS 3Q2022'!AM68</f>
        <v>#REF!</v>
      </c>
      <c r="AN68" s="189" t="e">
        <f>#REF!-'IS 3Q2022'!AN68</f>
        <v>#REF!</v>
      </c>
      <c r="AO68" s="189" t="e">
        <f>#REF!-'IS 3Q2022'!AO68</f>
        <v>#REF!</v>
      </c>
      <c r="AP68" s="189" t="e">
        <f>#REF!-'IS 3Q2022'!AP68</f>
        <v>#REF!</v>
      </c>
      <c r="AQ68" s="188" t="e">
        <f>#REF!-'IS 3Q2022'!AQ68</f>
        <v>#REF!</v>
      </c>
      <c r="AR68" s="189" t="e">
        <f>#REF!-'IS 3Q2022'!AR68</f>
        <v>#REF!</v>
      </c>
      <c r="AS68" s="189" t="e">
        <f>#REF!-'IS 3Q2022'!AS68</f>
        <v>#REF!</v>
      </c>
      <c r="AT68" s="189" t="e">
        <f>#REF!-'IS 3Q2022'!AT68</f>
        <v>#REF!</v>
      </c>
      <c r="AU68" s="189" t="e">
        <f>#REF!-'IS 3Q2022'!AU68</f>
        <v>#REF!</v>
      </c>
      <c r="AV68" s="188" t="e">
        <f>#REF!-'IS 3Q2022'!AV68</f>
        <v>#REF!</v>
      </c>
    </row>
    <row r="69" spans="2:48" ht="16.2" outlineLevel="1" x14ac:dyDescent="0.45">
      <c r="B69" s="180" t="s">
        <v>42</v>
      </c>
      <c r="C69" s="18"/>
      <c r="D69" s="119" t="e">
        <f>#REF!-'IS 3Q2022'!D69</f>
        <v>#REF!</v>
      </c>
      <c r="E69" s="119" t="e">
        <f>#REF!-'IS 3Q2022'!E69</f>
        <v>#REF!</v>
      </c>
      <c r="F69" s="119" t="e">
        <f>#REF!-'IS 3Q2022'!F69</f>
        <v>#REF!</v>
      </c>
      <c r="G69" s="119" t="e">
        <f>#REF!-'IS 3Q2022'!G69</f>
        <v>#REF!</v>
      </c>
      <c r="H69" s="131" t="e">
        <f>#REF!-'IS 3Q2022'!H69</f>
        <v>#REF!</v>
      </c>
      <c r="I69" s="119" t="e">
        <f>#REF!-'IS 3Q2022'!I69</f>
        <v>#REF!</v>
      </c>
      <c r="J69" s="119" t="e">
        <f>#REF!-'IS 3Q2022'!J69</f>
        <v>#REF!</v>
      </c>
      <c r="K69" s="119" t="e">
        <f>#REF!-'IS 3Q2022'!K69</f>
        <v>#REF!</v>
      </c>
      <c r="L69" s="119" t="e">
        <f>#REF!-'IS 3Q2022'!L69</f>
        <v>#REF!</v>
      </c>
      <c r="M69" s="357" t="e">
        <f>#REF!-'IS 3Q2022'!M69</f>
        <v>#REF!</v>
      </c>
      <c r="N69" s="119" t="e">
        <f>#REF!-'IS 3Q2022'!N69</f>
        <v>#REF!</v>
      </c>
      <c r="O69" s="119" t="e">
        <f>#REF!-'IS 3Q2022'!O69</f>
        <v>#REF!</v>
      </c>
      <c r="P69" s="119" t="e">
        <f>#REF!-'IS 3Q2022'!P69</f>
        <v>#REF!</v>
      </c>
      <c r="Q69" s="119" t="e">
        <f>#REF!-'IS 3Q2022'!Q69</f>
        <v>#REF!</v>
      </c>
      <c r="R69" s="173" t="e">
        <f>#REF!-'IS 3Q2022'!R69</f>
        <v>#REF!</v>
      </c>
      <c r="S69" s="119" t="e">
        <f>#REF!-'IS 3Q2022'!S69</f>
        <v>#REF!</v>
      </c>
      <c r="T69" s="119" t="e">
        <f>#REF!-'IS 3Q2022'!T69</f>
        <v>#REF!</v>
      </c>
      <c r="U69" s="119" t="e">
        <f>#REF!-'IS 3Q2022'!U69</f>
        <v>#REF!</v>
      </c>
      <c r="V69" s="119" t="e">
        <f>#REF!-'IS 3Q2022'!V69</f>
        <v>#REF!</v>
      </c>
      <c r="W69" s="173" t="e">
        <f>#REF!-'IS 3Q2022'!W69</f>
        <v>#REF!</v>
      </c>
      <c r="X69" s="119" t="e">
        <f>#REF!-'IS 3Q2022'!X69</f>
        <v>#REF!</v>
      </c>
      <c r="Y69" s="119" t="e">
        <f>#REF!-'IS 3Q2022'!Y69</f>
        <v>#REF!</v>
      </c>
      <c r="Z69" s="119" t="e">
        <f>#REF!-'IS 3Q2022'!Z69</f>
        <v>#REF!</v>
      </c>
      <c r="AA69" s="119" t="e">
        <f>#REF!-'IS 3Q2022'!AA69</f>
        <v>#REF!</v>
      </c>
      <c r="AB69" s="173" t="e">
        <f>#REF!-'IS 3Q2022'!AB69</f>
        <v>#REF!</v>
      </c>
      <c r="AC69" s="119" t="e">
        <f>#REF!-'IS 3Q2022'!AC69</f>
        <v>#REF!</v>
      </c>
      <c r="AD69" s="119" t="e">
        <f>#REF!-'IS 3Q2022'!AD69</f>
        <v>#REF!</v>
      </c>
      <c r="AE69" s="119" t="e">
        <f>#REF!-'IS 3Q2022'!AE69</f>
        <v>#REF!</v>
      </c>
      <c r="AF69" s="119" t="e">
        <f>#REF!-'IS 3Q2022'!AF69</f>
        <v>#REF!</v>
      </c>
      <c r="AG69" s="173" t="e">
        <f>#REF!-'IS 3Q2022'!AG69</f>
        <v>#REF!</v>
      </c>
      <c r="AH69" s="119" t="e">
        <f>#REF!-'IS 3Q2022'!AH69</f>
        <v>#REF!</v>
      </c>
      <c r="AI69" s="119" t="e">
        <f>#REF!-'IS 3Q2022'!AI69</f>
        <v>#REF!</v>
      </c>
      <c r="AJ69" s="119" t="e">
        <f>#REF!-'IS 3Q2022'!AJ69</f>
        <v>#REF!</v>
      </c>
      <c r="AK69" s="119" t="e">
        <f>#REF!-'IS 3Q2022'!AK69</f>
        <v>#REF!</v>
      </c>
      <c r="AL69" s="173" t="e">
        <f>#REF!-'IS 3Q2022'!AL69</f>
        <v>#REF!</v>
      </c>
      <c r="AM69" s="119" t="e">
        <f>#REF!-'IS 3Q2022'!AM69</f>
        <v>#REF!</v>
      </c>
      <c r="AN69" s="119" t="e">
        <f>#REF!-'IS 3Q2022'!AN69</f>
        <v>#REF!</v>
      </c>
      <c r="AO69" s="119" t="e">
        <f>#REF!-'IS 3Q2022'!AO69</f>
        <v>#REF!</v>
      </c>
      <c r="AP69" s="119" t="e">
        <f>#REF!-'IS 3Q2022'!AP69</f>
        <v>#REF!</v>
      </c>
      <c r="AQ69" s="173" t="e">
        <f>#REF!-'IS 3Q2022'!AQ69</f>
        <v>#REF!</v>
      </c>
      <c r="AR69" s="119" t="e">
        <f>#REF!-'IS 3Q2022'!AR69</f>
        <v>#REF!</v>
      </c>
      <c r="AS69" s="119" t="e">
        <f>#REF!-'IS 3Q2022'!AS69</f>
        <v>#REF!</v>
      </c>
      <c r="AT69" s="119" t="e">
        <f>#REF!-'IS 3Q2022'!AT69</f>
        <v>#REF!</v>
      </c>
      <c r="AU69" s="119" t="e">
        <f>#REF!-'IS 3Q2022'!AU69</f>
        <v>#REF!</v>
      </c>
      <c r="AV69" s="173" t="e">
        <f>#REF!-'IS 3Q2022'!AV69</f>
        <v>#REF!</v>
      </c>
    </row>
    <row r="70" spans="2:48" outlineLevel="1" x14ac:dyDescent="0.3">
      <c r="B70" s="46" t="s">
        <v>183</v>
      </c>
      <c r="C70" s="19"/>
      <c r="D70" s="103" t="e">
        <f>#REF!-'IS 3Q2022'!D70</f>
        <v>#REF!</v>
      </c>
      <c r="E70" s="103" t="e">
        <f>#REF!-'IS 3Q2022'!E70</f>
        <v>#REF!</v>
      </c>
      <c r="F70" s="103" t="e">
        <f>#REF!-'IS 3Q2022'!F70</f>
        <v>#REF!</v>
      </c>
      <c r="G70" s="103" t="e">
        <f>#REF!-'IS 3Q2022'!G70</f>
        <v>#REF!</v>
      </c>
      <c r="H70" s="166" t="e">
        <f>#REF!-'IS 3Q2022'!H70</f>
        <v>#REF!</v>
      </c>
      <c r="I70" s="103" t="e">
        <f>#REF!-'IS 3Q2022'!I70</f>
        <v>#REF!</v>
      </c>
      <c r="J70" s="103" t="e">
        <f>#REF!-'IS 3Q2022'!J70</f>
        <v>#REF!</v>
      </c>
      <c r="K70" s="103" t="e">
        <f>#REF!-'IS 3Q2022'!K70</f>
        <v>#REF!</v>
      </c>
      <c r="L70" s="50" t="e">
        <f>#REF!-'IS 3Q2022'!L70</f>
        <v>#REF!</v>
      </c>
      <c r="M70" s="191" t="e">
        <f>#REF!-'IS 3Q2022'!M70</f>
        <v>#REF!</v>
      </c>
      <c r="N70" s="50" t="e">
        <f>#REF!-'IS 3Q2022'!N70</f>
        <v>#REF!</v>
      </c>
      <c r="O70" s="50" t="e">
        <f>#REF!-'IS 3Q2022'!O70</f>
        <v>#REF!</v>
      </c>
      <c r="P70" s="50" t="e">
        <f>#REF!-'IS 3Q2022'!P70</f>
        <v>#REF!</v>
      </c>
      <c r="Q70" s="103" t="e">
        <f>#REF!-'IS 3Q2022'!Q70</f>
        <v>#REF!</v>
      </c>
      <c r="R70" s="191" t="e">
        <f>#REF!-'IS 3Q2022'!R70</f>
        <v>#REF!</v>
      </c>
      <c r="S70" s="50" t="e">
        <f>#REF!-'IS 3Q2022'!S70</f>
        <v>#REF!</v>
      </c>
      <c r="T70" s="50" t="e">
        <f>#REF!-'IS 3Q2022'!T70</f>
        <v>#REF!</v>
      </c>
      <c r="U70" s="50" t="e">
        <f>#REF!-'IS 3Q2022'!U70</f>
        <v>#REF!</v>
      </c>
      <c r="V70" s="50" t="e">
        <f>#REF!-'IS 3Q2022'!V70</f>
        <v>#REF!</v>
      </c>
      <c r="W70" s="191" t="e">
        <f>#REF!-'IS 3Q2022'!W70</f>
        <v>#REF!</v>
      </c>
      <c r="X70" s="50" t="e">
        <f>#REF!-'IS 3Q2022'!X70</f>
        <v>#REF!</v>
      </c>
      <c r="Y70" s="50" t="e">
        <f>#REF!-'IS 3Q2022'!Y70</f>
        <v>#REF!</v>
      </c>
      <c r="Z70" s="50" t="e">
        <f>#REF!-'IS 3Q2022'!Z70</f>
        <v>#REF!</v>
      </c>
      <c r="AA70" s="50" t="e">
        <f>#REF!-'IS 3Q2022'!AA70</f>
        <v>#REF!</v>
      </c>
      <c r="AB70" s="191" t="e">
        <f>#REF!-'IS 3Q2022'!AB70</f>
        <v>#REF!</v>
      </c>
      <c r="AC70" s="50" t="e">
        <f>#REF!-'IS 3Q2022'!AC70</f>
        <v>#REF!</v>
      </c>
      <c r="AD70" s="50" t="e">
        <f>#REF!-'IS 3Q2022'!AD70</f>
        <v>#REF!</v>
      </c>
      <c r="AE70" s="50" t="e">
        <f>#REF!-'IS 3Q2022'!AE70</f>
        <v>#REF!</v>
      </c>
      <c r="AF70" s="50" t="e">
        <f>#REF!-'IS 3Q2022'!AF70</f>
        <v>#REF!</v>
      </c>
      <c r="AG70" s="191" t="e">
        <f>#REF!-'IS 3Q2022'!AG70</f>
        <v>#REF!</v>
      </c>
      <c r="AH70" s="50" t="e">
        <f>#REF!-'IS 3Q2022'!AH70</f>
        <v>#REF!</v>
      </c>
      <c r="AI70" s="50" t="e">
        <f>#REF!-'IS 3Q2022'!AI70</f>
        <v>#REF!</v>
      </c>
      <c r="AJ70" s="50" t="e">
        <f>#REF!-'IS 3Q2022'!AJ70</f>
        <v>#REF!</v>
      </c>
      <c r="AK70" s="50" t="e">
        <f>#REF!-'IS 3Q2022'!AK70</f>
        <v>#REF!</v>
      </c>
      <c r="AL70" s="191" t="e">
        <f>#REF!-'IS 3Q2022'!AL70</f>
        <v>#REF!</v>
      </c>
      <c r="AM70" s="50" t="e">
        <f>#REF!-'IS 3Q2022'!AM70</f>
        <v>#REF!</v>
      </c>
      <c r="AN70" s="50" t="e">
        <f>#REF!-'IS 3Q2022'!AN70</f>
        <v>#REF!</v>
      </c>
      <c r="AO70" s="50" t="e">
        <f>#REF!-'IS 3Q2022'!AO70</f>
        <v>#REF!</v>
      </c>
      <c r="AP70" s="50" t="e">
        <f>#REF!-'IS 3Q2022'!AP70</f>
        <v>#REF!</v>
      </c>
      <c r="AQ70" s="191" t="e">
        <f>#REF!-'IS 3Q2022'!AQ70</f>
        <v>#REF!</v>
      </c>
      <c r="AR70" s="50" t="e">
        <f>#REF!-'IS 3Q2022'!AR70</f>
        <v>#REF!</v>
      </c>
      <c r="AS70" s="50" t="e">
        <f>#REF!-'IS 3Q2022'!AS70</f>
        <v>#REF!</v>
      </c>
      <c r="AT70" s="50" t="e">
        <f>#REF!-'IS 3Q2022'!AT70</f>
        <v>#REF!</v>
      </c>
      <c r="AU70" s="50" t="e">
        <f>#REF!-'IS 3Q2022'!AU70</f>
        <v>#REF!</v>
      </c>
      <c r="AV70" s="191" t="e">
        <f>#REF!-'IS 3Q2022'!AV70</f>
        <v>#REF!</v>
      </c>
    </row>
    <row r="71" spans="2:48" outlineLevel="1" x14ac:dyDescent="0.3">
      <c r="B71" s="46" t="s">
        <v>184</v>
      </c>
      <c r="C71" s="44"/>
      <c r="D71" s="156" t="e">
        <f>#REF!-'IS 3Q2022'!D71</f>
        <v>#REF!</v>
      </c>
      <c r="E71" s="156" t="e">
        <f>#REF!-'IS 3Q2022'!E71</f>
        <v>#REF!</v>
      </c>
      <c r="F71" s="156" t="e">
        <f>#REF!-'IS 3Q2022'!F71</f>
        <v>#REF!</v>
      </c>
      <c r="G71" s="156" t="e">
        <f>#REF!-'IS 3Q2022'!G71</f>
        <v>#REF!</v>
      </c>
      <c r="H71" s="132" t="e">
        <f>#REF!-'IS 3Q2022'!H71</f>
        <v>#REF!</v>
      </c>
      <c r="I71" s="156" t="e">
        <f>#REF!-'IS 3Q2022'!I71</f>
        <v>#REF!</v>
      </c>
      <c r="J71" s="156" t="e">
        <f>#REF!-'IS 3Q2022'!J71</f>
        <v>#REF!</v>
      </c>
      <c r="K71" s="156" t="e">
        <f>#REF!-'IS 3Q2022'!K71</f>
        <v>#REF!</v>
      </c>
      <c r="L71" s="74" t="e">
        <f>#REF!-'IS 3Q2022'!L71</f>
        <v>#REF!</v>
      </c>
      <c r="M71" s="97" t="e">
        <f>#REF!-'IS 3Q2022'!M71</f>
        <v>#REF!</v>
      </c>
      <c r="N71" s="74" t="e">
        <f>#REF!-'IS 3Q2022'!N71</f>
        <v>#REF!</v>
      </c>
      <c r="O71" s="74" t="e">
        <f>#REF!-'IS 3Q2022'!O71</f>
        <v>#REF!</v>
      </c>
      <c r="P71" s="74" t="e">
        <f>#REF!-'IS 3Q2022'!P71</f>
        <v>#REF!</v>
      </c>
      <c r="Q71" s="74" t="e">
        <f>#REF!-'IS 3Q2022'!Q71</f>
        <v>#REF!</v>
      </c>
      <c r="R71" s="97" t="e">
        <f>#REF!-'IS 3Q2022'!R71</f>
        <v>#REF!</v>
      </c>
      <c r="S71" s="74" t="e">
        <f>#REF!-'IS 3Q2022'!S71</f>
        <v>#REF!</v>
      </c>
      <c r="T71" s="74" t="e">
        <f>#REF!-'IS 3Q2022'!T71</f>
        <v>#REF!</v>
      </c>
      <c r="U71" s="74" t="e">
        <f>#REF!-'IS 3Q2022'!U71</f>
        <v>#REF!</v>
      </c>
      <c r="V71" s="156" t="e">
        <f>#REF!-'IS 3Q2022'!V71</f>
        <v>#REF!</v>
      </c>
      <c r="W71" s="97" t="e">
        <f>#REF!-'IS 3Q2022'!W71</f>
        <v>#REF!</v>
      </c>
      <c r="X71" s="74" t="e">
        <f>#REF!-'IS 3Q2022'!X71</f>
        <v>#REF!</v>
      </c>
      <c r="Y71" s="74" t="e">
        <f>#REF!-'IS 3Q2022'!Y71</f>
        <v>#REF!</v>
      </c>
      <c r="Z71" s="74" t="e">
        <f>#REF!-'IS 3Q2022'!Z71</f>
        <v>#REF!</v>
      </c>
      <c r="AA71" s="74" t="e">
        <f>#REF!-'IS 3Q2022'!AA71</f>
        <v>#REF!</v>
      </c>
      <c r="AB71" s="97" t="e">
        <f>#REF!-'IS 3Q2022'!AB71</f>
        <v>#REF!</v>
      </c>
      <c r="AC71" s="74" t="e">
        <f>#REF!-'IS 3Q2022'!AC71</f>
        <v>#REF!</v>
      </c>
      <c r="AD71" s="74" t="e">
        <f>#REF!-'IS 3Q2022'!AD71</f>
        <v>#REF!</v>
      </c>
      <c r="AE71" s="74" t="e">
        <f>#REF!-'IS 3Q2022'!AE71</f>
        <v>#REF!</v>
      </c>
      <c r="AF71" s="74" t="e">
        <f>#REF!-'IS 3Q2022'!AF71</f>
        <v>#REF!</v>
      </c>
      <c r="AG71" s="97" t="e">
        <f>#REF!-'IS 3Q2022'!AG71</f>
        <v>#REF!</v>
      </c>
      <c r="AH71" s="74" t="e">
        <f>#REF!-'IS 3Q2022'!AH71</f>
        <v>#REF!</v>
      </c>
      <c r="AI71" s="74" t="e">
        <f>#REF!-'IS 3Q2022'!AI71</f>
        <v>#REF!</v>
      </c>
      <c r="AJ71" s="74" t="e">
        <f>#REF!-'IS 3Q2022'!AJ71</f>
        <v>#REF!</v>
      </c>
      <c r="AK71" s="74" t="e">
        <f>#REF!-'IS 3Q2022'!AK71</f>
        <v>#REF!</v>
      </c>
      <c r="AL71" s="97" t="e">
        <f>#REF!-'IS 3Q2022'!AL71</f>
        <v>#REF!</v>
      </c>
      <c r="AM71" s="74" t="e">
        <f>#REF!-'IS 3Q2022'!AM71</f>
        <v>#REF!</v>
      </c>
      <c r="AN71" s="74" t="e">
        <f>#REF!-'IS 3Q2022'!AN71</f>
        <v>#REF!</v>
      </c>
      <c r="AO71" s="74" t="e">
        <f>#REF!-'IS 3Q2022'!AO71</f>
        <v>#REF!</v>
      </c>
      <c r="AP71" s="74" t="e">
        <f>#REF!-'IS 3Q2022'!AP71</f>
        <v>#REF!</v>
      </c>
      <c r="AQ71" s="97" t="e">
        <f>#REF!-'IS 3Q2022'!AQ71</f>
        <v>#REF!</v>
      </c>
      <c r="AR71" s="74" t="e">
        <f>#REF!-'IS 3Q2022'!AR71</f>
        <v>#REF!</v>
      </c>
      <c r="AS71" s="74" t="e">
        <f>#REF!-'IS 3Q2022'!AS71</f>
        <v>#REF!</v>
      </c>
      <c r="AT71" s="74" t="e">
        <f>#REF!-'IS 3Q2022'!AT71</f>
        <v>#REF!</v>
      </c>
      <c r="AU71" s="74" t="e">
        <f>#REF!-'IS 3Q2022'!AU71</f>
        <v>#REF!</v>
      </c>
      <c r="AV71" s="97" t="e">
        <f>#REF!-'IS 3Q2022'!AV71</f>
        <v>#REF!</v>
      </c>
    </row>
    <row r="72" spans="2:48" outlineLevel="1" x14ac:dyDescent="0.3">
      <c r="B72" s="46" t="s">
        <v>185</v>
      </c>
      <c r="C72" s="44"/>
      <c r="D72" s="157" t="e">
        <f>#REF!-'IS 3Q2022'!D72</f>
        <v>#REF!</v>
      </c>
      <c r="E72" s="157" t="e">
        <f>#REF!-'IS 3Q2022'!E72</f>
        <v>#REF!</v>
      </c>
      <c r="F72" s="157" t="e">
        <f>#REF!-'IS 3Q2022'!F72</f>
        <v>#REF!</v>
      </c>
      <c r="G72" s="157" t="e">
        <f>#REF!-'IS 3Q2022'!G72</f>
        <v>#REF!</v>
      </c>
      <c r="H72" s="133" t="e">
        <f>#REF!-'IS 3Q2022'!H72</f>
        <v>#REF!</v>
      </c>
      <c r="I72" s="157" t="e">
        <f>#REF!-'IS 3Q2022'!I72</f>
        <v>#REF!</v>
      </c>
      <c r="J72" s="157" t="e">
        <f>#REF!-'IS 3Q2022'!J72</f>
        <v>#REF!</v>
      </c>
      <c r="K72" s="157" t="e">
        <f>#REF!-'IS 3Q2022'!K72</f>
        <v>#REF!</v>
      </c>
      <c r="L72" s="75" t="e">
        <f>#REF!-'IS 3Q2022'!L72</f>
        <v>#REF!</v>
      </c>
      <c r="M72" s="98" t="e">
        <f>#REF!-'IS 3Q2022'!M72</f>
        <v>#REF!</v>
      </c>
      <c r="N72" s="75" t="e">
        <f>#REF!-'IS 3Q2022'!N72</f>
        <v>#REF!</v>
      </c>
      <c r="O72" s="75" t="e">
        <f>#REF!-'IS 3Q2022'!O72</f>
        <v>#REF!</v>
      </c>
      <c r="P72" s="75" t="e">
        <f>#REF!-'IS 3Q2022'!P72</f>
        <v>#REF!</v>
      </c>
      <c r="Q72" s="75" t="e">
        <f>#REF!-'IS 3Q2022'!Q72</f>
        <v>#REF!</v>
      </c>
      <c r="R72" s="98" t="e">
        <f>#REF!-'IS 3Q2022'!R72</f>
        <v>#REF!</v>
      </c>
      <c r="S72" s="75" t="e">
        <f>#REF!-'IS 3Q2022'!S72</f>
        <v>#REF!</v>
      </c>
      <c r="T72" s="75" t="e">
        <f>#REF!-'IS 3Q2022'!T72</f>
        <v>#REF!</v>
      </c>
      <c r="U72" s="75" t="e">
        <f>#REF!-'IS 3Q2022'!U72</f>
        <v>#REF!</v>
      </c>
      <c r="V72" s="75" t="e">
        <f>#REF!-'IS 3Q2022'!V72</f>
        <v>#REF!</v>
      </c>
      <c r="W72" s="98" t="e">
        <f>#REF!-'IS 3Q2022'!W72</f>
        <v>#REF!</v>
      </c>
      <c r="X72" s="75" t="e">
        <f>#REF!-'IS 3Q2022'!X72</f>
        <v>#REF!</v>
      </c>
      <c r="Y72" s="75" t="e">
        <f>#REF!-'IS 3Q2022'!Y72</f>
        <v>#REF!</v>
      </c>
      <c r="Z72" s="75" t="e">
        <f>#REF!-'IS 3Q2022'!Z72</f>
        <v>#REF!</v>
      </c>
      <c r="AA72" s="75" t="e">
        <f>#REF!-'IS 3Q2022'!AA72</f>
        <v>#REF!</v>
      </c>
      <c r="AB72" s="98" t="e">
        <f>#REF!-'IS 3Q2022'!AB72</f>
        <v>#REF!</v>
      </c>
      <c r="AC72" s="75" t="e">
        <f>#REF!-'IS 3Q2022'!AC72</f>
        <v>#REF!</v>
      </c>
      <c r="AD72" s="75" t="e">
        <f>#REF!-'IS 3Q2022'!AD72</f>
        <v>#REF!</v>
      </c>
      <c r="AE72" s="75" t="e">
        <f>#REF!-'IS 3Q2022'!AE72</f>
        <v>#REF!</v>
      </c>
      <c r="AF72" s="75" t="e">
        <f>#REF!-'IS 3Q2022'!AF72</f>
        <v>#REF!</v>
      </c>
      <c r="AG72" s="98" t="e">
        <f>#REF!-'IS 3Q2022'!AG72</f>
        <v>#REF!</v>
      </c>
      <c r="AH72" s="75" t="e">
        <f>#REF!-'IS 3Q2022'!AH72</f>
        <v>#REF!</v>
      </c>
      <c r="AI72" s="75" t="e">
        <f>#REF!-'IS 3Q2022'!AI72</f>
        <v>#REF!</v>
      </c>
      <c r="AJ72" s="75" t="e">
        <f>#REF!-'IS 3Q2022'!AJ72</f>
        <v>#REF!</v>
      </c>
      <c r="AK72" s="75" t="e">
        <f>#REF!-'IS 3Q2022'!AK72</f>
        <v>#REF!</v>
      </c>
      <c r="AL72" s="98" t="e">
        <f>#REF!-'IS 3Q2022'!AL72</f>
        <v>#REF!</v>
      </c>
      <c r="AM72" s="75" t="e">
        <f>#REF!-'IS 3Q2022'!AM72</f>
        <v>#REF!</v>
      </c>
      <c r="AN72" s="75" t="e">
        <f>#REF!-'IS 3Q2022'!AN72</f>
        <v>#REF!</v>
      </c>
      <c r="AO72" s="75" t="e">
        <f>#REF!-'IS 3Q2022'!AO72</f>
        <v>#REF!</v>
      </c>
      <c r="AP72" s="75" t="e">
        <f>#REF!-'IS 3Q2022'!AP72</f>
        <v>#REF!</v>
      </c>
      <c r="AQ72" s="98" t="e">
        <f>#REF!-'IS 3Q2022'!AQ72</f>
        <v>#REF!</v>
      </c>
      <c r="AR72" s="75" t="e">
        <f>#REF!-'IS 3Q2022'!AR72</f>
        <v>#REF!</v>
      </c>
      <c r="AS72" s="75" t="e">
        <f>#REF!-'IS 3Q2022'!AS72</f>
        <v>#REF!</v>
      </c>
      <c r="AT72" s="75" t="e">
        <f>#REF!-'IS 3Q2022'!AT72</f>
        <v>#REF!</v>
      </c>
      <c r="AU72" s="75" t="e">
        <f>#REF!-'IS 3Q2022'!AU72</f>
        <v>#REF!</v>
      </c>
      <c r="AV72" s="98" t="e">
        <f>#REF!-'IS 3Q2022'!AV72</f>
        <v>#REF!</v>
      </c>
    </row>
    <row r="73" spans="2:48" ht="17.399999999999999" x14ac:dyDescent="0.45">
      <c r="B73" s="599" t="s">
        <v>114</v>
      </c>
      <c r="C73" s="600"/>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2" t="s">
        <v>25</v>
      </c>
      <c r="W73" s="42" t="s">
        <v>26</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601" t="s">
        <v>115</v>
      </c>
      <c r="C74" s="602"/>
      <c r="D74" s="101" t="e">
        <f>#REF!-'IS 3Q2022'!D74</f>
        <v>#REF!</v>
      </c>
      <c r="E74" s="21" t="e">
        <f>#REF!-'IS 3Q2022'!E74</f>
        <v>#REF!</v>
      </c>
      <c r="F74" s="116" t="e">
        <f>#REF!-'IS 3Q2022'!F74</f>
        <v>#REF!</v>
      </c>
      <c r="G74" s="21" t="e">
        <f>#REF!-'IS 3Q2022'!G74</f>
        <v>#REF!</v>
      </c>
      <c r="H74" s="191" t="e">
        <f>#REF!-'IS 3Q2022'!H74</f>
        <v>#REF!</v>
      </c>
      <c r="I74" s="21" t="e">
        <f>#REF!-'IS 3Q2022'!I74</f>
        <v>#REF!</v>
      </c>
      <c r="J74" s="21" t="e">
        <f>#REF!-'IS 3Q2022'!J74</f>
        <v>#REF!</v>
      </c>
      <c r="K74" s="21" t="e">
        <f>#REF!-'IS 3Q2022'!K74</f>
        <v>#REF!</v>
      </c>
      <c r="L74" s="21" t="e">
        <f>#REF!-'IS 3Q2022'!L74</f>
        <v>#REF!</v>
      </c>
      <c r="M74" s="191" t="e">
        <f>#REF!-'IS 3Q2022'!M74</f>
        <v>#REF!</v>
      </c>
      <c r="N74" s="21" t="e">
        <f>#REF!-'IS 3Q2022'!N74</f>
        <v>#REF!</v>
      </c>
      <c r="O74" s="21" t="e">
        <f>#REF!-'IS 3Q2022'!O74</f>
        <v>#REF!</v>
      </c>
      <c r="P74" s="21" t="e">
        <f>#REF!-'IS 3Q2022'!P74</f>
        <v>#REF!</v>
      </c>
      <c r="Q74" s="21" t="e">
        <f>#REF!-'IS 3Q2022'!Q74</f>
        <v>#REF!</v>
      </c>
      <c r="R74" s="191" t="e">
        <f>#REF!-'IS 3Q2022'!R74</f>
        <v>#REF!</v>
      </c>
      <c r="S74" s="21" t="e">
        <f>#REF!-'IS 3Q2022'!S74</f>
        <v>#REF!</v>
      </c>
      <c r="T74" s="21" t="e">
        <f>#REF!-'IS 3Q2022'!T74</f>
        <v>#REF!</v>
      </c>
      <c r="U74" s="21" t="e">
        <f>#REF!-'IS 3Q2022'!U74</f>
        <v>#REF!</v>
      </c>
      <c r="V74" s="21" t="e">
        <f>#REF!-'IS 3Q2022'!V74</f>
        <v>#REF!</v>
      </c>
      <c r="W74" s="191" t="e">
        <f>#REF!-'IS 3Q2022'!W74</f>
        <v>#REF!</v>
      </c>
      <c r="X74" s="21" t="e">
        <f>#REF!-'IS 3Q2022'!X74</f>
        <v>#REF!</v>
      </c>
      <c r="Y74" s="21" t="e">
        <f>#REF!-'IS 3Q2022'!Y74</f>
        <v>#REF!</v>
      </c>
      <c r="Z74" s="21" t="e">
        <f>#REF!-'IS 3Q2022'!Z74</f>
        <v>#REF!</v>
      </c>
      <c r="AA74" s="21" t="e">
        <f>#REF!-'IS 3Q2022'!AA74</f>
        <v>#REF!</v>
      </c>
      <c r="AB74" s="191" t="e">
        <f>#REF!-'IS 3Q2022'!AB74</f>
        <v>#REF!</v>
      </c>
      <c r="AC74" s="21" t="e">
        <f>#REF!-'IS 3Q2022'!AC74</f>
        <v>#REF!</v>
      </c>
      <c r="AD74" s="21" t="e">
        <f>#REF!-'IS 3Q2022'!AD74</f>
        <v>#REF!</v>
      </c>
      <c r="AE74" s="21" t="e">
        <f>#REF!-'IS 3Q2022'!AE74</f>
        <v>#REF!</v>
      </c>
      <c r="AF74" s="21" t="e">
        <f>#REF!-'IS 3Q2022'!AF74</f>
        <v>#REF!</v>
      </c>
      <c r="AG74" s="191" t="e">
        <f>#REF!-'IS 3Q2022'!AG74</f>
        <v>#REF!</v>
      </c>
      <c r="AH74" s="21" t="e">
        <f>#REF!-'IS 3Q2022'!AH74</f>
        <v>#REF!</v>
      </c>
      <c r="AI74" s="21" t="e">
        <f>#REF!-'IS 3Q2022'!AI74</f>
        <v>#REF!</v>
      </c>
      <c r="AJ74" s="21" t="e">
        <f>#REF!-'IS 3Q2022'!AJ74</f>
        <v>#REF!</v>
      </c>
      <c r="AK74" s="21" t="e">
        <f>#REF!-'IS 3Q2022'!AK74</f>
        <v>#REF!</v>
      </c>
      <c r="AL74" s="191" t="e">
        <f>#REF!-'IS 3Q2022'!AL74</f>
        <v>#REF!</v>
      </c>
      <c r="AM74" s="21" t="e">
        <f>#REF!-'IS 3Q2022'!AM74</f>
        <v>#REF!</v>
      </c>
      <c r="AN74" s="21" t="e">
        <f>#REF!-'IS 3Q2022'!AN74</f>
        <v>#REF!</v>
      </c>
      <c r="AO74" s="21" t="e">
        <f>#REF!-'IS 3Q2022'!AO74</f>
        <v>#REF!</v>
      </c>
      <c r="AP74" s="21" t="e">
        <f>#REF!-'IS 3Q2022'!AP74</f>
        <v>#REF!</v>
      </c>
      <c r="AQ74" s="191" t="e">
        <f>#REF!-'IS 3Q2022'!AQ74</f>
        <v>#REF!</v>
      </c>
      <c r="AR74" s="21" t="e">
        <f>#REF!-'IS 3Q2022'!AR74</f>
        <v>#REF!</v>
      </c>
      <c r="AS74" s="21" t="e">
        <f>#REF!-'IS 3Q2022'!AS74</f>
        <v>#REF!</v>
      </c>
      <c r="AT74" s="21" t="e">
        <f>#REF!-'IS 3Q2022'!AT74</f>
        <v>#REF!</v>
      </c>
      <c r="AU74" s="21" t="e">
        <f>#REF!-'IS 3Q2022'!AU74</f>
        <v>#REF!</v>
      </c>
      <c r="AV74" s="191" t="e">
        <f>#REF!-'IS 3Q2022'!AV74</f>
        <v>#REF!</v>
      </c>
    </row>
    <row r="75" spans="2:48" outlineLevel="1" x14ac:dyDescent="0.3">
      <c r="B75" s="180" t="s">
        <v>46</v>
      </c>
      <c r="C75" s="201"/>
      <c r="D75" s="101" t="e">
        <f>#REF!-'IS 3Q2022'!D75</f>
        <v>#REF!</v>
      </c>
      <c r="E75" s="101" t="e">
        <f>#REF!-'IS 3Q2022'!E75</f>
        <v>#REF!</v>
      </c>
      <c r="F75" s="101" t="e">
        <f>#REF!-'IS 3Q2022'!F75</f>
        <v>#REF!</v>
      </c>
      <c r="G75" s="101" t="e">
        <f>#REF!-'IS 3Q2022'!G75</f>
        <v>#REF!</v>
      </c>
      <c r="H75" s="26" t="e">
        <f>#REF!-'IS 3Q2022'!H75</f>
        <v>#REF!</v>
      </c>
      <c r="I75" s="101" t="e">
        <f>#REF!-'IS 3Q2022'!I75</f>
        <v>#REF!</v>
      </c>
      <c r="J75" s="101" t="e">
        <f>#REF!-'IS 3Q2022'!J75</f>
        <v>#REF!</v>
      </c>
      <c r="K75" s="101" t="e">
        <f>#REF!-'IS 3Q2022'!K75</f>
        <v>#REF!</v>
      </c>
      <c r="L75" s="101" t="e">
        <f>#REF!-'IS 3Q2022'!L75</f>
        <v>#REF!</v>
      </c>
      <c r="M75" s="26" t="e">
        <f>#REF!-'IS 3Q2022'!M75</f>
        <v>#REF!</v>
      </c>
      <c r="N75" s="101" t="e">
        <f>#REF!-'IS 3Q2022'!N75</f>
        <v>#REF!</v>
      </c>
      <c r="O75" s="101" t="e">
        <f>#REF!-'IS 3Q2022'!O75</f>
        <v>#REF!</v>
      </c>
      <c r="P75" s="101" t="e">
        <f>#REF!-'IS 3Q2022'!P75</f>
        <v>#REF!</v>
      </c>
      <c r="Q75" s="101" t="e">
        <f>#REF!-'IS 3Q2022'!Q75</f>
        <v>#REF!</v>
      </c>
      <c r="R75" s="26" t="e">
        <f>#REF!-'IS 3Q2022'!R75</f>
        <v>#REF!</v>
      </c>
      <c r="S75" s="101" t="e">
        <f>#REF!-'IS 3Q2022'!S75</f>
        <v>#REF!</v>
      </c>
      <c r="T75" s="101" t="e">
        <f>#REF!-'IS 3Q2022'!T75</f>
        <v>#REF!</v>
      </c>
      <c r="U75" s="101" t="e">
        <f>#REF!-'IS 3Q2022'!U75</f>
        <v>#REF!</v>
      </c>
      <c r="V75" s="33" t="e">
        <f>#REF!-'IS 3Q2022'!V75</f>
        <v>#REF!</v>
      </c>
      <c r="W75" s="122" t="e">
        <f>#REF!-'IS 3Q2022'!W75</f>
        <v>#REF!</v>
      </c>
      <c r="X75" s="33" t="e">
        <f>#REF!-'IS 3Q2022'!X75</f>
        <v>#REF!</v>
      </c>
      <c r="Y75" s="33" t="e">
        <f>#REF!-'IS 3Q2022'!Y75</f>
        <v>#REF!</v>
      </c>
      <c r="Z75" s="33" t="e">
        <f>#REF!-'IS 3Q2022'!Z75</f>
        <v>#REF!</v>
      </c>
      <c r="AA75" s="33" t="e">
        <f>#REF!-'IS 3Q2022'!AA75</f>
        <v>#REF!</v>
      </c>
      <c r="AB75" s="26" t="e">
        <f>#REF!-'IS 3Q2022'!AB75</f>
        <v>#REF!</v>
      </c>
      <c r="AC75" s="33" t="e">
        <f>#REF!-'IS 3Q2022'!AC75</f>
        <v>#REF!</v>
      </c>
      <c r="AD75" s="33" t="e">
        <f>#REF!-'IS 3Q2022'!AD75</f>
        <v>#REF!</v>
      </c>
      <c r="AE75" s="33" t="e">
        <f>#REF!-'IS 3Q2022'!AE75</f>
        <v>#REF!</v>
      </c>
      <c r="AF75" s="33" t="e">
        <f>#REF!-'IS 3Q2022'!AF75</f>
        <v>#REF!</v>
      </c>
      <c r="AG75" s="26" t="e">
        <f>#REF!-'IS 3Q2022'!AG75</f>
        <v>#REF!</v>
      </c>
      <c r="AH75" s="95" t="e">
        <f>#REF!-'IS 3Q2022'!AH75</f>
        <v>#REF!</v>
      </c>
      <c r="AI75" s="33" t="e">
        <f>#REF!-'IS 3Q2022'!AI75</f>
        <v>#REF!</v>
      </c>
      <c r="AJ75" s="33" t="e">
        <f>#REF!-'IS 3Q2022'!AJ75</f>
        <v>#REF!</v>
      </c>
      <c r="AK75" s="33" t="e">
        <f>#REF!-'IS 3Q2022'!AK75</f>
        <v>#REF!</v>
      </c>
      <c r="AL75" s="26" t="e">
        <f>#REF!-'IS 3Q2022'!AL75</f>
        <v>#REF!</v>
      </c>
      <c r="AM75" s="33" t="e">
        <f>#REF!-'IS 3Q2022'!AM75</f>
        <v>#REF!</v>
      </c>
      <c r="AN75" s="33" t="e">
        <f>#REF!-'IS 3Q2022'!AN75</f>
        <v>#REF!</v>
      </c>
      <c r="AO75" s="33" t="e">
        <f>#REF!-'IS 3Q2022'!AO75</f>
        <v>#REF!</v>
      </c>
      <c r="AP75" s="33" t="e">
        <f>#REF!-'IS 3Q2022'!AP75</f>
        <v>#REF!</v>
      </c>
      <c r="AQ75" s="26" t="e">
        <f>#REF!-'IS 3Q2022'!AQ75</f>
        <v>#REF!</v>
      </c>
      <c r="AR75" s="33" t="e">
        <f>#REF!-'IS 3Q2022'!AR75</f>
        <v>#REF!</v>
      </c>
      <c r="AS75" s="33" t="e">
        <f>#REF!-'IS 3Q2022'!AS75</f>
        <v>#REF!</v>
      </c>
      <c r="AT75" s="33" t="e">
        <f>#REF!-'IS 3Q2022'!AT75</f>
        <v>#REF!</v>
      </c>
      <c r="AU75" s="33" t="e">
        <f>#REF!-'IS 3Q2022'!AU75</f>
        <v>#REF!</v>
      </c>
      <c r="AV75" s="26" t="e">
        <f>#REF!-'IS 3Q2022'!AV75</f>
        <v>#REF!</v>
      </c>
    </row>
    <row r="76" spans="2:48" outlineLevel="1" x14ac:dyDescent="0.3">
      <c r="B76" s="180" t="s">
        <v>201</v>
      </c>
      <c r="C76" s="201"/>
      <c r="D76" s="101" t="e">
        <f>#REF!-'IS 3Q2022'!D76</f>
        <v>#REF!</v>
      </c>
      <c r="E76" s="101" t="e">
        <f>#REF!-'IS 3Q2022'!E76</f>
        <v>#REF!</v>
      </c>
      <c r="F76" s="101" t="e">
        <f>#REF!-'IS 3Q2022'!F76</f>
        <v>#REF!</v>
      </c>
      <c r="G76" s="101" t="e">
        <f>#REF!-'IS 3Q2022'!G76</f>
        <v>#REF!</v>
      </c>
      <c r="H76" s="26" t="e">
        <f>#REF!-'IS 3Q2022'!H76</f>
        <v>#REF!</v>
      </c>
      <c r="I76" s="101" t="e">
        <f>#REF!-'IS 3Q2022'!I76</f>
        <v>#REF!</v>
      </c>
      <c r="J76" s="101" t="e">
        <f>#REF!-'IS 3Q2022'!J76</f>
        <v>#REF!</v>
      </c>
      <c r="K76" s="101" t="e">
        <f>#REF!-'IS 3Q2022'!K76</f>
        <v>#REF!</v>
      </c>
      <c r="L76" s="101" t="e">
        <f>#REF!-'IS 3Q2022'!L76</f>
        <v>#REF!</v>
      </c>
      <c r="M76" s="26" t="e">
        <f>#REF!-'IS 3Q2022'!M76</f>
        <v>#REF!</v>
      </c>
      <c r="N76" s="101" t="e">
        <f>#REF!-'IS 3Q2022'!N76</f>
        <v>#REF!</v>
      </c>
      <c r="O76" s="101" t="e">
        <f>#REF!-'IS 3Q2022'!O76</f>
        <v>#REF!</v>
      </c>
      <c r="P76" s="101" t="e">
        <f>#REF!-'IS 3Q2022'!P76</f>
        <v>#REF!</v>
      </c>
      <c r="Q76" s="101" t="e">
        <f>#REF!-'IS 3Q2022'!Q76</f>
        <v>#REF!</v>
      </c>
      <c r="R76" s="26" t="e">
        <f>#REF!-'IS 3Q2022'!R76</f>
        <v>#REF!</v>
      </c>
      <c r="S76" s="101" t="e">
        <f>#REF!-'IS 3Q2022'!S76</f>
        <v>#REF!</v>
      </c>
      <c r="T76" s="101" t="e">
        <f>#REF!-'IS 3Q2022'!T76</f>
        <v>#REF!</v>
      </c>
      <c r="U76" s="101" t="e">
        <f>#REF!-'IS 3Q2022'!U76</f>
        <v>#REF!</v>
      </c>
      <c r="V76" s="101" t="e">
        <f>#REF!-'IS 3Q2022'!V76</f>
        <v>#REF!</v>
      </c>
      <c r="W76" s="122" t="e">
        <f>#REF!-'IS 3Q2022'!W76</f>
        <v>#REF!</v>
      </c>
      <c r="X76" s="101" t="e">
        <f>#REF!-'IS 3Q2022'!X76</f>
        <v>#REF!</v>
      </c>
      <c r="Y76" s="101" t="e">
        <f>#REF!-'IS 3Q2022'!Y76</f>
        <v>#REF!</v>
      </c>
      <c r="Z76" s="101" t="e">
        <f>#REF!-'IS 3Q2022'!Z76</f>
        <v>#REF!</v>
      </c>
      <c r="AA76" s="101" t="e">
        <f>#REF!-'IS 3Q2022'!AA76</f>
        <v>#REF!</v>
      </c>
      <c r="AB76" s="26" t="e">
        <f>#REF!-'IS 3Q2022'!AB76</f>
        <v>#REF!</v>
      </c>
      <c r="AC76" s="101" t="e">
        <f>#REF!-'IS 3Q2022'!AC76</f>
        <v>#REF!</v>
      </c>
      <c r="AD76" s="101" t="e">
        <f>#REF!-'IS 3Q2022'!AD76</f>
        <v>#REF!</v>
      </c>
      <c r="AE76" s="101" t="e">
        <f>#REF!-'IS 3Q2022'!AE76</f>
        <v>#REF!</v>
      </c>
      <c r="AF76" s="101" t="e">
        <f>#REF!-'IS 3Q2022'!AF76</f>
        <v>#REF!</v>
      </c>
      <c r="AG76" s="26" t="e">
        <f>#REF!-'IS 3Q2022'!AG76</f>
        <v>#REF!</v>
      </c>
      <c r="AH76" s="101" t="e">
        <f>#REF!-'IS 3Q2022'!AH76</f>
        <v>#REF!</v>
      </c>
      <c r="AI76" s="101" t="e">
        <f>#REF!-'IS 3Q2022'!AI76</f>
        <v>#REF!</v>
      </c>
      <c r="AJ76" s="101" t="e">
        <f>#REF!-'IS 3Q2022'!AJ76</f>
        <v>#REF!</v>
      </c>
      <c r="AK76" s="101" t="e">
        <f>#REF!-'IS 3Q2022'!AK76</f>
        <v>#REF!</v>
      </c>
      <c r="AL76" s="26" t="e">
        <f>#REF!-'IS 3Q2022'!AL76</f>
        <v>#REF!</v>
      </c>
      <c r="AM76" s="101" t="e">
        <f>#REF!-'IS 3Q2022'!AM76</f>
        <v>#REF!</v>
      </c>
      <c r="AN76" s="101" t="e">
        <f>#REF!-'IS 3Q2022'!AN76</f>
        <v>#REF!</v>
      </c>
      <c r="AO76" s="101" t="e">
        <f>#REF!-'IS 3Q2022'!AO76</f>
        <v>#REF!</v>
      </c>
      <c r="AP76" s="101" t="e">
        <f>#REF!-'IS 3Q2022'!AP76</f>
        <v>#REF!</v>
      </c>
      <c r="AQ76" s="26" t="e">
        <f>#REF!-'IS 3Q2022'!AQ76</f>
        <v>#REF!</v>
      </c>
      <c r="AR76" s="101" t="e">
        <f>#REF!-'IS 3Q2022'!AR76</f>
        <v>#REF!</v>
      </c>
      <c r="AS76" s="101" t="e">
        <f>#REF!-'IS 3Q2022'!AS76</f>
        <v>#REF!</v>
      </c>
      <c r="AT76" s="101" t="e">
        <f>#REF!-'IS 3Q2022'!AT76</f>
        <v>#REF!</v>
      </c>
      <c r="AU76" s="101" t="e">
        <f>#REF!-'IS 3Q2022'!AU76</f>
        <v>#REF!</v>
      </c>
      <c r="AV76" s="26" t="e">
        <f>#REF!-'IS 3Q2022'!AV76</f>
        <v>#REF!</v>
      </c>
    </row>
    <row r="77" spans="2:48" s="20" customFormat="1" outlineLevel="1" x14ac:dyDescent="0.3">
      <c r="B77" s="180" t="s">
        <v>206</v>
      </c>
      <c r="C77" s="206"/>
      <c r="D77" s="43" t="e">
        <f>#REF!-'IS 3Q2022'!D77</f>
        <v>#REF!</v>
      </c>
      <c r="E77" s="43" t="e">
        <f>#REF!-'IS 3Q2022'!E77</f>
        <v>#REF!</v>
      </c>
      <c r="F77" s="114" t="e">
        <f>#REF!-'IS 3Q2022'!F77</f>
        <v>#REF!</v>
      </c>
      <c r="G77" s="43" t="e">
        <f>#REF!-'IS 3Q2022'!G77</f>
        <v>#REF!</v>
      </c>
      <c r="H77" s="97" t="e">
        <f>#REF!-'IS 3Q2022'!H77</f>
        <v>#REF!</v>
      </c>
      <c r="I77" s="43" t="e">
        <f>#REF!-'IS 3Q2022'!I77</f>
        <v>#REF!</v>
      </c>
      <c r="J77" s="43" t="e">
        <f>#REF!-'IS 3Q2022'!J77</f>
        <v>#REF!</v>
      </c>
      <c r="K77" s="43" t="e">
        <f>#REF!-'IS 3Q2022'!K77</f>
        <v>#REF!</v>
      </c>
      <c r="L77" s="43" t="e">
        <f>#REF!-'IS 3Q2022'!L77</f>
        <v>#REF!</v>
      </c>
      <c r="M77" s="97" t="e">
        <f>#REF!-'IS 3Q2022'!M77</f>
        <v>#REF!</v>
      </c>
      <c r="N77" s="43" t="e">
        <f>#REF!-'IS 3Q2022'!N77</f>
        <v>#REF!</v>
      </c>
      <c r="O77" s="43" t="e">
        <f>#REF!-'IS 3Q2022'!O77</f>
        <v>#REF!</v>
      </c>
      <c r="P77" s="43" t="e">
        <f>#REF!-'IS 3Q2022'!P77</f>
        <v>#REF!</v>
      </c>
      <c r="Q77" s="43" t="e">
        <f>#REF!-'IS 3Q2022'!Q77</f>
        <v>#REF!</v>
      </c>
      <c r="R77" s="97" t="e">
        <f>#REF!-'IS 3Q2022'!R77</f>
        <v>#REF!</v>
      </c>
      <c r="S77" s="43" t="e">
        <f>#REF!-'IS 3Q2022'!S77</f>
        <v>#REF!</v>
      </c>
      <c r="T77" s="43" t="e">
        <f>#REF!-'IS 3Q2022'!T77</f>
        <v>#REF!</v>
      </c>
      <c r="U77" s="43" t="e">
        <f>#REF!-'IS 3Q2022'!U77</f>
        <v>#REF!</v>
      </c>
      <c r="V77" s="62" t="e">
        <f>#REF!-'IS 3Q2022'!V77</f>
        <v>#REF!</v>
      </c>
      <c r="W77" s="132" t="e">
        <f>#REF!-'IS 3Q2022'!W77</f>
        <v>#REF!</v>
      </c>
      <c r="X77" s="62" t="e">
        <f>#REF!-'IS 3Q2022'!X77</f>
        <v>#REF!</v>
      </c>
      <c r="Y77" s="62" t="e">
        <f>#REF!-'IS 3Q2022'!Y77</f>
        <v>#REF!</v>
      </c>
      <c r="Z77" s="62" t="e">
        <f>#REF!-'IS 3Q2022'!Z77</f>
        <v>#REF!</v>
      </c>
      <c r="AA77" s="62" t="e">
        <f>#REF!-'IS 3Q2022'!AA77</f>
        <v>#REF!</v>
      </c>
      <c r="AB77" s="97" t="e">
        <f>#REF!-'IS 3Q2022'!AB77</f>
        <v>#REF!</v>
      </c>
      <c r="AC77" s="62" t="e">
        <f>#REF!-'IS 3Q2022'!AC77</f>
        <v>#REF!</v>
      </c>
      <c r="AD77" s="62" t="e">
        <f>#REF!-'IS 3Q2022'!AD77</f>
        <v>#REF!</v>
      </c>
      <c r="AE77" s="62" t="e">
        <f>#REF!-'IS 3Q2022'!AE77</f>
        <v>#REF!</v>
      </c>
      <c r="AF77" s="62" t="e">
        <f>#REF!-'IS 3Q2022'!AF77</f>
        <v>#REF!</v>
      </c>
      <c r="AG77" s="97" t="e">
        <f>#REF!-'IS 3Q2022'!AG77</f>
        <v>#REF!</v>
      </c>
      <c r="AH77" s="62" t="e">
        <f>#REF!-'IS 3Q2022'!AH77</f>
        <v>#REF!</v>
      </c>
      <c r="AI77" s="62" t="e">
        <f>#REF!-'IS 3Q2022'!AI77</f>
        <v>#REF!</v>
      </c>
      <c r="AJ77" s="62" t="e">
        <f>#REF!-'IS 3Q2022'!AJ77</f>
        <v>#REF!</v>
      </c>
      <c r="AK77" s="62" t="e">
        <f>#REF!-'IS 3Q2022'!AK77</f>
        <v>#REF!</v>
      </c>
      <c r="AL77" s="97" t="e">
        <f>#REF!-'IS 3Q2022'!AL77</f>
        <v>#REF!</v>
      </c>
      <c r="AM77" s="62" t="e">
        <f>#REF!-'IS 3Q2022'!AM77</f>
        <v>#REF!</v>
      </c>
      <c r="AN77" s="62" t="e">
        <f>#REF!-'IS 3Q2022'!AN77</f>
        <v>#REF!</v>
      </c>
      <c r="AO77" s="62" t="e">
        <f>#REF!-'IS 3Q2022'!AO77</f>
        <v>#REF!</v>
      </c>
      <c r="AP77" s="62" t="e">
        <f>#REF!-'IS 3Q2022'!AP77</f>
        <v>#REF!</v>
      </c>
      <c r="AQ77" s="97" t="e">
        <f>#REF!-'IS 3Q2022'!AQ77</f>
        <v>#REF!</v>
      </c>
      <c r="AR77" s="62" t="e">
        <f>#REF!-'IS 3Q2022'!AR77</f>
        <v>#REF!</v>
      </c>
      <c r="AS77" s="62" t="e">
        <f>#REF!-'IS 3Q2022'!AS77</f>
        <v>#REF!</v>
      </c>
      <c r="AT77" s="62" t="e">
        <f>#REF!-'IS 3Q2022'!AT77</f>
        <v>#REF!</v>
      </c>
      <c r="AU77" s="62" t="e">
        <f>#REF!-'IS 3Q2022'!AU77</f>
        <v>#REF!</v>
      </c>
      <c r="AV77" s="97" t="e">
        <f>#REF!-'IS 3Q2022'!AV77</f>
        <v>#REF!</v>
      </c>
    </row>
    <row r="78" spans="2:48" s="8" customFormat="1" outlineLevel="1" x14ac:dyDescent="0.3">
      <c r="B78" s="587" t="s">
        <v>116</v>
      </c>
      <c r="C78" s="588"/>
      <c r="D78" s="50" t="e">
        <f>#REF!-'IS 3Q2022'!D78</f>
        <v>#REF!</v>
      </c>
      <c r="E78" s="50" t="e">
        <f>#REF!-'IS 3Q2022'!E78</f>
        <v>#REF!</v>
      </c>
      <c r="F78" s="103" t="e">
        <f>#REF!-'IS 3Q2022'!F78</f>
        <v>#REF!</v>
      </c>
      <c r="G78" s="50" t="e">
        <f>#REF!-'IS 3Q2022'!G78</f>
        <v>#REF!</v>
      </c>
      <c r="H78" s="97" t="e">
        <f>#REF!-'IS 3Q2022'!H78</f>
        <v>#REF!</v>
      </c>
      <c r="I78" s="50" t="e">
        <f>#REF!-'IS 3Q2022'!I78</f>
        <v>#REF!</v>
      </c>
      <c r="J78" s="50" t="e">
        <f>#REF!-'IS 3Q2022'!J78</f>
        <v>#REF!</v>
      </c>
      <c r="K78" s="103" t="e">
        <f>#REF!-'IS 3Q2022'!K78</f>
        <v>#REF!</v>
      </c>
      <c r="L78" s="50" t="e">
        <f>#REF!-'IS 3Q2022'!L78</f>
        <v>#REF!</v>
      </c>
      <c r="M78" s="97" t="e">
        <f>#REF!-'IS 3Q2022'!M78</f>
        <v>#REF!</v>
      </c>
      <c r="N78" s="50" t="e">
        <f>#REF!-'IS 3Q2022'!N78</f>
        <v>#REF!</v>
      </c>
      <c r="O78" s="50" t="e">
        <f>#REF!-'IS 3Q2022'!O78</f>
        <v>#REF!</v>
      </c>
      <c r="P78" s="50" t="e">
        <f>#REF!-'IS 3Q2022'!P78</f>
        <v>#REF!</v>
      </c>
      <c r="Q78" s="103" t="e">
        <f>#REF!-'IS 3Q2022'!Q78</f>
        <v>#REF!</v>
      </c>
      <c r="R78" s="97" t="e">
        <f>#REF!-'IS 3Q2022'!R78</f>
        <v>#REF!</v>
      </c>
      <c r="S78" s="50" t="e">
        <f>#REF!-'IS 3Q2022'!S78</f>
        <v>#REF!</v>
      </c>
      <c r="T78" s="50" t="e">
        <f>#REF!-'IS 3Q2022'!T78</f>
        <v>#REF!</v>
      </c>
      <c r="U78" s="50" t="e">
        <f>#REF!-'IS 3Q2022'!U78</f>
        <v>#REF!</v>
      </c>
      <c r="V78" s="50" t="e">
        <f>#REF!-'IS 3Q2022'!V78</f>
        <v>#REF!</v>
      </c>
      <c r="W78" s="132" t="e">
        <f>#REF!-'IS 3Q2022'!W78</f>
        <v>#REF!</v>
      </c>
      <c r="X78" s="50" t="e">
        <f>#REF!-'IS 3Q2022'!X78</f>
        <v>#REF!</v>
      </c>
      <c r="Y78" s="50" t="e">
        <f>#REF!-'IS 3Q2022'!Y78</f>
        <v>#REF!</v>
      </c>
      <c r="Z78" s="50" t="e">
        <f>#REF!-'IS 3Q2022'!Z78</f>
        <v>#REF!</v>
      </c>
      <c r="AA78" s="50" t="e">
        <f>#REF!-'IS 3Q2022'!AA78</f>
        <v>#REF!</v>
      </c>
      <c r="AB78" s="97" t="e">
        <f>#REF!-'IS 3Q2022'!AB78</f>
        <v>#REF!</v>
      </c>
      <c r="AC78" s="50" t="e">
        <f>#REF!-'IS 3Q2022'!AC78</f>
        <v>#REF!</v>
      </c>
      <c r="AD78" s="50" t="e">
        <f>#REF!-'IS 3Q2022'!AD78</f>
        <v>#REF!</v>
      </c>
      <c r="AE78" s="50" t="e">
        <f>#REF!-'IS 3Q2022'!AE78</f>
        <v>#REF!</v>
      </c>
      <c r="AF78" s="50" t="e">
        <f>#REF!-'IS 3Q2022'!AF78</f>
        <v>#REF!</v>
      </c>
      <c r="AG78" s="97" t="e">
        <f>#REF!-'IS 3Q2022'!AG78</f>
        <v>#REF!</v>
      </c>
      <c r="AH78" s="50" t="e">
        <f>#REF!-'IS 3Q2022'!AH78</f>
        <v>#REF!</v>
      </c>
      <c r="AI78" s="50" t="e">
        <f>#REF!-'IS 3Q2022'!AI78</f>
        <v>#REF!</v>
      </c>
      <c r="AJ78" s="50" t="e">
        <f>#REF!-'IS 3Q2022'!AJ78</f>
        <v>#REF!</v>
      </c>
      <c r="AK78" s="50" t="e">
        <f>#REF!-'IS 3Q2022'!AK78</f>
        <v>#REF!</v>
      </c>
      <c r="AL78" s="97" t="e">
        <f>#REF!-'IS 3Q2022'!AL78</f>
        <v>#REF!</v>
      </c>
      <c r="AM78" s="50" t="e">
        <f>#REF!-'IS 3Q2022'!AM78</f>
        <v>#REF!</v>
      </c>
      <c r="AN78" s="50" t="e">
        <f>#REF!-'IS 3Q2022'!AN78</f>
        <v>#REF!</v>
      </c>
      <c r="AO78" s="50" t="e">
        <f>#REF!-'IS 3Q2022'!AO78</f>
        <v>#REF!</v>
      </c>
      <c r="AP78" s="50" t="e">
        <f>#REF!-'IS 3Q2022'!AP78</f>
        <v>#REF!</v>
      </c>
      <c r="AQ78" s="97" t="e">
        <f>#REF!-'IS 3Q2022'!AQ78</f>
        <v>#REF!</v>
      </c>
      <c r="AR78" s="50" t="e">
        <f>#REF!-'IS 3Q2022'!AR78</f>
        <v>#REF!</v>
      </c>
      <c r="AS78" s="50" t="e">
        <f>#REF!-'IS 3Q2022'!AS78</f>
        <v>#REF!</v>
      </c>
      <c r="AT78" s="50" t="e">
        <f>#REF!-'IS 3Q2022'!AT78</f>
        <v>#REF!</v>
      </c>
      <c r="AU78" s="50" t="e">
        <f>#REF!-'IS 3Q2022'!AU78</f>
        <v>#REF!</v>
      </c>
      <c r="AV78" s="97" t="e">
        <f>#REF!-'IS 3Q2022'!AV78</f>
        <v>#REF!</v>
      </c>
    </row>
    <row r="79" spans="2:48" s="8" customFormat="1" outlineLevel="1" x14ac:dyDescent="0.3">
      <c r="B79" s="38" t="s">
        <v>200</v>
      </c>
      <c r="C79" s="206"/>
      <c r="D79" s="43" t="e">
        <f>#REF!-'IS 3Q2022'!D79</f>
        <v>#REF!</v>
      </c>
      <c r="E79" s="43" t="e">
        <f>#REF!-'IS 3Q2022'!E79</f>
        <v>#REF!</v>
      </c>
      <c r="F79" s="43" t="e">
        <f>#REF!-'IS 3Q2022'!F79</f>
        <v>#REF!</v>
      </c>
      <c r="G79" s="43" t="e">
        <f>#REF!-'IS 3Q2022'!G79</f>
        <v>#REF!</v>
      </c>
      <c r="H79" s="97" t="e">
        <f>#REF!-'IS 3Q2022'!H79</f>
        <v>#REF!</v>
      </c>
      <c r="I79" s="27" t="e">
        <f>#REF!-'IS 3Q2022'!I79</f>
        <v>#REF!</v>
      </c>
      <c r="J79" s="27" t="e">
        <f>#REF!-'IS 3Q2022'!J79</f>
        <v>#REF!</v>
      </c>
      <c r="K79" s="27" t="e">
        <f>#REF!-'IS 3Q2022'!K79</f>
        <v>#REF!</v>
      </c>
      <c r="L79" s="27" t="e">
        <f>#REF!-'IS 3Q2022'!L79</f>
        <v>#REF!</v>
      </c>
      <c r="M79" s="97" t="e">
        <f>#REF!-'IS 3Q2022'!M79</f>
        <v>#REF!</v>
      </c>
      <c r="N79" s="27" t="e">
        <f>#REF!-'IS 3Q2022'!N79</f>
        <v>#REF!</v>
      </c>
      <c r="O79" s="27" t="e">
        <f>#REF!-'IS 3Q2022'!O79</f>
        <v>#REF!</v>
      </c>
      <c r="P79" s="27" t="e">
        <f>#REF!-'IS 3Q2022'!P79</f>
        <v>#REF!</v>
      </c>
      <c r="Q79" s="27" t="e">
        <f>#REF!-'IS 3Q2022'!Q79</f>
        <v>#REF!</v>
      </c>
      <c r="R79" s="97" t="e">
        <f>#REF!-'IS 3Q2022'!R79</f>
        <v>#REF!</v>
      </c>
      <c r="S79" s="27" t="e">
        <f>#REF!-'IS 3Q2022'!S79</f>
        <v>#REF!</v>
      </c>
      <c r="T79" s="27" t="e">
        <f>#REF!-'IS 3Q2022'!T79</f>
        <v>#REF!</v>
      </c>
      <c r="U79" s="27" t="e">
        <f>#REF!-'IS 3Q2022'!U79</f>
        <v>#REF!</v>
      </c>
      <c r="V79" s="27" t="e">
        <f>#REF!-'IS 3Q2022'!V79</f>
        <v>#REF!</v>
      </c>
      <c r="W79" s="375" t="e">
        <f>#REF!-'IS 3Q2022'!W79</f>
        <v>#REF!</v>
      </c>
      <c r="X79" s="27" t="e">
        <f>#REF!-'IS 3Q2022'!X79</f>
        <v>#REF!</v>
      </c>
      <c r="Y79" s="27" t="e">
        <f>#REF!-'IS 3Q2022'!Y79</f>
        <v>#REF!</v>
      </c>
      <c r="Z79" s="27" t="e">
        <f>#REF!-'IS 3Q2022'!Z79</f>
        <v>#REF!</v>
      </c>
      <c r="AA79" s="27" t="e">
        <f>#REF!-'IS 3Q2022'!AA79</f>
        <v>#REF!</v>
      </c>
      <c r="AB79" s="375" t="e">
        <f>#REF!-'IS 3Q2022'!AB79</f>
        <v>#REF!</v>
      </c>
      <c r="AC79" s="27" t="e">
        <f>#REF!-'IS 3Q2022'!AC79</f>
        <v>#REF!</v>
      </c>
      <c r="AD79" s="27" t="e">
        <f>#REF!-'IS 3Q2022'!AD79</f>
        <v>#REF!</v>
      </c>
      <c r="AE79" s="27" t="e">
        <f>#REF!-'IS 3Q2022'!AE79</f>
        <v>#REF!</v>
      </c>
      <c r="AF79" s="27" t="e">
        <f>#REF!-'IS 3Q2022'!AF79</f>
        <v>#REF!</v>
      </c>
      <c r="AG79" s="375" t="e">
        <f>#REF!-'IS 3Q2022'!AG79</f>
        <v>#REF!</v>
      </c>
      <c r="AH79" s="27" t="e">
        <f>#REF!-'IS 3Q2022'!AH79</f>
        <v>#REF!</v>
      </c>
      <c r="AI79" s="27" t="e">
        <f>#REF!-'IS 3Q2022'!AI79</f>
        <v>#REF!</v>
      </c>
      <c r="AJ79" s="27" t="e">
        <f>#REF!-'IS 3Q2022'!AJ79</f>
        <v>#REF!</v>
      </c>
      <c r="AK79" s="27" t="e">
        <f>#REF!-'IS 3Q2022'!AK79</f>
        <v>#REF!</v>
      </c>
      <c r="AL79" s="375" t="e">
        <f>#REF!-'IS 3Q2022'!AL79</f>
        <v>#REF!</v>
      </c>
      <c r="AM79" s="27" t="e">
        <f>#REF!-'IS 3Q2022'!AM79</f>
        <v>#REF!</v>
      </c>
      <c r="AN79" s="27" t="e">
        <f>#REF!-'IS 3Q2022'!AN79</f>
        <v>#REF!</v>
      </c>
      <c r="AO79" s="27" t="e">
        <f>#REF!-'IS 3Q2022'!AO79</f>
        <v>#REF!</v>
      </c>
      <c r="AP79" s="27" t="e">
        <f>#REF!-'IS 3Q2022'!AP79</f>
        <v>#REF!</v>
      </c>
      <c r="AQ79" s="97" t="e">
        <f>#REF!-'IS 3Q2022'!AQ79</f>
        <v>#REF!</v>
      </c>
      <c r="AR79" s="27" t="e">
        <f>#REF!-'IS 3Q2022'!AR79</f>
        <v>#REF!</v>
      </c>
      <c r="AS79" s="27" t="e">
        <f>#REF!-'IS 3Q2022'!AS79</f>
        <v>#REF!</v>
      </c>
      <c r="AT79" s="27" t="e">
        <f>#REF!-'IS 3Q2022'!AT79</f>
        <v>#REF!</v>
      </c>
      <c r="AU79" s="27" t="e">
        <f>#REF!-'IS 3Q2022'!AU79</f>
        <v>#REF!</v>
      </c>
      <c r="AV79" s="97" t="e">
        <f>#REF!-'IS 3Q2022'!AV79</f>
        <v>#REF!</v>
      </c>
    </row>
    <row r="80" spans="2:48" outlineLevel="1" x14ac:dyDescent="0.3">
      <c r="B80" s="236" t="s">
        <v>44</v>
      </c>
      <c r="C80" s="221"/>
      <c r="D80" s="222" t="e">
        <f>#REF!-'IS 3Q2022'!D80</f>
        <v>#REF!</v>
      </c>
      <c r="E80" s="222" t="e">
        <f>#REF!-'IS 3Q2022'!E80</f>
        <v>#REF!</v>
      </c>
      <c r="F80" s="222" t="e">
        <f>#REF!-'IS 3Q2022'!F80</f>
        <v>#REF!</v>
      </c>
      <c r="G80" s="222" t="e">
        <f>#REF!-'IS 3Q2022'!G80</f>
        <v>#REF!</v>
      </c>
      <c r="H80" s="223" t="e">
        <f>#REF!-'IS 3Q2022'!H80</f>
        <v>#REF!</v>
      </c>
      <c r="I80" s="222" t="e">
        <f>#REF!-'IS 3Q2022'!I80</f>
        <v>#REF!</v>
      </c>
      <c r="J80" s="222" t="e">
        <f>#REF!-'IS 3Q2022'!J80</f>
        <v>#REF!</v>
      </c>
      <c r="K80" s="222" t="e">
        <f>#REF!-'IS 3Q2022'!K80</f>
        <v>#REF!</v>
      </c>
      <c r="L80" s="224" t="e">
        <f>#REF!-'IS 3Q2022'!L80</f>
        <v>#REF!</v>
      </c>
      <c r="M80" s="223" t="e">
        <f>#REF!-'IS 3Q2022'!M80</f>
        <v>#REF!</v>
      </c>
      <c r="N80" s="222" t="e">
        <f>#REF!-'IS 3Q2022'!N80</f>
        <v>#REF!</v>
      </c>
      <c r="O80" s="222" t="e">
        <f>#REF!-'IS 3Q2022'!O80</f>
        <v>#REF!</v>
      </c>
      <c r="P80" s="222" t="e">
        <f>#REF!-'IS 3Q2022'!P80</f>
        <v>#REF!</v>
      </c>
      <c r="Q80" s="222" t="e">
        <f>#REF!-'IS 3Q2022'!Q80</f>
        <v>#REF!</v>
      </c>
      <c r="R80" s="225" t="e">
        <f>#REF!-'IS 3Q2022'!R80</f>
        <v>#REF!</v>
      </c>
      <c r="S80" s="224" t="e">
        <f>#REF!-'IS 3Q2022'!S80</f>
        <v>#REF!</v>
      </c>
      <c r="T80" s="224" t="e">
        <f>#REF!-'IS 3Q2022'!T80</f>
        <v>#REF!</v>
      </c>
      <c r="U80" s="224" t="e">
        <f>#REF!-'IS 3Q2022'!U80</f>
        <v>#REF!</v>
      </c>
      <c r="V80" s="224" t="e">
        <f>#REF!-'IS 3Q2022'!V80</f>
        <v>#REF!</v>
      </c>
      <c r="W80" s="223" t="e">
        <f>#REF!-'IS 3Q2022'!W80</f>
        <v>#REF!</v>
      </c>
      <c r="X80" s="224" t="e">
        <f>#REF!-'IS 3Q2022'!X80</f>
        <v>#REF!</v>
      </c>
      <c r="Y80" s="224" t="e">
        <f>#REF!-'IS 3Q2022'!Y80</f>
        <v>#REF!</v>
      </c>
      <c r="Z80" s="224" t="e">
        <f>#REF!-'IS 3Q2022'!Z80</f>
        <v>#REF!</v>
      </c>
      <c r="AA80" s="224" t="e">
        <f>#REF!-'IS 3Q2022'!AA80</f>
        <v>#REF!</v>
      </c>
      <c r="AB80" s="225" t="e">
        <f>#REF!-'IS 3Q2022'!AB80</f>
        <v>#REF!</v>
      </c>
      <c r="AC80" s="224" t="e">
        <f>#REF!-'IS 3Q2022'!AC80</f>
        <v>#REF!</v>
      </c>
      <c r="AD80" s="224" t="e">
        <f>#REF!-'IS 3Q2022'!AD80</f>
        <v>#REF!</v>
      </c>
      <c r="AE80" s="224" t="e">
        <f>#REF!-'IS 3Q2022'!AE80</f>
        <v>#REF!</v>
      </c>
      <c r="AF80" s="224" t="e">
        <f>#REF!-'IS 3Q2022'!AF80</f>
        <v>#REF!</v>
      </c>
      <c r="AG80" s="225" t="e">
        <f>#REF!-'IS 3Q2022'!AG80</f>
        <v>#REF!</v>
      </c>
      <c r="AH80" s="224" t="e">
        <f>#REF!-'IS 3Q2022'!AH80</f>
        <v>#REF!</v>
      </c>
      <c r="AI80" s="224" t="e">
        <f>#REF!-'IS 3Q2022'!AI80</f>
        <v>#REF!</v>
      </c>
      <c r="AJ80" s="224" t="e">
        <f>#REF!-'IS 3Q2022'!AJ80</f>
        <v>#REF!</v>
      </c>
      <c r="AK80" s="224" t="e">
        <f>#REF!-'IS 3Q2022'!AK80</f>
        <v>#REF!</v>
      </c>
      <c r="AL80" s="225" t="e">
        <f>#REF!-'IS 3Q2022'!AL80</f>
        <v>#REF!</v>
      </c>
      <c r="AM80" s="224" t="e">
        <f>#REF!-'IS 3Q2022'!AM80</f>
        <v>#REF!</v>
      </c>
      <c r="AN80" s="224" t="e">
        <f>#REF!-'IS 3Q2022'!AN80</f>
        <v>#REF!</v>
      </c>
      <c r="AO80" s="224" t="e">
        <f>#REF!-'IS 3Q2022'!AO80</f>
        <v>#REF!</v>
      </c>
      <c r="AP80" s="224" t="e">
        <f>#REF!-'IS 3Q2022'!AP80</f>
        <v>#REF!</v>
      </c>
      <c r="AQ80" s="225" t="e">
        <f>#REF!-'IS 3Q2022'!AQ80</f>
        <v>#REF!</v>
      </c>
      <c r="AR80" s="224" t="e">
        <f>#REF!-'IS 3Q2022'!AR80</f>
        <v>#REF!</v>
      </c>
      <c r="AS80" s="224" t="e">
        <f>#REF!-'IS 3Q2022'!AS80</f>
        <v>#REF!</v>
      </c>
      <c r="AT80" s="224" t="e">
        <f>#REF!-'IS 3Q2022'!AT80</f>
        <v>#REF!</v>
      </c>
      <c r="AU80" s="224" t="e">
        <f>#REF!-'IS 3Q2022'!AU80</f>
        <v>#REF!</v>
      </c>
      <c r="AV80" s="225" t="e">
        <f>#REF!-'IS 3Q2022'!AV80</f>
        <v>#REF!</v>
      </c>
    </row>
    <row r="81" spans="1:48" outlineLevel="1" x14ac:dyDescent="0.3">
      <c r="B81" s="180" t="s">
        <v>43</v>
      </c>
      <c r="C81" s="207"/>
      <c r="D81" s="151" t="e">
        <f>#REF!-'IS 3Q2022'!D81</f>
        <v>#REF!</v>
      </c>
      <c r="E81" s="151" t="e">
        <f>#REF!-'IS 3Q2022'!E81</f>
        <v>#REF!</v>
      </c>
      <c r="F81" s="151" t="e">
        <f>#REF!-'IS 3Q2022'!F81</f>
        <v>#REF!</v>
      </c>
      <c r="G81" s="151" t="e">
        <f>#REF!-'IS 3Q2022'!G81</f>
        <v>#REF!</v>
      </c>
      <c r="H81" s="60" t="e">
        <f>#REF!-'IS 3Q2022'!H81</f>
        <v>#REF!</v>
      </c>
      <c r="I81" s="151" t="e">
        <f>#REF!-'IS 3Q2022'!I81</f>
        <v>#REF!</v>
      </c>
      <c r="J81" s="151" t="e">
        <f>#REF!-'IS 3Q2022'!J81</f>
        <v>#REF!</v>
      </c>
      <c r="K81" s="151" t="e">
        <f>#REF!-'IS 3Q2022'!K81</f>
        <v>#REF!</v>
      </c>
      <c r="L81" s="59" t="e">
        <f>#REF!-'IS 3Q2022'!L81</f>
        <v>#REF!</v>
      </c>
      <c r="M81" s="60" t="e">
        <f>#REF!-'IS 3Q2022'!M81</f>
        <v>#REF!</v>
      </c>
      <c r="N81" s="151" t="e">
        <f>#REF!-'IS 3Q2022'!N81</f>
        <v>#REF!</v>
      </c>
      <c r="O81" s="59" t="e">
        <f>#REF!-'IS 3Q2022'!O81</f>
        <v>#REF!</v>
      </c>
      <c r="P81" s="59" t="e">
        <f>#REF!-'IS 3Q2022'!P81</f>
        <v>#REF!</v>
      </c>
      <c r="Q81" s="151" t="e">
        <f>#REF!-'IS 3Q2022'!Q81</f>
        <v>#REF!</v>
      </c>
      <c r="R81" s="60" t="e">
        <f>#REF!-'IS 3Q2022'!R81</f>
        <v>#REF!</v>
      </c>
      <c r="S81" s="59" t="e">
        <f>#REF!-'IS 3Q2022'!S81</f>
        <v>#REF!</v>
      </c>
      <c r="T81" s="59" t="e">
        <f>#REF!-'IS 3Q2022'!T81</f>
        <v>#REF!</v>
      </c>
      <c r="U81" s="59" t="e">
        <f>#REF!-'IS 3Q2022'!U81</f>
        <v>#REF!</v>
      </c>
      <c r="V81" s="59" t="e">
        <f>#REF!-'IS 3Q2022'!V81</f>
        <v>#REF!</v>
      </c>
      <c r="W81" s="148" t="e">
        <f>#REF!-'IS 3Q2022'!W81</f>
        <v>#REF!</v>
      </c>
      <c r="X81" s="59" t="e">
        <f>#REF!-'IS 3Q2022'!X81</f>
        <v>#REF!</v>
      </c>
      <c r="Y81" s="59" t="e">
        <f>#REF!-'IS 3Q2022'!Y81</f>
        <v>#REF!</v>
      </c>
      <c r="Z81" s="59" t="e">
        <f>#REF!-'IS 3Q2022'!Z81</f>
        <v>#REF!</v>
      </c>
      <c r="AA81" s="59" t="e">
        <f>#REF!-'IS 3Q2022'!AA81</f>
        <v>#REF!</v>
      </c>
      <c r="AB81" s="60" t="e">
        <f>#REF!-'IS 3Q2022'!AB81</f>
        <v>#REF!</v>
      </c>
      <c r="AC81" s="59" t="e">
        <f>#REF!-'IS 3Q2022'!AC81</f>
        <v>#REF!</v>
      </c>
      <c r="AD81" s="59" t="e">
        <f>#REF!-'IS 3Q2022'!AD81</f>
        <v>#REF!</v>
      </c>
      <c r="AE81" s="59" t="e">
        <f>#REF!-'IS 3Q2022'!AE81</f>
        <v>#REF!</v>
      </c>
      <c r="AF81" s="59" t="e">
        <f>#REF!-'IS 3Q2022'!AF81</f>
        <v>#REF!</v>
      </c>
      <c r="AG81" s="60" t="e">
        <f>#REF!-'IS 3Q2022'!AG81</f>
        <v>#REF!</v>
      </c>
      <c r="AH81" s="59" t="e">
        <f>#REF!-'IS 3Q2022'!AH81</f>
        <v>#REF!</v>
      </c>
      <c r="AI81" s="59" t="e">
        <f>#REF!-'IS 3Q2022'!AI81</f>
        <v>#REF!</v>
      </c>
      <c r="AJ81" s="59" t="e">
        <f>#REF!-'IS 3Q2022'!AJ81</f>
        <v>#REF!</v>
      </c>
      <c r="AK81" s="59" t="e">
        <f>#REF!-'IS 3Q2022'!AK81</f>
        <v>#REF!</v>
      </c>
      <c r="AL81" s="60" t="e">
        <f>#REF!-'IS 3Q2022'!AL81</f>
        <v>#REF!</v>
      </c>
      <c r="AM81" s="59" t="e">
        <f>#REF!-'IS 3Q2022'!AM81</f>
        <v>#REF!</v>
      </c>
      <c r="AN81" s="59" t="e">
        <f>#REF!-'IS 3Q2022'!AN81</f>
        <v>#REF!</v>
      </c>
      <c r="AO81" s="59" t="e">
        <f>#REF!-'IS 3Q2022'!AO81</f>
        <v>#REF!</v>
      </c>
      <c r="AP81" s="59" t="e">
        <f>#REF!-'IS 3Q2022'!AP81</f>
        <v>#REF!</v>
      </c>
      <c r="AQ81" s="60" t="e">
        <f>#REF!-'IS 3Q2022'!AQ81</f>
        <v>#REF!</v>
      </c>
      <c r="AR81" s="59" t="e">
        <f>#REF!-'IS 3Q2022'!AR81</f>
        <v>#REF!</v>
      </c>
      <c r="AS81" s="59" t="e">
        <f>#REF!-'IS 3Q2022'!AS81</f>
        <v>#REF!</v>
      </c>
      <c r="AT81" s="59" t="e">
        <f>#REF!-'IS 3Q2022'!AT81</f>
        <v>#REF!</v>
      </c>
      <c r="AU81" s="59" t="e">
        <f>#REF!-'IS 3Q2022'!AU81</f>
        <v>#REF!</v>
      </c>
      <c r="AV81" s="60" t="e">
        <f>#REF!-'IS 3Q2022'!AV81</f>
        <v>#REF!</v>
      </c>
    </row>
    <row r="82" spans="1:48" s="8" customFormat="1" outlineLevel="1" x14ac:dyDescent="0.3">
      <c r="B82" s="208" t="s">
        <v>45</v>
      </c>
      <c r="C82" s="206"/>
      <c r="D82" s="152" t="e">
        <f>#REF!-'IS 3Q2022'!D82</f>
        <v>#REF!</v>
      </c>
      <c r="E82" s="152" t="e">
        <f>#REF!-'IS 3Q2022'!E82</f>
        <v>#REF!</v>
      </c>
      <c r="F82" s="152" t="e">
        <f>#REF!-'IS 3Q2022'!F82</f>
        <v>#REF!</v>
      </c>
      <c r="G82" s="152" t="e">
        <f>#REF!-'IS 3Q2022'!G82</f>
        <v>#REF!</v>
      </c>
      <c r="H82" s="61" t="e">
        <f>#REF!-'IS 3Q2022'!H82</f>
        <v>#REF!</v>
      </c>
      <c r="I82" s="152" t="e">
        <f>#REF!-'IS 3Q2022'!I82</f>
        <v>#REF!</v>
      </c>
      <c r="J82" s="152" t="e">
        <f>#REF!-'IS 3Q2022'!J82</f>
        <v>#REF!</v>
      </c>
      <c r="K82" s="152" t="e">
        <f>#REF!-'IS 3Q2022'!K82</f>
        <v>#REF!</v>
      </c>
      <c r="L82" s="157" t="e">
        <f>#REF!-'IS 3Q2022'!L82</f>
        <v>#REF!</v>
      </c>
      <c r="M82" s="61" t="e">
        <f>#REF!-'IS 3Q2022'!M82</f>
        <v>#REF!</v>
      </c>
      <c r="N82" s="152" t="e">
        <f>#REF!-'IS 3Q2022'!N82</f>
        <v>#REF!</v>
      </c>
      <c r="O82" s="152" t="e">
        <f>#REF!-'IS 3Q2022'!O82</f>
        <v>#REF!</v>
      </c>
      <c r="P82" s="152" t="e">
        <f>#REF!-'IS 3Q2022'!P82</f>
        <v>#REF!</v>
      </c>
      <c r="Q82" s="152" t="e">
        <f>#REF!-'IS 3Q2022'!Q82</f>
        <v>#REF!</v>
      </c>
      <c r="R82" s="377" t="e">
        <f>#REF!-'IS 3Q2022'!R82</f>
        <v>#REF!</v>
      </c>
      <c r="S82" s="152" t="e">
        <f>#REF!-'IS 3Q2022'!S82</f>
        <v>#REF!</v>
      </c>
      <c r="T82" s="152" t="e">
        <f>#REF!-'IS 3Q2022'!T82</f>
        <v>#REF!</v>
      </c>
      <c r="U82" s="152" t="e">
        <f>#REF!-'IS 3Q2022'!U82</f>
        <v>#REF!</v>
      </c>
      <c r="V82" s="152" t="e">
        <f>#REF!-'IS 3Q2022'!V82</f>
        <v>#REF!</v>
      </c>
      <c r="W82" s="377" t="e">
        <f>#REF!-'IS 3Q2022'!W82</f>
        <v>#REF!</v>
      </c>
      <c r="X82" s="157" t="e">
        <f>#REF!-'IS 3Q2022'!X82</f>
        <v>#REF!</v>
      </c>
      <c r="Y82" s="157" t="e">
        <f>#REF!-'IS 3Q2022'!Y82</f>
        <v>#REF!</v>
      </c>
      <c r="Z82" s="157" t="e">
        <f>#REF!-'IS 3Q2022'!Z82</f>
        <v>#REF!</v>
      </c>
      <c r="AA82" s="157" t="e">
        <f>#REF!-'IS 3Q2022'!AA82</f>
        <v>#REF!</v>
      </c>
      <c r="AB82" s="377" t="e">
        <f>#REF!-'IS 3Q2022'!AB82</f>
        <v>#REF!</v>
      </c>
      <c r="AC82" s="157" t="e">
        <f>#REF!-'IS 3Q2022'!AC82</f>
        <v>#REF!</v>
      </c>
      <c r="AD82" s="157" t="e">
        <f>#REF!-'IS 3Q2022'!AD82</f>
        <v>#REF!</v>
      </c>
      <c r="AE82" s="157" t="e">
        <f>#REF!-'IS 3Q2022'!AE82</f>
        <v>#REF!</v>
      </c>
      <c r="AF82" s="157" t="e">
        <f>#REF!-'IS 3Q2022'!AF82</f>
        <v>#REF!</v>
      </c>
      <c r="AG82" s="377" t="e">
        <f>#REF!-'IS 3Q2022'!AG82</f>
        <v>#REF!</v>
      </c>
      <c r="AH82" s="157" t="e">
        <f>#REF!-'IS 3Q2022'!AH82</f>
        <v>#REF!</v>
      </c>
      <c r="AI82" s="157" t="e">
        <f>#REF!-'IS 3Q2022'!AI82</f>
        <v>#REF!</v>
      </c>
      <c r="AJ82" s="157" t="e">
        <f>#REF!-'IS 3Q2022'!AJ82</f>
        <v>#REF!</v>
      </c>
      <c r="AK82" s="157" t="e">
        <f>#REF!-'IS 3Q2022'!AK82</f>
        <v>#REF!</v>
      </c>
      <c r="AL82" s="377" t="e">
        <f>#REF!-'IS 3Q2022'!AL82</f>
        <v>#REF!</v>
      </c>
      <c r="AM82" s="157" t="e">
        <f>#REF!-'IS 3Q2022'!AM82</f>
        <v>#REF!</v>
      </c>
      <c r="AN82" s="157" t="e">
        <f>#REF!-'IS 3Q2022'!AN82</f>
        <v>#REF!</v>
      </c>
      <c r="AO82" s="157" t="e">
        <f>#REF!-'IS 3Q2022'!AO82</f>
        <v>#REF!</v>
      </c>
      <c r="AP82" s="157" t="e">
        <f>#REF!-'IS 3Q2022'!AP82</f>
        <v>#REF!</v>
      </c>
      <c r="AQ82" s="134" t="e">
        <f>#REF!-'IS 3Q2022'!AQ82</f>
        <v>#REF!</v>
      </c>
      <c r="AR82" s="157" t="e">
        <f>#REF!-'IS 3Q2022'!AR82</f>
        <v>#REF!</v>
      </c>
      <c r="AS82" s="157" t="e">
        <f>#REF!-'IS 3Q2022'!AS82</f>
        <v>#REF!</v>
      </c>
      <c r="AT82" s="157" t="e">
        <f>#REF!-'IS 3Q2022'!AT82</f>
        <v>#REF!</v>
      </c>
      <c r="AU82" s="157" t="e">
        <f>#REF!-'IS 3Q2022'!AU82</f>
        <v>#REF!</v>
      </c>
      <c r="AV82" s="61" t="e">
        <f>#REF!-'IS 3Q2022'!AV82</f>
        <v>#REF!</v>
      </c>
    </row>
    <row r="83" spans="1:48" s="8" customFormat="1" outlineLevel="1" x14ac:dyDescent="0.3">
      <c r="B83" s="597" t="s">
        <v>117</v>
      </c>
      <c r="C83" s="598"/>
      <c r="D83" s="117" t="e">
        <f>#REF!-'IS 3Q2022'!D83</f>
        <v>#REF!</v>
      </c>
      <c r="E83" s="117" t="e">
        <f>#REF!-'IS 3Q2022'!E83</f>
        <v>#REF!</v>
      </c>
      <c r="F83" s="117" t="e">
        <f>#REF!-'IS 3Q2022'!F83</f>
        <v>#REF!</v>
      </c>
      <c r="G83" s="117" t="e">
        <f>#REF!-'IS 3Q2022'!G83</f>
        <v>#REF!</v>
      </c>
      <c r="H83" s="192" t="e">
        <f>#REF!-'IS 3Q2022'!H83</f>
        <v>#REF!</v>
      </c>
      <c r="I83" s="117" t="e">
        <f>#REF!-'IS 3Q2022'!I83</f>
        <v>#REF!</v>
      </c>
      <c r="J83" s="117" t="e">
        <f>#REF!-'IS 3Q2022'!J83</f>
        <v>#REF!</v>
      </c>
      <c r="K83" s="117" t="e">
        <f>#REF!-'IS 3Q2022'!K83</f>
        <v>#REF!</v>
      </c>
      <c r="L83" s="117" t="e">
        <f>#REF!-'IS 3Q2022'!L83</f>
        <v>#REF!</v>
      </c>
      <c r="M83" s="192" t="e">
        <f>#REF!-'IS 3Q2022'!M83</f>
        <v>#REF!</v>
      </c>
      <c r="N83" s="117" t="e">
        <f>#REF!-'IS 3Q2022'!N83</f>
        <v>#REF!</v>
      </c>
      <c r="O83" s="67" t="e">
        <f>#REF!-'IS 3Q2022'!O83</f>
        <v>#REF!</v>
      </c>
      <c r="P83" s="67" t="e">
        <f>#REF!-'IS 3Q2022'!P83</f>
        <v>#REF!</v>
      </c>
      <c r="Q83" s="67" t="e">
        <f>#REF!-'IS 3Q2022'!Q83</f>
        <v>#REF!</v>
      </c>
      <c r="R83" s="192" t="e">
        <f>#REF!-'IS 3Q2022'!R83</f>
        <v>#REF!</v>
      </c>
      <c r="S83" s="67" t="e">
        <f>#REF!-'IS 3Q2022'!S83</f>
        <v>#REF!</v>
      </c>
      <c r="T83" s="67" t="e">
        <f>#REF!-'IS 3Q2022'!T83</f>
        <v>#REF!</v>
      </c>
      <c r="U83" s="67" t="e">
        <f>#REF!-'IS 3Q2022'!U83</f>
        <v>#REF!</v>
      </c>
      <c r="V83" s="67" t="e">
        <f>#REF!-'IS 3Q2022'!V83</f>
        <v>#REF!</v>
      </c>
      <c r="W83" s="253" t="e">
        <f>#REF!-'IS 3Q2022'!W83</f>
        <v>#REF!</v>
      </c>
      <c r="X83" s="67" t="e">
        <f>#REF!-'IS 3Q2022'!X83</f>
        <v>#REF!</v>
      </c>
      <c r="Y83" s="67" t="e">
        <f>#REF!-'IS 3Q2022'!Y83</f>
        <v>#REF!</v>
      </c>
      <c r="Z83" s="67" t="e">
        <f>#REF!-'IS 3Q2022'!Z83</f>
        <v>#REF!</v>
      </c>
      <c r="AA83" s="67" t="e">
        <f>#REF!-'IS 3Q2022'!AA83</f>
        <v>#REF!</v>
      </c>
      <c r="AB83" s="192" t="e">
        <f>#REF!-'IS 3Q2022'!AB83</f>
        <v>#REF!</v>
      </c>
      <c r="AC83" s="67" t="e">
        <f>#REF!-'IS 3Q2022'!AC83</f>
        <v>#REF!</v>
      </c>
      <c r="AD83" s="67" t="e">
        <f>#REF!-'IS 3Q2022'!AD83</f>
        <v>#REF!</v>
      </c>
      <c r="AE83" s="67" t="e">
        <f>#REF!-'IS 3Q2022'!AE83</f>
        <v>#REF!</v>
      </c>
      <c r="AF83" s="67" t="e">
        <f>#REF!-'IS 3Q2022'!AF83</f>
        <v>#REF!</v>
      </c>
      <c r="AG83" s="192" t="e">
        <f>#REF!-'IS 3Q2022'!AG83</f>
        <v>#REF!</v>
      </c>
      <c r="AH83" s="67" t="e">
        <f>#REF!-'IS 3Q2022'!AH83</f>
        <v>#REF!</v>
      </c>
      <c r="AI83" s="67" t="e">
        <f>#REF!-'IS 3Q2022'!AI83</f>
        <v>#REF!</v>
      </c>
      <c r="AJ83" s="67" t="e">
        <f>#REF!-'IS 3Q2022'!AJ83</f>
        <v>#REF!</v>
      </c>
      <c r="AK83" s="67" t="e">
        <f>#REF!-'IS 3Q2022'!AK83</f>
        <v>#REF!</v>
      </c>
      <c r="AL83" s="192" t="e">
        <f>#REF!-'IS 3Q2022'!AL83</f>
        <v>#REF!</v>
      </c>
      <c r="AM83" s="67" t="e">
        <f>#REF!-'IS 3Q2022'!AM83</f>
        <v>#REF!</v>
      </c>
      <c r="AN83" s="67" t="e">
        <f>#REF!-'IS 3Q2022'!AN83</f>
        <v>#REF!</v>
      </c>
      <c r="AO83" s="67" t="e">
        <f>#REF!-'IS 3Q2022'!AO83</f>
        <v>#REF!</v>
      </c>
      <c r="AP83" s="67" t="e">
        <f>#REF!-'IS 3Q2022'!AP83</f>
        <v>#REF!</v>
      </c>
      <c r="AQ83" s="192" t="e">
        <f>#REF!-'IS 3Q2022'!AQ83</f>
        <v>#REF!</v>
      </c>
      <c r="AR83" s="67" t="e">
        <f>#REF!-'IS 3Q2022'!AR83</f>
        <v>#REF!</v>
      </c>
      <c r="AS83" s="67" t="e">
        <f>#REF!-'IS 3Q2022'!AS83</f>
        <v>#REF!</v>
      </c>
      <c r="AT83" s="67" t="e">
        <f>#REF!-'IS 3Q2022'!AT83</f>
        <v>#REF!</v>
      </c>
      <c r="AU83" s="67" t="e">
        <f>#REF!-'IS 3Q2022'!AU83</f>
        <v>#REF!</v>
      </c>
      <c r="AV83" s="192" t="e">
        <f>#REF!-'IS 3Q2022'!AV83</f>
        <v>#REF!</v>
      </c>
    </row>
    <row r="84" spans="1:48" outlineLevel="1" x14ac:dyDescent="0.3">
      <c r="B84" s="180" t="s">
        <v>47</v>
      </c>
      <c r="C84" s="201"/>
      <c r="D84" s="101" t="e">
        <f>#REF!-'IS 3Q2022'!D84</f>
        <v>#REF!</v>
      </c>
      <c r="E84" s="101" t="e">
        <f>#REF!-'IS 3Q2022'!E84</f>
        <v>#REF!</v>
      </c>
      <c r="F84" s="101" t="e">
        <f>#REF!-'IS 3Q2022'!F84</f>
        <v>#REF!</v>
      </c>
      <c r="G84" s="101" t="e">
        <f>#REF!-'IS 3Q2022'!G84</f>
        <v>#REF!</v>
      </c>
      <c r="H84" s="122" t="e">
        <f>#REF!-'IS 3Q2022'!H84</f>
        <v>#REF!</v>
      </c>
      <c r="I84" s="101" t="e">
        <f>#REF!-'IS 3Q2022'!I84</f>
        <v>#REF!</v>
      </c>
      <c r="J84" s="101" t="e">
        <f>#REF!-'IS 3Q2022'!J84</f>
        <v>#REF!</v>
      </c>
      <c r="K84" s="101" t="e">
        <f>#REF!-'IS 3Q2022'!K84</f>
        <v>#REF!</v>
      </c>
      <c r="L84" s="101" t="e">
        <f>#REF!-'IS 3Q2022'!L84</f>
        <v>#REF!</v>
      </c>
      <c r="M84" s="122" t="e">
        <f>#REF!-'IS 3Q2022'!M84</f>
        <v>#REF!</v>
      </c>
      <c r="N84" s="101" t="e">
        <f>#REF!-'IS 3Q2022'!N84</f>
        <v>#REF!</v>
      </c>
      <c r="O84" s="101" t="e">
        <f>#REF!-'IS 3Q2022'!O84</f>
        <v>#REF!</v>
      </c>
      <c r="P84" s="101" t="e">
        <f>#REF!-'IS 3Q2022'!P84</f>
        <v>#REF!</v>
      </c>
      <c r="Q84" s="101" t="e">
        <f>#REF!-'IS 3Q2022'!Q84</f>
        <v>#REF!</v>
      </c>
      <c r="R84" s="122" t="e">
        <f>#REF!-'IS 3Q2022'!R84</f>
        <v>#REF!</v>
      </c>
      <c r="S84" s="101" t="e">
        <f>#REF!-'IS 3Q2022'!S84</f>
        <v>#REF!</v>
      </c>
      <c r="T84" s="101" t="e">
        <f>#REF!-'IS 3Q2022'!T84</f>
        <v>#REF!</v>
      </c>
      <c r="U84" s="101" t="e">
        <f>#REF!-'IS 3Q2022'!U84</f>
        <v>#REF!</v>
      </c>
      <c r="V84" s="33" t="e">
        <f>#REF!-'IS 3Q2022'!V84</f>
        <v>#REF!</v>
      </c>
      <c r="W84" s="122" t="e">
        <f>#REF!-'IS 3Q2022'!W84</f>
        <v>#REF!</v>
      </c>
      <c r="X84" s="33" t="e">
        <f>#REF!-'IS 3Q2022'!X84</f>
        <v>#REF!</v>
      </c>
      <c r="Y84" s="33" t="e">
        <f>#REF!-'IS 3Q2022'!Y84</f>
        <v>#REF!</v>
      </c>
      <c r="Z84" s="33" t="e">
        <f>#REF!-'IS 3Q2022'!Z84</f>
        <v>#REF!</v>
      </c>
      <c r="AA84" s="33" t="e">
        <f>#REF!-'IS 3Q2022'!AA84</f>
        <v>#REF!</v>
      </c>
      <c r="AB84" s="122" t="e">
        <f>#REF!-'IS 3Q2022'!AB84</f>
        <v>#REF!</v>
      </c>
      <c r="AC84" s="33" t="e">
        <f>#REF!-'IS 3Q2022'!AC84</f>
        <v>#REF!</v>
      </c>
      <c r="AD84" s="33" t="e">
        <f>#REF!-'IS 3Q2022'!AD84</f>
        <v>#REF!</v>
      </c>
      <c r="AE84" s="33" t="e">
        <f>#REF!-'IS 3Q2022'!AE84</f>
        <v>#REF!</v>
      </c>
      <c r="AF84" s="33" t="e">
        <f>#REF!-'IS 3Q2022'!AF84</f>
        <v>#REF!</v>
      </c>
      <c r="AG84" s="122" t="e">
        <f>#REF!-'IS 3Q2022'!AG84</f>
        <v>#REF!</v>
      </c>
      <c r="AH84" s="33" t="e">
        <f>#REF!-'IS 3Q2022'!AH84</f>
        <v>#REF!</v>
      </c>
      <c r="AI84" s="33" t="e">
        <f>#REF!-'IS 3Q2022'!AI84</f>
        <v>#REF!</v>
      </c>
      <c r="AJ84" s="33" t="e">
        <f>#REF!-'IS 3Q2022'!AJ84</f>
        <v>#REF!</v>
      </c>
      <c r="AK84" s="33" t="e">
        <f>#REF!-'IS 3Q2022'!AK84</f>
        <v>#REF!</v>
      </c>
      <c r="AL84" s="122" t="e">
        <f>#REF!-'IS 3Q2022'!AL84</f>
        <v>#REF!</v>
      </c>
      <c r="AM84" s="33" t="e">
        <f>#REF!-'IS 3Q2022'!AM84</f>
        <v>#REF!</v>
      </c>
      <c r="AN84" s="33" t="e">
        <f>#REF!-'IS 3Q2022'!AN84</f>
        <v>#REF!</v>
      </c>
      <c r="AO84" s="33" t="e">
        <f>#REF!-'IS 3Q2022'!AO84</f>
        <v>#REF!</v>
      </c>
      <c r="AP84" s="33" t="e">
        <f>#REF!-'IS 3Q2022'!AP84</f>
        <v>#REF!</v>
      </c>
      <c r="AQ84" s="122" t="e">
        <f>#REF!-'IS 3Q2022'!AQ84</f>
        <v>#REF!</v>
      </c>
      <c r="AR84" s="33" t="e">
        <f>#REF!-'IS 3Q2022'!AR84</f>
        <v>#REF!</v>
      </c>
      <c r="AS84" s="33" t="e">
        <f>#REF!-'IS 3Q2022'!AS84</f>
        <v>#REF!</v>
      </c>
      <c r="AT84" s="33" t="e">
        <f>#REF!-'IS 3Q2022'!AT84</f>
        <v>#REF!</v>
      </c>
      <c r="AU84" s="33" t="e">
        <f>#REF!-'IS 3Q2022'!AU84</f>
        <v>#REF!</v>
      </c>
      <c r="AV84" s="122" t="e">
        <f>#REF!-'IS 3Q2022'!AV84</f>
        <v>#REF!</v>
      </c>
    </row>
    <row r="85" spans="1:48" outlineLevel="1" x14ac:dyDescent="0.3">
      <c r="B85" s="180" t="s">
        <v>49</v>
      </c>
      <c r="C85" s="201"/>
      <c r="D85" s="16" t="e">
        <f>#REF!-'IS 3Q2022'!D85</f>
        <v>#REF!</v>
      </c>
      <c r="E85" s="16" t="e">
        <f>#REF!-'IS 3Q2022'!E85</f>
        <v>#REF!</v>
      </c>
      <c r="F85" s="16" t="e">
        <f>#REF!-'IS 3Q2022'!F85</f>
        <v>#REF!</v>
      </c>
      <c r="G85" s="16" t="e">
        <f>#REF!-'IS 3Q2022'!G85</f>
        <v>#REF!</v>
      </c>
      <c r="H85" s="26" t="e">
        <f>#REF!-'IS 3Q2022'!H85</f>
        <v>#REF!</v>
      </c>
      <c r="I85" s="16" t="e">
        <f>#REF!-'IS 3Q2022'!I85</f>
        <v>#REF!</v>
      </c>
      <c r="J85" s="16" t="e">
        <f>#REF!-'IS 3Q2022'!J85</f>
        <v>#REF!</v>
      </c>
      <c r="K85" s="16" t="e">
        <f>#REF!-'IS 3Q2022'!K85</f>
        <v>#REF!</v>
      </c>
      <c r="L85" s="16" t="e">
        <f>#REF!-'IS 3Q2022'!L85</f>
        <v>#REF!</v>
      </c>
      <c r="M85" s="6" t="e">
        <f>#REF!-'IS 3Q2022'!M85</f>
        <v>#REF!</v>
      </c>
      <c r="N85" s="16" t="e">
        <f>#REF!-'IS 3Q2022'!N85</f>
        <v>#REF!</v>
      </c>
      <c r="O85" s="16" t="e">
        <f>#REF!-'IS 3Q2022'!O85</f>
        <v>#REF!</v>
      </c>
      <c r="P85" s="16" t="e">
        <f>#REF!-'IS 3Q2022'!P85</f>
        <v>#REF!</v>
      </c>
      <c r="Q85" s="16" t="e">
        <f>#REF!-'IS 3Q2022'!Q85</f>
        <v>#REF!</v>
      </c>
      <c r="R85" s="6" t="e">
        <f>#REF!-'IS 3Q2022'!R85</f>
        <v>#REF!</v>
      </c>
      <c r="S85" s="16" t="e">
        <f>#REF!-'IS 3Q2022'!S85</f>
        <v>#REF!</v>
      </c>
      <c r="T85" s="16" t="e">
        <f>#REF!-'IS 3Q2022'!T85</f>
        <v>#REF!</v>
      </c>
      <c r="U85" s="16" t="e">
        <f>#REF!-'IS 3Q2022'!U85</f>
        <v>#REF!</v>
      </c>
      <c r="V85" s="16" t="e">
        <f>#REF!-'IS 3Q2022'!V85</f>
        <v>#REF!</v>
      </c>
      <c r="W85" s="130" t="e">
        <f>#REF!-'IS 3Q2022'!W85</f>
        <v>#REF!</v>
      </c>
      <c r="X85" s="16" t="e">
        <f>#REF!-'IS 3Q2022'!X85</f>
        <v>#REF!</v>
      </c>
      <c r="Y85" s="16" t="e">
        <f>#REF!-'IS 3Q2022'!Y85</f>
        <v>#REF!</v>
      </c>
      <c r="Z85" s="16" t="e">
        <f>#REF!-'IS 3Q2022'!Z85</f>
        <v>#REF!</v>
      </c>
      <c r="AA85" s="16" t="e">
        <f>#REF!-'IS 3Q2022'!AA85</f>
        <v>#REF!</v>
      </c>
      <c r="AB85" s="6" t="e">
        <f>#REF!-'IS 3Q2022'!AB85</f>
        <v>#REF!</v>
      </c>
      <c r="AC85" s="16" t="e">
        <f>#REF!-'IS 3Q2022'!AC85</f>
        <v>#REF!</v>
      </c>
      <c r="AD85" s="16" t="e">
        <f>#REF!-'IS 3Q2022'!AD85</f>
        <v>#REF!</v>
      </c>
      <c r="AE85" s="16" t="e">
        <f>#REF!-'IS 3Q2022'!AE85</f>
        <v>#REF!</v>
      </c>
      <c r="AF85" s="16" t="e">
        <f>#REF!-'IS 3Q2022'!AF85</f>
        <v>#REF!</v>
      </c>
      <c r="AG85" s="6" t="e">
        <f>#REF!-'IS 3Q2022'!AG85</f>
        <v>#REF!</v>
      </c>
      <c r="AH85" s="16" t="e">
        <f>#REF!-'IS 3Q2022'!AH85</f>
        <v>#REF!</v>
      </c>
      <c r="AI85" s="16" t="e">
        <f>#REF!-'IS 3Q2022'!AI85</f>
        <v>#REF!</v>
      </c>
      <c r="AJ85" s="16" t="e">
        <f>#REF!-'IS 3Q2022'!AJ85</f>
        <v>#REF!</v>
      </c>
      <c r="AK85" s="16" t="e">
        <f>#REF!-'IS 3Q2022'!AK85</f>
        <v>#REF!</v>
      </c>
      <c r="AL85" s="6" t="e">
        <f>#REF!-'IS 3Q2022'!AL85</f>
        <v>#REF!</v>
      </c>
      <c r="AM85" s="16" t="e">
        <f>#REF!-'IS 3Q2022'!AM85</f>
        <v>#REF!</v>
      </c>
      <c r="AN85" s="16" t="e">
        <f>#REF!-'IS 3Q2022'!AN85</f>
        <v>#REF!</v>
      </c>
      <c r="AO85" s="16" t="e">
        <f>#REF!-'IS 3Q2022'!AO85</f>
        <v>#REF!</v>
      </c>
      <c r="AP85" s="16" t="e">
        <f>#REF!-'IS 3Q2022'!AP85</f>
        <v>#REF!</v>
      </c>
      <c r="AQ85" s="6" t="e">
        <f>#REF!-'IS 3Q2022'!AQ85</f>
        <v>#REF!</v>
      </c>
      <c r="AR85" s="16" t="e">
        <f>#REF!-'IS 3Q2022'!AR85</f>
        <v>#REF!</v>
      </c>
      <c r="AS85" s="16" t="e">
        <f>#REF!-'IS 3Q2022'!AS85</f>
        <v>#REF!</v>
      </c>
      <c r="AT85" s="16" t="e">
        <f>#REF!-'IS 3Q2022'!AT85</f>
        <v>#REF!</v>
      </c>
      <c r="AU85" s="16" t="e">
        <f>#REF!-'IS 3Q2022'!AU85</f>
        <v>#REF!</v>
      </c>
      <c r="AV85" s="6" t="e">
        <f>#REF!-'IS 3Q2022'!AV85</f>
        <v>#REF!</v>
      </c>
    </row>
    <row r="86" spans="1:48" outlineLevel="1" x14ac:dyDescent="0.3">
      <c r="B86" s="180" t="s">
        <v>48</v>
      </c>
      <c r="C86" s="201"/>
      <c r="D86" s="43" t="e">
        <f>#REF!-'IS 3Q2022'!D86</f>
        <v>#REF!</v>
      </c>
      <c r="E86" s="114" t="e">
        <f>#REF!-'IS 3Q2022'!E86</f>
        <v>#REF!</v>
      </c>
      <c r="F86" s="114" t="e">
        <f>#REF!-'IS 3Q2022'!F86</f>
        <v>#REF!</v>
      </c>
      <c r="G86" s="114" t="e">
        <f>#REF!-'IS 3Q2022'!G86</f>
        <v>#REF!</v>
      </c>
      <c r="H86" s="26" t="e">
        <f>#REF!-'IS 3Q2022'!H86</f>
        <v>#REF!</v>
      </c>
      <c r="I86" s="114" t="e">
        <f>#REF!-'IS 3Q2022'!I86</f>
        <v>#REF!</v>
      </c>
      <c r="J86" s="114" t="e">
        <f>#REF!-'IS 3Q2022'!J86</f>
        <v>#REF!</v>
      </c>
      <c r="K86" s="114" t="e">
        <f>#REF!-'IS 3Q2022'!K86</f>
        <v>#REF!</v>
      </c>
      <c r="L86" s="114" t="e">
        <f>#REF!-'IS 3Q2022'!L86</f>
        <v>#REF!</v>
      </c>
      <c r="M86" s="6" t="e">
        <f>#REF!-'IS 3Q2022'!M86</f>
        <v>#REF!</v>
      </c>
      <c r="N86" s="114" t="e">
        <f>#REF!-'IS 3Q2022'!N86</f>
        <v>#REF!</v>
      </c>
      <c r="O86" s="114" t="e">
        <f>#REF!-'IS 3Q2022'!O86</f>
        <v>#REF!</v>
      </c>
      <c r="P86" s="114" t="e">
        <f>#REF!-'IS 3Q2022'!P86</f>
        <v>#REF!</v>
      </c>
      <c r="Q86" s="114" t="e">
        <f>#REF!-'IS 3Q2022'!Q86</f>
        <v>#REF!</v>
      </c>
      <c r="R86" s="6" t="e">
        <f>#REF!-'IS 3Q2022'!R86</f>
        <v>#REF!</v>
      </c>
      <c r="S86" s="114" t="e">
        <f>#REF!-'IS 3Q2022'!S86</f>
        <v>#REF!</v>
      </c>
      <c r="T86" s="114" t="e">
        <f>#REF!-'IS 3Q2022'!T86</f>
        <v>#REF!</v>
      </c>
      <c r="U86" s="114" t="e">
        <f>#REF!-'IS 3Q2022'!U86</f>
        <v>#REF!</v>
      </c>
      <c r="V86" s="62" t="e">
        <f>#REF!-'IS 3Q2022'!V86</f>
        <v>#REF!</v>
      </c>
      <c r="W86" s="130" t="e">
        <f>#REF!-'IS 3Q2022'!W86</f>
        <v>#REF!</v>
      </c>
      <c r="X86" s="62" t="e">
        <f>#REF!-'IS 3Q2022'!X86</f>
        <v>#REF!</v>
      </c>
      <c r="Y86" s="62" t="e">
        <f>#REF!-'IS 3Q2022'!Y86</f>
        <v>#REF!</v>
      </c>
      <c r="Z86" s="62" t="e">
        <f>#REF!-'IS 3Q2022'!Z86</f>
        <v>#REF!</v>
      </c>
      <c r="AA86" s="62" t="e">
        <f>#REF!-'IS 3Q2022'!AA86</f>
        <v>#REF!</v>
      </c>
      <c r="AB86" s="6" t="e">
        <f>#REF!-'IS 3Q2022'!AB86</f>
        <v>#REF!</v>
      </c>
      <c r="AC86" s="62" t="e">
        <f>#REF!-'IS 3Q2022'!AC86</f>
        <v>#REF!</v>
      </c>
      <c r="AD86" s="62" t="e">
        <f>#REF!-'IS 3Q2022'!AD86</f>
        <v>#REF!</v>
      </c>
      <c r="AE86" s="62" t="e">
        <f>#REF!-'IS 3Q2022'!AE86</f>
        <v>#REF!</v>
      </c>
      <c r="AF86" s="62" t="e">
        <f>#REF!-'IS 3Q2022'!AF86</f>
        <v>#REF!</v>
      </c>
      <c r="AG86" s="6" t="e">
        <f>#REF!-'IS 3Q2022'!AG86</f>
        <v>#REF!</v>
      </c>
      <c r="AH86" s="62" t="e">
        <f>#REF!-'IS 3Q2022'!AH86</f>
        <v>#REF!</v>
      </c>
      <c r="AI86" s="62" t="e">
        <f>#REF!-'IS 3Q2022'!AI86</f>
        <v>#REF!</v>
      </c>
      <c r="AJ86" s="62" t="e">
        <f>#REF!-'IS 3Q2022'!AJ86</f>
        <v>#REF!</v>
      </c>
      <c r="AK86" s="62" t="e">
        <f>#REF!-'IS 3Q2022'!AK86</f>
        <v>#REF!</v>
      </c>
      <c r="AL86" s="6" t="e">
        <f>#REF!-'IS 3Q2022'!AL86</f>
        <v>#REF!</v>
      </c>
      <c r="AM86" s="62" t="e">
        <f>#REF!-'IS 3Q2022'!AM86</f>
        <v>#REF!</v>
      </c>
      <c r="AN86" s="62" t="e">
        <f>#REF!-'IS 3Q2022'!AN86</f>
        <v>#REF!</v>
      </c>
      <c r="AO86" s="62" t="e">
        <f>#REF!-'IS 3Q2022'!AO86</f>
        <v>#REF!</v>
      </c>
      <c r="AP86" s="62" t="e">
        <f>#REF!-'IS 3Q2022'!AP86</f>
        <v>#REF!</v>
      </c>
      <c r="AQ86" s="6" t="e">
        <f>#REF!-'IS 3Q2022'!AQ86</f>
        <v>#REF!</v>
      </c>
      <c r="AR86" s="62" t="e">
        <f>#REF!-'IS 3Q2022'!AR86</f>
        <v>#REF!</v>
      </c>
      <c r="AS86" s="62" t="e">
        <f>#REF!-'IS 3Q2022'!AS86</f>
        <v>#REF!</v>
      </c>
      <c r="AT86" s="62" t="e">
        <f>#REF!-'IS 3Q2022'!AT86</f>
        <v>#REF!</v>
      </c>
      <c r="AU86" s="62" t="e">
        <f>#REF!-'IS 3Q2022'!AU86</f>
        <v>#REF!</v>
      </c>
      <c r="AV86" s="6" t="e">
        <f>#REF!-'IS 3Q2022'!AV86</f>
        <v>#REF!</v>
      </c>
    </row>
    <row r="87" spans="1:48" s="8" customFormat="1" outlineLevel="1" x14ac:dyDescent="0.3">
      <c r="B87" s="603" t="s">
        <v>118</v>
      </c>
      <c r="C87" s="604"/>
      <c r="D87" s="115" t="e">
        <f>#REF!-'IS 3Q2022'!D87</f>
        <v>#REF!</v>
      </c>
      <c r="E87" s="115" t="e">
        <f>#REF!-'IS 3Q2022'!E87</f>
        <v>#REF!</v>
      </c>
      <c r="F87" s="115" t="e">
        <f>#REF!-'IS 3Q2022'!F87</f>
        <v>#REF!</v>
      </c>
      <c r="G87" s="115" t="e">
        <f>#REF!-'IS 3Q2022'!G87</f>
        <v>#REF!</v>
      </c>
      <c r="H87" s="73" t="e">
        <f>#REF!-'IS 3Q2022'!H87</f>
        <v>#REF!</v>
      </c>
      <c r="I87" s="115" t="e">
        <f>#REF!-'IS 3Q2022'!I87</f>
        <v>#REF!</v>
      </c>
      <c r="J87" s="115" t="e">
        <f>#REF!-'IS 3Q2022'!J87</f>
        <v>#REF!</v>
      </c>
      <c r="K87" s="115" t="e">
        <f>#REF!-'IS 3Q2022'!K87</f>
        <v>#REF!</v>
      </c>
      <c r="L87" s="72" t="e">
        <f>#REF!-'IS 3Q2022'!L87</f>
        <v>#REF!</v>
      </c>
      <c r="M87" s="73" t="e">
        <f>#REF!-'IS 3Q2022'!M87</f>
        <v>#REF!</v>
      </c>
      <c r="N87" s="72" t="e">
        <f>#REF!-'IS 3Q2022'!N87</f>
        <v>#REF!</v>
      </c>
      <c r="O87" s="72" t="e">
        <f>#REF!-'IS 3Q2022'!O87</f>
        <v>#REF!</v>
      </c>
      <c r="P87" s="72" t="e">
        <f>#REF!-'IS 3Q2022'!P87</f>
        <v>#REF!</v>
      </c>
      <c r="Q87" s="115" t="e">
        <f>#REF!-'IS 3Q2022'!Q87</f>
        <v>#REF!</v>
      </c>
      <c r="R87" s="73" t="e">
        <f>#REF!-'IS 3Q2022'!R87</f>
        <v>#REF!</v>
      </c>
      <c r="S87" s="72" t="e">
        <f>#REF!-'IS 3Q2022'!S87</f>
        <v>#REF!</v>
      </c>
      <c r="T87" s="72" t="e">
        <f>#REF!-'IS 3Q2022'!T87</f>
        <v>#REF!</v>
      </c>
      <c r="U87" s="72" t="e">
        <f>#REF!-'IS 3Q2022'!U87</f>
        <v>#REF!</v>
      </c>
      <c r="V87" s="72" t="e">
        <f>#REF!-'IS 3Q2022'!V87</f>
        <v>#REF!</v>
      </c>
      <c r="W87" s="213" t="e">
        <f>#REF!-'IS 3Q2022'!W87</f>
        <v>#REF!</v>
      </c>
      <c r="X87" s="72" t="e">
        <f>#REF!-'IS 3Q2022'!X87</f>
        <v>#REF!</v>
      </c>
      <c r="Y87" s="72" t="e">
        <f>#REF!-'IS 3Q2022'!Y87</f>
        <v>#REF!</v>
      </c>
      <c r="Z87" s="72" t="e">
        <f>#REF!-'IS 3Q2022'!Z87</f>
        <v>#REF!</v>
      </c>
      <c r="AA87" s="72" t="e">
        <f>#REF!-'IS 3Q2022'!AA87</f>
        <v>#REF!</v>
      </c>
      <c r="AB87" s="73" t="e">
        <f>#REF!-'IS 3Q2022'!AB87</f>
        <v>#REF!</v>
      </c>
      <c r="AC87" s="72" t="e">
        <f>#REF!-'IS 3Q2022'!AC87</f>
        <v>#REF!</v>
      </c>
      <c r="AD87" s="72" t="e">
        <f>#REF!-'IS 3Q2022'!AD87</f>
        <v>#REF!</v>
      </c>
      <c r="AE87" s="72" t="e">
        <f>#REF!-'IS 3Q2022'!AE87</f>
        <v>#REF!</v>
      </c>
      <c r="AF87" s="72" t="e">
        <f>#REF!-'IS 3Q2022'!AF87</f>
        <v>#REF!</v>
      </c>
      <c r="AG87" s="73" t="e">
        <f>#REF!-'IS 3Q2022'!AG87</f>
        <v>#REF!</v>
      </c>
      <c r="AH87" s="72" t="e">
        <f>#REF!-'IS 3Q2022'!AH87</f>
        <v>#REF!</v>
      </c>
      <c r="AI87" s="72" t="e">
        <f>#REF!-'IS 3Q2022'!AI87</f>
        <v>#REF!</v>
      </c>
      <c r="AJ87" s="72" t="e">
        <f>#REF!-'IS 3Q2022'!AJ87</f>
        <v>#REF!</v>
      </c>
      <c r="AK87" s="72" t="e">
        <f>#REF!-'IS 3Q2022'!AK87</f>
        <v>#REF!</v>
      </c>
      <c r="AL87" s="73" t="e">
        <f>#REF!-'IS 3Q2022'!AL87</f>
        <v>#REF!</v>
      </c>
      <c r="AM87" s="72" t="e">
        <f>#REF!-'IS 3Q2022'!AM87</f>
        <v>#REF!</v>
      </c>
      <c r="AN87" s="72" t="e">
        <f>#REF!-'IS 3Q2022'!AN87</f>
        <v>#REF!</v>
      </c>
      <c r="AO87" s="72" t="e">
        <f>#REF!-'IS 3Q2022'!AO87</f>
        <v>#REF!</v>
      </c>
      <c r="AP87" s="72" t="e">
        <f>#REF!-'IS 3Q2022'!AP87</f>
        <v>#REF!</v>
      </c>
      <c r="AQ87" s="73" t="e">
        <f>#REF!-'IS 3Q2022'!AQ87</f>
        <v>#REF!</v>
      </c>
      <c r="AR87" s="72" t="e">
        <f>#REF!-'IS 3Q2022'!AR87</f>
        <v>#REF!</v>
      </c>
      <c r="AS87" s="72" t="e">
        <f>#REF!-'IS 3Q2022'!AS87</f>
        <v>#REF!</v>
      </c>
      <c r="AT87" s="72" t="e">
        <f>#REF!-'IS 3Q2022'!AT87</f>
        <v>#REF!</v>
      </c>
      <c r="AU87" s="72" t="e">
        <f>#REF!-'IS 3Q2022'!AU87</f>
        <v>#REF!</v>
      </c>
      <c r="AV87" s="73" t="e">
        <f>#REF!-'IS 3Q2022'!AV87</f>
        <v>#REF!</v>
      </c>
    </row>
    <row r="88" spans="1:48" s="8" customFormat="1" outlineLevel="1" x14ac:dyDescent="0.3">
      <c r="B88" s="587" t="s">
        <v>119</v>
      </c>
      <c r="C88" s="588"/>
      <c r="D88" s="103" t="e">
        <f>#REF!-'IS 3Q2022'!D88</f>
        <v>#REF!</v>
      </c>
      <c r="E88" s="103" t="e">
        <f>#REF!-'IS 3Q2022'!E88</f>
        <v>#REF!</v>
      </c>
      <c r="F88" s="103" t="e">
        <f>#REF!-'IS 3Q2022'!F88</f>
        <v>#REF!</v>
      </c>
      <c r="G88" s="103" t="e">
        <f>#REF!-'IS 3Q2022'!G88</f>
        <v>#REF!</v>
      </c>
      <c r="H88" s="97" t="e">
        <f>#REF!-'IS 3Q2022'!H88</f>
        <v>#REF!</v>
      </c>
      <c r="I88" s="103" t="e">
        <f>#REF!-'IS 3Q2022'!I88</f>
        <v>#REF!</v>
      </c>
      <c r="J88" s="103" t="e">
        <f>#REF!-'IS 3Q2022'!J88</f>
        <v>#REF!</v>
      </c>
      <c r="K88" s="103" t="e">
        <f>#REF!-'IS 3Q2022'!K88</f>
        <v>#REF!</v>
      </c>
      <c r="L88" s="50" t="e">
        <f>#REF!-'IS 3Q2022'!L88</f>
        <v>#REF!</v>
      </c>
      <c r="M88" s="97" t="e">
        <f>#REF!-'IS 3Q2022'!M88</f>
        <v>#REF!</v>
      </c>
      <c r="N88" s="50" t="e">
        <f>#REF!-'IS 3Q2022'!N88</f>
        <v>#REF!</v>
      </c>
      <c r="O88" s="50" t="e">
        <f>#REF!-'IS 3Q2022'!O88</f>
        <v>#REF!</v>
      </c>
      <c r="P88" s="50" t="e">
        <f>#REF!-'IS 3Q2022'!P88</f>
        <v>#REF!</v>
      </c>
      <c r="Q88" s="103" t="e">
        <f>#REF!-'IS 3Q2022'!Q88</f>
        <v>#REF!</v>
      </c>
      <c r="R88" s="97" t="e">
        <f>#REF!-'IS 3Q2022'!R88</f>
        <v>#REF!</v>
      </c>
      <c r="S88" s="50" t="e">
        <f>#REF!-'IS 3Q2022'!S88</f>
        <v>#REF!</v>
      </c>
      <c r="T88" s="50" t="e">
        <f>#REF!-'IS 3Q2022'!T88</f>
        <v>#REF!</v>
      </c>
      <c r="U88" s="50" t="e">
        <f>#REF!-'IS 3Q2022'!U88</f>
        <v>#REF!</v>
      </c>
      <c r="V88" s="50" t="e">
        <f>#REF!-'IS 3Q2022'!V88</f>
        <v>#REF!</v>
      </c>
      <c r="W88" s="132" t="e">
        <f>#REF!-'IS 3Q2022'!W88</f>
        <v>#REF!</v>
      </c>
      <c r="X88" s="50" t="e">
        <f>#REF!-'IS 3Q2022'!X88</f>
        <v>#REF!</v>
      </c>
      <c r="Y88" s="50" t="e">
        <f>#REF!-'IS 3Q2022'!Y88</f>
        <v>#REF!</v>
      </c>
      <c r="Z88" s="50" t="e">
        <f>#REF!-'IS 3Q2022'!Z88</f>
        <v>#REF!</v>
      </c>
      <c r="AA88" s="50" t="e">
        <f>#REF!-'IS 3Q2022'!AA88</f>
        <v>#REF!</v>
      </c>
      <c r="AB88" s="97" t="e">
        <f>#REF!-'IS 3Q2022'!AB88</f>
        <v>#REF!</v>
      </c>
      <c r="AC88" s="50" t="e">
        <f>#REF!-'IS 3Q2022'!AC88</f>
        <v>#REF!</v>
      </c>
      <c r="AD88" s="50" t="e">
        <f>#REF!-'IS 3Q2022'!AD88</f>
        <v>#REF!</v>
      </c>
      <c r="AE88" s="50" t="e">
        <f>#REF!-'IS 3Q2022'!AE88</f>
        <v>#REF!</v>
      </c>
      <c r="AF88" s="50" t="e">
        <f>#REF!-'IS 3Q2022'!AF88</f>
        <v>#REF!</v>
      </c>
      <c r="AG88" s="97" t="e">
        <f>#REF!-'IS 3Q2022'!AG88</f>
        <v>#REF!</v>
      </c>
      <c r="AH88" s="50" t="e">
        <f>#REF!-'IS 3Q2022'!AH88</f>
        <v>#REF!</v>
      </c>
      <c r="AI88" s="50" t="e">
        <f>#REF!-'IS 3Q2022'!AI88</f>
        <v>#REF!</v>
      </c>
      <c r="AJ88" s="50" t="e">
        <f>#REF!-'IS 3Q2022'!AJ88</f>
        <v>#REF!</v>
      </c>
      <c r="AK88" s="50" t="e">
        <f>#REF!-'IS 3Q2022'!AK88</f>
        <v>#REF!</v>
      </c>
      <c r="AL88" s="97" t="e">
        <f>#REF!-'IS 3Q2022'!AL88</f>
        <v>#REF!</v>
      </c>
      <c r="AM88" s="50" t="e">
        <f>#REF!-'IS 3Q2022'!AM88</f>
        <v>#REF!</v>
      </c>
      <c r="AN88" s="50" t="e">
        <f>#REF!-'IS 3Q2022'!AN88</f>
        <v>#REF!</v>
      </c>
      <c r="AO88" s="50" t="e">
        <f>#REF!-'IS 3Q2022'!AO88</f>
        <v>#REF!</v>
      </c>
      <c r="AP88" s="50" t="e">
        <f>#REF!-'IS 3Q2022'!AP88</f>
        <v>#REF!</v>
      </c>
      <c r="AQ88" s="97" t="e">
        <f>#REF!-'IS 3Q2022'!AQ88</f>
        <v>#REF!</v>
      </c>
      <c r="AR88" s="50" t="e">
        <f>#REF!-'IS 3Q2022'!AR88</f>
        <v>#REF!</v>
      </c>
      <c r="AS88" s="50" t="e">
        <f>#REF!-'IS 3Q2022'!AS88</f>
        <v>#REF!</v>
      </c>
      <c r="AT88" s="50" t="e">
        <f>#REF!-'IS 3Q2022'!AT88</f>
        <v>#REF!</v>
      </c>
      <c r="AU88" s="50" t="e">
        <f>#REF!-'IS 3Q2022'!AU88</f>
        <v>#REF!</v>
      </c>
      <c r="AV88" s="97" t="e">
        <f>#REF!-'IS 3Q2022'!AV88</f>
        <v>#REF!</v>
      </c>
    </row>
    <row r="89" spans="1:48" outlineLevel="1" x14ac:dyDescent="0.3">
      <c r="B89" s="69" t="s">
        <v>50</v>
      </c>
      <c r="C89" s="70"/>
      <c r="D89" s="120" t="e">
        <f>#REF!-'IS 3Q2022'!D89</f>
        <v>#REF!</v>
      </c>
      <c r="E89" s="120" t="e">
        <f>#REF!-'IS 3Q2022'!E89</f>
        <v>#REF!</v>
      </c>
      <c r="F89" s="120" t="e">
        <f>#REF!-'IS 3Q2022'!F89</f>
        <v>#REF!</v>
      </c>
      <c r="G89" s="120" t="e">
        <f>#REF!-'IS 3Q2022'!G89</f>
        <v>#REF!</v>
      </c>
      <c r="H89" s="58" t="e">
        <f>#REF!-'IS 3Q2022'!H89</f>
        <v>#REF!</v>
      </c>
      <c r="I89" s="120" t="e">
        <f>#REF!-'IS 3Q2022'!I89</f>
        <v>#REF!</v>
      </c>
      <c r="J89" s="120" t="e">
        <f>#REF!-'IS 3Q2022'!J89</f>
        <v>#REF!</v>
      </c>
      <c r="K89" s="120" t="e">
        <f>#REF!-'IS 3Q2022'!K89</f>
        <v>#REF!</v>
      </c>
      <c r="L89" s="120" t="e">
        <f>#REF!-'IS 3Q2022'!L89</f>
        <v>#REF!</v>
      </c>
      <c r="M89" s="58" t="e">
        <f>#REF!-'IS 3Q2022'!M89</f>
        <v>#REF!</v>
      </c>
      <c r="N89" s="120" t="e">
        <f>#REF!-'IS 3Q2022'!N89</f>
        <v>#REF!</v>
      </c>
      <c r="O89" s="120" t="e">
        <f>#REF!-'IS 3Q2022'!O89</f>
        <v>#REF!</v>
      </c>
      <c r="P89" s="120" t="e">
        <f>#REF!-'IS 3Q2022'!P89</f>
        <v>#REF!</v>
      </c>
      <c r="Q89" s="120" t="e">
        <f>#REF!-'IS 3Q2022'!Q89</f>
        <v>#REF!</v>
      </c>
      <c r="R89" s="58" t="e">
        <f>#REF!-'IS 3Q2022'!R89</f>
        <v>#REF!</v>
      </c>
      <c r="S89" s="120" t="e">
        <f>#REF!-'IS 3Q2022'!S89</f>
        <v>#REF!</v>
      </c>
      <c r="T89" s="120" t="e">
        <f>#REF!-'IS 3Q2022'!T89</f>
        <v>#REF!</v>
      </c>
      <c r="U89" s="120" t="e">
        <f>#REF!-'IS 3Q2022'!U89</f>
        <v>#REF!</v>
      </c>
      <c r="V89" s="71" t="e">
        <f>#REF!-'IS 3Q2022'!V89</f>
        <v>#REF!</v>
      </c>
      <c r="W89" s="155" t="e">
        <f>#REF!-'IS 3Q2022'!W89</f>
        <v>#REF!</v>
      </c>
      <c r="X89" s="71" t="e">
        <f>#REF!-'IS 3Q2022'!X89</f>
        <v>#REF!</v>
      </c>
      <c r="Y89" s="71" t="e">
        <f>#REF!-'IS 3Q2022'!Y89</f>
        <v>#REF!</v>
      </c>
      <c r="Z89" s="71" t="e">
        <f>#REF!-'IS 3Q2022'!Z89</f>
        <v>#REF!</v>
      </c>
      <c r="AA89" s="71" t="e">
        <f>#REF!-'IS 3Q2022'!AA89</f>
        <v>#REF!</v>
      </c>
      <c r="AB89" s="58" t="e">
        <f>#REF!-'IS 3Q2022'!AB89</f>
        <v>#REF!</v>
      </c>
      <c r="AC89" s="71" t="e">
        <f>#REF!-'IS 3Q2022'!AC89</f>
        <v>#REF!</v>
      </c>
      <c r="AD89" s="71" t="e">
        <f>#REF!-'IS 3Q2022'!AD89</f>
        <v>#REF!</v>
      </c>
      <c r="AE89" s="71" t="e">
        <f>#REF!-'IS 3Q2022'!AE89</f>
        <v>#REF!</v>
      </c>
      <c r="AF89" s="71" t="e">
        <f>#REF!-'IS 3Q2022'!AF89</f>
        <v>#REF!</v>
      </c>
      <c r="AG89" s="58" t="e">
        <f>#REF!-'IS 3Q2022'!AG89</f>
        <v>#REF!</v>
      </c>
      <c r="AH89" s="71" t="e">
        <f>#REF!-'IS 3Q2022'!AH89</f>
        <v>#REF!</v>
      </c>
      <c r="AI89" s="71" t="e">
        <f>#REF!-'IS 3Q2022'!AI89</f>
        <v>#REF!</v>
      </c>
      <c r="AJ89" s="71" t="e">
        <f>#REF!-'IS 3Q2022'!AJ89</f>
        <v>#REF!</v>
      </c>
      <c r="AK89" s="71" t="e">
        <f>#REF!-'IS 3Q2022'!AK89</f>
        <v>#REF!</v>
      </c>
      <c r="AL89" s="58" t="e">
        <f>#REF!-'IS 3Q2022'!AL89</f>
        <v>#REF!</v>
      </c>
      <c r="AM89" s="71" t="e">
        <f>#REF!-'IS 3Q2022'!AM89</f>
        <v>#REF!</v>
      </c>
      <c r="AN89" s="71" t="e">
        <f>#REF!-'IS 3Q2022'!AN89</f>
        <v>#REF!</v>
      </c>
      <c r="AO89" s="71" t="e">
        <f>#REF!-'IS 3Q2022'!AO89</f>
        <v>#REF!</v>
      </c>
      <c r="AP89" s="71" t="e">
        <f>#REF!-'IS 3Q2022'!AP89</f>
        <v>#REF!</v>
      </c>
      <c r="AQ89" s="58" t="e">
        <f>#REF!-'IS 3Q2022'!AQ89</f>
        <v>#REF!</v>
      </c>
      <c r="AR89" s="71" t="e">
        <f>#REF!-'IS 3Q2022'!AR89</f>
        <v>#REF!</v>
      </c>
      <c r="AS89" s="71" t="e">
        <f>#REF!-'IS 3Q2022'!AS89</f>
        <v>#REF!</v>
      </c>
      <c r="AT89" s="71" t="e">
        <f>#REF!-'IS 3Q2022'!AT89</f>
        <v>#REF!</v>
      </c>
      <c r="AU89" s="71" t="e">
        <f>#REF!-'IS 3Q2022'!AU89</f>
        <v>#REF!</v>
      </c>
      <c r="AV89" s="58" t="e">
        <f>#REF!-'IS 3Q2022'!AV89</f>
        <v>#REF!</v>
      </c>
    </row>
    <row r="90" spans="1:48" outlineLevel="1" x14ac:dyDescent="0.3">
      <c r="B90" s="180" t="s">
        <v>120</v>
      </c>
      <c r="C90" s="207"/>
      <c r="D90" s="101" t="e">
        <f>#REF!-'IS 3Q2022'!D90</f>
        <v>#REF!</v>
      </c>
      <c r="E90" s="101" t="e">
        <f>#REF!-'IS 3Q2022'!E90</f>
        <v>#REF!</v>
      </c>
      <c r="F90" s="101" t="e">
        <f>#REF!-'IS 3Q2022'!F90</f>
        <v>#REF!</v>
      </c>
      <c r="G90" s="101" t="e">
        <f>#REF!-'IS 3Q2022'!G90</f>
        <v>#REF!</v>
      </c>
      <c r="H90" s="6" t="e">
        <f>#REF!-'IS 3Q2022'!H90</f>
        <v>#REF!</v>
      </c>
      <c r="I90" s="101" t="e">
        <f>#REF!-'IS 3Q2022'!I90</f>
        <v>#REF!</v>
      </c>
      <c r="J90" s="101" t="e">
        <f>#REF!-'IS 3Q2022'!J90</f>
        <v>#REF!</v>
      </c>
      <c r="K90" s="101" t="e">
        <f>#REF!-'IS 3Q2022'!K90</f>
        <v>#REF!</v>
      </c>
      <c r="L90" s="16" t="e">
        <f>#REF!-'IS 3Q2022'!L90</f>
        <v>#REF!</v>
      </c>
      <c r="M90" s="6" t="e">
        <f>#REF!-'IS 3Q2022'!M90</f>
        <v>#REF!</v>
      </c>
      <c r="N90" s="16" t="e">
        <f>#REF!-'IS 3Q2022'!N90</f>
        <v>#REF!</v>
      </c>
      <c r="O90" s="16" t="e">
        <f>#REF!-'IS 3Q2022'!O90</f>
        <v>#REF!</v>
      </c>
      <c r="P90" s="16" t="e">
        <f>#REF!-'IS 3Q2022'!P90</f>
        <v>#REF!</v>
      </c>
      <c r="Q90" s="16" t="e">
        <f>#REF!-'IS 3Q2022'!Q90</f>
        <v>#REF!</v>
      </c>
      <c r="R90" s="6" t="e">
        <f>#REF!-'IS 3Q2022'!R90</f>
        <v>#REF!</v>
      </c>
      <c r="S90" s="16" t="e">
        <f>#REF!-'IS 3Q2022'!S90</f>
        <v>#REF!</v>
      </c>
      <c r="T90" s="16" t="e">
        <f>#REF!-'IS 3Q2022'!T90</f>
        <v>#REF!</v>
      </c>
      <c r="U90" s="16" t="e">
        <f>#REF!-'IS 3Q2022'!U90</f>
        <v>#REF!</v>
      </c>
      <c r="V90" s="16" t="e">
        <f>#REF!-'IS 3Q2022'!V90</f>
        <v>#REF!</v>
      </c>
      <c r="W90" s="254" t="e">
        <f>#REF!-'IS 3Q2022'!W90</f>
        <v>#REF!</v>
      </c>
      <c r="X90" s="16" t="e">
        <f>#REF!-'IS 3Q2022'!X90</f>
        <v>#REF!</v>
      </c>
      <c r="Y90" s="16" t="e">
        <f>#REF!-'IS 3Q2022'!Y90</f>
        <v>#REF!</v>
      </c>
      <c r="Z90" s="16" t="e">
        <f>#REF!-'IS 3Q2022'!Z90</f>
        <v>#REF!</v>
      </c>
      <c r="AA90" s="16" t="e">
        <f>#REF!-'IS 3Q2022'!AA90</f>
        <v>#REF!</v>
      </c>
      <c r="AB90" s="254" t="e">
        <f>#REF!-'IS 3Q2022'!AB90</f>
        <v>#REF!</v>
      </c>
      <c r="AC90" s="16" t="e">
        <f>#REF!-'IS 3Q2022'!AC90</f>
        <v>#REF!</v>
      </c>
      <c r="AD90" s="16" t="e">
        <f>#REF!-'IS 3Q2022'!AD90</f>
        <v>#REF!</v>
      </c>
      <c r="AE90" s="16" t="e">
        <f>#REF!-'IS 3Q2022'!AE90</f>
        <v>#REF!</v>
      </c>
      <c r="AF90" s="16" t="e">
        <f>#REF!-'IS 3Q2022'!AF90</f>
        <v>#REF!</v>
      </c>
      <c r="AG90" s="254" t="e">
        <f>#REF!-'IS 3Q2022'!AG90</f>
        <v>#REF!</v>
      </c>
      <c r="AH90" s="16" t="e">
        <f>#REF!-'IS 3Q2022'!AH90</f>
        <v>#REF!</v>
      </c>
      <c r="AI90" s="16" t="e">
        <f>#REF!-'IS 3Q2022'!AI90</f>
        <v>#REF!</v>
      </c>
      <c r="AJ90" s="16" t="e">
        <f>#REF!-'IS 3Q2022'!AJ90</f>
        <v>#REF!</v>
      </c>
      <c r="AK90" s="16" t="e">
        <f>#REF!-'IS 3Q2022'!AK90</f>
        <v>#REF!</v>
      </c>
      <c r="AL90" s="254" t="e">
        <f>#REF!-'IS 3Q2022'!AL90</f>
        <v>#REF!</v>
      </c>
      <c r="AM90" s="16" t="e">
        <f>#REF!-'IS 3Q2022'!AM90</f>
        <v>#REF!</v>
      </c>
      <c r="AN90" s="16" t="e">
        <f>#REF!-'IS 3Q2022'!AN90</f>
        <v>#REF!</v>
      </c>
      <c r="AO90" s="16" t="e">
        <f>#REF!-'IS 3Q2022'!AO90</f>
        <v>#REF!</v>
      </c>
      <c r="AP90" s="16" t="e">
        <f>#REF!-'IS 3Q2022'!AP90</f>
        <v>#REF!</v>
      </c>
      <c r="AQ90" s="254" t="e">
        <f>#REF!-'IS 3Q2022'!AQ90</f>
        <v>#REF!</v>
      </c>
      <c r="AR90" s="16" t="e">
        <f>#REF!-'IS 3Q2022'!AR90</f>
        <v>#REF!</v>
      </c>
      <c r="AS90" s="16" t="e">
        <f>#REF!-'IS 3Q2022'!AS90</f>
        <v>#REF!</v>
      </c>
      <c r="AT90" s="16" t="e">
        <f>#REF!-'IS 3Q2022'!AT90</f>
        <v>#REF!</v>
      </c>
      <c r="AU90" s="16" t="e">
        <f>#REF!-'IS 3Q2022'!AU90</f>
        <v>#REF!</v>
      </c>
      <c r="AV90" s="254" t="e">
        <f>#REF!-'IS 3Q2022'!AV90</f>
        <v>#REF!</v>
      </c>
    </row>
    <row r="91" spans="1:48" outlineLevel="1" x14ac:dyDescent="0.3">
      <c r="B91" s="180" t="s">
        <v>121</v>
      </c>
      <c r="C91" s="207"/>
      <c r="D91" s="101" t="e">
        <f>#REF!-'IS 3Q2022'!D91</f>
        <v>#REF!</v>
      </c>
      <c r="E91" s="101" t="e">
        <f>#REF!-'IS 3Q2022'!E91</f>
        <v>#REF!</v>
      </c>
      <c r="F91" s="101" t="e">
        <f>#REF!-'IS 3Q2022'!F91</f>
        <v>#REF!</v>
      </c>
      <c r="G91" s="101" t="e">
        <f>#REF!-'IS 3Q2022'!G91</f>
        <v>#REF!</v>
      </c>
      <c r="H91" s="122" t="e">
        <f>#REF!-'IS 3Q2022'!H91</f>
        <v>#REF!</v>
      </c>
      <c r="I91" s="101" t="e">
        <f>#REF!-'IS 3Q2022'!I91</f>
        <v>#REF!</v>
      </c>
      <c r="J91" s="101" t="e">
        <f>#REF!-'IS 3Q2022'!J91</f>
        <v>#REF!</v>
      </c>
      <c r="K91" s="101" t="e">
        <f>#REF!-'IS 3Q2022'!K91</f>
        <v>#REF!</v>
      </c>
      <c r="L91" s="101" t="e">
        <f>#REF!-'IS 3Q2022'!L91</f>
        <v>#REF!</v>
      </c>
      <c r="M91" s="122" t="e">
        <f>#REF!-'IS 3Q2022'!M91</f>
        <v>#REF!</v>
      </c>
      <c r="N91" s="101" t="e">
        <f>#REF!-'IS 3Q2022'!N91</f>
        <v>#REF!</v>
      </c>
      <c r="O91" s="101" t="e">
        <f>#REF!-'IS 3Q2022'!O91</f>
        <v>#REF!</v>
      </c>
      <c r="P91" s="101" t="e">
        <f>#REF!-'IS 3Q2022'!P91</f>
        <v>#REF!</v>
      </c>
      <c r="Q91" s="101" t="e">
        <f>#REF!-'IS 3Q2022'!Q91</f>
        <v>#REF!</v>
      </c>
      <c r="R91" s="122" t="e">
        <f>#REF!-'IS 3Q2022'!R91</f>
        <v>#REF!</v>
      </c>
      <c r="S91" s="16" t="e">
        <f>#REF!-'IS 3Q2022'!S91</f>
        <v>#REF!</v>
      </c>
      <c r="T91" s="16" t="e">
        <f>#REF!-'IS 3Q2022'!T91</f>
        <v>#REF!</v>
      </c>
      <c r="U91" s="16" t="e">
        <f>#REF!-'IS 3Q2022'!U91</f>
        <v>#REF!</v>
      </c>
      <c r="V91" s="16" t="e">
        <f>#REF!-'IS 3Q2022'!V91</f>
        <v>#REF!</v>
      </c>
      <c r="W91" s="122" t="e">
        <f>#REF!-'IS 3Q2022'!W91</f>
        <v>#REF!</v>
      </c>
      <c r="X91" s="16" t="e">
        <f>#REF!-'IS 3Q2022'!X91</f>
        <v>#REF!</v>
      </c>
      <c r="Y91" s="16" t="e">
        <f>#REF!-'IS 3Q2022'!Y91</f>
        <v>#REF!</v>
      </c>
      <c r="Z91" s="16" t="e">
        <f>#REF!-'IS 3Q2022'!Z91</f>
        <v>#REF!</v>
      </c>
      <c r="AA91" s="16" t="e">
        <f>#REF!-'IS 3Q2022'!AA91</f>
        <v>#REF!</v>
      </c>
      <c r="AB91" s="26" t="e">
        <f>#REF!-'IS 3Q2022'!AB91</f>
        <v>#REF!</v>
      </c>
      <c r="AC91" s="16" t="e">
        <f>#REF!-'IS 3Q2022'!AC91</f>
        <v>#REF!</v>
      </c>
      <c r="AD91" s="16" t="e">
        <f>#REF!-'IS 3Q2022'!AD91</f>
        <v>#REF!</v>
      </c>
      <c r="AE91" s="16" t="e">
        <f>#REF!-'IS 3Q2022'!AE91</f>
        <v>#REF!</v>
      </c>
      <c r="AF91" s="16" t="e">
        <f>#REF!-'IS 3Q2022'!AF91</f>
        <v>#REF!</v>
      </c>
      <c r="AG91" s="26" t="e">
        <f>#REF!-'IS 3Q2022'!AG91</f>
        <v>#REF!</v>
      </c>
      <c r="AH91" s="16" t="e">
        <f>#REF!-'IS 3Q2022'!AH91</f>
        <v>#REF!</v>
      </c>
      <c r="AI91" s="16" t="e">
        <f>#REF!-'IS 3Q2022'!AI91</f>
        <v>#REF!</v>
      </c>
      <c r="AJ91" s="16" t="e">
        <f>#REF!-'IS 3Q2022'!AJ91</f>
        <v>#REF!</v>
      </c>
      <c r="AK91" s="16" t="e">
        <f>#REF!-'IS 3Q2022'!AK91</f>
        <v>#REF!</v>
      </c>
      <c r="AL91" s="26" t="e">
        <f>#REF!-'IS 3Q2022'!AL91</f>
        <v>#REF!</v>
      </c>
      <c r="AM91" s="16" t="e">
        <f>#REF!-'IS 3Q2022'!AM91</f>
        <v>#REF!</v>
      </c>
      <c r="AN91" s="16" t="e">
        <f>#REF!-'IS 3Q2022'!AN91</f>
        <v>#REF!</v>
      </c>
      <c r="AO91" s="16" t="e">
        <f>#REF!-'IS 3Q2022'!AO91</f>
        <v>#REF!</v>
      </c>
      <c r="AP91" s="16" t="e">
        <f>#REF!-'IS 3Q2022'!AP91</f>
        <v>#REF!</v>
      </c>
      <c r="AQ91" s="26" t="e">
        <f>#REF!-'IS 3Q2022'!AQ91</f>
        <v>#REF!</v>
      </c>
      <c r="AR91" s="16" t="e">
        <f>#REF!-'IS 3Q2022'!AR91</f>
        <v>#REF!</v>
      </c>
      <c r="AS91" s="16" t="e">
        <f>#REF!-'IS 3Q2022'!AS91</f>
        <v>#REF!</v>
      </c>
      <c r="AT91" s="16" t="e">
        <f>#REF!-'IS 3Q2022'!AT91</f>
        <v>#REF!</v>
      </c>
      <c r="AU91" s="16" t="e">
        <f>#REF!-'IS 3Q2022'!AU91</f>
        <v>#REF!</v>
      </c>
      <c r="AV91" s="26" t="e">
        <f>#REF!-'IS 3Q2022'!AV91</f>
        <v>#REF!</v>
      </c>
    </row>
    <row r="92" spans="1:48" outlineLevel="1" x14ac:dyDescent="0.3">
      <c r="B92" s="605" t="s">
        <v>122</v>
      </c>
      <c r="C92" s="606"/>
      <c r="D92" s="115" t="e">
        <f>#REF!-'IS 3Q2022'!D92</f>
        <v>#REF!</v>
      </c>
      <c r="E92" s="115" t="e">
        <f>#REF!-'IS 3Q2022'!E92</f>
        <v>#REF!</v>
      </c>
      <c r="F92" s="115" t="e">
        <f>#REF!-'IS 3Q2022'!F92</f>
        <v>#REF!</v>
      </c>
      <c r="G92" s="115" t="e">
        <f>#REF!-'IS 3Q2022'!G92</f>
        <v>#REF!</v>
      </c>
      <c r="H92" s="213" t="e">
        <f>#REF!-'IS 3Q2022'!H92</f>
        <v>#REF!</v>
      </c>
      <c r="I92" s="115" t="e">
        <f>#REF!-'IS 3Q2022'!I92</f>
        <v>#REF!</v>
      </c>
      <c r="J92" s="115" t="e">
        <f>#REF!-'IS 3Q2022'!J92</f>
        <v>#REF!</v>
      </c>
      <c r="K92" s="115" t="e">
        <f>#REF!-'IS 3Q2022'!K92</f>
        <v>#REF!</v>
      </c>
      <c r="L92" s="115" t="e">
        <f>#REF!-'IS 3Q2022'!L92</f>
        <v>#REF!</v>
      </c>
      <c r="M92" s="213" t="e">
        <f>#REF!-'IS 3Q2022'!M92</f>
        <v>#REF!</v>
      </c>
      <c r="N92" s="115" t="e">
        <f>#REF!-'IS 3Q2022'!N92</f>
        <v>#REF!</v>
      </c>
      <c r="O92" s="115" t="e">
        <f>#REF!-'IS 3Q2022'!O92</f>
        <v>#REF!</v>
      </c>
      <c r="P92" s="115" t="e">
        <f>#REF!-'IS 3Q2022'!P92</f>
        <v>#REF!</v>
      </c>
      <c r="Q92" s="115" t="e">
        <f>#REF!-'IS 3Q2022'!Q92</f>
        <v>#REF!</v>
      </c>
      <c r="R92" s="73" t="e">
        <f>#REF!-'IS 3Q2022'!R92</f>
        <v>#REF!</v>
      </c>
      <c r="S92" s="72" t="e">
        <f>#REF!-'IS 3Q2022'!S92</f>
        <v>#REF!</v>
      </c>
      <c r="T92" s="72" t="e">
        <f>#REF!-'IS 3Q2022'!T92</f>
        <v>#REF!</v>
      </c>
      <c r="U92" s="72" t="e">
        <f>#REF!-'IS 3Q2022'!U92</f>
        <v>#REF!</v>
      </c>
      <c r="V92" s="72" t="e">
        <f>#REF!-'IS 3Q2022'!V92</f>
        <v>#REF!</v>
      </c>
      <c r="W92" s="213" t="e">
        <f>#REF!-'IS 3Q2022'!W92</f>
        <v>#REF!</v>
      </c>
      <c r="X92" s="72" t="e">
        <f>#REF!-'IS 3Q2022'!X92</f>
        <v>#REF!</v>
      </c>
      <c r="Y92" s="72" t="e">
        <f>#REF!-'IS 3Q2022'!Y92</f>
        <v>#REF!</v>
      </c>
      <c r="Z92" s="72" t="e">
        <f>#REF!-'IS 3Q2022'!Z92</f>
        <v>#REF!</v>
      </c>
      <c r="AA92" s="72" t="e">
        <f>#REF!-'IS 3Q2022'!AA92</f>
        <v>#REF!</v>
      </c>
      <c r="AB92" s="73" t="e">
        <f>#REF!-'IS 3Q2022'!AB92</f>
        <v>#REF!</v>
      </c>
      <c r="AC92" s="72" t="e">
        <f>#REF!-'IS 3Q2022'!AC92</f>
        <v>#REF!</v>
      </c>
      <c r="AD92" s="72" t="e">
        <f>#REF!-'IS 3Q2022'!AD92</f>
        <v>#REF!</v>
      </c>
      <c r="AE92" s="72" t="e">
        <f>#REF!-'IS 3Q2022'!AE92</f>
        <v>#REF!</v>
      </c>
      <c r="AF92" s="72" t="e">
        <f>#REF!-'IS 3Q2022'!AF92</f>
        <v>#REF!</v>
      </c>
      <c r="AG92" s="73" t="e">
        <f>#REF!-'IS 3Q2022'!AG92</f>
        <v>#REF!</v>
      </c>
      <c r="AH92" s="72" t="e">
        <f>#REF!-'IS 3Q2022'!AH92</f>
        <v>#REF!</v>
      </c>
      <c r="AI92" s="72" t="e">
        <f>#REF!-'IS 3Q2022'!AI92</f>
        <v>#REF!</v>
      </c>
      <c r="AJ92" s="72" t="e">
        <f>#REF!-'IS 3Q2022'!AJ92</f>
        <v>#REF!</v>
      </c>
      <c r="AK92" s="72" t="e">
        <f>#REF!-'IS 3Q2022'!AK92</f>
        <v>#REF!</v>
      </c>
      <c r="AL92" s="73" t="e">
        <f>#REF!-'IS 3Q2022'!AL92</f>
        <v>#REF!</v>
      </c>
      <c r="AM92" s="72" t="e">
        <f>#REF!-'IS 3Q2022'!AM92</f>
        <v>#REF!</v>
      </c>
      <c r="AN92" s="72" t="e">
        <f>#REF!-'IS 3Q2022'!AN92</f>
        <v>#REF!</v>
      </c>
      <c r="AO92" s="72" t="e">
        <f>#REF!-'IS 3Q2022'!AO92</f>
        <v>#REF!</v>
      </c>
      <c r="AP92" s="72" t="e">
        <f>#REF!-'IS 3Q2022'!AP92</f>
        <v>#REF!</v>
      </c>
      <c r="AQ92" s="73" t="e">
        <f>#REF!-'IS 3Q2022'!AQ92</f>
        <v>#REF!</v>
      </c>
      <c r="AR92" s="72" t="e">
        <f>#REF!-'IS 3Q2022'!AR92</f>
        <v>#REF!</v>
      </c>
      <c r="AS92" s="72" t="e">
        <f>#REF!-'IS 3Q2022'!AS92</f>
        <v>#REF!</v>
      </c>
      <c r="AT92" s="72" t="e">
        <f>#REF!-'IS 3Q2022'!AT92</f>
        <v>#REF!</v>
      </c>
      <c r="AU92" s="72" t="e">
        <f>#REF!-'IS 3Q2022'!AU92</f>
        <v>#REF!</v>
      </c>
      <c r="AV92" s="73" t="e">
        <f>#REF!-'IS 3Q2022'!AV92</f>
        <v>#REF!</v>
      </c>
    </row>
    <row r="93" spans="1:48" outlineLevel="1" x14ac:dyDescent="0.3">
      <c r="B93" s="607" t="s">
        <v>100</v>
      </c>
      <c r="C93" s="608"/>
      <c r="D93" s="105" t="e">
        <f>#REF!-'IS 3Q2022'!D93</f>
        <v>#REF!</v>
      </c>
      <c r="E93" s="105" t="e">
        <f>#REF!-'IS 3Q2022'!E93</f>
        <v>#REF!</v>
      </c>
      <c r="F93" s="105" t="e">
        <f>#REF!-'IS 3Q2022'!F93</f>
        <v>#REF!</v>
      </c>
      <c r="G93" s="105" t="e">
        <f>#REF!-'IS 3Q2022'!G93</f>
        <v>#REF!</v>
      </c>
      <c r="H93" s="129" t="e">
        <f>#REF!-'IS 3Q2022'!H93</f>
        <v>#REF!</v>
      </c>
      <c r="I93" s="105" t="e">
        <f>#REF!-'IS 3Q2022'!I93</f>
        <v>#REF!</v>
      </c>
      <c r="J93" s="105" t="e">
        <f>#REF!-'IS 3Q2022'!J93</f>
        <v>#REF!</v>
      </c>
      <c r="K93" s="105" t="e">
        <f>#REF!-'IS 3Q2022'!K93</f>
        <v>#REF!</v>
      </c>
      <c r="L93" s="105" t="e">
        <f>#REF!-'IS 3Q2022'!L93</f>
        <v>#REF!</v>
      </c>
      <c r="M93" s="129" t="e">
        <f>#REF!-'IS 3Q2022'!M93</f>
        <v>#REF!</v>
      </c>
      <c r="N93" s="105" t="e">
        <f>#REF!-'IS 3Q2022'!N93</f>
        <v>#REF!</v>
      </c>
      <c r="O93" s="105" t="e">
        <f>#REF!-'IS 3Q2022'!O93</f>
        <v>#REF!</v>
      </c>
      <c r="P93" s="105" t="e">
        <f>#REF!-'IS 3Q2022'!P93</f>
        <v>#REF!</v>
      </c>
      <c r="Q93" s="105" t="e">
        <f>#REF!-'IS 3Q2022'!Q93</f>
        <v>#REF!</v>
      </c>
      <c r="R93" s="76" t="e">
        <f>#REF!-'IS 3Q2022'!R93</f>
        <v>#REF!</v>
      </c>
      <c r="S93" s="48" t="e">
        <f>#REF!-'IS 3Q2022'!S93</f>
        <v>#REF!</v>
      </c>
      <c r="T93" s="48" t="e">
        <f>#REF!-'IS 3Q2022'!T93</f>
        <v>#REF!</v>
      </c>
      <c r="U93" s="48" t="e">
        <f>#REF!-'IS 3Q2022'!U93</f>
        <v>#REF!</v>
      </c>
      <c r="V93" s="48" t="e">
        <f>#REF!-'IS 3Q2022'!V93</f>
        <v>#REF!</v>
      </c>
      <c r="W93" s="76" t="e">
        <f>#REF!-'IS 3Q2022'!W93</f>
        <v>#REF!</v>
      </c>
      <c r="X93" s="48" t="e">
        <f>#REF!-'IS 3Q2022'!X93</f>
        <v>#REF!</v>
      </c>
      <c r="Y93" s="48" t="e">
        <f>#REF!-'IS 3Q2022'!Y93</f>
        <v>#REF!</v>
      </c>
      <c r="Z93" s="48" t="e">
        <f>#REF!-'IS 3Q2022'!Z93</f>
        <v>#REF!</v>
      </c>
      <c r="AA93" s="48" t="e">
        <f>#REF!-'IS 3Q2022'!AA93</f>
        <v>#REF!</v>
      </c>
      <c r="AB93" s="76" t="e">
        <f>#REF!-'IS 3Q2022'!AB93</f>
        <v>#REF!</v>
      </c>
      <c r="AC93" s="48" t="e">
        <f>#REF!-'IS 3Q2022'!AC93</f>
        <v>#REF!</v>
      </c>
      <c r="AD93" s="48" t="e">
        <f>#REF!-'IS 3Q2022'!AD93</f>
        <v>#REF!</v>
      </c>
      <c r="AE93" s="48" t="e">
        <f>#REF!-'IS 3Q2022'!AE93</f>
        <v>#REF!</v>
      </c>
      <c r="AF93" s="48" t="e">
        <f>#REF!-'IS 3Q2022'!AF93</f>
        <v>#REF!</v>
      </c>
      <c r="AG93" s="76" t="e">
        <f>#REF!-'IS 3Q2022'!AG93</f>
        <v>#REF!</v>
      </c>
      <c r="AH93" s="48" t="e">
        <f>#REF!-'IS 3Q2022'!AH93</f>
        <v>#REF!</v>
      </c>
      <c r="AI93" s="48" t="e">
        <f>#REF!-'IS 3Q2022'!AI93</f>
        <v>#REF!</v>
      </c>
      <c r="AJ93" s="48" t="e">
        <f>#REF!-'IS 3Q2022'!AJ93</f>
        <v>#REF!</v>
      </c>
      <c r="AK93" s="48" t="e">
        <f>#REF!-'IS 3Q2022'!AK93</f>
        <v>#REF!</v>
      </c>
      <c r="AL93" s="76" t="e">
        <f>#REF!-'IS 3Q2022'!AL93</f>
        <v>#REF!</v>
      </c>
      <c r="AM93" s="48" t="e">
        <f>#REF!-'IS 3Q2022'!AM93</f>
        <v>#REF!</v>
      </c>
      <c r="AN93" s="48" t="e">
        <f>#REF!-'IS 3Q2022'!AN93</f>
        <v>#REF!</v>
      </c>
      <c r="AO93" s="48" t="e">
        <f>#REF!-'IS 3Q2022'!AO93</f>
        <v>#REF!</v>
      </c>
      <c r="AP93" s="48" t="e">
        <f>#REF!-'IS 3Q2022'!AP93</f>
        <v>#REF!</v>
      </c>
      <c r="AQ93" s="76" t="e">
        <f>#REF!-'IS 3Q2022'!AQ93</f>
        <v>#REF!</v>
      </c>
      <c r="AR93" s="48" t="e">
        <f>#REF!-'IS 3Q2022'!AR93</f>
        <v>#REF!</v>
      </c>
      <c r="AS93" s="48" t="e">
        <f>#REF!-'IS 3Q2022'!AS93</f>
        <v>#REF!</v>
      </c>
      <c r="AT93" s="48" t="e">
        <f>#REF!-'IS 3Q2022'!AT93</f>
        <v>#REF!</v>
      </c>
      <c r="AU93" s="48" t="e">
        <f>#REF!-'IS 3Q2022'!AU93</f>
        <v>#REF!</v>
      </c>
      <c r="AV93" s="76" t="e">
        <f>#REF!-'IS 3Q2022'!AV93</f>
        <v>#REF!</v>
      </c>
    </row>
    <row r="94" spans="1:48" s="183" customFormat="1" outlineLevel="1" x14ac:dyDescent="0.3">
      <c r="A94" s="238"/>
      <c r="B94" s="181" t="s">
        <v>151</v>
      </c>
      <c r="C94" s="182"/>
      <c r="D94" s="167" t="e">
        <f>#REF!-'IS 3Q2022'!D94</f>
        <v>#REF!</v>
      </c>
      <c r="E94" s="167" t="e">
        <f>#REF!-'IS 3Q2022'!E94</f>
        <v>#REF!</v>
      </c>
      <c r="F94" s="167" t="e">
        <f>#REF!-'IS 3Q2022'!F94</f>
        <v>#REF!</v>
      </c>
      <c r="G94" s="167" t="e">
        <f>#REF!-'IS 3Q2022'!G94</f>
        <v>#REF!</v>
      </c>
      <c r="H94" s="186" t="e">
        <f>#REF!-'IS 3Q2022'!H94</f>
        <v>#REF!</v>
      </c>
      <c r="I94" s="167" t="e">
        <f>#REF!-'IS 3Q2022'!I94</f>
        <v>#REF!</v>
      </c>
      <c r="J94" s="167" t="e">
        <f>#REF!-'IS 3Q2022'!J94</f>
        <v>#REF!</v>
      </c>
      <c r="K94" s="167" t="e">
        <f>#REF!-'IS 3Q2022'!K94</f>
        <v>#REF!</v>
      </c>
      <c r="L94" s="167" t="e">
        <f>#REF!-'IS 3Q2022'!L94</f>
        <v>#REF!</v>
      </c>
      <c r="M94" s="186" t="e">
        <f>#REF!-'IS 3Q2022'!M94</f>
        <v>#REF!</v>
      </c>
      <c r="N94" s="167" t="e">
        <f>#REF!-'IS 3Q2022'!N94</f>
        <v>#REF!</v>
      </c>
      <c r="O94" s="167" t="e">
        <f>#REF!-'IS 3Q2022'!O94</f>
        <v>#REF!</v>
      </c>
      <c r="P94" s="167" t="e">
        <f>#REF!-'IS 3Q2022'!P94</f>
        <v>#REF!</v>
      </c>
      <c r="Q94" s="167" t="e">
        <f>#REF!-'IS 3Q2022'!Q94</f>
        <v>#REF!</v>
      </c>
      <c r="R94" s="188" t="e">
        <f>#REF!-'IS 3Q2022'!R94</f>
        <v>#REF!</v>
      </c>
      <c r="S94" s="167" t="e">
        <f>#REF!-'IS 3Q2022'!S94</f>
        <v>#REF!</v>
      </c>
      <c r="T94" s="167" t="e">
        <f>#REF!-'IS 3Q2022'!T94</f>
        <v>#REF!</v>
      </c>
      <c r="U94" s="167" t="e">
        <f>#REF!-'IS 3Q2022'!U94</f>
        <v>#REF!</v>
      </c>
      <c r="V94" s="189" t="e">
        <f>#REF!-'IS 3Q2022'!V94</f>
        <v>#REF!</v>
      </c>
      <c r="W94" s="188" t="e">
        <f>#REF!-'IS 3Q2022'!W94</f>
        <v>#REF!</v>
      </c>
      <c r="X94" s="189" t="e">
        <f>#REF!-'IS 3Q2022'!X94</f>
        <v>#REF!</v>
      </c>
      <c r="Y94" s="189" t="e">
        <f>#REF!-'IS 3Q2022'!Y94</f>
        <v>#REF!</v>
      </c>
      <c r="Z94" s="189" t="e">
        <f>#REF!-'IS 3Q2022'!Z94</f>
        <v>#REF!</v>
      </c>
      <c r="AA94" s="189" t="e">
        <f>#REF!-'IS 3Q2022'!AA94</f>
        <v>#REF!</v>
      </c>
      <c r="AB94" s="188" t="e">
        <f>#REF!-'IS 3Q2022'!AB94</f>
        <v>#REF!</v>
      </c>
      <c r="AC94" s="189" t="e">
        <f>#REF!-'IS 3Q2022'!AC94</f>
        <v>#REF!</v>
      </c>
      <c r="AD94" s="189" t="e">
        <f>#REF!-'IS 3Q2022'!AD94</f>
        <v>#REF!</v>
      </c>
      <c r="AE94" s="189" t="e">
        <f>#REF!-'IS 3Q2022'!AE94</f>
        <v>#REF!</v>
      </c>
      <c r="AF94" s="189" t="e">
        <f>#REF!-'IS 3Q2022'!AF94</f>
        <v>#REF!</v>
      </c>
      <c r="AG94" s="188" t="e">
        <f>#REF!-'IS 3Q2022'!AG94</f>
        <v>#REF!</v>
      </c>
      <c r="AH94" s="189" t="e">
        <f>#REF!-'IS 3Q2022'!AH94</f>
        <v>#REF!</v>
      </c>
      <c r="AI94" s="189" t="e">
        <f>#REF!-'IS 3Q2022'!AI94</f>
        <v>#REF!</v>
      </c>
      <c r="AJ94" s="189" t="e">
        <f>#REF!-'IS 3Q2022'!AJ94</f>
        <v>#REF!</v>
      </c>
      <c r="AK94" s="189" t="e">
        <f>#REF!-'IS 3Q2022'!AK94</f>
        <v>#REF!</v>
      </c>
      <c r="AL94" s="188" t="e">
        <f>#REF!-'IS 3Q2022'!AL94</f>
        <v>#REF!</v>
      </c>
      <c r="AM94" s="189" t="e">
        <f>#REF!-'IS 3Q2022'!AM94</f>
        <v>#REF!</v>
      </c>
      <c r="AN94" s="189" t="e">
        <f>#REF!-'IS 3Q2022'!AN94</f>
        <v>#REF!</v>
      </c>
      <c r="AO94" s="189" t="e">
        <f>#REF!-'IS 3Q2022'!AO94</f>
        <v>#REF!</v>
      </c>
      <c r="AP94" s="189" t="e">
        <f>#REF!-'IS 3Q2022'!AP94</f>
        <v>#REF!</v>
      </c>
      <c r="AQ94" s="188" t="e">
        <f>#REF!-'IS 3Q2022'!AQ94</f>
        <v>#REF!</v>
      </c>
      <c r="AR94" s="189" t="e">
        <f>#REF!-'IS 3Q2022'!AR94</f>
        <v>#REF!</v>
      </c>
      <c r="AS94" s="189" t="e">
        <f>#REF!-'IS 3Q2022'!AS94</f>
        <v>#REF!</v>
      </c>
      <c r="AT94" s="189" t="e">
        <f>#REF!-'IS 3Q2022'!AT94</f>
        <v>#REF!</v>
      </c>
      <c r="AU94" s="189" t="e">
        <f>#REF!-'IS 3Q2022'!AU94</f>
        <v>#REF!</v>
      </c>
      <c r="AV94" s="188" t="e">
        <f>#REF!-'IS 3Q2022'!AV94</f>
        <v>#REF!</v>
      </c>
    </row>
    <row r="95" spans="1:48" outlineLevel="1" x14ac:dyDescent="0.3">
      <c r="B95" s="180" t="s">
        <v>32</v>
      </c>
      <c r="C95" s="18"/>
      <c r="D95" s="105" t="e">
        <f>#REF!-'IS 3Q2022'!D95</f>
        <v>#REF!</v>
      </c>
      <c r="E95" s="105" t="e">
        <f>#REF!-'IS 3Q2022'!E95</f>
        <v>#REF!</v>
      </c>
      <c r="F95" s="105" t="e">
        <f>#REF!-'IS 3Q2022'!F95</f>
        <v>#REF!</v>
      </c>
      <c r="G95" s="105" t="e">
        <f>#REF!-'IS 3Q2022'!G95</f>
        <v>#REF!</v>
      </c>
      <c r="H95" s="170" t="e">
        <f>#REF!-'IS 3Q2022'!H95</f>
        <v>#REF!</v>
      </c>
      <c r="I95" s="105" t="e">
        <f>#REF!-'IS 3Q2022'!I95</f>
        <v>#REF!</v>
      </c>
      <c r="J95" s="105" t="e">
        <f>#REF!-'IS 3Q2022'!J95</f>
        <v>#REF!</v>
      </c>
      <c r="K95" s="105" t="e">
        <f>#REF!-'IS 3Q2022'!K95</f>
        <v>#REF!</v>
      </c>
      <c r="L95" s="105" t="e">
        <f>#REF!-'IS 3Q2022'!L95</f>
        <v>#REF!</v>
      </c>
      <c r="M95" s="170" t="e">
        <f>#REF!-'IS 3Q2022'!M95</f>
        <v>#REF!</v>
      </c>
      <c r="N95" s="105" t="e">
        <f>#REF!-'IS 3Q2022'!N95</f>
        <v>#REF!</v>
      </c>
      <c r="O95" s="105" t="e">
        <f>#REF!-'IS 3Q2022'!O95</f>
        <v>#REF!</v>
      </c>
      <c r="P95" s="105" t="e">
        <f>#REF!-'IS 3Q2022'!P95</f>
        <v>#REF!</v>
      </c>
      <c r="Q95" s="105" t="e">
        <f>#REF!-'IS 3Q2022'!Q95</f>
        <v>#REF!</v>
      </c>
      <c r="R95" s="49" t="e">
        <f>#REF!-'IS 3Q2022'!R95</f>
        <v>#REF!</v>
      </c>
      <c r="S95" s="48" t="e">
        <f>#REF!-'IS 3Q2022'!S95</f>
        <v>#REF!</v>
      </c>
      <c r="T95" s="48" t="e">
        <f>#REF!-'IS 3Q2022'!T95</f>
        <v>#REF!</v>
      </c>
      <c r="U95" s="48" t="e">
        <f>#REF!-'IS 3Q2022'!U95</f>
        <v>#REF!</v>
      </c>
      <c r="V95" s="48" t="e">
        <f>#REF!-'IS 3Q2022'!V95</f>
        <v>#REF!</v>
      </c>
      <c r="W95" s="49" t="e">
        <f>#REF!-'IS 3Q2022'!W95</f>
        <v>#REF!</v>
      </c>
      <c r="X95" s="48" t="e">
        <f>#REF!-'IS 3Q2022'!X95</f>
        <v>#REF!</v>
      </c>
      <c r="Y95" s="48" t="e">
        <f>#REF!-'IS 3Q2022'!Y95</f>
        <v>#REF!</v>
      </c>
      <c r="Z95" s="48" t="e">
        <f>#REF!-'IS 3Q2022'!Z95</f>
        <v>#REF!</v>
      </c>
      <c r="AA95" s="48" t="e">
        <f>#REF!-'IS 3Q2022'!AA95</f>
        <v>#REF!</v>
      </c>
      <c r="AB95" s="49" t="e">
        <f>#REF!-'IS 3Q2022'!AB95</f>
        <v>#REF!</v>
      </c>
      <c r="AC95" s="48" t="e">
        <f>#REF!-'IS 3Q2022'!AC95</f>
        <v>#REF!</v>
      </c>
      <c r="AD95" s="48" t="e">
        <f>#REF!-'IS 3Q2022'!AD95</f>
        <v>#REF!</v>
      </c>
      <c r="AE95" s="48" t="e">
        <f>#REF!-'IS 3Q2022'!AE95</f>
        <v>#REF!</v>
      </c>
      <c r="AF95" s="48" t="e">
        <f>#REF!-'IS 3Q2022'!AF95</f>
        <v>#REF!</v>
      </c>
      <c r="AG95" s="49" t="e">
        <f>#REF!-'IS 3Q2022'!AG95</f>
        <v>#REF!</v>
      </c>
      <c r="AH95" s="48" t="e">
        <f>#REF!-'IS 3Q2022'!AH95</f>
        <v>#REF!</v>
      </c>
      <c r="AI95" s="48" t="e">
        <f>#REF!-'IS 3Q2022'!AI95</f>
        <v>#REF!</v>
      </c>
      <c r="AJ95" s="48" t="e">
        <f>#REF!-'IS 3Q2022'!AJ95</f>
        <v>#REF!</v>
      </c>
      <c r="AK95" s="48" t="e">
        <f>#REF!-'IS 3Q2022'!AK95</f>
        <v>#REF!</v>
      </c>
      <c r="AL95" s="49" t="e">
        <f>#REF!-'IS 3Q2022'!AL95</f>
        <v>#REF!</v>
      </c>
      <c r="AM95" s="48" t="e">
        <f>#REF!-'IS 3Q2022'!AM95</f>
        <v>#REF!</v>
      </c>
      <c r="AN95" s="48" t="e">
        <f>#REF!-'IS 3Q2022'!AN95</f>
        <v>#REF!</v>
      </c>
      <c r="AO95" s="48" t="e">
        <f>#REF!-'IS 3Q2022'!AO95</f>
        <v>#REF!</v>
      </c>
      <c r="AP95" s="48" t="e">
        <f>#REF!-'IS 3Q2022'!AP95</f>
        <v>#REF!</v>
      </c>
      <c r="AQ95" s="49" t="e">
        <f>#REF!-'IS 3Q2022'!AQ95</f>
        <v>#REF!</v>
      </c>
      <c r="AR95" s="48" t="e">
        <f>#REF!-'IS 3Q2022'!AR95</f>
        <v>#REF!</v>
      </c>
      <c r="AS95" s="48" t="e">
        <f>#REF!-'IS 3Q2022'!AS95</f>
        <v>#REF!</v>
      </c>
      <c r="AT95" s="48" t="e">
        <f>#REF!-'IS 3Q2022'!AT95</f>
        <v>#REF!</v>
      </c>
      <c r="AU95" s="48" t="e">
        <f>#REF!-'IS 3Q2022'!AU95</f>
        <v>#REF!</v>
      </c>
      <c r="AV95" s="49" t="e">
        <f>#REF!-'IS 3Q2022'!AV95</f>
        <v>#REF!</v>
      </c>
    </row>
    <row r="96" spans="1:48" s="184" customFormat="1" outlineLevel="1" x14ac:dyDescent="0.3">
      <c r="B96" s="181" t="s">
        <v>150</v>
      </c>
      <c r="C96" s="190"/>
      <c r="D96" s="167" t="e">
        <f>#REF!-'IS 3Q2022'!D96</f>
        <v>#REF!</v>
      </c>
      <c r="E96" s="167" t="e">
        <f>#REF!-'IS 3Q2022'!E96</f>
        <v>#REF!</v>
      </c>
      <c r="F96" s="167" t="e">
        <f>#REF!-'IS 3Q2022'!F96</f>
        <v>#REF!</v>
      </c>
      <c r="G96" s="167" t="e">
        <f>#REF!-'IS 3Q2022'!G96</f>
        <v>#REF!</v>
      </c>
      <c r="H96" s="186" t="e">
        <f>#REF!-'IS 3Q2022'!H96</f>
        <v>#REF!</v>
      </c>
      <c r="I96" s="167" t="e">
        <f>#REF!-'IS 3Q2022'!I96</f>
        <v>#REF!</v>
      </c>
      <c r="J96" s="167" t="e">
        <f>#REF!-'IS 3Q2022'!J96</f>
        <v>#REF!</v>
      </c>
      <c r="K96" s="167" t="e">
        <f>#REF!-'IS 3Q2022'!K96</f>
        <v>#REF!</v>
      </c>
      <c r="L96" s="167" t="e">
        <f>#REF!-'IS 3Q2022'!L96</f>
        <v>#REF!</v>
      </c>
      <c r="M96" s="186" t="e">
        <f>#REF!-'IS 3Q2022'!M96</f>
        <v>#REF!</v>
      </c>
      <c r="N96" s="167" t="e">
        <f>#REF!-'IS 3Q2022'!N96</f>
        <v>#REF!</v>
      </c>
      <c r="O96" s="167" t="e">
        <f>#REF!-'IS 3Q2022'!O96</f>
        <v>#REF!</v>
      </c>
      <c r="P96" s="167" t="e">
        <f>#REF!-'IS 3Q2022'!P96</f>
        <v>#REF!</v>
      </c>
      <c r="Q96" s="167" t="e">
        <f>#REF!-'IS 3Q2022'!Q96</f>
        <v>#REF!</v>
      </c>
      <c r="R96" s="188" t="e">
        <f>#REF!-'IS 3Q2022'!R96</f>
        <v>#REF!</v>
      </c>
      <c r="S96" s="167" t="e">
        <f>#REF!-'IS 3Q2022'!S96</f>
        <v>#REF!</v>
      </c>
      <c r="T96" s="167" t="e">
        <f>#REF!-'IS 3Q2022'!T96</f>
        <v>#REF!</v>
      </c>
      <c r="U96" s="167" t="e">
        <f>#REF!-'IS 3Q2022'!U96</f>
        <v>#REF!</v>
      </c>
      <c r="V96" s="189" t="e">
        <f>#REF!-'IS 3Q2022'!V96</f>
        <v>#REF!</v>
      </c>
      <c r="W96" s="188" t="e">
        <f>#REF!-'IS 3Q2022'!W96</f>
        <v>#REF!</v>
      </c>
      <c r="X96" s="189" t="e">
        <f>#REF!-'IS 3Q2022'!X96</f>
        <v>#REF!</v>
      </c>
      <c r="Y96" s="189" t="e">
        <f>#REF!-'IS 3Q2022'!Y96</f>
        <v>#REF!</v>
      </c>
      <c r="Z96" s="189" t="e">
        <f>#REF!-'IS 3Q2022'!Z96</f>
        <v>#REF!</v>
      </c>
      <c r="AA96" s="189" t="e">
        <f>#REF!-'IS 3Q2022'!AA96</f>
        <v>#REF!</v>
      </c>
      <c r="AB96" s="188" t="e">
        <f>#REF!-'IS 3Q2022'!AB96</f>
        <v>#REF!</v>
      </c>
      <c r="AC96" s="189" t="e">
        <f>#REF!-'IS 3Q2022'!AC96</f>
        <v>#REF!</v>
      </c>
      <c r="AD96" s="189" t="e">
        <f>#REF!-'IS 3Q2022'!AD96</f>
        <v>#REF!</v>
      </c>
      <c r="AE96" s="189" t="e">
        <f>#REF!-'IS 3Q2022'!AE96</f>
        <v>#REF!</v>
      </c>
      <c r="AF96" s="189" t="e">
        <f>#REF!-'IS 3Q2022'!AF96</f>
        <v>#REF!</v>
      </c>
      <c r="AG96" s="188" t="e">
        <f>#REF!-'IS 3Q2022'!AG96</f>
        <v>#REF!</v>
      </c>
      <c r="AH96" s="189" t="e">
        <f>#REF!-'IS 3Q2022'!AH96</f>
        <v>#REF!</v>
      </c>
      <c r="AI96" s="189" t="e">
        <f>#REF!-'IS 3Q2022'!AI96</f>
        <v>#REF!</v>
      </c>
      <c r="AJ96" s="189" t="e">
        <f>#REF!-'IS 3Q2022'!AJ96</f>
        <v>#REF!</v>
      </c>
      <c r="AK96" s="189" t="e">
        <f>#REF!-'IS 3Q2022'!AK96</f>
        <v>#REF!</v>
      </c>
      <c r="AL96" s="188" t="e">
        <f>#REF!-'IS 3Q2022'!AL96</f>
        <v>#REF!</v>
      </c>
      <c r="AM96" s="189" t="e">
        <f>#REF!-'IS 3Q2022'!AM96</f>
        <v>#REF!</v>
      </c>
      <c r="AN96" s="189" t="e">
        <f>#REF!-'IS 3Q2022'!AN96</f>
        <v>#REF!</v>
      </c>
      <c r="AO96" s="189" t="e">
        <f>#REF!-'IS 3Q2022'!AO96</f>
        <v>#REF!</v>
      </c>
      <c r="AP96" s="189" t="e">
        <f>#REF!-'IS 3Q2022'!AP96</f>
        <v>#REF!</v>
      </c>
      <c r="AQ96" s="188" t="e">
        <f>#REF!-'IS 3Q2022'!AQ96</f>
        <v>#REF!</v>
      </c>
      <c r="AR96" s="189" t="e">
        <f>#REF!-'IS 3Q2022'!AR96</f>
        <v>#REF!</v>
      </c>
      <c r="AS96" s="189" t="e">
        <f>#REF!-'IS 3Q2022'!AS96</f>
        <v>#REF!</v>
      </c>
      <c r="AT96" s="189" t="e">
        <f>#REF!-'IS 3Q2022'!AT96</f>
        <v>#REF!</v>
      </c>
      <c r="AU96" s="189" t="e">
        <f>#REF!-'IS 3Q2022'!AU96</f>
        <v>#REF!</v>
      </c>
      <c r="AV96" s="188" t="e">
        <f>#REF!-'IS 3Q2022'!AV96</f>
        <v>#REF!</v>
      </c>
    </row>
    <row r="97" spans="1:48" outlineLevel="1" x14ac:dyDescent="0.3">
      <c r="B97" s="180" t="s">
        <v>33</v>
      </c>
      <c r="C97" s="18"/>
      <c r="D97" s="105" t="e">
        <f>#REF!-'IS 3Q2022'!D97</f>
        <v>#REF!</v>
      </c>
      <c r="E97" s="105" t="e">
        <f>#REF!-'IS 3Q2022'!E97</f>
        <v>#REF!</v>
      </c>
      <c r="F97" s="105" t="e">
        <f>#REF!-'IS 3Q2022'!F97</f>
        <v>#REF!</v>
      </c>
      <c r="G97" s="105" t="e">
        <f>#REF!-'IS 3Q2022'!G97</f>
        <v>#REF!</v>
      </c>
      <c r="H97" s="170" t="e">
        <f>#REF!-'IS 3Q2022'!H97</f>
        <v>#REF!</v>
      </c>
      <c r="I97" s="105" t="e">
        <f>#REF!-'IS 3Q2022'!I97</f>
        <v>#REF!</v>
      </c>
      <c r="J97" s="105" t="e">
        <f>#REF!-'IS 3Q2022'!J97</f>
        <v>#REF!</v>
      </c>
      <c r="K97" s="105" t="e">
        <f>#REF!-'IS 3Q2022'!K97</f>
        <v>#REF!</v>
      </c>
      <c r="L97" s="105" t="e">
        <f>#REF!-'IS 3Q2022'!L97</f>
        <v>#REF!</v>
      </c>
      <c r="M97" s="170" t="e">
        <f>#REF!-'IS 3Q2022'!M97</f>
        <v>#REF!</v>
      </c>
      <c r="N97" s="105" t="e">
        <f>#REF!-'IS 3Q2022'!N97</f>
        <v>#REF!</v>
      </c>
      <c r="O97" s="105" t="e">
        <f>#REF!-'IS 3Q2022'!O97</f>
        <v>#REF!</v>
      </c>
      <c r="P97" s="105" t="e">
        <f>#REF!-'IS 3Q2022'!P97</f>
        <v>#REF!</v>
      </c>
      <c r="Q97" s="105" t="e">
        <f>#REF!-'IS 3Q2022'!Q97</f>
        <v>#REF!</v>
      </c>
      <c r="R97" s="49" t="e">
        <f>#REF!-'IS 3Q2022'!R97</f>
        <v>#REF!</v>
      </c>
      <c r="S97" s="48" t="e">
        <f>#REF!-'IS 3Q2022'!S97</f>
        <v>#REF!</v>
      </c>
      <c r="T97" s="48" t="e">
        <f>#REF!-'IS 3Q2022'!T97</f>
        <v>#REF!</v>
      </c>
      <c r="U97" s="48" t="e">
        <f>#REF!-'IS 3Q2022'!U97</f>
        <v>#REF!</v>
      </c>
      <c r="V97" s="48" t="e">
        <f>#REF!-'IS 3Q2022'!V97</f>
        <v>#REF!</v>
      </c>
      <c r="W97" s="49" t="e">
        <f>#REF!-'IS 3Q2022'!W97</f>
        <v>#REF!</v>
      </c>
      <c r="X97" s="48" t="e">
        <f>#REF!-'IS 3Q2022'!X97</f>
        <v>#REF!</v>
      </c>
      <c r="Y97" s="48" t="e">
        <f>#REF!-'IS 3Q2022'!Y97</f>
        <v>#REF!</v>
      </c>
      <c r="Z97" s="48" t="e">
        <f>#REF!-'IS 3Q2022'!Z97</f>
        <v>#REF!</v>
      </c>
      <c r="AA97" s="48" t="e">
        <f>#REF!-'IS 3Q2022'!AA97</f>
        <v>#REF!</v>
      </c>
      <c r="AB97" s="49" t="e">
        <f>#REF!-'IS 3Q2022'!AB97</f>
        <v>#REF!</v>
      </c>
      <c r="AC97" s="48" t="e">
        <f>#REF!-'IS 3Q2022'!AC97</f>
        <v>#REF!</v>
      </c>
      <c r="AD97" s="48" t="e">
        <f>#REF!-'IS 3Q2022'!AD97</f>
        <v>#REF!</v>
      </c>
      <c r="AE97" s="48" t="e">
        <f>#REF!-'IS 3Q2022'!AE97</f>
        <v>#REF!</v>
      </c>
      <c r="AF97" s="48" t="e">
        <f>#REF!-'IS 3Q2022'!AF97</f>
        <v>#REF!</v>
      </c>
      <c r="AG97" s="49" t="e">
        <f>#REF!-'IS 3Q2022'!AG97</f>
        <v>#REF!</v>
      </c>
      <c r="AH97" s="48" t="e">
        <f>#REF!-'IS 3Q2022'!AH97</f>
        <v>#REF!</v>
      </c>
      <c r="AI97" s="48" t="e">
        <f>#REF!-'IS 3Q2022'!AI97</f>
        <v>#REF!</v>
      </c>
      <c r="AJ97" s="48" t="e">
        <f>#REF!-'IS 3Q2022'!AJ97</f>
        <v>#REF!</v>
      </c>
      <c r="AK97" s="48" t="e">
        <f>#REF!-'IS 3Q2022'!AK97</f>
        <v>#REF!</v>
      </c>
      <c r="AL97" s="49" t="e">
        <f>#REF!-'IS 3Q2022'!AL97</f>
        <v>#REF!</v>
      </c>
      <c r="AM97" s="48" t="e">
        <f>#REF!-'IS 3Q2022'!AM97</f>
        <v>#REF!</v>
      </c>
      <c r="AN97" s="48" t="e">
        <f>#REF!-'IS 3Q2022'!AN97</f>
        <v>#REF!</v>
      </c>
      <c r="AO97" s="48" t="e">
        <f>#REF!-'IS 3Q2022'!AO97</f>
        <v>#REF!</v>
      </c>
      <c r="AP97" s="48" t="e">
        <f>#REF!-'IS 3Q2022'!AP97</f>
        <v>#REF!</v>
      </c>
      <c r="AQ97" s="49" t="e">
        <f>#REF!-'IS 3Q2022'!AQ97</f>
        <v>#REF!</v>
      </c>
      <c r="AR97" s="48" t="e">
        <f>#REF!-'IS 3Q2022'!AR97</f>
        <v>#REF!</v>
      </c>
      <c r="AS97" s="48" t="e">
        <f>#REF!-'IS 3Q2022'!AS97</f>
        <v>#REF!</v>
      </c>
      <c r="AT97" s="48" t="e">
        <f>#REF!-'IS 3Q2022'!AT97</f>
        <v>#REF!</v>
      </c>
      <c r="AU97" s="48" t="e">
        <f>#REF!-'IS 3Q2022'!AU97</f>
        <v>#REF!</v>
      </c>
      <c r="AV97" s="49" t="e">
        <f>#REF!-'IS 3Q2022'!AV97</f>
        <v>#REF!</v>
      </c>
    </row>
    <row r="98" spans="1:48" s="184" customFormat="1" outlineLevel="1" x14ac:dyDescent="0.3">
      <c r="B98" s="181" t="s">
        <v>152</v>
      </c>
      <c r="C98" s="190"/>
      <c r="D98" s="167" t="e">
        <f>#REF!-'IS 3Q2022'!D98</f>
        <v>#REF!</v>
      </c>
      <c r="E98" s="167" t="e">
        <f>#REF!-'IS 3Q2022'!E98</f>
        <v>#REF!</v>
      </c>
      <c r="F98" s="167" t="e">
        <f>#REF!-'IS 3Q2022'!F98</f>
        <v>#REF!</v>
      </c>
      <c r="G98" s="167" t="e">
        <f>#REF!-'IS 3Q2022'!G98</f>
        <v>#REF!</v>
      </c>
      <c r="H98" s="186" t="e">
        <f>#REF!-'IS 3Q2022'!H98</f>
        <v>#REF!</v>
      </c>
      <c r="I98" s="167" t="e">
        <f>#REF!-'IS 3Q2022'!I98</f>
        <v>#REF!</v>
      </c>
      <c r="J98" s="167" t="e">
        <f>#REF!-'IS 3Q2022'!J98</f>
        <v>#REF!</v>
      </c>
      <c r="K98" s="167" t="e">
        <f>#REF!-'IS 3Q2022'!K98</f>
        <v>#REF!</v>
      </c>
      <c r="L98" s="167" t="e">
        <f>#REF!-'IS 3Q2022'!L98</f>
        <v>#REF!</v>
      </c>
      <c r="M98" s="186" t="e">
        <f>#REF!-'IS 3Q2022'!M98</f>
        <v>#REF!</v>
      </c>
      <c r="N98" s="167" t="e">
        <f>#REF!-'IS 3Q2022'!N98</f>
        <v>#REF!</v>
      </c>
      <c r="O98" s="167" t="e">
        <f>#REF!-'IS 3Q2022'!O98</f>
        <v>#REF!</v>
      </c>
      <c r="P98" s="167" t="e">
        <f>#REF!-'IS 3Q2022'!P98</f>
        <v>#REF!</v>
      </c>
      <c r="Q98" s="167" t="e">
        <f>#REF!-'IS 3Q2022'!Q98</f>
        <v>#REF!</v>
      </c>
      <c r="R98" s="188" t="e">
        <f>#REF!-'IS 3Q2022'!R98</f>
        <v>#REF!</v>
      </c>
      <c r="S98" s="167" t="e">
        <f>#REF!-'IS 3Q2022'!S98</f>
        <v>#REF!</v>
      </c>
      <c r="T98" s="167" t="e">
        <f>#REF!-'IS 3Q2022'!T98</f>
        <v>#REF!</v>
      </c>
      <c r="U98" s="167" t="e">
        <f>#REF!-'IS 3Q2022'!U98</f>
        <v>#REF!</v>
      </c>
      <c r="V98" s="189" t="e">
        <f>#REF!-'IS 3Q2022'!V98</f>
        <v>#REF!</v>
      </c>
      <c r="W98" s="188" t="e">
        <f>#REF!-'IS 3Q2022'!W98</f>
        <v>#REF!</v>
      </c>
      <c r="X98" s="189" t="e">
        <f>#REF!-'IS 3Q2022'!X98</f>
        <v>#REF!</v>
      </c>
      <c r="Y98" s="189" t="e">
        <f>#REF!-'IS 3Q2022'!Y98</f>
        <v>#REF!</v>
      </c>
      <c r="Z98" s="189" t="e">
        <f>#REF!-'IS 3Q2022'!Z98</f>
        <v>#REF!</v>
      </c>
      <c r="AA98" s="189" t="e">
        <f>#REF!-'IS 3Q2022'!AA98</f>
        <v>#REF!</v>
      </c>
      <c r="AB98" s="188" t="e">
        <f>#REF!-'IS 3Q2022'!AB98</f>
        <v>#REF!</v>
      </c>
      <c r="AC98" s="189" t="e">
        <f>#REF!-'IS 3Q2022'!AC98</f>
        <v>#REF!</v>
      </c>
      <c r="AD98" s="189" t="e">
        <f>#REF!-'IS 3Q2022'!AD98</f>
        <v>#REF!</v>
      </c>
      <c r="AE98" s="189" t="e">
        <f>#REF!-'IS 3Q2022'!AE98</f>
        <v>#REF!</v>
      </c>
      <c r="AF98" s="189" t="e">
        <f>#REF!-'IS 3Q2022'!AF98</f>
        <v>#REF!</v>
      </c>
      <c r="AG98" s="188" t="e">
        <f>#REF!-'IS 3Q2022'!AG98</f>
        <v>#REF!</v>
      </c>
      <c r="AH98" s="189" t="e">
        <f>#REF!-'IS 3Q2022'!AH98</f>
        <v>#REF!</v>
      </c>
      <c r="AI98" s="189" t="e">
        <f>#REF!-'IS 3Q2022'!AI98</f>
        <v>#REF!</v>
      </c>
      <c r="AJ98" s="189" t="e">
        <f>#REF!-'IS 3Q2022'!AJ98</f>
        <v>#REF!</v>
      </c>
      <c r="AK98" s="189" t="e">
        <f>#REF!-'IS 3Q2022'!AK98</f>
        <v>#REF!</v>
      </c>
      <c r="AL98" s="188" t="e">
        <f>#REF!-'IS 3Q2022'!AL98</f>
        <v>#REF!</v>
      </c>
      <c r="AM98" s="189" t="e">
        <f>#REF!-'IS 3Q2022'!AM98</f>
        <v>#REF!</v>
      </c>
      <c r="AN98" s="189" t="e">
        <f>#REF!-'IS 3Q2022'!AN98</f>
        <v>#REF!</v>
      </c>
      <c r="AO98" s="189" t="e">
        <f>#REF!-'IS 3Q2022'!AO98</f>
        <v>#REF!</v>
      </c>
      <c r="AP98" s="189" t="e">
        <f>#REF!-'IS 3Q2022'!AP98</f>
        <v>#REF!</v>
      </c>
      <c r="AQ98" s="188" t="e">
        <f>#REF!-'IS 3Q2022'!AQ98</f>
        <v>#REF!</v>
      </c>
      <c r="AR98" s="189" t="e">
        <f>#REF!-'IS 3Q2022'!AR98</f>
        <v>#REF!</v>
      </c>
      <c r="AS98" s="189" t="e">
        <f>#REF!-'IS 3Q2022'!AS98</f>
        <v>#REF!</v>
      </c>
      <c r="AT98" s="189" t="e">
        <f>#REF!-'IS 3Q2022'!AT98</f>
        <v>#REF!</v>
      </c>
      <c r="AU98" s="189" t="e">
        <f>#REF!-'IS 3Q2022'!AU98</f>
        <v>#REF!</v>
      </c>
      <c r="AV98" s="188" t="e">
        <f>#REF!-'IS 3Q2022'!AV98</f>
        <v>#REF!</v>
      </c>
    </row>
    <row r="99" spans="1:48" outlineLevel="1" x14ac:dyDescent="0.3">
      <c r="B99" s="180" t="s">
        <v>34</v>
      </c>
      <c r="C99" s="18"/>
      <c r="D99" s="358" t="e">
        <f>#REF!-'IS 3Q2022'!D99</f>
        <v>#REF!</v>
      </c>
      <c r="E99" s="358" t="e">
        <f>#REF!-'IS 3Q2022'!E99</f>
        <v>#REF!</v>
      </c>
      <c r="F99" s="358" t="e">
        <f>#REF!-'IS 3Q2022'!F99</f>
        <v>#REF!</v>
      </c>
      <c r="G99" s="358" t="e">
        <f>#REF!-'IS 3Q2022'!G99</f>
        <v>#REF!</v>
      </c>
      <c r="H99" s="126" t="e">
        <f>#REF!-'IS 3Q2022'!H99</f>
        <v>#REF!</v>
      </c>
      <c r="I99" s="358" t="e">
        <f>#REF!-'IS 3Q2022'!I99</f>
        <v>#REF!</v>
      </c>
      <c r="J99" s="358" t="e">
        <f>#REF!-'IS 3Q2022'!J99</f>
        <v>#REF!</v>
      </c>
      <c r="K99" s="358" t="e">
        <f>#REF!-'IS 3Q2022'!K99</f>
        <v>#REF!</v>
      </c>
      <c r="L99" s="358" t="e">
        <f>#REF!-'IS 3Q2022'!L99</f>
        <v>#REF!</v>
      </c>
      <c r="M99" s="126" t="e">
        <f>#REF!-'IS 3Q2022'!M99</f>
        <v>#REF!</v>
      </c>
      <c r="N99" s="358" t="e">
        <f>#REF!-'IS 3Q2022'!N99</f>
        <v>#REF!</v>
      </c>
      <c r="O99" s="358" t="e">
        <f>#REF!-'IS 3Q2022'!O99</f>
        <v>#REF!</v>
      </c>
      <c r="P99" s="358" t="e">
        <f>#REF!-'IS 3Q2022'!P99</f>
        <v>#REF!</v>
      </c>
      <c r="Q99" s="358" t="e">
        <f>#REF!-'IS 3Q2022'!Q99</f>
        <v>#REF!</v>
      </c>
      <c r="R99" s="126" t="e">
        <f>#REF!-'IS 3Q2022'!R99</f>
        <v>#REF!</v>
      </c>
      <c r="S99" s="358" t="e">
        <f>#REF!-'IS 3Q2022'!S99</f>
        <v>#REF!</v>
      </c>
      <c r="T99" s="358" t="e">
        <f>#REF!-'IS 3Q2022'!T99</f>
        <v>#REF!</v>
      </c>
      <c r="U99" s="358" t="e">
        <f>#REF!-'IS 3Q2022'!U99</f>
        <v>#REF!</v>
      </c>
      <c r="V99" s="358" t="e">
        <f>#REF!-'IS 3Q2022'!V99</f>
        <v>#REF!</v>
      </c>
      <c r="W99" s="126" t="e">
        <f>#REF!-'IS 3Q2022'!W99</f>
        <v>#REF!</v>
      </c>
      <c r="X99" s="358" t="e">
        <f>#REF!-'IS 3Q2022'!X99</f>
        <v>#REF!</v>
      </c>
      <c r="Y99" s="358" t="e">
        <f>#REF!-'IS 3Q2022'!Y99</f>
        <v>#REF!</v>
      </c>
      <c r="Z99" s="358" t="e">
        <f>#REF!-'IS 3Q2022'!Z99</f>
        <v>#REF!</v>
      </c>
      <c r="AA99" s="358" t="e">
        <f>#REF!-'IS 3Q2022'!AA99</f>
        <v>#REF!</v>
      </c>
      <c r="AB99" s="126" t="e">
        <f>#REF!-'IS 3Q2022'!AB99</f>
        <v>#REF!</v>
      </c>
      <c r="AC99" s="358" t="e">
        <f>#REF!-'IS 3Q2022'!AC99</f>
        <v>#REF!</v>
      </c>
      <c r="AD99" s="358" t="e">
        <f>#REF!-'IS 3Q2022'!AD99</f>
        <v>#REF!</v>
      </c>
      <c r="AE99" s="358" t="e">
        <f>#REF!-'IS 3Q2022'!AE99</f>
        <v>#REF!</v>
      </c>
      <c r="AF99" s="358" t="e">
        <f>#REF!-'IS 3Q2022'!AF99</f>
        <v>#REF!</v>
      </c>
      <c r="AG99" s="126" t="e">
        <f>#REF!-'IS 3Q2022'!AG99</f>
        <v>#REF!</v>
      </c>
      <c r="AH99" s="358" t="e">
        <f>#REF!-'IS 3Q2022'!AH99</f>
        <v>#REF!</v>
      </c>
      <c r="AI99" s="358" t="e">
        <f>#REF!-'IS 3Q2022'!AI99</f>
        <v>#REF!</v>
      </c>
      <c r="AJ99" s="358" t="e">
        <f>#REF!-'IS 3Q2022'!AJ99</f>
        <v>#REF!</v>
      </c>
      <c r="AK99" s="358" t="e">
        <f>#REF!-'IS 3Q2022'!AK99</f>
        <v>#REF!</v>
      </c>
      <c r="AL99" s="126" t="e">
        <f>#REF!-'IS 3Q2022'!AL99</f>
        <v>#REF!</v>
      </c>
      <c r="AM99" s="358" t="e">
        <f>#REF!-'IS 3Q2022'!AM99</f>
        <v>#REF!</v>
      </c>
      <c r="AN99" s="358" t="e">
        <f>#REF!-'IS 3Q2022'!AN99</f>
        <v>#REF!</v>
      </c>
      <c r="AO99" s="358" t="e">
        <f>#REF!-'IS 3Q2022'!AO99</f>
        <v>#REF!</v>
      </c>
      <c r="AP99" s="358" t="e">
        <f>#REF!-'IS 3Q2022'!AP99</f>
        <v>#REF!</v>
      </c>
      <c r="AQ99" s="126" t="e">
        <f>#REF!-'IS 3Q2022'!AQ99</f>
        <v>#REF!</v>
      </c>
      <c r="AR99" s="358" t="e">
        <f>#REF!-'IS 3Q2022'!AR99</f>
        <v>#REF!</v>
      </c>
      <c r="AS99" s="358" t="e">
        <f>#REF!-'IS 3Q2022'!AS99</f>
        <v>#REF!</v>
      </c>
      <c r="AT99" s="358" t="e">
        <f>#REF!-'IS 3Q2022'!AT99</f>
        <v>#REF!</v>
      </c>
      <c r="AU99" s="358" t="e">
        <f>#REF!-'IS 3Q2022'!AU99</f>
        <v>#REF!</v>
      </c>
      <c r="AV99" s="126" t="e">
        <f>#REF!-'IS 3Q2022'!AV99</f>
        <v>#REF!</v>
      </c>
    </row>
    <row r="100" spans="1:48" outlineLevel="1" x14ac:dyDescent="0.3">
      <c r="B100" s="180" t="s">
        <v>35</v>
      </c>
      <c r="C100" s="18"/>
      <c r="D100" s="105" t="e">
        <f>#REF!-'IS 3Q2022'!D100</f>
        <v>#REF!</v>
      </c>
      <c r="E100" s="105" t="e">
        <f>#REF!-'IS 3Q2022'!E100</f>
        <v>#REF!</v>
      </c>
      <c r="F100" s="105" t="e">
        <f>#REF!-'IS 3Q2022'!F100</f>
        <v>#REF!</v>
      </c>
      <c r="G100" s="105" t="e">
        <f>#REF!-'IS 3Q2022'!G100</f>
        <v>#REF!</v>
      </c>
      <c r="H100" s="170" t="e">
        <f>#REF!-'IS 3Q2022'!H100</f>
        <v>#REF!</v>
      </c>
      <c r="I100" s="105" t="e">
        <f>#REF!-'IS 3Q2022'!I100</f>
        <v>#REF!</v>
      </c>
      <c r="J100" s="105" t="e">
        <f>#REF!-'IS 3Q2022'!J100</f>
        <v>#REF!</v>
      </c>
      <c r="K100" s="105" t="e">
        <f>#REF!-'IS 3Q2022'!K100</f>
        <v>#REF!</v>
      </c>
      <c r="L100" s="105" t="e">
        <f>#REF!-'IS 3Q2022'!L100</f>
        <v>#REF!</v>
      </c>
      <c r="M100" s="170" t="e">
        <f>#REF!-'IS 3Q2022'!M100</f>
        <v>#REF!</v>
      </c>
      <c r="N100" s="105" t="e">
        <f>#REF!-'IS 3Q2022'!N100</f>
        <v>#REF!</v>
      </c>
      <c r="O100" s="105" t="e">
        <f>#REF!-'IS 3Q2022'!O100</f>
        <v>#REF!</v>
      </c>
      <c r="P100" s="105" t="e">
        <f>#REF!-'IS 3Q2022'!P100</f>
        <v>#REF!</v>
      </c>
      <c r="Q100" s="105" t="e">
        <f>#REF!-'IS 3Q2022'!Q100</f>
        <v>#REF!</v>
      </c>
      <c r="R100" s="49" t="e">
        <f>#REF!-'IS 3Q2022'!R100</f>
        <v>#REF!</v>
      </c>
      <c r="S100" s="48" t="e">
        <f>#REF!-'IS 3Q2022'!S100</f>
        <v>#REF!</v>
      </c>
      <c r="T100" s="48" t="e">
        <f>#REF!-'IS 3Q2022'!T100</f>
        <v>#REF!</v>
      </c>
      <c r="U100" s="48" t="e">
        <f>#REF!-'IS 3Q2022'!U100</f>
        <v>#REF!</v>
      </c>
      <c r="V100" s="48" t="e">
        <f>#REF!-'IS 3Q2022'!V100</f>
        <v>#REF!</v>
      </c>
      <c r="W100" s="49" t="e">
        <f>#REF!-'IS 3Q2022'!W100</f>
        <v>#REF!</v>
      </c>
      <c r="X100" s="48" t="e">
        <f>#REF!-'IS 3Q2022'!X100</f>
        <v>#REF!</v>
      </c>
      <c r="Y100" s="48" t="e">
        <f>#REF!-'IS 3Q2022'!Y100</f>
        <v>#REF!</v>
      </c>
      <c r="Z100" s="48" t="e">
        <f>#REF!-'IS 3Q2022'!Z100</f>
        <v>#REF!</v>
      </c>
      <c r="AA100" s="48" t="e">
        <f>#REF!-'IS 3Q2022'!AA100</f>
        <v>#REF!</v>
      </c>
      <c r="AB100" s="49" t="e">
        <f>#REF!-'IS 3Q2022'!AB100</f>
        <v>#REF!</v>
      </c>
      <c r="AC100" s="48" t="e">
        <f>#REF!-'IS 3Q2022'!AC100</f>
        <v>#REF!</v>
      </c>
      <c r="AD100" s="48" t="e">
        <f>#REF!-'IS 3Q2022'!AD100</f>
        <v>#REF!</v>
      </c>
      <c r="AE100" s="48" t="e">
        <f>#REF!-'IS 3Q2022'!AE100</f>
        <v>#REF!</v>
      </c>
      <c r="AF100" s="48" t="e">
        <f>#REF!-'IS 3Q2022'!AF100</f>
        <v>#REF!</v>
      </c>
      <c r="AG100" s="49" t="e">
        <f>#REF!-'IS 3Q2022'!AG100</f>
        <v>#REF!</v>
      </c>
      <c r="AH100" s="48" t="e">
        <f>#REF!-'IS 3Q2022'!AH100</f>
        <v>#REF!</v>
      </c>
      <c r="AI100" s="48" t="e">
        <f>#REF!-'IS 3Q2022'!AI100</f>
        <v>#REF!</v>
      </c>
      <c r="AJ100" s="48" t="e">
        <f>#REF!-'IS 3Q2022'!AJ100</f>
        <v>#REF!</v>
      </c>
      <c r="AK100" s="48" t="e">
        <f>#REF!-'IS 3Q2022'!AK100</f>
        <v>#REF!</v>
      </c>
      <c r="AL100" s="49" t="e">
        <f>#REF!-'IS 3Q2022'!AL100</f>
        <v>#REF!</v>
      </c>
      <c r="AM100" s="48" t="e">
        <f>#REF!-'IS 3Q2022'!AM100</f>
        <v>#REF!</v>
      </c>
      <c r="AN100" s="48" t="e">
        <f>#REF!-'IS 3Q2022'!AN100</f>
        <v>#REF!</v>
      </c>
      <c r="AO100" s="48" t="e">
        <f>#REF!-'IS 3Q2022'!AO100</f>
        <v>#REF!</v>
      </c>
      <c r="AP100" s="48" t="e">
        <f>#REF!-'IS 3Q2022'!AP100</f>
        <v>#REF!</v>
      </c>
      <c r="AQ100" s="49" t="e">
        <f>#REF!-'IS 3Q2022'!AQ100</f>
        <v>#REF!</v>
      </c>
      <c r="AR100" s="48" t="e">
        <f>#REF!-'IS 3Q2022'!AR100</f>
        <v>#REF!</v>
      </c>
      <c r="AS100" s="48" t="e">
        <f>#REF!-'IS 3Q2022'!AS100</f>
        <v>#REF!</v>
      </c>
      <c r="AT100" s="48" t="e">
        <f>#REF!-'IS 3Q2022'!AT100</f>
        <v>#REF!</v>
      </c>
      <c r="AU100" s="48" t="e">
        <f>#REF!-'IS 3Q2022'!AU100</f>
        <v>#REF!</v>
      </c>
      <c r="AV100" s="49" t="e">
        <f>#REF!-'IS 3Q2022'!AV100</f>
        <v>#REF!</v>
      </c>
    </row>
    <row r="101" spans="1:48" s="184" customFormat="1" outlineLevel="1" x14ac:dyDescent="0.3">
      <c r="B101" s="181" t="s">
        <v>153</v>
      </c>
      <c r="C101" s="190"/>
      <c r="D101" s="167" t="e">
        <f>#REF!-'IS 3Q2022'!D101</f>
        <v>#REF!</v>
      </c>
      <c r="E101" s="167" t="e">
        <f>#REF!-'IS 3Q2022'!E101</f>
        <v>#REF!</v>
      </c>
      <c r="F101" s="167" t="e">
        <f>#REF!-'IS 3Q2022'!F101</f>
        <v>#REF!</v>
      </c>
      <c r="G101" s="167" t="e">
        <f>#REF!-'IS 3Q2022'!G101</f>
        <v>#REF!</v>
      </c>
      <c r="H101" s="186" t="e">
        <f>#REF!-'IS 3Q2022'!H101</f>
        <v>#REF!</v>
      </c>
      <c r="I101" s="167" t="e">
        <f>#REF!-'IS 3Q2022'!I101</f>
        <v>#REF!</v>
      </c>
      <c r="J101" s="167" t="e">
        <f>#REF!-'IS 3Q2022'!J101</f>
        <v>#REF!</v>
      </c>
      <c r="K101" s="167" t="e">
        <f>#REF!-'IS 3Q2022'!K101</f>
        <v>#REF!</v>
      </c>
      <c r="L101" s="167" t="e">
        <f>#REF!-'IS 3Q2022'!L101</f>
        <v>#REF!</v>
      </c>
      <c r="M101" s="186" t="e">
        <f>#REF!-'IS 3Q2022'!M101</f>
        <v>#REF!</v>
      </c>
      <c r="N101" s="167" t="e">
        <f>#REF!-'IS 3Q2022'!N101</f>
        <v>#REF!</v>
      </c>
      <c r="O101" s="167" t="e">
        <f>#REF!-'IS 3Q2022'!O101</f>
        <v>#REF!</v>
      </c>
      <c r="P101" s="167" t="e">
        <f>#REF!-'IS 3Q2022'!P101</f>
        <v>#REF!</v>
      </c>
      <c r="Q101" s="167" t="e">
        <f>#REF!-'IS 3Q2022'!Q101</f>
        <v>#REF!</v>
      </c>
      <c r="R101" s="188" t="e">
        <f>#REF!-'IS 3Q2022'!R101</f>
        <v>#REF!</v>
      </c>
      <c r="S101" s="167" t="e">
        <f>#REF!-'IS 3Q2022'!S101</f>
        <v>#REF!</v>
      </c>
      <c r="T101" s="167" t="e">
        <f>#REF!-'IS 3Q2022'!T101</f>
        <v>#REF!</v>
      </c>
      <c r="U101" s="167" t="e">
        <f>#REF!-'IS 3Q2022'!U101</f>
        <v>#REF!</v>
      </c>
      <c r="V101" s="189" t="e">
        <f>#REF!-'IS 3Q2022'!V101</f>
        <v>#REF!</v>
      </c>
      <c r="W101" s="188" t="e">
        <f>#REF!-'IS 3Q2022'!W101</f>
        <v>#REF!</v>
      </c>
      <c r="X101" s="189" t="e">
        <f>#REF!-'IS 3Q2022'!X101</f>
        <v>#REF!</v>
      </c>
      <c r="Y101" s="189" t="e">
        <f>#REF!-'IS 3Q2022'!Y101</f>
        <v>#REF!</v>
      </c>
      <c r="Z101" s="189" t="e">
        <f>#REF!-'IS 3Q2022'!Z101</f>
        <v>#REF!</v>
      </c>
      <c r="AA101" s="189" t="e">
        <f>#REF!-'IS 3Q2022'!AA101</f>
        <v>#REF!</v>
      </c>
      <c r="AB101" s="188" t="e">
        <f>#REF!-'IS 3Q2022'!AB101</f>
        <v>#REF!</v>
      </c>
      <c r="AC101" s="189" t="e">
        <f>#REF!-'IS 3Q2022'!AC101</f>
        <v>#REF!</v>
      </c>
      <c r="AD101" s="189" t="e">
        <f>#REF!-'IS 3Q2022'!AD101</f>
        <v>#REF!</v>
      </c>
      <c r="AE101" s="189" t="e">
        <f>#REF!-'IS 3Q2022'!AE101</f>
        <v>#REF!</v>
      </c>
      <c r="AF101" s="189" t="e">
        <f>#REF!-'IS 3Q2022'!AF101</f>
        <v>#REF!</v>
      </c>
      <c r="AG101" s="188" t="e">
        <f>#REF!-'IS 3Q2022'!AG101</f>
        <v>#REF!</v>
      </c>
      <c r="AH101" s="189" t="e">
        <f>#REF!-'IS 3Q2022'!AH101</f>
        <v>#REF!</v>
      </c>
      <c r="AI101" s="189" t="e">
        <f>#REF!-'IS 3Q2022'!AI101</f>
        <v>#REF!</v>
      </c>
      <c r="AJ101" s="189" t="e">
        <f>#REF!-'IS 3Q2022'!AJ101</f>
        <v>#REF!</v>
      </c>
      <c r="AK101" s="189" t="e">
        <f>#REF!-'IS 3Q2022'!AK101</f>
        <v>#REF!</v>
      </c>
      <c r="AL101" s="188" t="e">
        <f>#REF!-'IS 3Q2022'!AL101</f>
        <v>#REF!</v>
      </c>
      <c r="AM101" s="189" t="e">
        <f>#REF!-'IS 3Q2022'!AM101</f>
        <v>#REF!</v>
      </c>
      <c r="AN101" s="189" t="e">
        <f>#REF!-'IS 3Q2022'!AN101</f>
        <v>#REF!</v>
      </c>
      <c r="AO101" s="189" t="e">
        <f>#REF!-'IS 3Q2022'!AO101</f>
        <v>#REF!</v>
      </c>
      <c r="AP101" s="189" t="e">
        <f>#REF!-'IS 3Q2022'!AP101</f>
        <v>#REF!</v>
      </c>
      <c r="AQ101" s="188" t="e">
        <f>#REF!-'IS 3Q2022'!AQ101</f>
        <v>#REF!</v>
      </c>
      <c r="AR101" s="189" t="e">
        <f>#REF!-'IS 3Q2022'!AR101</f>
        <v>#REF!</v>
      </c>
      <c r="AS101" s="189" t="e">
        <f>#REF!-'IS 3Q2022'!AS101</f>
        <v>#REF!</v>
      </c>
      <c r="AT101" s="189" t="e">
        <f>#REF!-'IS 3Q2022'!AT101</f>
        <v>#REF!</v>
      </c>
      <c r="AU101" s="189" t="e">
        <f>#REF!-'IS 3Q2022'!AU101</f>
        <v>#REF!</v>
      </c>
      <c r="AV101" s="188" t="e">
        <f>#REF!-'IS 3Q2022'!AV101</f>
        <v>#REF!</v>
      </c>
    </row>
    <row r="102" spans="1:48" ht="16.2" outlineLevel="1" x14ac:dyDescent="0.45">
      <c r="B102" s="180" t="s">
        <v>42</v>
      </c>
      <c r="C102" s="18"/>
      <c r="D102" s="119" t="e">
        <f>#REF!-'IS 3Q2022'!D102</f>
        <v>#REF!</v>
      </c>
      <c r="E102" s="119" t="e">
        <f>#REF!-'IS 3Q2022'!E102</f>
        <v>#REF!</v>
      </c>
      <c r="F102" s="119" t="e">
        <f>#REF!-'IS 3Q2022'!F102</f>
        <v>#REF!</v>
      </c>
      <c r="G102" s="119" t="e">
        <f>#REF!-'IS 3Q2022'!G102</f>
        <v>#REF!</v>
      </c>
      <c r="H102" s="131" t="e">
        <f>#REF!-'IS 3Q2022'!H102</f>
        <v>#REF!</v>
      </c>
      <c r="I102" s="119" t="e">
        <f>#REF!-'IS 3Q2022'!I102</f>
        <v>#REF!</v>
      </c>
      <c r="J102" s="119" t="e">
        <f>#REF!-'IS 3Q2022'!J102</f>
        <v>#REF!</v>
      </c>
      <c r="K102" s="119" t="e">
        <f>#REF!-'IS 3Q2022'!K102</f>
        <v>#REF!</v>
      </c>
      <c r="L102" s="119" t="e">
        <f>#REF!-'IS 3Q2022'!L102</f>
        <v>#REF!</v>
      </c>
      <c r="M102" s="131" t="e">
        <f>#REF!-'IS 3Q2022'!M102</f>
        <v>#REF!</v>
      </c>
      <c r="N102" s="119" t="e">
        <f>#REF!-'IS 3Q2022'!N102</f>
        <v>#REF!</v>
      </c>
      <c r="O102" s="119" t="e">
        <f>#REF!-'IS 3Q2022'!O102</f>
        <v>#REF!</v>
      </c>
      <c r="P102" s="119" t="e">
        <f>#REF!-'IS 3Q2022'!P102</f>
        <v>#REF!</v>
      </c>
      <c r="Q102" s="119" t="e">
        <f>#REF!-'IS 3Q2022'!Q102</f>
        <v>#REF!</v>
      </c>
      <c r="R102" s="131" t="e">
        <f>#REF!-'IS 3Q2022'!R102</f>
        <v>#REF!</v>
      </c>
      <c r="S102" s="119" t="e">
        <f>#REF!-'IS 3Q2022'!S102</f>
        <v>#REF!</v>
      </c>
      <c r="T102" s="119" t="e">
        <f>#REF!-'IS 3Q2022'!T102</f>
        <v>#REF!</v>
      </c>
      <c r="U102" s="119" t="e">
        <f>#REF!-'IS 3Q2022'!U102</f>
        <v>#REF!</v>
      </c>
      <c r="V102" s="119" t="e">
        <f>#REF!-'IS 3Q2022'!V102</f>
        <v>#REF!</v>
      </c>
      <c r="W102" s="131" t="e">
        <f>#REF!-'IS 3Q2022'!W102</f>
        <v>#REF!</v>
      </c>
      <c r="X102" s="119" t="e">
        <f>#REF!-'IS 3Q2022'!X102</f>
        <v>#REF!</v>
      </c>
      <c r="Y102" s="119" t="e">
        <f>#REF!-'IS 3Q2022'!Y102</f>
        <v>#REF!</v>
      </c>
      <c r="Z102" s="119" t="e">
        <f>#REF!-'IS 3Q2022'!Z102</f>
        <v>#REF!</v>
      </c>
      <c r="AA102" s="119" t="e">
        <f>#REF!-'IS 3Q2022'!AA102</f>
        <v>#REF!</v>
      </c>
      <c r="AB102" s="131" t="e">
        <f>#REF!-'IS 3Q2022'!AB102</f>
        <v>#REF!</v>
      </c>
      <c r="AC102" s="119" t="e">
        <f>#REF!-'IS 3Q2022'!AC102</f>
        <v>#REF!</v>
      </c>
      <c r="AD102" s="119" t="e">
        <f>#REF!-'IS 3Q2022'!AD102</f>
        <v>#REF!</v>
      </c>
      <c r="AE102" s="119" t="e">
        <f>#REF!-'IS 3Q2022'!AE102</f>
        <v>#REF!</v>
      </c>
      <c r="AF102" s="119" t="e">
        <f>#REF!-'IS 3Q2022'!AF102</f>
        <v>#REF!</v>
      </c>
      <c r="AG102" s="131" t="e">
        <f>#REF!-'IS 3Q2022'!AG102</f>
        <v>#REF!</v>
      </c>
      <c r="AH102" s="119" t="e">
        <f>#REF!-'IS 3Q2022'!AH102</f>
        <v>#REF!</v>
      </c>
      <c r="AI102" s="119" t="e">
        <f>#REF!-'IS 3Q2022'!AI102</f>
        <v>#REF!</v>
      </c>
      <c r="AJ102" s="119" t="e">
        <f>#REF!-'IS 3Q2022'!AJ102</f>
        <v>#REF!</v>
      </c>
      <c r="AK102" s="119" t="e">
        <f>#REF!-'IS 3Q2022'!AK102</f>
        <v>#REF!</v>
      </c>
      <c r="AL102" s="131" t="e">
        <f>#REF!-'IS 3Q2022'!AL102</f>
        <v>#REF!</v>
      </c>
      <c r="AM102" s="119" t="e">
        <f>#REF!-'IS 3Q2022'!AM102</f>
        <v>#REF!</v>
      </c>
      <c r="AN102" s="119" t="e">
        <f>#REF!-'IS 3Q2022'!AN102</f>
        <v>#REF!</v>
      </c>
      <c r="AO102" s="119" t="e">
        <f>#REF!-'IS 3Q2022'!AO102</f>
        <v>#REF!</v>
      </c>
      <c r="AP102" s="119" t="e">
        <f>#REF!-'IS 3Q2022'!AP102</f>
        <v>#REF!</v>
      </c>
      <c r="AQ102" s="131" t="e">
        <f>#REF!-'IS 3Q2022'!AQ102</f>
        <v>#REF!</v>
      </c>
      <c r="AR102" s="119" t="e">
        <f>#REF!-'IS 3Q2022'!AR102</f>
        <v>#REF!</v>
      </c>
      <c r="AS102" s="119" t="e">
        <f>#REF!-'IS 3Q2022'!AS102</f>
        <v>#REF!</v>
      </c>
      <c r="AT102" s="119" t="e">
        <f>#REF!-'IS 3Q2022'!AT102</f>
        <v>#REF!</v>
      </c>
      <c r="AU102" s="119" t="e">
        <f>#REF!-'IS 3Q2022'!AU102</f>
        <v>#REF!</v>
      </c>
      <c r="AV102" s="131" t="e">
        <f>#REF!-'IS 3Q2022'!AV102</f>
        <v>#REF!</v>
      </c>
    </row>
    <row r="103" spans="1:48" outlineLevel="1" x14ac:dyDescent="0.3">
      <c r="B103" s="46" t="s">
        <v>123</v>
      </c>
      <c r="C103" s="19"/>
      <c r="D103" s="103" t="e">
        <f>#REF!-'IS 3Q2022'!D103</f>
        <v>#REF!</v>
      </c>
      <c r="E103" s="103" t="e">
        <f>#REF!-'IS 3Q2022'!E103</f>
        <v>#REF!</v>
      </c>
      <c r="F103" s="103" t="e">
        <f>#REF!-'IS 3Q2022'!F103</f>
        <v>#REF!</v>
      </c>
      <c r="G103" s="103" t="e">
        <f>#REF!-'IS 3Q2022'!G103</f>
        <v>#REF!</v>
      </c>
      <c r="H103" s="171" t="e">
        <f>#REF!-'IS 3Q2022'!H103</f>
        <v>#REF!</v>
      </c>
      <c r="I103" s="103" t="e">
        <f>#REF!-'IS 3Q2022'!I103</f>
        <v>#REF!</v>
      </c>
      <c r="J103" s="103" t="e">
        <f>#REF!-'IS 3Q2022'!J103</f>
        <v>#REF!</v>
      </c>
      <c r="K103" s="103" t="e">
        <f>#REF!-'IS 3Q2022'!K103</f>
        <v>#REF!</v>
      </c>
      <c r="L103" s="103" t="e">
        <f>#REF!-'IS 3Q2022'!L103</f>
        <v>#REF!</v>
      </c>
      <c r="M103" s="171" t="e">
        <f>#REF!-'IS 3Q2022'!M103</f>
        <v>#REF!</v>
      </c>
      <c r="N103" s="103" t="e">
        <f>#REF!-'IS 3Q2022'!N103</f>
        <v>#REF!</v>
      </c>
      <c r="O103" s="103" t="e">
        <f>#REF!-'IS 3Q2022'!O103</f>
        <v>#REF!</v>
      </c>
      <c r="P103" s="103" t="e">
        <f>#REF!-'IS 3Q2022'!P103</f>
        <v>#REF!</v>
      </c>
      <c r="Q103" s="103" t="e">
        <f>#REF!-'IS 3Q2022'!Q103</f>
        <v>#REF!</v>
      </c>
      <c r="R103" s="171" t="e">
        <f>#REF!-'IS 3Q2022'!R103</f>
        <v>#REF!</v>
      </c>
      <c r="S103" s="103" t="e">
        <f>#REF!-'IS 3Q2022'!S103</f>
        <v>#REF!</v>
      </c>
      <c r="T103" s="103" t="e">
        <f>#REF!-'IS 3Q2022'!T103</f>
        <v>#REF!</v>
      </c>
      <c r="U103" s="103" t="e">
        <f>#REF!-'IS 3Q2022'!U103</f>
        <v>#REF!</v>
      </c>
      <c r="V103" s="103" t="e">
        <f>#REF!-'IS 3Q2022'!V103</f>
        <v>#REF!</v>
      </c>
      <c r="W103" s="171" t="e">
        <f>#REF!-'IS 3Q2022'!W103</f>
        <v>#REF!</v>
      </c>
      <c r="X103" s="103" t="e">
        <f>#REF!-'IS 3Q2022'!X103</f>
        <v>#REF!</v>
      </c>
      <c r="Y103" s="103" t="e">
        <f>#REF!-'IS 3Q2022'!Y103</f>
        <v>#REF!</v>
      </c>
      <c r="Z103" s="103" t="e">
        <f>#REF!-'IS 3Q2022'!Z103</f>
        <v>#REF!</v>
      </c>
      <c r="AA103" s="103" t="e">
        <f>#REF!-'IS 3Q2022'!AA103</f>
        <v>#REF!</v>
      </c>
      <c r="AB103" s="171" t="e">
        <f>#REF!-'IS 3Q2022'!AB103</f>
        <v>#REF!</v>
      </c>
      <c r="AC103" s="103" t="e">
        <f>#REF!-'IS 3Q2022'!AC103</f>
        <v>#REF!</v>
      </c>
      <c r="AD103" s="103" t="e">
        <f>#REF!-'IS 3Q2022'!AD103</f>
        <v>#REF!</v>
      </c>
      <c r="AE103" s="103" t="e">
        <f>#REF!-'IS 3Q2022'!AE103</f>
        <v>#REF!</v>
      </c>
      <c r="AF103" s="103" t="e">
        <f>#REF!-'IS 3Q2022'!AF103</f>
        <v>#REF!</v>
      </c>
      <c r="AG103" s="171" t="e">
        <f>#REF!-'IS 3Q2022'!AG103</f>
        <v>#REF!</v>
      </c>
      <c r="AH103" s="103" t="e">
        <f>#REF!-'IS 3Q2022'!AH103</f>
        <v>#REF!</v>
      </c>
      <c r="AI103" s="103" t="e">
        <f>#REF!-'IS 3Q2022'!AI103</f>
        <v>#REF!</v>
      </c>
      <c r="AJ103" s="103" t="e">
        <f>#REF!-'IS 3Q2022'!AJ103</f>
        <v>#REF!</v>
      </c>
      <c r="AK103" s="103" t="e">
        <f>#REF!-'IS 3Q2022'!AK103</f>
        <v>#REF!</v>
      </c>
      <c r="AL103" s="171" t="e">
        <f>#REF!-'IS 3Q2022'!AL103</f>
        <v>#REF!</v>
      </c>
      <c r="AM103" s="103" t="e">
        <f>#REF!-'IS 3Q2022'!AM103</f>
        <v>#REF!</v>
      </c>
      <c r="AN103" s="103" t="e">
        <f>#REF!-'IS 3Q2022'!AN103</f>
        <v>#REF!</v>
      </c>
      <c r="AO103" s="103" t="e">
        <f>#REF!-'IS 3Q2022'!AO103</f>
        <v>#REF!</v>
      </c>
      <c r="AP103" s="103" t="e">
        <f>#REF!-'IS 3Q2022'!AP103</f>
        <v>#REF!</v>
      </c>
      <c r="AQ103" s="171" t="e">
        <f>#REF!-'IS 3Q2022'!AQ103</f>
        <v>#REF!</v>
      </c>
      <c r="AR103" s="103" t="e">
        <f>#REF!-'IS 3Q2022'!AR103</f>
        <v>#REF!</v>
      </c>
      <c r="AS103" s="103" t="e">
        <f>#REF!-'IS 3Q2022'!AS103</f>
        <v>#REF!</v>
      </c>
      <c r="AT103" s="103" t="e">
        <f>#REF!-'IS 3Q2022'!AT103</f>
        <v>#REF!</v>
      </c>
      <c r="AU103" s="103" t="e">
        <f>#REF!-'IS 3Q2022'!AU103</f>
        <v>#REF!</v>
      </c>
      <c r="AV103" s="171" t="e">
        <f>#REF!-'IS 3Q2022'!AV103</f>
        <v>#REF!</v>
      </c>
    </row>
    <row r="104" spans="1:48" ht="16.2" outlineLevel="1" x14ac:dyDescent="0.45">
      <c r="B104" s="180" t="s">
        <v>36</v>
      </c>
      <c r="C104" s="18"/>
      <c r="D104" s="119" t="e">
        <f>#REF!-'IS 3Q2022'!D104</f>
        <v>#REF!</v>
      </c>
      <c r="E104" s="104" t="e">
        <f>#REF!-'IS 3Q2022'!E104</f>
        <v>#REF!</v>
      </c>
      <c r="F104" s="104" t="e">
        <f>#REF!-'IS 3Q2022'!F104</f>
        <v>#REF!</v>
      </c>
      <c r="G104" s="104" t="e">
        <f>#REF!-'IS 3Q2022'!G104</f>
        <v>#REF!</v>
      </c>
      <c r="H104" s="214" t="e">
        <f>#REF!-'IS 3Q2022'!H104</f>
        <v>#REF!</v>
      </c>
      <c r="I104" s="104" t="e">
        <f>#REF!-'IS 3Q2022'!I104</f>
        <v>#REF!</v>
      </c>
      <c r="J104" s="104" t="e">
        <f>#REF!-'IS 3Q2022'!J104</f>
        <v>#REF!</v>
      </c>
      <c r="K104" s="104" t="e">
        <f>#REF!-'IS 3Q2022'!K104</f>
        <v>#REF!</v>
      </c>
      <c r="L104" s="104" t="e">
        <f>#REF!-'IS 3Q2022'!L104</f>
        <v>#REF!</v>
      </c>
      <c r="M104" s="214" t="e">
        <f>#REF!-'IS 3Q2022'!M104</f>
        <v>#REF!</v>
      </c>
      <c r="N104" s="104" t="e">
        <f>#REF!-'IS 3Q2022'!N104</f>
        <v>#REF!</v>
      </c>
      <c r="O104" s="104" t="e">
        <f>#REF!-'IS 3Q2022'!O104</f>
        <v>#REF!</v>
      </c>
      <c r="P104" s="104" t="e">
        <f>#REF!-'IS 3Q2022'!P104</f>
        <v>#REF!</v>
      </c>
      <c r="Q104" s="104" t="e">
        <f>#REF!-'IS 3Q2022'!Q104</f>
        <v>#REF!</v>
      </c>
      <c r="R104" s="193" t="e">
        <f>#REF!-'IS 3Q2022'!R104</f>
        <v>#REF!</v>
      </c>
      <c r="S104" s="104" t="e">
        <f>#REF!-'IS 3Q2022'!S104</f>
        <v>#REF!</v>
      </c>
      <c r="T104" s="104" t="e">
        <f>#REF!-'IS 3Q2022'!T104</f>
        <v>#REF!</v>
      </c>
      <c r="U104" s="104" t="e">
        <f>#REF!-'IS 3Q2022'!U104</f>
        <v>#REF!</v>
      </c>
      <c r="V104" s="56" t="e">
        <f>#REF!-'IS 3Q2022'!V104</f>
        <v>#REF!</v>
      </c>
      <c r="W104" s="193" t="e">
        <f>#REF!-'IS 3Q2022'!W104</f>
        <v>#REF!</v>
      </c>
      <c r="X104" s="56" t="e">
        <f>#REF!-'IS 3Q2022'!X104</f>
        <v>#REF!</v>
      </c>
      <c r="Y104" s="56" t="e">
        <f>#REF!-'IS 3Q2022'!Y104</f>
        <v>#REF!</v>
      </c>
      <c r="Z104" s="56" t="e">
        <f>#REF!-'IS 3Q2022'!Z104</f>
        <v>#REF!</v>
      </c>
      <c r="AA104" s="56" t="e">
        <f>#REF!-'IS 3Q2022'!AA104</f>
        <v>#REF!</v>
      </c>
      <c r="AB104" s="193" t="e">
        <f>#REF!-'IS 3Q2022'!AB104</f>
        <v>#REF!</v>
      </c>
      <c r="AC104" s="56" t="e">
        <f>#REF!-'IS 3Q2022'!AC104</f>
        <v>#REF!</v>
      </c>
      <c r="AD104" s="56" t="e">
        <f>#REF!-'IS 3Q2022'!AD104</f>
        <v>#REF!</v>
      </c>
      <c r="AE104" s="56" t="e">
        <f>#REF!-'IS 3Q2022'!AE104</f>
        <v>#REF!</v>
      </c>
      <c r="AF104" s="56" t="e">
        <f>#REF!-'IS 3Q2022'!AF104</f>
        <v>#REF!</v>
      </c>
      <c r="AG104" s="193" t="e">
        <f>#REF!-'IS 3Q2022'!AG104</f>
        <v>#REF!</v>
      </c>
      <c r="AH104" s="56" t="e">
        <f>#REF!-'IS 3Q2022'!AH104</f>
        <v>#REF!</v>
      </c>
      <c r="AI104" s="56" t="e">
        <f>#REF!-'IS 3Q2022'!AI104</f>
        <v>#REF!</v>
      </c>
      <c r="AJ104" s="56" t="e">
        <f>#REF!-'IS 3Q2022'!AJ104</f>
        <v>#REF!</v>
      </c>
      <c r="AK104" s="56" t="e">
        <f>#REF!-'IS 3Q2022'!AK104</f>
        <v>#REF!</v>
      </c>
      <c r="AL104" s="193" t="e">
        <f>#REF!-'IS 3Q2022'!AL104</f>
        <v>#REF!</v>
      </c>
      <c r="AM104" s="56" t="e">
        <f>#REF!-'IS 3Q2022'!AM104</f>
        <v>#REF!</v>
      </c>
      <c r="AN104" s="56" t="e">
        <f>#REF!-'IS 3Q2022'!AN104</f>
        <v>#REF!</v>
      </c>
      <c r="AO104" s="56" t="e">
        <f>#REF!-'IS 3Q2022'!AO104</f>
        <v>#REF!</v>
      </c>
      <c r="AP104" s="56" t="e">
        <f>#REF!-'IS 3Q2022'!AP104</f>
        <v>#REF!</v>
      </c>
      <c r="AQ104" s="193" t="e">
        <f>#REF!-'IS 3Q2022'!AQ104</f>
        <v>#REF!</v>
      </c>
      <c r="AR104" s="56" t="e">
        <f>#REF!-'IS 3Q2022'!AR104</f>
        <v>#REF!</v>
      </c>
      <c r="AS104" s="56" t="e">
        <f>#REF!-'IS 3Q2022'!AS104</f>
        <v>#REF!</v>
      </c>
      <c r="AT104" s="56" t="e">
        <f>#REF!-'IS 3Q2022'!AT104</f>
        <v>#REF!</v>
      </c>
      <c r="AU104" s="56" t="e">
        <f>#REF!-'IS 3Q2022'!AU104</f>
        <v>#REF!</v>
      </c>
      <c r="AV104" s="193" t="e">
        <f>#REF!-'IS 3Q2022'!AV104</f>
        <v>#REF!</v>
      </c>
    </row>
    <row r="105" spans="1:48" outlineLevel="1" x14ac:dyDescent="0.3">
      <c r="B105" s="46" t="s">
        <v>124</v>
      </c>
      <c r="C105" s="44"/>
      <c r="D105" s="156" t="e">
        <f>#REF!-'IS 3Q2022'!D105</f>
        <v>#REF!</v>
      </c>
      <c r="E105" s="156" t="e">
        <f>#REF!-'IS 3Q2022'!E105</f>
        <v>#REF!</v>
      </c>
      <c r="F105" s="156" t="e">
        <f>#REF!-'IS 3Q2022'!F105</f>
        <v>#REF!</v>
      </c>
      <c r="G105" s="156" t="e">
        <f>#REF!-'IS 3Q2022'!G105</f>
        <v>#REF!</v>
      </c>
      <c r="H105" s="132" t="e">
        <f>#REF!-'IS 3Q2022'!H105</f>
        <v>#REF!</v>
      </c>
      <c r="I105" s="156" t="e">
        <f>#REF!-'IS 3Q2022'!I105</f>
        <v>#REF!</v>
      </c>
      <c r="J105" s="156" t="e">
        <f>#REF!-'IS 3Q2022'!J105</f>
        <v>#REF!</v>
      </c>
      <c r="K105" s="156" t="e">
        <f>#REF!-'IS 3Q2022'!K105</f>
        <v>#REF!</v>
      </c>
      <c r="L105" s="156" t="e">
        <f>#REF!-'IS 3Q2022'!L105</f>
        <v>#REF!</v>
      </c>
      <c r="M105" s="132" t="e">
        <f>#REF!-'IS 3Q2022'!M105</f>
        <v>#REF!</v>
      </c>
      <c r="N105" s="156" t="e">
        <f>#REF!-'IS 3Q2022'!N105</f>
        <v>#REF!</v>
      </c>
      <c r="O105" s="156" t="e">
        <f>#REF!-'IS 3Q2022'!O105</f>
        <v>#REF!</v>
      </c>
      <c r="P105" s="156" t="e">
        <f>#REF!-'IS 3Q2022'!P105</f>
        <v>#REF!</v>
      </c>
      <c r="Q105" s="156" t="e">
        <f>#REF!-'IS 3Q2022'!Q105</f>
        <v>#REF!</v>
      </c>
      <c r="R105" s="97" t="e">
        <f>#REF!-'IS 3Q2022'!R105</f>
        <v>#REF!</v>
      </c>
      <c r="S105" s="74" t="e">
        <f>#REF!-'IS 3Q2022'!S105</f>
        <v>#REF!</v>
      </c>
      <c r="T105" s="74" t="e">
        <f>#REF!-'IS 3Q2022'!T105</f>
        <v>#REF!</v>
      </c>
      <c r="U105" s="74" t="e">
        <f>#REF!-'IS 3Q2022'!U105</f>
        <v>#REF!</v>
      </c>
      <c r="V105" s="74" t="e">
        <f>#REF!-'IS 3Q2022'!V105</f>
        <v>#REF!</v>
      </c>
      <c r="W105" s="97" t="e">
        <f>#REF!-'IS 3Q2022'!W105</f>
        <v>#REF!</v>
      </c>
      <c r="X105" s="74" t="e">
        <f>#REF!-'IS 3Q2022'!X105</f>
        <v>#REF!</v>
      </c>
      <c r="Y105" s="74" t="e">
        <f>#REF!-'IS 3Q2022'!Y105</f>
        <v>#REF!</v>
      </c>
      <c r="Z105" s="74" t="e">
        <f>#REF!-'IS 3Q2022'!Z105</f>
        <v>#REF!</v>
      </c>
      <c r="AA105" s="74" t="e">
        <f>#REF!-'IS 3Q2022'!AA105</f>
        <v>#REF!</v>
      </c>
      <c r="AB105" s="97" t="e">
        <f>#REF!-'IS 3Q2022'!AB105</f>
        <v>#REF!</v>
      </c>
      <c r="AC105" s="74" t="e">
        <f>#REF!-'IS 3Q2022'!AC105</f>
        <v>#REF!</v>
      </c>
      <c r="AD105" s="74" t="e">
        <f>#REF!-'IS 3Q2022'!AD105</f>
        <v>#REF!</v>
      </c>
      <c r="AE105" s="74" t="e">
        <f>#REF!-'IS 3Q2022'!AE105</f>
        <v>#REF!</v>
      </c>
      <c r="AF105" s="74" t="e">
        <f>#REF!-'IS 3Q2022'!AF105</f>
        <v>#REF!</v>
      </c>
      <c r="AG105" s="97" t="e">
        <f>#REF!-'IS 3Q2022'!AG105</f>
        <v>#REF!</v>
      </c>
      <c r="AH105" s="74" t="e">
        <f>#REF!-'IS 3Q2022'!AH105</f>
        <v>#REF!</v>
      </c>
      <c r="AI105" s="74" t="e">
        <f>#REF!-'IS 3Q2022'!AI105</f>
        <v>#REF!</v>
      </c>
      <c r="AJ105" s="74" t="e">
        <f>#REF!-'IS 3Q2022'!AJ105</f>
        <v>#REF!</v>
      </c>
      <c r="AK105" s="74" t="e">
        <f>#REF!-'IS 3Q2022'!AK105</f>
        <v>#REF!</v>
      </c>
      <c r="AL105" s="97" t="e">
        <f>#REF!-'IS 3Q2022'!AL105</f>
        <v>#REF!</v>
      </c>
      <c r="AM105" s="74" t="e">
        <f>#REF!-'IS 3Q2022'!AM105</f>
        <v>#REF!</v>
      </c>
      <c r="AN105" s="74" t="e">
        <f>#REF!-'IS 3Q2022'!AN105</f>
        <v>#REF!</v>
      </c>
      <c r="AO105" s="74" t="e">
        <f>#REF!-'IS 3Q2022'!AO105</f>
        <v>#REF!</v>
      </c>
      <c r="AP105" s="74" t="e">
        <f>#REF!-'IS 3Q2022'!AP105</f>
        <v>#REF!</v>
      </c>
      <c r="AQ105" s="97" t="e">
        <f>#REF!-'IS 3Q2022'!AQ105</f>
        <v>#REF!</v>
      </c>
      <c r="AR105" s="74" t="e">
        <f>#REF!-'IS 3Q2022'!AR105</f>
        <v>#REF!</v>
      </c>
      <c r="AS105" s="74" t="e">
        <f>#REF!-'IS 3Q2022'!AS105</f>
        <v>#REF!</v>
      </c>
      <c r="AT105" s="74" t="e">
        <f>#REF!-'IS 3Q2022'!AT105</f>
        <v>#REF!</v>
      </c>
      <c r="AU105" s="74" t="e">
        <f>#REF!-'IS 3Q2022'!AU105</f>
        <v>#REF!</v>
      </c>
      <c r="AV105" s="97" t="e">
        <f>#REF!-'IS 3Q2022'!AV105</f>
        <v>#REF!</v>
      </c>
    </row>
    <row r="106" spans="1:48" outlineLevel="1" x14ac:dyDescent="0.3">
      <c r="B106" s="46" t="s">
        <v>125</v>
      </c>
      <c r="C106" s="44"/>
      <c r="D106" s="157" t="e">
        <f>#REF!-'IS 3Q2022'!D106</f>
        <v>#REF!</v>
      </c>
      <c r="E106" s="157" t="e">
        <f>#REF!-'IS 3Q2022'!E106</f>
        <v>#REF!</v>
      </c>
      <c r="F106" s="157" t="e">
        <f>#REF!-'IS 3Q2022'!F106</f>
        <v>#REF!</v>
      </c>
      <c r="G106" s="157" t="e">
        <f>#REF!-'IS 3Q2022'!G106</f>
        <v>#REF!</v>
      </c>
      <c r="H106" s="133" t="e">
        <f>#REF!-'IS 3Q2022'!H106</f>
        <v>#REF!</v>
      </c>
      <c r="I106" s="157" t="e">
        <f>#REF!-'IS 3Q2022'!I106</f>
        <v>#REF!</v>
      </c>
      <c r="J106" s="157" t="e">
        <f>#REF!-'IS 3Q2022'!J106</f>
        <v>#REF!</v>
      </c>
      <c r="K106" s="157" t="e">
        <f>#REF!-'IS 3Q2022'!K106</f>
        <v>#REF!</v>
      </c>
      <c r="L106" s="157" t="e">
        <f>#REF!-'IS 3Q2022'!L106</f>
        <v>#REF!</v>
      </c>
      <c r="M106" s="133" t="e">
        <f>#REF!-'IS 3Q2022'!M106</f>
        <v>#REF!</v>
      </c>
      <c r="N106" s="157" t="e">
        <f>#REF!-'IS 3Q2022'!N106</f>
        <v>#REF!</v>
      </c>
      <c r="O106" s="157" t="e">
        <f>#REF!-'IS 3Q2022'!O106</f>
        <v>#REF!</v>
      </c>
      <c r="P106" s="157" t="e">
        <f>#REF!-'IS 3Q2022'!P106</f>
        <v>#REF!</v>
      </c>
      <c r="Q106" s="157" t="e">
        <f>#REF!-'IS 3Q2022'!Q106</f>
        <v>#REF!</v>
      </c>
      <c r="R106" s="98" t="e">
        <f>#REF!-'IS 3Q2022'!R106</f>
        <v>#REF!</v>
      </c>
      <c r="S106" s="75" t="e">
        <f>#REF!-'IS 3Q2022'!S106</f>
        <v>#REF!</v>
      </c>
      <c r="T106" s="75" t="e">
        <f>#REF!-'IS 3Q2022'!T106</f>
        <v>#REF!</v>
      </c>
      <c r="U106" s="75" t="e">
        <f>#REF!-'IS 3Q2022'!U106</f>
        <v>#REF!</v>
      </c>
      <c r="V106" s="75" t="e">
        <f>#REF!-'IS 3Q2022'!V106</f>
        <v>#REF!</v>
      </c>
      <c r="W106" s="98" t="e">
        <f>#REF!-'IS 3Q2022'!W106</f>
        <v>#REF!</v>
      </c>
      <c r="X106" s="75" t="e">
        <f>#REF!-'IS 3Q2022'!X106</f>
        <v>#REF!</v>
      </c>
      <c r="Y106" s="75" t="e">
        <f>#REF!-'IS 3Q2022'!Y106</f>
        <v>#REF!</v>
      </c>
      <c r="Z106" s="75" t="e">
        <f>#REF!-'IS 3Q2022'!Z106</f>
        <v>#REF!</v>
      </c>
      <c r="AA106" s="75" t="e">
        <f>#REF!-'IS 3Q2022'!AA106</f>
        <v>#REF!</v>
      </c>
      <c r="AB106" s="98" t="e">
        <f>#REF!-'IS 3Q2022'!AB106</f>
        <v>#REF!</v>
      </c>
      <c r="AC106" s="75" t="e">
        <f>#REF!-'IS 3Q2022'!AC106</f>
        <v>#REF!</v>
      </c>
      <c r="AD106" s="75" t="e">
        <f>#REF!-'IS 3Q2022'!AD106</f>
        <v>#REF!</v>
      </c>
      <c r="AE106" s="75" t="e">
        <f>#REF!-'IS 3Q2022'!AE106</f>
        <v>#REF!</v>
      </c>
      <c r="AF106" s="75" t="e">
        <f>#REF!-'IS 3Q2022'!AF106</f>
        <v>#REF!</v>
      </c>
      <c r="AG106" s="98" t="e">
        <f>#REF!-'IS 3Q2022'!AG106</f>
        <v>#REF!</v>
      </c>
      <c r="AH106" s="75" t="e">
        <f>#REF!-'IS 3Q2022'!AH106</f>
        <v>#REF!</v>
      </c>
      <c r="AI106" s="75" t="e">
        <f>#REF!-'IS 3Q2022'!AI106</f>
        <v>#REF!</v>
      </c>
      <c r="AJ106" s="75" t="e">
        <f>#REF!-'IS 3Q2022'!AJ106</f>
        <v>#REF!</v>
      </c>
      <c r="AK106" s="75" t="e">
        <f>#REF!-'IS 3Q2022'!AK106</f>
        <v>#REF!</v>
      </c>
      <c r="AL106" s="98" t="e">
        <f>#REF!-'IS 3Q2022'!AL106</f>
        <v>#REF!</v>
      </c>
      <c r="AM106" s="75" t="e">
        <f>#REF!-'IS 3Q2022'!AM106</f>
        <v>#REF!</v>
      </c>
      <c r="AN106" s="75" t="e">
        <f>#REF!-'IS 3Q2022'!AN106</f>
        <v>#REF!</v>
      </c>
      <c r="AO106" s="75" t="e">
        <f>#REF!-'IS 3Q2022'!AO106</f>
        <v>#REF!</v>
      </c>
      <c r="AP106" s="75" t="e">
        <f>#REF!-'IS 3Q2022'!AP106</f>
        <v>#REF!</v>
      </c>
      <c r="AQ106" s="98" t="e">
        <f>#REF!-'IS 3Q2022'!AQ106</f>
        <v>#REF!</v>
      </c>
      <c r="AR106" s="75" t="e">
        <f>#REF!-'IS 3Q2022'!AR106</f>
        <v>#REF!</v>
      </c>
      <c r="AS106" s="75" t="e">
        <f>#REF!-'IS 3Q2022'!AS106</f>
        <v>#REF!</v>
      </c>
      <c r="AT106" s="75" t="e">
        <f>#REF!-'IS 3Q2022'!AT106</f>
        <v>#REF!</v>
      </c>
      <c r="AU106" s="75" t="e">
        <f>#REF!-'IS 3Q2022'!AU106</f>
        <v>#REF!</v>
      </c>
      <c r="AV106" s="98" t="e">
        <f>#REF!-'IS 3Q2022'!AV106</f>
        <v>#REF!</v>
      </c>
    </row>
    <row r="107" spans="1:48" ht="17.399999999999999" x14ac:dyDescent="0.45">
      <c r="B107" s="583" t="s">
        <v>51</v>
      </c>
      <c r="C107" s="584"/>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2" t="s">
        <v>25</v>
      </c>
      <c r="W107" s="42" t="s">
        <v>26</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87" t="s">
        <v>126</v>
      </c>
      <c r="C108" s="588"/>
      <c r="D108" s="101" t="e">
        <f>#REF!-'IS 3Q2022'!D108</f>
        <v>#REF!</v>
      </c>
      <c r="E108" s="50" t="e">
        <f>#REF!-'IS 3Q2022'!E108</f>
        <v>#REF!</v>
      </c>
      <c r="F108" s="103" t="e">
        <f>#REF!-'IS 3Q2022'!F108</f>
        <v>#REF!</v>
      </c>
      <c r="G108" s="50" t="e">
        <f>#REF!-'IS 3Q2022'!G108</f>
        <v>#REF!</v>
      </c>
      <c r="H108" s="31" t="e">
        <f>#REF!-'IS 3Q2022'!H108</f>
        <v>#REF!</v>
      </c>
      <c r="I108" s="50" t="e">
        <f>#REF!-'IS 3Q2022'!I108</f>
        <v>#REF!</v>
      </c>
      <c r="J108" s="50" t="e">
        <f>#REF!-'IS 3Q2022'!J108</f>
        <v>#REF!</v>
      </c>
      <c r="K108" s="50" t="e">
        <f>#REF!-'IS 3Q2022'!K108</f>
        <v>#REF!</v>
      </c>
      <c r="L108" s="50" t="e">
        <f>#REF!-'IS 3Q2022'!L108</f>
        <v>#REF!</v>
      </c>
      <c r="M108" s="31" t="e">
        <f>#REF!-'IS 3Q2022'!M108</f>
        <v>#REF!</v>
      </c>
      <c r="N108" s="50" t="e">
        <f>#REF!-'IS 3Q2022'!N108</f>
        <v>#REF!</v>
      </c>
      <c r="O108" s="50" t="e">
        <f>#REF!-'IS 3Q2022'!O108</f>
        <v>#REF!</v>
      </c>
      <c r="P108" s="50" t="e">
        <f>#REF!-'IS 3Q2022'!P108</f>
        <v>#REF!</v>
      </c>
      <c r="Q108" s="103" t="e">
        <f>#REF!-'IS 3Q2022'!Q108</f>
        <v>#REF!</v>
      </c>
      <c r="R108" s="126" t="e">
        <f>#REF!-'IS 3Q2022'!R108</f>
        <v>#REF!</v>
      </c>
      <c r="S108" s="50" t="e">
        <f>#REF!-'IS 3Q2022'!S108</f>
        <v>#REF!</v>
      </c>
      <c r="T108" s="50" t="e">
        <f>#REF!-'IS 3Q2022'!T108</f>
        <v>#REF!</v>
      </c>
      <c r="U108" s="50" t="e">
        <f>#REF!-'IS 3Q2022'!U108</f>
        <v>#REF!</v>
      </c>
      <c r="V108" s="50" t="e">
        <f>#REF!-'IS 3Q2022'!V108</f>
        <v>#REF!</v>
      </c>
      <c r="W108" s="31" t="e">
        <f>#REF!-'IS 3Q2022'!W108</f>
        <v>#REF!</v>
      </c>
      <c r="X108" s="50" t="e">
        <f>#REF!-'IS 3Q2022'!X108</f>
        <v>#REF!</v>
      </c>
      <c r="Y108" s="50" t="e">
        <f>#REF!-'IS 3Q2022'!Y108</f>
        <v>#REF!</v>
      </c>
      <c r="Z108" s="50" t="e">
        <f>#REF!-'IS 3Q2022'!Z108</f>
        <v>#REF!</v>
      </c>
      <c r="AA108" s="50" t="e">
        <f>#REF!-'IS 3Q2022'!AA108</f>
        <v>#REF!</v>
      </c>
      <c r="AB108" s="31" t="e">
        <f>#REF!-'IS 3Q2022'!AB108</f>
        <v>#REF!</v>
      </c>
      <c r="AC108" s="50" t="e">
        <f>#REF!-'IS 3Q2022'!AC108</f>
        <v>#REF!</v>
      </c>
      <c r="AD108" s="50" t="e">
        <f>#REF!-'IS 3Q2022'!AD108</f>
        <v>#REF!</v>
      </c>
      <c r="AE108" s="50" t="e">
        <f>#REF!-'IS 3Q2022'!AE108</f>
        <v>#REF!</v>
      </c>
      <c r="AF108" s="50" t="e">
        <f>#REF!-'IS 3Q2022'!AF108</f>
        <v>#REF!</v>
      </c>
      <c r="AG108" s="31" t="e">
        <f>#REF!-'IS 3Q2022'!AG108</f>
        <v>#REF!</v>
      </c>
      <c r="AH108" s="50" t="e">
        <f>#REF!-'IS 3Q2022'!AH108</f>
        <v>#REF!</v>
      </c>
      <c r="AI108" s="50" t="e">
        <f>#REF!-'IS 3Q2022'!AI108</f>
        <v>#REF!</v>
      </c>
      <c r="AJ108" s="50" t="e">
        <f>#REF!-'IS 3Q2022'!AJ108</f>
        <v>#REF!</v>
      </c>
      <c r="AK108" s="50" t="e">
        <f>#REF!-'IS 3Q2022'!AK108</f>
        <v>#REF!</v>
      </c>
      <c r="AL108" s="31" t="e">
        <f>#REF!-'IS 3Q2022'!AL108</f>
        <v>#REF!</v>
      </c>
      <c r="AM108" s="50" t="e">
        <f>#REF!-'IS 3Q2022'!AM108</f>
        <v>#REF!</v>
      </c>
      <c r="AN108" s="50" t="e">
        <f>#REF!-'IS 3Q2022'!AN108</f>
        <v>#REF!</v>
      </c>
      <c r="AO108" s="50" t="e">
        <f>#REF!-'IS 3Q2022'!AO108</f>
        <v>#REF!</v>
      </c>
      <c r="AP108" s="50" t="e">
        <f>#REF!-'IS 3Q2022'!AP108</f>
        <v>#REF!</v>
      </c>
      <c r="AQ108" s="31" t="e">
        <f>#REF!-'IS 3Q2022'!AQ108</f>
        <v>#REF!</v>
      </c>
      <c r="AR108" s="50" t="e">
        <f>#REF!-'IS 3Q2022'!AR108</f>
        <v>#REF!</v>
      </c>
      <c r="AS108" s="50" t="e">
        <f>#REF!-'IS 3Q2022'!AS108</f>
        <v>#REF!</v>
      </c>
      <c r="AT108" s="50" t="e">
        <f>#REF!-'IS 3Q2022'!AT108</f>
        <v>#REF!</v>
      </c>
      <c r="AU108" s="50" t="e">
        <f>#REF!-'IS 3Q2022'!AU108</f>
        <v>#REF!</v>
      </c>
      <c r="AV108" s="31" t="e">
        <f>#REF!-'IS 3Q2022'!AV108</f>
        <v>#REF!</v>
      </c>
    </row>
    <row r="109" spans="1:48" outlineLevel="1" x14ac:dyDescent="0.3">
      <c r="B109" s="69" t="s">
        <v>58</v>
      </c>
      <c r="C109" s="70"/>
      <c r="D109" s="120" t="e">
        <f>#REF!-'IS 3Q2022'!D109</f>
        <v>#REF!</v>
      </c>
      <c r="E109" s="120" t="e">
        <f>#REF!-'IS 3Q2022'!E109</f>
        <v>#REF!</v>
      </c>
      <c r="F109" s="120" t="e">
        <f>#REF!-'IS 3Q2022'!F109</f>
        <v>#REF!</v>
      </c>
      <c r="G109" s="120" t="e">
        <f>#REF!-'IS 3Q2022'!G109</f>
        <v>#REF!</v>
      </c>
      <c r="H109" s="58" t="e">
        <f>#REF!-'IS 3Q2022'!H109</f>
        <v>#REF!</v>
      </c>
      <c r="I109" s="120" t="e">
        <f>#REF!-'IS 3Q2022'!I109</f>
        <v>#REF!</v>
      </c>
      <c r="J109" s="120" t="e">
        <f>#REF!-'IS 3Q2022'!J109</f>
        <v>#REF!</v>
      </c>
      <c r="K109" s="120" t="e">
        <f>#REF!-'IS 3Q2022'!K109</f>
        <v>#REF!</v>
      </c>
      <c r="L109" s="120" t="e">
        <f>#REF!-'IS 3Q2022'!L109</f>
        <v>#REF!</v>
      </c>
      <c r="M109" s="168" t="e">
        <f>#REF!-'IS 3Q2022'!M109</f>
        <v>#REF!</v>
      </c>
      <c r="N109" s="120" t="e">
        <f>#REF!-'IS 3Q2022'!N109</f>
        <v>#REF!</v>
      </c>
      <c r="O109" s="120" t="e">
        <f>#REF!-'IS 3Q2022'!O109</f>
        <v>#REF!</v>
      </c>
      <c r="P109" s="120" t="e">
        <f>#REF!-'IS 3Q2022'!P109</f>
        <v>#REF!</v>
      </c>
      <c r="Q109" s="120" t="e">
        <f>#REF!-'IS 3Q2022'!Q109</f>
        <v>#REF!</v>
      </c>
      <c r="R109" s="168" t="e">
        <f>#REF!-'IS 3Q2022'!R109</f>
        <v>#REF!</v>
      </c>
      <c r="S109" s="120" t="e">
        <f>#REF!-'IS 3Q2022'!S109</f>
        <v>#REF!</v>
      </c>
      <c r="T109" s="120" t="e">
        <f>#REF!-'IS 3Q2022'!T109</f>
        <v>#REF!</v>
      </c>
      <c r="U109" s="120" t="e">
        <f>#REF!-'IS 3Q2022'!U109</f>
        <v>#REF!</v>
      </c>
      <c r="V109" s="197" t="e">
        <f>#REF!-'IS 3Q2022'!V109</f>
        <v>#REF!</v>
      </c>
      <c r="W109" s="168" t="e">
        <f>#REF!-'IS 3Q2022'!W109</f>
        <v>#REF!</v>
      </c>
      <c r="X109" s="197" t="e">
        <f>#REF!-'IS 3Q2022'!X109</f>
        <v>#REF!</v>
      </c>
      <c r="Y109" s="197" t="e">
        <f>#REF!-'IS 3Q2022'!Y109</f>
        <v>#REF!</v>
      </c>
      <c r="Z109" s="197" t="e">
        <f>#REF!-'IS 3Q2022'!Z109</f>
        <v>#REF!</v>
      </c>
      <c r="AA109" s="197" t="e">
        <f>#REF!-'IS 3Q2022'!AA109</f>
        <v>#REF!</v>
      </c>
      <c r="AB109" s="168" t="e">
        <f>#REF!-'IS 3Q2022'!AB109</f>
        <v>#REF!</v>
      </c>
      <c r="AC109" s="197" t="e">
        <f>#REF!-'IS 3Q2022'!AC109</f>
        <v>#REF!</v>
      </c>
      <c r="AD109" s="197" t="e">
        <f>#REF!-'IS 3Q2022'!AD109</f>
        <v>#REF!</v>
      </c>
      <c r="AE109" s="197" t="e">
        <f>#REF!-'IS 3Q2022'!AE109</f>
        <v>#REF!</v>
      </c>
      <c r="AF109" s="197" t="e">
        <f>#REF!-'IS 3Q2022'!AF109</f>
        <v>#REF!</v>
      </c>
      <c r="AG109" s="168" t="e">
        <f>#REF!-'IS 3Q2022'!AG109</f>
        <v>#REF!</v>
      </c>
      <c r="AH109" s="197" t="e">
        <f>#REF!-'IS 3Q2022'!AH109</f>
        <v>#REF!</v>
      </c>
      <c r="AI109" s="197" t="e">
        <f>#REF!-'IS 3Q2022'!AI109</f>
        <v>#REF!</v>
      </c>
      <c r="AJ109" s="197" t="e">
        <f>#REF!-'IS 3Q2022'!AJ109</f>
        <v>#REF!</v>
      </c>
      <c r="AK109" s="197" t="e">
        <f>#REF!-'IS 3Q2022'!AK109</f>
        <v>#REF!</v>
      </c>
      <c r="AL109" s="168" t="e">
        <f>#REF!-'IS 3Q2022'!AL109</f>
        <v>#REF!</v>
      </c>
      <c r="AM109" s="197" t="e">
        <f>#REF!-'IS 3Q2022'!AM109</f>
        <v>#REF!</v>
      </c>
      <c r="AN109" s="197" t="e">
        <f>#REF!-'IS 3Q2022'!AN109</f>
        <v>#REF!</v>
      </c>
      <c r="AO109" s="197" t="e">
        <f>#REF!-'IS 3Q2022'!AO109</f>
        <v>#REF!</v>
      </c>
      <c r="AP109" s="197" t="e">
        <f>#REF!-'IS 3Q2022'!AP109</f>
        <v>#REF!</v>
      </c>
      <c r="AQ109" s="168" t="e">
        <f>#REF!-'IS 3Q2022'!AQ109</f>
        <v>#REF!</v>
      </c>
      <c r="AR109" s="197" t="e">
        <f>#REF!-'IS 3Q2022'!AR109</f>
        <v>#REF!</v>
      </c>
      <c r="AS109" s="197" t="e">
        <f>#REF!-'IS 3Q2022'!AS109</f>
        <v>#REF!</v>
      </c>
      <c r="AT109" s="197" t="e">
        <f>#REF!-'IS 3Q2022'!AT109</f>
        <v>#REF!</v>
      </c>
      <c r="AU109" s="197" t="e">
        <f>#REF!-'IS 3Q2022'!AU109</f>
        <v>#REF!</v>
      </c>
      <c r="AV109" s="168" t="e">
        <f>#REF!-'IS 3Q2022'!AV109</f>
        <v>#REF!</v>
      </c>
    </row>
    <row r="110" spans="1:48" outlineLevel="1" x14ac:dyDescent="0.3">
      <c r="B110" s="607" t="s">
        <v>100</v>
      </c>
      <c r="C110" s="608"/>
      <c r="D110" s="48" t="e">
        <f>#REF!-'IS 3Q2022'!D110</f>
        <v>#REF!</v>
      </c>
      <c r="E110" s="48" t="e">
        <f>#REF!-'IS 3Q2022'!E110</f>
        <v>#REF!</v>
      </c>
      <c r="F110" s="48" t="e">
        <f>#REF!-'IS 3Q2022'!F110</f>
        <v>#REF!</v>
      </c>
      <c r="G110" s="48" t="e">
        <f>#REF!-'IS 3Q2022'!G110</f>
        <v>#REF!</v>
      </c>
      <c r="H110" s="76" t="e">
        <f>#REF!-'IS 3Q2022'!H110</f>
        <v>#REF!</v>
      </c>
      <c r="I110" s="48" t="e">
        <f>#REF!-'IS 3Q2022'!I110</f>
        <v>#REF!</v>
      </c>
      <c r="J110" s="48" t="e">
        <f>#REF!-'IS 3Q2022'!J110</f>
        <v>#REF!</v>
      </c>
      <c r="K110" s="48" t="e">
        <f>#REF!-'IS 3Q2022'!K110</f>
        <v>#REF!</v>
      </c>
      <c r="L110" s="48" t="e">
        <f>#REF!-'IS 3Q2022'!L110</f>
        <v>#REF!</v>
      </c>
      <c r="M110" s="76" t="e">
        <f>#REF!-'IS 3Q2022'!M110</f>
        <v>#REF!</v>
      </c>
      <c r="N110" s="48" t="e">
        <f>#REF!-'IS 3Q2022'!N110</f>
        <v>#REF!</v>
      </c>
      <c r="O110" s="48" t="e">
        <f>#REF!-'IS 3Q2022'!O110</f>
        <v>#REF!</v>
      </c>
      <c r="P110" s="48" t="e">
        <f>#REF!-'IS 3Q2022'!P110</f>
        <v>#REF!</v>
      </c>
      <c r="Q110" s="105" t="e">
        <f>#REF!-'IS 3Q2022'!Q110</f>
        <v>#REF!</v>
      </c>
      <c r="R110" s="76" t="e">
        <f>#REF!-'IS 3Q2022'!R110</f>
        <v>#REF!</v>
      </c>
      <c r="S110" s="48" t="e">
        <f>#REF!-'IS 3Q2022'!S110</f>
        <v>#REF!</v>
      </c>
      <c r="T110" s="48" t="e">
        <f>#REF!-'IS 3Q2022'!T110</f>
        <v>#REF!</v>
      </c>
      <c r="U110" s="48" t="e">
        <f>#REF!-'IS 3Q2022'!U110</f>
        <v>#REF!</v>
      </c>
      <c r="V110" s="48" t="e">
        <f>#REF!-'IS 3Q2022'!V110</f>
        <v>#REF!</v>
      </c>
      <c r="W110" s="76" t="e">
        <f>#REF!-'IS 3Q2022'!W110</f>
        <v>#REF!</v>
      </c>
      <c r="X110" s="48" t="e">
        <f>#REF!-'IS 3Q2022'!X110</f>
        <v>#REF!</v>
      </c>
      <c r="Y110" s="48" t="e">
        <f>#REF!-'IS 3Q2022'!Y110</f>
        <v>#REF!</v>
      </c>
      <c r="Z110" s="48" t="e">
        <f>#REF!-'IS 3Q2022'!Z110</f>
        <v>#REF!</v>
      </c>
      <c r="AA110" s="48" t="e">
        <f>#REF!-'IS 3Q2022'!AA110</f>
        <v>#REF!</v>
      </c>
      <c r="AB110" s="76" t="e">
        <f>#REF!-'IS 3Q2022'!AB110</f>
        <v>#REF!</v>
      </c>
      <c r="AC110" s="48" t="e">
        <f>#REF!-'IS 3Q2022'!AC110</f>
        <v>#REF!</v>
      </c>
      <c r="AD110" s="48" t="e">
        <f>#REF!-'IS 3Q2022'!AD110</f>
        <v>#REF!</v>
      </c>
      <c r="AE110" s="48" t="e">
        <f>#REF!-'IS 3Q2022'!AE110</f>
        <v>#REF!</v>
      </c>
      <c r="AF110" s="48" t="e">
        <f>#REF!-'IS 3Q2022'!AF110</f>
        <v>#REF!</v>
      </c>
      <c r="AG110" s="76" t="e">
        <f>#REF!-'IS 3Q2022'!AG110</f>
        <v>#REF!</v>
      </c>
      <c r="AH110" s="48" t="e">
        <f>#REF!-'IS 3Q2022'!AH110</f>
        <v>#REF!</v>
      </c>
      <c r="AI110" s="48" t="e">
        <f>#REF!-'IS 3Q2022'!AI110</f>
        <v>#REF!</v>
      </c>
      <c r="AJ110" s="48" t="e">
        <f>#REF!-'IS 3Q2022'!AJ110</f>
        <v>#REF!</v>
      </c>
      <c r="AK110" s="48" t="e">
        <f>#REF!-'IS 3Q2022'!AK110</f>
        <v>#REF!</v>
      </c>
      <c r="AL110" s="76" t="e">
        <f>#REF!-'IS 3Q2022'!AL110</f>
        <v>#REF!</v>
      </c>
      <c r="AM110" s="48" t="e">
        <f>#REF!-'IS 3Q2022'!AM110</f>
        <v>#REF!</v>
      </c>
      <c r="AN110" s="48" t="e">
        <f>#REF!-'IS 3Q2022'!AN110</f>
        <v>#REF!</v>
      </c>
      <c r="AO110" s="48" t="e">
        <f>#REF!-'IS 3Q2022'!AO110</f>
        <v>#REF!</v>
      </c>
      <c r="AP110" s="48" t="e">
        <f>#REF!-'IS 3Q2022'!AP110</f>
        <v>#REF!</v>
      </c>
      <c r="AQ110" s="76" t="e">
        <f>#REF!-'IS 3Q2022'!AQ110</f>
        <v>#REF!</v>
      </c>
      <c r="AR110" s="48" t="e">
        <f>#REF!-'IS 3Q2022'!AR110</f>
        <v>#REF!</v>
      </c>
      <c r="AS110" s="48" t="e">
        <f>#REF!-'IS 3Q2022'!AS110</f>
        <v>#REF!</v>
      </c>
      <c r="AT110" s="48" t="e">
        <f>#REF!-'IS 3Q2022'!AT110</f>
        <v>#REF!</v>
      </c>
      <c r="AU110" s="48" t="e">
        <f>#REF!-'IS 3Q2022'!AU110</f>
        <v>#REF!</v>
      </c>
      <c r="AV110" s="76" t="e">
        <f>#REF!-'IS 3Q2022'!AV110</f>
        <v>#REF!</v>
      </c>
    </row>
    <row r="111" spans="1:48" s="183" customFormat="1" outlineLevel="1" x14ac:dyDescent="0.3">
      <c r="A111" s="238"/>
      <c r="B111" s="181" t="s">
        <v>151</v>
      </c>
      <c r="C111" s="182"/>
      <c r="D111" s="167" t="e">
        <f>#REF!-'IS 3Q2022'!D111</f>
        <v>#REF!</v>
      </c>
      <c r="E111" s="167" t="e">
        <f>#REF!-'IS 3Q2022'!E111</f>
        <v>#REF!</v>
      </c>
      <c r="F111" s="167" t="e">
        <f>#REF!-'IS 3Q2022'!F111</f>
        <v>#REF!</v>
      </c>
      <c r="G111" s="167" t="e">
        <f>#REF!-'IS 3Q2022'!G111</f>
        <v>#REF!</v>
      </c>
      <c r="H111" s="188" t="e">
        <f>#REF!-'IS 3Q2022'!H111</f>
        <v>#REF!</v>
      </c>
      <c r="I111" s="167" t="e">
        <f>#REF!-'IS 3Q2022'!I111</f>
        <v>#REF!</v>
      </c>
      <c r="J111" s="167" t="e">
        <f>#REF!-'IS 3Q2022'!J111</f>
        <v>#REF!</v>
      </c>
      <c r="K111" s="167" t="e">
        <f>#REF!-'IS 3Q2022'!K111</f>
        <v>#REF!</v>
      </c>
      <c r="L111" s="187" t="e">
        <f>#REF!-'IS 3Q2022'!L111</f>
        <v>#REF!</v>
      </c>
      <c r="M111" s="188" t="e">
        <f>#REF!-'IS 3Q2022'!M111</f>
        <v>#REF!</v>
      </c>
      <c r="N111" s="187" t="e">
        <f>#REF!-'IS 3Q2022'!N111</f>
        <v>#REF!</v>
      </c>
      <c r="O111" s="167" t="e">
        <f>#REF!-'IS 3Q2022'!O111</f>
        <v>#REF!</v>
      </c>
      <c r="P111" s="167" t="e">
        <f>#REF!-'IS 3Q2022'!P111</f>
        <v>#REF!</v>
      </c>
      <c r="Q111" s="167" t="e">
        <f>#REF!-'IS 3Q2022'!Q111</f>
        <v>#REF!</v>
      </c>
      <c r="R111" s="188" t="e">
        <f>#REF!-'IS 3Q2022'!R111</f>
        <v>#REF!</v>
      </c>
      <c r="S111" s="187" t="e">
        <f>#REF!-'IS 3Q2022'!S111</f>
        <v>#REF!</v>
      </c>
      <c r="T111" s="167" t="e">
        <f>#REF!-'IS 3Q2022'!T111</f>
        <v>#REF!</v>
      </c>
      <c r="U111" s="167" t="e">
        <f>#REF!-'IS 3Q2022'!U111</f>
        <v>#REF!</v>
      </c>
      <c r="V111" s="189" t="e">
        <f>#REF!-'IS 3Q2022'!V111</f>
        <v>#REF!</v>
      </c>
      <c r="W111" s="188" t="e">
        <f>#REF!-'IS 3Q2022'!W111</f>
        <v>#REF!</v>
      </c>
      <c r="X111" s="189" t="e">
        <f>#REF!-'IS 3Q2022'!X111</f>
        <v>#REF!</v>
      </c>
      <c r="Y111" s="189" t="e">
        <f>#REF!-'IS 3Q2022'!Y111</f>
        <v>#REF!</v>
      </c>
      <c r="Z111" s="189" t="e">
        <f>#REF!-'IS 3Q2022'!Z111</f>
        <v>#REF!</v>
      </c>
      <c r="AA111" s="189" t="e">
        <f>#REF!-'IS 3Q2022'!AA111</f>
        <v>#REF!</v>
      </c>
      <c r="AB111" s="188" t="e">
        <f>#REF!-'IS 3Q2022'!AB111</f>
        <v>#REF!</v>
      </c>
      <c r="AC111" s="189" t="e">
        <f>#REF!-'IS 3Q2022'!AC111</f>
        <v>#REF!</v>
      </c>
      <c r="AD111" s="189" t="e">
        <f>#REF!-'IS 3Q2022'!AD111</f>
        <v>#REF!</v>
      </c>
      <c r="AE111" s="189" t="e">
        <f>#REF!-'IS 3Q2022'!AE111</f>
        <v>#REF!</v>
      </c>
      <c r="AF111" s="189" t="e">
        <f>#REF!-'IS 3Q2022'!AF111</f>
        <v>#REF!</v>
      </c>
      <c r="AG111" s="188" t="e">
        <f>#REF!-'IS 3Q2022'!AG111</f>
        <v>#REF!</v>
      </c>
      <c r="AH111" s="189" t="e">
        <f>#REF!-'IS 3Q2022'!AH111</f>
        <v>#REF!</v>
      </c>
      <c r="AI111" s="189" t="e">
        <f>#REF!-'IS 3Q2022'!AI111</f>
        <v>#REF!</v>
      </c>
      <c r="AJ111" s="189" t="e">
        <f>#REF!-'IS 3Q2022'!AJ111</f>
        <v>#REF!</v>
      </c>
      <c r="AK111" s="189" t="e">
        <f>#REF!-'IS 3Q2022'!AK111</f>
        <v>#REF!</v>
      </c>
      <c r="AL111" s="188" t="e">
        <f>#REF!-'IS 3Q2022'!AL111</f>
        <v>#REF!</v>
      </c>
      <c r="AM111" s="189" t="e">
        <f>#REF!-'IS 3Q2022'!AM111</f>
        <v>#REF!</v>
      </c>
      <c r="AN111" s="189" t="e">
        <f>#REF!-'IS 3Q2022'!AN111</f>
        <v>#REF!</v>
      </c>
      <c r="AO111" s="189" t="e">
        <f>#REF!-'IS 3Q2022'!AO111</f>
        <v>#REF!</v>
      </c>
      <c r="AP111" s="189" t="e">
        <f>#REF!-'IS 3Q2022'!AP111</f>
        <v>#REF!</v>
      </c>
      <c r="AQ111" s="188" t="e">
        <f>#REF!-'IS 3Q2022'!AQ111</f>
        <v>#REF!</v>
      </c>
      <c r="AR111" s="189" t="e">
        <f>#REF!-'IS 3Q2022'!AR111</f>
        <v>#REF!</v>
      </c>
      <c r="AS111" s="189" t="e">
        <f>#REF!-'IS 3Q2022'!AS111</f>
        <v>#REF!</v>
      </c>
      <c r="AT111" s="189" t="e">
        <f>#REF!-'IS 3Q2022'!AT111</f>
        <v>#REF!</v>
      </c>
      <c r="AU111" s="189" t="e">
        <f>#REF!-'IS 3Q2022'!AU111</f>
        <v>#REF!</v>
      </c>
      <c r="AV111" s="188" t="e">
        <f>#REF!-'IS 3Q2022'!AV111</f>
        <v>#REF!</v>
      </c>
    </row>
    <row r="112" spans="1:48" outlineLevel="1" x14ac:dyDescent="0.3">
      <c r="B112" s="180" t="s">
        <v>33</v>
      </c>
      <c r="C112" s="18"/>
      <c r="D112" s="48" t="e">
        <f>#REF!-'IS 3Q2022'!D112</f>
        <v>#REF!</v>
      </c>
      <c r="E112" s="48" t="e">
        <f>#REF!-'IS 3Q2022'!E112</f>
        <v>#REF!</v>
      </c>
      <c r="F112" s="48" t="e">
        <f>#REF!-'IS 3Q2022'!F112</f>
        <v>#REF!</v>
      </c>
      <c r="G112" s="48" t="e">
        <f>#REF!-'IS 3Q2022'!G112</f>
        <v>#REF!</v>
      </c>
      <c r="H112" s="49" t="e">
        <f>#REF!-'IS 3Q2022'!H112</f>
        <v>#REF!</v>
      </c>
      <c r="I112" s="48" t="e">
        <f>#REF!-'IS 3Q2022'!I112</f>
        <v>#REF!</v>
      </c>
      <c r="J112" s="48" t="e">
        <f>#REF!-'IS 3Q2022'!J112</f>
        <v>#REF!</v>
      </c>
      <c r="K112" s="48" t="e">
        <f>#REF!-'IS 3Q2022'!K112</f>
        <v>#REF!</v>
      </c>
      <c r="L112" s="48" t="e">
        <f>#REF!-'IS 3Q2022'!L112</f>
        <v>#REF!</v>
      </c>
      <c r="M112" s="49" t="e">
        <f>#REF!-'IS 3Q2022'!M112</f>
        <v>#REF!</v>
      </c>
      <c r="N112" s="48" t="e">
        <f>#REF!-'IS 3Q2022'!N112</f>
        <v>#REF!</v>
      </c>
      <c r="O112" s="48" t="e">
        <f>#REF!-'IS 3Q2022'!O112</f>
        <v>#REF!</v>
      </c>
      <c r="P112" s="48" t="e">
        <f>#REF!-'IS 3Q2022'!P112</f>
        <v>#REF!</v>
      </c>
      <c r="Q112" s="105" t="e">
        <f>#REF!-'IS 3Q2022'!Q112</f>
        <v>#REF!</v>
      </c>
      <c r="R112" s="49" t="e">
        <f>#REF!-'IS 3Q2022'!R112</f>
        <v>#REF!</v>
      </c>
      <c r="S112" s="48" t="e">
        <f>#REF!-'IS 3Q2022'!S112</f>
        <v>#REF!</v>
      </c>
      <c r="T112" s="48" t="e">
        <f>#REF!-'IS 3Q2022'!T112</f>
        <v>#REF!</v>
      </c>
      <c r="U112" s="48" t="e">
        <f>#REF!-'IS 3Q2022'!U112</f>
        <v>#REF!</v>
      </c>
      <c r="V112" s="48" t="e">
        <f>#REF!-'IS 3Q2022'!V112</f>
        <v>#REF!</v>
      </c>
      <c r="W112" s="49" t="e">
        <f>#REF!-'IS 3Q2022'!W112</f>
        <v>#REF!</v>
      </c>
      <c r="X112" s="48" t="e">
        <f>#REF!-'IS 3Q2022'!X112</f>
        <v>#REF!</v>
      </c>
      <c r="Y112" s="48" t="e">
        <f>#REF!-'IS 3Q2022'!Y112</f>
        <v>#REF!</v>
      </c>
      <c r="Z112" s="48" t="e">
        <f>#REF!-'IS 3Q2022'!Z112</f>
        <v>#REF!</v>
      </c>
      <c r="AA112" s="48" t="e">
        <f>#REF!-'IS 3Q2022'!AA112</f>
        <v>#REF!</v>
      </c>
      <c r="AB112" s="49" t="e">
        <f>#REF!-'IS 3Q2022'!AB112</f>
        <v>#REF!</v>
      </c>
      <c r="AC112" s="48" t="e">
        <f>#REF!-'IS 3Q2022'!AC112</f>
        <v>#REF!</v>
      </c>
      <c r="AD112" s="48" t="e">
        <f>#REF!-'IS 3Q2022'!AD112</f>
        <v>#REF!</v>
      </c>
      <c r="AE112" s="48" t="e">
        <f>#REF!-'IS 3Q2022'!AE112</f>
        <v>#REF!</v>
      </c>
      <c r="AF112" s="48" t="e">
        <f>#REF!-'IS 3Q2022'!AF112</f>
        <v>#REF!</v>
      </c>
      <c r="AG112" s="49" t="e">
        <f>#REF!-'IS 3Q2022'!AG112</f>
        <v>#REF!</v>
      </c>
      <c r="AH112" s="48" t="e">
        <f>#REF!-'IS 3Q2022'!AH112</f>
        <v>#REF!</v>
      </c>
      <c r="AI112" s="48" t="e">
        <f>#REF!-'IS 3Q2022'!AI112</f>
        <v>#REF!</v>
      </c>
      <c r="AJ112" s="48" t="e">
        <f>#REF!-'IS 3Q2022'!AJ112</f>
        <v>#REF!</v>
      </c>
      <c r="AK112" s="48" t="e">
        <f>#REF!-'IS 3Q2022'!AK112</f>
        <v>#REF!</v>
      </c>
      <c r="AL112" s="49" t="e">
        <f>#REF!-'IS 3Q2022'!AL112</f>
        <v>#REF!</v>
      </c>
      <c r="AM112" s="48" t="e">
        <f>#REF!-'IS 3Q2022'!AM112</f>
        <v>#REF!</v>
      </c>
      <c r="AN112" s="48" t="e">
        <f>#REF!-'IS 3Q2022'!AN112</f>
        <v>#REF!</v>
      </c>
      <c r="AO112" s="48" t="e">
        <f>#REF!-'IS 3Q2022'!AO112</f>
        <v>#REF!</v>
      </c>
      <c r="AP112" s="48" t="e">
        <f>#REF!-'IS 3Q2022'!AP112</f>
        <v>#REF!</v>
      </c>
      <c r="AQ112" s="49" t="e">
        <f>#REF!-'IS 3Q2022'!AQ112</f>
        <v>#REF!</v>
      </c>
      <c r="AR112" s="48" t="e">
        <f>#REF!-'IS 3Q2022'!AR112</f>
        <v>#REF!</v>
      </c>
      <c r="AS112" s="48" t="e">
        <f>#REF!-'IS 3Q2022'!AS112</f>
        <v>#REF!</v>
      </c>
      <c r="AT112" s="48" t="e">
        <f>#REF!-'IS 3Q2022'!AT112</f>
        <v>#REF!</v>
      </c>
      <c r="AU112" s="48" t="e">
        <f>#REF!-'IS 3Q2022'!AU112</f>
        <v>#REF!</v>
      </c>
      <c r="AV112" s="49" t="e">
        <f>#REF!-'IS 3Q2022'!AV112</f>
        <v>#REF!</v>
      </c>
    </row>
    <row r="113" spans="2:48" s="184" customFormat="1" outlineLevel="1" x14ac:dyDescent="0.3">
      <c r="B113" s="181" t="s">
        <v>154</v>
      </c>
      <c r="C113" s="190"/>
      <c r="D113" s="187" t="e">
        <f>#REF!-'IS 3Q2022'!D113</f>
        <v>#REF!</v>
      </c>
      <c r="E113" s="187" t="e">
        <f>#REF!-'IS 3Q2022'!E113</f>
        <v>#REF!</v>
      </c>
      <c r="F113" s="187" t="e">
        <f>#REF!-'IS 3Q2022'!F113</f>
        <v>#REF!</v>
      </c>
      <c r="G113" s="187" t="e">
        <f>#REF!-'IS 3Q2022'!G113</f>
        <v>#REF!</v>
      </c>
      <c r="H113" s="188" t="e">
        <f>#REF!-'IS 3Q2022'!H113</f>
        <v>#REF!</v>
      </c>
      <c r="I113" s="187" t="e">
        <f>#REF!-'IS 3Q2022'!I113</f>
        <v>#REF!</v>
      </c>
      <c r="J113" s="187" t="e">
        <f>#REF!-'IS 3Q2022'!J113</f>
        <v>#REF!</v>
      </c>
      <c r="K113" s="187" t="e">
        <f>#REF!-'IS 3Q2022'!K113</f>
        <v>#REF!</v>
      </c>
      <c r="L113" s="187" t="e">
        <f>#REF!-'IS 3Q2022'!L113</f>
        <v>#REF!</v>
      </c>
      <c r="M113" s="188" t="e">
        <f>#REF!-'IS 3Q2022'!M113</f>
        <v>#REF!</v>
      </c>
      <c r="N113" s="187" t="e">
        <f>#REF!-'IS 3Q2022'!N113</f>
        <v>#REF!</v>
      </c>
      <c r="O113" s="187" t="e">
        <f>#REF!-'IS 3Q2022'!O113</f>
        <v>#REF!</v>
      </c>
      <c r="P113" s="187" t="e">
        <f>#REF!-'IS 3Q2022'!P113</f>
        <v>#REF!</v>
      </c>
      <c r="Q113" s="167" t="e">
        <f>#REF!-'IS 3Q2022'!Q113</f>
        <v>#REF!</v>
      </c>
      <c r="R113" s="188" t="e">
        <f>#REF!-'IS 3Q2022'!R113</f>
        <v>#REF!</v>
      </c>
      <c r="S113" s="187" t="e">
        <f>#REF!-'IS 3Q2022'!S113</f>
        <v>#REF!</v>
      </c>
      <c r="T113" s="187" t="e">
        <f>#REF!-'IS 3Q2022'!T113</f>
        <v>#REF!</v>
      </c>
      <c r="U113" s="187" t="e">
        <f>#REF!-'IS 3Q2022'!U113</f>
        <v>#REF!</v>
      </c>
      <c r="V113" s="189" t="e">
        <f>#REF!-'IS 3Q2022'!V113</f>
        <v>#REF!</v>
      </c>
      <c r="W113" s="188" t="e">
        <f>#REF!-'IS 3Q2022'!W113</f>
        <v>#REF!</v>
      </c>
      <c r="X113" s="189" t="e">
        <f>#REF!-'IS 3Q2022'!X113</f>
        <v>#REF!</v>
      </c>
      <c r="Y113" s="189" t="e">
        <f>#REF!-'IS 3Q2022'!Y113</f>
        <v>#REF!</v>
      </c>
      <c r="Z113" s="189" t="e">
        <f>#REF!-'IS 3Q2022'!Z113</f>
        <v>#REF!</v>
      </c>
      <c r="AA113" s="189" t="e">
        <f>#REF!-'IS 3Q2022'!AA113</f>
        <v>#REF!</v>
      </c>
      <c r="AB113" s="188" t="e">
        <f>#REF!-'IS 3Q2022'!AB113</f>
        <v>#REF!</v>
      </c>
      <c r="AC113" s="189" t="e">
        <f>#REF!-'IS 3Q2022'!AC113</f>
        <v>#REF!</v>
      </c>
      <c r="AD113" s="189" t="e">
        <f>#REF!-'IS 3Q2022'!AD113</f>
        <v>#REF!</v>
      </c>
      <c r="AE113" s="189" t="e">
        <f>#REF!-'IS 3Q2022'!AE113</f>
        <v>#REF!</v>
      </c>
      <c r="AF113" s="189" t="e">
        <f>#REF!-'IS 3Q2022'!AF113</f>
        <v>#REF!</v>
      </c>
      <c r="AG113" s="188" t="e">
        <f>#REF!-'IS 3Q2022'!AG113</f>
        <v>#REF!</v>
      </c>
      <c r="AH113" s="189" t="e">
        <f>#REF!-'IS 3Q2022'!AH113</f>
        <v>#REF!</v>
      </c>
      <c r="AI113" s="189" t="e">
        <f>#REF!-'IS 3Q2022'!AI113</f>
        <v>#REF!</v>
      </c>
      <c r="AJ113" s="189" t="e">
        <f>#REF!-'IS 3Q2022'!AJ113</f>
        <v>#REF!</v>
      </c>
      <c r="AK113" s="189" t="e">
        <f>#REF!-'IS 3Q2022'!AK113</f>
        <v>#REF!</v>
      </c>
      <c r="AL113" s="188" t="e">
        <f>#REF!-'IS 3Q2022'!AL113</f>
        <v>#REF!</v>
      </c>
      <c r="AM113" s="189" t="e">
        <f>#REF!-'IS 3Q2022'!AM113</f>
        <v>#REF!</v>
      </c>
      <c r="AN113" s="189" t="e">
        <f>#REF!-'IS 3Q2022'!AN113</f>
        <v>#REF!</v>
      </c>
      <c r="AO113" s="189" t="e">
        <f>#REF!-'IS 3Q2022'!AO113</f>
        <v>#REF!</v>
      </c>
      <c r="AP113" s="189" t="e">
        <f>#REF!-'IS 3Q2022'!AP113</f>
        <v>#REF!</v>
      </c>
      <c r="AQ113" s="188" t="e">
        <f>#REF!-'IS 3Q2022'!AQ113</f>
        <v>#REF!</v>
      </c>
      <c r="AR113" s="189" t="e">
        <f>#REF!-'IS 3Q2022'!AR113</f>
        <v>#REF!</v>
      </c>
      <c r="AS113" s="189" t="e">
        <f>#REF!-'IS 3Q2022'!AS113</f>
        <v>#REF!</v>
      </c>
      <c r="AT113" s="189" t="e">
        <f>#REF!-'IS 3Q2022'!AT113</f>
        <v>#REF!</v>
      </c>
      <c r="AU113" s="189" t="e">
        <f>#REF!-'IS 3Q2022'!AU113</f>
        <v>#REF!</v>
      </c>
      <c r="AV113" s="188" t="e">
        <f>#REF!-'IS 3Q2022'!AV113</f>
        <v>#REF!</v>
      </c>
    </row>
    <row r="114" spans="2:48" outlineLevel="1" x14ac:dyDescent="0.3">
      <c r="B114" s="180" t="s">
        <v>34</v>
      </c>
      <c r="C114" s="18"/>
      <c r="D114" s="358" t="e">
        <f>#REF!-'IS 3Q2022'!D114</f>
        <v>#REF!</v>
      </c>
      <c r="E114" s="358" t="e">
        <f>#REF!-'IS 3Q2022'!E114</f>
        <v>#REF!</v>
      </c>
      <c r="F114" s="358" t="e">
        <f>#REF!-'IS 3Q2022'!F114</f>
        <v>#REF!</v>
      </c>
      <c r="G114" s="358" t="e">
        <f>#REF!-'IS 3Q2022'!G114</f>
        <v>#REF!</v>
      </c>
      <c r="H114" s="126" t="e">
        <f>#REF!-'IS 3Q2022'!H114</f>
        <v>#REF!</v>
      </c>
      <c r="I114" s="358" t="e">
        <f>#REF!-'IS 3Q2022'!I114</f>
        <v>#REF!</v>
      </c>
      <c r="J114" s="358" t="e">
        <f>#REF!-'IS 3Q2022'!J114</f>
        <v>#REF!</v>
      </c>
      <c r="K114" s="358" t="e">
        <f>#REF!-'IS 3Q2022'!K114</f>
        <v>#REF!</v>
      </c>
      <c r="L114" s="358" t="e">
        <f>#REF!-'IS 3Q2022'!L114</f>
        <v>#REF!</v>
      </c>
      <c r="M114" s="126" t="e">
        <f>#REF!-'IS 3Q2022'!M114</f>
        <v>#REF!</v>
      </c>
      <c r="N114" s="358" t="e">
        <f>#REF!-'IS 3Q2022'!N114</f>
        <v>#REF!</v>
      </c>
      <c r="O114" s="358" t="e">
        <f>#REF!-'IS 3Q2022'!O114</f>
        <v>#REF!</v>
      </c>
      <c r="P114" s="358" t="e">
        <f>#REF!-'IS 3Q2022'!P114</f>
        <v>#REF!</v>
      </c>
      <c r="Q114" s="358" t="e">
        <f>#REF!-'IS 3Q2022'!Q114</f>
        <v>#REF!</v>
      </c>
      <c r="R114" s="126" t="e">
        <f>#REF!-'IS 3Q2022'!R114</f>
        <v>#REF!</v>
      </c>
      <c r="S114" s="358" t="e">
        <f>#REF!-'IS 3Q2022'!S114</f>
        <v>#REF!</v>
      </c>
      <c r="T114" s="358" t="e">
        <f>#REF!-'IS 3Q2022'!T114</f>
        <v>#REF!</v>
      </c>
      <c r="U114" s="358" t="e">
        <f>#REF!-'IS 3Q2022'!U114</f>
        <v>#REF!</v>
      </c>
      <c r="V114" s="360" t="e">
        <f>#REF!-'IS 3Q2022'!V114</f>
        <v>#REF!</v>
      </c>
      <c r="W114" s="126" t="e">
        <f>#REF!-'IS 3Q2022'!W114</f>
        <v>#REF!</v>
      </c>
      <c r="X114" s="360" t="e">
        <f>#REF!-'IS 3Q2022'!X114</f>
        <v>#REF!</v>
      </c>
      <c r="Y114" s="360" t="e">
        <f>#REF!-'IS 3Q2022'!Y114</f>
        <v>#REF!</v>
      </c>
      <c r="Z114" s="360" t="e">
        <f>#REF!-'IS 3Q2022'!Z114</f>
        <v>#REF!</v>
      </c>
      <c r="AA114" s="360" t="e">
        <f>#REF!-'IS 3Q2022'!AA114</f>
        <v>#REF!</v>
      </c>
      <c r="AB114" s="126" t="e">
        <f>#REF!-'IS 3Q2022'!AB114</f>
        <v>#REF!</v>
      </c>
      <c r="AC114" s="360" t="e">
        <f>#REF!-'IS 3Q2022'!AC114</f>
        <v>#REF!</v>
      </c>
      <c r="AD114" s="360" t="e">
        <f>#REF!-'IS 3Q2022'!AD114</f>
        <v>#REF!</v>
      </c>
      <c r="AE114" s="360" t="e">
        <f>#REF!-'IS 3Q2022'!AE114</f>
        <v>#REF!</v>
      </c>
      <c r="AF114" s="360" t="e">
        <f>#REF!-'IS 3Q2022'!AF114</f>
        <v>#REF!</v>
      </c>
      <c r="AG114" s="126" t="e">
        <f>#REF!-'IS 3Q2022'!AG114</f>
        <v>#REF!</v>
      </c>
      <c r="AH114" s="360" t="e">
        <f>#REF!-'IS 3Q2022'!AH114</f>
        <v>#REF!</v>
      </c>
      <c r="AI114" s="360" t="e">
        <f>#REF!-'IS 3Q2022'!AI114</f>
        <v>#REF!</v>
      </c>
      <c r="AJ114" s="360" t="e">
        <f>#REF!-'IS 3Q2022'!AJ114</f>
        <v>#REF!</v>
      </c>
      <c r="AK114" s="360" t="e">
        <f>#REF!-'IS 3Q2022'!AK114</f>
        <v>#REF!</v>
      </c>
      <c r="AL114" s="126" t="e">
        <f>#REF!-'IS 3Q2022'!AL114</f>
        <v>#REF!</v>
      </c>
      <c r="AM114" s="360" t="e">
        <f>#REF!-'IS 3Q2022'!AM114</f>
        <v>#REF!</v>
      </c>
      <c r="AN114" s="360" t="e">
        <f>#REF!-'IS 3Q2022'!AN114</f>
        <v>#REF!</v>
      </c>
      <c r="AO114" s="360" t="e">
        <f>#REF!-'IS 3Q2022'!AO114</f>
        <v>#REF!</v>
      </c>
      <c r="AP114" s="360" t="e">
        <f>#REF!-'IS 3Q2022'!AP114</f>
        <v>#REF!</v>
      </c>
      <c r="AQ114" s="126" t="e">
        <f>#REF!-'IS 3Q2022'!AQ114</f>
        <v>#REF!</v>
      </c>
      <c r="AR114" s="360" t="e">
        <f>#REF!-'IS 3Q2022'!AR114</f>
        <v>#REF!</v>
      </c>
      <c r="AS114" s="360" t="e">
        <f>#REF!-'IS 3Q2022'!AS114</f>
        <v>#REF!</v>
      </c>
      <c r="AT114" s="360" t="e">
        <f>#REF!-'IS 3Q2022'!AT114</f>
        <v>#REF!</v>
      </c>
      <c r="AU114" s="360" t="e">
        <f>#REF!-'IS 3Q2022'!AU114</f>
        <v>#REF!</v>
      </c>
      <c r="AV114" s="126" t="e">
        <f>#REF!-'IS 3Q2022'!AV114</f>
        <v>#REF!</v>
      </c>
    </row>
    <row r="115" spans="2:48" outlineLevel="1" x14ac:dyDescent="0.3">
      <c r="B115" s="180" t="s">
        <v>35</v>
      </c>
      <c r="C115" s="18"/>
      <c r="D115" s="48" t="e">
        <f>#REF!-'IS 3Q2022'!D115</f>
        <v>#REF!</v>
      </c>
      <c r="E115" s="48" t="e">
        <f>#REF!-'IS 3Q2022'!E115</f>
        <v>#REF!</v>
      </c>
      <c r="F115" s="48" t="e">
        <f>#REF!-'IS 3Q2022'!F115</f>
        <v>#REF!</v>
      </c>
      <c r="G115" s="48" t="e">
        <f>#REF!-'IS 3Q2022'!G115</f>
        <v>#REF!</v>
      </c>
      <c r="H115" s="49" t="e">
        <f>#REF!-'IS 3Q2022'!H115</f>
        <v>#REF!</v>
      </c>
      <c r="I115" s="48" t="e">
        <f>#REF!-'IS 3Q2022'!I115</f>
        <v>#REF!</v>
      </c>
      <c r="J115" s="48" t="e">
        <f>#REF!-'IS 3Q2022'!J115</f>
        <v>#REF!</v>
      </c>
      <c r="K115" s="48" t="e">
        <f>#REF!-'IS 3Q2022'!K115</f>
        <v>#REF!</v>
      </c>
      <c r="L115" s="48" t="e">
        <f>#REF!-'IS 3Q2022'!L115</f>
        <v>#REF!</v>
      </c>
      <c r="M115" s="49" t="e">
        <f>#REF!-'IS 3Q2022'!M115</f>
        <v>#REF!</v>
      </c>
      <c r="N115" s="48" t="e">
        <f>#REF!-'IS 3Q2022'!N115</f>
        <v>#REF!</v>
      </c>
      <c r="O115" s="48" t="e">
        <f>#REF!-'IS 3Q2022'!O115</f>
        <v>#REF!</v>
      </c>
      <c r="P115" s="48" t="e">
        <f>#REF!-'IS 3Q2022'!P115</f>
        <v>#REF!</v>
      </c>
      <c r="Q115" s="105" t="e">
        <f>#REF!-'IS 3Q2022'!Q115</f>
        <v>#REF!</v>
      </c>
      <c r="R115" s="49" t="e">
        <f>#REF!-'IS 3Q2022'!R115</f>
        <v>#REF!</v>
      </c>
      <c r="S115" s="48" t="e">
        <f>#REF!-'IS 3Q2022'!S115</f>
        <v>#REF!</v>
      </c>
      <c r="T115" s="48" t="e">
        <f>#REF!-'IS 3Q2022'!T115</f>
        <v>#REF!</v>
      </c>
      <c r="U115" s="48" t="e">
        <f>#REF!-'IS 3Q2022'!U115</f>
        <v>#REF!</v>
      </c>
      <c r="V115" s="48" t="e">
        <f>#REF!-'IS 3Q2022'!V115</f>
        <v>#REF!</v>
      </c>
      <c r="W115" s="49" t="e">
        <f>#REF!-'IS 3Q2022'!W115</f>
        <v>#REF!</v>
      </c>
      <c r="X115" s="48" t="e">
        <f>#REF!-'IS 3Q2022'!X115</f>
        <v>#REF!</v>
      </c>
      <c r="Y115" s="48" t="e">
        <f>#REF!-'IS 3Q2022'!Y115</f>
        <v>#REF!</v>
      </c>
      <c r="Z115" s="48" t="e">
        <f>#REF!-'IS 3Q2022'!Z115</f>
        <v>#REF!</v>
      </c>
      <c r="AA115" s="48" t="e">
        <f>#REF!-'IS 3Q2022'!AA115</f>
        <v>#REF!</v>
      </c>
      <c r="AB115" s="49" t="e">
        <f>#REF!-'IS 3Q2022'!AB115</f>
        <v>#REF!</v>
      </c>
      <c r="AC115" s="48" t="e">
        <f>#REF!-'IS 3Q2022'!AC115</f>
        <v>#REF!</v>
      </c>
      <c r="AD115" s="48" t="e">
        <f>#REF!-'IS 3Q2022'!AD115</f>
        <v>#REF!</v>
      </c>
      <c r="AE115" s="48" t="e">
        <f>#REF!-'IS 3Q2022'!AE115</f>
        <v>#REF!</v>
      </c>
      <c r="AF115" s="48" t="e">
        <f>#REF!-'IS 3Q2022'!AF115</f>
        <v>#REF!</v>
      </c>
      <c r="AG115" s="49" t="e">
        <f>#REF!-'IS 3Q2022'!AG115</f>
        <v>#REF!</v>
      </c>
      <c r="AH115" s="48" t="e">
        <f>#REF!-'IS 3Q2022'!AH115</f>
        <v>#REF!</v>
      </c>
      <c r="AI115" s="48" t="e">
        <f>#REF!-'IS 3Q2022'!AI115</f>
        <v>#REF!</v>
      </c>
      <c r="AJ115" s="48" t="e">
        <f>#REF!-'IS 3Q2022'!AJ115</f>
        <v>#REF!</v>
      </c>
      <c r="AK115" s="48" t="e">
        <f>#REF!-'IS 3Q2022'!AK115</f>
        <v>#REF!</v>
      </c>
      <c r="AL115" s="49" t="e">
        <f>#REF!-'IS 3Q2022'!AL115</f>
        <v>#REF!</v>
      </c>
      <c r="AM115" s="48" t="e">
        <f>#REF!-'IS 3Q2022'!AM115</f>
        <v>#REF!</v>
      </c>
      <c r="AN115" s="48" t="e">
        <f>#REF!-'IS 3Q2022'!AN115</f>
        <v>#REF!</v>
      </c>
      <c r="AO115" s="48" t="e">
        <f>#REF!-'IS 3Q2022'!AO115</f>
        <v>#REF!</v>
      </c>
      <c r="AP115" s="48" t="e">
        <f>#REF!-'IS 3Q2022'!AP115</f>
        <v>#REF!</v>
      </c>
      <c r="AQ115" s="49" t="e">
        <f>#REF!-'IS 3Q2022'!AQ115</f>
        <v>#REF!</v>
      </c>
      <c r="AR115" s="48" t="e">
        <f>#REF!-'IS 3Q2022'!AR115</f>
        <v>#REF!</v>
      </c>
      <c r="AS115" s="48" t="e">
        <f>#REF!-'IS 3Q2022'!AS115</f>
        <v>#REF!</v>
      </c>
      <c r="AT115" s="48" t="e">
        <f>#REF!-'IS 3Q2022'!AT115</f>
        <v>#REF!</v>
      </c>
      <c r="AU115" s="48" t="e">
        <f>#REF!-'IS 3Q2022'!AU115</f>
        <v>#REF!</v>
      </c>
      <c r="AV115" s="49" t="e">
        <f>#REF!-'IS 3Q2022'!AV115</f>
        <v>#REF!</v>
      </c>
    </row>
    <row r="116" spans="2:48" s="184" customFormat="1" outlineLevel="1" x14ac:dyDescent="0.3">
      <c r="B116" s="181" t="s">
        <v>153</v>
      </c>
      <c r="C116" s="190"/>
      <c r="D116" s="187" t="e">
        <f>#REF!-'IS 3Q2022'!D116</f>
        <v>#REF!</v>
      </c>
      <c r="E116" s="187" t="e">
        <f>#REF!-'IS 3Q2022'!E116</f>
        <v>#REF!</v>
      </c>
      <c r="F116" s="187" t="e">
        <f>#REF!-'IS 3Q2022'!F116</f>
        <v>#REF!</v>
      </c>
      <c r="G116" s="187" t="e">
        <f>#REF!-'IS 3Q2022'!G116</f>
        <v>#REF!</v>
      </c>
      <c r="H116" s="188" t="e">
        <f>#REF!-'IS 3Q2022'!H116</f>
        <v>#REF!</v>
      </c>
      <c r="I116" s="187" t="e">
        <f>#REF!-'IS 3Q2022'!I116</f>
        <v>#REF!</v>
      </c>
      <c r="J116" s="187" t="e">
        <f>#REF!-'IS 3Q2022'!J116</f>
        <v>#REF!</v>
      </c>
      <c r="K116" s="187" t="e">
        <f>#REF!-'IS 3Q2022'!K116</f>
        <v>#REF!</v>
      </c>
      <c r="L116" s="187" t="e">
        <f>#REF!-'IS 3Q2022'!L116</f>
        <v>#REF!</v>
      </c>
      <c r="M116" s="188" t="e">
        <f>#REF!-'IS 3Q2022'!M116</f>
        <v>#REF!</v>
      </c>
      <c r="N116" s="187" t="e">
        <f>#REF!-'IS 3Q2022'!N116</f>
        <v>#REF!</v>
      </c>
      <c r="O116" s="187" t="e">
        <f>#REF!-'IS 3Q2022'!O116</f>
        <v>#REF!</v>
      </c>
      <c r="P116" s="187" t="e">
        <f>#REF!-'IS 3Q2022'!P116</f>
        <v>#REF!</v>
      </c>
      <c r="Q116" s="167" t="e">
        <f>#REF!-'IS 3Q2022'!Q116</f>
        <v>#REF!</v>
      </c>
      <c r="R116" s="188" t="e">
        <f>#REF!-'IS 3Q2022'!R116</f>
        <v>#REF!</v>
      </c>
      <c r="S116" s="187" t="e">
        <f>#REF!-'IS 3Q2022'!S116</f>
        <v>#REF!</v>
      </c>
      <c r="T116" s="187" t="e">
        <f>#REF!-'IS 3Q2022'!T116</f>
        <v>#REF!</v>
      </c>
      <c r="U116" s="187" t="e">
        <f>#REF!-'IS 3Q2022'!U116</f>
        <v>#REF!</v>
      </c>
      <c r="V116" s="189" t="e">
        <f>#REF!-'IS 3Q2022'!V116</f>
        <v>#REF!</v>
      </c>
      <c r="W116" s="188" t="e">
        <f>#REF!-'IS 3Q2022'!W116</f>
        <v>#REF!</v>
      </c>
      <c r="X116" s="189" t="e">
        <f>#REF!-'IS 3Q2022'!X116</f>
        <v>#REF!</v>
      </c>
      <c r="Y116" s="189" t="e">
        <f>#REF!-'IS 3Q2022'!Y116</f>
        <v>#REF!</v>
      </c>
      <c r="Z116" s="189" t="e">
        <f>#REF!-'IS 3Q2022'!Z116</f>
        <v>#REF!</v>
      </c>
      <c r="AA116" s="189" t="e">
        <f>#REF!-'IS 3Q2022'!AA116</f>
        <v>#REF!</v>
      </c>
      <c r="AB116" s="188" t="e">
        <f>#REF!-'IS 3Q2022'!AB116</f>
        <v>#REF!</v>
      </c>
      <c r="AC116" s="189" t="e">
        <f>#REF!-'IS 3Q2022'!AC116</f>
        <v>#REF!</v>
      </c>
      <c r="AD116" s="189" t="e">
        <f>#REF!-'IS 3Q2022'!AD116</f>
        <v>#REF!</v>
      </c>
      <c r="AE116" s="189" t="e">
        <f>#REF!-'IS 3Q2022'!AE116</f>
        <v>#REF!</v>
      </c>
      <c r="AF116" s="189" t="e">
        <f>#REF!-'IS 3Q2022'!AF116</f>
        <v>#REF!</v>
      </c>
      <c r="AG116" s="188" t="e">
        <f>#REF!-'IS 3Q2022'!AG116</f>
        <v>#REF!</v>
      </c>
      <c r="AH116" s="189" t="e">
        <f>#REF!-'IS 3Q2022'!AH116</f>
        <v>#REF!</v>
      </c>
      <c r="AI116" s="189" t="e">
        <f>#REF!-'IS 3Q2022'!AI116</f>
        <v>#REF!</v>
      </c>
      <c r="AJ116" s="189" t="e">
        <f>#REF!-'IS 3Q2022'!AJ116</f>
        <v>#REF!</v>
      </c>
      <c r="AK116" s="189" t="e">
        <f>#REF!-'IS 3Q2022'!AK116</f>
        <v>#REF!</v>
      </c>
      <c r="AL116" s="188" t="e">
        <f>#REF!-'IS 3Q2022'!AL116</f>
        <v>#REF!</v>
      </c>
      <c r="AM116" s="189" t="e">
        <f>#REF!-'IS 3Q2022'!AM116</f>
        <v>#REF!</v>
      </c>
      <c r="AN116" s="189" t="e">
        <f>#REF!-'IS 3Q2022'!AN116</f>
        <v>#REF!</v>
      </c>
      <c r="AO116" s="189" t="e">
        <f>#REF!-'IS 3Q2022'!AO116</f>
        <v>#REF!</v>
      </c>
      <c r="AP116" s="189" t="e">
        <f>#REF!-'IS 3Q2022'!AP116</f>
        <v>#REF!</v>
      </c>
      <c r="AQ116" s="188" t="e">
        <f>#REF!-'IS 3Q2022'!AQ116</f>
        <v>#REF!</v>
      </c>
      <c r="AR116" s="189" t="e">
        <f>#REF!-'IS 3Q2022'!AR116</f>
        <v>#REF!</v>
      </c>
      <c r="AS116" s="189" t="e">
        <f>#REF!-'IS 3Q2022'!AS116</f>
        <v>#REF!</v>
      </c>
      <c r="AT116" s="189" t="e">
        <f>#REF!-'IS 3Q2022'!AT116</f>
        <v>#REF!</v>
      </c>
      <c r="AU116" s="189" t="e">
        <f>#REF!-'IS 3Q2022'!AU116</f>
        <v>#REF!</v>
      </c>
      <c r="AV116" s="188" t="e">
        <f>#REF!-'IS 3Q2022'!AV116</f>
        <v>#REF!</v>
      </c>
    </row>
    <row r="117" spans="2:48" ht="16.2" outlineLevel="1" x14ac:dyDescent="0.45">
      <c r="B117" s="180" t="s">
        <v>42</v>
      </c>
      <c r="C117" s="18"/>
      <c r="D117" s="119" t="e">
        <f>#REF!-'IS 3Q2022'!D117</f>
        <v>#REF!</v>
      </c>
      <c r="E117" s="119" t="e">
        <f>#REF!-'IS 3Q2022'!E117</f>
        <v>#REF!</v>
      </c>
      <c r="F117" s="119" t="e">
        <f>#REF!-'IS 3Q2022'!F117</f>
        <v>#REF!</v>
      </c>
      <c r="G117" s="119" t="e">
        <f>#REF!-'IS 3Q2022'!G117</f>
        <v>#REF!</v>
      </c>
      <c r="H117" s="131" t="e">
        <f>#REF!-'IS 3Q2022'!H117</f>
        <v>#REF!</v>
      </c>
      <c r="I117" s="119" t="e">
        <f>#REF!-'IS 3Q2022'!I117</f>
        <v>#REF!</v>
      </c>
      <c r="J117" s="119" t="e">
        <f>#REF!-'IS 3Q2022'!J117</f>
        <v>#REF!</v>
      </c>
      <c r="K117" s="119" t="e">
        <f>#REF!-'IS 3Q2022'!K117</f>
        <v>#REF!</v>
      </c>
      <c r="L117" s="119" t="e">
        <f>#REF!-'IS 3Q2022'!L117</f>
        <v>#REF!</v>
      </c>
      <c r="M117" s="131" t="e">
        <f>#REF!-'IS 3Q2022'!M117</f>
        <v>#REF!</v>
      </c>
      <c r="N117" s="119" t="e">
        <f>#REF!-'IS 3Q2022'!N117</f>
        <v>#REF!</v>
      </c>
      <c r="O117" s="119" t="e">
        <f>#REF!-'IS 3Q2022'!O117</f>
        <v>#REF!</v>
      </c>
      <c r="P117" s="119" t="e">
        <f>#REF!-'IS 3Q2022'!P117</f>
        <v>#REF!</v>
      </c>
      <c r="Q117" s="119" t="e">
        <f>#REF!-'IS 3Q2022'!Q117</f>
        <v>#REF!</v>
      </c>
      <c r="R117" s="131" t="e">
        <f>#REF!-'IS 3Q2022'!R117</f>
        <v>#REF!</v>
      </c>
      <c r="S117" s="119" t="e">
        <f>#REF!-'IS 3Q2022'!S117</f>
        <v>#REF!</v>
      </c>
      <c r="T117" s="119" t="e">
        <f>#REF!-'IS 3Q2022'!T117</f>
        <v>#REF!</v>
      </c>
      <c r="U117" s="119" t="e">
        <f>#REF!-'IS 3Q2022'!U117</f>
        <v>#REF!</v>
      </c>
      <c r="V117" s="119" t="e">
        <f>#REF!-'IS 3Q2022'!V117</f>
        <v>#REF!</v>
      </c>
      <c r="W117" s="131" t="e">
        <f>#REF!-'IS 3Q2022'!W117</f>
        <v>#REF!</v>
      </c>
      <c r="X117" s="119" t="e">
        <f>#REF!-'IS 3Q2022'!X117</f>
        <v>#REF!</v>
      </c>
      <c r="Y117" s="119" t="e">
        <f>#REF!-'IS 3Q2022'!Y117</f>
        <v>#REF!</v>
      </c>
      <c r="Z117" s="119" t="e">
        <f>#REF!-'IS 3Q2022'!Z117</f>
        <v>#REF!</v>
      </c>
      <c r="AA117" s="119" t="e">
        <f>#REF!-'IS 3Q2022'!AA117</f>
        <v>#REF!</v>
      </c>
      <c r="AB117" s="131" t="e">
        <f>#REF!-'IS 3Q2022'!AB117</f>
        <v>#REF!</v>
      </c>
      <c r="AC117" s="119" t="e">
        <f>#REF!-'IS 3Q2022'!AC117</f>
        <v>#REF!</v>
      </c>
      <c r="AD117" s="119" t="e">
        <f>#REF!-'IS 3Q2022'!AD117</f>
        <v>#REF!</v>
      </c>
      <c r="AE117" s="119" t="e">
        <f>#REF!-'IS 3Q2022'!AE117</f>
        <v>#REF!</v>
      </c>
      <c r="AF117" s="119" t="e">
        <f>#REF!-'IS 3Q2022'!AF117</f>
        <v>#REF!</v>
      </c>
      <c r="AG117" s="131" t="e">
        <f>#REF!-'IS 3Q2022'!AG117</f>
        <v>#REF!</v>
      </c>
      <c r="AH117" s="119" t="e">
        <f>#REF!-'IS 3Q2022'!AH117</f>
        <v>#REF!</v>
      </c>
      <c r="AI117" s="119" t="e">
        <f>#REF!-'IS 3Q2022'!AI117</f>
        <v>#REF!</v>
      </c>
      <c r="AJ117" s="119" t="e">
        <f>#REF!-'IS 3Q2022'!AJ117</f>
        <v>#REF!</v>
      </c>
      <c r="AK117" s="119" t="e">
        <f>#REF!-'IS 3Q2022'!AK117</f>
        <v>#REF!</v>
      </c>
      <c r="AL117" s="131" t="e">
        <f>#REF!-'IS 3Q2022'!AL117</f>
        <v>#REF!</v>
      </c>
      <c r="AM117" s="119" t="e">
        <f>#REF!-'IS 3Q2022'!AM117</f>
        <v>#REF!</v>
      </c>
      <c r="AN117" s="119" t="e">
        <f>#REF!-'IS 3Q2022'!AN117</f>
        <v>#REF!</v>
      </c>
      <c r="AO117" s="119" t="e">
        <f>#REF!-'IS 3Q2022'!AO117</f>
        <v>#REF!</v>
      </c>
      <c r="AP117" s="119" t="e">
        <f>#REF!-'IS 3Q2022'!AP117</f>
        <v>#REF!</v>
      </c>
      <c r="AQ117" s="131" t="e">
        <f>#REF!-'IS 3Q2022'!AQ117</f>
        <v>#REF!</v>
      </c>
      <c r="AR117" s="119" t="e">
        <f>#REF!-'IS 3Q2022'!AR117</f>
        <v>#REF!</v>
      </c>
      <c r="AS117" s="119" t="e">
        <f>#REF!-'IS 3Q2022'!AS117</f>
        <v>#REF!</v>
      </c>
      <c r="AT117" s="119" t="e">
        <f>#REF!-'IS 3Q2022'!AT117</f>
        <v>#REF!</v>
      </c>
      <c r="AU117" s="119" t="e">
        <f>#REF!-'IS 3Q2022'!AU117</f>
        <v>#REF!</v>
      </c>
      <c r="AV117" s="131" t="e">
        <f>#REF!-'IS 3Q2022'!AV117</f>
        <v>#REF!</v>
      </c>
    </row>
    <row r="118" spans="2:48" outlineLevel="1" x14ac:dyDescent="0.3">
      <c r="B118" s="46" t="s">
        <v>52</v>
      </c>
      <c r="C118" s="19"/>
      <c r="D118" s="50" t="e">
        <f>#REF!-'IS 3Q2022'!D118</f>
        <v>#REF!</v>
      </c>
      <c r="E118" s="50" t="e">
        <f>#REF!-'IS 3Q2022'!E118</f>
        <v>#REF!</v>
      </c>
      <c r="F118" s="50" t="e">
        <f>#REF!-'IS 3Q2022'!F118</f>
        <v>#REF!</v>
      </c>
      <c r="G118" s="50" t="e">
        <f>#REF!-'IS 3Q2022'!G118</f>
        <v>#REF!</v>
      </c>
      <c r="H118" s="26" t="e">
        <f>#REF!-'IS 3Q2022'!H118</f>
        <v>#REF!</v>
      </c>
      <c r="I118" s="50" t="e">
        <f>#REF!-'IS 3Q2022'!I118</f>
        <v>#REF!</v>
      </c>
      <c r="J118" s="50" t="e">
        <f>#REF!-'IS 3Q2022'!J118</f>
        <v>#REF!</v>
      </c>
      <c r="K118" s="50" t="e">
        <f>#REF!-'IS 3Q2022'!K118</f>
        <v>#REF!</v>
      </c>
      <c r="L118" s="50" t="e">
        <f>#REF!-'IS 3Q2022'!L118</f>
        <v>#REF!</v>
      </c>
      <c r="M118" s="26" t="e">
        <f>#REF!-'IS 3Q2022'!M118</f>
        <v>#REF!</v>
      </c>
      <c r="N118" s="50" t="e">
        <f>#REF!-'IS 3Q2022'!N118</f>
        <v>#REF!</v>
      </c>
      <c r="O118" s="50" t="e">
        <f>#REF!-'IS 3Q2022'!O118</f>
        <v>#REF!</v>
      </c>
      <c r="P118" s="50" t="e">
        <f>#REF!-'IS 3Q2022'!P118</f>
        <v>#REF!</v>
      </c>
      <c r="Q118" s="103" t="e">
        <f>#REF!-'IS 3Q2022'!Q118</f>
        <v>#REF!</v>
      </c>
      <c r="R118" s="26" t="e">
        <f>#REF!-'IS 3Q2022'!R118</f>
        <v>#REF!</v>
      </c>
      <c r="S118" s="50" t="e">
        <f>#REF!-'IS 3Q2022'!S118</f>
        <v>#REF!</v>
      </c>
      <c r="T118" s="50" t="e">
        <f>#REF!-'IS 3Q2022'!T118</f>
        <v>#REF!</v>
      </c>
      <c r="U118" s="50" t="e">
        <f>#REF!-'IS 3Q2022'!U118</f>
        <v>#REF!</v>
      </c>
      <c r="V118" s="50" t="e">
        <f>#REF!-'IS 3Q2022'!V118</f>
        <v>#REF!</v>
      </c>
      <c r="W118" s="26" t="e">
        <f>#REF!-'IS 3Q2022'!W118</f>
        <v>#REF!</v>
      </c>
      <c r="X118" s="50" t="e">
        <f>#REF!-'IS 3Q2022'!X118</f>
        <v>#REF!</v>
      </c>
      <c r="Y118" s="50" t="e">
        <f>#REF!-'IS 3Q2022'!Y118</f>
        <v>#REF!</v>
      </c>
      <c r="Z118" s="50" t="e">
        <f>#REF!-'IS 3Q2022'!Z118</f>
        <v>#REF!</v>
      </c>
      <c r="AA118" s="50" t="e">
        <f>#REF!-'IS 3Q2022'!AA118</f>
        <v>#REF!</v>
      </c>
      <c r="AB118" s="26" t="e">
        <f>#REF!-'IS 3Q2022'!AB118</f>
        <v>#REF!</v>
      </c>
      <c r="AC118" s="50" t="e">
        <f>#REF!-'IS 3Q2022'!AC118</f>
        <v>#REF!</v>
      </c>
      <c r="AD118" s="50" t="e">
        <f>#REF!-'IS 3Q2022'!AD118</f>
        <v>#REF!</v>
      </c>
      <c r="AE118" s="50" t="e">
        <f>#REF!-'IS 3Q2022'!AE118</f>
        <v>#REF!</v>
      </c>
      <c r="AF118" s="50" t="e">
        <f>#REF!-'IS 3Q2022'!AF118</f>
        <v>#REF!</v>
      </c>
      <c r="AG118" s="26" t="e">
        <f>#REF!-'IS 3Q2022'!AG118</f>
        <v>#REF!</v>
      </c>
      <c r="AH118" s="50" t="e">
        <f>#REF!-'IS 3Q2022'!AH118</f>
        <v>#REF!</v>
      </c>
      <c r="AI118" s="50" t="e">
        <f>#REF!-'IS 3Q2022'!AI118</f>
        <v>#REF!</v>
      </c>
      <c r="AJ118" s="50" t="e">
        <f>#REF!-'IS 3Q2022'!AJ118</f>
        <v>#REF!</v>
      </c>
      <c r="AK118" s="50" t="e">
        <f>#REF!-'IS 3Q2022'!AK118</f>
        <v>#REF!</v>
      </c>
      <c r="AL118" s="26" t="e">
        <f>#REF!-'IS 3Q2022'!AL118</f>
        <v>#REF!</v>
      </c>
      <c r="AM118" s="50" t="e">
        <f>#REF!-'IS 3Q2022'!AM118</f>
        <v>#REF!</v>
      </c>
      <c r="AN118" s="50" t="e">
        <f>#REF!-'IS 3Q2022'!AN118</f>
        <v>#REF!</v>
      </c>
      <c r="AO118" s="50" t="e">
        <f>#REF!-'IS 3Q2022'!AO118</f>
        <v>#REF!</v>
      </c>
      <c r="AP118" s="50" t="e">
        <f>#REF!-'IS 3Q2022'!AP118</f>
        <v>#REF!</v>
      </c>
      <c r="AQ118" s="26" t="e">
        <f>#REF!-'IS 3Q2022'!AQ118</f>
        <v>#REF!</v>
      </c>
      <c r="AR118" s="50" t="e">
        <f>#REF!-'IS 3Q2022'!AR118</f>
        <v>#REF!</v>
      </c>
      <c r="AS118" s="50" t="e">
        <f>#REF!-'IS 3Q2022'!AS118</f>
        <v>#REF!</v>
      </c>
      <c r="AT118" s="50" t="e">
        <f>#REF!-'IS 3Q2022'!AT118</f>
        <v>#REF!</v>
      </c>
      <c r="AU118" s="50" t="e">
        <f>#REF!-'IS 3Q2022'!AU118</f>
        <v>#REF!</v>
      </c>
      <c r="AV118" s="26" t="e">
        <f>#REF!-'IS 3Q2022'!AV118</f>
        <v>#REF!</v>
      </c>
    </row>
    <row r="119" spans="2:48" ht="16.2" outlineLevel="1" x14ac:dyDescent="0.45">
      <c r="B119" s="47" t="s">
        <v>36</v>
      </c>
      <c r="C119" s="44"/>
      <c r="D119" s="52" t="e">
        <f>#REF!-'IS 3Q2022'!D119</f>
        <v>#REF!</v>
      </c>
      <c r="E119" s="104" t="e">
        <f>#REF!-'IS 3Q2022'!E119</f>
        <v>#REF!</v>
      </c>
      <c r="F119" s="104" t="e">
        <f>#REF!-'IS 3Q2022'!F119</f>
        <v>#REF!</v>
      </c>
      <c r="G119" s="104" t="e">
        <f>#REF!-'IS 3Q2022'!G119</f>
        <v>#REF!</v>
      </c>
      <c r="H119" s="193" t="e">
        <f>#REF!-'IS 3Q2022'!H119</f>
        <v>#REF!</v>
      </c>
      <c r="I119" s="104" t="e">
        <f>#REF!-'IS 3Q2022'!I119</f>
        <v>#REF!</v>
      </c>
      <c r="J119" s="104" t="e">
        <f>#REF!-'IS 3Q2022'!J119</f>
        <v>#REF!</v>
      </c>
      <c r="K119" s="104" t="e">
        <f>#REF!-'IS 3Q2022'!K119</f>
        <v>#REF!</v>
      </c>
      <c r="L119" s="104" t="e">
        <f>#REF!-'IS 3Q2022'!L119</f>
        <v>#REF!</v>
      </c>
      <c r="M119" s="193" t="e">
        <f>#REF!-'IS 3Q2022'!M119</f>
        <v>#REF!</v>
      </c>
      <c r="N119" s="104" t="e">
        <f>#REF!-'IS 3Q2022'!N119</f>
        <v>#REF!</v>
      </c>
      <c r="O119" s="104" t="e">
        <f>#REF!-'IS 3Q2022'!O119</f>
        <v>#REF!</v>
      </c>
      <c r="P119" s="104" t="e">
        <f>#REF!-'IS 3Q2022'!P119</f>
        <v>#REF!</v>
      </c>
      <c r="Q119" s="104" t="e">
        <f>#REF!-'IS 3Q2022'!Q119</f>
        <v>#REF!</v>
      </c>
      <c r="R119" s="193" t="e">
        <f>#REF!-'IS 3Q2022'!R119</f>
        <v>#REF!</v>
      </c>
      <c r="S119" s="104" t="e">
        <f>#REF!-'IS 3Q2022'!S119</f>
        <v>#REF!</v>
      </c>
      <c r="T119" s="104" t="e">
        <f>#REF!-'IS 3Q2022'!T119</f>
        <v>#REF!</v>
      </c>
      <c r="U119" s="104" t="e">
        <f>#REF!-'IS 3Q2022'!U119</f>
        <v>#REF!</v>
      </c>
      <c r="V119" s="56" t="e">
        <f>#REF!-'IS 3Q2022'!V119</f>
        <v>#REF!</v>
      </c>
      <c r="W119" s="193" t="e">
        <f>#REF!-'IS 3Q2022'!W119</f>
        <v>#REF!</v>
      </c>
      <c r="X119" s="56" t="e">
        <f>#REF!-'IS 3Q2022'!X119</f>
        <v>#REF!</v>
      </c>
      <c r="Y119" s="56" t="e">
        <f>#REF!-'IS 3Q2022'!Y119</f>
        <v>#REF!</v>
      </c>
      <c r="Z119" s="56" t="e">
        <f>#REF!-'IS 3Q2022'!Z119</f>
        <v>#REF!</v>
      </c>
      <c r="AA119" s="56" t="e">
        <f>#REF!-'IS 3Q2022'!AA119</f>
        <v>#REF!</v>
      </c>
      <c r="AB119" s="193" t="e">
        <f>#REF!-'IS 3Q2022'!AB119</f>
        <v>#REF!</v>
      </c>
      <c r="AC119" s="56" t="e">
        <f>#REF!-'IS 3Q2022'!AC119</f>
        <v>#REF!</v>
      </c>
      <c r="AD119" s="56" t="e">
        <f>#REF!-'IS 3Q2022'!AD119</f>
        <v>#REF!</v>
      </c>
      <c r="AE119" s="56" t="e">
        <f>#REF!-'IS 3Q2022'!AE119</f>
        <v>#REF!</v>
      </c>
      <c r="AF119" s="56" t="e">
        <f>#REF!-'IS 3Q2022'!AF119</f>
        <v>#REF!</v>
      </c>
      <c r="AG119" s="193" t="e">
        <f>#REF!-'IS 3Q2022'!AG119</f>
        <v>#REF!</v>
      </c>
      <c r="AH119" s="56" t="e">
        <f>#REF!-'IS 3Q2022'!AH119</f>
        <v>#REF!</v>
      </c>
      <c r="AI119" s="56" t="e">
        <f>#REF!-'IS 3Q2022'!AI119</f>
        <v>#REF!</v>
      </c>
      <c r="AJ119" s="56" t="e">
        <f>#REF!-'IS 3Q2022'!AJ119</f>
        <v>#REF!</v>
      </c>
      <c r="AK119" s="56" t="e">
        <f>#REF!-'IS 3Q2022'!AK119</f>
        <v>#REF!</v>
      </c>
      <c r="AL119" s="193" t="e">
        <f>#REF!-'IS 3Q2022'!AL119</f>
        <v>#REF!</v>
      </c>
      <c r="AM119" s="56" t="e">
        <f>#REF!-'IS 3Q2022'!AM119</f>
        <v>#REF!</v>
      </c>
      <c r="AN119" s="56" t="e">
        <f>#REF!-'IS 3Q2022'!AN119</f>
        <v>#REF!</v>
      </c>
      <c r="AO119" s="56" t="e">
        <f>#REF!-'IS 3Q2022'!AO119</f>
        <v>#REF!</v>
      </c>
      <c r="AP119" s="56" t="e">
        <f>#REF!-'IS 3Q2022'!AP119</f>
        <v>#REF!</v>
      </c>
      <c r="AQ119" s="193" t="e">
        <f>#REF!-'IS 3Q2022'!AQ119</f>
        <v>#REF!</v>
      </c>
      <c r="AR119" s="56" t="e">
        <f>#REF!-'IS 3Q2022'!AR119</f>
        <v>#REF!</v>
      </c>
      <c r="AS119" s="56" t="e">
        <f>#REF!-'IS 3Q2022'!AS119</f>
        <v>#REF!</v>
      </c>
      <c r="AT119" s="56" t="e">
        <f>#REF!-'IS 3Q2022'!AT119</f>
        <v>#REF!</v>
      </c>
      <c r="AU119" s="56" t="e">
        <f>#REF!-'IS 3Q2022'!AU119</f>
        <v>#REF!</v>
      </c>
      <c r="AV119" s="193" t="e">
        <f>#REF!-'IS 3Q2022'!AV119</f>
        <v>#REF!</v>
      </c>
    </row>
    <row r="120" spans="2:48" outlineLevel="1" x14ac:dyDescent="0.3">
      <c r="B120" s="46" t="s">
        <v>53</v>
      </c>
      <c r="C120" s="44"/>
      <c r="D120" s="156" t="e">
        <f>#REF!-'IS 3Q2022'!D120</f>
        <v>#REF!</v>
      </c>
      <c r="E120" s="156" t="e">
        <f>#REF!-'IS 3Q2022'!E120</f>
        <v>#REF!</v>
      </c>
      <c r="F120" s="156" t="e">
        <f>#REF!-'IS 3Q2022'!F120</f>
        <v>#REF!</v>
      </c>
      <c r="G120" s="156" t="e">
        <f>#REF!-'IS 3Q2022'!G120</f>
        <v>#REF!</v>
      </c>
      <c r="H120" s="97" t="e">
        <f>#REF!-'IS 3Q2022'!H120</f>
        <v>#REF!</v>
      </c>
      <c r="I120" s="156" t="e">
        <f>#REF!-'IS 3Q2022'!I120</f>
        <v>#REF!</v>
      </c>
      <c r="J120" s="156" t="e">
        <f>#REF!-'IS 3Q2022'!J120</f>
        <v>#REF!</v>
      </c>
      <c r="K120" s="156" t="e">
        <f>#REF!-'IS 3Q2022'!K120</f>
        <v>#REF!</v>
      </c>
      <c r="L120" s="74" t="e">
        <f>#REF!-'IS 3Q2022'!L120</f>
        <v>#REF!</v>
      </c>
      <c r="M120" s="97" t="e">
        <f>#REF!-'IS 3Q2022'!M120</f>
        <v>#REF!</v>
      </c>
      <c r="N120" s="74" t="e">
        <f>#REF!-'IS 3Q2022'!N120</f>
        <v>#REF!</v>
      </c>
      <c r="O120" s="74" t="e">
        <f>#REF!-'IS 3Q2022'!O120</f>
        <v>#REF!</v>
      </c>
      <c r="P120" s="74" t="e">
        <f>#REF!-'IS 3Q2022'!P120</f>
        <v>#REF!</v>
      </c>
      <c r="Q120" s="74" t="e">
        <f>#REF!-'IS 3Q2022'!Q120</f>
        <v>#REF!</v>
      </c>
      <c r="R120" s="97" t="e">
        <f>#REF!-'IS 3Q2022'!R120</f>
        <v>#REF!</v>
      </c>
      <c r="S120" s="74" t="e">
        <f>#REF!-'IS 3Q2022'!S120</f>
        <v>#REF!</v>
      </c>
      <c r="T120" s="74" t="e">
        <f>#REF!-'IS 3Q2022'!T120</f>
        <v>#REF!</v>
      </c>
      <c r="U120" s="74" t="e">
        <f>#REF!-'IS 3Q2022'!U120</f>
        <v>#REF!</v>
      </c>
      <c r="V120" s="74" t="e">
        <f>#REF!-'IS 3Q2022'!V120</f>
        <v>#REF!</v>
      </c>
      <c r="W120" s="97" t="e">
        <f>#REF!-'IS 3Q2022'!W120</f>
        <v>#REF!</v>
      </c>
      <c r="X120" s="74" t="e">
        <f>#REF!-'IS 3Q2022'!X120</f>
        <v>#REF!</v>
      </c>
      <c r="Y120" s="74" t="e">
        <f>#REF!-'IS 3Q2022'!Y120</f>
        <v>#REF!</v>
      </c>
      <c r="Z120" s="74" t="e">
        <f>#REF!-'IS 3Q2022'!Z120</f>
        <v>#REF!</v>
      </c>
      <c r="AA120" s="74" t="e">
        <f>#REF!-'IS 3Q2022'!AA120</f>
        <v>#REF!</v>
      </c>
      <c r="AB120" s="97" t="e">
        <f>#REF!-'IS 3Q2022'!AB120</f>
        <v>#REF!</v>
      </c>
      <c r="AC120" s="74" t="e">
        <f>#REF!-'IS 3Q2022'!AC120</f>
        <v>#REF!</v>
      </c>
      <c r="AD120" s="74" t="e">
        <f>#REF!-'IS 3Q2022'!AD120</f>
        <v>#REF!</v>
      </c>
      <c r="AE120" s="74" t="e">
        <f>#REF!-'IS 3Q2022'!AE120</f>
        <v>#REF!</v>
      </c>
      <c r="AF120" s="74" t="e">
        <f>#REF!-'IS 3Q2022'!AF120</f>
        <v>#REF!</v>
      </c>
      <c r="AG120" s="97" t="e">
        <f>#REF!-'IS 3Q2022'!AG120</f>
        <v>#REF!</v>
      </c>
      <c r="AH120" s="74" t="e">
        <f>#REF!-'IS 3Q2022'!AH120</f>
        <v>#REF!</v>
      </c>
      <c r="AI120" s="74" t="e">
        <f>#REF!-'IS 3Q2022'!AI120</f>
        <v>#REF!</v>
      </c>
      <c r="AJ120" s="74" t="e">
        <f>#REF!-'IS 3Q2022'!AJ120</f>
        <v>#REF!</v>
      </c>
      <c r="AK120" s="74" t="e">
        <f>#REF!-'IS 3Q2022'!AK120</f>
        <v>#REF!</v>
      </c>
      <c r="AL120" s="97" t="e">
        <f>#REF!-'IS 3Q2022'!AL120</f>
        <v>#REF!</v>
      </c>
      <c r="AM120" s="74" t="e">
        <f>#REF!-'IS 3Q2022'!AM120</f>
        <v>#REF!</v>
      </c>
      <c r="AN120" s="74" t="e">
        <f>#REF!-'IS 3Q2022'!AN120</f>
        <v>#REF!</v>
      </c>
      <c r="AO120" s="74" t="e">
        <f>#REF!-'IS 3Q2022'!AO120</f>
        <v>#REF!</v>
      </c>
      <c r="AP120" s="74" t="e">
        <f>#REF!-'IS 3Q2022'!AP120</f>
        <v>#REF!</v>
      </c>
      <c r="AQ120" s="97" t="e">
        <f>#REF!-'IS 3Q2022'!AQ120</f>
        <v>#REF!</v>
      </c>
      <c r="AR120" s="74" t="e">
        <f>#REF!-'IS 3Q2022'!AR120</f>
        <v>#REF!</v>
      </c>
      <c r="AS120" s="74" t="e">
        <f>#REF!-'IS 3Q2022'!AS120</f>
        <v>#REF!</v>
      </c>
      <c r="AT120" s="74" t="e">
        <f>#REF!-'IS 3Q2022'!AT120</f>
        <v>#REF!</v>
      </c>
      <c r="AU120" s="74" t="e">
        <f>#REF!-'IS 3Q2022'!AU120</f>
        <v>#REF!</v>
      </c>
      <c r="AV120" s="97" t="e">
        <f>#REF!-'IS 3Q2022'!AV120</f>
        <v>#REF!</v>
      </c>
    </row>
    <row r="121" spans="2:48" outlineLevel="1" x14ac:dyDescent="0.3">
      <c r="B121" s="46" t="s">
        <v>54</v>
      </c>
      <c r="C121" s="44"/>
      <c r="D121" s="157" t="e">
        <f>#REF!-'IS 3Q2022'!D121</f>
        <v>#REF!</v>
      </c>
      <c r="E121" s="157" t="e">
        <f>#REF!-'IS 3Q2022'!E121</f>
        <v>#REF!</v>
      </c>
      <c r="F121" s="157" t="e">
        <f>#REF!-'IS 3Q2022'!F121</f>
        <v>#REF!</v>
      </c>
      <c r="G121" s="157" t="e">
        <f>#REF!-'IS 3Q2022'!G121</f>
        <v>#REF!</v>
      </c>
      <c r="H121" s="125" t="e">
        <f>#REF!-'IS 3Q2022'!H121</f>
        <v>#REF!</v>
      </c>
      <c r="I121" s="157" t="e">
        <f>#REF!-'IS 3Q2022'!I121</f>
        <v>#REF!</v>
      </c>
      <c r="J121" s="157" t="e">
        <f>#REF!-'IS 3Q2022'!J121</f>
        <v>#REF!</v>
      </c>
      <c r="K121" s="157" t="e">
        <f>#REF!-'IS 3Q2022'!K121</f>
        <v>#REF!</v>
      </c>
      <c r="L121" s="75" t="e">
        <f>#REF!-'IS 3Q2022'!L121</f>
        <v>#REF!</v>
      </c>
      <c r="M121" s="98" t="e">
        <f>#REF!-'IS 3Q2022'!M121</f>
        <v>#REF!</v>
      </c>
      <c r="N121" s="75" t="e">
        <f>#REF!-'IS 3Q2022'!N121</f>
        <v>#REF!</v>
      </c>
      <c r="O121" s="75" t="e">
        <f>#REF!-'IS 3Q2022'!O121</f>
        <v>#REF!</v>
      </c>
      <c r="P121" s="75" t="e">
        <f>#REF!-'IS 3Q2022'!P121</f>
        <v>#REF!</v>
      </c>
      <c r="Q121" s="75" t="e">
        <f>#REF!-'IS 3Q2022'!Q121</f>
        <v>#REF!</v>
      </c>
      <c r="R121" s="98" t="e">
        <f>#REF!-'IS 3Q2022'!R121</f>
        <v>#REF!</v>
      </c>
      <c r="S121" s="75" t="e">
        <f>#REF!-'IS 3Q2022'!S121</f>
        <v>#REF!</v>
      </c>
      <c r="T121" s="75" t="e">
        <f>#REF!-'IS 3Q2022'!T121</f>
        <v>#REF!</v>
      </c>
      <c r="U121" s="75" t="e">
        <f>#REF!-'IS 3Q2022'!U121</f>
        <v>#REF!</v>
      </c>
      <c r="V121" s="75" t="e">
        <f>#REF!-'IS 3Q2022'!V121</f>
        <v>#REF!</v>
      </c>
      <c r="W121" s="98" t="e">
        <f>#REF!-'IS 3Q2022'!W121</f>
        <v>#REF!</v>
      </c>
      <c r="X121" s="75" t="e">
        <f>#REF!-'IS 3Q2022'!X121</f>
        <v>#REF!</v>
      </c>
      <c r="Y121" s="75" t="e">
        <f>#REF!-'IS 3Q2022'!Y121</f>
        <v>#REF!</v>
      </c>
      <c r="Z121" s="75" t="e">
        <f>#REF!-'IS 3Q2022'!Z121</f>
        <v>#REF!</v>
      </c>
      <c r="AA121" s="75" t="e">
        <f>#REF!-'IS 3Q2022'!AA121</f>
        <v>#REF!</v>
      </c>
      <c r="AB121" s="98" t="e">
        <f>#REF!-'IS 3Q2022'!AB121</f>
        <v>#REF!</v>
      </c>
      <c r="AC121" s="75" t="e">
        <f>#REF!-'IS 3Q2022'!AC121</f>
        <v>#REF!</v>
      </c>
      <c r="AD121" s="75" t="e">
        <f>#REF!-'IS 3Q2022'!AD121</f>
        <v>#REF!</v>
      </c>
      <c r="AE121" s="75" t="e">
        <f>#REF!-'IS 3Q2022'!AE121</f>
        <v>#REF!</v>
      </c>
      <c r="AF121" s="75" t="e">
        <f>#REF!-'IS 3Q2022'!AF121</f>
        <v>#REF!</v>
      </c>
      <c r="AG121" s="98" t="e">
        <f>#REF!-'IS 3Q2022'!AG121</f>
        <v>#REF!</v>
      </c>
      <c r="AH121" s="75" t="e">
        <f>#REF!-'IS 3Q2022'!AH121</f>
        <v>#REF!</v>
      </c>
      <c r="AI121" s="75" t="e">
        <f>#REF!-'IS 3Q2022'!AI121</f>
        <v>#REF!</v>
      </c>
      <c r="AJ121" s="75" t="e">
        <f>#REF!-'IS 3Q2022'!AJ121</f>
        <v>#REF!</v>
      </c>
      <c r="AK121" s="75" t="e">
        <f>#REF!-'IS 3Q2022'!AK121</f>
        <v>#REF!</v>
      </c>
      <c r="AL121" s="98" t="e">
        <f>#REF!-'IS 3Q2022'!AL121</f>
        <v>#REF!</v>
      </c>
      <c r="AM121" s="75" t="e">
        <f>#REF!-'IS 3Q2022'!AM121</f>
        <v>#REF!</v>
      </c>
      <c r="AN121" s="75" t="e">
        <f>#REF!-'IS 3Q2022'!AN121</f>
        <v>#REF!</v>
      </c>
      <c r="AO121" s="75" t="e">
        <f>#REF!-'IS 3Q2022'!AO121</f>
        <v>#REF!</v>
      </c>
      <c r="AP121" s="75" t="e">
        <f>#REF!-'IS 3Q2022'!AP121</f>
        <v>#REF!</v>
      </c>
      <c r="AQ121" s="98" t="e">
        <f>#REF!-'IS 3Q2022'!AQ121</f>
        <v>#REF!</v>
      </c>
      <c r="AR121" s="75" t="e">
        <f>#REF!-'IS 3Q2022'!AR121</f>
        <v>#REF!</v>
      </c>
      <c r="AS121" s="75" t="e">
        <f>#REF!-'IS 3Q2022'!AS121</f>
        <v>#REF!</v>
      </c>
      <c r="AT121" s="75" t="e">
        <f>#REF!-'IS 3Q2022'!AT121</f>
        <v>#REF!</v>
      </c>
      <c r="AU121" s="75" t="e">
        <f>#REF!-'IS 3Q2022'!AU121</f>
        <v>#REF!</v>
      </c>
      <c r="AV121" s="98" t="e">
        <f>#REF!-'IS 3Q2022'!AV121</f>
        <v>#REF!</v>
      </c>
    </row>
    <row r="122" spans="2:48" ht="17.399999999999999" x14ac:dyDescent="0.45">
      <c r="B122" s="583" t="s">
        <v>55</v>
      </c>
      <c r="C122" s="584"/>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2" t="s">
        <v>25</v>
      </c>
      <c r="W122" s="42" t="s">
        <v>26</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580" t="s">
        <v>127</v>
      </c>
      <c r="C123" s="581"/>
      <c r="D123" s="101" t="e">
        <f>#REF!-'IS 3Q2022'!D123</f>
        <v>#REF!</v>
      </c>
      <c r="E123" s="48" t="e">
        <f>#REF!-'IS 3Q2022'!E123</f>
        <v>#REF!</v>
      </c>
      <c r="F123" s="48" t="e">
        <f>#REF!-'IS 3Q2022'!F123</f>
        <v>#REF!</v>
      </c>
      <c r="G123" s="48" t="e">
        <f>#REF!-'IS 3Q2022'!G123</f>
        <v>#REF!</v>
      </c>
      <c r="H123" s="31" t="e">
        <f>#REF!-'IS 3Q2022'!H123</f>
        <v>#REF!</v>
      </c>
      <c r="I123" s="48" t="e">
        <f>#REF!-'IS 3Q2022'!I123</f>
        <v>#REF!</v>
      </c>
      <c r="J123" s="48" t="e">
        <f>#REF!-'IS 3Q2022'!J123</f>
        <v>#REF!</v>
      </c>
      <c r="K123" s="48" t="e">
        <f>#REF!-'IS 3Q2022'!K123</f>
        <v>#REF!</v>
      </c>
      <c r="L123" s="48" t="e">
        <f>#REF!-'IS 3Q2022'!L123</f>
        <v>#REF!</v>
      </c>
      <c r="M123" s="31" t="e">
        <f>#REF!-'IS 3Q2022'!M123</f>
        <v>#REF!</v>
      </c>
      <c r="N123" s="48" t="e">
        <f>#REF!-'IS 3Q2022'!N123</f>
        <v>#REF!</v>
      </c>
      <c r="O123" s="48" t="e">
        <f>#REF!-'IS 3Q2022'!O123</f>
        <v>#REF!</v>
      </c>
      <c r="P123" s="48" t="e">
        <f>#REF!-'IS 3Q2022'!P123</f>
        <v>#REF!</v>
      </c>
      <c r="Q123" s="105" t="e">
        <f>#REF!-'IS 3Q2022'!Q123</f>
        <v>#REF!</v>
      </c>
      <c r="R123" s="31" t="e">
        <f>#REF!-'IS 3Q2022'!R123</f>
        <v>#REF!</v>
      </c>
      <c r="S123" s="48" t="e">
        <f>#REF!-'IS 3Q2022'!S123</f>
        <v>#REF!</v>
      </c>
      <c r="T123" s="48" t="e">
        <f>#REF!-'IS 3Q2022'!T123</f>
        <v>#REF!</v>
      </c>
      <c r="U123" s="48" t="e">
        <f>#REF!-'IS 3Q2022'!U123</f>
        <v>#REF!</v>
      </c>
      <c r="V123" s="48" t="e">
        <f>#REF!-'IS 3Q2022'!V123</f>
        <v>#REF!</v>
      </c>
      <c r="W123" s="31" t="e">
        <f>#REF!-'IS 3Q2022'!W123</f>
        <v>#REF!</v>
      </c>
      <c r="X123" s="48" t="e">
        <f>#REF!-'IS 3Q2022'!X123</f>
        <v>#REF!</v>
      </c>
      <c r="Y123" s="48" t="e">
        <f>#REF!-'IS 3Q2022'!Y123</f>
        <v>#REF!</v>
      </c>
      <c r="Z123" s="48" t="e">
        <f>#REF!-'IS 3Q2022'!Z123</f>
        <v>#REF!</v>
      </c>
      <c r="AA123" s="48" t="e">
        <f>#REF!-'IS 3Q2022'!AA123</f>
        <v>#REF!</v>
      </c>
      <c r="AB123" s="31" t="e">
        <f>#REF!-'IS 3Q2022'!AB123</f>
        <v>#REF!</v>
      </c>
      <c r="AC123" s="48" t="e">
        <f>#REF!-'IS 3Q2022'!AC123</f>
        <v>#REF!</v>
      </c>
      <c r="AD123" s="48" t="e">
        <f>#REF!-'IS 3Q2022'!AD123</f>
        <v>#REF!</v>
      </c>
      <c r="AE123" s="48" t="e">
        <f>#REF!-'IS 3Q2022'!AE123</f>
        <v>#REF!</v>
      </c>
      <c r="AF123" s="48" t="e">
        <f>#REF!-'IS 3Q2022'!AF123</f>
        <v>#REF!</v>
      </c>
      <c r="AG123" s="31" t="e">
        <f>#REF!-'IS 3Q2022'!AG123</f>
        <v>#REF!</v>
      </c>
      <c r="AH123" s="48" t="e">
        <f>#REF!-'IS 3Q2022'!AH123</f>
        <v>#REF!</v>
      </c>
      <c r="AI123" s="48" t="e">
        <f>#REF!-'IS 3Q2022'!AI123</f>
        <v>#REF!</v>
      </c>
      <c r="AJ123" s="48" t="e">
        <f>#REF!-'IS 3Q2022'!AJ123</f>
        <v>#REF!</v>
      </c>
      <c r="AK123" s="48" t="e">
        <f>#REF!-'IS 3Q2022'!AK123</f>
        <v>#REF!</v>
      </c>
      <c r="AL123" s="31" t="e">
        <f>#REF!-'IS 3Q2022'!AL123</f>
        <v>#REF!</v>
      </c>
      <c r="AM123" s="48" t="e">
        <f>#REF!-'IS 3Q2022'!AM123</f>
        <v>#REF!</v>
      </c>
      <c r="AN123" s="48" t="e">
        <f>#REF!-'IS 3Q2022'!AN123</f>
        <v>#REF!</v>
      </c>
      <c r="AO123" s="48" t="e">
        <f>#REF!-'IS 3Q2022'!AO123</f>
        <v>#REF!</v>
      </c>
      <c r="AP123" s="48" t="e">
        <f>#REF!-'IS 3Q2022'!AP123</f>
        <v>#REF!</v>
      </c>
      <c r="AQ123" s="31" t="e">
        <f>#REF!-'IS 3Q2022'!AQ123</f>
        <v>#REF!</v>
      </c>
      <c r="AR123" s="48" t="e">
        <f>#REF!-'IS 3Q2022'!AR123</f>
        <v>#REF!</v>
      </c>
      <c r="AS123" s="48" t="e">
        <f>#REF!-'IS 3Q2022'!AS123</f>
        <v>#REF!</v>
      </c>
      <c r="AT123" s="48" t="e">
        <f>#REF!-'IS 3Q2022'!AT123</f>
        <v>#REF!</v>
      </c>
      <c r="AU123" s="48" t="e">
        <f>#REF!-'IS 3Q2022'!AU123</f>
        <v>#REF!</v>
      </c>
      <c r="AV123" s="31" t="e">
        <f>#REF!-'IS 3Q2022'!AV123</f>
        <v>#REF!</v>
      </c>
    </row>
    <row r="124" spans="2:48" s="8" customFormat="1" outlineLevel="1" x14ac:dyDescent="0.3">
      <c r="B124" s="38" t="s">
        <v>128</v>
      </c>
      <c r="C124" s="201"/>
      <c r="D124" s="30" t="e">
        <f>#REF!-'IS 3Q2022'!D124</f>
        <v>#REF!</v>
      </c>
      <c r="E124" s="30" t="e">
        <f>#REF!-'IS 3Q2022'!E124</f>
        <v>#REF!</v>
      </c>
      <c r="F124" s="30" t="e">
        <f>#REF!-'IS 3Q2022'!F124</f>
        <v>#REF!</v>
      </c>
      <c r="G124" s="118" t="e">
        <f>#REF!-'IS 3Q2022'!G124</f>
        <v>#REF!</v>
      </c>
      <c r="H124" s="130" t="e">
        <f>#REF!-'IS 3Q2022'!H124</f>
        <v>#REF!</v>
      </c>
      <c r="I124" s="118" t="e">
        <f>#REF!-'IS 3Q2022'!I124</f>
        <v>#REF!</v>
      </c>
      <c r="J124" s="118" t="e">
        <f>#REF!-'IS 3Q2022'!J124</f>
        <v>#REF!</v>
      </c>
      <c r="K124" s="118" t="e">
        <f>#REF!-'IS 3Q2022'!K124</f>
        <v>#REF!</v>
      </c>
      <c r="L124" s="118" t="e">
        <f>#REF!-'IS 3Q2022'!L124</f>
        <v>#REF!</v>
      </c>
      <c r="M124" s="128" t="e">
        <f>#REF!-'IS 3Q2022'!M124</f>
        <v>#REF!</v>
      </c>
      <c r="N124" s="118" t="e">
        <f>#REF!-'IS 3Q2022'!N124</f>
        <v>#REF!</v>
      </c>
      <c r="O124" s="118" t="e">
        <f>#REF!-'IS 3Q2022'!O124</f>
        <v>#REF!</v>
      </c>
      <c r="P124" s="118" t="e">
        <f>#REF!-'IS 3Q2022'!P124</f>
        <v>#REF!</v>
      </c>
      <c r="Q124" s="118" t="e">
        <f>#REF!-'IS 3Q2022'!Q124</f>
        <v>#REF!</v>
      </c>
      <c r="R124" s="128" t="e">
        <f>#REF!-'IS 3Q2022'!R124</f>
        <v>#REF!</v>
      </c>
      <c r="S124" s="118" t="e">
        <f>#REF!-'IS 3Q2022'!S124</f>
        <v>#REF!</v>
      </c>
      <c r="T124" s="118" t="e">
        <f>#REF!-'IS 3Q2022'!T124</f>
        <v>#REF!</v>
      </c>
      <c r="U124" s="118" t="e">
        <f>#REF!-'IS 3Q2022'!U124</f>
        <v>#REF!</v>
      </c>
      <c r="V124" s="34" t="e">
        <f>#REF!-'IS 3Q2022'!V124</f>
        <v>#REF!</v>
      </c>
      <c r="W124" s="128" t="e">
        <f>#REF!-'IS 3Q2022'!W124</f>
        <v>#REF!</v>
      </c>
      <c r="X124" s="34" t="e">
        <f>#REF!-'IS 3Q2022'!X124</f>
        <v>#REF!</v>
      </c>
      <c r="Y124" s="34" t="e">
        <f>#REF!-'IS 3Q2022'!Y124</f>
        <v>#REF!</v>
      </c>
      <c r="Z124" s="34" t="e">
        <f>#REF!-'IS 3Q2022'!Z124</f>
        <v>#REF!</v>
      </c>
      <c r="AA124" s="34" t="e">
        <f>#REF!-'IS 3Q2022'!AA124</f>
        <v>#REF!</v>
      </c>
      <c r="AB124" s="128" t="e">
        <f>#REF!-'IS 3Q2022'!AB124</f>
        <v>#REF!</v>
      </c>
      <c r="AC124" s="34" t="e">
        <f>#REF!-'IS 3Q2022'!AC124</f>
        <v>#REF!</v>
      </c>
      <c r="AD124" s="34" t="e">
        <f>#REF!-'IS 3Q2022'!AD124</f>
        <v>#REF!</v>
      </c>
      <c r="AE124" s="34" t="e">
        <f>#REF!-'IS 3Q2022'!AE124</f>
        <v>#REF!</v>
      </c>
      <c r="AF124" s="34" t="e">
        <f>#REF!-'IS 3Q2022'!AF124</f>
        <v>#REF!</v>
      </c>
      <c r="AG124" s="128" t="e">
        <f>#REF!-'IS 3Q2022'!AG124</f>
        <v>#REF!</v>
      </c>
      <c r="AH124" s="34" t="e">
        <f>#REF!-'IS 3Q2022'!AH124</f>
        <v>#REF!</v>
      </c>
      <c r="AI124" s="34" t="e">
        <f>#REF!-'IS 3Q2022'!AI124</f>
        <v>#REF!</v>
      </c>
      <c r="AJ124" s="34" t="e">
        <f>#REF!-'IS 3Q2022'!AJ124</f>
        <v>#REF!</v>
      </c>
      <c r="AK124" s="34" t="e">
        <f>#REF!-'IS 3Q2022'!AK124</f>
        <v>#REF!</v>
      </c>
      <c r="AL124" s="128" t="e">
        <f>#REF!-'IS 3Q2022'!AL124</f>
        <v>#REF!</v>
      </c>
      <c r="AM124" s="34" t="e">
        <f>#REF!-'IS 3Q2022'!AM124</f>
        <v>#REF!</v>
      </c>
      <c r="AN124" s="34" t="e">
        <f>#REF!-'IS 3Q2022'!AN124</f>
        <v>#REF!</v>
      </c>
      <c r="AO124" s="34" t="e">
        <f>#REF!-'IS 3Q2022'!AO124</f>
        <v>#REF!</v>
      </c>
      <c r="AP124" s="34" t="e">
        <f>#REF!-'IS 3Q2022'!AP124</f>
        <v>#REF!</v>
      </c>
      <c r="AQ124" s="128" t="e">
        <f>#REF!-'IS 3Q2022'!AQ124</f>
        <v>#REF!</v>
      </c>
      <c r="AR124" s="34" t="e">
        <f>#REF!-'IS 3Q2022'!AR124</f>
        <v>#REF!</v>
      </c>
      <c r="AS124" s="34" t="e">
        <f>#REF!-'IS 3Q2022'!AS124</f>
        <v>#REF!</v>
      </c>
      <c r="AT124" s="34" t="e">
        <f>#REF!-'IS 3Q2022'!AT124</f>
        <v>#REF!</v>
      </c>
      <c r="AU124" s="34" t="e">
        <f>#REF!-'IS 3Q2022'!AU124</f>
        <v>#REF!</v>
      </c>
      <c r="AV124" s="128" t="e">
        <f>#REF!-'IS 3Q2022'!AV124</f>
        <v>#REF!</v>
      </c>
    </row>
    <row r="125" spans="2:48" outlineLevel="1" x14ac:dyDescent="0.3">
      <c r="B125" s="607" t="s">
        <v>100</v>
      </c>
      <c r="C125" s="608"/>
      <c r="D125" s="48" t="e">
        <f>#REF!-'IS 3Q2022'!D125</f>
        <v>#REF!</v>
      </c>
      <c r="E125" s="48" t="e">
        <f>#REF!-'IS 3Q2022'!E125</f>
        <v>#REF!</v>
      </c>
      <c r="F125" s="48" t="e">
        <f>#REF!-'IS 3Q2022'!F125</f>
        <v>#REF!</v>
      </c>
      <c r="G125" s="105" t="e">
        <f>#REF!-'IS 3Q2022'!G125</f>
        <v>#REF!</v>
      </c>
      <c r="H125" s="170" t="e">
        <f>#REF!-'IS 3Q2022'!H125</f>
        <v>#REF!</v>
      </c>
      <c r="I125" s="105" t="e">
        <f>#REF!-'IS 3Q2022'!I125</f>
        <v>#REF!</v>
      </c>
      <c r="J125" s="105" t="e">
        <f>#REF!-'IS 3Q2022'!J125</f>
        <v>#REF!</v>
      </c>
      <c r="K125" s="105" t="e">
        <f>#REF!-'IS 3Q2022'!K125</f>
        <v>#REF!</v>
      </c>
      <c r="L125" s="105" t="e">
        <f>#REF!-'IS 3Q2022'!L125</f>
        <v>#REF!</v>
      </c>
      <c r="M125" s="31" t="e">
        <f>#REF!-'IS 3Q2022'!M125</f>
        <v>#REF!</v>
      </c>
      <c r="N125" s="105" t="e">
        <f>#REF!-'IS 3Q2022'!N125</f>
        <v>#REF!</v>
      </c>
      <c r="O125" s="105" t="e">
        <f>#REF!-'IS 3Q2022'!O125</f>
        <v>#REF!</v>
      </c>
      <c r="P125" s="105" t="e">
        <f>#REF!-'IS 3Q2022'!P125</f>
        <v>#REF!</v>
      </c>
      <c r="Q125" s="105" t="e">
        <f>#REF!-'IS 3Q2022'!Q125</f>
        <v>#REF!</v>
      </c>
      <c r="R125" s="31" t="e">
        <f>#REF!-'IS 3Q2022'!R125</f>
        <v>#REF!</v>
      </c>
      <c r="S125" s="105" t="e">
        <f>#REF!-'IS 3Q2022'!S125</f>
        <v>#REF!</v>
      </c>
      <c r="T125" s="105" t="e">
        <f>#REF!-'IS 3Q2022'!T125</f>
        <v>#REF!</v>
      </c>
      <c r="U125" s="105" t="e">
        <f>#REF!-'IS 3Q2022'!U125</f>
        <v>#REF!</v>
      </c>
      <c r="V125" s="95" t="e">
        <f>#REF!-'IS 3Q2022'!V125</f>
        <v>#REF!</v>
      </c>
      <c r="W125" s="31" t="e">
        <f>#REF!-'IS 3Q2022'!W125</f>
        <v>#REF!</v>
      </c>
      <c r="X125" s="95" t="e">
        <f>#REF!-'IS 3Q2022'!X125</f>
        <v>#REF!</v>
      </c>
      <c r="Y125" s="95" t="e">
        <f>#REF!-'IS 3Q2022'!Y125</f>
        <v>#REF!</v>
      </c>
      <c r="Z125" s="95" t="e">
        <f>#REF!-'IS 3Q2022'!Z125</f>
        <v>#REF!</v>
      </c>
      <c r="AA125" s="95" t="e">
        <f>#REF!-'IS 3Q2022'!AA125</f>
        <v>#REF!</v>
      </c>
      <c r="AB125" s="31" t="e">
        <f>#REF!-'IS 3Q2022'!AB125</f>
        <v>#REF!</v>
      </c>
      <c r="AC125" s="95" t="e">
        <f>#REF!-'IS 3Q2022'!AC125</f>
        <v>#REF!</v>
      </c>
      <c r="AD125" s="95" t="e">
        <f>#REF!-'IS 3Q2022'!AD125</f>
        <v>#REF!</v>
      </c>
      <c r="AE125" s="95" t="e">
        <f>#REF!-'IS 3Q2022'!AE125</f>
        <v>#REF!</v>
      </c>
      <c r="AF125" s="95" t="e">
        <f>#REF!-'IS 3Q2022'!AF125</f>
        <v>#REF!</v>
      </c>
      <c r="AG125" s="31" t="e">
        <f>#REF!-'IS 3Q2022'!AG125</f>
        <v>#REF!</v>
      </c>
      <c r="AH125" s="95" t="e">
        <f>#REF!-'IS 3Q2022'!AH125</f>
        <v>#REF!</v>
      </c>
      <c r="AI125" s="95" t="e">
        <f>#REF!-'IS 3Q2022'!AI125</f>
        <v>#REF!</v>
      </c>
      <c r="AJ125" s="95" t="e">
        <f>#REF!-'IS 3Q2022'!AJ125</f>
        <v>#REF!</v>
      </c>
      <c r="AK125" s="95" t="e">
        <f>#REF!-'IS 3Q2022'!AK125</f>
        <v>#REF!</v>
      </c>
      <c r="AL125" s="31" t="e">
        <f>#REF!-'IS 3Q2022'!AL125</f>
        <v>#REF!</v>
      </c>
      <c r="AM125" s="95" t="e">
        <f>#REF!-'IS 3Q2022'!AM125</f>
        <v>#REF!</v>
      </c>
      <c r="AN125" s="95" t="e">
        <f>#REF!-'IS 3Q2022'!AN125</f>
        <v>#REF!</v>
      </c>
      <c r="AO125" s="95" t="e">
        <f>#REF!-'IS 3Q2022'!AO125</f>
        <v>#REF!</v>
      </c>
      <c r="AP125" s="95" t="e">
        <f>#REF!-'IS 3Q2022'!AP125</f>
        <v>#REF!</v>
      </c>
      <c r="AQ125" s="31" t="e">
        <f>#REF!-'IS 3Q2022'!AQ125</f>
        <v>#REF!</v>
      </c>
      <c r="AR125" s="95" t="e">
        <f>#REF!-'IS 3Q2022'!AR125</f>
        <v>#REF!</v>
      </c>
      <c r="AS125" s="95" t="e">
        <f>#REF!-'IS 3Q2022'!AS125</f>
        <v>#REF!</v>
      </c>
      <c r="AT125" s="95" t="e">
        <f>#REF!-'IS 3Q2022'!AT125</f>
        <v>#REF!</v>
      </c>
      <c r="AU125" s="95" t="e">
        <f>#REF!-'IS 3Q2022'!AU125</f>
        <v>#REF!</v>
      </c>
      <c r="AV125" s="31" t="e">
        <f>#REF!-'IS 3Q2022'!AV125</f>
        <v>#REF!</v>
      </c>
    </row>
    <row r="126" spans="2:48" outlineLevel="1" x14ac:dyDescent="0.3">
      <c r="B126" s="180" t="s">
        <v>33</v>
      </c>
      <c r="C126" s="18"/>
      <c r="D126" s="48" t="e">
        <f>#REF!-'IS 3Q2022'!D126</f>
        <v>#REF!</v>
      </c>
      <c r="E126" s="48" t="e">
        <f>#REF!-'IS 3Q2022'!E126</f>
        <v>#REF!</v>
      </c>
      <c r="F126" s="48" t="e">
        <f>#REF!-'IS 3Q2022'!F126</f>
        <v>#REF!</v>
      </c>
      <c r="G126" s="105" t="e">
        <f>#REF!-'IS 3Q2022'!G126</f>
        <v>#REF!</v>
      </c>
      <c r="H126" s="170" t="e">
        <f>#REF!-'IS 3Q2022'!H126</f>
        <v>#REF!</v>
      </c>
      <c r="I126" s="105" t="e">
        <f>#REF!-'IS 3Q2022'!I126</f>
        <v>#REF!</v>
      </c>
      <c r="J126" s="105" t="e">
        <f>#REF!-'IS 3Q2022'!J126</f>
        <v>#REF!</v>
      </c>
      <c r="K126" s="105" t="e">
        <f>#REF!-'IS 3Q2022'!K126</f>
        <v>#REF!</v>
      </c>
      <c r="L126" s="105" t="e">
        <f>#REF!-'IS 3Q2022'!L126</f>
        <v>#REF!</v>
      </c>
      <c r="M126" s="31" t="e">
        <f>#REF!-'IS 3Q2022'!M126</f>
        <v>#REF!</v>
      </c>
      <c r="N126" s="105" t="e">
        <f>#REF!-'IS 3Q2022'!N126</f>
        <v>#REF!</v>
      </c>
      <c r="O126" s="105" t="e">
        <f>#REF!-'IS 3Q2022'!O126</f>
        <v>#REF!</v>
      </c>
      <c r="P126" s="105" t="e">
        <f>#REF!-'IS 3Q2022'!P126</f>
        <v>#REF!</v>
      </c>
      <c r="Q126" s="105" t="e">
        <f>#REF!-'IS 3Q2022'!Q126</f>
        <v>#REF!</v>
      </c>
      <c r="R126" s="31" t="e">
        <f>#REF!-'IS 3Q2022'!R126</f>
        <v>#REF!</v>
      </c>
      <c r="S126" s="105" t="e">
        <f>#REF!-'IS 3Q2022'!S126</f>
        <v>#REF!</v>
      </c>
      <c r="T126" s="105" t="e">
        <f>#REF!-'IS 3Q2022'!T126</f>
        <v>#REF!</v>
      </c>
      <c r="U126" s="105" t="e">
        <f>#REF!-'IS 3Q2022'!U126</f>
        <v>#REF!</v>
      </c>
      <c r="V126" s="95" t="e">
        <f>#REF!-'IS 3Q2022'!V126</f>
        <v>#REF!</v>
      </c>
      <c r="W126" s="31" t="e">
        <f>#REF!-'IS 3Q2022'!W126</f>
        <v>#REF!</v>
      </c>
      <c r="X126" s="95" t="e">
        <f>#REF!-'IS 3Q2022'!X126</f>
        <v>#REF!</v>
      </c>
      <c r="Y126" s="95" t="e">
        <f>#REF!-'IS 3Q2022'!Y126</f>
        <v>#REF!</v>
      </c>
      <c r="Z126" s="95" t="e">
        <f>#REF!-'IS 3Q2022'!Z126</f>
        <v>#REF!</v>
      </c>
      <c r="AA126" s="95" t="e">
        <f>#REF!-'IS 3Q2022'!AA126</f>
        <v>#REF!</v>
      </c>
      <c r="AB126" s="31" t="e">
        <f>#REF!-'IS 3Q2022'!AB126</f>
        <v>#REF!</v>
      </c>
      <c r="AC126" s="95" t="e">
        <f>#REF!-'IS 3Q2022'!AC126</f>
        <v>#REF!</v>
      </c>
      <c r="AD126" s="95" t="e">
        <f>#REF!-'IS 3Q2022'!AD126</f>
        <v>#REF!</v>
      </c>
      <c r="AE126" s="95" t="e">
        <f>#REF!-'IS 3Q2022'!AE126</f>
        <v>#REF!</v>
      </c>
      <c r="AF126" s="95" t="e">
        <f>#REF!-'IS 3Q2022'!AF126</f>
        <v>#REF!</v>
      </c>
      <c r="AG126" s="31" t="e">
        <f>#REF!-'IS 3Q2022'!AG126</f>
        <v>#REF!</v>
      </c>
      <c r="AH126" s="95" t="e">
        <f>#REF!-'IS 3Q2022'!AH126</f>
        <v>#REF!</v>
      </c>
      <c r="AI126" s="95" t="e">
        <f>#REF!-'IS 3Q2022'!AI126</f>
        <v>#REF!</v>
      </c>
      <c r="AJ126" s="95" t="e">
        <f>#REF!-'IS 3Q2022'!AJ126</f>
        <v>#REF!</v>
      </c>
      <c r="AK126" s="95" t="e">
        <f>#REF!-'IS 3Q2022'!AK126</f>
        <v>#REF!</v>
      </c>
      <c r="AL126" s="31" t="e">
        <f>#REF!-'IS 3Q2022'!AL126</f>
        <v>#REF!</v>
      </c>
      <c r="AM126" s="95" t="e">
        <f>#REF!-'IS 3Q2022'!AM126</f>
        <v>#REF!</v>
      </c>
      <c r="AN126" s="95" t="e">
        <f>#REF!-'IS 3Q2022'!AN126</f>
        <v>#REF!</v>
      </c>
      <c r="AO126" s="95" t="e">
        <f>#REF!-'IS 3Q2022'!AO126</f>
        <v>#REF!</v>
      </c>
      <c r="AP126" s="95" t="e">
        <f>#REF!-'IS 3Q2022'!AP126</f>
        <v>#REF!</v>
      </c>
      <c r="AQ126" s="31" t="e">
        <f>#REF!-'IS 3Q2022'!AQ126</f>
        <v>#REF!</v>
      </c>
      <c r="AR126" s="95" t="e">
        <f>#REF!-'IS 3Q2022'!AR126</f>
        <v>#REF!</v>
      </c>
      <c r="AS126" s="95" t="e">
        <f>#REF!-'IS 3Q2022'!AS126</f>
        <v>#REF!</v>
      </c>
      <c r="AT126" s="95" t="e">
        <f>#REF!-'IS 3Q2022'!AT126</f>
        <v>#REF!</v>
      </c>
      <c r="AU126" s="95" t="e">
        <f>#REF!-'IS 3Q2022'!AU126</f>
        <v>#REF!</v>
      </c>
      <c r="AV126" s="31" t="e">
        <f>#REF!-'IS 3Q2022'!AV126</f>
        <v>#REF!</v>
      </c>
    </row>
    <row r="127" spans="2:48" outlineLevel="1" x14ac:dyDescent="0.3">
      <c r="B127" s="180" t="s">
        <v>34</v>
      </c>
      <c r="C127" s="18"/>
      <c r="D127" s="358" t="e">
        <f>#REF!-'IS 3Q2022'!D127</f>
        <v>#REF!</v>
      </c>
      <c r="E127" s="358" t="e">
        <f>#REF!-'IS 3Q2022'!E127</f>
        <v>#REF!</v>
      </c>
      <c r="F127" s="358" t="e">
        <f>#REF!-'IS 3Q2022'!F127</f>
        <v>#REF!</v>
      </c>
      <c r="G127" s="358" t="e">
        <f>#REF!-'IS 3Q2022'!G127</f>
        <v>#REF!</v>
      </c>
      <c r="H127" s="130" t="e">
        <f>#REF!-'IS 3Q2022'!H127</f>
        <v>#REF!</v>
      </c>
      <c r="I127" s="358" t="e">
        <f>#REF!-'IS 3Q2022'!I127</f>
        <v>#REF!</v>
      </c>
      <c r="J127" s="358" t="e">
        <f>#REF!-'IS 3Q2022'!J127</f>
        <v>#REF!</v>
      </c>
      <c r="K127" s="358" t="e">
        <f>#REF!-'IS 3Q2022'!K127</f>
        <v>#REF!</v>
      </c>
      <c r="L127" s="358" t="e">
        <f>#REF!-'IS 3Q2022'!L127</f>
        <v>#REF!</v>
      </c>
      <c r="M127" s="126" t="e">
        <f>#REF!-'IS 3Q2022'!M127</f>
        <v>#REF!</v>
      </c>
      <c r="N127" s="358" t="e">
        <f>#REF!-'IS 3Q2022'!N127</f>
        <v>#REF!</v>
      </c>
      <c r="O127" s="358" t="e">
        <f>#REF!-'IS 3Q2022'!O127</f>
        <v>#REF!</v>
      </c>
      <c r="P127" s="358" t="e">
        <f>#REF!-'IS 3Q2022'!P127</f>
        <v>#REF!</v>
      </c>
      <c r="Q127" s="358" t="e">
        <f>#REF!-'IS 3Q2022'!Q127</f>
        <v>#REF!</v>
      </c>
      <c r="R127" s="126" t="e">
        <f>#REF!-'IS 3Q2022'!R127</f>
        <v>#REF!</v>
      </c>
      <c r="S127" s="358" t="e">
        <f>#REF!-'IS 3Q2022'!S127</f>
        <v>#REF!</v>
      </c>
      <c r="T127" s="358" t="e">
        <f>#REF!-'IS 3Q2022'!T127</f>
        <v>#REF!</v>
      </c>
      <c r="U127" s="358" t="e">
        <f>#REF!-'IS 3Q2022'!U127</f>
        <v>#REF!</v>
      </c>
      <c r="V127" s="358" t="e">
        <f>#REF!-'IS 3Q2022'!V127</f>
        <v>#REF!</v>
      </c>
      <c r="W127" s="126" t="e">
        <f>#REF!-'IS 3Q2022'!W127</f>
        <v>#REF!</v>
      </c>
      <c r="X127" s="358" t="e">
        <f>#REF!-'IS 3Q2022'!X127</f>
        <v>#REF!</v>
      </c>
      <c r="Y127" s="358" t="e">
        <f>#REF!-'IS 3Q2022'!Y127</f>
        <v>#REF!</v>
      </c>
      <c r="Z127" s="358" t="e">
        <f>#REF!-'IS 3Q2022'!Z127</f>
        <v>#REF!</v>
      </c>
      <c r="AA127" s="358" t="e">
        <f>#REF!-'IS 3Q2022'!AA127</f>
        <v>#REF!</v>
      </c>
      <c r="AB127" s="126" t="e">
        <f>#REF!-'IS 3Q2022'!AB127</f>
        <v>#REF!</v>
      </c>
      <c r="AC127" s="358" t="e">
        <f>#REF!-'IS 3Q2022'!AC127</f>
        <v>#REF!</v>
      </c>
      <c r="AD127" s="358" t="e">
        <f>#REF!-'IS 3Q2022'!AD127</f>
        <v>#REF!</v>
      </c>
      <c r="AE127" s="358" t="e">
        <f>#REF!-'IS 3Q2022'!AE127</f>
        <v>#REF!</v>
      </c>
      <c r="AF127" s="358" t="e">
        <f>#REF!-'IS 3Q2022'!AF127</f>
        <v>#REF!</v>
      </c>
      <c r="AG127" s="126" t="e">
        <f>#REF!-'IS 3Q2022'!AG127</f>
        <v>#REF!</v>
      </c>
      <c r="AH127" s="358" t="e">
        <f>#REF!-'IS 3Q2022'!AH127</f>
        <v>#REF!</v>
      </c>
      <c r="AI127" s="358" t="e">
        <f>#REF!-'IS 3Q2022'!AI127</f>
        <v>#REF!</v>
      </c>
      <c r="AJ127" s="358" t="e">
        <f>#REF!-'IS 3Q2022'!AJ127</f>
        <v>#REF!</v>
      </c>
      <c r="AK127" s="358" t="e">
        <f>#REF!-'IS 3Q2022'!AK127</f>
        <v>#REF!</v>
      </c>
      <c r="AL127" s="126" t="e">
        <f>#REF!-'IS 3Q2022'!AL127</f>
        <v>#REF!</v>
      </c>
      <c r="AM127" s="358" t="e">
        <f>#REF!-'IS 3Q2022'!AM127</f>
        <v>#REF!</v>
      </c>
      <c r="AN127" s="358" t="e">
        <f>#REF!-'IS 3Q2022'!AN127</f>
        <v>#REF!</v>
      </c>
      <c r="AO127" s="358" t="e">
        <f>#REF!-'IS 3Q2022'!AO127</f>
        <v>#REF!</v>
      </c>
      <c r="AP127" s="358" t="e">
        <f>#REF!-'IS 3Q2022'!AP127</f>
        <v>#REF!</v>
      </c>
      <c r="AQ127" s="126" t="e">
        <f>#REF!-'IS 3Q2022'!AQ127</f>
        <v>#REF!</v>
      </c>
      <c r="AR127" s="358" t="e">
        <f>#REF!-'IS 3Q2022'!AR127</f>
        <v>#REF!</v>
      </c>
      <c r="AS127" s="358" t="e">
        <f>#REF!-'IS 3Q2022'!AS127</f>
        <v>#REF!</v>
      </c>
      <c r="AT127" s="358" t="e">
        <f>#REF!-'IS 3Q2022'!AT127</f>
        <v>#REF!</v>
      </c>
      <c r="AU127" s="358" t="e">
        <f>#REF!-'IS 3Q2022'!AU127</f>
        <v>#REF!</v>
      </c>
      <c r="AV127" s="126" t="e">
        <f>#REF!-'IS 3Q2022'!AV127</f>
        <v>#REF!</v>
      </c>
    </row>
    <row r="128" spans="2:48" outlineLevel="1" x14ac:dyDescent="0.3">
      <c r="B128" s="180" t="s">
        <v>35</v>
      </c>
      <c r="C128" s="18"/>
      <c r="D128" s="48" t="e">
        <f>#REF!-'IS 3Q2022'!D128</f>
        <v>#REF!</v>
      </c>
      <c r="E128" s="48" t="e">
        <f>#REF!-'IS 3Q2022'!E128</f>
        <v>#REF!</v>
      </c>
      <c r="F128" s="48" t="e">
        <f>#REF!-'IS 3Q2022'!F128</f>
        <v>#REF!</v>
      </c>
      <c r="G128" s="105" t="e">
        <f>#REF!-'IS 3Q2022'!G128</f>
        <v>#REF!</v>
      </c>
      <c r="H128" s="170" t="e">
        <f>#REF!-'IS 3Q2022'!H128</f>
        <v>#REF!</v>
      </c>
      <c r="I128" s="105" t="e">
        <f>#REF!-'IS 3Q2022'!I128</f>
        <v>#REF!</v>
      </c>
      <c r="J128" s="105" t="e">
        <f>#REF!-'IS 3Q2022'!J128</f>
        <v>#REF!</v>
      </c>
      <c r="K128" s="105" t="e">
        <f>#REF!-'IS 3Q2022'!K128</f>
        <v>#REF!</v>
      </c>
      <c r="L128" s="105" t="e">
        <f>#REF!-'IS 3Q2022'!L128</f>
        <v>#REF!</v>
      </c>
      <c r="M128" s="31" t="e">
        <f>#REF!-'IS 3Q2022'!M128</f>
        <v>#REF!</v>
      </c>
      <c r="N128" s="105" t="e">
        <f>#REF!-'IS 3Q2022'!N128</f>
        <v>#REF!</v>
      </c>
      <c r="O128" s="105" t="e">
        <f>#REF!-'IS 3Q2022'!O128</f>
        <v>#REF!</v>
      </c>
      <c r="P128" s="105" t="e">
        <f>#REF!-'IS 3Q2022'!P128</f>
        <v>#REF!</v>
      </c>
      <c r="Q128" s="105" t="e">
        <f>#REF!-'IS 3Q2022'!Q128</f>
        <v>#REF!</v>
      </c>
      <c r="R128" s="31" t="e">
        <f>#REF!-'IS 3Q2022'!R128</f>
        <v>#REF!</v>
      </c>
      <c r="S128" s="105" t="e">
        <f>#REF!-'IS 3Q2022'!S128</f>
        <v>#REF!</v>
      </c>
      <c r="T128" s="105" t="e">
        <f>#REF!-'IS 3Q2022'!T128</f>
        <v>#REF!</v>
      </c>
      <c r="U128" s="105" t="e">
        <f>#REF!-'IS 3Q2022'!U128</f>
        <v>#REF!</v>
      </c>
      <c r="V128" s="95" t="e">
        <f>#REF!-'IS 3Q2022'!V128</f>
        <v>#REF!</v>
      </c>
      <c r="W128" s="31" t="e">
        <f>#REF!-'IS 3Q2022'!W128</f>
        <v>#REF!</v>
      </c>
      <c r="X128" s="95" t="e">
        <f>#REF!-'IS 3Q2022'!X128</f>
        <v>#REF!</v>
      </c>
      <c r="Y128" s="95" t="e">
        <f>#REF!-'IS 3Q2022'!Y128</f>
        <v>#REF!</v>
      </c>
      <c r="Z128" s="95" t="e">
        <f>#REF!-'IS 3Q2022'!Z128</f>
        <v>#REF!</v>
      </c>
      <c r="AA128" s="95" t="e">
        <f>#REF!-'IS 3Q2022'!AA128</f>
        <v>#REF!</v>
      </c>
      <c r="AB128" s="31" t="e">
        <f>#REF!-'IS 3Q2022'!AB128</f>
        <v>#REF!</v>
      </c>
      <c r="AC128" s="95" t="e">
        <f>#REF!-'IS 3Q2022'!AC128</f>
        <v>#REF!</v>
      </c>
      <c r="AD128" s="95" t="e">
        <f>#REF!-'IS 3Q2022'!AD128</f>
        <v>#REF!</v>
      </c>
      <c r="AE128" s="95" t="e">
        <f>#REF!-'IS 3Q2022'!AE128</f>
        <v>#REF!</v>
      </c>
      <c r="AF128" s="95" t="e">
        <f>#REF!-'IS 3Q2022'!AF128</f>
        <v>#REF!</v>
      </c>
      <c r="AG128" s="31" t="e">
        <f>#REF!-'IS 3Q2022'!AG128</f>
        <v>#REF!</v>
      </c>
      <c r="AH128" s="95" t="e">
        <f>#REF!-'IS 3Q2022'!AH128</f>
        <v>#REF!</v>
      </c>
      <c r="AI128" s="95" t="e">
        <f>#REF!-'IS 3Q2022'!AI128</f>
        <v>#REF!</v>
      </c>
      <c r="AJ128" s="95" t="e">
        <f>#REF!-'IS 3Q2022'!AJ128</f>
        <v>#REF!</v>
      </c>
      <c r="AK128" s="95" t="e">
        <f>#REF!-'IS 3Q2022'!AK128</f>
        <v>#REF!</v>
      </c>
      <c r="AL128" s="31" t="e">
        <f>#REF!-'IS 3Q2022'!AL128</f>
        <v>#REF!</v>
      </c>
      <c r="AM128" s="95" t="e">
        <f>#REF!-'IS 3Q2022'!AM128</f>
        <v>#REF!</v>
      </c>
      <c r="AN128" s="95" t="e">
        <f>#REF!-'IS 3Q2022'!AN128</f>
        <v>#REF!</v>
      </c>
      <c r="AO128" s="95" t="e">
        <f>#REF!-'IS 3Q2022'!AO128</f>
        <v>#REF!</v>
      </c>
      <c r="AP128" s="95" t="e">
        <f>#REF!-'IS 3Q2022'!AP128</f>
        <v>#REF!</v>
      </c>
      <c r="AQ128" s="31" t="e">
        <f>#REF!-'IS 3Q2022'!AQ128</f>
        <v>#REF!</v>
      </c>
      <c r="AR128" s="95" t="e">
        <f>#REF!-'IS 3Q2022'!AR128</f>
        <v>#REF!</v>
      </c>
      <c r="AS128" s="95" t="e">
        <f>#REF!-'IS 3Q2022'!AS128</f>
        <v>#REF!</v>
      </c>
      <c r="AT128" s="95" t="e">
        <f>#REF!-'IS 3Q2022'!AT128</f>
        <v>#REF!</v>
      </c>
      <c r="AU128" s="95" t="e">
        <f>#REF!-'IS 3Q2022'!AU128</f>
        <v>#REF!</v>
      </c>
      <c r="AV128" s="31" t="e">
        <f>#REF!-'IS 3Q2022'!AV128</f>
        <v>#REF!</v>
      </c>
    </row>
    <row r="129" spans="2:48" ht="16.2" outlineLevel="1" x14ac:dyDescent="0.45">
      <c r="B129" s="180" t="s">
        <v>42</v>
      </c>
      <c r="C129" s="18"/>
      <c r="D129" s="119" t="e">
        <f>#REF!-'IS 3Q2022'!D129</f>
        <v>#REF!</v>
      </c>
      <c r="E129" s="119" t="e">
        <f>#REF!-'IS 3Q2022'!E129</f>
        <v>#REF!</v>
      </c>
      <c r="F129" s="119" t="e">
        <f>#REF!-'IS 3Q2022'!F129</f>
        <v>#REF!</v>
      </c>
      <c r="G129" s="119" t="e">
        <f>#REF!-'IS 3Q2022'!G129</f>
        <v>#REF!</v>
      </c>
      <c r="H129" s="131" t="e">
        <f>#REF!-'IS 3Q2022'!H129</f>
        <v>#REF!</v>
      </c>
      <c r="I129" s="119" t="e">
        <f>#REF!-'IS 3Q2022'!I129</f>
        <v>#REF!</v>
      </c>
      <c r="J129" s="119" t="e">
        <f>#REF!-'IS 3Q2022'!J129</f>
        <v>#REF!</v>
      </c>
      <c r="K129" s="119" t="e">
        <f>#REF!-'IS 3Q2022'!K129</f>
        <v>#REF!</v>
      </c>
      <c r="L129" s="119" t="e">
        <f>#REF!-'IS 3Q2022'!L129</f>
        <v>#REF!</v>
      </c>
      <c r="M129" s="193" t="e">
        <f>#REF!-'IS 3Q2022'!M129</f>
        <v>#REF!</v>
      </c>
      <c r="N129" s="119" t="e">
        <f>#REF!-'IS 3Q2022'!N129</f>
        <v>#REF!</v>
      </c>
      <c r="O129" s="119" t="e">
        <f>#REF!-'IS 3Q2022'!O129</f>
        <v>#REF!</v>
      </c>
      <c r="P129" s="119" t="e">
        <f>#REF!-'IS 3Q2022'!P129</f>
        <v>#REF!</v>
      </c>
      <c r="Q129" s="119" t="e">
        <f>#REF!-'IS 3Q2022'!Q129</f>
        <v>#REF!</v>
      </c>
      <c r="R129" s="193" t="e">
        <f>#REF!-'IS 3Q2022'!R129</f>
        <v>#REF!</v>
      </c>
      <c r="S129" s="119" t="e">
        <f>#REF!-'IS 3Q2022'!S129</f>
        <v>#REF!</v>
      </c>
      <c r="T129" s="119" t="e">
        <f>#REF!-'IS 3Q2022'!T129</f>
        <v>#REF!</v>
      </c>
      <c r="U129" s="119" t="e">
        <f>#REF!-'IS 3Q2022'!U129</f>
        <v>#REF!</v>
      </c>
      <c r="V129" s="119" t="e">
        <f>#REF!-'IS 3Q2022'!V129</f>
        <v>#REF!</v>
      </c>
      <c r="W129" s="193" t="e">
        <f>#REF!-'IS 3Q2022'!W129</f>
        <v>#REF!</v>
      </c>
      <c r="X129" s="119" t="e">
        <f>#REF!-'IS 3Q2022'!X129</f>
        <v>#REF!</v>
      </c>
      <c r="Y129" s="119" t="e">
        <f>#REF!-'IS 3Q2022'!Y129</f>
        <v>#REF!</v>
      </c>
      <c r="Z129" s="119" t="e">
        <f>#REF!-'IS 3Q2022'!Z129</f>
        <v>#REF!</v>
      </c>
      <c r="AA129" s="119" t="e">
        <f>#REF!-'IS 3Q2022'!AA129</f>
        <v>#REF!</v>
      </c>
      <c r="AB129" s="193" t="e">
        <f>#REF!-'IS 3Q2022'!AB129</f>
        <v>#REF!</v>
      </c>
      <c r="AC129" s="119" t="e">
        <f>#REF!-'IS 3Q2022'!AC129</f>
        <v>#REF!</v>
      </c>
      <c r="AD129" s="119" t="e">
        <f>#REF!-'IS 3Q2022'!AD129</f>
        <v>#REF!</v>
      </c>
      <c r="AE129" s="119" t="e">
        <f>#REF!-'IS 3Q2022'!AE129</f>
        <v>#REF!</v>
      </c>
      <c r="AF129" s="119" t="e">
        <f>#REF!-'IS 3Q2022'!AF129</f>
        <v>#REF!</v>
      </c>
      <c r="AG129" s="193" t="e">
        <f>#REF!-'IS 3Q2022'!AG129</f>
        <v>#REF!</v>
      </c>
      <c r="AH129" s="119" t="e">
        <f>#REF!-'IS 3Q2022'!AH129</f>
        <v>#REF!</v>
      </c>
      <c r="AI129" s="119" t="e">
        <f>#REF!-'IS 3Q2022'!AI129</f>
        <v>#REF!</v>
      </c>
      <c r="AJ129" s="119" t="e">
        <f>#REF!-'IS 3Q2022'!AJ129</f>
        <v>#REF!</v>
      </c>
      <c r="AK129" s="119" t="e">
        <f>#REF!-'IS 3Q2022'!AK129</f>
        <v>#REF!</v>
      </c>
      <c r="AL129" s="193" t="e">
        <f>#REF!-'IS 3Q2022'!AL129</f>
        <v>#REF!</v>
      </c>
      <c r="AM129" s="119" t="e">
        <f>#REF!-'IS 3Q2022'!AM129</f>
        <v>#REF!</v>
      </c>
      <c r="AN129" s="119" t="e">
        <f>#REF!-'IS 3Q2022'!AN129</f>
        <v>#REF!</v>
      </c>
      <c r="AO129" s="119" t="e">
        <f>#REF!-'IS 3Q2022'!AO129</f>
        <v>#REF!</v>
      </c>
      <c r="AP129" s="119" t="e">
        <f>#REF!-'IS 3Q2022'!AP129</f>
        <v>#REF!</v>
      </c>
      <c r="AQ129" s="193" t="e">
        <f>#REF!-'IS 3Q2022'!AQ129</f>
        <v>#REF!</v>
      </c>
      <c r="AR129" s="119" t="e">
        <f>#REF!-'IS 3Q2022'!AR129</f>
        <v>#REF!</v>
      </c>
      <c r="AS129" s="119" t="e">
        <f>#REF!-'IS 3Q2022'!AS129</f>
        <v>#REF!</v>
      </c>
      <c r="AT129" s="119" t="e">
        <f>#REF!-'IS 3Q2022'!AT129</f>
        <v>#REF!</v>
      </c>
      <c r="AU129" s="119" t="e">
        <f>#REF!-'IS 3Q2022'!AU129</f>
        <v>#REF!</v>
      </c>
      <c r="AV129" s="193" t="e">
        <f>#REF!-'IS 3Q2022'!AV129</f>
        <v>#REF!</v>
      </c>
    </row>
    <row r="130" spans="2:48" outlineLevel="1" x14ac:dyDescent="0.3">
      <c r="B130" s="46" t="s">
        <v>56</v>
      </c>
      <c r="C130" s="19"/>
      <c r="D130" s="103" t="e">
        <f>#REF!-'IS 3Q2022'!D130</f>
        <v>#REF!</v>
      </c>
      <c r="E130" s="103" t="e">
        <f>#REF!-'IS 3Q2022'!E130</f>
        <v>#REF!</v>
      </c>
      <c r="F130" s="103" t="e">
        <f>#REF!-'IS 3Q2022'!F130</f>
        <v>#REF!</v>
      </c>
      <c r="G130" s="103" t="e">
        <f>#REF!-'IS 3Q2022'!G130</f>
        <v>#REF!</v>
      </c>
      <c r="H130" s="130" t="e">
        <f>#REF!-'IS 3Q2022'!H130</f>
        <v>#REF!</v>
      </c>
      <c r="I130" s="103" t="e">
        <f>#REF!-'IS 3Q2022'!I130</f>
        <v>#REF!</v>
      </c>
      <c r="J130" s="103" t="e">
        <f>#REF!-'IS 3Q2022'!J130</f>
        <v>#REF!</v>
      </c>
      <c r="K130" s="103" t="e">
        <f>#REF!-'IS 3Q2022'!K130</f>
        <v>#REF!</v>
      </c>
      <c r="L130" s="50" t="e">
        <f>#REF!-'IS 3Q2022'!L130</f>
        <v>#REF!</v>
      </c>
      <c r="M130" s="51" t="e">
        <f>#REF!-'IS 3Q2022'!M130</f>
        <v>#REF!</v>
      </c>
      <c r="N130" s="50" t="e">
        <f>#REF!-'IS 3Q2022'!N130</f>
        <v>#REF!</v>
      </c>
      <c r="O130" s="50" t="e">
        <f>#REF!-'IS 3Q2022'!O130</f>
        <v>#REF!</v>
      </c>
      <c r="P130" s="50" t="e">
        <f>#REF!-'IS 3Q2022'!P130</f>
        <v>#REF!</v>
      </c>
      <c r="Q130" s="50" t="e">
        <f>#REF!-'IS 3Q2022'!Q130</f>
        <v>#REF!</v>
      </c>
      <c r="R130" s="51" t="e">
        <f>#REF!-'IS 3Q2022'!R130</f>
        <v>#REF!</v>
      </c>
      <c r="S130" s="50" t="e">
        <f>#REF!-'IS 3Q2022'!S130</f>
        <v>#REF!</v>
      </c>
      <c r="T130" s="50" t="e">
        <f>#REF!-'IS 3Q2022'!T130</f>
        <v>#REF!</v>
      </c>
      <c r="U130" s="50" t="e">
        <f>#REF!-'IS 3Q2022'!U130</f>
        <v>#REF!</v>
      </c>
      <c r="V130" s="50" t="e">
        <f>#REF!-'IS 3Q2022'!V130</f>
        <v>#REF!</v>
      </c>
      <c r="W130" s="51" t="e">
        <f>#REF!-'IS 3Q2022'!W130</f>
        <v>#REF!</v>
      </c>
      <c r="X130" s="50" t="e">
        <f>#REF!-'IS 3Q2022'!X130</f>
        <v>#REF!</v>
      </c>
      <c r="Y130" s="50" t="e">
        <f>#REF!-'IS 3Q2022'!Y130</f>
        <v>#REF!</v>
      </c>
      <c r="Z130" s="50" t="e">
        <f>#REF!-'IS 3Q2022'!Z130</f>
        <v>#REF!</v>
      </c>
      <c r="AA130" s="50" t="e">
        <f>#REF!-'IS 3Q2022'!AA130</f>
        <v>#REF!</v>
      </c>
      <c r="AB130" s="51" t="e">
        <f>#REF!-'IS 3Q2022'!AB130</f>
        <v>#REF!</v>
      </c>
      <c r="AC130" s="50" t="e">
        <f>#REF!-'IS 3Q2022'!AC130</f>
        <v>#REF!</v>
      </c>
      <c r="AD130" s="50" t="e">
        <f>#REF!-'IS 3Q2022'!AD130</f>
        <v>#REF!</v>
      </c>
      <c r="AE130" s="50" t="e">
        <f>#REF!-'IS 3Q2022'!AE130</f>
        <v>#REF!</v>
      </c>
      <c r="AF130" s="50" t="e">
        <f>#REF!-'IS 3Q2022'!AF130</f>
        <v>#REF!</v>
      </c>
      <c r="AG130" s="51" t="e">
        <f>#REF!-'IS 3Q2022'!AG130</f>
        <v>#REF!</v>
      </c>
      <c r="AH130" s="50" t="e">
        <f>#REF!-'IS 3Q2022'!AH130</f>
        <v>#REF!</v>
      </c>
      <c r="AI130" s="50" t="e">
        <f>#REF!-'IS 3Q2022'!AI130</f>
        <v>#REF!</v>
      </c>
      <c r="AJ130" s="50" t="e">
        <f>#REF!-'IS 3Q2022'!AJ130</f>
        <v>#REF!</v>
      </c>
      <c r="AK130" s="50" t="e">
        <f>#REF!-'IS 3Q2022'!AK130</f>
        <v>#REF!</v>
      </c>
      <c r="AL130" s="51" t="e">
        <f>#REF!-'IS 3Q2022'!AL130</f>
        <v>#REF!</v>
      </c>
      <c r="AM130" s="50" t="e">
        <f>#REF!-'IS 3Q2022'!AM130</f>
        <v>#REF!</v>
      </c>
      <c r="AN130" s="50" t="e">
        <f>#REF!-'IS 3Q2022'!AN130</f>
        <v>#REF!</v>
      </c>
      <c r="AO130" s="50" t="e">
        <f>#REF!-'IS 3Q2022'!AO130</f>
        <v>#REF!</v>
      </c>
      <c r="AP130" s="50" t="e">
        <f>#REF!-'IS 3Q2022'!AP130</f>
        <v>#REF!</v>
      </c>
      <c r="AQ130" s="51" t="e">
        <f>#REF!-'IS 3Q2022'!AQ130</f>
        <v>#REF!</v>
      </c>
      <c r="AR130" s="50" t="e">
        <f>#REF!-'IS 3Q2022'!AR130</f>
        <v>#REF!</v>
      </c>
      <c r="AS130" s="50" t="e">
        <f>#REF!-'IS 3Q2022'!AS130</f>
        <v>#REF!</v>
      </c>
      <c r="AT130" s="50" t="e">
        <f>#REF!-'IS 3Q2022'!AT130</f>
        <v>#REF!</v>
      </c>
      <c r="AU130" s="50" t="e">
        <f>#REF!-'IS 3Q2022'!AU130</f>
        <v>#REF!</v>
      </c>
      <c r="AV130" s="51" t="e">
        <f>#REF!-'IS 3Q2022'!AV130</f>
        <v>#REF!</v>
      </c>
    </row>
    <row r="131" spans="2:48" outlineLevel="1" x14ac:dyDescent="0.3">
      <c r="B131" s="46" t="s">
        <v>57</v>
      </c>
      <c r="C131" s="44"/>
      <c r="D131" s="156" t="e">
        <f>#REF!-'IS 3Q2022'!D131</f>
        <v>#REF!</v>
      </c>
      <c r="E131" s="156" t="e">
        <f>#REF!-'IS 3Q2022'!E131</f>
        <v>#REF!</v>
      </c>
      <c r="F131" s="156" t="e">
        <f>#REF!-'IS 3Q2022'!F131</f>
        <v>#REF!</v>
      </c>
      <c r="G131" s="156" t="e">
        <f>#REF!-'IS 3Q2022'!G131</f>
        <v>#REF!</v>
      </c>
      <c r="H131" s="158" t="e">
        <f>#REF!-'IS 3Q2022'!H131</f>
        <v>#REF!</v>
      </c>
      <c r="I131" s="156" t="e">
        <f>#REF!-'IS 3Q2022'!I131</f>
        <v>#REF!</v>
      </c>
      <c r="J131" s="156" t="e">
        <f>#REF!-'IS 3Q2022'!J131</f>
        <v>#REF!</v>
      </c>
      <c r="K131" s="156" t="e">
        <f>#REF!-'IS 3Q2022'!K131</f>
        <v>#REF!</v>
      </c>
      <c r="L131" s="74" t="e">
        <f>#REF!-'IS 3Q2022'!L131</f>
        <v>#REF!</v>
      </c>
      <c r="M131" s="194" t="e">
        <f>#REF!-'IS 3Q2022'!M131</f>
        <v>#REF!</v>
      </c>
      <c r="N131" s="74" t="e">
        <f>#REF!-'IS 3Q2022'!N131</f>
        <v>#REF!</v>
      </c>
      <c r="O131" s="74" t="e">
        <f>#REF!-'IS 3Q2022'!O131</f>
        <v>#REF!</v>
      </c>
      <c r="P131" s="74" t="e">
        <f>#REF!-'IS 3Q2022'!P131</f>
        <v>#REF!</v>
      </c>
      <c r="Q131" s="74" t="e">
        <f>#REF!-'IS 3Q2022'!Q131</f>
        <v>#REF!</v>
      </c>
      <c r="R131" s="194" t="e">
        <f>#REF!-'IS 3Q2022'!R131</f>
        <v>#REF!</v>
      </c>
      <c r="S131" s="74" t="e">
        <f>#REF!-'IS 3Q2022'!S131</f>
        <v>#REF!</v>
      </c>
      <c r="T131" s="74" t="e">
        <f>#REF!-'IS 3Q2022'!T131</f>
        <v>#REF!</v>
      </c>
      <c r="U131" s="74" t="e">
        <f>#REF!-'IS 3Q2022'!U131</f>
        <v>#REF!</v>
      </c>
      <c r="V131" s="74" t="e">
        <f>#REF!-'IS 3Q2022'!V131</f>
        <v>#REF!</v>
      </c>
      <c r="W131" s="194" t="e">
        <f>#REF!-'IS 3Q2022'!W131</f>
        <v>#REF!</v>
      </c>
      <c r="X131" s="74" t="e">
        <f>#REF!-'IS 3Q2022'!X131</f>
        <v>#REF!</v>
      </c>
      <c r="Y131" s="74" t="e">
        <f>#REF!-'IS 3Q2022'!Y131</f>
        <v>#REF!</v>
      </c>
      <c r="Z131" s="74" t="e">
        <f>#REF!-'IS 3Q2022'!Z131</f>
        <v>#REF!</v>
      </c>
      <c r="AA131" s="74" t="e">
        <f>#REF!-'IS 3Q2022'!AA131</f>
        <v>#REF!</v>
      </c>
      <c r="AB131" s="194" t="e">
        <f>#REF!-'IS 3Q2022'!AB131</f>
        <v>#REF!</v>
      </c>
      <c r="AC131" s="74" t="e">
        <f>#REF!-'IS 3Q2022'!AC131</f>
        <v>#REF!</v>
      </c>
      <c r="AD131" s="74" t="e">
        <f>#REF!-'IS 3Q2022'!AD131</f>
        <v>#REF!</v>
      </c>
      <c r="AE131" s="74" t="e">
        <f>#REF!-'IS 3Q2022'!AE131</f>
        <v>#REF!</v>
      </c>
      <c r="AF131" s="74" t="e">
        <f>#REF!-'IS 3Q2022'!AF131</f>
        <v>#REF!</v>
      </c>
      <c r="AG131" s="194" t="e">
        <f>#REF!-'IS 3Q2022'!AG131</f>
        <v>#REF!</v>
      </c>
      <c r="AH131" s="74" t="e">
        <f>#REF!-'IS 3Q2022'!AH131</f>
        <v>#REF!</v>
      </c>
      <c r="AI131" s="74" t="e">
        <f>#REF!-'IS 3Q2022'!AI131</f>
        <v>#REF!</v>
      </c>
      <c r="AJ131" s="74" t="e">
        <f>#REF!-'IS 3Q2022'!AJ131</f>
        <v>#REF!</v>
      </c>
      <c r="AK131" s="74" t="e">
        <f>#REF!-'IS 3Q2022'!AK131</f>
        <v>#REF!</v>
      </c>
      <c r="AL131" s="194" t="e">
        <f>#REF!-'IS 3Q2022'!AL131</f>
        <v>#REF!</v>
      </c>
      <c r="AM131" s="74" t="e">
        <f>#REF!-'IS 3Q2022'!AM131</f>
        <v>#REF!</v>
      </c>
      <c r="AN131" s="74" t="e">
        <f>#REF!-'IS 3Q2022'!AN131</f>
        <v>#REF!</v>
      </c>
      <c r="AO131" s="74" t="e">
        <f>#REF!-'IS 3Q2022'!AO131</f>
        <v>#REF!</v>
      </c>
      <c r="AP131" s="74" t="e">
        <f>#REF!-'IS 3Q2022'!AP131</f>
        <v>#REF!</v>
      </c>
      <c r="AQ131" s="194" t="e">
        <f>#REF!-'IS 3Q2022'!AQ131</f>
        <v>#REF!</v>
      </c>
      <c r="AR131" s="74" t="e">
        <f>#REF!-'IS 3Q2022'!AR131</f>
        <v>#REF!</v>
      </c>
      <c r="AS131" s="74" t="e">
        <f>#REF!-'IS 3Q2022'!AS131</f>
        <v>#REF!</v>
      </c>
      <c r="AT131" s="74" t="e">
        <f>#REF!-'IS 3Q2022'!AT131</f>
        <v>#REF!</v>
      </c>
      <c r="AU131" s="74" t="e">
        <f>#REF!-'IS 3Q2022'!AU131</f>
        <v>#REF!</v>
      </c>
      <c r="AV131" s="194" t="e">
        <f>#REF!-'IS 3Q2022'!AV131</f>
        <v>#REF!</v>
      </c>
    </row>
    <row r="132" spans="2:48" ht="17.399999999999999" x14ac:dyDescent="0.45">
      <c r="B132" s="583" t="s">
        <v>14</v>
      </c>
      <c r="C132" s="584"/>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2" t="s">
        <v>25</v>
      </c>
      <c r="W132" s="42" t="s">
        <v>26</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t="e">
        <f>+D45+D78-D5</f>
        <v>#REF!</v>
      </c>
      <c r="E133" s="65" t="e">
        <f>+E45+E78-E5</f>
        <v>#REF!</v>
      </c>
      <c r="F133" s="121" t="e">
        <f>+F45+F78-F5</f>
        <v>#REF!</v>
      </c>
      <c r="G133" s="65" t="e">
        <f>+G45+G78-G5</f>
        <v>#REF!</v>
      </c>
      <c r="H133" s="66"/>
      <c r="I133" s="65" t="e">
        <f>+I45+I78-I5</f>
        <v>#REF!</v>
      </c>
      <c r="J133" s="65" t="e">
        <f>+J45+J78-J5</f>
        <v>#REF!</v>
      </c>
      <c r="K133" s="121" t="e">
        <f>+K45+K78-K5</f>
        <v>#REF!</v>
      </c>
      <c r="L133" s="65" t="e">
        <f>+L45+L78-L5</f>
        <v>#REF!</v>
      </c>
      <c r="M133" s="66"/>
      <c r="N133" s="65" t="e">
        <f>+N45+N78-N5</f>
        <v>#REF!</v>
      </c>
      <c r="O133" s="65" t="e">
        <f>+O45+O78-O5</f>
        <v>#REF!</v>
      </c>
      <c r="P133" s="121" t="e">
        <f>+P45+P78-P5</f>
        <v>#REF!</v>
      </c>
      <c r="Q133" s="65" t="e">
        <f>+Q45+Q78-Q5</f>
        <v>#REF!</v>
      </c>
      <c r="R133" s="66"/>
      <c r="S133" s="65" t="e">
        <f>+S45+S78-S5</f>
        <v>#REF!</v>
      </c>
      <c r="T133" s="65" t="e">
        <f>+T45+T78-T5</f>
        <v>#REF!</v>
      </c>
      <c r="U133" s="121" t="e">
        <f>+U45+U78-U5</f>
        <v>#REF!</v>
      </c>
      <c r="V133" s="65" t="e">
        <f>+V45+V78-V5</f>
        <v>#REF!</v>
      </c>
      <c r="W133" s="66"/>
      <c r="X133" s="65" t="e">
        <f>+X45+X78-X5</f>
        <v>#REF!</v>
      </c>
      <c r="Y133" s="65" t="e">
        <f>+Y45+Y78-Y5</f>
        <v>#REF!</v>
      </c>
      <c r="Z133" s="121" t="e">
        <f>+Z45+Z78-Z5</f>
        <v>#REF!</v>
      </c>
      <c r="AA133" s="65" t="e">
        <f>+AA45+AA78-AA5</f>
        <v>#REF!</v>
      </c>
      <c r="AB133" s="66"/>
      <c r="AC133" s="65" t="e">
        <f>+AC45+AC78-AC5</f>
        <v>#REF!</v>
      </c>
      <c r="AD133" s="65" t="e">
        <f>+AD45+AD78-AD5</f>
        <v>#REF!</v>
      </c>
      <c r="AE133" s="121" t="e">
        <f>+AE45+AE78-AE5</f>
        <v>#REF!</v>
      </c>
      <c r="AF133" s="65" t="e">
        <f>+AF45+AF78-AF5</f>
        <v>#REF!</v>
      </c>
      <c r="AG133" s="66"/>
      <c r="AH133" s="65" t="e">
        <f>+AH45+AH78-AH5</f>
        <v>#REF!</v>
      </c>
      <c r="AI133" s="65" t="e">
        <f>+AI45+AI78-AI5</f>
        <v>#REF!</v>
      </c>
      <c r="AJ133" s="121" t="e">
        <f>+AJ45+AJ78-AJ5</f>
        <v>#REF!</v>
      </c>
      <c r="AK133" s="65" t="e">
        <f>+AK45+AK78-AK5</f>
        <v>#REF!</v>
      </c>
      <c r="AL133" s="66"/>
      <c r="AM133" s="65" t="e">
        <f>+AM45+AM78-AM5</f>
        <v>#REF!</v>
      </c>
      <c r="AN133" s="65" t="e">
        <f>+AN45+AN78-AN5</f>
        <v>#REF!</v>
      </c>
      <c r="AO133" s="121" t="e">
        <f>+AO45+AO78-AO5</f>
        <v>#REF!</v>
      </c>
      <c r="AP133" s="65" t="e">
        <f>+AP45+AP78-AP5</f>
        <v>#REF!</v>
      </c>
      <c r="AQ133" s="66"/>
      <c r="AR133" s="65" t="e">
        <f>+AR45+AR78-AR5</f>
        <v>#REF!</v>
      </c>
      <c r="AS133" s="65" t="e">
        <f>+AS45+AS78-AS5</f>
        <v>#REF!</v>
      </c>
      <c r="AT133" s="121" t="e">
        <f>+AT45+AT78-AT5</f>
        <v>#REF!</v>
      </c>
      <c r="AU133" s="65" t="e">
        <f>+AU45+AU78-AU5</f>
        <v>#REF!</v>
      </c>
      <c r="AV133" s="66"/>
    </row>
    <row r="134" spans="2:48" s="77" customFormat="1" ht="15.6" customHeight="1" outlineLevel="1" x14ac:dyDescent="0.3">
      <c r="B134" s="64" t="s">
        <v>60</v>
      </c>
      <c r="C134" s="78"/>
      <c r="D134" s="65" t="e">
        <f>+D54+D87-D6</f>
        <v>#REF!</v>
      </c>
      <c r="E134" s="65" t="e">
        <f>+E54+E87-E6</f>
        <v>#REF!</v>
      </c>
      <c r="F134" s="121" t="e">
        <f>+F54+F87-F6</f>
        <v>#REF!</v>
      </c>
      <c r="G134" s="65" t="e">
        <f>+G54+G87-G6</f>
        <v>#REF!</v>
      </c>
      <c r="H134" s="66"/>
      <c r="I134" s="65" t="e">
        <f>+I54+I87-I6</f>
        <v>#REF!</v>
      </c>
      <c r="J134" s="65" t="e">
        <f>+J54+J87-J6</f>
        <v>#REF!</v>
      </c>
      <c r="K134" s="121" t="e">
        <f>+K54+K87-K6</f>
        <v>#REF!</v>
      </c>
      <c r="L134" s="65" t="e">
        <f>+L54+L87-L6</f>
        <v>#REF!</v>
      </c>
      <c r="M134" s="66"/>
      <c r="N134" s="65" t="e">
        <f>+N54+N87-N6</f>
        <v>#REF!</v>
      </c>
      <c r="O134" s="65" t="e">
        <f>+O54+O87-O6</f>
        <v>#REF!</v>
      </c>
      <c r="P134" s="121" t="e">
        <f>+P54+P87-P6</f>
        <v>#REF!</v>
      </c>
      <c r="Q134" s="65" t="e">
        <f>+Q54+Q87-Q6</f>
        <v>#REF!</v>
      </c>
      <c r="R134" s="66"/>
      <c r="S134" s="65" t="e">
        <f>+S54+S87-S6</f>
        <v>#REF!</v>
      </c>
      <c r="T134" s="65" t="e">
        <f>+T54+T87-T6</f>
        <v>#REF!</v>
      </c>
      <c r="U134" s="121" t="e">
        <f>+U54+U87-U6</f>
        <v>#REF!</v>
      </c>
      <c r="V134" s="65" t="e">
        <f>+V54+V87-V6</f>
        <v>#REF!</v>
      </c>
      <c r="W134" s="66"/>
      <c r="X134" s="65" t="e">
        <f>+X54+X87-X6</f>
        <v>#REF!</v>
      </c>
      <c r="Y134" s="65" t="e">
        <f>+Y54+Y87-Y6</f>
        <v>#REF!</v>
      </c>
      <c r="Z134" s="121" t="e">
        <f>+Z54+Z87-Z6</f>
        <v>#REF!</v>
      </c>
      <c r="AA134" s="65" t="e">
        <f>+AA54+AA87-AA6</f>
        <v>#REF!</v>
      </c>
      <c r="AB134" s="66"/>
      <c r="AC134" s="65" t="e">
        <f>+AC54+AC87-AC6</f>
        <v>#REF!</v>
      </c>
      <c r="AD134" s="65" t="e">
        <f>+AD54+AD87-AD6</f>
        <v>#REF!</v>
      </c>
      <c r="AE134" s="121" t="e">
        <f>+AE54+AE87-AE6</f>
        <v>#REF!</v>
      </c>
      <c r="AF134" s="65" t="e">
        <f>+AF54+AF87-AF6</f>
        <v>#REF!</v>
      </c>
      <c r="AG134" s="66"/>
      <c r="AH134" s="65" t="e">
        <f>+AH54+AH87-AH6</f>
        <v>#REF!</v>
      </c>
      <c r="AI134" s="65" t="e">
        <f>+AI54+AI87-AI6</f>
        <v>#REF!</v>
      </c>
      <c r="AJ134" s="121" t="e">
        <f>+AJ54+AJ87-AJ6</f>
        <v>#REF!</v>
      </c>
      <c r="AK134" s="65" t="e">
        <f>+AK54+AK87-AK6</f>
        <v>#REF!</v>
      </c>
      <c r="AL134" s="66"/>
      <c r="AM134" s="65" t="e">
        <f>+AM54+AM87-AM6</f>
        <v>#REF!</v>
      </c>
      <c r="AN134" s="65" t="e">
        <f>+AN54+AN87-AN6</f>
        <v>#REF!</v>
      </c>
      <c r="AO134" s="121" t="e">
        <f>+AO54+AO87-AO6</f>
        <v>#REF!</v>
      </c>
      <c r="AP134" s="65" t="e">
        <f>+AP54+AP87-AP6</f>
        <v>#REF!</v>
      </c>
      <c r="AQ134" s="66"/>
      <c r="AR134" s="65" t="e">
        <f>+AR54+AR87-AR6</f>
        <v>#REF!</v>
      </c>
      <c r="AS134" s="65" t="e">
        <f>+AS54+AS87-AS6</f>
        <v>#REF!</v>
      </c>
      <c r="AT134" s="121" t="e">
        <f>+AT54+AT87-AT6</f>
        <v>#REF!</v>
      </c>
      <c r="AU134" s="65" t="e">
        <f>+AU54+AU87-AU6</f>
        <v>#REF!</v>
      </c>
      <c r="AV134" s="66"/>
    </row>
    <row r="135" spans="2:48" s="77" customFormat="1" ht="15.6" customHeight="1" outlineLevel="1" x14ac:dyDescent="0.3">
      <c r="B135" s="64" t="s">
        <v>61</v>
      </c>
      <c r="C135" s="78"/>
      <c r="D135" s="65" t="e">
        <f>+D55+D88+D108+D123-D7</f>
        <v>#REF!</v>
      </c>
      <c r="E135" s="65" t="e">
        <f>+E55+E88+E108+E123-E7</f>
        <v>#REF!</v>
      </c>
      <c r="F135" s="121" t="e">
        <f>+F55+F88+F108+F123-F7</f>
        <v>#REF!</v>
      </c>
      <c r="G135" s="65" t="e">
        <f>+G55+G88+G108+G123-G7</f>
        <v>#REF!</v>
      </c>
      <c r="H135" s="66"/>
      <c r="I135" s="65" t="e">
        <f>+I55+I88+I108+I123-I7</f>
        <v>#REF!</v>
      </c>
      <c r="J135" s="65" t="e">
        <f>+J55+J88+J108+J123-J7</f>
        <v>#REF!</v>
      </c>
      <c r="K135" s="121" t="e">
        <f>+K55+K88+K108+K123-K7</f>
        <v>#REF!</v>
      </c>
      <c r="L135" s="65" t="e">
        <f>+L55+L88+L108+L123-L7</f>
        <v>#REF!</v>
      </c>
      <c r="M135" s="66"/>
      <c r="N135" s="65" t="e">
        <f>+N55+N88+N108+N123-N7</f>
        <v>#REF!</v>
      </c>
      <c r="O135" s="65" t="e">
        <f>+O55+O88+O108+O123-O7</f>
        <v>#REF!</v>
      </c>
      <c r="P135" s="121" t="e">
        <f>+P55+P88+P108+P123-P7</f>
        <v>#REF!</v>
      </c>
      <c r="Q135" s="65" t="e">
        <f>+Q55+Q88+Q108+Q123-Q7</f>
        <v>#REF!</v>
      </c>
      <c r="R135" s="66"/>
      <c r="S135" s="65" t="e">
        <f>+S55+S88+S108+S123-S7</f>
        <v>#REF!</v>
      </c>
      <c r="T135" s="65" t="e">
        <f>+T55+T88+T108+T123-T7</f>
        <v>#REF!</v>
      </c>
      <c r="U135" s="121" t="e">
        <f>+U55+U88+U108+U123-U7</f>
        <v>#REF!</v>
      </c>
      <c r="V135" s="65" t="e">
        <f>+V55+V88+V108+V123-V7</f>
        <v>#REF!</v>
      </c>
      <c r="W135" s="66"/>
      <c r="X135" s="65" t="e">
        <f>+X55+X88+X108+X123-X7</f>
        <v>#REF!</v>
      </c>
      <c r="Y135" s="65" t="e">
        <f>+Y55+Y88+Y108+Y123-Y7</f>
        <v>#REF!</v>
      </c>
      <c r="Z135" s="121" t="e">
        <f>+Z55+Z88+Z108+Z123-Z7</f>
        <v>#REF!</v>
      </c>
      <c r="AA135" s="65" t="e">
        <f>+AA55+AA88+AA108+AA123-AA7</f>
        <v>#REF!</v>
      </c>
      <c r="AB135" s="66"/>
      <c r="AC135" s="65" t="e">
        <f>+AC55+AC88+AC108+AC123-AC7</f>
        <v>#REF!</v>
      </c>
      <c r="AD135" s="65" t="e">
        <f>+AD55+AD88+AD108+AD123-AD7</f>
        <v>#REF!</v>
      </c>
      <c r="AE135" s="121" t="e">
        <f>+AE55+AE88+AE108+AE123-AE7</f>
        <v>#REF!</v>
      </c>
      <c r="AF135" s="65" t="e">
        <f>+AF55+AF88+AF108+AF123-AF7</f>
        <v>#REF!</v>
      </c>
      <c r="AG135" s="66"/>
      <c r="AH135" s="65" t="e">
        <f>+AH55+AH88+AH108+AH123-AH7</f>
        <v>#REF!</v>
      </c>
      <c r="AI135" s="65" t="e">
        <f>+AI55+AI88+AI108+AI123-AI7</f>
        <v>#REF!</v>
      </c>
      <c r="AJ135" s="121" t="e">
        <f>+AJ55+AJ88+AJ108+AJ123-AJ7</f>
        <v>#REF!</v>
      </c>
      <c r="AK135" s="65" t="e">
        <f>+AK55+AK88+AK108+AK123-AK7</f>
        <v>#REF!</v>
      </c>
      <c r="AL135" s="66"/>
      <c r="AM135" s="65" t="e">
        <f>+AM55+AM88+AM108+AM123-AM7</f>
        <v>#REF!</v>
      </c>
      <c r="AN135" s="65" t="e">
        <f>+AN55+AN88+AN108+AN123-AN7</f>
        <v>#REF!</v>
      </c>
      <c r="AO135" s="121" t="e">
        <f>+AO55+AO88+AO108+AO123-AO7</f>
        <v>#REF!</v>
      </c>
      <c r="AP135" s="65" t="e">
        <f>+AP55+AP88+AP108+AP123-AP7</f>
        <v>#REF!</v>
      </c>
      <c r="AQ135" s="66"/>
      <c r="AR135" s="65" t="e">
        <f>+AR55+AR88+AR108+AR123-AR7</f>
        <v>#REF!</v>
      </c>
      <c r="AS135" s="65" t="e">
        <f>+AS55+AS88+AS108+AS123-AS7</f>
        <v>#REF!</v>
      </c>
      <c r="AT135" s="121" t="e">
        <f>+AT55+AT88+AT108+AT123-AT7</f>
        <v>#REF!</v>
      </c>
      <c r="AU135" s="65" t="e">
        <f>+AU55+AU88+AU108+AU123-AU7</f>
        <v>#REF!</v>
      </c>
      <c r="AV135" s="66"/>
    </row>
    <row r="136" spans="2:48" s="77" customFormat="1" ht="15.6" customHeight="1" outlineLevel="1" x14ac:dyDescent="0.3">
      <c r="B136" s="64" t="s">
        <v>36</v>
      </c>
      <c r="C136" s="78"/>
      <c r="D136" s="65" t="e">
        <f>+D119+D104-D16</f>
        <v>#REF!</v>
      </c>
      <c r="E136" s="65" t="e">
        <f>+E119+E104-E16</f>
        <v>#REF!</v>
      </c>
      <c r="F136" s="121" t="e">
        <f>+F119+F104-F16</f>
        <v>#REF!</v>
      </c>
      <c r="G136" s="65" t="e">
        <f>+G119+G104-G16</f>
        <v>#REF!</v>
      </c>
      <c r="H136" s="66"/>
      <c r="I136" s="65" t="e">
        <f>+I119+I104-I16</f>
        <v>#REF!</v>
      </c>
      <c r="J136" s="65" t="e">
        <f>+J119+J104-J16</f>
        <v>#REF!</v>
      </c>
      <c r="K136" s="121" t="e">
        <f>+K119+K104-K16</f>
        <v>#REF!</v>
      </c>
      <c r="L136" s="65" t="e">
        <f>+L119+L104-L16</f>
        <v>#REF!</v>
      </c>
      <c r="M136" s="66"/>
      <c r="N136" s="65" t="e">
        <f>+N119+N104-N16</f>
        <v>#REF!</v>
      </c>
      <c r="O136" s="65" t="e">
        <f>+O119+O104-O16</f>
        <v>#REF!</v>
      </c>
      <c r="P136" s="121" t="e">
        <f>+P119+P104-P16</f>
        <v>#REF!</v>
      </c>
      <c r="Q136" s="65" t="e">
        <f>+Q119+Q104-Q16</f>
        <v>#REF!</v>
      </c>
      <c r="R136" s="66"/>
      <c r="S136" s="65" t="e">
        <f>+S119+S104-S16</f>
        <v>#REF!</v>
      </c>
      <c r="T136" s="65" t="e">
        <f>+T119+T104-T16</f>
        <v>#REF!</v>
      </c>
      <c r="U136" s="121" t="e">
        <f>+U119+U104-U16</f>
        <v>#REF!</v>
      </c>
      <c r="V136" s="65" t="e">
        <f>+V119+V104-V16</f>
        <v>#REF!</v>
      </c>
      <c r="W136" s="66"/>
      <c r="X136" s="65" t="e">
        <f>+X119+X104-X16</f>
        <v>#REF!</v>
      </c>
      <c r="Y136" s="65" t="e">
        <f>+Y119+Y104-Y16</f>
        <v>#REF!</v>
      </c>
      <c r="Z136" s="121" t="e">
        <f>+Z119+Z104-Z16</f>
        <v>#REF!</v>
      </c>
      <c r="AA136" s="65" t="e">
        <f>+AA119+AA104-AA16</f>
        <v>#REF!</v>
      </c>
      <c r="AB136" s="66"/>
      <c r="AC136" s="65" t="e">
        <f>+AC119+AC104-AC16</f>
        <v>#REF!</v>
      </c>
      <c r="AD136" s="65" t="e">
        <f>+AD119+AD104-AD16</f>
        <v>#REF!</v>
      </c>
      <c r="AE136" s="121" t="e">
        <f>+AE119+AE104-AE16</f>
        <v>#REF!</v>
      </c>
      <c r="AF136" s="65" t="e">
        <f>+AF119+AF104-AF16</f>
        <v>#REF!</v>
      </c>
      <c r="AG136" s="66"/>
      <c r="AH136" s="65" t="e">
        <f>+AH119+AH104-AH16</f>
        <v>#REF!</v>
      </c>
      <c r="AI136" s="65" t="e">
        <f>+AI119+AI104-AI16</f>
        <v>#REF!</v>
      </c>
      <c r="AJ136" s="121" t="e">
        <f>+AJ119+AJ104-AJ16</f>
        <v>#REF!</v>
      </c>
      <c r="AK136" s="65" t="e">
        <f>+AK119+AK104-AK16</f>
        <v>#REF!</v>
      </c>
      <c r="AL136" s="66"/>
      <c r="AM136" s="65" t="e">
        <f>+AM119+AM104-AM16</f>
        <v>#REF!</v>
      </c>
      <c r="AN136" s="65" t="e">
        <f>+AN119+AN104-AN16</f>
        <v>#REF!</v>
      </c>
      <c r="AO136" s="121" t="e">
        <f>+AO119+AO104-AO16</f>
        <v>#REF!</v>
      </c>
      <c r="AP136" s="65" t="e">
        <f>+AP119+AP104-AP16</f>
        <v>#REF!</v>
      </c>
      <c r="AQ136" s="66"/>
      <c r="AR136" s="65" t="e">
        <f>+AR119+AR104-AR16</f>
        <v>#REF!</v>
      </c>
      <c r="AS136" s="65" t="e">
        <f>+AS119+AS104-AS16</f>
        <v>#REF!</v>
      </c>
      <c r="AT136" s="121" t="e">
        <f>+AT119+AT104-AT16</f>
        <v>#REF!</v>
      </c>
      <c r="AU136" s="65" t="e">
        <f>+AU119+AU104-AU16</f>
        <v>#REF!</v>
      </c>
      <c r="AV136" s="66"/>
    </row>
    <row r="137" spans="2:48" s="77" customFormat="1" ht="15.6" customHeight="1" outlineLevel="1" x14ac:dyDescent="0.3">
      <c r="B137" s="64" t="s">
        <v>62</v>
      </c>
      <c r="C137" s="78"/>
      <c r="D137" s="65" t="e">
        <f>+D71+D105+D120+D131-D17</f>
        <v>#REF!</v>
      </c>
      <c r="E137" s="65" t="e">
        <f>+E71+E105+E120+E131-E17</f>
        <v>#REF!</v>
      </c>
      <c r="F137" s="121" t="e">
        <f>+F71+F105+F120+F131-F17</f>
        <v>#REF!</v>
      </c>
      <c r="G137" s="65" t="e">
        <f>+G71+G105+G120+G131-G17</f>
        <v>#REF!</v>
      </c>
      <c r="H137" s="66"/>
      <c r="I137" s="65" t="e">
        <f>+I71+I105+I120+I131-I17</f>
        <v>#REF!</v>
      </c>
      <c r="J137" s="65" t="e">
        <f>+J71+J105+J120+J131-J17</f>
        <v>#REF!</v>
      </c>
      <c r="K137" s="121" t="e">
        <f>+K71+K105+K120+K131-K17</f>
        <v>#REF!</v>
      </c>
      <c r="L137" s="65" t="e">
        <f>+L71+L105+L120+L131-L17</f>
        <v>#REF!</v>
      </c>
      <c r="M137" s="66"/>
      <c r="N137" s="65" t="e">
        <f>+N71+N105+N120+N131-N17</f>
        <v>#REF!</v>
      </c>
      <c r="O137" s="65" t="e">
        <f>+O71+O105+O120+O131-O17</f>
        <v>#REF!</v>
      </c>
      <c r="P137" s="121" t="e">
        <f>+P71+P105+P120+P131-P17</f>
        <v>#REF!</v>
      </c>
      <c r="Q137" s="65" t="e">
        <f>+Q71+Q105+Q120+Q131-Q17</f>
        <v>#REF!</v>
      </c>
      <c r="R137" s="66"/>
      <c r="S137" s="65" t="e">
        <f>+S71+S105+S120+S131-S17</f>
        <v>#REF!</v>
      </c>
      <c r="T137" s="65" t="e">
        <f>+T71+T105+T120+T131-T17</f>
        <v>#REF!</v>
      </c>
      <c r="U137" s="121" t="e">
        <f>+U71+U105+U120+U131-U17</f>
        <v>#REF!</v>
      </c>
      <c r="V137" s="65" t="e">
        <f>+V71+V105+V120+V131-V17</f>
        <v>#REF!</v>
      </c>
      <c r="W137" s="66"/>
      <c r="X137" s="65" t="e">
        <f>+X71+X105+X120+X131-X17</f>
        <v>#REF!</v>
      </c>
      <c r="Y137" s="65" t="e">
        <f>+Y71+Y105+Y120+Y131-Y17</f>
        <v>#REF!</v>
      </c>
      <c r="Z137" s="121" t="e">
        <f>+Z71+Z105+Z120+Z131-Z17</f>
        <v>#REF!</v>
      </c>
      <c r="AA137" s="65" t="e">
        <f>+AA71+AA105+AA120+AA131-AA17</f>
        <v>#REF!</v>
      </c>
      <c r="AB137" s="66"/>
      <c r="AC137" s="65" t="e">
        <f>+AC71+AC105+AC120+AC131-AC17</f>
        <v>#REF!</v>
      </c>
      <c r="AD137" s="65" t="e">
        <f>+AD71+AD105+AD120+AD131-AD17</f>
        <v>#REF!</v>
      </c>
      <c r="AE137" s="121" t="e">
        <f>+AE71+AE105+AE120+AE131-AE17</f>
        <v>#REF!</v>
      </c>
      <c r="AF137" s="65" t="e">
        <f>+AF71+AF105+AF120+AF131-AF17</f>
        <v>#REF!</v>
      </c>
      <c r="AG137" s="66"/>
      <c r="AH137" s="65" t="e">
        <f>+AH71+AH105+AH120+AH131-AH17</f>
        <v>#REF!</v>
      </c>
      <c r="AI137" s="65" t="e">
        <f>+AI71+AI105+AI120+AI131-AI17</f>
        <v>#REF!</v>
      </c>
      <c r="AJ137" s="121" t="e">
        <f>+AJ71+AJ105+AJ120+AJ131-AJ17</f>
        <v>#REF!</v>
      </c>
      <c r="AK137" s="65" t="e">
        <f>+AK71+AK105+AK120+AK131-AK17</f>
        <v>#REF!</v>
      </c>
      <c r="AL137" s="66"/>
      <c r="AM137" s="65" t="e">
        <f>+AM71+AM105+AM120+AM131-AM17</f>
        <v>#REF!</v>
      </c>
      <c r="AN137" s="65" t="e">
        <f>+AN71+AN105+AN120+AN131-AN17</f>
        <v>#REF!</v>
      </c>
      <c r="AO137" s="121" t="e">
        <f>+AO71+AO105+AO120+AO131-AO17</f>
        <v>#REF!</v>
      </c>
      <c r="AP137" s="65" t="e">
        <f>+AP71+AP105+AP120+AP131-AP17</f>
        <v>#REF!</v>
      </c>
      <c r="AQ137" s="66"/>
      <c r="AR137" s="65" t="e">
        <f>+AR71+AR105+AR120+AR131-AR17</f>
        <v>#REF!</v>
      </c>
      <c r="AS137" s="65" t="e">
        <f>+AS71+AS105+AS120+AS131-AS17</f>
        <v>#REF!</v>
      </c>
      <c r="AT137" s="121" t="e">
        <f>+AT71+AT105+AT120+AT131-AT17</f>
        <v>#REF!</v>
      </c>
      <c r="AU137" s="65" t="e">
        <f>+AU71+AU105+AU120+AU131-AU17</f>
        <v>#REF!</v>
      </c>
      <c r="AV137" s="66"/>
    </row>
    <row r="138" spans="2:48" ht="15" customHeight="1" x14ac:dyDescent="0.45">
      <c r="B138" s="583" t="s">
        <v>9</v>
      </c>
      <c r="C138" s="584"/>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2" t="s">
        <v>25</v>
      </c>
      <c r="W138" s="42" t="s">
        <v>26</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101" t="e">
        <f>#REF!-'IS 3Q2022'!D139</f>
        <v>#REF!</v>
      </c>
      <c r="E139" s="27" t="e">
        <f>#REF!-'IS 3Q2022'!E139</f>
        <v>#REF!</v>
      </c>
      <c r="F139" s="27" t="e">
        <f>#REF!-'IS 3Q2022'!F139</f>
        <v>#REF!</v>
      </c>
      <c r="G139" s="27" t="e">
        <f>#REF!-'IS 3Q2022'!G139</f>
        <v>#REF!</v>
      </c>
      <c r="H139" s="29" t="e">
        <f>#REF!-'IS 3Q2022'!H139</f>
        <v>#REF!</v>
      </c>
      <c r="I139" s="27" t="e">
        <f>#REF!-'IS 3Q2022'!I139</f>
        <v>#REF!</v>
      </c>
      <c r="J139" s="27" t="e">
        <f>#REF!-'IS 3Q2022'!J139</f>
        <v>#REF!</v>
      </c>
      <c r="K139" s="27" t="e">
        <f>#REF!-'IS 3Q2022'!K139</f>
        <v>#REF!</v>
      </c>
      <c r="L139" s="113" t="e">
        <f>#REF!-'IS 3Q2022'!L139</f>
        <v>#REF!</v>
      </c>
      <c r="M139" s="137" t="e">
        <f>#REF!-'IS 3Q2022'!M139</f>
        <v>#REF!</v>
      </c>
      <c r="N139" s="113" t="e">
        <f>#REF!-'IS 3Q2022'!N139</f>
        <v>#REF!</v>
      </c>
      <c r="O139" s="113" t="e">
        <f>#REF!-'IS 3Q2022'!O139</f>
        <v>#REF!</v>
      </c>
      <c r="P139" s="113" t="e">
        <f>#REF!-'IS 3Q2022'!P139</f>
        <v>#REF!</v>
      </c>
      <c r="Q139" s="113" t="e">
        <f>#REF!-'IS 3Q2022'!Q139</f>
        <v>#REF!</v>
      </c>
      <c r="R139" s="29" t="e">
        <f>#REF!-'IS 3Q2022'!R139</f>
        <v>#REF!</v>
      </c>
      <c r="S139" s="113" t="e">
        <f>#REF!-'IS 3Q2022'!S139</f>
        <v>#REF!</v>
      </c>
      <c r="T139" s="113" t="e">
        <f>#REF!-'IS 3Q2022'!T139</f>
        <v>#REF!</v>
      </c>
      <c r="U139" s="113" t="e">
        <f>#REF!-'IS 3Q2022'!U139</f>
        <v>#REF!</v>
      </c>
      <c r="V139" s="113" t="e">
        <f>#REF!-'IS 3Q2022'!V139</f>
        <v>#REF!</v>
      </c>
      <c r="W139" s="137" t="e">
        <f>#REF!-'IS 3Q2022'!W139</f>
        <v>#REF!</v>
      </c>
      <c r="X139" s="113" t="e">
        <f>#REF!-'IS 3Q2022'!X139</f>
        <v>#REF!</v>
      </c>
      <c r="Y139" s="113" t="e">
        <f>#REF!-'IS 3Q2022'!Y139</f>
        <v>#REF!</v>
      </c>
      <c r="Z139" s="113" t="e">
        <f>#REF!-'IS 3Q2022'!Z139</f>
        <v>#REF!</v>
      </c>
      <c r="AA139" s="113" t="e">
        <f>#REF!-'IS 3Q2022'!AA139</f>
        <v>#REF!</v>
      </c>
      <c r="AB139" s="137" t="e">
        <f>#REF!-'IS 3Q2022'!AB139</f>
        <v>#REF!</v>
      </c>
      <c r="AC139" s="113" t="e">
        <f>#REF!-'IS 3Q2022'!AC139</f>
        <v>#REF!</v>
      </c>
      <c r="AD139" s="113" t="e">
        <f>#REF!-'IS 3Q2022'!AD139</f>
        <v>#REF!</v>
      </c>
      <c r="AE139" s="113" t="e">
        <f>#REF!-'IS 3Q2022'!AE139</f>
        <v>#REF!</v>
      </c>
      <c r="AF139" s="113" t="e">
        <f>#REF!-'IS 3Q2022'!AF139</f>
        <v>#REF!</v>
      </c>
      <c r="AG139" s="137" t="e">
        <f>#REF!-'IS 3Q2022'!AG139</f>
        <v>#REF!</v>
      </c>
      <c r="AH139" s="113" t="e">
        <f>#REF!-'IS 3Q2022'!AH139</f>
        <v>#REF!</v>
      </c>
      <c r="AI139" s="113" t="e">
        <f>#REF!-'IS 3Q2022'!AI139</f>
        <v>#REF!</v>
      </c>
      <c r="AJ139" s="113" t="e">
        <f>#REF!-'IS 3Q2022'!AJ139</f>
        <v>#REF!</v>
      </c>
      <c r="AK139" s="113" t="e">
        <f>#REF!-'IS 3Q2022'!AK139</f>
        <v>#REF!</v>
      </c>
      <c r="AL139" s="406" t="e">
        <f>#REF!-'IS 3Q2022'!AL139</f>
        <v>#REF!</v>
      </c>
      <c r="AM139" s="113" t="e">
        <f>#REF!-'IS 3Q2022'!AM139</f>
        <v>#REF!</v>
      </c>
      <c r="AN139" s="113" t="e">
        <f>#REF!-'IS 3Q2022'!AN139</f>
        <v>#REF!</v>
      </c>
      <c r="AO139" s="113" t="e">
        <f>#REF!-'IS 3Q2022'!AO139</f>
        <v>#REF!</v>
      </c>
      <c r="AP139" s="113" t="e">
        <f>#REF!-'IS 3Q2022'!AP139</f>
        <v>#REF!</v>
      </c>
      <c r="AQ139" s="137" t="e">
        <f>#REF!-'IS 3Q2022'!AQ139</f>
        <v>#REF!</v>
      </c>
      <c r="AR139" s="113" t="e">
        <f>#REF!-'IS 3Q2022'!AR139</f>
        <v>#REF!</v>
      </c>
      <c r="AS139" s="113" t="e">
        <f>#REF!-'IS 3Q2022'!AS139</f>
        <v>#REF!</v>
      </c>
      <c r="AT139" s="113" t="e">
        <f>#REF!-'IS 3Q2022'!AT139</f>
        <v>#REF!</v>
      </c>
      <c r="AU139" s="113" t="e">
        <f>#REF!-'IS 3Q2022'!AU139</f>
        <v>#REF!</v>
      </c>
      <c r="AV139" s="137" t="e">
        <f>#REF!-'IS 3Q2022'!AV139</f>
        <v>#REF!</v>
      </c>
    </row>
    <row r="140" spans="2:48" s="23" customFormat="1" outlineLevel="1" x14ac:dyDescent="0.3">
      <c r="B140" s="580" t="s">
        <v>17</v>
      </c>
      <c r="C140" s="581"/>
      <c r="D140" s="101" t="e">
        <f>#REF!-'IS 3Q2022'!D140</f>
        <v>#REF!</v>
      </c>
      <c r="E140" s="30" t="e">
        <f>#REF!-'IS 3Q2022'!E140</f>
        <v>#REF!</v>
      </c>
      <c r="F140" s="30" t="e">
        <f>#REF!-'IS 3Q2022'!F140</f>
        <v>#REF!</v>
      </c>
      <c r="G140" s="30" t="e">
        <f>#REF!-'IS 3Q2022'!G140</f>
        <v>#REF!</v>
      </c>
      <c r="H140" s="137" t="e">
        <f>#REF!-'IS 3Q2022'!H140</f>
        <v>#REF!</v>
      </c>
      <c r="I140" s="30" t="e">
        <f>#REF!-'IS 3Q2022'!I140</f>
        <v>#REF!</v>
      </c>
      <c r="J140" s="30" t="e">
        <f>#REF!-'IS 3Q2022'!J140</f>
        <v>#REF!</v>
      </c>
      <c r="K140" s="30" t="e">
        <f>#REF!-'IS 3Q2022'!K140</f>
        <v>#REF!</v>
      </c>
      <c r="L140" s="113" t="e">
        <f>#REF!-'IS 3Q2022'!L140</f>
        <v>#REF!</v>
      </c>
      <c r="M140" s="128" t="e">
        <f>#REF!-'IS 3Q2022'!M140</f>
        <v>#REF!</v>
      </c>
      <c r="N140" s="30" t="e">
        <f>#REF!-'IS 3Q2022'!N140</f>
        <v>#REF!</v>
      </c>
      <c r="O140" s="30" t="e">
        <f>#REF!-'IS 3Q2022'!O140</f>
        <v>#REF!</v>
      </c>
      <c r="P140" s="30" t="e">
        <f>#REF!-'IS 3Q2022'!P140</f>
        <v>#REF!</v>
      </c>
      <c r="Q140" s="30" t="e">
        <f>#REF!-'IS 3Q2022'!Q140</f>
        <v>#REF!</v>
      </c>
      <c r="R140" s="128" t="e">
        <f>#REF!-'IS 3Q2022'!R140</f>
        <v>#REF!</v>
      </c>
      <c r="S140" s="30" t="e">
        <f>#REF!-'IS 3Q2022'!S140</f>
        <v>#REF!</v>
      </c>
      <c r="T140" s="30" t="e">
        <f>#REF!-'IS 3Q2022'!T140</f>
        <v>#REF!</v>
      </c>
      <c r="U140" s="30" t="e">
        <f>#REF!-'IS 3Q2022'!U140</f>
        <v>#REF!</v>
      </c>
      <c r="V140" s="30" t="e">
        <f>#REF!-'IS 3Q2022'!V140</f>
        <v>#REF!</v>
      </c>
      <c r="W140" s="28" t="e">
        <f>#REF!-'IS 3Q2022'!W140</f>
        <v>#REF!</v>
      </c>
      <c r="X140" s="30" t="e">
        <f>#REF!-'IS 3Q2022'!X140</f>
        <v>#REF!</v>
      </c>
      <c r="Y140" s="30" t="e">
        <f>#REF!-'IS 3Q2022'!Y140</f>
        <v>#REF!</v>
      </c>
      <c r="Z140" s="30" t="e">
        <f>#REF!-'IS 3Q2022'!Z140</f>
        <v>#REF!</v>
      </c>
      <c r="AA140" s="30" t="e">
        <f>#REF!-'IS 3Q2022'!AA140</f>
        <v>#REF!</v>
      </c>
      <c r="AB140" s="137" t="e">
        <f>#REF!-'IS 3Q2022'!AB140</f>
        <v>#REF!</v>
      </c>
      <c r="AC140" s="30" t="e">
        <f>#REF!-'IS 3Q2022'!AC140</f>
        <v>#REF!</v>
      </c>
      <c r="AD140" s="30" t="e">
        <f>#REF!-'IS 3Q2022'!AD140</f>
        <v>#REF!</v>
      </c>
      <c r="AE140" s="30" t="e">
        <f>#REF!-'IS 3Q2022'!AE140</f>
        <v>#REF!</v>
      </c>
      <c r="AF140" s="30" t="e">
        <f>#REF!-'IS 3Q2022'!AF140</f>
        <v>#REF!</v>
      </c>
      <c r="AG140" s="137" t="e">
        <f>#REF!-'IS 3Q2022'!AG140</f>
        <v>#REF!</v>
      </c>
      <c r="AH140" s="30" t="e">
        <f>#REF!-'IS 3Q2022'!AH140</f>
        <v>#REF!</v>
      </c>
      <c r="AI140" s="30" t="e">
        <f>#REF!-'IS 3Q2022'!AI140</f>
        <v>#REF!</v>
      </c>
      <c r="AJ140" s="30" t="e">
        <f>#REF!-'IS 3Q2022'!AJ140</f>
        <v>#REF!</v>
      </c>
      <c r="AK140" s="30" t="e">
        <f>#REF!-'IS 3Q2022'!AK140</f>
        <v>#REF!</v>
      </c>
      <c r="AL140" s="406" t="e">
        <f>#REF!-'IS 3Q2022'!AL140</f>
        <v>#REF!</v>
      </c>
      <c r="AM140" s="30" t="e">
        <f>#REF!-'IS 3Q2022'!AM140</f>
        <v>#REF!</v>
      </c>
      <c r="AN140" s="30" t="e">
        <f>#REF!-'IS 3Q2022'!AN140</f>
        <v>#REF!</v>
      </c>
      <c r="AO140" s="30" t="e">
        <f>#REF!-'IS 3Q2022'!AO140</f>
        <v>#REF!</v>
      </c>
      <c r="AP140" s="30" t="e">
        <f>#REF!-'IS 3Q2022'!AP140</f>
        <v>#REF!</v>
      </c>
      <c r="AQ140" s="28" t="e">
        <f>#REF!-'IS 3Q2022'!AQ140</f>
        <v>#REF!</v>
      </c>
      <c r="AR140" s="30" t="e">
        <f>#REF!-'IS 3Q2022'!AR140</f>
        <v>#REF!</v>
      </c>
      <c r="AS140" s="30" t="e">
        <f>#REF!-'IS 3Q2022'!AS140</f>
        <v>#REF!</v>
      </c>
      <c r="AT140" s="30" t="e">
        <f>#REF!-'IS 3Q2022'!AT140</f>
        <v>#REF!</v>
      </c>
      <c r="AU140" s="30" t="e">
        <f>#REF!-'IS 3Q2022'!AU140</f>
        <v>#REF!</v>
      </c>
      <c r="AV140" s="28" t="e">
        <f>#REF!-'IS 3Q2022'!AV140</f>
        <v>#REF!</v>
      </c>
    </row>
    <row r="141" spans="2:48" s="23" customFormat="1" outlineLevel="1" x14ac:dyDescent="0.3">
      <c r="B141" s="580" t="s">
        <v>4</v>
      </c>
      <c r="C141" s="581"/>
      <c r="D141" s="101" t="e">
        <f>#REF!-'IS 3Q2022'!D141</f>
        <v>#REF!</v>
      </c>
      <c r="E141" s="27" t="e">
        <f>#REF!-'IS 3Q2022'!E141</f>
        <v>#REF!</v>
      </c>
      <c r="F141" s="27" t="e">
        <f>#REF!-'IS 3Q2022'!F141</f>
        <v>#REF!</v>
      </c>
      <c r="G141" s="27" t="e">
        <f>#REF!-'IS 3Q2022'!G141</f>
        <v>#REF!</v>
      </c>
      <c r="H141" s="29" t="e">
        <f>#REF!-'IS 3Q2022'!H141</f>
        <v>#REF!</v>
      </c>
      <c r="I141" s="27" t="e">
        <f>#REF!-'IS 3Q2022'!I141</f>
        <v>#REF!</v>
      </c>
      <c r="J141" s="27" t="e">
        <f>#REF!-'IS 3Q2022'!J141</f>
        <v>#REF!</v>
      </c>
      <c r="K141" s="27" t="e">
        <f>#REF!-'IS 3Q2022'!K141</f>
        <v>#REF!</v>
      </c>
      <c r="L141" s="113" t="e">
        <f>#REF!-'IS 3Q2022'!L141</f>
        <v>#REF!</v>
      </c>
      <c r="M141" s="137" t="e">
        <f>#REF!-'IS 3Q2022'!M141</f>
        <v>#REF!</v>
      </c>
      <c r="N141" s="27" t="e">
        <f>#REF!-'IS 3Q2022'!N141</f>
        <v>#REF!</v>
      </c>
      <c r="O141" s="27" t="e">
        <f>#REF!-'IS 3Q2022'!O141</f>
        <v>#REF!</v>
      </c>
      <c r="P141" s="27" t="e">
        <f>#REF!-'IS 3Q2022'!P141</f>
        <v>#REF!</v>
      </c>
      <c r="Q141" s="27" t="e">
        <f>#REF!-'IS 3Q2022'!Q141</f>
        <v>#REF!</v>
      </c>
      <c r="R141" s="137" t="e">
        <f>#REF!-'IS 3Q2022'!R141</f>
        <v>#REF!</v>
      </c>
      <c r="S141" s="27" t="e">
        <f>#REF!-'IS 3Q2022'!S141</f>
        <v>#REF!</v>
      </c>
      <c r="T141" s="27" t="e">
        <f>#REF!-'IS 3Q2022'!T141</f>
        <v>#REF!</v>
      </c>
      <c r="U141" s="27" t="e">
        <f>#REF!-'IS 3Q2022'!U141</f>
        <v>#REF!</v>
      </c>
      <c r="V141" s="27" t="e">
        <f>#REF!-'IS 3Q2022'!V141</f>
        <v>#REF!</v>
      </c>
      <c r="W141" s="137" t="e">
        <f>#REF!-'IS 3Q2022'!W141</f>
        <v>#REF!</v>
      </c>
      <c r="X141" s="27" t="e">
        <f>#REF!-'IS 3Q2022'!X141</f>
        <v>#REF!</v>
      </c>
      <c r="Y141" s="27" t="e">
        <f>#REF!-'IS 3Q2022'!Y141</f>
        <v>#REF!</v>
      </c>
      <c r="Z141" s="27" t="e">
        <f>#REF!-'IS 3Q2022'!Z141</f>
        <v>#REF!</v>
      </c>
      <c r="AA141" s="27" t="e">
        <f>#REF!-'IS 3Q2022'!AA141</f>
        <v>#REF!</v>
      </c>
      <c r="AB141" s="137" t="e">
        <f>#REF!-'IS 3Q2022'!AB141</f>
        <v>#REF!</v>
      </c>
      <c r="AC141" s="27" t="e">
        <f>#REF!-'IS 3Q2022'!AC141</f>
        <v>#REF!</v>
      </c>
      <c r="AD141" s="27" t="e">
        <f>#REF!-'IS 3Q2022'!AD141</f>
        <v>#REF!</v>
      </c>
      <c r="AE141" s="27" t="e">
        <f>#REF!-'IS 3Q2022'!AE141</f>
        <v>#REF!</v>
      </c>
      <c r="AF141" s="27" t="e">
        <f>#REF!-'IS 3Q2022'!AF141</f>
        <v>#REF!</v>
      </c>
      <c r="AG141" s="137" t="e">
        <f>#REF!-'IS 3Q2022'!AG141</f>
        <v>#REF!</v>
      </c>
      <c r="AH141" s="27" t="e">
        <f>#REF!-'IS 3Q2022'!AH141</f>
        <v>#REF!</v>
      </c>
      <c r="AI141" s="27" t="e">
        <f>#REF!-'IS 3Q2022'!AI141</f>
        <v>#REF!</v>
      </c>
      <c r="AJ141" s="27" t="e">
        <f>#REF!-'IS 3Q2022'!AJ141</f>
        <v>#REF!</v>
      </c>
      <c r="AK141" s="27" t="e">
        <f>#REF!-'IS 3Q2022'!AK141</f>
        <v>#REF!</v>
      </c>
      <c r="AL141" s="29" t="e">
        <f>#REF!-'IS 3Q2022'!AL141</f>
        <v>#REF!</v>
      </c>
      <c r="AM141" s="27" t="e">
        <f>#REF!-'IS 3Q2022'!AM141</f>
        <v>#REF!</v>
      </c>
      <c r="AN141" s="27" t="e">
        <f>#REF!-'IS 3Q2022'!AN141</f>
        <v>#REF!</v>
      </c>
      <c r="AO141" s="27" t="e">
        <f>#REF!-'IS 3Q2022'!AO141</f>
        <v>#REF!</v>
      </c>
      <c r="AP141" s="27" t="e">
        <f>#REF!-'IS 3Q2022'!AP141</f>
        <v>#REF!</v>
      </c>
      <c r="AQ141" s="29" t="e">
        <f>#REF!-'IS 3Q2022'!AQ141</f>
        <v>#REF!</v>
      </c>
      <c r="AR141" s="27" t="e">
        <f>#REF!-'IS 3Q2022'!AR141</f>
        <v>#REF!</v>
      </c>
      <c r="AS141" s="27" t="e">
        <f>#REF!-'IS 3Q2022'!AS141</f>
        <v>#REF!</v>
      </c>
      <c r="AT141" s="27" t="e">
        <f>#REF!-'IS 3Q2022'!AT141</f>
        <v>#REF!</v>
      </c>
      <c r="AU141" s="27" t="e">
        <f>#REF!-'IS 3Q2022'!AU141</f>
        <v>#REF!</v>
      </c>
      <c r="AV141" s="29" t="e">
        <f>#REF!-'IS 3Q2022'!AV141</f>
        <v>#REF!</v>
      </c>
    </row>
    <row r="142" spans="2:48" s="23" customFormat="1" outlineLevel="1" x14ac:dyDescent="0.3">
      <c r="B142" s="580" t="s">
        <v>77</v>
      </c>
      <c r="C142" s="581"/>
      <c r="D142" s="101" t="e">
        <f>#REF!-'IS 3Q2022'!D142</f>
        <v>#REF!</v>
      </c>
      <c r="E142" s="27" t="e">
        <f>#REF!-'IS 3Q2022'!E142</f>
        <v>#REF!</v>
      </c>
      <c r="F142" s="27" t="e">
        <f>#REF!-'IS 3Q2022'!F142</f>
        <v>#REF!</v>
      </c>
      <c r="G142" s="27" t="e">
        <f>#REF!-'IS 3Q2022'!G142</f>
        <v>#REF!</v>
      </c>
      <c r="H142" s="29" t="e">
        <f>#REF!-'IS 3Q2022'!H142</f>
        <v>#REF!</v>
      </c>
      <c r="I142" s="27" t="e">
        <f>#REF!-'IS 3Q2022'!I142</f>
        <v>#REF!</v>
      </c>
      <c r="J142" s="27" t="e">
        <f>#REF!-'IS 3Q2022'!J142</f>
        <v>#REF!</v>
      </c>
      <c r="K142" s="27" t="e">
        <f>#REF!-'IS 3Q2022'!K142</f>
        <v>#REF!</v>
      </c>
      <c r="L142" s="113" t="e">
        <f>#REF!-'IS 3Q2022'!L142</f>
        <v>#REF!</v>
      </c>
      <c r="M142" s="137" t="e">
        <f>#REF!-'IS 3Q2022'!M142</f>
        <v>#REF!</v>
      </c>
      <c r="N142" s="27" t="e">
        <f>#REF!-'IS 3Q2022'!N142</f>
        <v>#REF!</v>
      </c>
      <c r="O142" s="27" t="e">
        <f>#REF!-'IS 3Q2022'!O142</f>
        <v>#REF!</v>
      </c>
      <c r="P142" s="27" t="e">
        <f>#REF!-'IS 3Q2022'!P142</f>
        <v>#REF!</v>
      </c>
      <c r="Q142" s="27" t="e">
        <f>#REF!-'IS 3Q2022'!Q142</f>
        <v>#REF!</v>
      </c>
      <c r="R142" s="137" t="e">
        <f>#REF!-'IS 3Q2022'!R142</f>
        <v>#REF!</v>
      </c>
      <c r="S142" s="27" t="e">
        <f>#REF!-'IS 3Q2022'!S142</f>
        <v>#REF!</v>
      </c>
      <c r="T142" s="27" t="e">
        <f>#REF!-'IS 3Q2022'!T142</f>
        <v>#REF!</v>
      </c>
      <c r="U142" s="27" t="e">
        <f>#REF!-'IS 3Q2022'!U142</f>
        <v>#REF!</v>
      </c>
      <c r="V142" s="420" t="e">
        <f>#REF!-'IS 3Q2022'!V142</f>
        <v>#REF!</v>
      </c>
      <c r="W142" s="137" t="e">
        <f>#REF!-'IS 3Q2022'!W142</f>
        <v>#REF!</v>
      </c>
      <c r="X142" s="27" t="e">
        <f>#REF!-'IS 3Q2022'!X142</f>
        <v>#REF!</v>
      </c>
      <c r="Y142" s="27" t="e">
        <f>#REF!-'IS 3Q2022'!Y142</f>
        <v>#REF!</v>
      </c>
      <c r="Z142" s="27" t="e">
        <f>#REF!-'IS 3Q2022'!Z142</f>
        <v>#REF!</v>
      </c>
      <c r="AA142" s="27" t="e">
        <f>#REF!-'IS 3Q2022'!AA142</f>
        <v>#REF!</v>
      </c>
      <c r="AB142" s="137" t="e">
        <f>#REF!-'IS 3Q2022'!AB142</f>
        <v>#REF!</v>
      </c>
      <c r="AC142" s="27" t="e">
        <f>#REF!-'IS 3Q2022'!AC142</f>
        <v>#REF!</v>
      </c>
      <c r="AD142" s="27" t="e">
        <f>#REF!-'IS 3Q2022'!AD142</f>
        <v>#REF!</v>
      </c>
      <c r="AE142" s="27" t="e">
        <f>#REF!-'IS 3Q2022'!AE142</f>
        <v>#REF!</v>
      </c>
      <c r="AF142" s="27" t="e">
        <f>#REF!-'IS 3Q2022'!AF142</f>
        <v>#REF!</v>
      </c>
      <c r="AG142" s="137" t="e">
        <f>#REF!-'IS 3Q2022'!AG142</f>
        <v>#REF!</v>
      </c>
      <c r="AH142" s="27" t="e">
        <f>#REF!-'IS 3Q2022'!AH142</f>
        <v>#REF!</v>
      </c>
      <c r="AI142" s="27" t="e">
        <f>#REF!-'IS 3Q2022'!AI142</f>
        <v>#REF!</v>
      </c>
      <c r="AJ142" s="27" t="e">
        <f>#REF!-'IS 3Q2022'!AJ142</f>
        <v>#REF!</v>
      </c>
      <c r="AK142" s="27" t="e">
        <f>#REF!-'IS 3Q2022'!AK142</f>
        <v>#REF!</v>
      </c>
      <c r="AL142" s="406" t="e">
        <f>#REF!-'IS 3Q2022'!AL142</f>
        <v>#REF!</v>
      </c>
      <c r="AM142" s="27" t="e">
        <f>#REF!-'IS 3Q2022'!AM142</f>
        <v>#REF!</v>
      </c>
      <c r="AN142" s="27" t="e">
        <f>#REF!-'IS 3Q2022'!AN142</f>
        <v>#REF!</v>
      </c>
      <c r="AO142" s="27" t="e">
        <f>#REF!-'IS 3Q2022'!AO142</f>
        <v>#REF!</v>
      </c>
      <c r="AP142" s="27" t="e">
        <f>#REF!-'IS 3Q2022'!AP142</f>
        <v>#REF!</v>
      </c>
      <c r="AQ142" s="29" t="e">
        <f>#REF!-'IS 3Q2022'!AQ142</f>
        <v>#REF!</v>
      </c>
      <c r="AR142" s="27" t="e">
        <f>#REF!-'IS 3Q2022'!AR142</f>
        <v>#REF!</v>
      </c>
      <c r="AS142" s="27" t="e">
        <f>#REF!-'IS 3Q2022'!AS142</f>
        <v>#REF!</v>
      </c>
      <c r="AT142" s="27" t="e">
        <f>#REF!-'IS 3Q2022'!AT142</f>
        <v>#REF!</v>
      </c>
      <c r="AU142" s="27" t="e">
        <f>#REF!-'IS 3Q2022'!AU142</f>
        <v>#REF!</v>
      </c>
      <c r="AV142" s="29" t="e">
        <f>#REF!-'IS 3Q2022'!AV142</f>
        <v>#REF!</v>
      </c>
    </row>
    <row r="143" spans="2:48" s="23" customFormat="1" outlineLevel="1" x14ac:dyDescent="0.3">
      <c r="B143" s="580" t="s">
        <v>2</v>
      </c>
      <c r="C143" s="581"/>
      <c r="D143" s="101" t="e">
        <f>#REF!-'IS 3Q2022'!D143</f>
        <v>#REF!</v>
      </c>
      <c r="E143" s="27" t="e">
        <f>#REF!-'IS 3Q2022'!E143</f>
        <v>#REF!</v>
      </c>
      <c r="F143" s="27" t="e">
        <f>#REF!-'IS 3Q2022'!F143</f>
        <v>#REF!</v>
      </c>
      <c r="G143" s="118" t="e">
        <f>#REF!-'IS 3Q2022'!G143</f>
        <v>#REF!</v>
      </c>
      <c r="H143" s="137" t="e">
        <f>#REF!-'IS 3Q2022'!H143</f>
        <v>#REF!</v>
      </c>
      <c r="I143" s="118" t="e">
        <f>#REF!-'IS 3Q2022'!I143</f>
        <v>#REF!</v>
      </c>
      <c r="J143" s="118" t="e">
        <f>#REF!-'IS 3Q2022'!J143</f>
        <v>#REF!</v>
      </c>
      <c r="K143" s="118" t="e">
        <f>#REF!-'IS 3Q2022'!K143</f>
        <v>#REF!</v>
      </c>
      <c r="L143" s="118" t="e">
        <f>#REF!-'IS 3Q2022'!L143</f>
        <v>#REF!</v>
      </c>
      <c r="M143" s="137" t="e">
        <f>#REF!-'IS 3Q2022'!M143</f>
        <v>#REF!</v>
      </c>
      <c r="N143" s="118" t="e">
        <f>#REF!-'IS 3Q2022'!N143</f>
        <v>#REF!</v>
      </c>
      <c r="O143" s="118" t="e">
        <f>#REF!-'IS 3Q2022'!O143</f>
        <v>#REF!</v>
      </c>
      <c r="P143" s="118" t="e">
        <f>#REF!-'IS 3Q2022'!P143</f>
        <v>#REF!</v>
      </c>
      <c r="Q143" s="118" t="e">
        <f>#REF!-'IS 3Q2022'!Q143</f>
        <v>#REF!</v>
      </c>
      <c r="R143" s="137" t="e">
        <f>#REF!-'IS 3Q2022'!R143</f>
        <v>#REF!</v>
      </c>
      <c r="S143" s="118" t="e">
        <f>#REF!-'IS 3Q2022'!S143</f>
        <v>#REF!</v>
      </c>
      <c r="T143" s="118" t="e">
        <f>#REF!-'IS 3Q2022'!T143</f>
        <v>#REF!</v>
      </c>
      <c r="U143" s="118" t="e">
        <f>#REF!-'IS 3Q2022'!U143</f>
        <v>#REF!</v>
      </c>
      <c r="V143" s="35" t="e">
        <f>#REF!-'IS 3Q2022'!V143</f>
        <v>#REF!</v>
      </c>
      <c r="W143" s="137" t="e">
        <f>#REF!-'IS 3Q2022'!W143</f>
        <v>#REF!</v>
      </c>
      <c r="X143" s="35" t="e">
        <f>#REF!-'IS 3Q2022'!X143</f>
        <v>#REF!</v>
      </c>
      <c r="Y143" s="35" t="e">
        <f>#REF!-'IS 3Q2022'!Y143</f>
        <v>#REF!</v>
      </c>
      <c r="Z143" s="35" t="e">
        <f>#REF!-'IS 3Q2022'!Z143</f>
        <v>#REF!</v>
      </c>
      <c r="AA143" s="35" t="e">
        <f>#REF!-'IS 3Q2022'!AA143</f>
        <v>#REF!</v>
      </c>
      <c r="AB143" s="137" t="e">
        <f>#REF!-'IS 3Q2022'!AB143</f>
        <v>#REF!</v>
      </c>
      <c r="AC143" s="34" t="e">
        <f>#REF!-'IS 3Q2022'!AC143</f>
        <v>#REF!</v>
      </c>
      <c r="AD143" s="34" t="e">
        <f>#REF!-'IS 3Q2022'!AD143</f>
        <v>#REF!</v>
      </c>
      <c r="AE143" s="34" t="e">
        <f>#REF!-'IS 3Q2022'!AE143</f>
        <v>#REF!</v>
      </c>
      <c r="AF143" s="34" t="e">
        <f>#REF!-'IS 3Q2022'!AF143</f>
        <v>#REF!</v>
      </c>
      <c r="AG143" s="29" t="e">
        <f>#REF!-'IS 3Q2022'!AG143</f>
        <v>#REF!</v>
      </c>
      <c r="AH143" s="34" t="e">
        <f>#REF!-'IS 3Q2022'!AH143</f>
        <v>#REF!</v>
      </c>
      <c r="AI143" s="34" t="e">
        <f>#REF!-'IS 3Q2022'!AI143</f>
        <v>#REF!</v>
      </c>
      <c r="AJ143" s="34" t="e">
        <f>#REF!-'IS 3Q2022'!AJ143</f>
        <v>#REF!</v>
      </c>
      <c r="AK143" s="34" t="e">
        <f>#REF!-'IS 3Q2022'!AK143</f>
        <v>#REF!</v>
      </c>
      <c r="AL143" s="29" t="e">
        <f>#REF!-'IS 3Q2022'!AL143</f>
        <v>#REF!</v>
      </c>
      <c r="AM143" s="34" t="e">
        <f>#REF!-'IS 3Q2022'!AM143</f>
        <v>#REF!</v>
      </c>
      <c r="AN143" s="34" t="e">
        <f>#REF!-'IS 3Q2022'!AN143</f>
        <v>#REF!</v>
      </c>
      <c r="AO143" s="34" t="e">
        <f>#REF!-'IS 3Q2022'!AO143</f>
        <v>#REF!</v>
      </c>
      <c r="AP143" s="34" t="e">
        <f>#REF!-'IS 3Q2022'!AP143</f>
        <v>#REF!</v>
      </c>
      <c r="AQ143" s="29" t="e">
        <f>#REF!-'IS 3Q2022'!AQ143</f>
        <v>#REF!</v>
      </c>
      <c r="AR143" s="34" t="e">
        <f>#REF!-'IS 3Q2022'!AR143</f>
        <v>#REF!</v>
      </c>
      <c r="AS143" s="34" t="e">
        <f>#REF!-'IS 3Q2022'!AS143</f>
        <v>#REF!</v>
      </c>
      <c r="AT143" s="34" t="e">
        <f>#REF!-'IS 3Q2022'!AT143</f>
        <v>#REF!</v>
      </c>
      <c r="AU143" s="34" t="e">
        <f>#REF!-'IS 3Q2022'!AU143</f>
        <v>#REF!</v>
      </c>
      <c r="AV143" s="29" t="e">
        <f>#REF!-'IS 3Q2022'!AV143</f>
        <v>#REF!</v>
      </c>
    </row>
    <row r="144" spans="2:48" s="23" customFormat="1" outlineLevel="1" x14ac:dyDescent="0.3">
      <c r="B144" s="580" t="s">
        <v>78</v>
      </c>
      <c r="C144" s="581"/>
      <c r="D144" s="101" t="e">
        <f>#REF!-'IS 3Q2022'!D144</f>
        <v>#REF!</v>
      </c>
      <c r="E144" s="27" t="e">
        <f>#REF!-'IS 3Q2022'!E144</f>
        <v>#REF!</v>
      </c>
      <c r="F144" s="27" t="e">
        <f>#REF!-'IS 3Q2022'!F144</f>
        <v>#REF!</v>
      </c>
      <c r="G144" s="27" t="e">
        <f>#REF!-'IS 3Q2022'!G144</f>
        <v>#REF!</v>
      </c>
      <c r="H144" s="29" t="e">
        <f>#REF!-'IS 3Q2022'!H144</f>
        <v>#REF!</v>
      </c>
      <c r="I144" s="27" t="e">
        <f>#REF!-'IS 3Q2022'!I144</f>
        <v>#REF!</v>
      </c>
      <c r="J144" s="27" t="e">
        <f>#REF!-'IS 3Q2022'!J144</f>
        <v>#REF!</v>
      </c>
      <c r="K144" s="27" t="e">
        <f>#REF!-'IS 3Q2022'!K144</f>
        <v>#REF!</v>
      </c>
      <c r="L144" s="27" t="e">
        <f>#REF!-'IS 3Q2022'!L144</f>
        <v>#REF!</v>
      </c>
      <c r="M144" s="29" t="e">
        <f>#REF!-'IS 3Q2022'!M144</f>
        <v>#REF!</v>
      </c>
      <c r="N144" s="27" t="e">
        <f>#REF!-'IS 3Q2022'!N144</f>
        <v>#REF!</v>
      </c>
      <c r="O144" s="27" t="e">
        <f>#REF!-'IS 3Q2022'!O144</f>
        <v>#REF!</v>
      </c>
      <c r="P144" s="27" t="e">
        <f>#REF!-'IS 3Q2022'!P144</f>
        <v>#REF!</v>
      </c>
      <c r="Q144" s="27" t="e">
        <f>#REF!-'IS 3Q2022'!Q144</f>
        <v>#REF!</v>
      </c>
      <c r="R144" s="137" t="e">
        <f>#REF!-'IS 3Q2022'!R144</f>
        <v>#REF!</v>
      </c>
      <c r="S144" s="27" t="e">
        <f>#REF!-'IS 3Q2022'!S144</f>
        <v>#REF!</v>
      </c>
      <c r="T144" s="27" t="e">
        <f>#REF!-'IS 3Q2022'!T144</f>
        <v>#REF!</v>
      </c>
      <c r="U144" s="27" t="e">
        <f>#REF!-'IS 3Q2022'!U144</f>
        <v>#REF!</v>
      </c>
      <c r="V144" s="35" t="e">
        <f>#REF!-'IS 3Q2022'!V144</f>
        <v>#REF!</v>
      </c>
      <c r="W144" s="137" t="e">
        <f>#REF!-'IS 3Q2022'!W144</f>
        <v>#REF!</v>
      </c>
      <c r="X144" s="35" t="e">
        <f>#REF!-'IS 3Q2022'!X144</f>
        <v>#REF!</v>
      </c>
      <c r="Y144" s="35" t="e">
        <f>#REF!-'IS 3Q2022'!Y144</f>
        <v>#REF!</v>
      </c>
      <c r="Z144" s="35" t="e">
        <f>#REF!-'IS 3Q2022'!Z144</f>
        <v>#REF!</v>
      </c>
      <c r="AA144" s="35" t="e">
        <f>#REF!-'IS 3Q2022'!AA144</f>
        <v>#REF!</v>
      </c>
      <c r="AB144" s="137" t="e">
        <f>#REF!-'IS 3Q2022'!AB144</f>
        <v>#REF!</v>
      </c>
      <c r="AC144" s="35" t="e">
        <f>#REF!-'IS 3Q2022'!AC144</f>
        <v>#REF!</v>
      </c>
      <c r="AD144" s="35" t="e">
        <f>#REF!-'IS 3Q2022'!AD144</f>
        <v>#REF!</v>
      </c>
      <c r="AE144" s="35" t="e">
        <f>#REF!-'IS 3Q2022'!AE144</f>
        <v>#REF!</v>
      </c>
      <c r="AF144" s="35" t="e">
        <f>#REF!-'IS 3Q2022'!AF144</f>
        <v>#REF!</v>
      </c>
      <c r="AG144" s="29" t="e">
        <f>#REF!-'IS 3Q2022'!AG144</f>
        <v>#REF!</v>
      </c>
      <c r="AH144" s="35" t="e">
        <f>#REF!-'IS 3Q2022'!AH144</f>
        <v>#REF!</v>
      </c>
      <c r="AI144" s="35" t="e">
        <f>#REF!-'IS 3Q2022'!AI144</f>
        <v>#REF!</v>
      </c>
      <c r="AJ144" s="35" t="e">
        <f>#REF!-'IS 3Q2022'!AJ144</f>
        <v>#REF!</v>
      </c>
      <c r="AK144" s="35" t="e">
        <f>#REF!-'IS 3Q2022'!AK144</f>
        <v>#REF!</v>
      </c>
      <c r="AL144" s="29" t="e">
        <f>#REF!-'IS 3Q2022'!AL144</f>
        <v>#REF!</v>
      </c>
      <c r="AM144" s="35" t="e">
        <f>#REF!-'IS 3Q2022'!AM144</f>
        <v>#REF!</v>
      </c>
      <c r="AN144" s="35" t="e">
        <f>#REF!-'IS 3Q2022'!AN144</f>
        <v>#REF!</v>
      </c>
      <c r="AO144" s="35" t="e">
        <f>#REF!-'IS 3Q2022'!AO144</f>
        <v>#REF!</v>
      </c>
      <c r="AP144" s="35" t="e">
        <f>#REF!-'IS 3Q2022'!AP144</f>
        <v>#REF!</v>
      </c>
      <c r="AQ144" s="29" t="e">
        <f>#REF!-'IS 3Q2022'!AQ144</f>
        <v>#REF!</v>
      </c>
      <c r="AR144" s="35" t="e">
        <f>#REF!-'IS 3Q2022'!AR144</f>
        <v>#REF!</v>
      </c>
      <c r="AS144" s="35" t="e">
        <f>#REF!-'IS 3Q2022'!AS144</f>
        <v>#REF!</v>
      </c>
      <c r="AT144" s="35" t="e">
        <f>#REF!-'IS 3Q2022'!AT144</f>
        <v>#REF!</v>
      </c>
      <c r="AU144" s="35" t="e">
        <f>#REF!-'IS 3Q2022'!AU144</f>
        <v>#REF!</v>
      </c>
      <c r="AV144" s="29" t="e">
        <f>#REF!-'IS 3Q2022'!AV144</f>
        <v>#REF!</v>
      </c>
    </row>
    <row r="145" spans="2:48" s="23" customFormat="1" outlineLevel="1" x14ac:dyDescent="0.3">
      <c r="B145" s="580" t="s">
        <v>79</v>
      </c>
      <c r="C145" s="581"/>
      <c r="D145" s="101" t="e">
        <f>#REF!-'IS 3Q2022'!D145</f>
        <v>#REF!</v>
      </c>
      <c r="E145" s="215" t="e">
        <f>#REF!-'IS 3Q2022'!E145</f>
        <v>#REF!</v>
      </c>
      <c r="F145" s="215" t="e">
        <f>#REF!-'IS 3Q2022'!F145</f>
        <v>#REF!</v>
      </c>
      <c r="G145" s="215" t="e">
        <f>#REF!-'IS 3Q2022'!G145</f>
        <v>#REF!</v>
      </c>
      <c r="H145" s="29" t="e">
        <f>#REF!-'IS 3Q2022'!H145</f>
        <v>#REF!</v>
      </c>
      <c r="I145" s="215" t="e">
        <f>#REF!-'IS 3Q2022'!I145</f>
        <v>#REF!</v>
      </c>
      <c r="J145" s="215" t="e">
        <f>#REF!-'IS 3Q2022'!J145</f>
        <v>#REF!</v>
      </c>
      <c r="K145" s="215" t="e">
        <f>#REF!-'IS 3Q2022'!K145</f>
        <v>#REF!</v>
      </c>
      <c r="L145" s="215" t="e">
        <f>#REF!-'IS 3Q2022'!L145</f>
        <v>#REF!</v>
      </c>
      <c r="M145" s="29" t="e">
        <f>#REF!-'IS 3Q2022'!M145</f>
        <v>#REF!</v>
      </c>
      <c r="N145" s="215" t="e">
        <f>#REF!-'IS 3Q2022'!N145</f>
        <v>#REF!</v>
      </c>
      <c r="O145" s="215" t="e">
        <f>#REF!-'IS 3Q2022'!O145</f>
        <v>#REF!</v>
      </c>
      <c r="P145" s="215" t="e">
        <f>#REF!-'IS 3Q2022'!P145</f>
        <v>#REF!</v>
      </c>
      <c r="Q145" s="215" t="e">
        <f>#REF!-'IS 3Q2022'!Q145</f>
        <v>#REF!</v>
      </c>
      <c r="R145" s="29" t="e">
        <f>#REF!-'IS 3Q2022'!R145</f>
        <v>#REF!</v>
      </c>
      <c r="S145" s="215" t="e">
        <f>#REF!-'IS 3Q2022'!S145</f>
        <v>#REF!</v>
      </c>
      <c r="T145" s="215" t="e">
        <f>#REF!-'IS 3Q2022'!T145</f>
        <v>#REF!</v>
      </c>
      <c r="U145" s="215" t="e">
        <f>#REF!-'IS 3Q2022'!U145</f>
        <v>#REF!</v>
      </c>
      <c r="V145" s="35" t="e">
        <f>#REF!-'IS 3Q2022'!V145</f>
        <v>#REF!</v>
      </c>
      <c r="W145" s="137" t="e">
        <f>#REF!-'IS 3Q2022'!W145</f>
        <v>#REF!</v>
      </c>
      <c r="X145" s="35" t="e">
        <f>#REF!-'IS 3Q2022'!X145</f>
        <v>#REF!</v>
      </c>
      <c r="Y145" s="35" t="e">
        <f>#REF!-'IS 3Q2022'!Y145</f>
        <v>#REF!</v>
      </c>
      <c r="Z145" s="35" t="e">
        <f>#REF!-'IS 3Q2022'!Z145</f>
        <v>#REF!</v>
      </c>
      <c r="AA145" s="35" t="e">
        <f>#REF!-'IS 3Q2022'!AA145</f>
        <v>#REF!</v>
      </c>
      <c r="AB145" s="137" t="e">
        <f>#REF!-'IS 3Q2022'!AB145</f>
        <v>#REF!</v>
      </c>
      <c r="AC145" s="35" t="e">
        <f>#REF!-'IS 3Q2022'!AC145</f>
        <v>#REF!</v>
      </c>
      <c r="AD145" s="35" t="e">
        <f>#REF!-'IS 3Q2022'!AD145</f>
        <v>#REF!</v>
      </c>
      <c r="AE145" s="35" t="e">
        <f>#REF!-'IS 3Q2022'!AE145</f>
        <v>#REF!</v>
      </c>
      <c r="AF145" s="35" t="e">
        <f>#REF!-'IS 3Q2022'!AF145</f>
        <v>#REF!</v>
      </c>
      <c r="AG145" s="29" t="e">
        <f>#REF!-'IS 3Q2022'!AG145</f>
        <v>#REF!</v>
      </c>
      <c r="AH145" s="35" t="e">
        <f>#REF!-'IS 3Q2022'!AH145</f>
        <v>#REF!</v>
      </c>
      <c r="AI145" s="35" t="e">
        <f>#REF!-'IS 3Q2022'!AI145</f>
        <v>#REF!</v>
      </c>
      <c r="AJ145" s="35" t="e">
        <f>#REF!-'IS 3Q2022'!AJ145</f>
        <v>#REF!</v>
      </c>
      <c r="AK145" s="35" t="e">
        <f>#REF!-'IS 3Q2022'!AK145</f>
        <v>#REF!</v>
      </c>
      <c r="AL145" s="29" t="e">
        <f>#REF!-'IS 3Q2022'!AL145</f>
        <v>#REF!</v>
      </c>
      <c r="AM145" s="35" t="e">
        <f>#REF!-'IS 3Q2022'!AM145</f>
        <v>#REF!</v>
      </c>
      <c r="AN145" s="35" t="e">
        <f>#REF!-'IS 3Q2022'!AN145</f>
        <v>#REF!</v>
      </c>
      <c r="AO145" s="35" t="e">
        <f>#REF!-'IS 3Q2022'!AO145</f>
        <v>#REF!</v>
      </c>
      <c r="AP145" s="35" t="e">
        <f>#REF!-'IS 3Q2022'!AP145</f>
        <v>#REF!</v>
      </c>
      <c r="AQ145" s="29" t="e">
        <f>#REF!-'IS 3Q2022'!AQ145</f>
        <v>#REF!</v>
      </c>
      <c r="AR145" s="35" t="e">
        <f>#REF!-'IS 3Q2022'!AR145</f>
        <v>#REF!</v>
      </c>
      <c r="AS145" s="35" t="e">
        <f>#REF!-'IS 3Q2022'!AS145</f>
        <v>#REF!</v>
      </c>
      <c r="AT145" s="35" t="e">
        <f>#REF!-'IS 3Q2022'!AT145</f>
        <v>#REF!</v>
      </c>
      <c r="AU145" s="35" t="e">
        <f>#REF!-'IS 3Q2022'!AU145</f>
        <v>#REF!</v>
      </c>
      <c r="AV145" s="29" t="e">
        <f>#REF!-'IS 3Q2022'!AV145</f>
        <v>#REF!</v>
      </c>
    </row>
    <row r="146" spans="2:48" s="23" customFormat="1" outlineLevel="1" x14ac:dyDescent="0.3">
      <c r="B146" s="200" t="s">
        <v>186</v>
      </c>
      <c r="C146" s="201"/>
      <c r="D146" s="101" t="e">
        <f>#REF!-'IS 3Q2022'!D146</f>
        <v>#REF!</v>
      </c>
      <c r="E146" s="113" t="e">
        <f>#REF!-'IS 3Q2022'!E146</f>
        <v>#REF!</v>
      </c>
      <c r="F146" s="113" t="e">
        <f>#REF!-'IS 3Q2022'!F146</f>
        <v>#REF!</v>
      </c>
      <c r="G146" s="113" t="e">
        <f>#REF!-'IS 3Q2022'!G146</f>
        <v>#REF!</v>
      </c>
      <c r="H146" s="137" t="e">
        <f>#REF!-'IS 3Q2022'!H146</f>
        <v>#REF!</v>
      </c>
      <c r="I146" s="113" t="e">
        <f>#REF!-'IS 3Q2022'!I146</f>
        <v>#REF!</v>
      </c>
      <c r="J146" s="113" t="e">
        <f>#REF!-'IS 3Q2022'!J146</f>
        <v>#REF!</v>
      </c>
      <c r="K146" s="113" t="e">
        <f>#REF!-'IS 3Q2022'!K146</f>
        <v>#REF!</v>
      </c>
      <c r="L146" s="113" t="e">
        <f>#REF!-'IS 3Q2022'!L146</f>
        <v>#REF!</v>
      </c>
      <c r="M146" s="137" t="e">
        <f>#REF!-'IS 3Q2022'!M146</f>
        <v>#REF!</v>
      </c>
      <c r="N146" s="113" t="e">
        <f>#REF!-'IS 3Q2022'!N146</f>
        <v>#REF!</v>
      </c>
      <c r="O146" s="113" t="e">
        <f>#REF!-'IS 3Q2022'!O146</f>
        <v>#REF!</v>
      </c>
      <c r="P146" s="113" t="e">
        <f>#REF!-'IS 3Q2022'!P146</f>
        <v>#REF!</v>
      </c>
      <c r="Q146" s="113" t="e">
        <f>#REF!-'IS 3Q2022'!Q146</f>
        <v>#REF!</v>
      </c>
      <c r="R146" s="137" t="e">
        <f>#REF!-'IS 3Q2022'!R146</f>
        <v>#REF!</v>
      </c>
      <c r="S146" s="113" t="e">
        <f>#REF!-'IS 3Q2022'!S146</f>
        <v>#REF!</v>
      </c>
      <c r="T146" s="113" t="e">
        <f>#REF!-'IS 3Q2022'!T146</f>
        <v>#REF!</v>
      </c>
      <c r="U146" s="113" t="e">
        <f>#REF!-'IS 3Q2022'!U146</f>
        <v>#REF!</v>
      </c>
      <c r="V146" s="113" t="e">
        <f>#REF!-'IS 3Q2022'!V146</f>
        <v>#REF!</v>
      </c>
      <c r="W146" s="137" t="e">
        <f>#REF!-'IS 3Q2022'!W146</f>
        <v>#REF!</v>
      </c>
      <c r="X146" s="113" t="e">
        <f>#REF!-'IS 3Q2022'!X146</f>
        <v>#REF!</v>
      </c>
      <c r="Y146" s="113" t="e">
        <f>#REF!-'IS 3Q2022'!Y146</f>
        <v>#REF!</v>
      </c>
      <c r="Z146" s="113" t="e">
        <f>#REF!-'IS 3Q2022'!Z146</f>
        <v>#REF!</v>
      </c>
      <c r="AA146" s="113" t="e">
        <f>#REF!-'IS 3Q2022'!AA146</f>
        <v>#REF!</v>
      </c>
      <c r="AB146" s="137" t="e">
        <f>#REF!-'IS 3Q2022'!AB146</f>
        <v>#REF!</v>
      </c>
      <c r="AC146" s="113" t="e">
        <f>#REF!-'IS 3Q2022'!AC146</f>
        <v>#REF!</v>
      </c>
      <c r="AD146" s="113" t="e">
        <f>#REF!-'IS 3Q2022'!AD146</f>
        <v>#REF!</v>
      </c>
      <c r="AE146" s="113" t="e">
        <f>#REF!-'IS 3Q2022'!AE146</f>
        <v>#REF!</v>
      </c>
      <c r="AF146" s="113" t="e">
        <f>#REF!-'IS 3Q2022'!AF146</f>
        <v>#REF!</v>
      </c>
      <c r="AG146" s="137" t="e">
        <f>#REF!-'IS 3Q2022'!AG146</f>
        <v>#REF!</v>
      </c>
      <c r="AH146" s="113" t="e">
        <f>#REF!-'IS 3Q2022'!AH146</f>
        <v>#REF!</v>
      </c>
      <c r="AI146" s="113" t="e">
        <f>#REF!-'IS 3Q2022'!AI146</f>
        <v>#REF!</v>
      </c>
      <c r="AJ146" s="113" t="e">
        <f>#REF!-'IS 3Q2022'!AJ146</f>
        <v>#REF!</v>
      </c>
      <c r="AK146" s="113" t="e">
        <f>#REF!-'IS 3Q2022'!AK146</f>
        <v>#REF!</v>
      </c>
      <c r="AL146" s="137" t="e">
        <f>#REF!-'IS 3Q2022'!AL146</f>
        <v>#REF!</v>
      </c>
      <c r="AM146" s="113" t="e">
        <f>#REF!-'IS 3Q2022'!AM146</f>
        <v>#REF!</v>
      </c>
      <c r="AN146" s="113" t="e">
        <f>#REF!-'IS 3Q2022'!AN146</f>
        <v>#REF!</v>
      </c>
      <c r="AO146" s="113" t="e">
        <f>#REF!-'IS 3Q2022'!AO146</f>
        <v>#REF!</v>
      </c>
      <c r="AP146" s="113" t="e">
        <f>#REF!-'IS 3Q2022'!AP146</f>
        <v>#REF!</v>
      </c>
      <c r="AQ146" s="137" t="e">
        <f>#REF!-'IS 3Q2022'!AQ146</f>
        <v>#REF!</v>
      </c>
      <c r="AR146" s="113" t="e">
        <f>#REF!-'IS 3Q2022'!AR146</f>
        <v>#REF!</v>
      </c>
      <c r="AS146" s="113" t="e">
        <f>#REF!-'IS 3Q2022'!AS146</f>
        <v>#REF!</v>
      </c>
      <c r="AT146" s="113" t="e">
        <f>#REF!-'IS 3Q2022'!AT146</f>
        <v>#REF!</v>
      </c>
      <c r="AU146" s="113" t="e">
        <f>#REF!-'IS 3Q2022'!AU146</f>
        <v>#REF!</v>
      </c>
      <c r="AV146" s="137" t="e">
        <f>#REF!-'IS 3Q2022'!AV146</f>
        <v>#REF!</v>
      </c>
    </row>
    <row r="147" spans="2:48" s="23" customFormat="1" outlineLevel="1" x14ac:dyDescent="0.3">
      <c r="B147" s="200" t="s">
        <v>139</v>
      </c>
      <c r="C147" s="201"/>
      <c r="D147" s="101" t="e">
        <f>#REF!-'IS 3Q2022'!D147</f>
        <v>#REF!</v>
      </c>
      <c r="E147" s="27" t="e">
        <f>#REF!-'IS 3Q2022'!E147</f>
        <v>#REF!</v>
      </c>
      <c r="F147" s="27" t="e">
        <f>#REF!-'IS 3Q2022'!F147</f>
        <v>#REF!</v>
      </c>
      <c r="G147" s="27" t="e">
        <f>#REF!-'IS 3Q2022'!G147</f>
        <v>#REF!</v>
      </c>
      <c r="H147" s="29" t="e">
        <f>#REF!-'IS 3Q2022'!H147</f>
        <v>#REF!</v>
      </c>
      <c r="I147" s="27" t="e">
        <f>#REF!-'IS 3Q2022'!I147</f>
        <v>#REF!</v>
      </c>
      <c r="J147" s="27" t="e">
        <f>#REF!-'IS 3Q2022'!J147</f>
        <v>#REF!</v>
      </c>
      <c r="K147" s="27" t="e">
        <f>#REF!-'IS 3Q2022'!K147</f>
        <v>#REF!</v>
      </c>
      <c r="L147" s="113" t="e">
        <f>#REF!-'IS 3Q2022'!L147</f>
        <v>#REF!</v>
      </c>
      <c r="M147" s="137" t="e">
        <f>#REF!-'IS 3Q2022'!M147</f>
        <v>#REF!</v>
      </c>
      <c r="N147" s="113" t="e">
        <f>#REF!-'IS 3Q2022'!N147</f>
        <v>#REF!</v>
      </c>
      <c r="O147" s="113" t="e">
        <f>#REF!-'IS 3Q2022'!O147</f>
        <v>#REF!</v>
      </c>
      <c r="P147" s="113" t="e">
        <f>#REF!-'IS 3Q2022'!P147</f>
        <v>#REF!</v>
      </c>
      <c r="Q147" s="113" t="e">
        <f>#REF!-'IS 3Q2022'!Q147</f>
        <v>#REF!</v>
      </c>
      <c r="R147" s="29" t="e">
        <f>#REF!-'IS 3Q2022'!R147</f>
        <v>#REF!</v>
      </c>
      <c r="S147" s="113" t="e">
        <f>#REF!-'IS 3Q2022'!S147</f>
        <v>#REF!</v>
      </c>
      <c r="T147" s="113" t="e">
        <f>#REF!-'IS 3Q2022'!T147</f>
        <v>#REF!</v>
      </c>
      <c r="U147" s="113" t="e">
        <f>#REF!-'IS 3Q2022'!U147</f>
        <v>#REF!</v>
      </c>
      <c r="V147" s="113" t="e">
        <f>#REF!-'IS 3Q2022'!V147</f>
        <v>#REF!</v>
      </c>
      <c r="W147" s="137" t="e">
        <f>#REF!-'IS 3Q2022'!W147</f>
        <v>#REF!</v>
      </c>
      <c r="X147" s="113" t="e">
        <f>#REF!-'IS 3Q2022'!X147</f>
        <v>#REF!</v>
      </c>
      <c r="Y147" s="113" t="e">
        <f>#REF!-'IS 3Q2022'!Y147</f>
        <v>#REF!</v>
      </c>
      <c r="Z147" s="113" t="e">
        <f>#REF!-'IS 3Q2022'!Z147</f>
        <v>#REF!</v>
      </c>
      <c r="AA147" s="113" t="e">
        <f>#REF!-'IS 3Q2022'!AA147</f>
        <v>#REF!</v>
      </c>
      <c r="AB147" s="137" t="e">
        <f>#REF!-'IS 3Q2022'!AB147</f>
        <v>#REF!</v>
      </c>
      <c r="AC147" s="113" t="e">
        <f>#REF!-'IS 3Q2022'!AC147</f>
        <v>#REF!</v>
      </c>
      <c r="AD147" s="113" t="e">
        <f>#REF!-'IS 3Q2022'!AD147</f>
        <v>#REF!</v>
      </c>
      <c r="AE147" s="113" t="e">
        <f>#REF!-'IS 3Q2022'!AE147</f>
        <v>#REF!</v>
      </c>
      <c r="AF147" s="113" t="e">
        <f>#REF!-'IS 3Q2022'!AF147</f>
        <v>#REF!</v>
      </c>
      <c r="AG147" s="137" t="e">
        <f>#REF!-'IS 3Q2022'!AG147</f>
        <v>#REF!</v>
      </c>
      <c r="AH147" s="113" t="e">
        <f>#REF!-'IS 3Q2022'!AH147</f>
        <v>#REF!</v>
      </c>
      <c r="AI147" s="113" t="e">
        <f>#REF!-'IS 3Q2022'!AI147</f>
        <v>#REF!</v>
      </c>
      <c r="AJ147" s="113" t="e">
        <f>#REF!-'IS 3Q2022'!AJ147</f>
        <v>#REF!</v>
      </c>
      <c r="AK147" s="113" t="e">
        <f>#REF!-'IS 3Q2022'!AK147</f>
        <v>#REF!</v>
      </c>
      <c r="AL147" s="137" t="e">
        <f>#REF!-'IS 3Q2022'!AL147</f>
        <v>#REF!</v>
      </c>
      <c r="AM147" s="113" t="e">
        <f>#REF!-'IS 3Q2022'!AM147</f>
        <v>#REF!</v>
      </c>
      <c r="AN147" s="113" t="e">
        <f>#REF!-'IS 3Q2022'!AN147</f>
        <v>#REF!</v>
      </c>
      <c r="AO147" s="113" t="e">
        <f>#REF!-'IS 3Q2022'!AO147</f>
        <v>#REF!</v>
      </c>
      <c r="AP147" s="113" t="e">
        <f>#REF!-'IS 3Q2022'!AP147</f>
        <v>#REF!</v>
      </c>
      <c r="AQ147" s="29" t="e">
        <f>#REF!-'IS 3Q2022'!AQ147</f>
        <v>#REF!</v>
      </c>
      <c r="AR147" s="113" t="e">
        <f>#REF!-'IS 3Q2022'!AR147</f>
        <v>#REF!</v>
      </c>
      <c r="AS147" s="113" t="e">
        <f>#REF!-'IS 3Q2022'!AS147</f>
        <v>#REF!</v>
      </c>
      <c r="AT147" s="113" t="e">
        <f>#REF!-'IS 3Q2022'!AT147</f>
        <v>#REF!</v>
      </c>
      <c r="AU147" s="113" t="e">
        <f>#REF!-'IS 3Q2022'!AU147</f>
        <v>#REF!</v>
      </c>
      <c r="AV147" s="29" t="e">
        <f>#REF!-'IS 3Q2022'!AV147</f>
        <v>#REF!</v>
      </c>
    </row>
    <row r="148" spans="2:48" s="23" customFormat="1" outlineLevel="1" x14ac:dyDescent="0.3">
      <c r="B148" s="200" t="s">
        <v>140</v>
      </c>
      <c r="C148" s="201"/>
      <c r="D148" s="101" t="e">
        <f>#REF!-'IS 3Q2022'!D148</f>
        <v>#REF!</v>
      </c>
      <c r="E148" s="27" t="e">
        <f>#REF!-'IS 3Q2022'!E148</f>
        <v>#REF!</v>
      </c>
      <c r="F148" s="27" t="e">
        <f>#REF!-'IS 3Q2022'!F148</f>
        <v>#REF!</v>
      </c>
      <c r="G148" s="27" t="e">
        <f>#REF!-'IS 3Q2022'!G148</f>
        <v>#REF!</v>
      </c>
      <c r="H148" s="29" t="e">
        <f>#REF!-'IS 3Q2022'!H148</f>
        <v>#REF!</v>
      </c>
      <c r="I148" s="27" t="e">
        <f>#REF!-'IS 3Q2022'!I148</f>
        <v>#REF!</v>
      </c>
      <c r="J148" s="27" t="e">
        <f>#REF!-'IS 3Q2022'!J148</f>
        <v>#REF!</v>
      </c>
      <c r="K148" s="27" t="e">
        <f>#REF!-'IS 3Q2022'!K148</f>
        <v>#REF!</v>
      </c>
      <c r="L148" s="113" t="e">
        <f>#REF!-'IS 3Q2022'!L148</f>
        <v>#REF!</v>
      </c>
      <c r="M148" s="137" t="e">
        <f>#REF!-'IS 3Q2022'!M148</f>
        <v>#REF!</v>
      </c>
      <c r="N148" s="113" t="e">
        <f>#REF!-'IS 3Q2022'!N148</f>
        <v>#REF!</v>
      </c>
      <c r="O148" s="113" t="e">
        <f>#REF!-'IS 3Q2022'!O148</f>
        <v>#REF!</v>
      </c>
      <c r="P148" s="113" t="e">
        <f>#REF!-'IS 3Q2022'!P148</f>
        <v>#REF!</v>
      </c>
      <c r="Q148" s="113" t="e">
        <f>#REF!-'IS 3Q2022'!Q148</f>
        <v>#REF!</v>
      </c>
      <c r="R148" s="29" t="e">
        <f>#REF!-'IS 3Q2022'!R148</f>
        <v>#REF!</v>
      </c>
      <c r="S148" s="113" t="e">
        <f>#REF!-'IS 3Q2022'!S148</f>
        <v>#REF!</v>
      </c>
      <c r="T148" s="113" t="e">
        <f>#REF!-'IS 3Q2022'!T148</f>
        <v>#REF!</v>
      </c>
      <c r="U148" s="113" t="e">
        <f>#REF!-'IS 3Q2022'!U148</f>
        <v>#REF!</v>
      </c>
      <c r="V148" s="113" t="e">
        <f>#REF!-'IS 3Q2022'!V148</f>
        <v>#REF!</v>
      </c>
      <c r="W148" s="137" t="e">
        <f>#REF!-'IS 3Q2022'!W148</f>
        <v>#REF!</v>
      </c>
      <c r="X148" s="113" t="e">
        <f>#REF!-'IS 3Q2022'!X148</f>
        <v>#REF!</v>
      </c>
      <c r="Y148" s="113" t="e">
        <f>#REF!-'IS 3Q2022'!Y148</f>
        <v>#REF!</v>
      </c>
      <c r="Z148" s="113" t="e">
        <f>#REF!-'IS 3Q2022'!Z148</f>
        <v>#REF!</v>
      </c>
      <c r="AA148" s="113" t="e">
        <f>#REF!-'IS 3Q2022'!AA148</f>
        <v>#REF!</v>
      </c>
      <c r="AB148" s="137" t="e">
        <f>#REF!-'IS 3Q2022'!AB148</f>
        <v>#REF!</v>
      </c>
      <c r="AC148" s="113" t="e">
        <f>#REF!-'IS 3Q2022'!AC148</f>
        <v>#REF!</v>
      </c>
      <c r="AD148" s="113" t="e">
        <f>#REF!-'IS 3Q2022'!AD148</f>
        <v>#REF!</v>
      </c>
      <c r="AE148" s="113" t="e">
        <f>#REF!-'IS 3Q2022'!AE148</f>
        <v>#REF!</v>
      </c>
      <c r="AF148" s="113" t="e">
        <f>#REF!-'IS 3Q2022'!AF148</f>
        <v>#REF!</v>
      </c>
      <c r="AG148" s="137" t="e">
        <f>#REF!-'IS 3Q2022'!AG148</f>
        <v>#REF!</v>
      </c>
      <c r="AH148" s="113" t="e">
        <f>#REF!-'IS 3Q2022'!AH148</f>
        <v>#REF!</v>
      </c>
      <c r="AI148" s="113" t="e">
        <f>#REF!-'IS 3Q2022'!AI148</f>
        <v>#REF!</v>
      </c>
      <c r="AJ148" s="113" t="e">
        <f>#REF!-'IS 3Q2022'!AJ148</f>
        <v>#REF!</v>
      </c>
      <c r="AK148" s="113" t="e">
        <f>#REF!-'IS 3Q2022'!AK148</f>
        <v>#REF!</v>
      </c>
      <c r="AL148" s="29" t="e">
        <f>#REF!-'IS 3Q2022'!AL148</f>
        <v>#REF!</v>
      </c>
      <c r="AM148" s="113" t="e">
        <f>#REF!-'IS 3Q2022'!AM148</f>
        <v>#REF!</v>
      </c>
      <c r="AN148" s="113" t="e">
        <f>#REF!-'IS 3Q2022'!AN148</f>
        <v>#REF!</v>
      </c>
      <c r="AO148" s="113" t="e">
        <f>#REF!-'IS 3Q2022'!AO148</f>
        <v>#REF!</v>
      </c>
      <c r="AP148" s="113" t="e">
        <f>#REF!-'IS 3Q2022'!AP148</f>
        <v>#REF!</v>
      </c>
      <c r="AQ148" s="29" t="e">
        <f>#REF!-'IS 3Q2022'!AQ148</f>
        <v>#REF!</v>
      </c>
      <c r="AR148" s="113" t="e">
        <f>#REF!-'IS 3Q2022'!AR148</f>
        <v>#REF!</v>
      </c>
      <c r="AS148" s="113" t="e">
        <f>#REF!-'IS 3Q2022'!AS148</f>
        <v>#REF!</v>
      </c>
      <c r="AT148" s="113" t="e">
        <f>#REF!-'IS 3Q2022'!AT148</f>
        <v>#REF!</v>
      </c>
      <c r="AU148" s="113" t="e">
        <f>#REF!-'IS 3Q2022'!AU148</f>
        <v>#REF!</v>
      </c>
      <c r="AV148" s="29" t="e">
        <f>#REF!-'IS 3Q2022'!AV148</f>
        <v>#REF!</v>
      </c>
    </row>
    <row r="149" spans="2:48" s="23" customFormat="1" outlineLevel="1" x14ac:dyDescent="0.3">
      <c r="B149" s="200" t="s">
        <v>334</v>
      </c>
      <c r="C149" s="201"/>
      <c r="D149" s="101" t="e">
        <f>#REF!-'IS 3Q2022'!D149</f>
        <v>#REF!</v>
      </c>
      <c r="E149" s="27" t="e">
        <f>#REF!-'IS 3Q2022'!E149</f>
        <v>#REF!</v>
      </c>
      <c r="F149" s="27" t="e">
        <f>#REF!-'IS 3Q2022'!F149</f>
        <v>#REF!</v>
      </c>
      <c r="G149" s="27" t="e">
        <f>#REF!-'IS 3Q2022'!G149</f>
        <v>#REF!</v>
      </c>
      <c r="H149" s="29" t="e">
        <f>#REF!-'IS 3Q2022'!H149</f>
        <v>#REF!</v>
      </c>
      <c r="I149" s="27" t="e">
        <f>#REF!-'IS 3Q2022'!I149</f>
        <v>#REF!</v>
      </c>
      <c r="J149" s="27" t="e">
        <f>#REF!-'IS 3Q2022'!J149</f>
        <v>#REF!</v>
      </c>
      <c r="K149" s="27" t="e">
        <f>#REF!-'IS 3Q2022'!K149</f>
        <v>#REF!</v>
      </c>
      <c r="L149" s="113" t="e">
        <f>#REF!-'IS 3Q2022'!L149</f>
        <v>#REF!</v>
      </c>
      <c r="M149" s="137" t="e">
        <f>#REF!-'IS 3Q2022'!M149</f>
        <v>#REF!</v>
      </c>
      <c r="N149" s="113" t="e">
        <f>#REF!-'IS 3Q2022'!N149</f>
        <v>#REF!</v>
      </c>
      <c r="O149" s="113" t="e">
        <f>#REF!-'IS 3Q2022'!O149</f>
        <v>#REF!</v>
      </c>
      <c r="P149" s="113" t="e">
        <f>#REF!-'IS 3Q2022'!P149</f>
        <v>#REF!</v>
      </c>
      <c r="Q149" s="113" t="e">
        <f>#REF!-'IS 3Q2022'!Q149</f>
        <v>#REF!</v>
      </c>
      <c r="R149" s="29" t="e">
        <f>#REF!-'IS 3Q2022'!R149</f>
        <v>#REF!</v>
      </c>
      <c r="S149" s="113" t="e">
        <f>#REF!-'IS 3Q2022'!S149</f>
        <v>#REF!</v>
      </c>
      <c r="T149" s="113" t="e">
        <f>#REF!-'IS 3Q2022'!T149</f>
        <v>#REF!</v>
      </c>
      <c r="U149" s="113" t="e">
        <f>#REF!-'IS 3Q2022'!U149</f>
        <v>#REF!</v>
      </c>
      <c r="V149" s="113" t="e">
        <f>#REF!-'IS 3Q2022'!V149</f>
        <v>#REF!</v>
      </c>
      <c r="W149" s="137" t="e">
        <f>#REF!-'IS 3Q2022'!W149</f>
        <v>#REF!</v>
      </c>
      <c r="X149" s="113" t="e">
        <f>#REF!-'IS 3Q2022'!X149</f>
        <v>#REF!</v>
      </c>
      <c r="Y149" s="113" t="e">
        <f>#REF!-'IS 3Q2022'!Y149</f>
        <v>#REF!</v>
      </c>
      <c r="Z149" s="113" t="e">
        <f>#REF!-'IS 3Q2022'!Z149</f>
        <v>#REF!</v>
      </c>
      <c r="AA149" s="113" t="e">
        <f>#REF!-'IS 3Q2022'!AA149</f>
        <v>#REF!</v>
      </c>
      <c r="AB149" s="137" t="e">
        <f>#REF!-'IS 3Q2022'!AB149</f>
        <v>#REF!</v>
      </c>
      <c r="AC149" s="113" t="e">
        <f>#REF!-'IS 3Q2022'!AC149</f>
        <v>#REF!</v>
      </c>
      <c r="AD149" s="113" t="e">
        <f>#REF!-'IS 3Q2022'!AD149</f>
        <v>#REF!</v>
      </c>
      <c r="AE149" s="113" t="e">
        <f>#REF!-'IS 3Q2022'!AE149</f>
        <v>#REF!</v>
      </c>
      <c r="AF149" s="113" t="e">
        <f>#REF!-'IS 3Q2022'!AF149</f>
        <v>#REF!</v>
      </c>
      <c r="AG149" s="137" t="e">
        <f>#REF!-'IS 3Q2022'!AG149</f>
        <v>#REF!</v>
      </c>
      <c r="AH149" s="113" t="e">
        <f>#REF!-'IS 3Q2022'!AH149</f>
        <v>#REF!</v>
      </c>
      <c r="AI149" s="113" t="e">
        <f>#REF!-'IS 3Q2022'!AI149</f>
        <v>#REF!</v>
      </c>
      <c r="AJ149" s="113" t="e">
        <f>#REF!-'IS 3Q2022'!AJ149</f>
        <v>#REF!</v>
      </c>
      <c r="AK149" s="113" t="e">
        <f>#REF!-'IS 3Q2022'!AK149</f>
        <v>#REF!</v>
      </c>
      <c r="AL149" s="406" t="e">
        <f>#REF!-'IS 3Q2022'!AL149</f>
        <v>#REF!</v>
      </c>
      <c r="AM149" s="113" t="e">
        <f>#REF!-'IS 3Q2022'!AM149</f>
        <v>#REF!</v>
      </c>
      <c r="AN149" s="113" t="e">
        <f>#REF!-'IS 3Q2022'!AN149</f>
        <v>#REF!</v>
      </c>
      <c r="AO149" s="113" t="e">
        <f>#REF!-'IS 3Q2022'!AO149</f>
        <v>#REF!</v>
      </c>
      <c r="AP149" s="113" t="e">
        <f>#REF!-'IS 3Q2022'!AP149</f>
        <v>#REF!</v>
      </c>
      <c r="AQ149" s="29" t="e">
        <f>#REF!-'IS 3Q2022'!AQ149</f>
        <v>#REF!</v>
      </c>
      <c r="AR149" s="113" t="e">
        <f>#REF!-'IS 3Q2022'!AR149</f>
        <v>#REF!</v>
      </c>
      <c r="AS149" s="113" t="e">
        <f>#REF!-'IS 3Q2022'!AS149</f>
        <v>#REF!</v>
      </c>
      <c r="AT149" s="113" t="e">
        <f>#REF!-'IS 3Q2022'!AT149</f>
        <v>#REF!</v>
      </c>
      <c r="AU149" s="113" t="e">
        <f>#REF!-'IS 3Q2022'!AU149</f>
        <v>#REF!</v>
      </c>
      <c r="AV149" s="29" t="e">
        <f>#REF!-'IS 3Q2022'!AV149</f>
        <v>#REF!</v>
      </c>
    </row>
    <row r="150" spans="2:48" ht="17.399999999999999" x14ac:dyDescent="0.45">
      <c r="B150" s="583" t="s">
        <v>130</v>
      </c>
      <c r="C150" s="584"/>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2" t="s">
        <v>25</v>
      </c>
      <c r="W150" s="255" t="s">
        <v>26</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580" t="s">
        <v>208</v>
      </c>
      <c r="C151" s="581"/>
      <c r="D151" s="101" t="e">
        <f>#REF!-'IS 3Q2022'!D151</f>
        <v>#REF!</v>
      </c>
      <c r="E151" s="27" t="e">
        <f>#REF!-'IS 3Q2022'!E151</f>
        <v>#REF!</v>
      </c>
      <c r="F151" s="27" t="e">
        <f>#REF!-'IS 3Q2022'!F151</f>
        <v>#REF!</v>
      </c>
      <c r="G151" s="27" t="e">
        <f>#REF!-'IS 3Q2022'!G151</f>
        <v>#REF!</v>
      </c>
      <c r="H151" s="9" t="e">
        <f>#REF!-'IS 3Q2022'!H151</f>
        <v>#REF!</v>
      </c>
      <c r="I151" s="27" t="e">
        <f>#REF!-'IS 3Q2022'!I151</f>
        <v>#REF!</v>
      </c>
      <c r="J151" s="27" t="e">
        <f>#REF!-'IS 3Q2022'!J151</f>
        <v>#REF!</v>
      </c>
      <c r="K151" s="27" t="e">
        <f>#REF!-'IS 3Q2022'!K151</f>
        <v>#REF!</v>
      </c>
      <c r="L151" s="27" t="e">
        <f>#REF!-'IS 3Q2022'!L151</f>
        <v>#REF!</v>
      </c>
      <c r="M151" s="9" t="e">
        <f>#REF!-'IS 3Q2022'!M151</f>
        <v>#REF!</v>
      </c>
      <c r="N151" s="27" t="e">
        <f>#REF!-'IS 3Q2022'!N151</f>
        <v>#REF!</v>
      </c>
      <c r="O151" s="27" t="e">
        <f>#REF!-'IS 3Q2022'!O151</f>
        <v>#REF!</v>
      </c>
      <c r="P151" s="27" t="e">
        <f>#REF!-'IS 3Q2022'!P151</f>
        <v>#REF!</v>
      </c>
      <c r="Q151" s="27" t="e">
        <f>#REF!-'IS 3Q2022'!Q151</f>
        <v>#REF!</v>
      </c>
      <c r="R151" s="9" t="e">
        <f>#REF!-'IS 3Q2022'!R151</f>
        <v>#REF!</v>
      </c>
      <c r="S151" s="27" t="e">
        <f>#REF!-'IS 3Q2022'!S151</f>
        <v>#REF!</v>
      </c>
      <c r="T151" s="27" t="e">
        <f>#REF!-'IS 3Q2022'!T151</f>
        <v>#REF!</v>
      </c>
      <c r="U151" s="27" t="e">
        <f>#REF!-'IS 3Q2022'!U151</f>
        <v>#REF!</v>
      </c>
      <c r="V151" s="35" t="e">
        <f>#REF!-'IS 3Q2022'!V151</f>
        <v>#REF!</v>
      </c>
      <c r="W151" s="256" t="e">
        <f>#REF!-'IS 3Q2022'!W151</f>
        <v>#REF!</v>
      </c>
      <c r="X151" s="35" t="e">
        <f>#REF!-'IS 3Q2022'!X151</f>
        <v>#REF!</v>
      </c>
      <c r="Y151" s="35" t="e">
        <f>#REF!-'IS 3Q2022'!Y151</f>
        <v>#REF!</v>
      </c>
      <c r="Z151" s="35" t="e">
        <f>#REF!-'IS 3Q2022'!Z151</f>
        <v>#REF!</v>
      </c>
      <c r="AA151" s="35" t="e">
        <f>#REF!-'IS 3Q2022'!AA151</f>
        <v>#REF!</v>
      </c>
      <c r="AB151" s="9" t="e">
        <f>#REF!-'IS 3Q2022'!AB151</f>
        <v>#REF!</v>
      </c>
      <c r="AC151" s="35" t="e">
        <f>#REF!-'IS 3Q2022'!AC151</f>
        <v>#REF!</v>
      </c>
      <c r="AD151" s="35" t="e">
        <f>#REF!-'IS 3Q2022'!AD151</f>
        <v>#REF!</v>
      </c>
      <c r="AE151" s="35" t="e">
        <f>#REF!-'IS 3Q2022'!AE151</f>
        <v>#REF!</v>
      </c>
      <c r="AF151" s="35" t="e">
        <f>#REF!-'IS 3Q2022'!AF151</f>
        <v>#REF!</v>
      </c>
      <c r="AG151" s="9" t="e">
        <f>#REF!-'IS 3Q2022'!AG151</f>
        <v>#REF!</v>
      </c>
      <c r="AH151" s="35" t="e">
        <f>#REF!-'IS 3Q2022'!AH151</f>
        <v>#REF!</v>
      </c>
      <c r="AI151" s="35" t="e">
        <f>#REF!-'IS 3Q2022'!AI151</f>
        <v>#REF!</v>
      </c>
      <c r="AJ151" s="35" t="e">
        <f>#REF!-'IS 3Q2022'!AJ151</f>
        <v>#REF!</v>
      </c>
      <c r="AK151" s="35" t="e">
        <f>#REF!-'IS 3Q2022'!AK151</f>
        <v>#REF!</v>
      </c>
      <c r="AL151" s="9" t="e">
        <f>#REF!-'IS 3Q2022'!AL151</f>
        <v>#REF!</v>
      </c>
      <c r="AM151" s="35" t="e">
        <f>#REF!-'IS 3Q2022'!AM151</f>
        <v>#REF!</v>
      </c>
      <c r="AN151" s="35" t="e">
        <f>#REF!-'IS 3Q2022'!AN151</f>
        <v>#REF!</v>
      </c>
      <c r="AO151" s="35" t="e">
        <f>#REF!-'IS 3Q2022'!AO151</f>
        <v>#REF!</v>
      </c>
      <c r="AP151" s="35" t="e">
        <f>#REF!-'IS 3Q2022'!AP151</f>
        <v>#REF!</v>
      </c>
      <c r="AQ151" s="9" t="e">
        <f>#REF!-'IS 3Q2022'!AQ151</f>
        <v>#REF!</v>
      </c>
      <c r="AR151" s="35" t="e">
        <f>#REF!-'IS 3Q2022'!AR151</f>
        <v>#REF!</v>
      </c>
      <c r="AS151" s="35" t="e">
        <f>#REF!-'IS 3Q2022'!AS151</f>
        <v>#REF!</v>
      </c>
      <c r="AT151" s="35" t="e">
        <f>#REF!-'IS 3Q2022'!AT151</f>
        <v>#REF!</v>
      </c>
      <c r="AU151" s="35" t="e">
        <f>#REF!-'IS 3Q2022'!AU151</f>
        <v>#REF!</v>
      </c>
      <c r="AV151" s="9" t="e">
        <f>#REF!-'IS 3Q2022'!AV151</f>
        <v>#REF!</v>
      </c>
    </row>
    <row r="152" spans="2:48" outlineLevel="1" x14ac:dyDescent="0.3">
      <c r="B152" s="580" t="s">
        <v>209</v>
      </c>
      <c r="C152" s="581"/>
      <c r="D152" s="27" t="e">
        <f>#REF!-'IS 3Q2022'!D152</f>
        <v>#REF!</v>
      </c>
      <c r="E152" s="27" t="e">
        <f>#REF!-'IS 3Q2022'!E152</f>
        <v>#REF!</v>
      </c>
      <c r="F152" s="27" t="e">
        <f>#REF!-'IS 3Q2022'!F152</f>
        <v>#REF!</v>
      </c>
      <c r="G152" s="27" t="e">
        <f>#REF!-'IS 3Q2022'!G152</f>
        <v>#REF!</v>
      </c>
      <c r="H152" s="9" t="e">
        <f>#REF!-'IS 3Q2022'!H152</f>
        <v>#REF!</v>
      </c>
      <c r="I152" s="27" t="e">
        <f>#REF!-'IS 3Q2022'!I152</f>
        <v>#REF!</v>
      </c>
      <c r="J152" s="27" t="e">
        <f>#REF!-'IS 3Q2022'!J152</f>
        <v>#REF!</v>
      </c>
      <c r="K152" s="27" t="e">
        <f>#REF!-'IS 3Q2022'!K152</f>
        <v>#REF!</v>
      </c>
      <c r="L152" s="27" t="e">
        <f>#REF!-'IS 3Q2022'!L152</f>
        <v>#REF!</v>
      </c>
      <c r="M152" s="9" t="e">
        <f>#REF!-'IS 3Q2022'!M152</f>
        <v>#REF!</v>
      </c>
      <c r="N152" s="27" t="e">
        <f>#REF!-'IS 3Q2022'!N152</f>
        <v>#REF!</v>
      </c>
      <c r="O152" s="27" t="e">
        <f>#REF!-'IS 3Q2022'!O152</f>
        <v>#REF!</v>
      </c>
      <c r="P152" s="27" t="e">
        <f>#REF!-'IS 3Q2022'!P152</f>
        <v>#REF!</v>
      </c>
      <c r="Q152" s="27" t="e">
        <f>#REF!-'IS 3Q2022'!Q152</f>
        <v>#REF!</v>
      </c>
      <c r="R152" s="9" t="e">
        <f>#REF!-'IS 3Q2022'!R152</f>
        <v>#REF!</v>
      </c>
      <c r="S152" s="27" t="e">
        <f>#REF!-'IS 3Q2022'!S152</f>
        <v>#REF!</v>
      </c>
      <c r="T152" s="27" t="e">
        <f>#REF!-'IS 3Q2022'!T152</f>
        <v>#REF!</v>
      </c>
      <c r="U152" s="27" t="e">
        <f>#REF!-'IS 3Q2022'!U152</f>
        <v>#REF!</v>
      </c>
      <c r="V152" s="35" t="e">
        <f>#REF!-'IS 3Q2022'!V152</f>
        <v>#REF!</v>
      </c>
      <c r="W152" s="256" t="e">
        <f>#REF!-'IS 3Q2022'!W152</f>
        <v>#REF!</v>
      </c>
      <c r="X152" s="35" t="e">
        <f>#REF!-'IS 3Q2022'!X152</f>
        <v>#REF!</v>
      </c>
      <c r="Y152" s="35" t="e">
        <f>#REF!-'IS 3Q2022'!Y152</f>
        <v>#REF!</v>
      </c>
      <c r="Z152" s="35" t="e">
        <f>#REF!-'IS 3Q2022'!Z152</f>
        <v>#REF!</v>
      </c>
      <c r="AA152" s="35" t="e">
        <f>#REF!-'IS 3Q2022'!AA152</f>
        <v>#REF!</v>
      </c>
      <c r="AB152" s="9" t="e">
        <f>#REF!-'IS 3Q2022'!AB152</f>
        <v>#REF!</v>
      </c>
      <c r="AC152" s="35" t="e">
        <f>#REF!-'IS 3Q2022'!AC152</f>
        <v>#REF!</v>
      </c>
      <c r="AD152" s="35" t="e">
        <f>#REF!-'IS 3Q2022'!AD152</f>
        <v>#REF!</v>
      </c>
      <c r="AE152" s="35" t="e">
        <f>#REF!-'IS 3Q2022'!AE152</f>
        <v>#REF!</v>
      </c>
      <c r="AF152" s="35" t="e">
        <f>#REF!-'IS 3Q2022'!AF152</f>
        <v>#REF!</v>
      </c>
      <c r="AG152" s="9" t="e">
        <f>#REF!-'IS 3Q2022'!AG152</f>
        <v>#REF!</v>
      </c>
      <c r="AH152" s="35" t="e">
        <f>#REF!-'IS 3Q2022'!AH152</f>
        <v>#REF!</v>
      </c>
      <c r="AI152" s="35" t="e">
        <f>#REF!-'IS 3Q2022'!AI152</f>
        <v>#REF!</v>
      </c>
      <c r="AJ152" s="35" t="e">
        <f>#REF!-'IS 3Q2022'!AJ152</f>
        <v>#REF!</v>
      </c>
      <c r="AK152" s="35" t="e">
        <f>#REF!-'IS 3Q2022'!AK152</f>
        <v>#REF!</v>
      </c>
      <c r="AL152" s="9" t="e">
        <f>#REF!-'IS 3Q2022'!AL152</f>
        <v>#REF!</v>
      </c>
      <c r="AM152" s="35" t="e">
        <f>#REF!-'IS 3Q2022'!AM152</f>
        <v>#REF!</v>
      </c>
      <c r="AN152" s="35" t="e">
        <f>#REF!-'IS 3Q2022'!AN152</f>
        <v>#REF!</v>
      </c>
      <c r="AO152" s="35" t="e">
        <f>#REF!-'IS 3Q2022'!AO152</f>
        <v>#REF!</v>
      </c>
      <c r="AP152" s="35" t="e">
        <f>#REF!-'IS 3Q2022'!AP152</f>
        <v>#REF!</v>
      </c>
      <c r="AQ152" s="9" t="e">
        <f>#REF!-'IS 3Q2022'!AQ152</f>
        <v>#REF!</v>
      </c>
      <c r="AR152" s="35" t="e">
        <f>#REF!-'IS 3Q2022'!AR152</f>
        <v>#REF!</v>
      </c>
      <c r="AS152" s="35" t="e">
        <f>#REF!-'IS 3Q2022'!AS152</f>
        <v>#REF!</v>
      </c>
      <c r="AT152" s="35" t="e">
        <f>#REF!-'IS 3Q2022'!AT152</f>
        <v>#REF!</v>
      </c>
      <c r="AU152" s="35" t="e">
        <f>#REF!-'IS 3Q2022'!AU152</f>
        <v>#REF!</v>
      </c>
      <c r="AV152" s="9" t="e">
        <f>#REF!-'IS 3Q2022'!AV152</f>
        <v>#REF!</v>
      </c>
    </row>
    <row r="153" spans="2:48" outlineLevel="1" x14ac:dyDescent="0.3">
      <c r="B153" s="609" t="s">
        <v>137</v>
      </c>
      <c r="C153" s="610"/>
      <c r="D153" s="245" t="e">
        <f>#REF!-'IS 3Q2022'!D153</f>
        <v>#REF!</v>
      </c>
      <c r="E153" s="144" t="e">
        <f>#REF!-'IS 3Q2022'!E153</f>
        <v>#REF!</v>
      </c>
      <c r="F153" s="144" t="e">
        <f>#REF!-'IS 3Q2022'!F153</f>
        <v>#REF!</v>
      </c>
      <c r="G153" s="144" t="e">
        <f>#REF!-'IS 3Q2022'!G153</f>
        <v>#REF!</v>
      </c>
      <c r="H153" s="246" t="e">
        <f>#REF!-'IS 3Q2022'!H153</f>
        <v>#REF!</v>
      </c>
      <c r="I153" s="144" t="e">
        <f>#REF!-'IS 3Q2022'!I153</f>
        <v>#REF!</v>
      </c>
      <c r="J153" s="144" t="e">
        <f>#REF!-'IS 3Q2022'!J153</f>
        <v>#REF!</v>
      </c>
      <c r="K153" s="144" t="e">
        <f>#REF!-'IS 3Q2022'!K153</f>
        <v>#REF!</v>
      </c>
      <c r="L153" s="144" t="e">
        <f>#REF!-'IS 3Q2022'!L153</f>
        <v>#REF!</v>
      </c>
      <c r="M153" s="246" t="e">
        <f>#REF!-'IS 3Q2022'!M153</f>
        <v>#REF!</v>
      </c>
      <c r="N153" s="144" t="e">
        <f>#REF!-'IS 3Q2022'!N153</f>
        <v>#REF!</v>
      </c>
      <c r="O153" s="144" t="e">
        <f>#REF!-'IS 3Q2022'!O153</f>
        <v>#REF!</v>
      </c>
      <c r="P153" s="144" t="e">
        <f>#REF!-'IS 3Q2022'!P153</f>
        <v>#REF!</v>
      </c>
      <c r="Q153" s="144" t="e">
        <f>#REF!-'IS 3Q2022'!Q153</f>
        <v>#REF!</v>
      </c>
      <c r="R153" s="246" t="e">
        <f>#REF!-'IS 3Q2022'!R153</f>
        <v>#REF!</v>
      </c>
      <c r="S153" s="144" t="e">
        <f>#REF!-'IS 3Q2022'!S153</f>
        <v>#REF!</v>
      </c>
      <c r="T153" s="144" t="e">
        <f>#REF!-'IS 3Q2022'!T153</f>
        <v>#REF!</v>
      </c>
      <c r="U153" s="144" t="e">
        <f>#REF!-'IS 3Q2022'!U153</f>
        <v>#REF!</v>
      </c>
      <c r="V153" s="247" t="e">
        <f>#REF!-'IS 3Q2022'!V153</f>
        <v>#REF!</v>
      </c>
      <c r="W153" s="257" t="e">
        <f>#REF!-'IS 3Q2022'!W153</f>
        <v>#REF!</v>
      </c>
      <c r="X153" s="247" t="e">
        <f>#REF!-'IS 3Q2022'!X153</f>
        <v>#REF!</v>
      </c>
      <c r="Y153" s="247" t="e">
        <f>#REF!-'IS 3Q2022'!Y153</f>
        <v>#REF!</v>
      </c>
      <c r="Z153" s="247" t="e">
        <f>#REF!-'IS 3Q2022'!Z153</f>
        <v>#REF!</v>
      </c>
      <c r="AA153" s="247" t="e">
        <f>#REF!-'IS 3Q2022'!AA153</f>
        <v>#REF!</v>
      </c>
      <c r="AB153" s="246" t="e">
        <f>#REF!-'IS 3Q2022'!AB153</f>
        <v>#REF!</v>
      </c>
      <c r="AC153" s="393" t="e">
        <f>#REF!-'IS 3Q2022'!AC153</f>
        <v>#REF!</v>
      </c>
      <c r="AD153" s="247" t="e">
        <f>#REF!-'IS 3Q2022'!AD153</f>
        <v>#REF!</v>
      </c>
      <c r="AE153" s="247" t="e">
        <f>#REF!-'IS 3Q2022'!AE153</f>
        <v>#REF!</v>
      </c>
      <c r="AF153" s="247" t="e">
        <f>#REF!-'IS 3Q2022'!AF153</f>
        <v>#REF!</v>
      </c>
      <c r="AG153" s="390" t="e">
        <f>#REF!-'IS 3Q2022'!AG153</f>
        <v>#REF!</v>
      </c>
      <c r="AH153" s="393" t="e">
        <f>#REF!-'IS 3Q2022'!AH153</f>
        <v>#REF!</v>
      </c>
      <c r="AI153" s="247" t="e">
        <f>#REF!-'IS 3Q2022'!AI153</f>
        <v>#REF!</v>
      </c>
      <c r="AJ153" s="247" t="e">
        <f>#REF!-'IS 3Q2022'!AJ153</f>
        <v>#REF!</v>
      </c>
      <c r="AK153" s="247" t="e">
        <f>#REF!-'IS 3Q2022'!AK153</f>
        <v>#REF!</v>
      </c>
      <c r="AL153" s="390" t="e">
        <f>#REF!-'IS 3Q2022'!AL153</f>
        <v>#REF!</v>
      </c>
      <c r="AM153" s="247" t="e">
        <f>#REF!-'IS 3Q2022'!AM153</f>
        <v>#REF!</v>
      </c>
      <c r="AN153" s="247" t="e">
        <f>#REF!-'IS 3Q2022'!AN153</f>
        <v>#REF!</v>
      </c>
      <c r="AO153" s="247" t="e">
        <f>#REF!-'IS 3Q2022'!AO153</f>
        <v>#REF!</v>
      </c>
      <c r="AP153" s="247" t="e">
        <f>#REF!-'IS 3Q2022'!AP153</f>
        <v>#REF!</v>
      </c>
      <c r="AQ153" s="246" t="e">
        <f>#REF!-'IS 3Q2022'!AQ153</f>
        <v>#REF!</v>
      </c>
      <c r="AR153" s="247" t="e">
        <f>#REF!-'IS 3Q2022'!AR153</f>
        <v>#REF!</v>
      </c>
      <c r="AS153" s="247" t="e">
        <f>#REF!-'IS 3Q2022'!AS153</f>
        <v>#REF!</v>
      </c>
      <c r="AT153" s="247" t="e">
        <f>#REF!-'IS 3Q2022'!AT153</f>
        <v>#REF!</v>
      </c>
      <c r="AU153" s="247" t="e">
        <f>#REF!-'IS 3Q2022'!AU153</f>
        <v>#REF!</v>
      </c>
      <c r="AV153" s="246" t="e">
        <f>#REF!-'IS 3Q2022'!AV153</f>
        <v>#REF!</v>
      </c>
    </row>
    <row r="154" spans="2:48" outlineLevel="1" x14ac:dyDescent="0.3">
      <c r="B154" s="580" t="s">
        <v>138</v>
      </c>
      <c r="C154" s="581"/>
      <c r="D154" s="16" t="e">
        <f>#REF!-'IS 3Q2022'!D154</f>
        <v>#REF!</v>
      </c>
      <c r="E154" s="105" t="e">
        <f>#REF!-'IS 3Q2022'!E154</f>
        <v>#REF!</v>
      </c>
      <c r="F154" s="105" t="e">
        <f>#REF!-'IS 3Q2022'!F154</f>
        <v>#REF!</v>
      </c>
      <c r="G154" s="101" t="e">
        <f>#REF!-'IS 3Q2022'!G154</f>
        <v>#REF!</v>
      </c>
      <c r="H154" s="17" t="e">
        <f>#REF!-'IS 3Q2022'!H154</f>
        <v>#REF!</v>
      </c>
      <c r="I154" s="101" t="e">
        <f>#REF!-'IS 3Q2022'!I154</f>
        <v>#REF!</v>
      </c>
      <c r="J154" s="101" t="e">
        <f>#REF!-'IS 3Q2022'!J154</f>
        <v>#REF!</v>
      </c>
      <c r="K154" s="101" t="e">
        <f>#REF!-'IS 3Q2022'!K154</f>
        <v>#REF!</v>
      </c>
      <c r="L154" s="101" t="e">
        <f>#REF!-'IS 3Q2022'!L154</f>
        <v>#REF!</v>
      </c>
      <c r="M154" s="17" t="e">
        <f>#REF!-'IS 3Q2022'!M154</f>
        <v>#REF!</v>
      </c>
      <c r="N154" s="101" t="e">
        <f>#REF!-'IS 3Q2022'!N154</f>
        <v>#REF!</v>
      </c>
      <c r="O154" s="101" t="e">
        <f>#REF!-'IS 3Q2022'!O154</f>
        <v>#REF!</v>
      </c>
      <c r="P154" s="101" t="e">
        <f>#REF!-'IS 3Q2022'!P154</f>
        <v>#REF!</v>
      </c>
      <c r="Q154" s="101" t="e">
        <f>#REF!-'IS 3Q2022'!Q154</f>
        <v>#REF!</v>
      </c>
      <c r="R154" s="17" t="e">
        <f>#REF!-'IS 3Q2022'!R154</f>
        <v>#REF!</v>
      </c>
      <c r="S154" s="101" t="e">
        <f>#REF!-'IS 3Q2022'!S154</f>
        <v>#REF!</v>
      </c>
      <c r="T154" s="101" t="e">
        <f>#REF!-'IS 3Q2022'!T154</f>
        <v>#REF!</v>
      </c>
      <c r="U154" s="101" t="e">
        <f>#REF!-'IS 3Q2022'!U154</f>
        <v>#REF!</v>
      </c>
      <c r="V154" s="33" t="e">
        <f>#REF!-'IS 3Q2022'!V154</f>
        <v>#REF!</v>
      </c>
      <c r="W154" s="169" t="e">
        <f>#REF!-'IS 3Q2022'!W154</f>
        <v>#REF!</v>
      </c>
      <c r="X154" s="33" t="e">
        <f>#REF!-'IS 3Q2022'!X154</f>
        <v>#REF!</v>
      </c>
      <c r="Y154" s="33" t="e">
        <f>#REF!-'IS 3Q2022'!Y154</f>
        <v>#REF!</v>
      </c>
      <c r="Z154" s="33" t="e">
        <f>#REF!-'IS 3Q2022'!Z154</f>
        <v>#REF!</v>
      </c>
      <c r="AA154" s="33" t="e">
        <f>#REF!-'IS 3Q2022'!AA154</f>
        <v>#REF!</v>
      </c>
      <c r="AB154" s="17" t="e">
        <f>#REF!-'IS 3Q2022'!AB154</f>
        <v>#REF!</v>
      </c>
      <c r="AC154" s="33" t="e">
        <f>#REF!-'IS 3Q2022'!AC154</f>
        <v>#REF!</v>
      </c>
      <c r="AD154" s="33" t="e">
        <f>#REF!-'IS 3Q2022'!AD154</f>
        <v>#REF!</v>
      </c>
      <c r="AE154" s="33" t="e">
        <f>#REF!-'IS 3Q2022'!AE154</f>
        <v>#REF!</v>
      </c>
      <c r="AF154" s="33" t="e">
        <f>#REF!-'IS 3Q2022'!AF154</f>
        <v>#REF!</v>
      </c>
      <c r="AG154" s="17" t="e">
        <f>#REF!-'IS 3Q2022'!AG154</f>
        <v>#REF!</v>
      </c>
      <c r="AH154" s="33" t="e">
        <f>#REF!-'IS 3Q2022'!AH154</f>
        <v>#REF!</v>
      </c>
      <c r="AI154" s="33" t="e">
        <f>#REF!-'IS 3Q2022'!AI154</f>
        <v>#REF!</v>
      </c>
      <c r="AJ154" s="33" t="e">
        <f>#REF!-'IS 3Q2022'!AJ154</f>
        <v>#REF!</v>
      </c>
      <c r="AK154" s="33" t="e">
        <f>#REF!-'IS 3Q2022'!AK154</f>
        <v>#REF!</v>
      </c>
      <c r="AL154" s="17" t="e">
        <f>#REF!-'IS 3Q2022'!AL154</f>
        <v>#REF!</v>
      </c>
      <c r="AM154" s="33" t="e">
        <f>#REF!-'IS 3Q2022'!AM154</f>
        <v>#REF!</v>
      </c>
      <c r="AN154" s="33" t="e">
        <f>#REF!-'IS 3Q2022'!AN154</f>
        <v>#REF!</v>
      </c>
      <c r="AO154" s="33" t="e">
        <f>#REF!-'IS 3Q2022'!AO154</f>
        <v>#REF!</v>
      </c>
      <c r="AP154" s="33" t="e">
        <f>#REF!-'IS 3Q2022'!AP154</f>
        <v>#REF!</v>
      </c>
      <c r="AQ154" s="17" t="e">
        <f>#REF!-'IS 3Q2022'!AQ154</f>
        <v>#REF!</v>
      </c>
      <c r="AR154" s="33" t="e">
        <f>#REF!-'IS 3Q2022'!AR154</f>
        <v>#REF!</v>
      </c>
      <c r="AS154" s="33" t="e">
        <f>#REF!-'IS 3Q2022'!AS154</f>
        <v>#REF!</v>
      </c>
      <c r="AT154" s="33" t="e">
        <f>#REF!-'IS 3Q2022'!AT154</f>
        <v>#REF!</v>
      </c>
      <c r="AU154" s="33" t="e">
        <f>#REF!-'IS 3Q2022'!AU154</f>
        <v>#REF!</v>
      </c>
      <c r="AV154" s="17" t="e">
        <f>#REF!-'IS 3Q2022'!AV154</f>
        <v>#REF!</v>
      </c>
    </row>
    <row r="155" spans="2:48" outlineLevel="1" x14ac:dyDescent="0.3">
      <c r="B155" s="580" t="s">
        <v>207</v>
      </c>
      <c r="C155" s="581"/>
      <c r="D155" s="139" t="e">
        <f>#REF!-'IS 3Q2022'!D155</f>
        <v>#REF!</v>
      </c>
      <c r="E155" s="139" t="e">
        <f>#REF!-'IS 3Q2022'!E155</f>
        <v>#REF!</v>
      </c>
      <c r="F155" s="142" t="e">
        <f>#REF!-'IS 3Q2022'!F155</f>
        <v>#REF!</v>
      </c>
      <c r="G155" s="142" t="e">
        <f>#REF!-'IS 3Q2022'!G155</f>
        <v>#REF!</v>
      </c>
      <c r="H155" s="49" t="e">
        <f>#REF!-'IS 3Q2022'!H155</f>
        <v>#REF!</v>
      </c>
      <c r="I155" s="139" t="e">
        <f>#REF!-'IS 3Q2022'!I155</f>
        <v>#REF!</v>
      </c>
      <c r="J155" s="142" t="e">
        <f>#REF!-'IS 3Q2022'!J155</f>
        <v>#REF!</v>
      </c>
      <c r="K155" s="139" t="e">
        <f>#REF!-'IS 3Q2022'!K155</f>
        <v>#REF!</v>
      </c>
      <c r="L155" s="139" t="e">
        <f>#REF!-'IS 3Q2022'!L155</f>
        <v>#REF!</v>
      </c>
      <c r="M155" s="49" t="e">
        <f>#REF!-'IS 3Q2022'!M155</f>
        <v>#REF!</v>
      </c>
      <c r="N155" s="139" t="e">
        <f>#REF!-'IS 3Q2022'!N155</f>
        <v>#REF!</v>
      </c>
      <c r="O155" s="139" t="e">
        <f>#REF!-'IS 3Q2022'!O155</f>
        <v>#REF!</v>
      </c>
      <c r="P155" s="139" t="e">
        <f>#REF!-'IS 3Q2022'!P155</f>
        <v>#REF!</v>
      </c>
      <c r="Q155" s="139" t="e">
        <f>#REF!-'IS 3Q2022'!Q155</f>
        <v>#REF!</v>
      </c>
      <c r="R155" s="49" t="e">
        <f>#REF!-'IS 3Q2022'!R155</f>
        <v>#REF!</v>
      </c>
      <c r="S155" s="139" t="e">
        <f>#REF!-'IS 3Q2022'!S155</f>
        <v>#REF!</v>
      </c>
      <c r="T155" s="142" t="e">
        <f>#REF!-'IS 3Q2022'!T155</f>
        <v>#REF!</v>
      </c>
      <c r="U155" s="142" t="e">
        <f>#REF!-'IS 3Q2022'!U155</f>
        <v>#REF!</v>
      </c>
      <c r="V155" s="139" t="e">
        <f>#REF!-'IS 3Q2022'!V155</f>
        <v>#REF!</v>
      </c>
      <c r="W155" s="49" t="e">
        <f>#REF!-'IS 3Q2022'!W155</f>
        <v>#REF!</v>
      </c>
      <c r="X155" s="139" t="e">
        <f>#REF!-'IS 3Q2022'!X155</f>
        <v>#REF!</v>
      </c>
      <c r="Y155" s="139" t="e">
        <f>#REF!-'IS 3Q2022'!Y155</f>
        <v>#REF!</v>
      </c>
      <c r="Z155" s="139" t="e">
        <f>#REF!-'IS 3Q2022'!Z155</f>
        <v>#REF!</v>
      </c>
      <c r="AA155" s="139" t="e">
        <f>#REF!-'IS 3Q2022'!AA155</f>
        <v>#REF!</v>
      </c>
      <c r="AB155" s="49" t="e">
        <f>#REF!-'IS 3Q2022'!AB155</f>
        <v>#REF!</v>
      </c>
      <c r="AC155" s="139" t="e">
        <f>#REF!-'IS 3Q2022'!AC155</f>
        <v>#REF!</v>
      </c>
      <c r="AD155" s="139" t="e">
        <f>#REF!-'IS 3Q2022'!AD155</f>
        <v>#REF!</v>
      </c>
      <c r="AE155" s="139" t="e">
        <f>#REF!-'IS 3Q2022'!AE155</f>
        <v>#REF!</v>
      </c>
      <c r="AF155" s="139" t="e">
        <f>#REF!-'IS 3Q2022'!AF155</f>
        <v>#REF!</v>
      </c>
      <c r="AG155" s="49" t="e">
        <f>#REF!-'IS 3Q2022'!AG155</f>
        <v>#REF!</v>
      </c>
      <c r="AH155" s="139" t="e">
        <f>#REF!-'IS 3Q2022'!AH155</f>
        <v>#REF!</v>
      </c>
      <c r="AI155" s="139" t="e">
        <f>#REF!-'IS 3Q2022'!AI155</f>
        <v>#REF!</v>
      </c>
      <c r="AJ155" s="139" t="e">
        <f>#REF!-'IS 3Q2022'!AJ155</f>
        <v>#REF!</v>
      </c>
      <c r="AK155" s="139" t="e">
        <f>#REF!-'IS 3Q2022'!AK155</f>
        <v>#REF!</v>
      </c>
      <c r="AL155" s="49" t="e">
        <f>#REF!-'IS 3Q2022'!AL155</f>
        <v>#REF!</v>
      </c>
      <c r="AM155" s="139" t="e">
        <f>#REF!-'IS 3Q2022'!AM155</f>
        <v>#REF!</v>
      </c>
      <c r="AN155" s="139" t="e">
        <f>#REF!-'IS 3Q2022'!AN155</f>
        <v>#REF!</v>
      </c>
      <c r="AO155" s="139" t="e">
        <f>#REF!-'IS 3Q2022'!AO155</f>
        <v>#REF!</v>
      </c>
      <c r="AP155" s="139" t="e">
        <f>#REF!-'IS 3Q2022'!AP155</f>
        <v>#REF!</v>
      </c>
      <c r="AQ155" s="49" t="e">
        <f>#REF!-'IS 3Q2022'!AQ155</f>
        <v>#REF!</v>
      </c>
      <c r="AR155" s="139" t="e">
        <f>#REF!-'IS 3Q2022'!AR155</f>
        <v>#REF!</v>
      </c>
      <c r="AS155" s="139" t="e">
        <f>#REF!-'IS 3Q2022'!AS155</f>
        <v>#REF!</v>
      </c>
      <c r="AT155" s="139" t="e">
        <f>#REF!-'IS 3Q2022'!AT155</f>
        <v>#REF!</v>
      </c>
      <c r="AU155" s="139" t="e">
        <f>#REF!-'IS 3Q2022'!AU155</f>
        <v>#REF!</v>
      </c>
      <c r="AV155" s="49" t="e">
        <f>#REF!-'IS 3Q2022'!AV155</f>
        <v>#REF!</v>
      </c>
    </row>
    <row r="156" spans="2:48" outlineLevel="1" x14ac:dyDescent="0.3">
      <c r="B156" s="611" t="s">
        <v>131</v>
      </c>
      <c r="C156" s="612"/>
      <c r="D156" s="143" t="e">
        <f>#REF!-'IS 3Q2022'!D156</f>
        <v>#REF!</v>
      </c>
      <c r="E156" s="144" t="e">
        <f>#REF!-'IS 3Q2022'!E156</f>
        <v>#REF!</v>
      </c>
      <c r="F156" s="96" t="e">
        <f>#REF!-'IS 3Q2022'!F156</f>
        <v>#REF!</v>
      </c>
      <c r="G156" s="96" t="e">
        <f>#REF!-'IS 3Q2022'!G156</f>
        <v>#REF!</v>
      </c>
      <c r="H156" s="76" t="e">
        <f>#REF!-'IS 3Q2022'!H156</f>
        <v>#REF!</v>
      </c>
      <c r="I156" s="96" t="e">
        <f>#REF!-'IS 3Q2022'!I156</f>
        <v>#REF!</v>
      </c>
      <c r="J156" s="96" t="e">
        <f>#REF!-'IS 3Q2022'!J156</f>
        <v>#REF!</v>
      </c>
      <c r="K156" s="96" t="e">
        <f>#REF!-'IS 3Q2022'!K156</f>
        <v>#REF!</v>
      </c>
      <c r="L156" s="96" t="e">
        <f>#REF!-'IS 3Q2022'!L156</f>
        <v>#REF!</v>
      </c>
      <c r="M156" s="76" t="e">
        <f>#REF!-'IS 3Q2022'!M156</f>
        <v>#REF!</v>
      </c>
      <c r="N156" s="96" t="e">
        <f>#REF!-'IS 3Q2022'!N156</f>
        <v>#REF!</v>
      </c>
      <c r="O156" s="96" t="e">
        <f>#REF!-'IS 3Q2022'!O156</f>
        <v>#REF!</v>
      </c>
      <c r="P156" s="96" t="e">
        <f>#REF!-'IS 3Q2022'!P156</f>
        <v>#REF!</v>
      </c>
      <c r="Q156" s="96" t="e">
        <f>#REF!-'IS 3Q2022'!Q156</f>
        <v>#REF!</v>
      </c>
      <c r="R156" s="76" t="e">
        <f>#REF!-'IS 3Q2022'!R156</f>
        <v>#REF!</v>
      </c>
      <c r="S156" s="96" t="e">
        <f>#REF!-'IS 3Q2022'!S156</f>
        <v>#REF!</v>
      </c>
      <c r="T156" s="96" t="e">
        <f>#REF!-'IS 3Q2022'!T156</f>
        <v>#REF!</v>
      </c>
      <c r="U156" s="96" t="e">
        <f>#REF!-'IS 3Q2022'!U156</f>
        <v>#REF!</v>
      </c>
      <c r="V156" s="96" t="e">
        <f>#REF!-'IS 3Q2022'!V156</f>
        <v>#REF!</v>
      </c>
      <c r="W156" s="76" t="e">
        <f>#REF!-'IS 3Q2022'!W156</f>
        <v>#REF!</v>
      </c>
      <c r="X156" s="96" t="e">
        <f>#REF!-'IS 3Q2022'!X156</f>
        <v>#REF!</v>
      </c>
      <c r="Y156" s="96" t="e">
        <f>#REF!-'IS 3Q2022'!Y156</f>
        <v>#REF!</v>
      </c>
      <c r="Z156" s="96" t="e">
        <f>#REF!-'IS 3Q2022'!Z156</f>
        <v>#REF!</v>
      </c>
      <c r="AA156" s="96" t="e">
        <f>#REF!-'IS 3Q2022'!AA156</f>
        <v>#REF!</v>
      </c>
      <c r="AB156" s="76" t="e">
        <f>#REF!-'IS 3Q2022'!AB156</f>
        <v>#REF!</v>
      </c>
      <c r="AC156" s="96" t="e">
        <f>#REF!-'IS 3Q2022'!AC156</f>
        <v>#REF!</v>
      </c>
      <c r="AD156" s="96" t="e">
        <f>#REF!-'IS 3Q2022'!AD156</f>
        <v>#REF!</v>
      </c>
      <c r="AE156" s="96" t="e">
        <f>#REF!-'IS 3Q2022'!AE156</f>
        <v>#REF!</v>
      </c>
      <c r="AF156" s="96" t="e">
        <f>#REF!-'IS 3Q2022'!AF156</f>
        <v>#REF!</v>
      </c>
      <c r="AG156" s="76" t="e">
        <f>#REF!-'IS 3Q2022'!AG156</f>
        <v>#REF!</v>
      </c>
      <c r="AH156" s="96" t="e">
        <f>#REF!-'IS 3Q2022'!AH156</f>
        <v>#REF!</v>
      </c>
      <c r="AI156" s="96" t="e">
        <f>#REF!-'IS 3Q2022'!AI156</f>
        <v>#REF!</v>
      </c>
      <c r="AJ156" s="96" t="e">
        <f>#REF!-'IS 3Q2022'!AJ156</f>
        <v>#REF!</v>
      </c>
      <c r="AK156" s="96" t="e">
        <f>#REF!-'IS 3Q2022'!AK156</f>
        <v>#REF!</v>
      </c>
      <c r="AL156" s="76" t="e">
        <f>#REF!-'IS 3Q2022'!AL156</f>
        <v>#REF!</v>
      </c>
      <c r="AM156" s="96" t="e">
        <f>#REF!-'IS 3Q2022'!AM156</f>
        <v>#REF!</v>
      </c>
      <c r="AN156" s="96" t="e">
        <f>#REF!-'IS 3Q2022'!AN156</f>
        <v>#REF!</v>
      </c>
      <c r="AO156" s="96" t="e">
        <f>#REF!-'IS 3Q2022'!AO156</f>
        <v>#REF!</v>
      </c>
      <c r="AP156" s="96" t="e">
        <f>#REF!-'IS 3Q2022'!AP156</f>
        <v>#REF!</v>
      </c>
      <c r="AQ156" s="76" t="e">
        <f>#REF!-'IS 3Q2022'!AQ156</f>
        <v>#REF!</v>
      </c>
      <c r="AR156" s="96" t="e">
        <f>#REF!-'IS 3Q2022'!AR156</f>
        <v>#REF!</v>
      </c>
      <c r="AS156" s="96" t="e">
        <f>#REF!-'IS 3Q2022'!AS156</f>
        <v>#REF!</v>
      </c>
      <c r="AT156" s="96" t="e">
        <f>#REF!-'IS 3Q2022'!AT156</f>
        <v>#REF!</v>
      </c>
      <c r="AU156" s="96" t="e">
        <f>#REF!-'IS 3Q2022'!AU156</f>
        <v>#REF!</v>
      </c>
      <c r="AV156" s="76" t="e">
        <f>#REF!-'IS 3Q2022'!AV156</f>
        <v>#REF!</v>
      </c>
    </row>
    <row r="157" spans="2:48" outlineLevel="1" x14ac:dyDescent="0.3">
      <c r="B157" s="613" t="s">
        <v>132</v>
      </c>
      <c r="C157" s="614"/>
      <c r="D157" s="145" t="e">
        <f>#REF!-'IS 3Q2022'!D157</f>
        <v>#REF!</v>
      </c>
      <c r="E157" s="146" t="e">
        <f>#REF!-'IS 3Q2022'!E157</f>
        <v>#REF!</v>
      </c>
      <c r="F157" s="139" t="e">
        <f>#REF!-'IS 3Q2022'!F157</f>
        <v>#REF!</v>
      </c>
      <c r="G157" s="139" t="e">
        <f>#REF!-'IS 3Q2022'!G157</f>
        <v>#REF!</v>
      </c>
      <c r="H157" s="49" t="e">
        <f>#REF!-'IS 3Q2022'!H157</f>
        <v>#REF!</v>
      </c>
      <c r="I157" s="139" t="e">
        <f>#REF!-'IS 3Q2022'!I157</f>
        <v>#REF!</v>
      </c>
      <c r="J157" s="139" t="e">
        <f>#REF!-'IS 3Q2022'!J157</f>
        <v>#REF!</v>
      </c>
      <c r="K157" s="139" t="e">
        <f>#REF!-'IS 3Q2022'!K157</f>
        <v>#REF!</v>
      </c>
      <c r="L157" s="139" t="e">
        <f>#REF!-'IS 3Q2022'!L157</f>
        <v>#REF!</v>
      </c>
      <c r="M157" s="49" t="e">
        <f>#REF!-'IS 3Q2022'!M157</f>
        <v>#REF!</v>
      </c>
      <c r="N157" s="139" t="e">
        <f>#REF!-'IS 3Q2022'!N157</f>
        <v>#REF!</v>
      </c>
      <c r="O157" s="139" t="e">
        <f>#REF!-'IS 3Q2022'!O157</f>
        <v>#REF!</v>
      </c>
      <c r="P157" s="139" t="e">
        <f>#REF!-'IS 3Q2022'!P157</f>
        <v>#REF!</v>
      </c>
      <c r="Q157" s="139" t="e">
        <f>#REF!-'IS 3Q2022'!Q157</f>
        <v>#REF!</v>
      </c>
      <c r="R157" s="49" t="e">
        <f>#REF!-'IS 3Q2022'!R157</f>
        <v>#REF!</v>
      </c>
      <c r="S157" s="139" t="e">
        <f>#REF!-'IS 3Q2022'!S157</f>
        <v>#REF!</v>
      </c>
      <c r="T157" s="139" t="e">
        <f>#REF!-'IS 3Q2022'!T157</f>
        <v>#REF!</v>
      </c>
      <c r="U157" s="142" t="e">
        <f>#REF!-'IS 3Q2022'!U157</f>
        <v>#REF!</v>
      </c>
      <c r="V157" s="139" t="e">
        <f>#REF!-'IS 3Q2022'!V157</f>
        <v>#REF!</v>
      </c>
      <c r="W157" s="137" t="e">
        <f>#REF!-'IS 3Q2022'!W157</f>
        <v>#REF!</v>
      </c>
      <c r="X157" s="139" t="e">
        <f>#REF!-'IS 3Q2022'!X157</f>
        <v>#REF!</v>
      </c>
      <c r="Y157" s="139" t="e">
        <f>#REF!-'IS 3Q2022'!Y157</f>
        <v>#REF!</v>
      </c>
      <c r="Z157" s="139" t="e">
        <f>#REF!-'IS 3Q2022'!Z157</f>
        <v>#REF!</v>
      </c>
      <c r="AA157" s="139" t="e">
        <f>#REF!-'IS 3Q2022'!AA157</f>
        <v>#REF!</v>
      </c>
      <c r="AB157" s="49" t="e">
        <f>#REF!-'IS 3Q2022'!AB157</f>
        <v>#REF!</v>
      </c>
      <c r="AC157" s="139" t="e">
        <f>#REF!-'IS 3Q2022'!AC157</f>
        <v>#REF!</v>
      </c>
      <c r="AD157" s="139" t="e">
        <f>#REF!-'IS 3Q2022'!AD157</f>
        <v>#REF!</v>
      </c>
      <c r="AE157" s="139" t="e">
        <f>#REF!-'IS 3Q2022'!AE157</f>
        <v>#REF!</v>
      </c>
      <c r="AF157" s="139" t="e">
        <f>#REF!-'IS 3Q2022'!AF157</f>
        <v>#REF!</v>
      </c>
      <c r="AG157" s="49" t="e">
        <f>#REF!-'IS 3Q2022'!AG157</f>
        <v>#REF!</v>
      </c>
      <c r="AH157" s="139" t="e">
        <f>#REF!-'IS 3Q2022'!AH157</f>
        <v>#REF!</v>
      </c>
      <c r="AI157" s="139" t="e">
        <f>#REF!-'IS 3Q2022'!AI157</f>
        <v>#REF!</v>
      </c>
      <c r="AJ157" s="139" t="e">
        <f>#REF!-'IS 3Q2022'!AJ157</f>
        <v>#REF!</v>
      </c>
      <c r="AK157" s="139" t="e">
        <f>#REF!-'IS 3Q2022'!AK157</f>
        <v>#REF!</v>
      </c>
      <c r="AL157" s="49" t="e">
        <f>#REF!-'IS 3Q2022'!AL157</f>
        <v>#REF!</v>
      </c>
      <c r="AM157" s="139" t="e">
        <f>#REF!-'IS 3Q2022'!AM157</f>
        <v>#REF!</v>
      </c>
      <c r="AN157" s="139" t="e">
        <f>#REF!-'IS 3Q2022'!AN157</f>
        <v>#REF!</v>
      </c>
      <c r="AO157" s="139" t="e">
        <f>#REF!-'IS 3Q2022'!AO157</f>
        <v>#REF!</v>
      </c>
      <c r="AP157" s="139" t="e">
        <f>#REF!-'IS 3Q2022'!AP157</f>
        <v>#REF!</v>
      </c>
      <c r="AQ157" s="49" t="e">
        <f>#REF!-'IS 3Q2022'!AQ157</f>
        <v>#REF!</v>
      </c>
      <c r="AR157" s="139" t="e">
        <f>#REF!-'IS 3Q2022'!AR157</f>
        <v>#REF!</v>
      </c>
      <c r="AS157" s="139" t="e">
        <f>#REF!-'IS 3Q2022'!AS157</f>
        <v>#REF!</v>
      </c>
      <c r="AT157" s="139" t="e">
        <f>#REF!-'IS 3Q2022'!AT157</f>
        <v>#REF!</v>
      </c>
      <c r="AU157" s="139" t="e">
        <f>#REF!-'IS 3Q2022'!AU157</f>
        <v>#REF!</v>
      </c>
      <c r="AV157" s="49" t="e">
        <f>#REF!-'IS 3Q2022'!AV157</f>
        <v>#REF!</v>
      </c>
    </row>
    <row r="158" spans="2:48" outlineLevel="1" x14ac:dyDescent="0.3">
      <c r="B158" s="615" t="s">
        <v>133</v>
      </c>
      <c r="C158" s="616"/>
      <c r="D158" s="147" t="e">
        <f>#REF!-'IS 3Q2022'!D158</f>
        <v>#REF!</v>
      </c>
      <c r="E158" s="140" t="e">
        <f>#REF!-'IS 3Q2022'!E158</f>
        <v>#REF!</v>
      </c>
      <c r="F158" s="140" t="e">
        <f>#REF!-'IS 3Q2022'!F158</f>
        <v>#REF!</v>
      </c>
      <c r="G158" s="140" t="e">
        <f>#REF!-'IS 3Q2022'!G158</f>
        <v>#REF!</v>
      </c>
      <c r="H158" s="141" t="e">
        <f>#REF!-'IS 3Q2022'!H158</f>
        <v>#REF!</v>
      </c>
      <c r="I158" s="140" t="e">
        <f>#REF!-'IS 3Q2022'!I158</f>
        <v>#REF!</v>
      </c>
      <c r="J158" s="140" t="e">
        <f>#REF!-'IS 3Q2022'!J158</f>
        <v>#REF!</v>
      </c>
      <c r="K158" s="140" t="e">
        <f>#REF!-'IS 3Q2022'!K158</f>
        <v>#REF!</v>
      </c>
      <c r="L158" s="140" t="e">
        <f>#REF!-'IS 3Q2022'!L158</f>
        <v>#REF!</v>
      </c>
      <c r="M158" s="141" t="e">
        <f>#REF!-'IS 3Q2022'!M158</f>
        <v>#REF!</v>
      </c>
      <c r="N158" s="140" t="e">
        <f>#REF!-'IS 3Q2022'!N158</f>
        <v>#REF!</v>
      </c>
      <c r="O158" s="140" t="e">
        <f>#REF!-'IS 3Q2022'!O158</f>
        <v>#REF!</v>
      </c>
      <c r="P158" s="140" t="e">
        <f>#REF!-'IS 3Q2022'!P158</f>
        <v>#REF!</v>
      </c>
      <c r="Q158" s="140" t="e">
        <f>#REF!-'IS 3Q2022'!Q158</f>
        <v>#REF!</v>
      </c>
      <c r="R158" s="141" t="e">
        <f>#REF!-'IS 3Q2022'!R158</f>
        <v>#REF!</v>
      </c>
      <c r="S158" s="140" t="e">
        <f>#REF!-'IS 3Q2022'!S158</f>
        <v>#REF!</v>
      </c>
      <c r="T158" s="140" t="e">
        <f>#REF!-'IS 3Q2022'!T158</f>
        <v>#REF!</v>
      </c>
      <c r="U158" s="140" t="e">
        <f>#REF!-'IS 3Q2022'!U158</f>
        <v>#REF!</v>
      </c>
      <c r="V158" s="140" t="e">
        <f>#REF!-'IS 3Q2022'!V158</f>
        <v>#REF!</v>
      </c>
      <c r="W158" s="199" t="e">
        <f>#REF!-'IS 3Q2022'!W158</f>
        <v>#REF!</v>
      </c>
      <c r="X158" s="140" t="e">
        <f>#REF!-'IS 3Q2022'!X158</f>
        <v>#REF!</v>
      </c>
      <c r="Y158" s="140" t="e">
        <f>#REF!-'IS 3Q2022'!Y158</f>
        <v>#REF!</v>
      </c>
      <c r="Z158" s="140" t="e">
        <f>#REF!-'IS 3Q2022'!Z158</f>
        <v>#REF!</v>
      </c>
      <c r="AA158" s="140" t="e">
        <f>#REF!-'IS 3Q2022'!AA158</f>
        <v>#REF!</v>
      </c>
      <c r="AB158" s="141" t="e">
        <f>#REF!-'IS 3Q2022'!AB158</f>
        <v>#REF!</v>
      </c>
      <c r="AC158" s="140" t="e">
        <f>#REF!-'IS 3Q2022'!AC158</f>
        <v>#REF!</v>
      </c>
      <c r="AD158" s="140" t="e">
        <f>#REF!-'IS 3Q2022'!AD158</f>
        <v>#REF!</v>
      </c>
      <c r="AE158" s="140" t="e">
        <f>#REF!-'IS 3Q2022'!AE158</f>
        <v>#REF!</v>
      </c>
      <c r="AF158" s="140" t="e">
        <f>#REF!-'IS 3Q2022'!AF158</f>
        <v>#REF!</v>
      </c>
      <c r="AG158" s="141" t="e">
        <f>#REF!-'IS 3Q2022'!AG158</f>
        <v>#REF!</v>
      </c>
      <c r="AH158" s="140" t="e">
        <f>#REF!-'IS 3Q2022'!AH158</f>
        <v>#REF!</v>
      </c>
      <c r="AI158" s="140" t="e">
        <f>#REF!-'IS 3Q2022'!AI158</f>
        <v>#REF!</v>
      </c>
      <c r="AJ158" s="140" t="e">
        <f>#REF!-'IS 3Q2022'!AJ158</f>
        <v>#REF!</v>
      </c>
      <c r="AK158" s="140" t="e">
        <f>#REF!-'IS 3Q2022'!AK158</f>
        <v>#REF!</v>
      </c>
      <c r="AL158" s="141" t="e">
        <f>#REF!-'IS 3Q2022'!AL158</f>
        <v>#REF!</v>
      </c>
      <c r="AM158" s="140" t="e">
        <f>#REF!-'IS 3Q2022'!AM158</f>
        <v>#REF!</v>
      </c>
      <c r="AN158" s="140" t="e">
        <f>#REF!-'IS 3Q2022'!AN158</f>
        <v>#REF!</v>
      </c>
      <c r="AO158" s="140" t="e">
        <f>#REF!-'IS 3Q2022'!AO158</f>
        <v>#REF!</v>
      </c>
      <c r="AP158" s="140" t="e">
        <f>#REF!-'IS 3Q2022'!AP158</f>
        <v>#REF!</v>
      </c>
      <c r="AQ158" s="141" t="e">
        <f>#REF!-'IS 3Q2022'!AQ158</f>
        <v>#REF!</v>
      </c>
      <c r="AR158" s="140" t="e">
        <f>#REF!-'IS 3Q2022'!AR158</f>
        <v>#REF!</v>
      </c>
      <c r="AS158" s="140" t="e">
        <f>#REF!-'IS 3Q2022'!AS158</f>
        <v>#REF!</v>
      </c>
      <c r="AT158" s="140" t="e">
        <f>#REF!-'IS 3Q2022'!AT158</f>
        <v>#REF!</v>
      </c>
      <c r="AU158" s="140" t="e">
        <f>#REF!-'IS 3Q2022'!AU158</f>
        <v>#REF!</v>
      </c>
      <c r="AV158" s="141" t="e">
        <f>#REF!-'IS 3Q2022'!AV158</f>
        <v>#REF!</v>
      </c>
    </row>
    <row r="159" spans="2:48" outlineLevel="1" x14ac:dyDescent="0.3">
      <c r="B159" s="200" t="s">
        <v>134</v>
      </c>
      <c r="C159" s="201"/>
      <c r="D159" s="139" t="e">
        <f>#REF!-'IS 3Q2022'!D159</f>
        <v>#REF!</v>
      </c>
      <c r="E159" s="36" t="e">
        <f>#REF!-'IS 3Q2022'!E159</f>
        <v>#REF!</v>
      </c>
      <c r="F159" s="36" t="e">
        <f>#REF!-'IS 3Q2022'!F159</f>
        <v>#REF!</v>
      </c>
      <c r="G159" s="139" t="e">
        <f>#REF!-'IS 3Q2022'!G159</f>
        <v>#REF!</v>
      </c>
      <c r="H159" s="49" t="e">
        <f>#REF!-'IS 3Q2022'!H159</f>
        <v>#REF!</v>
      </c>
      <c r="I159" s="139" t="e">
        <f>#REF!-'IS 3Q2022'!I159</f>
        <v>#REF!</v>
      </c>
      <c r="J159" s="139" t="e">
        <f>#REF!-'IS 3Q2022'!J159</f>
        <v>#REF!</v>
      </c>
      <c r="K159" s="139" t="e">
        <f>#REF!-'IS 3Q2022'!K159</f>
        <v>#REF!</v>
      </c>
      <c r="L159" s="139" t="e">
        <f>#REF!-'IS 3Q2022'!L159</f>
        <v>#REF!</v>
      </c>
      <c r="M159" s="49" t="e">
        <f>#REF!-'IS 3Q2022'!M159</f>
        <v>#REF!</v>
      </c>
      <c r="N159" s="139" t="e">
        <f>#REF!-'IS 3Q2022'!N159</f>
        <v>#REF!</v>
      </c>
      <c r="O159" s="139" t="e">
        <f>#REF!-'IS 3Q2022'!O159</f>
        <v>#REF!</v>
      </c>
      <c r="P159" s="139" t="e">
        <f>#REF!-'IS 3Q2022'!P159</f>
        <v>#REF!</v>
      </c>
      <c r="Q159" s="139" t="e">
        <f>#REF!-'IS 3Q2022'!Q159</f>
        <v>#REF!</v>
      </c>
      <c r="R159" s="49" t="e">
        <f>#REF!-'IS 3Q2022'!R159</f>
        <v>#REF!</v>
      </c>
      <c r="S159" s="139" t="e">
        <f>#REF!-'IS 3Q2022'!S159</f>
        <v>#REF!</v>
      </c>
      <c r="T159" s="139" t="e">
        <f>#REF!-'IS 3Q2022'!T159</f>
        <v>#REF!</v>
      </c>
      <c r="U159" s="139" t="e">
        <f>#REF!-'IS 3Q2022'!U159</f>
        <v>#REF!</v>
      </c>
      <c r="V159" s="139" t="e">
        <f>#REF!-'IS 3Q2022'!V159</f>
        <v>#REF!</v>
      </c>
      <c r="W159" s="49" t="e">
        <f>#REF!-'IS 3Q2022'!W159</f>
        <v>#REF!</v>
      </c>
      <c r="X159" s="139" t="e">
        <f>#REF!-'IS 3Q2022'!X159</f>
        <v>#REF!</v>
      </c>
      <c r="Y159" s="139" t="e">
        <f>#REF!-'IS 3Q2022'!Y159</f>
        <v>#REF!</v>
      </c>
      <c r="Z159" s="139" t="e">
        <f>#REF!-'IS 3Q2022'!Z159</f>
        <v>#REF!</v>
      </c>
      <c r="AA159" s="139" t="e">
        <f>#REF!-'IS 3Q2022'!AA159</f>
        <v>#REF!</v>
      </c>
      <c r="AB159" s="49" t="e">
        <f>#REF!-'IS 3Q2022'!AB159</f>
        <v>#REF!</v>
      </c>
      <c r="AC159" s="139" t="e">
        <f>#REF!-'IS 3Q2022'!AC159</f>
        <v>#REF!</v>
      </c>
      <c r="AD159" s="139" t="e">
        <f>#REF!-'IS 3Q2022'!AD159</f>
        <v>#REF!</v>
      </c>
      <c r="AE159" s="139" t="e">
        <f>#REF!-'IS 3Q2022'!AE159</f>
        <v>#REF!</v>
      </c>
      <c r="AF159" s="139" t="e">
        <f>#REF!-'IS 3Q2022'!AF159</f>
        <v>#REF!</v>
      </c>
      <c r="AG159" s="49" t="e">
        <f>#REF!-'IS 3Q2022'!AG159</f>
        <v>#REF!</v>
      </c>
      <c r="AH159" s="139" t="e">
        <f>#REF!-'IS 3Q2022'!AH159</f>
        <v>#REF!</v>
      </c>
      <c r="AI159" s="139" t="e">
        <f>#REF!-'IS 3Q2022'!AI159</f>
        <v>#REF!</v>
      </c>
      <c r="AJ159" s="139" t="e">
        <f>#REF!-'IS 3Q2022'!AJ159</f>
        <v>#REF!</v>
      </c>
      <c r="AK159" s="139" t="e">
        <f>#REF!-'IS 3Q2022'!AK159</f>
        <v>#REF!</v>
      </c>
      <c r="AL159" s="49" t="e">
        <f>#REF!-'IS 3Q2022'!AL159</f>
        <v>#REF!</v>
      </c>
      <c r="AM159" s="139" t="e">
        <f>#REF!-'IS 3Q2022'!AM159</f>
        <v>#REF!</v>
      </c>
      <c r="AN159" s="139" t="e">
        <f>#REF!-'IS 3Q2022'!AN159</f>
        <v>#REF!</v>
      </c>
      <c r="AO159" s="139" t="e">
        <f>#REF!-'IS 3Q2022'!AO159</f>
        <v>#REF!</v>
      </c>
      <c r="AP159" s="139" t="e">
        <f>#REF!-'IS 3Q2022'!AP159</f>
        <v>#REF!</v>
      </c>
      <c r="AQ159" s="49" t="e">
        <f>#REF!-'IS 3Q2022'!AQ159</f>
        <v>#REF!</v>
      </c>
      <c r="AR159" s="139" t="e">
        <f>#REF!-'IS 3Q2022'!AR159</f>
        <v>#REF!</v>
      </c>
      <c r="AS159" s="139" t="e">
        <f>#REF!-'IS 3Q2022'!AS159</f>
        <v>#REF!</v>
      </c>
      <c r="AT159" s="139" t="e">
        <f>#REF!-'IS 3Q2022'!AT159</f>
        <v>#REF!</v>
      </c>
      <c r="AU159" s="139" t="e">
        <f>#REF!-'IS 3Q2022'!AU159</f>
        <v>#REF!</v>
      </c>
      <c r="AV159" s="49" t="e">
        <f>#REF!-'IS 3Q2022'!AV159</f>
        <v>#REF!</v>
      </c>
    </row>
    <row r="160" spans="2:48" outlineLevel="1" x14ac:dyDescent="0.3">
      <c r="B160" s="200" t="s">
        <v>135</v>
      </c>
      <c r="C160" s="201"/>
      <c r="D160" s="139" t="e">
        <f>#REF!-'IS 3Q2022'!D160</f>
        <v>#REF!</v>
      </c>
      <c r="E160" s="16" t="e">
        <f>#REF!-'IS 3Q2022'!E160</f>
        <v>#REF!</v>
      </c>
      <c r="F160" s="16" t="e">
        <f>#REF!-'IS 3Q2022'!F160</f>
        <v>#REF!</v>
      </c>
      <c r="G160" s="139" t="e">
        <f>#REF!-'IS 3Q2022'!G160</f>
        <v>#REF!</v>
      </c>
      <c r="H160" s="49" t="e">
        <f>#REF!-'IS 3Q2022'!H160</f>
        <v>#REF!</v>
      </c>
      <c r="I160" s="139" t="e">
        <f>#REF!-'IS 3Q2022'!I160</f>
        <v>#REF!</v>
      </c>
      <c r="J160" s="139" t="e">
        <f>#REF!-'IS 3Q2022'!J160</f>
        <v>#REF!</v>
      </c>
      <c r="K160" s="139" t="e">
        <f>#REF!-'IS 3Q2022'!K160</f>
        <v>#REF!</v>
      </c>
      <c r="L160" s="139" t="e">
        <f>#REF!-'IS 3Q2022'!L160</f>
        <v>#REF!</v>
      </c>
      <c r="M160" s="49" t="e">
        <f>#REF!-'IS 3Q2022'!M160</f>
        <v>#REF!</v>
      </c>
      <c r="N160" s="179" t="e">
        <f>#REF!-'IS 3Q2022'!N160</f>
        <v>#REF!</v>
      </c>
      <c r="O160" s="139" t="e">
        <f>#REF!-'IS 3Q2022'!O160</f>
        <v>#REF!</v>
      </c>
      <c r="P160" s="139" t="e">
        <f>#REF!-'IS 3Q2022'!P160</f>
        <v>#REF!</v>
      </c>
      <c r="Q160" s="139" t="e">
        <f>#REF!-'IS 3Q2022'!Q160</f>
        <v>#REF!</v>
      </c>
      <c r="R160" s="49" t="e">
        <f>#REF!-'IS 3Q2022'!R160</f>
        <v>#REF!</v>
      </c>
      <c r="S160" s="139" t="e">
        <f>#REF!-'IS 3Q2022'!S160</f>
        <v>#REF!</v>
      </c>
      <c r="T160" s="139" t="e">
        <f>#REF!-'IS 3Q2022'!T160</f>
        <v>#REF!</v>
      </c>
      <c r="U160" s="139" t="e">
        <f>#REF!-'IS 3Q2022'!U160</f>
        <v>#REF!</v>
      </c>
      <c r="V160" s="139" t="e">
        <f>#REF!-'IS 3Q2022'!V160</f>
        <v>#REF!</v>
      </c>
      <c r="W160" s="49" t="e">
        <f>#REF!-'IS 3Q2022'!W160</f>
        <v>#REF!</v>
      </c>
      <c r="X160" s="139" t="e">
        <f>#REF!-'IS 3Q2022'!X160</f>
        <v>#REF!</v>
      </c>
      <c r="Y160" s="139" t="e">
        <f>#REF!-'IS 3Q2022'!Y160</f>
        <v>#REF!</v>
      </c>
      <c r="Z160" s="139" t="e">
        <f>#REF!-'IS 3Q2022'!Z160</f>
        <v>#REF!</v>
      </c>
      <c r="AA160" s="139" t="e">
        <f>#REF!-'IS 3Q2022'!AA160</f>
        <v>#REF!</v>
      </c>
      <c r="AB160" s="49" t="e">
        <f>#REF!-'IS 3Q2022'!AB160</f>
        <v>#REF!</v>
      </c>
      <c r="AC160" s="139" t="e">
        <f>#REF!-'IS 3Q2022'!AC160</f>
        <v>#REF!</v>
      </c>
      <c r="AD160" s="139" t="e">
        <f>#REF!-'IS 3Q2022'!AD160</f>
        <v>#REF!</v>
      </c>
      <c r="AE160" s="139" t="e">
        <f>#REF!-'IS 3Q2022'!AE160</f>
        <v>#REF!</v>
      </c>
      <c r="AF160" s="139" t="e">
        <f>#REF!-'IS 3Q2022'!AF160</f>
        <v>#REF!</v>
      </c>
      <c r="AG160" s="49" t="e">
        <f>#REF!-'IS 3Q2022'!AG160</f>
        <v>#REF!</v>
      </c>
      <c r="AH160" s="139" t="e">
        <f>#REF!-'IS 3Q2022'!AH160</f>
        <v>#REF!</v>
      </c>
      <c r="AI160" s="139" t="e">
        <f>#REF!-'IS 3Q2022'!AI160</f>
        <v>#REF!</v>
      </c>
      <c r="AJ160" s="139" t="e">
        <f>#REF!-'IS 3Q2022'!AJ160</f>
        <v>#REF!</v>
      </c>
      <c r="AK160" s="139" t="e">
        <f>#REF!-'IS 3Q2022'!AK160</f>
        <v>#REF!</v>
      </c>
      <c r="AL160" s="49" t="e">
        <f>#REF!-'IS 3Q2022'!AL160</f>
        <v>#REF!</v>
      </c>
      <c r="AM160" s="139" t="e">
        <f>#REF!-'IS 3Q2022'!AM160</f>
        <v>#REF!</v>
      </c>
      <c r="AN160" s="139" t="e">
        <f>#REF!-'IS 3Q2022'!AN160</f>
        <v>#REF!</v>
      </c>
      <c r="AO160" s="139" t="e">
        <f>#REF!-'IS 3Q2022'!AO160</f>
        <v>#REF!</v>
      </c>
      <c r="AP160" s="139" t="e">
        <f>#REF!-'IS 3Q2022'!AP160</f>
        <v>#REF!</v>
      </c>
      <c r="AQ160" s="49" t="e">
        <f>#REF!-'IS 3Q2022'!AQ160</f>
        <v>#REF!</v>
      </c>
      <c r="AR160" s="139" t="e">
        <f>#REF!-'IS 3Q2022'!AR160</f>
        <v>#REF!</v>
      </c>
      <c r="AS160" s="139" t="e">
        <f>#REF!-'IS 3Q2022'!AS160</f>
        <v>#REF!</v>
      </c>
      <c r="AT160" s="139" t="e">
        <f>#REF!-'IS 3Q2022'!AT160</f>
        <v>#REF!</v>
      </c>
      <c r="AU160" s="139" t="e">
        <f>#REF!-'IS 3Q2022'!AU160</f>
        <v>#REF!</v>
      </c>
      <c r="AV160" s="49" t="e">
        <f>#REF!-'IS 3Q2022'!AV160</f>
        <v>#REF!</v>
      </c>
    </row>
    <row r="161" spans="2:48" outlineLevel="1" x14ac:dyDescent="0.3">
      <c r="B161" s="200" t="s">
        <v>136</v>
      </c>
      <c r="C161" s="201"/>
      <c r="D161" s="139" t="e">
        <f>#REF!-'IS 3Q2022'!D161</f>
        <v>#REF!</v>
      </c>
      <c r="E161" s="139" t="e">
        <f>#REF!-'IS 3Q2022'!E161</f>
        <v>#REF!</v>
      </c>
      <c r="F161" s="139" t="e">
        <f>#REF!-'IS 3Q2022'!F161</f>
        <v>#REF!</v>
      </c>
      <c r="G161" s="139" t="e">
        <f>#REF!-'IS 3Q2022'!G161</f>
        <v>#REF!</v>
      </c>
      <c r="H161" s="49" t="e">
        <f>#REF!-'IS 3Q2022'!H161</f>
        <v>#REF!</v>
      </c>
      <c r="I161" s="139" t="e">
        <f>#REF!-'IS 3Q2022'!I161</f>
        <v>#REF!</v>
      </c>
      <c r="J161" s="139" t="e">
        <f>#REF!-'IS 3Q2022'!J161</f>
        <v>#REF!</v>
      </c>
      <c r="K161" s="139" t="e">
        <f>#REF!-'IS 3Q2022'!K161</f>
        <v>#REF!</v>
      </c>
      <c r="L161" s="139" t="e">
        <f>#REF!-'IS 3Q2022'!L161</f>
        <v>#REF!</v>
      </c>
      <c r="M161" s="49" t="e">
        <f>#REF!-'IS 3Q2022'!M161</f>
        <v>#REF!</v>
      </c>
      <c r="N161" s="139" t="e">
        <f>#REF!-'IS 3Q2022'!N161</f>
        <v>#REF!</v>
      </c>
      <c r="O161" s="139" t="e">
        <f>#REF!-'IS 3Q2022'!O161</f>
        <v>#REF!</v>
      </c>
      <c r="P161" s="139" t="e">
        <f>#REF!-'IS 3Q2022'!P161</f>
        <v>#REF!</v>
      </c>
      <c r="Q161" s="139" t="e">
        <f>#REF!-'IS 3Q2022'!Q161</f>
        <v>#REF!</v>
      </c>
      <c r="R161" s="49" t="e">
        <f>#REF!-'IS 3Q2022'!R161</f>
        <v>#REF!</v>
      </c>
      <c r="S161" s="139" t="e">
        <f>#REF!-'IS 3Q2022'!S161</f>
        <v>#REF!</v>
      </c>
      <c r="T161" s="139" t="e">
        <f>#REF!-'IS 3Q2022'!T161</f>
        <v>#REF!</v>
      </c>
      <c r="U161" s="139" t="e">
        <f>#REF!-'IS 3Q2022'!U161</f>
        <v>#REF!</v>
      </c>
      <c r="V161" s="139" t="e">
        <f>#REF!-'IS 3Q2022'!V161</f>
        <v>#REF!</v>
      </c>
      <c r="W161" s="49" t="e">
        <f>#REF!-'IS 3Q2022'!W161</f>
        <v>#REF!</v>
      </c>
      <c r="X161" s="139" t="e">
        <f>#REF!-'IS 3Q2022'!X161</f>
        <v>#REF!</v>
      </c>
      <c r="Y161" s="139" t="e">
        <f>#REF!-'IS 3Q2022'!Y161</f>
        <v>#REF!</v>
      </c>
      <c r="Z161" s="139" t="e">
        <f>#REF!-'IS 3Q2022'!Z161</f>
        <v>#REF!</v>
      </c>
      <c r="AA161" s="139" t="e">
        <f>#REF!-'IS 3Q2022'!AA161</f>
        <v>#REF!</v>
      </c>
      <c r="AB161" s="49" t="e">
        <f>#REF!-'IS 3Q2022'!AB161</f>
        <v>#REF!</v>
      </c>
      <c r="AC161" s="139" t="e">
        <f>#REF!-'IS 3Q2022'!AC161</f>
        <v>#REF!</v>
      </c>
      <c r="AD161" s="139" t="e">
        <f>#REF!-'IS 3Q2022'!AD161</f>
        <v>#REF!</v>
      </c>
      <c r="AE161" s="139" t="e">
        <f>#REF!-'IS 3Q2022'!AE161</f>
        <v>#REF!</v>
      </c>
      <c r="AF161" s="139" t="e">
        <f>#REF!-'IS 3Q2022'!AF161</f>
        <v>#REF!</v>
      </c>
      <c r="AG161" s="49" t="e">
        <f>#REF!-'IS 3Q2022'!AG161</f>
        <v>#REF!</v>
      </c>
      <c r="AH161" s="139" t="e">
        <f>#REF!-'IS 3Q2022'!AH161</f>
        <v>#REF!</v>
      </c>
      <c r="AI161" s="139" t="e">
        <f>#REF!-'IS 3Q2022'!AI161</f>
        <v>#REF!</v>
      </c>
      <c r="AJ161" s="139" t="e">
        <f>#REF!-'IS 3Q2022'!AJ161</f>
        <v>#REF!</v>
      </c>
      <c r="AK161" s="139" t="e">
        <f>#REF!-'IS 3Q2022'!AK161</f>
        <v>#REF!</v>
      </c>
      <c r="AL161" s="49" t="e">
        <f>#REF!-'IS 3Q2022'!AL161</f>
        <v>#REF!</v>
      </c>
      <c r="AM161" s="139" t="e">
        <f>#REF!-'IS 3Q2022'!AM161</f>
        <v>#REF!</v>
      </c>
      <c r="AN161" s="139" t="e">
        <f>#REF!-'IS 3Q2022'!AN161</f>
        <v>#REF!</v>
      </c>
      <c r="AO161" s="139" t="e">
        <f>#REF!-'IS 3Q2022'!AO161</f>
        <v>#REF!</v>
      </c>
      <c r="AP161" s="139" t="e">
        <f>#REF!-'IS 3Q2022'!AP161</f>
        <v>#REF!</v>
      </c>
      <c r="AQ161" s="49" t="e">
        <f>#REF!-'IS 3Q2022'!AQ161</f>
        <v>#REF!</v>
      </c>
      <c r="AR161" s="139" t="e">
        <f>#REF!-'IS 3Q2022'!AR161</f>
        <v>#REF!</v>
      </c>
      <c r="AS161" s="139" t="e">
        <f>#REF!-'IS 3Q2022'!AS161</f>
        <v>#REF!</v>
      </c>
      <c r="AT161" s="139" t="e">
        <f>#REF!-'IS 3Q2022'!AT161</f>
        <v>#REF!</v>
      </c>
      <c r="AU161" s="139" t="e">
        <f>#REF!-'IS 3Q2022'!AU161</f>
        <v>#REF!</v>
      </c>
      <c r="AV161" s="49" t="e">
        <f>#REF!-'IS 3Q2022'!AV161</f>
        <v>#REF!</v>
      </c>
    </row>
    <row r="162" spans="2:48" ht="17.399999999999999" x14ac:dyDescent="0.45">
      <c r="B162" s="583" t="s">
        <v>12</v>
      </c>
      <c r="C162" s="584"/>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2" t="s">
        <v>25</v>
      </c>
      <c r="W162" s="42" t="s">
        <v>26</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580" t="s">
        <v>65</v>
      </c>
      <c r="C163" s="581"/>
      <c r="D163" s="101" t="e">
        <f>#REF!-'IS 3Q2022'!D163</f>
        <v>#REF!</v>
      </c>
      <c r="E163" s="102" t="e">
        <f>#REF!-'IS 3Q2022'!E163</f>
        <v>#REF!</v>
      </c>
      <c r="F163" s="102" t="e">
        <f>#REF!-'IS 3Q2022'!F163</f>
        <v>#REF!</v>
      </c>
      <c r="G163" s="102" t="e">
        <f>#REF!-'IS 3Q2022'!G163</f>
        <v>#REF!</v>
      </c>
      <c r="H163" s="159" t="e">
        <f>#REF!-'IS 3Q2022'!H163</f>
        <v>#REF!</v>
      </c>
      <c r="I163" s="102" t="e">
        <f>#REF!-'IS 3Q2022'!I163</f>
        <v>#REF!</v>
      </c>
      <c r="J163" s="102" t="e">
        <f>#REF!-'IS 3Q2022'!J163</f>
        <v>#REF!</v>
      </c>
      <c r="K163" s="105" t="e">
        <f>#REF!-'IS 3Q2022'!K163</f>
        <v>#REF!</v>
      </c>
      <c r="L163" s="101" t="e">
        <f>#REF!-'IS 3Q2022'!L163</f>
        <v>#REF!</v>
      </c>
      <c r="M163" s="169" t="e">
        <f>#REF!-'IS 3Q2022'!M163</f>
        <v>#REF!</v>
      </c>
      <c r="N163" s="101" t="e">
        <f>#REF!-'IS 3Q2022'!N163</f>
        <v>#REF!</v>
      </c>
      <c r="O163" s="101" t="e">
        <f>#REF!-'IS 3Q2022'!O163</f>
        <v>#REF!</v>
      </c>
      <c r="P163" s="101" t="e">
        <f>#REF!-'IS 3Q2022'!P163</f>
        <v>#REF!</v>
      </c>
      <c r="Q163" s="101" t="e">
        <f>#REF!-'IS 3Q2022'!Q163</f>
        <v>#REF!</v>
      </c>
      <c r="R163" s="17" t="e">
        <f>#REF!-'IS 3Q2022'!R163</f>
        <v>#REF!</v>
      </c>
      <c r="S163" s="16" t="e">
        <f>#REF!-'IS 3Q2022'!S163</f>
        <v>#REF!</v>
      </c>
      <c r="T163" s="16" t="e">
        <f>#REF!-'IS 3Q2022'!T163</f>
        <v>#REF!</v>
      </c>
      <c r="U163" s="16" t="e">
        <f>#REF!-'IS 3Q2022'!U163</f>
        <v>#REF!</v>
      </c>
      <c r="V163" s="33" t="e">
        <f>#REF!-'IS 3Q2022'!V163</f>
        <v>#REF!</v>
      </c>
      <c r="W163" s="17" t="e">
        <f>#REF!-'IS 3Q2022'!W163</f>
        <v>#REF!</v>
      </c>
      <c r="X163" s="33" t="e">
        <f>#REF!-'IS 3Q2022'!X163</f>
        <v>#REF!</v>
      </c>
      <c r="Y163" s="33" t="e">
        <f>#REF!-'IS 3Q2022'!Y163</f>
        <v>#REF!</v>
      </c>
      <c r="Z163" s="33" t="e">
        <f>#REF!-'IS 3Q2022'!Z163</f>
        <v>#REF!</v>
      </c>
      <c r="AA163" s="33" t="e">
        <f>#REF!-'IS 3Q2022'!AA163</f>
        <v>#REF!</v>
      </c>
      <c r="AB163" s="17" t="e">
        <f>#REF!-'IS 3Q2022'!AB163</f>
        <v>#REF!</v>
      </c>
      <c r="AC163" s="33" t="e">
        <f>#REF!-'IS 3Q2022'!AC163</f>
        <v>#REF!</v>
      </c>
      <c r="AD163" s="33" t="e">
        <f>#REF!-'IS 3Q2022'!AD163</f>
        <v>#REF!</v>
      </c>
      <c r="AE163" s="33" t="e">
        <f>#REF!-'IS 3Q2022'!AE163</f>
        <v>#REF!</v>
      </c>
      <c r="AF163" s="33" t="e">
        <f>#REF!-'IS 3Q2022'!AF163</f>
        <v>#REF!</v>
      </c>
      <c r="AG163" s="17" t="e">
        <f>#REF!-'IS 3Q2022'!AG163</f>
        <v>#REF!</v>
      </c>
      <c r="AH163" s="33" t="e">
        <f>#REF!-'IS 3Q2022'!AH163</f>
        <v>#REF!</v>
      </c>
      <c r="AI163" s="33" t="e">
        <f>#REF!-'IS 3Q2022'!AI163</f>
        <v>#REF!</v>
      </c>
      <c r="AJ163" s="33" t="e">
        <f>#REF!-'IS 3Q2022'!AJ163</f>
        <v>#REF!</v>
      </c>
      <c r="AK163" s="33" t="e">
        <f>#REF!-'IS 3Q2022'!AK163</f>
        <v>#REF!</v>
      </c>
      <c r="AL163" s="17" t="e">
        <f>#REF!-'IS 3Q2022'!AL163</f>
        <v>#REF!</v>
      </c>
      <c r="AM163" s="33" t="e">
        <f>#REF!-'IS 3Q2022'!AM163</f>
        <v>#REF!</v>
      </c>
      <c r="AN163" s="33" t="e">
        <f>#REF!-'IS 3Q2022'!AN163</f>
        <v>#REF!</v>
      </c>
      <c r="AO163" s="33" t="e">
        <f>#REF!-'IS 3Q2022'!AO163</f>
        <v>#REF!</v>
      </c>
      <c r="AP163" s="33" t="e">
        <f>#REF!-'IS 3Q2022'!AP163</f>
        <v>#REF!</v>
      </c>
      <c r="AQ163" s="17" t="e">
        <f>#REF!-'IS 3Q2022'!AQ163</f>
        <v>#REF!</v>
      </c>
      <c r="AR163" s="33" t="e">
        <f>#REF!-'IS 3Q2022'!AR163</f>
        <v>#REF!</v>
      </c>
      <c r="AS163" s="33" t="e">
        <f>#REF!-'IS 3Q2022'!AS163</f>
        <v>#REF!</v>
      </c>
      <c r="AT163" s="33" t="e">
        <f>#REF!-'IS 3Q2022'!AT163</f>
        <v>#REF!</v>
      </c>
      <c r="AU163" s="33" t="e">
        <f>#REF!-'IS 3Q2022'!AU163</f>
        <v>#REF!</v>
      </c>
      <c r="AV163" s="17" t="e">
        <f>#REF!-'IS 3Q2022'!AV163</f>
        <v>#REF!</v>
      </c>
    </row>
    <row r="164" spans="2:48" outlineLevel="1" x14ac:dyDescent="0.3">
      <c r="B164" s="200" t="s">
        <v>64</v>
      </c>
      <c r="C164" s="201"/>
      <c r="D164" s="102" t="e">
        <f>#REF!-'IS 3Q2022'!D164</f>
        <v>#REF!</v>
      </c>
      <c r="E164" s="102" t="e">
        <f>#REF!-'IS 3Q2022'!E164</f>
        <v>#REF!</v>
      </c>
      <c r="F164" s="102" t="e">
        <f>#REF!-'IS 3Q2022'!F164</f>
        <v>#REF!</v>
      </c>
      <c r="G164" s="102" t="e">
        <f>#REF!-'IS 3Q2022'!G164</f>
        <v>#REF!</v>
      </c>
      <c r="H164" s="159" t="e">
        <f>#REF!-'IS 3Q2022'!H164</f>
        <v>#REF!</v>
      </c>
      <c r="I164" s="102" t="e">
        <f>#REF!-'IS 3Q2022'!I164</f>
        <v>#REF!</v>
      </c>
      <c r="J164" s="102" t="e">
        <f>#REF!-'IS 3Q2022'!J164</f>
        <v>#REF!</v>
      </c>
      <c r="K164" s="105" t="e">
        <f>#REF!-'IS 3Q2022'!K164</f>
        <v>#REF!</v>
      </c>
      <c r="L164" s="101" t="e">
        <f>#REF!-'IS 3Q2022'!L164</f>
        <v>#REF!</v>
      </c>
      <c r="M164" s="169" t="e">
        <f>#REF!-'IS 3Q2022'!M164</f>
        <v>#REF!</v>
      </c>
      <c r="N164" s="101" t="e">
        <f>#REF!-'IS 3Q2022'!N164</f>
        <v>#REF!</v>
      </c>
      <c r="O164" s="101" t="e">
        <f>#REF!-'IS 3Q2022'!O164</f>
        <v>#REF!</v>
      </c>
      <c r="P164" s="101" t="e">
        <f>#REF!-'IS 3Q2022'!P164</f>
        <v>#REF!</v>
      </c>
      <c r="Q164" s="101" t="e">
        <f>#REF!-'IS 3Q2022'!Q164</f>
        <v>#REF!</v>
      </c>
      <c r="R164" s="17" t="e">
        <f>#REF!-'IS 3Q2022'!R164</f>
        <v>#REF!</v>
      </c>
      <c r="S164" s="16" t="e">
        <f>#REF!-'IS 3Q2022'!S164</f>
        <v>#REF!</v>
      </c>
      <c r="T164" s="16" t="e">
        <f>#REF!-'IS 3Q2022'!T164</f>
        <v>#REF!</v>
      </c>
      <c r="U164" s="16" t="e">
        <f>#REF!-'IS 3Q2022'!U164</f>
        <v>#REF!</v>
      </c>
      <c r="V164" s="33" t="e">
        <f>#REF!-'IS 3Q2022'!V164</f>
        <v>#REF!</v>
      </c>
      <c r="W164" s="17" t="e">
        <f>#REF!-'IS 3Q2022'!W164</f>
        <v>#REF!</v>
      </c>
      <c r="X164" s="33" t="e">
        <f>#REF!-'IS 3Q2022'!X164</f>
        <v>#REF!</v>
      </c>
      <c r="Y164" s="33" t="e">
        <f>#REF!-'IS 3Q2022'!Y164</f>
        <v>#REF!</v>
      </c>
      <c r="Z164" s="33" t="e">
        <f>#REF!-'IS 3Q2022'!Z164</f>
        <v>#REF!</v>
      </c>
      <c r="AA164" s="33" t="e">
        <f>#REF!-'IS 3Q2022'!AA164</f>
        <v>#REF!</v>
      </c>
      <c r="AB164" s="17" t="e">
        <f>#REF!-'IS 3Q2022'!AB164</f>
        <v>#REF!</v>
      </c>
      <c r="AC164" s="33" t="e">
        <f>#REF!-'IS 3Q2022'!AC164</f>
        <v>#REF!</v>
      </c>
      <c r="AD164" s="33" t="e">
        <f>#REF!-'IS 3Q2022'!AD164</f>
        <v>#REF!</v>
      </c>
      <c r="AE164" s="33" t="e">
        <f>#REF!-'IS 3Q2022'!AE164</f>
        <v>#REF!</v>
      </c>
      <c r="AF164" s="33" t="e">
        <f>#REF!-'IS 3Q2022'!AF164</f>
        <v>#REF!</v>
      </c>
      <c r="AG164" s="17" t="e">
        <f>#REF!-'IS 3Q2022'!AG164</f>
        <v>#REF!</v>
      </c>
      <c r="AH164" s="33" t="e">
        <f>#REF!-'IS 3Q2022'!AH164</f>
        <v>#REF!</v>
      </c>
      <c r="AI164" s="33" t="e">
        <f>#REF!-'IS 3Q2022'!AI164</f>
        <v>#REF!</v>
      </c>
      <c r="AJ164" s="33" t="e">
        <f>#REF!-'IS 3Q2022'!AJ164</f>
        <v>#REF!</v>
      </c>
      <c r="AK164" s="33" t="e">
        <f>#REF!-'IS 3Q2022'!AK164</f>
        <v>#REF!</v>
      </c>
      <c r="AL164" s="17" t="e">
        <f>#REF!-'IS 3Q2022'!AL164</f>
        <v>#REF!</v>
      </c>
      <c r="AM164" s="33" t="e">
        <f>#REF!-'IS 3Q2022'!AM164</f>
        <v>#REF!</v>
      </c>
      <c r="AN164" s="33" t="e">
        <f>#REF!-'IS 3Q2022'!AN164</f>
        <v>#REF!</v>
      </c>
      <c r="AO164" s="33" t="e">
        <f>#REF!-'IS 3Q2022'!AO164</f>
        <v>#REF!</v>
      </c>
      <c r="AP164" s="33" t="e">
        <f>#REF!-'IS 3Q2022'!AP164</f>
        <v>#REF!</v>
      </c>
      <c r="AQ164" s="17" t="e">
        <f>#REF!-'IS 3Q2022'!AQ164</f>
        <v>#REF!</v>
      </c>
      <c r="AR164" s="33" t="e">
        <f>#REF!-'IS 3Q2022'!AR164</f>
        <v>#REF!</v>
      </c>
      <c r="AS164" s="33" t="e">
        <f>#REF!-'IS 3Q2022'!AS164</f>
        <v>#REF!</v>
      </c>
      <c r="AT164" s="33" t="e">
        <f>#REF!-'IS 3Q2022'!AT164</f>
        <v>#REF!</v>
      </c>
      <c r="AU164" s="33" t="e">
        <f>#REF!-'IS 3Q2022'!AU164</f>
        <v>#REF!</v>
      </c>
      <c r="AV164" s="17" t="e">
        <f>#REF!-'IS 3Q2022'!AV164</f>
        <v>#REF!</v>
      </c>
    </row>
    <row r="165" spans="2:48" outlineLevel="1" x14ac:dyDescent="0.3">
      <c r="B165" s="580" t="s">
        <v>129</v>
      </c>
      <c r="C165" s="581"/>
      <c r="D165" s="102" t="e">
        <f>#REF!-'IS 3Q2022'!D165</f>
        <v>#REF!</v>
      </c>
      <c r="E165" s="102" t="e">
        <f>#REF!-'IS 3Q2022'!E165</f>
        <v>#REF!</v>
      </c>
      <c r="F165" s="102" t="e">
        <f>#REF!-'IS 3Q2022'!F165</f>
        <v>#REF!</v>
      </c>
      <c r="G165" s="102" t="e">
        <f>#REF!-'IS 3Q2022'!G165</f>
        <v>#REF!</v>
      </c>
      <c r="H165" s="159" t="e">
        <f>#REF!-'IS 3Q2022'!H165</f>
        <v>#REF!</v>
      </c>
      <c r="I165" s="102" t="e">
        <f>#REF!-'IS 3Q2022'!I165</f>
        <v>#REF!</v>
      </c>
      <c r="J165" s="102" t="e">
        <f>#REF!-'IS 3Q2022'!J165</f>
        <v>#REF!</v>
      </c>
      <c r="K165" s="105" t="e">
        <f>#REF!-'IS 3Q2022'!K165</f>
        <v>#REF!</v>
      </c>
      <c r="L165" s="101" t="e">
        <f>#REF!-'IS 3Q2022'!L165</f>
        <v>#REF!</v>
      </c>
      <c r="M165" s="169" t="e">
        <f>#REF!-'IS 3Q2022'!M165</f>
        <v>#REF!</v>
      </c>
      <c r="N165" s="101" t="e">
        <f>#REF!-'IS 3Q2022'!N165</f>
        <v>#REF!</v>
      </c>
      <c r="O165" s="101" t="e">
        <f>#REF!-'IS 3Q2022'!O165</f>
        <v>#REF!</v>
      </c>
      <c r="P165" s="101" t="e">
        <f>#REF!-'IS 3Q2022'!P165</f>
        <v>#REF!</v>
      </c>
      <c r="Q165" s="101" t="e">
        <f>#REF!-'IS 3Q2022'!Q165</f>
        <v>#REF!</v>
      </c>
      <c r="R165" s="17" t="e">
        <f>#REF!-'IS 3Q2022'!R165</f>
        <v>#REF!</v>
      </c>
      <c r="S165" s="16" t="e">
        <f>#REF!-'IS 3Q2022'!S165</f>
        <v>#REF!</v>
      </c>
      <c r="T165" s="16" t="e">
        <f>#REF!-'IS 3Q2022'!T165</f>
        <v>#REF!</v>
      </c>
      <c r="U165" s="16" t="e">
        <f>#REF!-'IS 3Q2022'!U165</f>
        <v>#REF!</v>
      </c>
      <c r="V165" s="33" t="e">
        <f>#REF!-'IS 3Q2022'!V165</f>
        <v>#REF!</v>
      </c>
      <c r="W165" s="17" t="e">
        <f>#REF!-'IS 3Q2022'!W165</f>
        <v>#REF!</v>
      </c>
      <c r="X165" s="33" t="e">
        <f>#REF!-'IS 3Q2022'!X165</f>
        <v>#REF!</v>
      </c>
      <c r="Y165" s="33" t="e">
        <f>#REF!-'IS 3Q2022'!Y165</f>
        <v>#REF!</v>
      </c>
      <c r="Z165" s="33" t="e">
        <f>#REF!-'IS 3Q2022'!Z165</f>
        <v>#REF!</v>
      </c>
      <c r="AA165" s="33" t="e">
        <f>#REF!-'IS 3Q2022'!AA165</f>
        <v>#REF!</v>
      </c>
      <c r="AB165" s="17" t="e">
        <f>#REF!-'IS 3Q2022'!AB165</f>
        <v>#REF!</v>
      </c>
      <c r="AC165" s="33" t="e">
        <f>#REF!-'IS 3Q2022'!AC165</f>
        <v>#REF!</v>
      </c>
      <c r="AD165" s="33" t="e">
        <f>#REF!-'IS 3Q2022'!AD165</f>
        <v>#REF!</v>
      </c>
      <c r="AE165" s="33" t="e">
        <f>#REF!-'IS 3Q2022'!AE165</f>
        <v>#REF!</v>
      </c>
      <c r="AF165" s="33" t="e">
        <f>#REF!-'IS 3Q2022'!AF165</f>
        <v>#REF!</v>
      </c>
      <c r="AG165" s="17" t="e">
        <f>#REF!-'IS 3Q2022'!AG165</f>
        <v>#REF!</v>
      </c>
      <c r="AH165" s="33" t="e">
        <f>#REF!-'IS 3Q2022'!AH165</f>
        <v>#REF!</v>
      </c>
      <c r="AI165" s="33" t="e">
        <f>#REF!-'IS 3Q2022'!AI165</f>
        <v>#REF!</v>
      </c>
      <c r="AJ165" s="33" t="e">
        <f>#REF!-'IS 3Q2022'!AJ165</f>
        <v>#REF!</v>
      </c>
      <c r="AK165" s="33" t="e">
        <f>#REF!-'IS 3Q2022'!AK165</f>
        <v>#REF!</v>
      </c>
      <c r="AL165" s="17" t="e">
        <f>#REF!-'IS 3Q2022'!AL165</f>
        <v>#REF!</v>
      </c>
      <c r="AM165" s="33" t="e">
        <f>#REF!-'IS 3Q2022'!AM165</f>
        <v>#REF!</v>
      </c>
      <c r="AN165" s="33" t="e">
        <f>#REF!-'IS 3Q2022'!AN165</f>
        <v>#REF!</v>
      </c>
      <c r="AO165" s="33" t="e">
        <f>#REF!-'IS 3Q2022'!AO165</f>
        <v>#REF!</v>
      </c>
      <c r="AP165" s="33" t="e">
        <f>#REF!-'IS 3Q2022'!AP165</f>
        <v>#REF!</v>
      </c>
      <c r="AQ165" s="17" t="e">
        <f>#REF!-'IS 3Q2022'!AQ165</f>
        <v>#REF!</v>
      </c>
      <c r="AR165" s="33" t="e">
        <f>#REF!-'IS 3Q2022'!AR165</f>
        <v>#REF!</v>
      </c>
      <c r="AS165" s="33" t="e">
        <f>#REF!-'IS 3Q2022'!AS165</f>
        <v>#REF!</v>
      </c>
      <c r="AT165" s="33" t="e">
        <f>#REF!-'IS 3Q2022'!AT165</f>
        <v>#REF!</v>
      </c>
      <c r="AU165" s="33" t="e">
        <f>#REF!-'IS 3Q2022'!AU165</f>
        <v>#REF!</v>
      </c>
      <c r="AV165" s="17" t="e">
        <f>#REF!-'IS 3Q2022'!AV165</f>
        <v>#REF!</v>
      </c>
    </row>
    <row r="166" spans="2:48" outlineLevel="1" x14ac:dyDescent="0.3">
      <c r="B166" s="200" t="s">
        <v>66</v>
      </c>
      <c r="C166" s="201"/>
      <c r="D166" s="102" t="e">
        <f>#REF!-'IS 3Q2022'!D166</f>
        <v>#REF!</v>
      </c>
      <c r="E166" s="102" t="e">
        <f>#REF!-'IS 3Q2022'!E166</f>
        <v>#REF!</v>
      </c>
      <c r="F166" s="102" t="e">
        <f>#REF!-'IS 3Q2022'!F166</f>
        <v>#REF!</v>
      </c>
      <c r="G166" s="102" t="e">
        <f>#REF!-'IS 3Q2022'!G166</f>
        <v>#REF!</v>
      </c>
      <c r="H166" s="159" t="e">
        <f>#REF!-'IS 3Q2022'!H166</f>
        <v>#REF!</v>
      </c>
      <c r="I166" s="102" t="e">
        <f>#REF!-'IS 3Q2022'!I166</f>
        <v>#REF!</v>
      </c>
      <c r="J166" s="102" t="e">
        <f>#REF!-'IS 3Q2022'!J166</f>
        <v>#REF!</v>
      </c>
      <c r="K166" s="101" t="e">
        <f>#REF!-'IS 3Q2022'!K166</f>
        <v>#REF!</v>
      </c>
      <c r="L166" s="101" t="e">
        <f>#REF!-'IS 3Q2022'!L166</f>
        <v>#REF!</v>
      </c>
      <c r="M166" s="169" t="e">
        <f>#REF!-'IS 3Q2022'!M166</f>
        <v>#REF!</v>
      </c>
      <c r="N166" s="101" t="e">
        <f>#REF!-'IS 3Q2022'!N166</f>
        <v>#REF!</v>
      </c>
      <c r="O166" s="101" t="e">
        <f>#REF!-'IS 3Q2022'!O166</f>
        <v>#REF!</v>
      </c>
      <c r="P166" s="101" t="e">
        <f>#REF!-'IS 3Q2022'!P166</f>
        <v>#REF!</v>
      </c>
      <c r="Q166" s="101" t="e">
        <f>#REF!-'IS 3Q2022'!Q166</f>
        <v>#REF!</v>
      </c>
      <c r="R166" s="17" t="e">
        <f>#REF!-'IS 3Q2022'!R166</f>
        <v>#REF!</v>
      </c>
      <c r="S166" s="16" t="e">
        <f>#REF!-'IS 3Q2022'!S166</f>
        <v>#REF!</v>
      </c>
      <c r="T166" s="16" t="e">
        <f>#REF!-'IS 3Q2022'!T166</f>
        <v>#REF!</v>
      </c>
      <c r="U166" s="16" t="e">
        <f>#REF!-'IS 3Q2022'!U166</f>
        <v>#REF!</v>
      </c>
      <c r="V166" s="33" t="e">
        <f>#REF!-'IS 3Q2022'!V166</f>
        <v>#REF!</v>
      </c>
      <c r="W166" s="17" t="e">
        <f>#REF!-'IS 3Q2022'!W166</f>
        <v>#REF!</v>
      </c>
      <c r="X166" s="33" t="e">
        <f>#REF!-'IS 3Q2022'!X166</f>
        <v>#REF!</v>
      </c>
      <c r="Y166" s="33" t="e">
        <f>#REF!-'IS 3Q2022'!Y166</f>
        <v>#REF!</v>
      </c>
      <c r="Z166" s="33" t="e">
        <f>#REF!-'IS 3Q2022'!Z166</f>
        <v>#REF!</v>
      </c>
      <c r="AA166" s="33" t="e">
        <f>#REF!-'IS 3Q2022'!AA166</f>
        <v>#REF!</v>
      </c>
      <c r="AB166" s="17" t="e">
        <f>#REF!-'IS 3Q2022'!AB166</f>
        <v>#REF!</v>
      </c>
      <c r="AC166" s="33" t="e">
        <f>#REF!-'IS 3Q2022'!AC166</f>
        <v>#REF!</v>
      </c>
      <c r="AD166" s="33" t="e">
        <f>#REF!-'IS 3Q2022'!AD166</f>
        <v>#REF!</v>
      </c>
      <c r="AE166" s="33" t="e">
        <f>#REF!-'IS 3Q2022'!AE166</f>
        <v>#REF!</v>
      </c>
      <c r="AF166" s="33" t="e">
        <f>#REF!-'IS 3Q2022'!AF166</f>
        <v>#REF!</v>
      </c>
      <c r="AG166" s="17" t="e">
        <f>#REF!-'IS 3Q2022'!AG166</f>
        <v>#REF!</v>
      </c>
      <c r="AH166" s="33" t="e">
        <f>#REF!-'IS 3Q2022'!AH166</f>
        <v>#REF!</v>
      </c>
      <c r="AI166" s="33" t="e">
        <f>#REF!-'IS 3Q2022'!AI166</f>
        <v>#REF!</v>
      </c>
      <c r="AJ166" s="33" t="e">
        <f>#REF!-'IS 3Q2022'!AJ166</f>
        <v>#REF!</v>
      </c>
      <c r="AK166" s="33" t="e">
        <f>#REF!-'IS 3Q2022'!AK166</f>
        <v>#REF!</v>
      </c>
      <c r="AL166" s="17" t="e">
        <f>#REF!-'IS 3Q2022'!AL166</f>
        <v>#REF!</v>
      </c>
      <c r="AM166" s="33" t="e">
        <f>#REF!-'IS 3Q2022'!AM166</f>
        <v>#REF!</v>
      </c>
      <c r="AN166" s="33" t="e">
        <f>#REF!-'IS 3Q2022'!AN166</f>
        <v>#REF!</v>
      </c>
      <c r="AO166" s="33" t="e">
        <f>#REF!-'IS 3Q2022'!AO166</f>
        <v>#REF!</v>
      </c>
      <c r="AP166" s="33" t="e">
        <f>#REF!-'IS 3Q2022'!AP166</f>
        <v>#REF!</v>
      </c>
      <c r="AQ166" s="17" t="e">
        <f>#REF!-'IS 3Q2022'!AQ166</f>
        <v>#REF!</v>
      </c>
      <c r="AR166" s="33" t="e">
        <f>#REF!-'IS 3Q2022'!AR166</f>
        <v>#REF!</v>
      </c>
      <c r="AS166" s="33" t="e">
        <f>#REF!-'IS 3Q2022'!AS166</f>
        <v>#REF!</v>
      </c>
      <c r="AT166" s="33" t="e">
        <f>#REF!-'IS 3Q2022'!AT166</f>
        <v>#REF!</v>
      </c>
      <c r="AU166" s="33" t="e">
        <f>#REF!-'IS 3Q2022'!AU166</f>
        <v>#REF!</v>
      </c>
      <c r="AV166" s="17" t="e">
        <f>#REF!-'IS 3Q2022'!AV166</f>
        <v>#REF!</v>
      </c>
    </row>
    <row r="167" spans="2:48" ht="16.2" outlineLevel="1" x14ac:dyDescent="0.45">
      <c r="B167" s="200" t="s">
        <v>80</v>
      </c>
      <c r="C167" s="201"/>
      <c r="D167" s="138" t="e">
        <f>#REF!-'IS 3Q2022'!D167</f>
        <v>#REF!</v>
      </c>
      <c r="E167" s="138" t="e">
        <f>#REF!-'IS 3Q2022'!E167</f>
        <v>#REF!</v>
      </c>
      <c r="F167" s="138" t="e">
        <f>#REF!-'IS 3Q2022'!F167</f>
        <v>#REF!</v>
      </c>
      <c r="G167" s="138" t="e">
        <f>#REF!-'IS 3Q2022'!G167</f>
        <v>#REF!</v>
      </c>
      <c r="H167" s="160" t="e">
        <f>#REF!-'IS 3Q2022'!H167</f>
        <v>#REF!</v>
      </c>
      <c r="I167" s="138" t="e">
        <f>#REF!-'IS 3Q2022'!I167</f>
        <v>#REF!</v>
      </c>
      <c r="J167" s="138" t="e">
        <f>#REF!-'IS 3Q2022'!J167</f>
        <v>#REF!</v>
      </c>
      <c r="K167" s="112" t="e">
        <f>#REF!-'IS 3Q2022'!K167</f>
        <v>#REF!</v>
      </c>
      <c r="L167" s="112" t="e">
        <f>#REF!-'IS 3Q2022'!L167</f>
        <v>#REF!</v>
      </c>
      <c r="M167" s="169" t="e">
        <f>#REF!-'IS 3Q2022'!M167</f>
        <v>#REF!</v>
      </c>
      <c r="N167" s="112" t="e">
        <f>#REF!-'IS 3Q2022'!N167</f>
        <v>#REF!</v>
      </c>
      <c r="O167" s="112" t="e">
        <f>#REF!-'IS 3Q2022'!O167</f>
        <v>#REF!</v>
      </c>
      <c r="P167" s="112" t="e">
        <f>#REF!-'IS 3Q2022'!P167</f>
        <v>#REF!</v>
      </c>
      <c r="Q167" s="112" t="e">
        <f>#REF!-'IS 3Q2022'!Q167</f>
        <v>#REF!</v>
      </c>
      <c r="R167" s="17" t="e">
        <f>#REF!-'IS 3Q2022'!R167</f>
        <v>#REF!</v>
      </c>
      <c r="S167" s="112" t="e">
        <f>#REF!-'IS 3Q2022'!S167</f>
        <v>#REF!</v>
      </c>
      <c r="T167" s="112" t="e">
        <f>#REF!-'IS 3Q2022'!T167</f>
        <v>#REF!</v>
      </c>
      <c r="U167" s="112" t="e">
        <f>#REF!-'IS 3Q2022'!U167</f>
        <v>#REF!</v>
      </c>
      <c r="V167" s="32" t="e">
        <f>#REF!-'IS 3Q2022'!V167</f>
        <v>#REF!</v>
      </c>
      <c r="W167" s="17" t="e">
        <f>#REF!-'IS 3Q2022'!W167</f>
        <v>#REF!</v>
      </c>
      <c r="X167" s="32" t="e">
        <f>#REF!-'IS 3Q2022'!X167</f>
        <v>#REF!</v>
      </c>
      <c r="Y167" s="32" t="e">
        <f>#REF!-'IS 3Q2022'!Y167</f>
        <v>#REF!</v>
      </c>
      <c r="Z167" s="32" t="e">
        <f>#REF!-'IS 3Q2022'!Z167</f>
        <v>#REF!</v>
      </c>
      <c r="AA167" s="32" t="e">
        <f>#REF!-'IS 3Q2022'!AA167</f>
        <v>#REF!</v>
      </c>
      <c r="AB167" s="17" t="e">
        <f>#REF!-'IS 3Q2022'!AB167</f>
        <v>#REF!</v>
      </c>
      <c r="AC167" s="32" t="e">
        <f>#REF!-'IS 3Q2022'!AC167</f>
        <v>#REF!</v>
      </c>
      <c r="AD167" s="32" t="e">
        <f>#REF!-'IS 3Q2022'!AD167</f>
        <v>#REF!</v>
      </c>
      <c r="AE167" s="32" t="e">
        <f>#REF!-'IS 3Q2022'!AE167</f>
        <v>#REF!</v>
      </c>
      <c r="AF167" s="32" t="e">
        <f>#REF!-'IS 3Q2022'!AF167</f>
        <v>#REF!</v>
      </c>
      <c r="AG167" s="17" t="e">
        <f>#REF!-'IS 3Q2022'!AG167</f>
        <v>#REF!</v>
      </c>
      <c r="AH167" s="32" t="e">
        <f>#REF!-'IS 3Q2022'!AH167</f>
        <v>#REF!</v>
      </c>
      <c r="AI167" s="32" t="e">
        <f>#REF!-'IS 3Q2022'!AI167</f>
        <v>#REF!</v>
      </c>
      <c r="AJ167" s="32" t="e">
        <f>#REF!-'IS 3Q2022'!AJ167</f>
        <v>#REF!</v>
      </c>
      <c r="AK167" s="32" t="e">
        <f>#REF!-'IS 3Q2022'!AK167</f>
        <v>#REF!</v>
      </c>
      <c r="AL167" s="17" t="e">
        <f>#REF!-'IS 3Q2022'!AL167</f>
        <v>#REF!</v>
      </c>
      <c r="AM167" s="32" t="e">
        <f>#REF!-'IS 3Q2022'!AM167</f>
        <v>#REF!</v>
      </c>
      <c r="AN167" s="32" t="e">
        <f>#REF!-'IS 3Q2022'!AN167</f>
        <v>#REF!</v>
      </c>
      <c r="AO167" s="32" t="e">
        <f>#REF!-'IS 3Q2022'!AO167</f>
        <v>#REF!</v>
      </c>
      <c r="AP167" s="32" t="e">
        <f>#REF!-'IS 3Q2022'!AP167</f>
        <v>#REF!</v>
      </c>
      <c r="AQ167" s="17" t="e">
        <f>#REF!-'IS 3Q2022'!AQ167</f>
        <v>#REF!</v>
      </c>
      <c r="AR167" s="32" t="e">
        <f>#REF!-'IS 3Q2022'!AR167</f>
        <v>#REF!</v>
      </c>
      <c r="AS167" s="32" t="e">
        <f>#REF!-'IS 3Q2022'!AS167</f>
        <v>#REF!</v>
      </c>
      <c r="AT167" s="32" t="e">
        <f>#REF!-'IS 3Q2022'!AT167</f>
        <v>#REF!</v>
      </c>
      <c r="AU167" s="32" t="e">
        <f>#REF!-'IS 3Q2022'!AU167</f>
        <v>#REF!</v>
      </c>
      <c r="AV167" s="17" t="e">
        <f>#REF!-'IS 3Q2022'!AV167</f>
        <v>#REF!</v>
      </c>
    </row>
    <row r="168" spans="2:48" s="8" customFormat="1" outlineLevel="1" x14ac:dyDescent="0.3">
      <c r="B168" s="205" t="s">
        <v>67</v>
      </c>
      <c r="C168" s="202"/>
      <c r="D168" s="103" t="e">
        <f>#REF!-'IS 3Q2022'!D168</f>
        <v>#REF!</v>
      </c>
      <c r="E168" s="103" t="e">
        <f>#REF!-'IS 3Q2022'!E168</f>
        <v>#REF!</v>
      </c>
      <c r="F168" s="103" t="e">
        <f>#REF!-'IS 3Q2022'!F168</f>
        <v>#REF!</v>
      </c>
      <c r="G168" s="103" t="e">
        <f>#REF!-'IS 3Q2022'!G168</f>
        <v>#REF!</v>
      </c>
      <c r="H168" s="171" t="e">
        <f>#REF!-'IS 3Q2022'!H168</f>
        <v>#REF!</v>
      </c>
      <c r="I168" s="103" t="e">
        <f>#REF!-'IS 3Q2022'!I168</f>
        <v>#REF!</v>
      </c>
      <c r="J168" s="103" t="e">
        <f>#REF!-'IS 3Q2022'!J168</f>
        <v>#REF!</v>
      </c>
      <c r="K168" s="103" t="e">
        <f>#REF!-'IS 3Q2022'!K168</f>
        <v>#REF!</v>
      </c>
      <c r="L168" s="103" t="e">
        <f>#REF!-'IS 3Q2022'!L168</f>
        <v>#REF!</v>
      </c>
      <c r="M168" s="150" t="e">
        <f>#REF!-'IS 3Q2022'!M168</f>
        <v>#REF!</v>
      </c>
      <c r="N168" s="103" t="e">
        <f>#REF!-'IS 3Q2022'!N168</f>
        <v>#REF!</v>
      </c>
      <c r="O168" s="103" t="e">
        <f>#REF!-'IS 3Q2022'!O168</f>
        <v>#REF!</v>
      </c>
      <c r="P168" s="103" t="e">
        <f>#REF!-'IS 3Q2022'!P168</f>
        <v>#REF!</v>
      </c>
      <c r="Q168" s="103" t="e">
        <f>#REF!-'IS 3Q2022'!Q168</f>
        <v>#REF!</v>
      </c>
      <c r="R168" s="22" t="e">
        <f>#REF!-'IS 3Q2022'!R168</f>
        <v>#REF!</v>
      </c>
      <c r="S168" s="103" t="e">
        <f>#REF!-'IS 3Q2022'!S168</f>
        <v>#REF!</v>
      </c>
      <c r="T168" s="50" t="e">
        <f>#REF!-'IS 3Q2022'!T168</f>
        <v>#REF!</v>
      </c>
      <c r="U168" s="50" t="e">
        <f>#REF!-'IS 3Q2022'!U168</f>
        <v>#REF!</v>
      </c>
      <c r="V168" s="50" t="e">
        <f>#REF!-'IS 3Q2022'!V168</f>
        <v>#REF!</v>
      </c>
      <c r="W168" s="22" t="e">
        <f>#REF!-'IS 3Q2022'!W168</f>
        <v>#REF!</v>
      </c>
      <c r="X168" s="50" t="e">
        <f>#REF!-'IS 3Q2022'!X168</f>
        <v>#REF!</v>
      </c>
      <c r="Y168" s="50" t="e">
        <f>#REF!-'IS 3Q2022'!Y168</f>
        <v>#REF!</v>
      </c>
      <c r="Z168" s="50" t="e">
        <f>#REF!-'IS 3Q2022'!Z168</f>
        <v>#REF!</v>
      </c>
      <c r="AA168" s="50" t="e">
        <f>#REF!-'IS 3Q2022'!AA168</f>
        <v>#REF!</v>
      </c>
      <c r="AB168" s="22" t="e">
        <f>#REF!-'IS 3Q2022'!AB168</f>
        <v>#REF!</v>
      </c>
      <c r="AC168" s="50" t="e">
        <f>#REF!-'IS 3Q2022'!AC168</f>
        <v>#REF!</v>
      </c>
      <c r="AD168" s="50" t="e">
        <f>#REF!-'IS 3Q2022'!AD168</f>
        <v>#REF!</v>
      </c>
      <c r="AE168" s="50" t="e">
        <f>#REF!-'IS 3Q2022'!AE168</f>
        <v>#REF!</v>
      </c>
      <c r="AF168" s="50" t="e">
        <f>#REF!-'IS 3Q2022'!AF168</f>
        <v>#REF!</v>
      </c>
      <c r="AG168" s="22" t="e">
        <f>#REF!-'IS 3Q2022'!AG168</f>
        <v>#REF!</v>
      </c>
      <c r="AH168" s="50" t="e">
        <f>#REF!-'IS 3Q2022'!AH168</f>
        <v>#REF!</v>
      </c>
      <c r="AI168" s="50" t="e">
        <f>#REF!-'IS 3Q2022'!AI168</f>
        <v>#REF!</v>
      </c>
      <c r="AJ168" s="50" t="e">
        <f>#REF!-'IS 3Q2022'!AJ168</f>
        <v>#REF!</v>
      </c>
      <c r="AK168" s="50" t="e">
        <f>#REF!-'IS 3Q2022'!AK168</f>
        <v>#REF!</v>
      </c>
      <c r="AL168" s="22" t="e">
        <f>#REF!-'IS 3Q2022'!AL168</f>
        <v>#REF!</v>
      </c>
      <c r="AM168" s="50" t="e">
        <f>#REF!-'IS 3Q2022'!AM168</f>
        <v>#REF!</v>
      </c>
      <c r="AN168" s="50" t="e">
        <f>#REF!-'IS 3Q2022'!AN168</f>
        <v>#REF!</v>
      </c>
      <c r="AO168" s="50" t="e">
        <f>#REF!-'IS 3Q2022'!AO168</f>
        <v>#REF!</v>
      </c>
      <c r="AP168" s="50" t="e">
        <f>#REF!-'IS 3Q2022'!AP168</f>
        <v>#REF!</v>
      </c>
      <c r="AQ168" s="22" t="e">
        <f>#REF!-'IS 3Q2022'!AQ168</f>
        <v>#REF!</v>
      </c>
      <c r="AR168" s="50" t="e">
        <f>#REF!-'IS 3Q2022'!AR168</f>
        <v>#REF!</v>
      </c>
      <c r="AS168" s="50" t="e">
        <f>#REF!-'IS 3Q2022'!AS168</f>
        <v>#REF!</v>
      </c>
      <c r="AT168" s="50" t="e">
        <f>#REF!-'IS 3Q2022'!AT168</f>
        <v>#REF!</v>
      </c>
      <c r="AU168" s="50" t="e">
        <f>#REF!-'IS 3Q2022'!AU168</f>
        <v>#REF!</v>
      </c>
      <c r="AV168" s="22" t="e">
        <f>#REF!-'IS 3Q2022'!AV168</f>
        <v>#REF!</v>
      </c>
    </row>
    <row r="169" spans="2:48" ht="16.2" outlineLevel="1" x14ac:dyDescent="0.45">
      <c r="B169" s="200" t="s">
        <v>155</v>
      </c>
      <c r="C169" s="201"/>
      <c r="D169" s="104" t="e">
        <f>#REF!-'IS 3Q2022'!D169</f>
        <v>#REF!</v>
      </c>
      <c r="E169" s="104" t="e">
        <f>#REF!-'IS 3Q2022'!E169</f>
        <v>#REF!</v>
      </c>
      <c r="F169" s="104" t="e">
        <f>#REF!-'IS 3Q2022'!F169</f>
        <v>#REF!</v>
      </c>
      <c r="G169" s="104" t="e">
        <f>#REF!-'IS 3Q2022'!G169</f>
        <v>#REF!</v>
      </c>
      <c r="H169" s="169" t="e">
        <f>#REF!-'IS 3Q2022'!H169</f>
        <v>#REF!</v>
      </c>
      <c r="I169" s="104" t="e">
        <f>#REF!-'IS 3Q2022'!I169</f>
        <v>#REF!</v>
      </c>
      <c r="J169" s="104" t="e">
        <f>#REF!-'IS 3Q2022'!J169</f>
        <v>#REF!</v>
      </c>
      <c r="K169" s="104" t="e">
        <f>#REF!-'IS 3Q2022'!K169</f>
        <v>#REF!</v>
      </c>
      <c r="L169" s="104" t="e">
        <f>#REF!-'IS 3Q2022'!L169</f>
        <v>#REF!</v>
      </c>
      <c r="M169" s="169" t="e">
        <f>#REF!-'IS 3Q2022'!M169</f>
        <v>#REF!</v>
      </c>
      <c r="N169" s="104" t="e">
        <f>#REF!-'IS 3Q2022'!N169</f>
        <v>#REF!</v>
      </c>
      <c r="O169" s="104" t="e">
        <f>#REF!-'IS 3Q2022'!O169</f>
        <v>#REF!</v>
      </c>
      <c r="P169" s="104" t="e">
        <f>#REF!-'IS 3Q2022'!P169</f>
        <v>#REF!</v>
      </c>
      <c r="Q169" s="104" t="e">
        <f>#REF!-'IS 3Q2022'!Q169</f>
        <v>#REF!</v>
      </c>
      <c r="R169" s="17" t="e">
        <f>#REF!-'IS 3Q2022'!R169</f>
        <v>#REF!</v>
      </c>
      <c r="S169" s="104" t="e">
        <f>#REF!-'IS 3Q2022'!S169</f>
        <v>#REF!</v>
      </c>
      <c r="T169" s="52" t="e">
        <f>#REF!-'IS 3Q2022'!T169</f>
        <v>#REF!</v>
      </c>
      <c r="U169" s="52" t="e">
        <f>#REF!-'IS 3Q2022'!U169</f>
        <v>#REF!</v>
      </c>
      <c r="V169" s="52" t="e">
        <f>#REF!-'IS 3Q2022'!V169</f>
        <v>#REF!</v>
      </c>
      <c r="W169" s="17" t="e">
        <f>#REF!-'IS 3Q2022'!W169</f>
        <v>#REF!</v>
      </c>
      <c r="X169" s="52" t="e">
        <f>#REF!-'IS 3Q2022'!X169</f>
        <v>#REF!</v>
      </c>
      <c r="Y169" s="52" t="e">
        <f>#REF!-'IS 3Q2022'!Y169</f>
        <v>#REF!</v>
      </c>
      <c r="Z169" s="52" t="e">
        <f>#REF!-'IS 3Q2022'!Z169</f>
        <v>#REF!</v>
      </c>
      <c r="AA169" s="52" t="e">
        <f>#REF!-'IS 3Q2022'!AA169</f>
        <v>#REF!</v>
      </c>
      <c r="AB169" s="17" t="e">
        <f>#REF!-'IS 3Q2022'!AB169</f>
        <v>#REF!</v>
      </c>
      <c r="AC169" s="52" t="e">
        <f>#REF!-'IS 3Q2022'!AC169</f>
        <v>#REF!</v>
      </c>
      <c r="AD169" s="52" t="e">
        <f>#REF!-'IS 3Q2022'!AD169</f>
        <v>#REF!</v>
      </c>
      <c r="AE169" s="52" t="e">
        <f>#REF!-'IS 3Q2022'!AE169</f>
        <v>#REF!</v>
      </c>
      <c r="AF169" s="52" t="e">
        <f>#REF!-'IS 3Q2022'!AF169</f>
        <v>#REF!</v>
      </c>
      <c r="AG169" s="17" t="e">
        <f>#REF!-'IS 3Q2022'!AG169</f>
        <v>#REF!</v>
      </c>
      <c r="AH169" s="52" t="e">
        <f>#REF!-'IS 3Q2022'!AH169</f>
        <v>#REF!</v>
      </c>
      <c r="AI169" s="52" t="e">
        <f>#REF!-'IS 3Q2022'!AI169</f>
        <v>#REF!</v>
      </c>
      <c r="AJ169" s="52" t="e">
        <f>#REF!-'IS 3Q2022'!AJ169</f>
        <v>#REF!</v>
      </c>
      <c r="AK169" s="52" t="e">
        <f>#REF!-'IS 3Q2022'!AK169</f>
        <v>#REF!</v>
      </c>
      <c r="AL169" s="17" t="e">
        <f>#REF!-'IS 3Q2022'!AL169</f>
        <v>#REF!</v>
      </c>
      <c r="AM169" s="52" t="e">
        <f>#REF!-'IS 3Q2022'!AM169</f>
        <v>#REF!</v>
      </c>
      <c r="AN169" s="52" t="e">
        <f>#REF!-'IS 3Q2022'!AN169</f>
        <v>#REF!</v>
      </c>
      <c r="AO169" s="52" t="e">
        <f>#REF!-'IS 3Q2022'!AO169</f>
        <v>#REF!</v>
      </c>
      <c r="AP169" s="52" t="e">
        <f>#REF!-'IS 3Q2022'!AP169</f>
        <v>#REF!</v>
      </c>
      <c r="AQ169" s="17" t="e">
        <f>#REF!-'IS 3Q2022'!AQ169</f>
        <v>#REF!</v>
      </c>
      <c r="AR169" s="52" t="e">
        <f>#REF!-'IS 3Q2022'!AR169</f>
        <v>#REF!</v>
      </c>
      <c r="AS169" s="52" t="e">
        <f>#REF!-'IS 3Q2022'!AS169</f>
        <v>#REF!</v>
      </c>
      <c r="AT169" s="52" t="e">
        <f>#REF!-'IS 3Q2022'!AT169</f>
        <v>#REF!</v>
      </c>
      <c r="AU169" s="52" t="e">
        <f>#REF!-'IS 3Q2022'!AU169</f>
        <v>#REF!</v>
      </c>
      <c r="AV169" s="17" t="e">
        <f>#REF!-'IS 3Q2022'!AV169</f>
        <v>#REF!</v>
      </c>
    </row>
    <row r="170" spans="2:48" s="8" customFormat="1" outlineLevel="1" x14ac:dyDescent="0.3">
      <c r="B170" s="205" t="s">
        <v>68</v>
      </c>
      <c r="C170" s="202"/>
      <c r="D170" s="103" t="e">
        <f>#REF!-'IS 3Q2022'!D170</f>
        <v>#REF!</v>
      </c>
      <c r="E170" s="103" t="e">
        <f>#REF!-'IS 3Q2022'!E170</f>
        <v>#REF!</v>
      </c>
      <c r="F170" s="103" t="e">
        <f>#REF!-'IS 3Q2022'!F170</f>
        <v>#REF!</v>
      </c>
      <c r="G170" s="103" t="e">
        <f>#REF!-'IS 3Q2022'!G170</f>
        <v>#REF!</v>
      </c>
      <c r="H170" s="150" t="e">
        <f>#REF!-'IS 3Q2022'!H170</f>
        <v>#REF!</v>
      </c>
      <c r="I170" s="103" t="e">
        <f>#REF!-'IS 3Q2022'!I170</f>
        <v>#REF!</v>
      </c>
      <c r="J170" s="103" t="e">
        <f>#REF!-'IS 3Q2022'!J170</f>
        <v>#REF!</v>
      </c>
      <c r="K170" s="103" t="e">
        <f>#REF!-'IS 3Q2022'!K170</f>
        <v>#REF!</v>
      </c>
      <c r="L170" s="103" t="e">
        <f>#REF!-'IS 3Q2022'!L170</f>
        <v>#REF!</v>
      </c>
      <c r="M170" s="150" t="e">
        <f>#REF!-'IS 3Q2022'!M170</f>
        <v>#REF!</v>
      </c>
      <c r="N170" s="103" t="e">
        <f>#REF!-'IS 3Q2022'!N170</f>
        <v>#REF!</v>
      </c>
      <c r="O170" s="103" t="e">
        <f>#REF!-'IS 3Q2022'!O170</f>
        <v>#REF!</v>
      </c>
      <c r="P170" s="103" t="e">
        <f>#REF!-'IS 3Q2022'!P170</f>
        <v>#REF!</v>
      </c>
      <c r="Q170" s="103" t="e">
        <f>#REF!-'IS 3Q2022'!Q170</f>
        <v>#REF!</v>
      </c>
      <c r="R170" s="22" t="e">
        <f>#REF!-'IS 3Q2022'!R170</f>
        <v>#REF!</v>
      </c>
      <c r="S170" s="103" t="e">
        <f>#REF!-'IS 3Q2022'!S170</f>
        <v>#REF!</v>
      </c>
      <c r="T170" s="50" t="e">
        <f>#REF!-'IS 3Q2022'!T170</f>
        <v>#REF!</v>
      </c>
      <c r="U170" s="50" t="e">
        <f>#REF!-'IS 3Q2022'!U170</f>
        <v>#REF!</v>
      </c>
      <c r="V170" s="50" t="e">
        <f>#REF!-'IS 3Q2022'!V170</f>
        <v>#REF!</v>
      </c>
      <c r="W170" s="22" t="e">
        <f>#REF!-'IS 3Q2022'!W170</f>
        <v>#REF!</v>
      </c>
      <c r="X170" s="50" t="e">
        <f>#REF!-'IS 3Q2022'!X170</f>
        <v>#REF!</v>
      </c>
      <c r="Y170" s="50" t="e">
        <f>#REF!-'IS 3Q2022'!Y170</f>
        <v>#REF!</v>
      </c>
      <c r="Z170" s="50" t="e">
        <f>#REF!-'IS 3Q2022'!Z170</f>
        <v>#REF!</v>
      </c>
      <c r="AA170" s="50" t="e">
        <f>#REF!-'IS 3Q2022'!AA170</f>
        <v>#REF!</v>
      </c>
      <c r="AB170" s="22" t="e">
        <f>#REF!-'IS 3Q2022'!AB170</f>
        <v>#REF!</v>
      </c>
      <c r="AC170" s="50" t="e">
        <f>#REF!-'IS 3Q2022'!AC170</f>
        <v>#REF!</v>
      </c>
      <c r="AD170" s="50" t="e">
        <f>#REF!-'IS 3Q2022'!AD170</f>
        <v>#REF!</v>
      </c>
      <c r="AE170" s="50" t="e">
        <f>#REF!-'IS 3Q2022'!AE170</f>
        <v>#REF!</v>
      </c>
      <c r="AF170" s="50" t="e">
        <f>#REF!-'IS 3Q2022'!AF170</f>
        <v>#REF!</v>
      </c>
      <c r="AG170" s="22" t="e">
        <f>#REF!-'IS 3Q2022'!AG170</f>
        <v>#REF!</v>
      </c>
      <c r="AH170" s="50" t="e">
        <f>#REF!-'IS 3Q2022'!AH170</f>
        <v>#REF!</v>
      </c>
      <c r="AI170" s="50" t="e">
        <f>#REF!-'IS 3Q2022'!AI170</f>
        <v>#REF!</v>
      </c>
      <c r="AJ170" s="50" t="e">
        <f>#REF!-'IS 3Q2022'!AJ170</f>
        <v>#REF!</v>
      </c>
      <c r="AK170" s="50" t="e">
        <f>#REF!-'IS 3Q2022'!AK170</f>
        <v>#REF!</v>
      </c>
      <c r="AL170" s="22" t="e">
        <f>#REF!-'IS 3Q2022'!AL170</f>
        <v>#REF!</v>
      </c>
      <c r="AM170" s="50" t="e">
        <f>#REF!-'IS 3Q2022'!AM170</f>
        <v>#REF!</v>
      </c>
      <c r="AN170" s="50" t="e">
        <f>#REF!-'IS 3Q2022'!AN170</f>
        <v>#REF!</v>
      </c>
      <c r="AO170" s="50" t="e">
        <f>#REF!-'IS 3Q2022'!AO170</f>
        <v>#REF!</v>
      </c>
      <c r="AP170" s="50" t="e">
        <f>#REF!-'IS 3Q2022'!AP170</f>
        <v>#REF!</v>
      </c>
      <c r="AQ170" s="22" t="e">
        <f>#REF!-'IS 3Q2022'!AQ170</f>
        <v>#REF!</v>
      </c>
      <c r="AR170" s="50" t="e">
        <f>#REF!-'IS 3Q2022'!AR170</f>
        <v>#REF!</v>
      </c>
      <c r="AS170" s="50" t="e">
        <f>#REF!-'IS 3Q2022'!AS170</f>
        <v>#REF!</v>
      </c>
      <c r="AT170" s="50" t="e">
        <f>#REF!-'IS 3Q2022'!AT170</f>
        <v>#REF!</v>
      </c>
      <c r="AU170" s="50" t="e">
        <f>#REF!-'IS 3Q2022'!AU170</f>
        <v>#REF!</v>
      </c>
      <c r="AV170" s="22" t="e">
        <f>#REF!-'IS 3Q2022'!AV170</f>
        <v>#REF!</v>
      </c>
    </row>
    <row r="171" spans="2:48" outlineLevel="1" x14ac:dyDescent="0.3">
      <c r="B171" s="200" t="s">
        <v>69</v>
      </c>
      <c r="C171" s="201"/>
      <c r="D171" s="105" t="e">
        <f>#REF!-'IS 3Q2022'!D171</f>
        <v>#REF!</v>
      </c>
      <c r="E171" s="101" t="e">
        <f>#REF!-'IS 3Q2022'!E171</f>
        <v>#REF!</v>
      </c>
      <c r="F171" s="101" t="e">
        <f>#REF!-'IS 3Q2022'!F171</f>
        <v>#REF!</v>
      </c>
      <c r="G171" s="101" t="e">
        <f>#REF!-'IS 3Q2022'!G171</f>
        <v>#REF!</v>
      </c>
      <c r="H171" s="169" t="e">
        <f>#REF!-'IS 3Q2022'!H171</f>
        <v>#REF!</v>
      </c>
      <c r="I171" s="101" t="e">
        <f>#REF!-'IS 3Q2022'!I171</f>
        <v>#REF!</v>
      </c>
      <c r="J171" s="101" t="e">
        <f>#REF!-'IS 3Q2022'!J171</f>
        <v>#REF!</v>
      </c>
      <c r="K171" s="101" t="e">
        <f>#REF!-'IS 3Q2022'!K171</f>
        <v>#REF!</v>
      </c>
      <c r="L171" s="101" t="e">
        <f>#REF!-'IS 3Q2022'!L171</f>
        <v>#REF!</v>
      </c>
      <c r="M171" s="169" t="e">
        <f>#REF!-'IS 3Q2022'!M171</f>
        <v>#REF!</v>
      </c>
      <c r="N171" s="101" t="e">
        <f>#REF!-'IS 3Q2022'!N171</f>
        <v>#REF!</v>
      </c>
      <c r="O171" s="101" t="e">
        <f>#REF!-'IS 3Q2022'!O171</f>
        <v>#REF!</v>
      </c>
      <c r="P171" s="101" t="e">
        <f>#REF!-'IS 3Q2022'!P171</f>
        <v>#REF!</v>
      </c>
      <c r="Q171" s="101" t="e">
        <f>#REF!-'IS 3Q2022'!Q171</f>
        <v>#REF!</v>
      </c>
      <c r="R171" s="17" t="e">
        <f>#REF!-'IS 3Q2022'!R171</f>
        <v>#REF!</v>
      </c>
      <c r="S171" s="101" t="e">
        <f>#REF!-'IS 3Q2022'!S171</f>
        <v>#REF!</v>
      </c>
      <c r="T171" s="101" t="e">
        <f>#REF!-'IS 3Q2022'!T171</f>
        <v>#REF!</v>
      </c>
      <c r="U171" s="101" t="e">
        <f>#REF!-'IS 3Q2022'!U171</f>
        <v>#REF!</v>
      </c>
      <c r="V171" s="33" t="e">
        <f>#REF!-'IS 3Q2022'!V171</f>
        <v>#REF!</v>
      </c>
      <c r="W171" s="17" t="e">
        <f>#REF!-'IS 3Q2022'!W171</f>
        <v>#REF!</v>
      </c>
      <c r="X171" s="33" t="e">
        <f>#REF!-'IS 3Q2022'!X171</f>
        <v>#REF!</v>
      </c>
      <c r="Y171" s="33" t="e">
        <f>#REF!-'IS 3Q2022'!Y171</f>
        <v>#REF!</v>
      </c>
      <c r="Z171" s="33" t="e">
        <f>#REF!-'IS 3Q2022'!Z171</f>
        <v>#REF!</v>
      </c>
      <c r="AA171" s="33" t="e">
        <f>#REF!-'IS 3Q2022'!AA171</f>
        <v>#REF!</v>
      </c>
      <c r="AB171" s="17" t="e">
        <f>#REF!-'IS 3Q2022'!AB171</f>
        <v>#REF!</v>
      </c>
      <c r="AC171" s="33" t="e">
        <f>#REF!-'IS 3Q2022'!AC171</f>
        <v>#REF!</v>
      </c>
      <c r="AD171" s="33" t="e">
        <f>#REF!-'IS 3Q2022'!AD171</f>
        <v>#REF!</v>
      </c>
      <c r="AE171" s="33" t="e">
        <f>#REF!-'IS 3Q2022'!AE171</f>
        <v>#REF!</v>
      </c>
      <c r="AF171" s="33" t="e">
        <f>#REF!-'IS 3Q2022'!AF171</f>
        <v>#REF!</v>
      </c>
      <c r="AG171" s="17" t="e">
        <f>#REF!-'IS 3Q2022'!AG171</f>
        <v>#REF!</v>
      </c>
      <c r="AH171" s="33" t="e">
        <f>#REF!-'IS 3Q2022'!AH171</f>
        <v>#REF!</v>
      </c>
      <c r="AI171" s="33" t="e">
        <f>#REF!-'IS 3Q2022'!AI171</f>
        <v>#REF!</v>
      </c>
      <c r="AJ171" s="33" t="e">
        <f>#REF!-'IS 3Q2022'!AJ171</f>
        <v>#REF!</v>
      </c>
      <c r="AK171" s="33" t="e">
        <f>#REF!-'IS 3Q2022'!AK171</f>
        <v>#REF!</v>
      </c>
      <c r="AL171" s="17" t="e">
        <f>#REF!-'IS 3Q2022'!AL171</f>
        <v>#REF!</v>
      </c>
      <c r="AM171" s="33" t="e">
        <f>#REF!-'IS 3Q2022'!AM171</f>
        <v>#REF!</v>
      </c>
      <c r="AN171" s="33" t="e">
        <f>#REF!-'IS 3Q2022'!AN171</f>
        <v>#REF!</v>
      </c>
      <c r="AO171" s="33" t="e">
        <f>#REF!-'IS 3Q2022'!AO171</f>
        <v>#REF!</v>
      </c>
      <c r="AP171" s="33" t="e">
        <f>#REF!-'IS 3Q2022'!AP171</f>
        <v>#REF!</v>
      </c>
      <c r="AQ171" s="17" t="e">
        <f>#REF!-'IS 3Q2022'!AQ171</f>
        <v>#REF!</v>
      </c>
      <c r="AR171" s="33" t="e">
        <f>#REF!-'IS 3Q2022'!AR171</f>
        <v>#REF!</v>
      </c>
      <c r="AS171" s="33" t="e">
        <f>#REF!-'IS 3Q2022'!AS171</f>
        <v>#REF!</v>
      </c>
      <c r="AT171" s="33" t="e">
        <f>#REF!-'IS 3Q2022'!AT171</f>
        <v>#REF!</v>
      </c>
      <c r="AU171" s="33" t="e">
        <f>#REF!-'IS 3Q2022'!AU171</f>
        <v>#REF!</v>
      </c>
      <c r="AV171" s="17" t="e">
        <f>#REF!-'IS 3Q2022'!AV171</f>
        <v>#REF!</v>
      </c>
    </row>
    <row r="172" spans="2:48" outlineLevel="1" x14ac:dyDescent="0.3">
      <c r="B172" s="580" t="s">
        <v>75</v>
      </c>
      <c r="C172" s="581"/>
      <c r="D172" s="105" t="e">
        <f>#REF!-'IS 3Q2022'!D172</f>
        <v>#REF!</v>
      </c>
      <c r="E172" s="101" t="e">
        <f>#REF!-'IS 3Q2022'!E172</f>
        <v>#REF!</v>
      </c>
      <c r="F172" s="101" t="e">
        <f>#REF!-'IS 3Q2022'!F172</f>
        <v>#REF!</v>
      </c>
      <c r="G172" s="101" t="e">
        <f>#REF!-'IS 3Q2022'!G172</f>
        <v>#REF!</v>
      </c>
      <c r="H172" s="169" t="e">
        <f>#REF!-'IS 3Q2022'!H172</f>
        <v>#REF!</v>
      </c>
      <c r="I172" s="101" t="e">
        <f>#REF!-'IS 3Q2022'!I172</f>
        <v>#REF!</v>
      </c>
      <c r="J172" s="101" t="e">
        <f>#REF!-'IS 3Q2022'!J172</f>
        <v>#REF!</v>
      </c>
      <c r="K172" s="101" t="e">
        <f>#REF!-'IS 3Q2022'!K172</f>
        <v>#REF!</v>
      </c>
      <c r="L172" s="101" t="e">
        <f>#REF!-'IS 3Q2022'!L172</f>
        <v>#REF!</v>
      </c>
      <c r="M172" s="169" t="e">
        <f>#REF!-'IS 3Q2022'!M172</f>
        <v>#REF!</v>
      </c>
      <c r="N172" s="101" t="e">
        <f>#REF!-'IS 3Q2022'!N172</f>
        <v>#REF!</v>
      </c>
      <c r="O172" s="101" t="e">
        <f>#REF!-'IS 3Q2022'!O172</f>
        <v>#REF!</v>
      </c>
      <c r="P172" s="101" t="e">
        <f>#REF!-'IS 3Q2022'!P172</f>
        <v>#REF!</v>
      </c>
      <c r="Q172" s="101" t="e">
        <f>#REF!-'IS 3Q2022'!Q172</f>
        <v>#REF!</v>
      </c>
      <c r="R172" s="17" t="e">
        <f>#REF!-'IS 3Q2022'!R172</f>
        <v>#REF!</v>
      </c>
      <c r="S172" s="101" t="e">
        <f>#REF!-'IS 3Q2022'!S172</f>
        <v>#REF!</v>
      </c>
      <c r="T172" s="16" t="e">
        <f>#REF!-'IS 3Q2022'!T172</f>
        <v>#REF!</v>
      </c>
      <c r="U172" s="16" t="e">
        <f>#REF!-'IS 3Q2022'!U172</f>
        <v>#REF!</v>
      </c>
      <c r="V172" s="16" t="e">
        <f>#REF!-'IS 3Q2022'!V172</f>
        <v>#REF!</v>
      </c>
      <c r="W172" s="17" t="e">
        <f>#REF!-'IS 3Q2022'!W172</f>
        <v>#REF!</v>
      </c>
      <c r="X172" s="16" t="e">
        <f>#REF!-'IS 3Q2022'!X172</f>
        <v>#REF!</v>
      </c>
      <c r="Y172" s="16" t="e">
        <f>#REF!-'IS 3Q2022'!Y172</f>
        <v>#REF!</v>
      </c>
      <c r="Z172" s="16" t="e">
        <f>#REF!-'IS 3Q2022'!Z172</f>
        <v>#REF!</v>
      </c>
      <c r="AA172" s="16" t="e">
        <f>#REF!-'IS 3Q2022'!AA172</f>
        <v>#REF!</v>
      </c>
      <c r="AB172" s="17" t="e">
        <f>#REF!-'IS 3Q2022'!AB172</f>
        <v>#REF!</v>
      </c>
      <c r="AC172" s="16" t="e">
        <f>#REF!-'IS 3Q2022'!AC172</f>
        <v>#REF!</v>
      </c>
      <c r="AD172" s="16" t="e">
        <f>#REF!-'IS 3Q2022'!AD172</f>
        <v>#REF!</v>
      </c>
      <c r="AE172" s="16" t="e">
        <f>#REF!-'IS 3Q2022'!AE172</f>
        <v>#REF!</v>
      </c>
      <c r="AF172" s="16" t="e">
        <f>#REF!-'IS 3Q2022'!AF172</f>
        <v>#REF!</v>
      </c>
      <c r="AG172" s="17" t="e">
        <f>#REF!-'IS 3Q2022'!AG172</f>
        <v>#REF!</v>
      </c>
      <c r="AH172" s="16" t="e">
        <f>#REF!-'IS 3Q2022'!AH172</f>
        <v>#REF!</v>
      </c>
      <c r="AI172" s="16" t="e">
        <f>#REF!-'IS 3Q2022'!AI172</f>
        <v>#REF!</v>
      </c>
      <c r="AJ172" s="16" t="e">
        <f>#REF!-'IS 3Q2022'!AJ172</f>
        <v>#REF!</v>
      </c>
      <c r="AK172" s="16" t="e">
        <f>#REF!-'IS 3Q2022'!AK172</f>
        <v>#REF!</v>
      </c>
      <c r="AL172" s="17" t="e">
        <f>#REF!-'IS 3Q2022'!AL172</f>
        <v>#REF!</v>
      </c>
      <c r="AM172" s="16" t="e">
        <f>#REF!-'IS 3Q2022'!AM172</f>
        <v>#REF!</v>
      </c>
      <c r="AN172" s="16" t="e">
        <f>#REF!-'IS 3Q2022'!AN172</f>
        <v>#REF!</v>
      </c>
      <c r="AO172" s="16" t="e">
        <f>#REF!-'IS 3Q2022'!AO172</f>
        <v>#REF!</v>
      </c>
      <c r="AP172" s="16" t="e">
        <f>#REF!-'IS 3Q2022'!AP172</f>
        <v>#REF!</v>
      </c>
      <c r="AQ172" s="17" t="e">
        <f>#REF!-'IS 3Q2022'!AQ172</f>
        <v>#REF!</v>
      </c>
      <c r="AR172" s="16" t="e">
        <f>#REF!-'IS 3Q2022'!AR172</f>
        <v>#REF!</v>
      </c>
      <c r="AS172" s="16" t="e">
        <f>#REF!-'IS 3Q2022'!AS172</f>
        <v>#REF!</v>
      </c>
      <c r="AT172" s="16" t="e">
        <f>#REF!-'IS 3Q2022'!AT172</f>
        <v>#REF!</v>
      </c>
      <c r="AU172" s="16" t="e">
        <f>#REF!-'IS 3Q2022'!AU172</f>
        <v>#REF!</v>
      </c>
      <c r="AV172" s="17" t="e">
        <f>#REF!-'IS 3Q2022'!AV172</f>
        <v>#REF!</v>
      </c>
    </row>
    <row r="173" spans="2:48" outlineLevel="1" x14ac:dyDescent="0.3">
      <c r="B173" s="203" t="s">
        <v>76</v>
      </c>
      <c r="C173" s="204"/>
      <c r="D173" s="211" t="e">
        <f>#REF!-'IS 3Q2022'!D173</f>
        <v>#REF!</v>
      </c>
      <c r="E173" s="211" t="e">
        <f>#REF!-'IS 3Q2022'!E173</f>
        <v>#REF!</v>
      </c>
      <c r="F173" s="211" t="e">
        <f>#REF!-'IS 3Q2022'!F173</f>
        <v>#REF!</v>
      </c>
      <c r="G173" s="211" t="e">
        <f>#REF!-'IS 3Q2022'!G173</f>
        <v>#REF!</v>
      </c>
      <c r="H173" s="212" t="e">
        <f>#REF!-'IS 3Q2022'!H173</f>
        <v>#REF!</v>
      </c>
      <c r="I173" s="211" t="e">
        <f>#REF!-'IS 3Q2022'!I173</f>
        <v>#REF!</v>
      </c>
      <c r="J173" s="211" t="e">
        <f>#REF!-'IS 3Q2022'!J173</f>
        <v>#REF!</v>
      </c>
      <c r="K173" s="211" t="e">
        <f>#REF!-'IS 3Q2022'!K173</f>
        <v>#REF!</v>
      </c>
      <c r="L173" s="211" t="e">
        <f>#REF!-'IS 3Q2022'!L173</f>
        <v>#REF!</v>
      </c>
      <c r="M173" s="212" t="e">
        <f>#REF!-'IS 3Q2022'!M173</f>
        <v>#REF!</v>
      </c>
      <c r="N173" s="211" t="e">
        <f>#REF!-'IS 3Q2022'!N173</f>
        <v>#REF!</v>
      </c>
      <c r="O173" s="211" t="e">
        <f>#REF!-'IS 3Q2022'!O173</f>
        <v>#REF!</v>
      </c>
      <c r="P173" s="211" t="e">
        <f>#REF!-'IS 3Q2022'!P173</f>
        <v>#REF!</v>
      </c>
      <c r="Q173" s="211" t="e">
        <f>#REF!-'IS 3Q2022'!Q173</f>
        <v>#REF!</v>
      </c>
      <c r="R173" s="37" t="e">
        <f>#REF!-'IS 3Q2022'!R173</f>
        <v>#REF!</v>
      </c>
      <c r="S173" s="211" t="e">
        <f>#REF!-'IS 3Q2022'!S173</f>
        <v>#REF!</v>
      </c>
      <c r="T173" s="211" t="e">
        <f>#REF!-'IS 3Q2022'!T173</f>
        <v>#REF!</v>
      </c>
      <c r="U173" s="211" t="e">
        <f>#REF!-'IS 3Q2022'!U173</f>
        <v>#REF!</v>
      </c>
      <c r="V173" s="94" t="e">
        <f>#REF!-'IS 3Q2022'!V173</f>
        <v>#REF!</v>
      </c>
      <c r="W173" s="37" t="e">
        <f>#REF!-'IS 3Q2022'!W173</f>
        <v>#REF!</v>
      </c>
      <c r="X173" s="94" t="e">
        <f>#REF!-'IS 3Q2022'!X173</f>
        <v>#REF!</v>
      </c>
      <c r="Y173" s="94" t="e">
        <f>#REF!-'IS 3Q2022'!Y173</f>
        <v>#REF!</v>
      </c>
      <c r="Z173" s="94" t="e">
        <f>#REF!-'IS 3Q2022'!Z173</f>
        <v>#REF!</v>
      </c>
      <c r="AA173" s="94" t="e">
        <f>#REF!-'IS 3Q2022'!AA173</f>
        <v>#REF!</v>
      </c>
      <c r="AB173" s="37" t="e">
        <f>#REF!-'IS 3Q2022'!AB173</f>
        <v>#REF!</v>
      </c>
      <c r="AC173" s="94" t="e">
        <f>#REF!-'IS 3Q2022'!AC173</f>
        <v>#REF!</v>
      </c>
      <c r="AD173" s="94" t="e">
        <f>#REF!-'IS 3Q2022'!AD173</f>
        <v>#REF!</v>
      </c>
      <c r="AE173" s="94" t="e">
        <f>#REF!-'IS 3Q2022'!AE173</f>
        <v>#REF!</v>
      </c>
      <c r="AF173" s="94" t="e">
        <f>#REF!-'IS 3Q2022'!AF173</f>
        <v>#REF!</v>
      </c>
      <c r="AG173" s="37" t="e">
        <f>#REF!-'IS 3Q2022'!AG173</f>
        <v>#REF!</v>
      </c>
      <c r="AH173" s="94" t="e">
        <f>#REF!-'IS 3Q2022'!AH173</f>
        <v>#REF!</v>
      </c>
      <c r="AI173" s="94" t="e">
        <f>#REF!-'IS 3Q2022'!AI173</f>
        <v>#REF!</v>
      </c>
      <c r="AJ173" s="94" t="e">
        <f>#REF!-'IS 3Q2022'!AJ173</f>
        <v>#REF!</v>
      </c>
      <c r="AK173" s="94" t="e">
        <f>#REF!-'IS 3Q2022'!AK173</f>
        <v>#REF!</v>
      </c>
      <c r="AL173" s="37" t="e">
        <f>#REF!-'IS 3Q2022'!AL173</f>
        <v>#REF!</v>
      </c>
      <c r="AM173" s="94" t="e">
        <f>#REF!-'IS 3Q2022'!AM173</f>
        <v>#REF!</v>
      </c>
      <c r="AN173" s="94" t="e">
        <f>#REF!-'IS 3Q2022'!AN173</f>
        <v>#REF!</v>
      </c>
      <c r="AO173" s="94" t="e">
        <f>#REF!-'IS 3Q2022'!AO173</f>
        <v>#REF!</v>
      </c>
      <c r="AP173" s="94" t="e">
        <f>#REF!-'IS 3Q2022'!AP173</f>
        <v>#REF!</v>
      </c>
      <c r="AQ173" s="37" t="e">
        <f>#REF!-'IS 3Q2022'!AQ173</f>
        <v>#REF!</v>
      </c>
      <c r="AR173" s="94" t="e">
        <f>#REF!-'IS 3Q2022'!AR173</f>
        <v>#REF!</v>
      </c>
      <c r="AS173" s="94" t="e">
        <f>#REF!-'IS 3Q2022'!AS173</f>
        <v>#REF!</v>
      </c>
      <c r="AT173" s="94" t="e">
        <f>#REF!-'IS 3Q2022'!AT173</f>
        <v>#REF!</v>
      </c>
      <c r="AU173" s="94" t="e">
        <f>#REF!-'IS 3Q2022'!AU173</f>
        <v>#REF!</v>
      </c>
      <c r="AV173" s="37" t="e">
        <f>#REF!-'IS 3Q2022'!AV173</f>
        <v>#REF!</v>
      </c>
    </row>
    <row r="175" spans="2:48" x14ac:dyDescent="0.3">
      <c r="B175" s="382" t="s">
        <v>314</v>
      </c>
      <c r="Q175" s="383" t="e">
        <f>Q61-L61</f>
        <v>#REF!</v>
      </c>
      <c r="R175" s="383"/>
      <c r="S175" s="383" t="e">
        <f>S61-N61</f>
        <v>#REF!</v>
      </c>
      <c r="T175" s="383" t="e">
        <f t="shared" ref="T175" si="0">T61-O61</f>
        <v>#REF!</v>
      </c>
      <c r="U175" s="383" t="e">
        <f>U61-P61</f>
        <v>#REF!</v>
      </c>
      <c r="V175" s="383" t="e">
        <f>V61-Q61</f>
        <v>#REF!</v>
      </c>
      <c r="W175" s="383"/>
      <c r="X175" s="383" t="e">
        <f t="shared" ref="X175:AA175" si="1">X61-S61</f>
        <v>#REF!</v>
      </c>
      <c r="Y175" s="383" t="e">
        <f t="shared" si="1"/>
        <v>#REF!</v>
      </c>
      <c r="Z175" s="383" t="e">
        <f t="shared" si="1"/>
        <v>#REF!</v>
      </c>
      <c r="AA175" s="383" t="e">
        <f t="shared" si="1"/>
        <v>#REF!</v>
      </c>
      <c r="AB175" s="383"/>
      <c r="AC175" s="383" t="e">
        <f t="shared" ref="AC175:AF175" si="2">AC61-X61</f>
        <v>#REF!</v>
      </c>
      <c r="AD175" s="383" t="e">
        <f t="shared" si="2"/>
        <v>#REF!</v>
      </c>
      <c r="AE175" s="383" t="e">
        <f t="shared" si="2"/>
        <v>#REF!</v>
      </c>
      <c r="AF175" s="383" t="e">
        <f t="shared" si="2"/>
        <v>#REF!</v>
      </c>
      <c r="AH175" s="383" t="e">
        <f t="shared" ref="AH175:AK175" si="3">AH61-AC61</f>
        <v>#REF!</v>
      </c>
      <c r="AI175" s="383" t="e">
        <f t="shared" si="3"/>
        <v>#REF!</v>
      </c>
      <c r="AJ175" s="383" t="e">
        <f t="shared" si="3"/>
        <v>#REF!</v>
      </c>
      <c r="AK175" s="383" t="e">
        <f t="shared" si="3"/>
        <v>#REF!</v>
      </c>
    </row>
    <row r="176" spans="2:48" ht="14.55" customHeight="1" x14ac:dyDescent="0.3">
      <c r="B176" s="382" t="s">
        <v>315</v>
      </c>
      <c r="Q176" s="383" t="e">
        <f t="shared" ref="Q176:T176" si="4">Q63-L63</f>
        <v>#REF!</v>
      </c>
      <c r="R176" s="383"/>
      <c r="S176" s="383" t="e">
        <f t="shared" si="4"/>
        <v>#REF!</v>
      </c>
      <c r="T176" s="383" t="e">
        <f t="shared" si="4"/>
        <v>#REF!</v>
      </c>
      <c r="U176" s="383" t="e">
        <f>U63-P63</f>
        <v>#REF!</v>
      </c>
      <c r="V176" s="383" t="e">
        <f>V63-Q63</f>
        <v>#REF!</v>
      </c>
      <c r="W176" s="383"/>
      <c r="X176" s="383" t="e">
        <f t="shared" ref="X176:AA176" si="5">X63-S63</f>
        <v>#REF!</v>
      </c>
      <c r="Y176" s="383" t="e">
        <f>Y63-T63</f>
        <v>#REF!</v>
      </c>
      <c r="Z176" s="383" t="e">
        <f t="shared" si="5"/>
        <v>#REF!</v>
      </c>
      <c r="AA176" s="383" t="e">
        <f t="shared" si="5"/>
        <v>#REF!</v>
      </c>
      <c r="AB176" s="383"/>
      <c r="AC176" s="383" t="e">
        <f t="shared" ref="AC176:AF176" si="6">AC63-X63</f>
        <v>#REF!</v>
      </c>
      <c r="AD176" s="383" t="e">
        <f t="shared" si="6"/>
        <v>#REF!</v>
      </c>
      <c r="AE176" s="383" t="e">
        <f t="shared" si="6"/>
        <v>#REF!</v>
      </c>
      <c r="AF176" s="383" t="e">
        <f t="shared" si="6"/>
        <v>#REF!</v>
      </c>
      <c r="AH176" s="383" t="e">
        <f t="shared" ref="AH176:AK176" si="7">AH63-AC63</f>
        <v>#REF!</v>
      </c>
      <c r="AI176" s="383" t="e">
        <f t="shared" si="7"/>
        <v>#REF!</v>
      </c>
      <c r="AJ176" s="383" t="e">
        <f t="shared" si="7"/>
        <v>#REF!</v>
      </c>
      <c r="AK176" s="383" t="e">
        <f t="shared" si="7"/>
        <v>#REF!</v>
      </c>
    </row>
    <row r="177" spans="1:48" ht="14.55" customHeight="1" x14ac:dyDescent="0.3">
      <c r="B177" s="382" t="s">
        <v>316</v>
      </c>
      <c r="Q177" s="383" t="e">
        <f t="shared" ref="Q177:T177" si="8">Q65-L65</f>
        <v>#REF!</v>
      </c>
      <c r="R177" s="383"/>
      <c r="S177" s="383" t="e">
        <f t="shared" si="8"/>
        <v>#REF!</v>
      </c>
      <c r="T177" s="383" t="e">
        <f t="shared" si="8"/>
        <v>#REF!</v>
      </c>
      <c r="U177" s="383" t="e">
        <f>U65-P65</f>
        <v>#REF!</v>
      </c>
      <c r="V177" s="383" t="e">
        <f t="shared" ref="V177:AA177" si="9">V65-Q65</f>
        <v>#REF!</v>
      </c>
      <c r="W177" s="383"/>
      <c r="X177" s="383" t="e">
        <f t="shared" si="9"/>
        <v>#REF!</v>
      </c>
      <c r="Y177" s="383" t="e">
        <f t="shared" si="9"/>
        <v>#REF!</v>
      </c>
      <c r="Z177" s="383" t="e">
        <f t="shared" si="9"/>
        <v>#REF!</v>
      </c>
      <c r="AA177" s="383" t="e">
        <f t="shared" si="9"/>
        <v>#REF!</v>
      </c>
      <c r="AB177" s="383"/>
      <c r="AC177" s="383" t="e">
        <f t="shared" ref="AC177:AF177" si="10">AC65-X65</f>
        <v>#REF!</v>
      </c>
      <c r="AD177" s="383" t="e">
        <f t="shared" si="10"/>
        <v>#REF!</v>
      </c>
      <c r="AE177" s="383" t="e">
        <f t="shared" si="10"/>
        <v>#REF!</v>
      </c>
      <c r="AF177" s="383" t="e">
        <f t="shared" si="10"/>
        <v>#REF!</v>
      </c>
      <c r="AH177" s="383" t="e">
        <f t="shared" ref="AH177:AK177" si="11">AH65-AC65</f>
        <v>#REF!</v>
      </c>
      <c r="AI177" s="383" t="e">
        <f t="shared" si="11"/>
        <v>#REF!</v>
      </c>
      <c r="AJ177" s="383" t="e">
        <f t="shared" si="11"/>
        <v>#REF!</v>
      </c>
      <c r="AK177" s="383" t="e">
        <f t="shared" si="11"/>
        <v>#REF!</v>
      </c>
    </row>
    <row r="178" spans="1:48" ht="14.55" customHeight="1" x14ac:dyDescent="0.3">
      <c r="A178" s="161"/>
      <c r="B178" s="382" t="s">
        <v>317</v>
      </c>
      <c r="Q178" s="383" t="e">
        <f t="shared" ref="Q178:T178" si="12">Q68-L68</f>
        <v>#REF!</v>
      </c>
      <c r="R178" s="383"/>
      <c r="S178" s="383" t="e">
        <f t="shared" si="12"/>
        <v>#REF!</v>
      </c>
      <c r="T178" s="383" t="e">
        <f t="shared" si="12"/>
        <v>#REF!</v>
      </c>
      <c r="U178" s="383" t="e">
        <f>U68-P68</f>
        <v>#REF!</v>
      </c>
      <c r="V178" s="383" t="e">
        <f t="shared" ref="V178:AA178" si="13">V68-Q68</f>
        <v>#REF!</v>
      </c>
      <c r="W178" s="383"/>
      <c r="X178" s="383" t="e">
        <f t="shared" si="13"/>
        <v>#REF!</v>
      </c>
      <c r="Y178" s="383" t="e">
        <f t="shared" si="13"/>
        <v>#REF!</v>
      </c>
      <c r="Z178" s="383" t="e">
        <f t="shared" si="13"/>
        <v>#REF!</v>
      </c>
      <c r="AA178" s="383" t="e">
        <f t="shared" si="13"/>
        <v>#REF!</v>
      </c>
      <c r="AB178" s="383"/>
      <c r="AC178" s="383" t="e">
        <f t="shared" ref="AC178:AF178" si="14">AC68-X68</f>
        <v>#REF!</v>
      </c>
      <c r="AD178" s="383" t="e">
        <f t="shared" si="14"/>
        <v>#REF!</v>
      </c>
      <c r="AE178" s="383" t="e">
        <f t="shared" si="14"/>
        <v>#REF!</v>
      </c>
      <c r="AF178" s="383" t="e">
        <f t="shared" si="14"/>
        <v>#REF!</v>
      </c>
      <c r="AH178" s="383" t="e">
        <f t="shared" ref="AH178:AK178" si="15">AH68-AC68</f>
        <v>#REF!</v>
      </c>
      <c r="AI178" s="383" t="e">
        <f t="shared" si="15"/>
        <v>#REF!</v>
      </c>
      <c r="AJ178" s="383" t="e">
        <f t="shared" si="15"/>
        <v>#REF!</v>
      </c>
      <c r="AK178" s="383" t="e">
        <f t="shared" si="15"/>
        <v>#REF!</v>
      </c>
    </row>
    <row r="179" spans="1:48" s="23" customFormat="1" ht="14.55" customHeight="1" x14ac:dyDescent="0.3">
      <c r="A179" s="161"/>
    </row>
    <row r="180" spans="1:48" s="23" customFormat="1" ht="14.55" customHeight="1" x14ac:dyDescent="0.3">
      <c r="A180" s="161"/>
      <c r="B180" s="382" t="s">
        <v>318</v>
      </c>
      <c r="Q180" s="384" t="e">
        <f t="shared" ref="Q180:U180" si="16">Q94-L94</f>
        <v>#REF!</v>
      </c>
      <c r="R180" s="384"/>
      <c r="S180" s="384" t="e">
        <f t="shared" si="16"/>
        <v>#REF!</v>
      </c>
      <c r="T180" s="384" t="e">
        <f t="shared" si="16"/>
        <v>#REF!</v>
      </c>
      <c r="U180" s="384" t="e">
        <f t="shared" si="16"/>
        <v>#REF!</v>
      </c>
      <c r="V180" s="384" t="e">
        <f>V94-Q94</f>
        <v>#REF!</v>
      </c>
      <c r="W180" s="384"/>
      <c r="X180" s="384" t="e">
        <f t="shared" ref="X180:AA180" si="17">X94-S94</f>
        <v>#REF!</v>
      </c>
      <c r="Y180" s="384" t="e">
        <f t="shared" si="17"/>
        <v>#REF!</v>
      </c>
      <c r="Z180" s="384" t="e">
        <f t="shared" si="17"/>
        <v>#REF!</v>
      </c>
      <c r="AA180" s="384" t="e">
        <f t="shared" si="17"/>
        <v>#REF!</v>
      </c>
      <c r="AB180" s="384"/>
      <c r="AC180" s="384" t="e">
        <f t="shared" ref="AC180:AF180" si="18">AC94-X94</f>
        <v>#REF!</v>
      </c>
      <c r="AD180" s="384" t="e">
        <f t="shared" si="18"/>
        <v>#REF!</v>
      </c>
      <c r="AE180" s="384" t="e">
        <f t="shared" si="18"/>
        <v>#REF!</v>
      </c>
      <c r="AF180" s="384" t="e">
        <f t="shared" si="18"/>
        <v>#REF!</v>
      </c>
      <c r="AG180" s="384"/>
      <c r="AH180" s="384" t="e">
        <f t="shared" ref="AH180:AK180" si="19">AH94-AC94</f>
        <v>#REF!</v>
      </c>
      <c r="AI180" s="384" t="e">
        <f t="shared" si="19"/>
        <v>#REF!</v>
      </c>
      <c r="AJ180" s="384" t="e">
        <f t="shared" si="19"/>
        <v>#REF!</v>
      </c>
      <c r="AK180" s="384" t="e">
        <f t="shared" si="19"/>
        <v>#REF!</v>
      </c>
      <c r="AL180" s="384"/>
      <c r="AM180" s="384" t="e">
        <f t="shared" ref="AM180:AP180" si="20">AM94-AH94</f>
        <v>#REF!</v>
      </c>
      <c r="AN180" s="384" t="e">
        <f t="shared" si="20"/>
        <v>#REF!</v>
      </c>
      <c r="AO180" s="384" t="e">
        <f t="shared" si="20"/>
        <v>#REF!</v>
      </c>
      <c r="AP180" s="384" t="e">
        <f t="shared" si="20"/>
        <v>#REF!</v>
      </c>
      <c r="AQ180" s="384"/>
      <c r="AR180" s="384" t="e">
        <f t="shared" ref="AR180:AU180" si="21">AR94-AM94</f>
        <v>#REF!</v>
      </c>
      <c r="AS180" s="384" t="e">
        <f t="shared" si="21"/>
        <v>#REF!</v>
      </c>
      <c r="AT180" s="384" t="e">
        <f t="shared" si="21"/>
        <v>#REF!</v>
      </c>
      <c r="AU180" s="384" t="e">
        <f t="shared" si="21"/>
        <v>#REF!</v>
      </c>
    </row>
    <row r="181" spans="1:48" ht="16.2" customHeight="1" x14ac:dyDescent="0.3">
      <c r="A181" s="161"/>
      <c r="B181" s="382" t="s">
        <v>319</v>
      </c>
      <c r="Q181" s="384" t="e">
        <f t="shared" ref="Q181:U181" si="22">Q96-L96</f>
        <v>#REF!</v>
      </c>
      <c r="R181" s="384"/>
      <c r="S181" s="384" t="e">
        <f t="shared" si="22"/>
        <v>#REF!</v>
      </c>
      <c r="T181" s="384" t="e">
        <f t="shared" si="22"/>
        <v>#REF!</v>
      </c>
      <c r="U181" s="384" t="e">
        <f t="shared" si="22"/>
        <v>#REF!</v>
      </c>
      <c r="V181" s="384" t="e">
        <f>V96-Q96</f>
        <v>#REF!</v>
      </c>
      <c r="W181" s="384"/>
      <c r="X181" s="384" t="e">
        <f t="shared" ref="X181:AA181" si="23">X96-S96</f>
        <v>#REF!</v>
      </c>
      <c r="Y181" s="384" t="e">
        <f t="shared" si="23"/>
        <v>#REF!</v>
      </c>
      <c r="Z181" s="384" t="e">
        <f t="shared" si="23"/>
        <v>#REF!</v>
      </c>
      <c r="AA181" s="384" t="e">
        <f t="shared" si="23"/>
        <v>#REF!</v>
      </c>
      <c r="AB181" s="384"/>
      <c r="AC181" s="384" t="e">
        <f t="shared" ref="AC181:AF181" si="24">AC96-X96</f>
        <v>#REF!</v>
      </c>
      <c r="AD181" s="384" t="e">
        <f t="shared" si="24"/>
        <v>#REF!</v>
      </c>
      <c r="AE181" s="384" t="e">
        <f t="shared" si="24"/>
        <v>#REF!</v>
      </c>
      <c r="AF181" s="384" t="e">
        <f t="shared" si="24"/>
        <v>#REF!</v>
      </c>
      <c r="AG181" s="384"/>
      <c r="AH181" s="384" t="e">
        <f t="shared" ref="AH181:AK181" si="25">AH96-AC96</f>
        <v>#REF!</v>
      </c>
      <c r="AI181" s="384" t="e">
        <f t="shared" si="25"/>
        <v>#REF!</v>
      </c>
      <c r="AJ181" s="384" t="e">
        <f t="shared" si="25"/>
        <v>#REF!</v>
      </c>
      <c r="AK181" s="384" t="e">
        <f t="shared" si="25"/>
        <v>#REF!</v>
      </c>
      <c r="AL181" s="384"/>
      <c r="AM181" s="384" t="e">
        <f t="shared" ref="AM181:AP181" si="26">AM96-AH96</f>
        <v>#REF!</v>
      </c>
      <c r="AN181" s="384" t="e">
        <f t="shared" si="26"/>
        <v>#REF!</v>
      </c>
      <c r="AO181" s="384" t="e">
        <f t="shared" si="26"/>
        <v>#REF!</v>
      </c>
      <c r="AP181" s="384" t="e">
        <f t="shared" si="26"/>
        <v>#REF!</v>
      </c>
      <c r="AQ181" s="384"/>
      <c r="AR181" s="384" t="e">
        <f t="shared" ref="AR181:AU181" si="27">AR96-AM96</f>
        <v>#REF!</v>
      </c>
      <c r="AS181" s="384" t="e">
        <f t="shared" si="27"/>
        <v>#REF!</v>
      </c>
      <c r="AT181" s="384" t="e">
        <f t="shared" si="27"/>
        <v>#REF!</v>
      </c>
      <c r="AU181" s="384" t="e">
        <f t="shared" si="27"/>
        <v>#REF!</v>
      </c>
    </row>
    <row r="182" spans="1:48" ht="14.55" customHeight="1" x14ac:dyDescent="0.3">
      <c r="A182" s="161"/>
      <c r="B182" s="382" t="s">
        <v>320</v>
      </c>
      <c r="Q182" s="384" t="e">
        <f t="shared" ref="Q182:U182" si="28">Q98-L98</f>
        <v>#REF!</v>
      </c>
      <c r="R182" s="384"/>
      <c r="S182" s="384" t="e">
        <f t="shared" si="28"/>
        <v>#REF!</v>
      </c>
      <c r="T182" s="384" t="e">
        <f t="shared" si="28"/>
        <v>#REF!</v>
      </c>
      <c r="U182" s="384" t="e">
        <f t="shared" si="28"/>
        <v>#REF!</v>
      </c>
      <c r="V182" s="384" t="e">
        <f>V98-Q98</f>
        <v>#REF!</v>
      </c>
      <c r="W182" s="384"/>
      <c r="X182" s="384" t="e">
        <f t="shared" ref="X182:AA182" si="29">X98-S98</f>
        <v>#REF!</v>
      </c>
      <c r="Y182" s="384" t="e">
        <f t="shared" si="29"/>
        <v>#REF!</v>
      </c>
      <c r="Z182" s="384" t="e">
        <f t="shared" si="29"/>
        <v>#REF!</v>
      </c>
      <c r="AA182" s="384" t="e">
        <f t="shared" si="29"/>
        <v>#REF!</v>
      </c>
      <c r="AB182" s="384"/>
      <c r="AC182" s="384" t="e">
        <f t="shared" ref="AC182:AF182" si="30">AC98-X98</f>
        <v>#REF!</v>
      </c>
      <c r="AD182" s="384" t="e">
        <f t="shared" si="30"/>
        <v>#REF!</v>
      </c>
      <c r="AE182" s="384" t="e">
        <f t="shared" si="30"/>
        <v>#REF!</v>
      </c>
      <c r="AF182" s="384" t="e">
        <f t="shared" si="30"/>
        <v>#REF!</v>
      </c>
      <c r="AG182" s="384"/>
      <c r="AH182" s="384" t="e">
        <f t="shared" ref="AH182:AK182" si="31">AH98-AC98</f>
        <v>#REF!</v>
      </c>
      <c r="AI182" s="384" t="e">
        <f t="shared" si="31"/>
        <v>#REF!</v>
      </c>
      <c r="AJ182" s="384" t="e">
        <f t="shared" si="31"/>
        <v>#REF!</v>
      </c>
      <c r="AK182" s="384" t="e">
        <f t="shared" si="31"/>
        <v>#REF!</v>
      </c>
      <c r="AL182" s="384"/>
      <c r="AM182" s="384" t="e">
        <f t="shared" ref="AM182:AP182" si="32">AM98-AH98</f>
        <v>#REF!</v>
      </c>
      <c r="AN182" s="384" t="e">
        <f t="shared" si="32"/>
        <v>#REF!</v>
      </c>
      <c r="AO182" s="384" t="e">
        <f t="shared" si="32"/>
        <v>#REF!</v>
      </c>
      <c r="AP182" s="384" t="e">
        <f t="shared" si="32"/>
        <v>#REF!</v>
      </c>
      <c r="AQ182" s="384"/>
      <c r="AR182" s="384" t="e">
        <f t="shared" ref="AR182:AU182" si="33">AR98-AM98</f>
        <v>#REF!</v>
      </c>
      <c r="AS182" s="384" t="e">
        <f t="shared" si="33"/>
        <v>#REF!</v>
      </c>
      <c r="AT182" s="384" t="e">
        <f t="shared" si="33"/>
        <v>#REF!</v>
      </c>
      <c r="AU182" s="384" t="e">
        <f t="shared" si="33"/>
        <v>#REF!</v>
      </c>
    </row>
    <row r="183" spans="1:48" ht="14.55" customHeight="1" x14ac:dyDescent="0.3">
      <c r="A183" s="161"/>
      <c r="B183" s="382" t="s">
        <v>321</v>
      </c>
      <c r="Q183" s="384" t="e">
        <f t="shared" ref="Q183:U183" si="34">Q101-L101</f>
        <v>#REF!</v>
      </c>
      <c r="R183" s="384"/>
      <c r="S183" s="384" t="e">
        <f t="shared" si="34"/>
        <v>#REF!</v>
      </c>
      <c r="T183" s="384" t="e">
        <f t="shared" si="34"/>
        <v>#REF!</v>
      </c>
      <c r="U183" s="384" t="e">
        <f t="shared" si="34"/>
        <v>#REF!</v>
      </c>
      <c r="V183" s="384" t="e">
        <f>V101-Q101</f>
        <v>#REF!</v>
      </c>
      <c r="W183" s="384"/>
      <c r="X183" s="384" t="e">
        <f t="shared" ref="X183:AA183" si="35">X101-S101</f>
        <v>#REF!</v>
      </c>
      <c r="Y183" s="384" t="e">
        <f t="shared" si="35"/>
        <v>#REF!</v>
      </c>
      <c r="Z183" s="384" t="e">
        <f t="shared" si="35"/>
        <v>#REF!</v>
      </c>
      <c r="AA183" s="384" t="e">
        <f t="shared" si="35"/>
        <v>#REF!</v>
      </c>
      <c r="AB183" s="384"/>
      <c r="AC183" s="384" t="e">
        <f t="shared" ref="AC183:AF183" si="36">AC101-X101</f>
        <v>#REF!</v>
      </c>
      <c r="AD183" s="384" t="e">
        <f t="shared" si="36"/>
        <v>#REF!</v>
      </c>
      <c r="AE183" s="384" t="e">
        <f t="shared" si="36"/>
        <v>#REF!</v>
      </c>
      <c r="AF183" s="384" t="e">
        <f t="shared" si="36"/>
        <v>#REF!</v>
      </c>
      <c r="AG183" s="384"/>
      <c r="AH183" s="384" t="e">
        <f t="shared" ref="AH183:AK183" si="37">AH101-AC101</f>
        <v>#REF!</v>
      </c>
      <c r="AI183" s="384" t="e">
        <f t="shared" si="37"/>
        <v>#REF!</v>
      </c>
      <c r="AJ183" s="384" t="e">
        <f t="shared" si="37"/>
        <v>#REF!</v>
      </c>
      <c r="AK183" s="384" t="e">
        <f t="shared" si="37"/>
        <v>#REF!</v>
      </c>
      <c r="AL183" s="384"/>
      <c r="AM183" s="384" t="e">
        <f t="shared" ref="AM183:AP183" si="38">AM101-AH101</f>
        <v>#REF!</v>
      </c>
      <c r="AN183" s="384" t="e">
        <f t="shared" si="38"/>
        <v>#REF!</v>
      </c>
      <c r="AO183" s="384" t="e">
        <f t="shared" si="38"/>
        <v>#REF!</v>
      </c>
      <c r="AP183" s="384" t="e">
        <f t="shared" si="38"/>
        <v>#REF!</v>
      </c>
      <c r="AQ183" s="384"/>
      <c r="AR183" s="384" t="e">
        <f t="shared" ref="AR183:AU183" si="39">AR101-AM101</f>
        <v>#REF!</v>
      </c>
      <c r="AS183" s="384" t="e">
        <f t="shared" si="39"/>
        <v>#REF!</v>
      </c>
      <c r="AT183" s="384" t="e">
        <f t="shared" si="39"/>
        <v>#REF!</v>
      </c>
      <c r="AU183" s="384" t="e">
        <f t="shared" si="39"/>
        <v>#REF!</v>
      </c>
    </row>
    <row r="184" spans="1:48" ht="14.55" customHeight="1" x14ac:dyDescent="0.3">
      <c r="A184" s="161"/>
    </row>
    <row r="185" spans="1:48" s="8" customFormat="1" x14ac:dyDescent="0.3">
      <c r="A185" s="161"/>
      <c r="B185" s="382" t="s">
        <v>322</v>
      </c>
      <c r="Q185" s="384" t="e">
        <f t="shared" ref="Q185:T185" si="40">Q111-L111</f>
        <v>#REF!</v>
      </c>
      <c r="R185" s="384"/>
      <c r="S185" s="384" t="e">
        <f t="shared" si="40"/>
        <v>#REF!</v>
      </c>
      <c r="T185" s="384" t="e">
        <f t="shared" si="40"/>
        <v>#REF!</v>
      </c>
      <c r="U185" s="384" t="e">
        <f>U111-P111</f>
        <v>#REF!</v>
      </c>
      <c r="V185" s="384" t="e">
        <f t="shared" ref="V185:AU185" si="41">V111-Q111</f>
        <v>#REF!</v>
      </c>
      <c r="W185" s="384"/>
      <c r="X185" s="384" t="e">
        <f t="shared" si="41"/>
        <v>#REF!</v>
      </c>
      <c r="Y185" s="384" t="e">
        <f t="shared" si="41"/>
        <v>#REF!</v>
      </c>
      <c r="Z185" s="384" t="e">
        <f t="shared" si="41"/>
        <v>#REF!</v>
      </c>
      <c r="AA185" s="384" t="e">
        <f t="shared" si="41"/>
        <v>#REF!</v>
      </c>
      <c r="AB185" s="384"/>
      <c r="AC185" s="384" t="e">
        <f t="shared" si="41"/>
        <v>#REF!</v>
      </c>
      <c r="AD185" s="384" t="e">
        <f t="shared" si="41"/>
        <v>#REF!</v>
      </c>
      <c r="AE185" s="384" t="e">
        <f t="shared" si="41"/>
        <v>#REF!</v>
      </c>
      <c r="AF185" s="384" t="e">
        <f t="shared" si="41"/>
        <v>#REF!</v>
      </c>
      <c r="AG185" s="384"/>
      <c r="AH185" s="384" t="e">
        <f t="shared" si="41"/>
        <v>#REF!</v>
      </c>
      <c r="AI185" s="384" t="e">
        <f t="shared" si="41"/>
        <v>#REF!</v>
      </c>
      <c r="AJ185" s="384" t="e">
        <f t="shared" si="41"/>
        <v>#REF!</v>
      </c>
      <c r="AK185" s="384" t="e">
        <f t="shared" si="41"/>
        <v>#REF!</v>
      </c>
      <c r="AL185" s="384"/>
      <c r="AM185" s="384" t="e">
        <f t="shared" si="41"/>
        <v>#REF!</v>
      </c>
      <c r="AN185" s="384" t="e">
        <f t="shared" si="41"/>
        <v>#REF!</v>
      </c>
      <c r="AO185" s="384" t="e">
        <f t="shared" si="41"/>
        <v>#REF!</v>
      </c>
      <c r="AP185" s="384" t="e">
        <f t="shared" si="41"/>
        <v>#REF!</v>
      </c>
      <c r="AQ185" s="384"/>
      <c r="AR185" s="384" t="e">
        <f t="shared" si="41"/>
        <v>#REF!</v>
      </c>
      <c r="AS185" s="384" t="e">
        <f t="shared" si="41"/>
        <v>#REF!</v>
      </c>
      <c r="AT185" s="384" t="e">
        <f t="shared" si="41"/>
        <v>#REF!</v>
      </c>
      <c r="AU185" s="384" t="e">
        <f t="shared" si="41"/>
        <v>#REF!</v>
      </c>
    </row>
    <row r="186" spans="1:48" s="8" customFormat="1" x14ac:dyDescent="0.3">
      <c r="A186" s="161"/>
      <c r="B186" s="382" t="s">
        <v>323</v>
      </c>
      <c r="Q186" s="384" t="e">
        <f t="shared" ref="Q186:T186" si="42">Q113-L113</f>
        <v>#REF!</v>
      </c>
      <c r="R186" s="384"/>
      <c r="S186" s="384" t="e">
        <f t="shared" si="42"/>
        <v>#REF!</v>
      </c>
      <c r="T186" s="384" t="e">
        <f t="shared" si="42"/>
        <v>#REF!</v>
      </c>
      <c r="U186" s="384" t="e">
        <f>U113-P113</f>
        <v>#REF!</v>
      </c>
      <c r="V186" s="384" t="e">
        <f t="shared" ref="V186:AU186" si="43">V113-Q113</f>
        <v>#REF!</v>
      </c>
      <c r="W186" s="384"/>
      <c r="X186" s="384" t="e">
        <f t="shared" si="43"/>
        <v>#REF!</v>
      </c>
      <c r="Y186" s="384" t="e">
        <f t="shared" si="43"/>
        <v>#REF!</v>
      </c>
      <c r="Z186" s="384" t="e">
        <f t="shared" si="43"/>
        <v>#REF!</v>
      </c>
      <c r="AA186" s="384" t="e">
        <f t="shared" si="43"/>
        <v>#REF!</v>
      </c>
      <c r="AB186" s="384"/>
      <c r="AC186" s="384" t="e">
        <f t="shared" si="43"/>
        <v>#REF!</v>
      </c>
      <c r="AD186" s="384" t="e">
        <f t="shared" si="43"/>
        <v>#REF!</v>
      </c>
      <c r="AE186" s="384" t="e">
        <f t="shared" si="43"/>
        <v>#REF!</v>
      </c>
      <c r="AF186" s="384" t="e">
        <f t="shared" si="43"/>
        <v>#REF!</v>
      </c>
      <c r="AG186" s="384"/>
      <c r="AH186" s="384" t="e">
        <f t="shared" si="43"/>
        <v>#REF!</v>
      </c>
      <c r="AI186" s="384" t="e">
        <f t="shared" si="43"/>
        <v>#REF!</v>
      </c>
      <c r="AJ186" s="384" t="e">
        <f t="shared" si="43"/>
        <v>#REF!</v>
      </c>
      <c r="AK186" s="384" t="e">
        <f t="shared" si="43"/>
        <v>#REF!</v>
      </c>
      <c r="AL186" s="384"/>
      <c r="AM186" s="384" t="e">
        <f t="shared" si="43"/>
        <v>#REF!</v>
      </c>
      <c r="AN186" s="384" t="e">
        <f t="shared" si="43"/>
        <v>#REF!</v>
      </c>
      <c r="AO186" s="384" t="e">
        <f t="shared" si="43"/>
        <v>#REF!</v>
      </c>
      <c r="AP186" s="384" t="e">
        <f t="shared" si="43"/>
        <v>#REF!</v>
      </c>
      <c r="AQ186" s="384"/>
      <c r="AR186" s="384" t="e">
        <f t="shared" si="43"/>
        <v>#REF!</v>
      </c>
      <c r="AS186" s="384" t="e">
        <f t="shared" si="43"/>
        <v>#REF!</v>
      </c>
      <c r="AT186" s="384" t="e">
        <f t="shared" si="43"/>
        <v>#REF!</v>
      </c>
      <c r="AU186" s="384" t="e">
        <f t="shared" si="43"/>
        <v>#REF!</v>
      </c>
    </row>
    <row r="187" spans="1:48" s="8" customFormat="1" x14ac:dyDescent="0.3">
      <c r="A187" s="161"/>
      <c r="B187" s="382" t="s">
        <v>324</v>
      </c>
      <c r="Q187" s="384" t="e">
        <f t="shared" ref="Q187:T187" si="44">Q116-L116</f>
        <v>#REF!</v>
      </c>
      <c r="R187" s="384"/>
      <c r="S187" s="384" t="e">
        <f t="shared" si="44"/>
        <v>#REF!</v>
      </c>
      <c r="T187" s="384" t="e">
        <f t="shared" si="44"/>
        <v>#REF!</v>
      </c>
      <c r="U187" s="384" t="e">
        <f>U116-P116</f>
        <v>#REF!</v>
      </c>
      <c r="V187" s="384" t="e">
        <f t="shared" ref="V187:AU187" si="45">V116-Q116</f>
        <v>#REF!</v>
      </c>
      <c r="W187" s="384"/>
      <c r="X187" s="384" t="e">
        <f t="shared" si="45"/>
        <v>#REF!</v>
      </c>
      <c r="Y187" s="384" t="e">
        <f t="shared" si="45"/>
        <v>#REF!</v>
      </c>
      <c r="Z187" s="384" t="e">
        <f t="shared" si="45"/>
        <v>#REF!</v>
      </c>
      <c r="AA187" s="384" t="e">
        <f t="shared" si="45"/>
        <v>#REF!</v>
      </c>
      <c r="AB187" s="384"/>
      <c r="AC187" s="384" t="e">
        <f t="shared" si="45"/>
        <v>#REF!</v>
      </c>
      <c r="AD187" s="384" t="e">
        <f t="shared" si="45"/>
        <v>#REF!</v>
      </c>
      <c r="AE187" s="384" t="e">
        <f t="shared" si="45"/>
        <v>#REF!</v>
      </c>
      <c r="AF187" s="384" t="e">
        <f t="shared" si="45"/>
        <v>#REF!</v>
      </c>
      <c r="AG187" s="384"/>
      <c r="AH187" s="384" t="e">
        <f t="shared" si="45"/>
        <v>#REF!</v>
      </c>
      <c r="AI187" s="384" t="e">
        <f t="shared" si="45"/>
        <v>#REF!</v>
      </c>
      <c r="AJ187" s="384" t="e">
        <f t="shared" si="45"/>
        <v>#REF!</v>
      </c>
      <c r="AK187" s="384" t="e">
        <f t="shared" si="45"/>
        <v>#REF!</v>
      </c>
      <c r="AL187" s="384"/>
      <c r="AM187" s="384" t="e">
        <f t="shared" si="45"/>
        <v>#REF!</v>
      </c>
      <c r="AN187" s="384" t="e">
        <f t="shared" si="45"/>
        <v>#REF!</v>
      </c>
      <c r="AO187" s="384" t="e">
        <f t="shared" si="45"/>
        <v>#REF!</v>
      </c>
      <c r="AP187" s="384" t="e">
        <f t="shared" si="45"/>
        <v>#REF!</v>
      </c>
      <c r="AQ187" s="384"/>
      <c r="AR187" s="384" t="e">
        <f t="shared" si="45"/>
        <v>#REF!</v>
      </c>
      <c r="AS187" s="384" t="e">
        <f t="shared" si="45"/>
        <v>#REF!</v>
      </c>
      <c r="AT187" s="384" t="e">
        <f t="shared" si="45"/>
        <v>#REF!</v>
      </c>
      <c r="AU187" s="384" t="e">
        <f t="shared" si="45"/>
        <v>#REF!</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7:C7"/>
    <mergeCell ref="A3:A4"/>
    <mergeCell ref="B3:C3"/>
    <mergeCell ref="B4:C4"/>
    <mergeCell ref="B5:C5"/>
    <mergeCell ref="B6:C6"/>
    <mergeCell ref="B39:C39"/>
    <mergeCell ref="B8:C8"/>
    <mergeCell ref="B9:C9"/>
    <mergeCell ref="B16:C16"/>
    <mergeCell ref="B23:C23"/>
    <mergeCell ref="B24:C24"/>
    <mergeCell ref="B25:C25"/>
    <mergeCell ref="B30:C30"/>
    <mergeCell ref="B31:C31"/>
    <mergeCell ref="B32:C32"/>
    <mergeCell ref="B33:C33"/>
    <mergeCell ref="B38:C38"/>
    <mergeCell ref="B83:C83"/>
    <mergeCell ref="B40:C40"/>
    <mergeCell ref="B41:C41"/>
    <mergeCell ref="B45:C45"/>
    <mergeCell ref="B50:C50"/>
    <mergeCell ref="B54:C54"/>
    <mergeCell ref="B55:C55"/>
    <mergeCell ref="B59:C59"/>
    <mergeCell ref="B60:C60"/>
    <mergeCell ref="B73:C73"/>
    <mergeCell ref="B74:C74"/>
    <mergeCell ref="B78:C78"/>
    <mergeCell ref="B138:C138"/>
    <mergeCell ref="B87:C87"/>
    <mergeCell ref="B88:C88"/>
    <mergeCell ref="B92:C92"/>
    <mergeCell ref="B93:C93"/>
    <mergeCell ref="B107:C107"/>
    <mergeCell ref="B108:C108"/>
    <mergeCell ref="B110:C110"/>
    <mergeCell ref="B122:C122"/>
    <mergeCell ref="B123:C123"/>
    <mergeCell ref="B125:C125"/>
    <mergeCell ref="B132:C132"/>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72:C172"/>
    <mergeCell ref="B156:C156"/>
    <mergeCell ref="B157:C157"/>
    <mergeCell ref="B158:C158"/>
    <mergeCell ref="B162:C162"/>
    <mergeCell ref="B163:C163"/>
    <mergeCell ref="B165:C16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81FD1-D4DD-4569-8594-0CAC6D4B7E56}">
  <sheetPr>
    <tabColor theme="9" tint="0.79998168889431442"/>
    <pageSetUpPr fitToPage="1"/>
  </sheetPr>
  <dimension ref="A1:AV67"/>
  <sheetViews>
    <sheetView showGridLines="0" zoomScaleNormal="100" workbookViewId="0">
      <pane xSplit="3" ySplit="5" topLeftCell="D6"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583" t="s">
        <v>249</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583" t="s">
        <v>211</v>
      </c>
      <c r="C5" s="584"/>
      <c r="D5" s="13"/>
      <c r="E5" s="13"/>
      <c r="F5" s="13"/>
      <c r="G5" s="258"/>
      <c r="H5" s="259"/>
      <c r="I5" s="258"/>
      <c r="J5" s="13"/>
      <c r="K5" s="13"/>
      <c r="L5" s="258"/>
      <c r="M5" s="259"/>
      <c r="N5" s="258"/>
      <c r="O5" s="13"/>
      <c r="P5" s="13"/>
      <c r="Q5" s="258"/>
      <c r="R5" s="259"/>
      <c r="S5" s="258"/>
      <c r="T5" s="13"/>
      <c r="U5" s="13"/>
      <c r="V5" s="15"/>
      <c r="W5" s="41"/>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580" t="s">
        <v>212</v>
      </c>
      <c r="C6" s="581"/>
      <c r="D6" s="16" t="e">
        <f>#REF!-'BS 3Q2022'!D6</f>
        <v>#REF!</v>
      </c>
      <c r="E6" s="16" t="e">
        <f>#REF!-'BS 3Q2022'!E6</f>
        <v>#REF!</v>
      </c>
      <c r="F6" s="16" t="e">
        <f>#REF!-'BS 3Q2022'!F6</f>
        <v>#REF!</v>
      </c>
      <c r="G6" s="101" t="e">
        <f>#REF!-'BS 3Q2022'!G6</f>
        <v>#REF!</v>
      </c>
      <c r="H6" s="17" t="e">
        <f>#REF!-'BS 3Q2022'!H6</f>
        <v>#REF!</v>
      </c>
      <c r="I6" s="16" t="e">
        <f>#REF!-'BS 3Q2022'!I6</f>
        <v>#REF!</v>
      </c>
      <c r="J6" s="16" t="e">
        <f>#REF!-'BS 3Q2022'!J6</f>
        <v>#REF!</v>
      </c>
      <c r="K6" s="16" t="e">
        <f>#REF!-'BS 3Q2022'!K6</f>
        <v>#REF!</v>
      </c>
      <c r="L6" s="101" t="e">
        <f>#REF!-'BS 3Q2022'!L6</f>
        <v>#REF!</v>
      </c>
      <c r="M6" s="17" t="e">
        <f>#REF!-'BS 3Q2022'!M6</f>
        <v>#REF!</v>
      </c>
      <c r="N6" s="16" t="e">
        <f>#REF!-'BS 3Q2022'!N6</f>
        <v>#REF!</v>
      </c>
      <c r="O6" s="16" t="e">
        <f>#REF!-'BS 3Q2022'!O6</f>
        <v>#REF!</v>
      </c>
      <c r="P6" s="16" t="e">
        <f>#REF!-'BS 3Q2022'!P6</f>
        <v>#REF!</v>
      </c>
      <c r="Q6" s="16" t="e">
        <f>#REF!-'BS 3Q2022'!Q6</f>
        <v>#REF!</v>
      </c>
      <c r="R6" s="17" t="e">
        <f>#REF!-'BS 3Q2022'!R6</f>
        <v>#REF!</v>
      </c>
      <c r="S6" s="16" t="e">
        <f>#REF!-'BS 3Q2022'!S6</f>
        <v>#REF!</v>
      </c>
      <c r="T6" s="16" t="e">
        <f>#REF!-'BS 3Q2022'!T6</f>
        <v>#REF!</v>
      </c>
      <c r="U6" s="16" t="e">
        <f>#REF!-'BS 3Q2022'!U6</f>
        <v>#REF!</v>
      </c>
      <c r="V6" s="16" t="e">
        <f>#REF!-'BS 3Q2022'!V6</f>
        <v>#REF!</v>
      </c>
      <c r="W6" s="17" t="e">
        <f>#REF!-'BS 3Q2022'!W6</f>
        <v>#REF!</v>
      </c>
      <c r="X6" s="16" t="e">
        <f>#REF!-'BS 3Q2022'!X6</f>
        <v>#REF!</v>
      </c>
      <c r="Y6" s="16" t="e">
        <f>#REF!-'BS 3Q2022'!Y6</f>
        <v>#REF!</v>
      </c>
      <c r="Z6" s="16" t="e">
        <f>#REF!-'BS 3Q2022'!Z6</f>
        <v>#REF!</v>
      </c>
      <c r="AA6" s="16" t="e">
        <f>#REF!-'BS 3Q2022'!AA6</f>
        <v>#REF!</v>
      </c>
      <c r="AB6" s="17" t="e">
        <f>#REF!-'BS 3Q2022'!AB6</f>
        <v>#REF!</v>
      </c>
      <c r="AC6" s="16" t="e">
        <f>#REF!-'BS 3Q2022'!AC6</f>
        <v>#REF!</v>
      </c>
      <c r="AD6" s="16" t="e">
        <f>#REF!-'BS 3Q2022'!AD6</f>
        <v>#REF!</v>
      </c>
      <c r="AE6" s="16" t="e">
        <f>#REF!-'BS 3Q2022'!AE6</f>
        <v>#REF!</v>
      </c>
      <c r="AF6" s="16" t="e">
        <f>#REF!-'BS 3Q2022'!AF6</f>
        <v>#REF!</v>
      </c>
      <c r="AG6" s="17" t="e">
        <f>#REF!-'BS 3Q2022'!AG6</f>
        <v>#REF!</v>
      </c>
      <c r="AH6" s="16" t="e">
        <f>#REF!-'BS 3Q2022'!AH6</f>
        <v>#REF!</v>
      </c>
      <c r="AI6" s="16" t="e">
        <f>#REF!-'BS 3Q2022'!AI6</f>
        <v>#REF!</v>
      </c>
      <c r="AJ6" s="16" t="e">
        <f>#REF!-'BS 3Q2022'!AJ6</f>
        <v>#REF!</v>
      </c>
      <c r="AK6" s="16" t="e">
        <f>#REF!-'BS 3Q2022'!AK6</f>
        <v>#REF!</v>
      </c>
      <c r="AL6" s="17" t="e">
        <f>#REF!-'BS 3Q2022'!AL6</f>
        <v>#REF!</v>
      </c>
      <c r="AM6" s="16" t="e">
        <f>#REF!-'BS 3Q2022'!AM6</f>
        <v>#REF!</v>
      </c>
      <c r="AN6" s="16" t="e">
        <f>#REF!-'BS 3Q2022'!AN6</f>
        <v>#REF!</v>
      </c>
      <c r="AO6" s="16" t="e">
        <f>#REF!-'BS 3Q2022'!AO6</f>
        <v>#REF!</v>
      </c>
      <c r="AP6" s="16" t="e">
        <f>#REF!-'BS 3Q2022'!AP6</f>
        <v>#REF!</v>
      </c>
      <c r="AQ6" s="17" t="e">
        <f>#REF!-'BS 3Q2022'!AQ6</f>
        <v>#REF!</v>
      </c>
      <c r="AR6" s="16" t="e">
        <f>#REF!-'BS 3Q2022'!AR6</f>
        <v>#REF!</v>
      </c>
      <c r="AS6" s="16" t="e">
        <f>#REF!-'BS 3Q2022'!AS6</f>
        <v>#REF!</v>
      </c>
      <c r="AT6" s="16" t="e">
        <f>#REF!-'BS 3Q2022'!AT6</f>
        <v>#REF!</v>
      </c>
      <c r="AU6" s="16" t="e">
        <f>#REF!-'BS 3Q2022'!AU6</f>
        <v>#REF!</v>
      </c>
      <c r="AV6" s="17" t="e">
        <f>#REF!-'BS 3Q2022'!AV6</f>
        <v>#REF!</v>
      </c>
    </row>
    <row r="7" spans="1:48" ht="14.55" customHeight="1" outlineLevel="1" x14ac:dyDescent="0.3">
      <c r="A7" s="161"/>
      <c r="B7" s="200" t="s">
        <v>213</v>
      </c>
      <c r="C7" s="201"/>
      <c r="D7" s="16" t="e">
        <f>#REF!-'BS 3Q2022'!D7</f>
        <v>#REF!</v>
      </c>
      <c r="E7" s="16" t="e">
        <f>#REF!-'BS 3Q2022'!E7</f>
        <v>#REF!</v>
      </c>
      <c r="F7" s="16" t="e">
        <f>#REF!-'BS 3Q2022'!F7</f>
        <v>#REF!</v>
      </c>
      <c r="G7" s="16" t="e">
        <f>#REF!-'BS 3Q2022'!G7</f>
        <v>#REF!</v>
      </c>
      <c r="H7" s="17" t="e">
        <f>#REF!-'BS 3Q2022'!H7</f>
        <v>#REF!</v>
      </c>
      <c r="I7" s="16" t="e">
        <f>#REF!-'BS 3Q2022'!I7</f>
        <v>#REF!</v>
      </c>
      <c r="J7" s="16" t="e">
        <f>#REF!-'BS 3Q2022'!J7</f>
        <v>#REF!</v>
      </c>
      <c r="K7" s="16" t="e">
        <f>#REF!-'BS 3Q2022'!K7</f>
        <v>#REF!</v>
      </c>
      <c r="L7" s="16" t="e">
        <f>#REF!-'BS 3Q2022'!L7</f>
        <v>#REF!</v>
      </c>
      <c r="M7" s="17" t="e">
        <f>#REF!-'BS 3Q2022'!M7</f>
        <v>#REF!</v>
      </c>
      <c r="N7" s="16" t="e">
        <f>#REF!-'BS 3Q2022'!N7</f>
        <v>#REF!</v>
      </c>
      <c r="O7" s="16" t="e">
        <f>#REF!-'BS 3Q2022'!O7</f>
        <v>#REF!</v>
      </c>
      <c r="P7" s="16" t="e">
        <f>#REF!-'BS 3Q2022'!P7</f>
        <v>#REF!</v>
      </c>
      <c r="Q7" s="101" t="e">
        <f>#REF!-'BS 3Q2022'!Q7</f>
        <v>#REF!</v>
      </c>
      <c r="R7" s="17" t="e">
        <f>#REF!-'BS 3Q2022'!R7</f>
        <v>#REF!</v>
      </c>
      <c r="S7" s="16" t="e">
        <f>#REF!-'BS 3Q2022'!S7</f>
        <v>#REF!</v>
      </c>
      <c r="T7" s="16" t="e">
        <f>#REF!-'BS 3Q2022'!T7</f>
        <v>#REF!</v>
      </c>
      <c r="U7" s="16" t="e">
        <f>#REF!-'BS 3Q2022'!U7</f>
        <v>#REF!</v>
      </c>
      <c r="V7" s="16" t="e">
        <f>#REF!-'BS 3Q2022'!V7</f>
        <v>#REF!</v>
      </c>
      <c r="W7" s="17" t="e">
        <f>#REF!-'BS 3Q2022'!W7</f>
        <v>#REF!</v>
      </c>
      <c r="X7" s="16" t="e">
        <f>#REF!-'BS 3Q2022'!X7</f>
        <v>#REF!</v>
      </c>
      <c r="Y7" s="16" t="e">
        <f>#REF!-'BS 3Q2022'!Y7</f>
        <v>#REF!</v>
      </c>
      <c r="Z7" s="16" t="e">
        <f>#REF!-'BS 3Q2022'!Z7</f>
        <v>#REF!</v>
      </c>
      <c r="AA7" s="16" t="e">
        <f>#REF!-'BS 3Q2022'!AA7</f>
        <v>#REF!</v>
      </c>
      <c r="AB7" s="17" t="e">
        <f>#REF!-'BS 3Q2022'!AB7</f>
        <v>#REF!</v>
      </c>
      <c r="AC7" s="16" t="e">
        <f>#REF!-'BS 3Q2022'!AC7</f>
        <v>#REF!</v>
      </c>
      <c r="AD7" s="16" t="e">
        <f>#REF!-'BS 3Q2022'!AD7</f>
        <v>#REF!</v>
      </c>
      <c r="AE7" s="16" t="e">
        <f>#REF!-'BS 3Q2022'!AE7</f>
        <v>#REF!</v>
      </c>
      <c r="AF7" s="16" t="e">
        <f>#REF!-'BS 3Q2022'!AF7</f>
        <v>#REF!</v>
      </c>
      <c r="AG7" s="17" t="e">
        <f>#REF!-'BS 3Q2022'!AG7</f>
        <v>#REF!</v>
      </c>
      <c r="AH7" s="16" t="e">
        <f>#REF!-'BS 3Q2022'!AH7</f>
        <v>#REF!</v>
      </c>
      <c r="AI7" s="16" t="e">
        <f>#REF!-'BS 3Q2022'!AI7</f>
        <v>#REF!</v>
      </c>
      <c r="AJ7" s="16" t="e">
        <f>#REF!-'BS 3Q2022'!AJ7</f>
        <v>#REF!</v>
      </c>
      <c r="AK7" s="16" t="e">
        <f>#REF!-'BS 3Q2022'!AK7</f>
        <v>#REF!</v>
      </c>
      <c r="AL7" s="17" t="e">
        <f>#REF!-'BS 3Q2022'!AL7</f>
        <v>#REF!</v>
      </c>
      <c r="AM7" s="16" t="e">
        <f>#REF!-'BS 3Q2022'!AM7</f>
        <v>#REF!</v>
      </c>
      <c r="AN7" s="16" t="e">
        <f>#REF!-'BS 3Q2022'!AN7</f>
        <v>#REF!</v>
      </c>
      <c r="AO7" s="16" t="e">
        <f>#REF!-'BS 3Q2022'!AO7</f>
        <v>#REF!</v>
      </c>
      <c r="AP7" s="16" t="e">
        <f>#REF!-'BS 3Q2022'!AP7</f>
        <v>#REF!</v>
      </c>
      <c r="AQ7" s="17" t="e">
        <f>#REF!-'BS 3Q2022'!AQ7</f>
        <v>#REF!</v>
      </c>
      <c r="AR7" s="16" t="e">
        <f>#REF!-'BS 3Q2022'!AR7</f>
        <v>#REF!</v>
      </c>
      <c r="AS7" s="16" t="e">
        <f>#REF!-'BS 3Q2022'!AS7</f>
        <v>#REF!</v>
      </c>
      <c r="AT7" s="16" t="e">
        <f>#REF!-'BS 3Q2022'!AT7</f>
        <v>#REF!</v>
      </c>
      <c r="AU7" s="16" t="e">
        <f>#REF!-'BS 3Q2022'!AU7</f>
        <v>#REF!</v>
      </c>
      <c r="AV7" s="17" t="e">
        <f>#REF!-'BS 3Q2022'!AV7</f>
        <v>#REF!</v>
      </c>
    </row>
    <row r="8" spans="1:48" s="23" customFormat="1" ht="14.55" customHeight="1" outlineLevel="1" x14ac:dyDescent="0.3">
      <c r="A8" s="161"/>
      <c r="B8" s="580" t="s">
        <v>214</v>
      </c>
      <c r="C8" s="581"/>
      <c r="D8" s="16" t="e">
        <f>#REF!-'BS 3Q2022'!D8</f>
        <v>#REF!</v>
      </c>
      <c r="E8" s="16" t="e">
        <f>#REF!-'BS 3Q2022'!E8</f>
        <v>#REF!</v>
      </c>
      <c r="F8" s="16" t="e">
        <f>#REF!-'BS 3Q2022'!F8</f>
        <v>#REF!</v>
      </c>
      <c r="G8" s="16" t="e">
        <f>#REF!-'BS 3Q2022'!G8</f>
        <v>#REF!</v>
      </c>
      <c r="H8" s="17" t="e">
        <f>#REF!-'BS 3Q2022'!H8</f>
        <v>#REF!</v>
      </c>
      <c r="I8" s="16" t="e">
        <f>#REF!-'BS 3Q2022'!I8</f>
        <v>#REF!</v>
      </c>
      <c r="J8" s="16" t="e">
        <f>#REF!-'BS 3Q2022'!J8</f>
        <v>#REF!</v>
      </c>
      <c r="K8" s="16" t="e">
        <f>#REF!-'BS 3Q2022'!K8</f>
        <v>#REF!</v>
      </c>
      <c r="L8" s="16" t="e">
        <f>#REF!-'BS 3Q2022'!L8</f>
        <v>#REF!</v>
      </c>
      <c r="M8" s="17" t="e">
        <f>#REF!-'BS 3Q2022'!M8</f>
        <v>#REF!</v>
      </c>
      <c r="N8" s="16" t="e">
        <f>#REF!-'BS 3Q2022'!N8</f>
        <v>#REF!</v>
      </c>
      <c r="O8" s="16" t="e">
        <f>#REF!-'BS 3Q2022'!O8</f>
        <v>#REF!</v>
      </c>
      <c r="P8" s="16" t="e">
        <f>#REF!-'BS 3Q2022'!P8</f>
        <v>#REF!</v>
      </c>
      <c r="Q8" s="101" t="e">
        <f>#REF!-'BS 3Q2022'!Q8</f>
        <v>#REF!</v>
      </c>
      <c r="R8" s="17" t="e">
        <f>#REF!-'BS 3Q2022'!R8</f>
        <v>#REF!</v>
      </c>
      <c r="S8" s="16" t="e">
        <f>#REF!-'BS 3Q2022'!S8</f>
        <v>#REF!</v>
      </c>
      <c r="T8" s="16" t="e">
        <f>#REF!-'BS 3Q2022'!T8</f>
        <v>#REF!</v>
      </c>
      <c r="U8" s="16" t="e">
        <f>#REF!-'BS 3Q2022'!U8</f>
        <v>#REF!</v>
      </c>
      <c r="V8" s="16" t="e">
        <f>#REF!-'BS 3Q2022'!V8</f>
        <v>#REF!</v>
      </c>
      <c r="W8" s="17" t="e">
        <f>#REF!-'BS 3Q2022'!W8</f>
        <v>#REF!</v>
      </c>
      <c r="X8" s="16" t="e">
        <f>#REF!-'BS 3Q2022'!X8</f>
        <v>#REF!</v>
      </c>
      <c r="Y8" s="16" t="e">
        <f>#REF!-'BS 3Q2022'!Y8</f>
        <v>#REF!</v>
      </c>
      <c r="Z8" s="16" t="e">
        <f>#REF!-'BS 3Q2022'!Z8</f>
        <v>#REF!</v>
      </c>
      <c r="AA8" s="16" t="e">
        <f>#REF!-'BS 3Q2022'!AA8</f>
        <v>#REF!</v>
      </c>
      <c r="AB8" s="17" t="e">
        <f>#REF!-'BS 3Q2022'!AB8</f>
        <v>#REF!</v>
      </c>
      <c r="AC8" s="16" t="e">
        <f>#REF!-'BS 3Q2022'!AC8</f>
        <v>#REF!</v>
      </c>
      <c r="AD8" s="16" t="e">
        <f>#REF!-'BS 3Q2022'!AD8</f>
        <v>#REF!</v>
      </c>
      <c r="AE8" s="16" t="e">
        <f>#REF!-'BS 3Q2022'!AE8</f>
        <v>#REF!</v>
      </c>
      <c r="AF8" s="16" t="e">
        <f>#REF!-'BS 3Q2022'!AF8</f>
        <v>#REF!</v>
      </c>
      <c r="AG8" s="17" t="e">
        <f>#REF!-'BS 3Q2022'!AG8</f>
        <v>#REF!</v>
      </c>
      <c r="AH8" s="16" t="e">
        <f>#REF!-'BS 3Q2022'!AH8</f>
        <v>#REF!</v>
      </c>
      <c r="AI8" s="16" t="e">
        <f>#REF!-'BS 3Q2022'!AI8</f>
        <v>#REF!</v>
      </c>
      <c r="AJ8" s="16" t="e">
        <f>#REF!-'BS 3Q2022'!AJ8</f>
        <v>#REF!</v>
      </c>
      <c r="AK8" s="16" t="e">
        <f>#REF!-'BS 3Q2022'!AK8</f>
        <v>#REF!</v>
      </c>
      <c r="AL8" s="17" t="e">
        <f>#REF!-'BS 3Q2022'!AL8</f>
        <v>#REF!</v>
      </c>
      <c r="AM8" s="16" t="e">
        <f>#REF!-'BS 3Q2022'!AM8</f>
        <v>#REF!</v>
      </c>
      <c r="AN8" s="16" t="e">
        <f>#REF!-'BS 3Q2022'!AN8</f>
        <v>#REF!</v>
      </c>
      <c r="AO8" s="16" t="e">
        <f>#REF!-'BS 3Q2022'!AO8</f>
        <v>#REF!</v>
      </c>
      <c r="AP8" s="16" t="e">
        <f>#REF!-'BS 3Q2022'!AP8</f>
        <v>#REF!</v>
      </c>
      <c r="AQ8" s="17" t="e">
        <f>#REF!-'BS 3Q2022'!AQ8</f>
        <v>#REF!</v>
      </c>
      <c r="AR8" s="16" t="e">
        <f>#REF!-'BS 3Q2022'!AR8</f>
        <v>#REF!</v>
      </c>
      <c r="AS8" s="16" t="e">
        <f>#REF!-'BS 3Q2022'!AS8</f>
        <v>#REF!</v>
      </c>
      <c r="AT8" s="16" t="e">
        <f>#REF!-'BS 3Q2022'!AT8</f>
        <v>#REF!</v>
      </c>
      <c r="AU8" s="16" t="e">
        <f>#REF!-'BS 3Q2022'!AU8</f>
        <v>#REF!</v>
      </c>
      <c r="AV8" s="17" t="e">
        <f>#REF!-'BS 3Q2022'!AV8</f>
        <v>#REF!</v>
      </c>
    </row>
    <row r="9" spans="1:48" s="23" customFormat="1" ht="14.55" customHeight="1" outlineLevel="1" x14ac:dyDescent="0.3">
      <c r="A9" s="161"/>
      <c r="B9" s="200" t="s">
        <v>215</v>
      </c>
      <c r="C9" s="201"/>
      <c r="D9" s="16" t="e">
        <f>#REF!-'BS 3Q2022'!D9</f>
        <v>#REF!</v>
      </c>
      <c r="E9" s="16" t="e">
        <f>#REF!-'BS 3Q2022'!E9</f>
        <v>#REF!</v>
      </c>
      <c r="F9" s="16" t="e">
        <f>#REF!-'BS 3Q2022'!F9</f>
        <v>#REF!</v>
      </c>
      <c r="G9" s="16" t="e">
        <f>#REF!-'BS 3Q2022'!G9</f>
        <v>#REF!</v>
      </c>
      <c r="H9" s="17" t="e">
        <f>#REF!-'BS 3Q2022'!H9</f>
        <v>#REF!</v>
      </c>
      <c r="I9" s="16" t="e">
        <f>#REF!-'BS 3Q2022'!I9</f>
        <v>#REF!</v>
      </c>
      <c r="J9" s="16" t="e">
        <f>#REF!-'BS 3Q2022'!J9</f>
        <v>#REF!</v>
      </c>
      <c r="K9" s="16" t="e">
        <f>#REF!-'BS 3Q2022'!K9</f>
        <v>#REF!</v>
      </c>
      <c r="L9" s="16" t="e">
        <f>#REF!-'BS 3Q2022'!L9</f>
        <v>#REF!</v>
      </c>
      <c r="M9" s="17" t="e">
        <f>#REF!-'BS 3Q2022'!M9</f>
        <v>#REF!</v>
      </c>
      <c r="N9" s="16" t="e">
        <f>#REF!-'BS 3Q2022'!N9</f>
        <v>#REF!</v>
      </c>
      <c r="O9" s="16" t="e">
        <f>#REF!-'BS 3Q2022'!O9</f>
        <v>#REF!</v>
      </c>
      <c r="P9" s="16" t="e">
        <f>#REF!-'BS 3Q2022'!P9</f>
        <v>#REF!</v>
      </c>
      <c r="Q9" s="101" t="e">
        <f>#REF!-'BS 3Q2022'!Q9</f>
        <v>#REF!</v>
      </c>
      <c r="R9" s="17" t="e">
        <f>#REF!-'BS 3Q2022'!R9</f>
        <v>#REF!</v>
      </c>
      <c r="S9" s="16" t="e">
        <f>#REF!-'BS 3Q2022'!S9</f>
        <v>#REF!</v>
      </c>
      <c r="T9" s="16" t="e">
        <f>#REF!-'BS 3Q2022'!T9</f>
        <v>#REF!</v>
      </c>
      <c r="U9" s="16" t="e">
        <f>#REF!-'BS 3Q2022'!U9</f>
        <v>#REF!</v>
      </c>
      <c r="V9" s="16" t="e">
        <f>#REF!-'BS 3Q2022'!V9</f>
        <v>#REF!</v>
      </c>
      <c r="W9" s="17" t="e">
        <f>#REF!-'BS 3Q2022'!W9</f>
        <v>#REF!</v>
      </c>
      <c r="X9" s="16" t="e">
        <f>#REF!-'BS 3Q2022'!X9</f>
        <v>#REF!</v>
      </c>
      <c r="Y9" s="16" t="e">
        <f>#REF!-'BS 3Q2022'!Y9</f>
        <v>#REF!</v>
      </c>
      <c r="Z9" s="16" t="e">
        <f>#REF!-'BS 3Q2022'!Z9</f>
        <v>#REF!</v>
      </c>
      <c r="AA9" s="16" t="e">
        <f>#REF!-'BS 3Q2022'!AA9</f>
        <v>#REF!</v>
      </c>
      <c r="AB9" s="17" t="e">
        <f>#REF!-'BS 3Q2022'!AB9</f>
        <v>#REF!</v>
      </c>
      <c r="AC9" s="16" t="e">
        <f>#REF!-'BS 3Q2022'!AC9</f>
        <v>#REF!</v>
      </c>
      <c r="AD9" s="16" t="e">
        <f>#REF!-'BS 3Q2022'!AD9</f>
        <v>#REF!</v>
      </c>
      <c r="AE9" s="16" t="e">
        <f>#REF!-'BS 3Q2022'!AE9</f>
        <v>#REF!</v>
      </c>
      <c r="AF9" s="16" t="e">
        <f>#REF!-'BS 3Q2022'!AF9</f>
        <v>#REF!</v>
      </c>
      <c r="AG9" s="17" t="e">
        <f>#REF!-'BS 3Q2022'!AG9</f>
        <v>#REF!</v>
      </c>
      <c r="AH9" s="16" t="e">
        <f>#REF!-'BS 3Q2022'!AH9</f>
        <v>#REF!</v>
      </c>
      <c r="AI9" s="16" t="e">
        <f>#REF!-'BS 3Q2022'!AI9</f>
        <v>#REF!</v>
      </c>
      <c r="AJ9" s="16" t="e">
        <f>#REF!-'BS 3Q2022'!AJ9</f>
        <v>#REF!</v>
      </c>
      <c r="AK9" s="16" t="e">
        <f>#REF!-'BS 3Q2022'!AK9</f>
        <v>#REF!</v>
      </c>
      <c r="AL9" s="17" t="e">
        <f>#REF!-'BS 3Q2022'!AL9</f>
        <v>#REF!</v>
      </c>
      <c r="AM9" s="16" t="e">
        <f>#REF!-'BS 3Q2022'!AM9</f>
        <v>#REF!</v>
      </c>
      <c r="AN9" s="16" t="e">
        <f>#REF!-'BS 3Q2022'!AN9</f>
        <v>#REF!</v>
      </c>
      <c r="AO9" s="16" t="e">
        <f>#REF!-'BS 3Q2022'!AO9</f>
        <v>#REF!</v>
      </c>
      <c r="AP9" s="16" t="e">
        <f>#REF!-'BS 3Q2022'!AP9</f>
        <v>#REF!</v>
      </c>
      <c r="AQ9" s="17" t="e">
        <f>#REF!-'BS 3Q2022'!AQ9</f>
        <v>#REF!</v>
      </c>
      <c r="AR9" s="16" t="e">
        <f>#REF!-'BS 3Q2022'!AR9</f>
        <v>#REF!</v>
      </c>
      <c r="AS9" s="16" t="e">
        <f>#REF!-'BS 3Q2022'!AS9</f>
        <v>#REF!</v>
      </c>
      <c r="AT9" s="16" t="e">
        <f>#REF!-'BS 3Q2022'!AT9</f>
        <v>#REF!</v>
      </c>
      <c r="AU9" s="16" t="e">
        <f>#REF!-'BS 3Q2022'!AU9</f>
        <v>#REF!</v>
      </c>
      <c r="AV9" s="17" t="e">
        <f>#REF!-'BS 3Q2022'!AV9</f>
        <v>#REF!</v>
      </c>
    </row>
    <row r="10" spans="1:48" ht="16.2" customHeight="1" outlineLevel="1" x14ac:dyDescent="0.45">
      <c r="A10" s="161"/>
      <c r="B10" s="580" t="s">
        <v>216</v>
      </c>
      <c r="C10" s="581"/>
      <c r="D10" s="260" t="e">
        <f>#REF!-'BS 3Q2022'!D10</f>
        <v>#REF!</v>
      </c>
      <c r="E10" s="112" t="e">
        <f>#REF!-'BS 3Q2022'!E10</f>
        <v>#REF!</v>
      </c>
      <c r="F10" s="112" t="e">
        <f>#REF!-'BS 3Q2022'!F10</f>
        <v>#REF!</v>
      </c>
      <c r="G10" s="112" t="e">
        <f>#REF!-'BS 3Q2022'!G10</f>
        <v>#REF!</v>
      </c>
      <c r="H10" s="261" t="e">
        <f>#REF!-'BS 3Q2022'!H10</f>
        <v>#REF!</v>
      </c>
      <c r="I10" s="112" t="e">
        <f>#REF!-'BS 3Q2022'!I10</f>
        <v>#REF!</v>
      </c>
      <c r="J10" s="112" t="e">
        <f>#REF!-'BS 3Q2022'!J10</f>
        <v>#REF!</v>
      </c>
      <c r="K10" s="112" t="e">
        <f>#REF!-'BS 3Q2022'!K10</f>
        <v>#REF!</v>
      </c>
      <c r="L10" s="112" t="e">
        <f>#REF!-'BS 3Q2022'!L10</f>
        <v>#REF!</v>
      </c>
      <c r="M10" s="261" t="e">
        <f>#REF!-'BS 3Q2022'!M10</f>
        <v>#REF!</v>
      </c>
      <c r="N10" s="112" t="e">
        <f>#REF!-'BS 3Q2022'!N10</f>
        <v>#REF!</v>
      </c>
      <c r="O10" s="112" t="e">
        <f>#REF!-'BS 3Q2022'!O10</f>
        <v>#REF!</v>
      </c>
      <c r="P10" s="112" t="e">
        <f>#REF!-'BS 3Q2022'!P10</f>
        <v>#REF!</v>
      </c>
      <c r="Q10" s="112" t="e">
        <f>#REF!-'BS 3Q2022'!Q10</f>
        <v>#REF!</v>
      </c>
      <c r="R10" s="261" t="e">
        <f>#REF!-'BS 3Q2022'!R10</f>
        <v>#REF!</v>
      </c>
      <c r="S10" s="112" t="e">
        <f>#REF!-'BS 3Q2022'!S10</f>
        <v>#REF!</v>
      </c>
      <c r="T10" s="112" t="e">
        <f>#REF!-'BS 3Q2022'!T10</f>
        <v>#REF!</v>
      </c>
      <c r="U10" s="112" t="e">
        <f>#REF!-'BS 3Q2022'!U10</f>
        <v>#REF!</v>
      </c>
      <c r="V10" s="32" t="e">
        <f>#REF!-'BS 3Q2022'!V10</f>
        <v>#REF!</v>
      </c>
      <c r="W10" s="261" t="e">
        <f>#REF!-'BS 3Q2022'!W10</f>
        <v>#REF!</v>
      </c>
      <c r="X10" s="32" t="e">
        <f>#REF!-'BS 3Q2022'!X10</f>
        <v>#REF!</v>
      </c>
      <c r="Y10" s="32" t="e">
        <f>#REF!-'BS 3Q2022'!Y10</f>
        <v>#REF!</v>
      </c>
      <c r="Z10" s="32" t="e">
        <f>#REF!-'BS 3Q2022'!Z10</f>
        <v>#REF!</v>
      </c>
      <c r="AA10" s="32" t="e">
        <f>#REF!-'BS 3Q2022'!AA10</f>
        <v>#REF!</v>
      </c>
      <c r="AB10" s="261" t="e">
        <f>#REF!-'BS 3Q2022'!AB10</f>
        <v>#REF!</v>
      </c>
      <c r="AC10" s="32" t="e">
        <f>#REF!-'BS 3Q2022'!AC10</f>
        <v>#REF!</v>
      </c>
      <c r="AD10" s="32" t="e">
        <f>#REF!-'BS 3Q2022'!AD10</f>
        <v>#REF!</v>
      </c>
      <c r="AE10" s="32" t="e">
        <f>#REF!-'BS 3Q2022'!AE10</f>
        <v>#REF!</v>
      </c>
      <c r="AF10" s="32" t="e">
        <f>#REF!-'BS 3Q2022'!AF10</f>
        <v>#REF!</v>
      </c>
      <c r="AG10" s="261" t="e">
        <f>#REF!-'BS 3Q2022'!AG10</f>
        <v>#REF!</v>
      </c>
      <c r="AH10" s="32" t="e">
        <f>#REF!-'BS 3Q2022'!AH10</f>
        <v>#REF!</v>
      </c>
      <c r="AI10" s="32" t="e">
        <f>#REF!-'BS 3Q2022'!AI10</f>
        <v>#REF!</v>
      </c>
      <c r="AJ10" s="32" t="e">
        <f>#REF!-'BS 3Q2022'!AJ10</f>
        <v>#REF!</v>
      </c>
      <c r="AK10" s="32" t="e">
        <f>#REF!-'BS 3Q2022'!AK10</f>
        <v>#REF!</v>
      </c>
      <c r="AL10" s="261" t="e">
        <f>#REF!-'BS 3Q2022'!AL10</f>
        <v>#REF!</v>
      </c>
      <c r="AM10" s="32" t="e">
        <f>#REF!-'BS 3Q2022'!AM10</f>
        <v>#REF!</v>
      </c>
      <c r="AN10" s="32" t="e">
        <f>#REF!-'BS 3Q2022'!AN10</f>
        <v>#REF!</v>
      </c>
      <c r="AO10" s="32" t="e">
        <f>#REF!-'BS 3Q2022'!AO10</f>
        <v>#REF!</v>
      </c>
      <c r="AP10" s="32" t="e">
        <f>#REF!-'BS 3Q2022'!AP10</f>
        <v>#REF!</v>
      </c>
      <c r="AQ10" s="261" t="e">
        <f>#REF!-'BS 3Q2022'!AQ10</f>
        <v>#REF!</v>
      </c>
      <c r="AR10" s="32" t="e">
        <f>#REF!-'BS 3Q2022'!AR10</f>
        <v>#REF!</v>
      </c>
      <c r="AS10" s="32" t="e">
        <f>#REF!-'BS 3Q2022'!AS10</f>
        <v>#REF!</v>
      </c>
      <c r="AT10" s="32" t="e">
        <f>#REF!-'BS 3Q2022'!AT10</f>
        <v>#REF!</v>
      </c>
      <c r="AU10" s="32" t="e">
        <f>#REF!-'BS 3Q2022'!AU10</f>
        <v>#REF!</v>
      </c>
      <c r="AV10" s="261" t="e">
        <f>#REF!-'BS 3Q2022'!AV10</f>
        <v>#REF!</v>
      </c>
    </row>
    <row r="11" spans="1:48" ht="14.55" customHeight="1" outlineLevel="1" x14ac:dyDescent="0.3">
      <c r="A11" s="161"/>
      <c r="B11" s="205" t="s">
        <v>217</v>
      </c>
      <c r="C11" s="206"/>
      <c r="D11" s="21" t="e">
        <f>#REF!-'BS 3Q2022'!D11</f>
        <v>#REF!</v>
      </c>
      <c r="E11" s="21" t="e">
        <f>#REF!-'BS 3Q2022'!E11</f>
        <v>#REF!</v>
      </c>
      <c r="F11" s="21" t="e">
        <f>#REF!-'BS 3Q2022'!F11</f>
        <v>#REF!</v>
      </c>
      <c r="G11" s="21" t="e">
        <f>#REF!-'BS 3Q2022'!G11</f>
        <v>#REF!</v>
      </c>
      <c r="H11" s="22" t="e">
        <f>#REF!-'BS 3Q2022'!H11</f>
        <v>#REF!</v>
      </c>
      <c r="I11" s="21" t="e">
        <f>#REF!-'BS 3Q2022'!I11</f>
        <v>#REF!</v>
      </c>
      <c r="J11" s="21" t="e">
        <f>#REF!-'BS 3Q2022'!J11</f>
        <v>#REF!</v>
      </c>
      <c r="K11" s="21" t="e">
        <f>#REF!-'BS 3Q2022'!K11</f>
        <v>#REF!</v>
      </c>
      <c r="L11" s="116" t="e">
        <f>#REF!-'BS 3Q2022'!L11</f>
        <v>#REF!</v>
      </c>
      <c r="M11" s="22" t="e">
        <f>#REF!-'BS 3Q2022'!M11</f>
        <v>#REF!</v>
      </c>
      <c r="N11" s="21" t="e">
        <f>#REF!-'BS 3Q2022'!N11</f>
        <v>#REF!</v>
      </c>
      <c r="O11" s="21" t="e">
        <f>#REF!-'BS 3Q2022'!O11</f>
        <v>#REF!</v>
      </c>
      <c r="P11" s="21" t="e">
        <f>#REF!-'BS 3Q2022'!P11</f>
        <v>#REF!</v>
      </c>
      <c r="Q11" s="116" t="e">
        <f>#REF!-'BS 3Q2022'!Q11</f>
        <v>#REF!</v>
      </c>
      <c r="R11" s="22" t="e">
        <f>#REF!-'BS 3Q2022'!R11</f>
        <v>#REF!</v>
      </c>
      <c r="S11" s="21" t="e">
        <f>#REF!-'BS 3Q2022'!S11</f>
        <v>#REF!</v>
      </c>
      <c r="T11" s="21" t="e">
        <f>#REF!-'BS 3Q2022'!T11</f>
        <v>#REF!</v>
      </c>
      <c r="U11" s="21" t="e">
        <f>#REF!-'BS 3Q2022'!U11</f>
        <v>#REF!</v>
      </c>
      <c r="V11" s="21" t="e">
        <f>#REF!-'BS 3Q2022'!V11</f>
        <v>#REF!</v>
      </c>
      <c r="W11" s="22" t="e">
        <f>#REF!-'BS 3Q2022'!W11</f>
        <v>#REF!</v>
      </c>
      <c r="X11" s="21" t="e">
        <f>#REF!-'BS 3Q2022'!X11</f>
        <v>#REF!</v>
      </c>
      <c r="Y11" s="21" t="e">
        <f>#REF!-'BS 3Q2022'!Y11</f>
        <v>#REF!</v>
      </c>
      <c r="Z11" s="21" t="e">
        <f>#REF!-'BS 3Q2022'!Z11</f>
        <v>#REF!</v>
      </c>
      <c r="AA11" s="21" t="e">
        <f>#REF!-'BS 3Q2022'!AA11</f>
        <v>#REF!</v>
      </c>
      <c r="AB11" s="22" t="e">
        <f>#REF!-'BS 3Q2022'!AB11</f>
        <v>#REF!</v>
      </c>
      <c r="AC11" s="21" t="e">
        <f>#REF!-'BS 3Q2022'!AC11</f>
        <v>#REF!</v>
      </c>
      <c r="AD11" s="21" t="e">
        <f>#REF!-'BS 3Q2022'!AD11</f>
        <v>#REF!</v>
      </c>
      <c r="AE11" s="21" t="e">
        <f>#REF!-'BS 3Q2022'!AE11</f>
        <v>#REF!</v>
      </c>
      <c r="AF11" s="21" t="e">
        <f>#REF!-'BS 3Q2022'!AF11</f>
        <v>#REF!</v>
      </c>
      <c r="AG11" s="22" t="e">
        <f>#REF!-'BS 3Q2022'!AG11</f>
        <v>#REF!</v>
      </c>
      <c r="AH11" s="21" t="e">
        <f>#REF!-'BS 3Q2022'!AH11</f>
        <v>#REF!</v>
      </c>
      <c r="AI11" s="21" t="e">
        <f>#REF!-'BS 3Q2022'!AI11</f>
        <v>#REF!</v>
      </c>
      <c r="AJ11" s="21" t="e">
        <f>#REF!-'BS 3Q2022'!AJ11</f>
        <v>#REF!</v>
      </c>
      <c r="AK11" s="21" t="e">
        <f>#REF!-'BS 3Q2022'!AK11</f>
        <v>#REF!</v>
      </c>
      <c r="AL11" s="22" t="e">
        <f>#REF!-'BS 3Q2022'!AL11</f>
        <v>#REF!</v>
      </c>
      <c r="AM11" s="21" t="e">
        <f>#REF!-'BS 3Q2022'!AM11</f>
        <v>#REF!</v>
      </c>
      <c r="AN11" s="21" t="e">
        <f>#REF!-'BS 3Q2022'!AN11</f>
        <v>#REF!</v>
      </c>
      <c r="AO11" s="21" t="e">
        <f>#REF!-'BS 3Q2022'!AO11</f>
        <v>#REF!</v>
      </c>
      <c r="AP11" s="21" t="e">
        <f>#REF!-'BS 3Q2022'!AP11</f>
        <v>#REF!</v>
      </c>
      <c r="AQ11" s="22" t="e">
        <f>#REF!-'BS 3Q2022'!AQ11</f>
        <v>#REF!</v>
      </c>
      <c r="AR11" s="21" t="e">
        <f>#REF!-'BS 3Q2022'!AR11</f>
        <v>#REF!</v>
      </c>
      <c r="AS11" s="21" t="e">
        <f>#REF!-'BS 3Q2022'!AS11</f>
        <v>#REF!</v>
      </c>
      <c r="AT11" s="21" t="e">
        <f>#REF!-'BS 3Q2022'!AT11</f>
        <v>#REF!</v>
      </c>
      <c r="AU11" s="21" t="e">
        <f>#REF!-'BS 3Q2022'!AU11</f>
        <v>#REF!</v>
      </c>
      <c r="AV11" s="22" t="e">
        <f>#REF!-'BS 3Q2022'!AV11</f>
        <v>#REF!</v>
      </c>
    </row>
    <row r="12" spans="1:48" ht="14.55" customHeight="1" outlineLevel="1" x14ac:dyDescent="0.3">
      <c r="A12" s="161"/>
      <c r="B12" s="200" t="s">
        <v>218</v>
      </c>
      <c r="C12" s="207"/>
      <c r="D12" s="16" t="e">
        <f>#REF!-'BS 3Q2022'!D12</f>
        <v>#REF!</v>
      </c>
      <c r="E12" s="16" t="e">
        <f>#REF!-'BS 3Q2022'!E12</f>
        <v>#REF!</v>
      </c>
      <c r="F12" s="16" t="e">
        <f>#REF!-'BS 3Q2022'!F12</f>
        <v>#REF!</v>
      </c>
      <c r="G12" s="16" t="e">
        <f>#REF!-'BS 3Q2022'!G12</f>
        <v>#REF!</v>
      </c>
      <c r="H12" s="17" t="e">
        <f>#REF!-'BS 3Q2022'!H12</f>
        <v>#REF!</v>
      </c>
      <c r="I12" s="16" t="e">
        <f>#REF!-'BS 3Q2022'!I12</f>
        <v>#REF!</v>
      </c>
      <c r="J12" s="16" t="e">
        <f>#REF!-'BS 3Q2022'!J12</f>
        <v>#REF!</v>
      </c>
      <c r="K12" s="16" t="e">
        <f>#REF!-'BS 3Q2022'!K12</f>
        <v>#REF!</v>
      </c>
      <c r="L12" s="101" t="e">
        <f>#REF!-'BS 3Q2022'!L12</f>
        <v>#REF!</v>
      </c>
      <c r="M12" s="17" t="e">
        <f>#REF!-'BS 3Q2022'!M12</f>
        <v>#REF!</v>
      </c>
      <c r="N12" s="16" t="e">
        <f>#REF!-'BS 3Q2022'!N12</f>
        <v>#REF!</v>
      </c>
      <c r="O12" s="16" t="e">
        <f>#REF!-'BS 3Q2022'!O12</f>
        <v>#REF!</v>
      </c>
      <c r="P12" s="16" t="e">
        <f>#REF!-'BS 3Q2022'!P12</f>
        <v>#REF!</v>
      </c>
      <c r="Q12" s="101" t="e">
        <f>#REF!-'BS 3Q2022'!Q12</f>
        <v>#REF!</v>
      </c>
      <c r="R12" s="17" t="e">
        <f>#REF!-'BS 3Q2022'!R12</f>
        <v>#REF!</v>
      </c>
      <c r="S12" s="16" t="e">
        <f>#REF!-'BS 3Q2022'!S12</f>
        <v>#REF!</v>
      </c>
      <c r="T12" s="16" t="e">
        <f>#REF!-'BS 3Q2022'!T12</f>
        <v>#REF!</v>
      </c>
      <c r="U12" s="16" t="e">
        <f>#REF!-'BS 3Q2022'!U12</f>
        <v>#REF!</v>
      </c>
      <c r="V12" s="16" t="e">
        <f>#REF!-'BS 3Q2022'!V12</f>
        <v>#REF!</v>
      </c>
      <c r="W12" s="17" t="e">
        <f>#REF!-'BS 3Q2022'!W12</f>
        <v>#REF!</v>
      </c>
      <c r="X12" s="16" t="e">
        <f>#REF!-'BS 3Q2022'!X12</f>
        <v>#REF!</v>
      </c>
      <c r="Y12" s="16" t="e">
        <f>#REF!-'BS 3Q2022'!Y12</f>
        <v>#REF!</v>
      </c>
      <c r="Z12" s="16" t="e">
        <f>#REF!-'BS 3Q2022'!Z12</f>
        <v>#REF!</v>
      </c>
      <c r="AA12" s="16" t="e">
        <f>#REF!-'BS 3Q2022'!AA12</f>
        <v>#REF!</v>
      </c>
      <c r="AB12" s="17" t="e">
        <f>#REF!-'BS 3Q2022'!AB12</f>
        <v>#REF!</v>
      </c>
      <c r="AC12" s="16" t="e">
        <f>#REF!-'BS 3Q2022'!AC12</f>
        <v>#REF!</v>
      </c>
      <c r="AD12" s="16" t="e">
        <f>#REF!-'BS 3Q2022'!AD12</f>
        <v>#REF!</v>
      </c>
      <c r="AE12" s="16" t="e">
        <f>#REF!-'BS 3Q2022'!AE12</f>
        <v>#REF!</v>
      </c>
      <c r="AF12" s="16" t="e">
        <f>#REF!-'BS 3Q2022'!AF12</f>
        <v>#REF!</v>
      </c>
      <c r="AG12" s="17" t="e">
        <f>#REF!-'BS 3Q2022'!AG12</f>
        <v>#REF!</v>
      </c>
      <c r="AH12" s="16" t="e">
        <f>#REF!-'BS 3Q2022'!AH12</f>
        <v>#REF!</v>
      </c>
      <c r="AI12" s="16" t="e">
        <f>#REF!-'BS 3Q2022'!AI12</f>
        <v>#REF!</v>
      </c>
      <c r="AJ12" s="16" t="e">
        <f>#REF!-'BS 3Q2022'!AJ12</f>
        <v>#REF!</v>
      </c>
      <c r="AK12" s="16" t="e">
        <f>#REF!-'BS 3Q2022'!AK12</f>
        <v>#REF!</v>
      </c>
      <c r="AL12" s="17" t="e">
        <f>#REF!-'BS 3Q2022'!AL12</f>
        <v>#REF!</v>
      </c>
      <c r="AM12" s="16" t="e">
        <f>#REF!-'BS 3Q2022'!AM12</f>
        <v>#REF!</v>
      </c>
      <c r="AN12" s="16" t="e">
        <f>#REF!-'BS 3Q2022'!AN12</f>
        <v>#REF!</v>
      </c>
      <c r="AO12" s="16" t="e">
        <f>#REF!-'BS 3Q2022'!AO12</f>
        <v>#REF!</v>
      </c>
      <c r="AP12" s="16" t="e">
        <f>#REF!-'BS 3Q2022'!AP12</f>
        <v>#REF!</v>
      </c>
      <c r="AQ12" s="17" t="e">
        <f>#REF!-'BS 3Q2022'!AQ12</f>
        <v>#REF!</v>
      </c>
      <c r="AR12" s="16" t="e">
        <f>#REF!-'BS 3Q2022'!AR12</f>
        <v>#REF!</v>
      </c>
      <c r="AS12" s="16" t="e">
        <f>#REF!-'BS 3Q2022'!AS12</f>
        <v>#REF!</v>
      </c>
      <c r="AT12" s="16" t="e">
        <f>#REF!-'BS 3Q2022'!AT12</f>
        <v>#REF!</v>
      </c>
      <c r="AU12" s="16" t="e">
        <f>#REF!-'BS 3Q2022'!AU12</f>
        <v>#REF!</v>
      </c>
      <c r="AV12" s="17" t="e">
        <f>#REF!-'BS 3Q2022'!AV12</f>
        <v>#REF!</v>
      </c>
    </row>
    <row r="13" spans="1:48" ht="14.55" customHeight="1" outlineLevel="1" x14ac:dyDescent="0.3">
      <c r="A13" s="161"/>
      <c r="B13" s="200" t="s">
        <v>219</v>
      </c>
      <c r="C13" s="207"/>
      <c r="D13" s="16" t="e">
        <f>#REF!-'BS 3Q2022'!D13</f>
        <v>#REF!</v>
      </c>
      <c r="E13" s="16" t="e">
        <f>#REF!-'BS 3Q2022'!E13</f>
        <v>#REF!</v>
      </c>
      <c r="F13" s="16" t="e">
        <f>#REF!-'BS 3Q2022'!F13</f>
        <v>#REF!</v>
      </c>
      <c r="G13" s="16" t="e">
        <f>#REF!-'BS 3Q2022'!G13</f>
        <v>#REF!</v>
      </c>
      <c r="H13" s="17" t="e">
        <f>#REF!-'BS 3Q2022'!H13</f>
        <v>#REF!</v>
      </c>
      <c r="I13" s="16" t="e">
        <f>#REF!-'BS 3Q2022'!I13</f>
        <v>#REF!</v>
      </c>
      <c r="J13" s="16" t="e">
        <f>#REF!-'BS 3Q2022'!J13</f>
        <v>#REF!</v>
      </c>
      <c r="K13" s="16" t="e">
        <f>#REF!-'BS 3Q2022'!K13</f>
        <v>#REF!</v>
      </c>
      <c r="L13" s="101" t="e">
        <f>#REF!-'BS 3Q2022'!L13</f>
        <v>#REF!</v>
      </c>
      <c r="M13" s="17" t="e">
        <f>#REF!-'BS 3Q2022'!M13</f>
        <v>#REF!</v>
      </c>
      <c r="N13" s="16" t="e">
        <f>#REF!-'BS 3Q2022'!N13</f>
        <v>#REF!</v>
      </c>
      <c r="O13" s="16" t="e">
        <f>#REF!-'BS 3Q2022'!O13</f>
        <v>#REF!</v>
      </c>
      <c r="P13" s="16" t="e">
        <f>#REF!-'BS 3Q2022'!P13</f>
        <v>#REF!</v>
      </c>
      <c r="Q13" s="101" t="e">
        <f>#REF!-'BS 3Q2022'!Q13</f>
        <v>#REF!</v>
      </c>
      <c r="R13" s="17" t="e">
        <f>#REF!-'BS 3Q2022'!R13</f>
        <v>#REF!</v>
      </c>
      <c r="S13" s="16" t="e">
        <f>#REF!-'BS 3Q2022'!S13</f>
        <v>#REF!</v>
      </c>
      <c r="T13" s="16" t="e">
        <f>#REF!-'BS 3Q2022'!T13</f>
        <v>#REF!</v>
      </c>
      <c r="U13" s="16" t="e">
        <f>#REF!-'BS 3Q2022'!U13</f>
        <v>#REF!</v>
      </c>
      <c r="V13" s="33" t="e">
        <f>#REF!-'BS 3Q2022'!V13</f>
        <v>#REF!</v>
      </c>
      <c r="W13" s="17" t="e">
        <f>#REF!-'BS 3Q2022'!W13</f>
        <v>#REF!</v>
      </c>
      <c r="X13" s="33" t="e">
        <f>#REF!-'BS 3Q2022'!X13</f>
        <v>#REF!</v>
      </c>
      <c r="Y13" s="33" t="e">
        <f>#REF!-'BS 3Q2022'!Y13</f>
        <v>#REF!</v>
      </c>
      <c r="Z13" s="33" t="e">
        <f>#REF!-'BS 3Q2022'!Z13</f>
        <v>#REF!</v>
      </c>
      <c r="AA13" s="33" t="e">
        <f>#REF!-'BS 3Q2022'!AA13</f>
        <v>#REF!</v>
      </c>
      <c r="AB13" s="17" t="e">
        <f>#REF!-'BS 3Q2022'!AB13</f>
        <v>#REF!</v>
      </c>
      <c r="AC13" s="33" t="e">
        <f>#REF!-'BS 3Q2022'!AC13</f>
        <v>#REF!</v>
      </c>
      <c r="AD13" s="33" t="e">
        <f>#REF!-'BS 3Q2022'!AD13</f>
        <v>#REF!</v>
      </c>
      <c r="AE13" s="33" t="e">
        <f>#REF!-'BS 3Q2022'!AE13</f>
        <v>#REF!</v>
      </c>
      <c r="AF13" s="33" t="e">
        <f>#REF!-'BS 3Q2022'!AF13</f>
        <v>#REF!</v>
      </c>
      <c r="AG13" s="17" t="e">
        <f>#REF!-'BS 3Q2022'!AG13</f>
        <v>#REF!</v>
      </c>
      <c r="AH13" s="33" t="e">
        <f>#REF!-'BS 3Q2022'!AH13</f>
        <v>#REF!</v>
      </c>
      <c r="AI13" s="33" t="e">
        <f>#REF!-'BS 3Q2022'!AI13</f>
        <v>#REF!</v>
      </c>
      <c r="AJ13" s="33" t="e">
        <f>#REF!-'BS 3Q2022'!AJ13</f>
        <v>#REF!</v>
      </c>
      <c r="AK13" s="33" t="e">
        <f>#REF!-'BS 3Q2022'!AK13</f>
        <v>#REF!</v>
      </c>
      <c r="AL13" s="17" t="e">
        <f>#REF!-'BS 3Q2022'!AL13</f>
        <v>#REF!</v>
      </c>
      <c r="AM13" s="33" t="e">
        <f>#REF!-'BS 3Q2022'!AM13</f>
        <v>#REF!</v>
      </c>
      <c r="AN13" s="33" t="e">
        <f>#REF!-'BS 3Q2022'!AN13</f>
        <v>#REF!</v>
      </c>
      <c r="AO13" s="33" t="e">
        <f>#REF!-'BS 3Q2022'!AO13</f>
        <v>#REF!</v>
      </c>
      <c r="AP13" s="33" t="e">
        <f>#REF!-'BS 3Q2022'!AP13</f>
        <v>#REF!</v>
      </c>
      <c r="AQ13" s="17" t="e">
        <f>#REF!-'BS 3Q2022'!AQ13</f>
        <v>#REF!</v>
      </c>
      <c r="AR13" s="33" t="e">
        <f>#REF!-'BS 3Q2022'!AR13</f>
        <v>#REF!</v>
      </c>
      <c r="AS13" s="33" t="e">
        <f>#REF!-'BS 3Q2022'!AS13</f>
        <v>#REF!</v>
      </c>
      <c r="AT13" s="33" t="e">
        <f>#REF!-'BS 3Q2022'!AT13</f>
        <v>#REF!</v>
      </c>
      <c r="AU13" s="33" t="e">
        <f>#REF!-'BS 3Q2022'!AU13</f>
        <v>#REF!</v>
      </c>
      <c r="AV13" s="17" t="e">
        <f>#REF!-'BS 3Q2022'!AV13</f>
        <v>#REF!</v>
      </c>
    </row>
    <row r="14" spans="1:48" s="8" customFormat="1" outlineLevel="1" x14ac:dyDescent="0.3">
      <c r="A14" s="161"/>
      <c r="B14" s="200" t="s">
        <v>220</v>
      </c>
      <c r="C14" s="206"/>
      <c r="D14" s="16" t="e">
        <f>#REF!-'BS 3Q2022'!D14</f>
        <v>#REF!</v>
      </c>
      <c r="E14" s="16" t="e">
        <f>#REF!-'BS 3Q2022'!E14</f>
        <v>#REF!</v>
      </c>
      <c r="F14" s="16" t="e">
        <f>#REF!-'BS 3Q2022'!F14</f>
        <v>#REF!</v>
      </c>
      <c r="G14" s="16" t="e">
        <f>#REF!-'BS 3Q2022'!G14</f>
        <v>#REF!</v>
      </c>
      <c r="H14" s="17" t="e">
        <f>#REF!-'BS 3Q2022'!H14</f>
        <v>#REF!</v>
      </c>
      <c r="I14" s="16" t="e">
        <f>#REF!-'BS 3Q2022'!I14</f>
        <v>#REF!</v>
      </c>
      <c r="J14" s="16" t="e">
        <f>#REF!-'BS 3Q2022'!J14</f>
        <v>#REF!</v>
      </c>
      <c r="K14" s="16" t="e">
        <f>#REF!-'BS 3Q2022'!K14</f>
        <v>#REF!</v>
      </c>
      <c r="L14" s="101" t="e">
        <f>#REF!-'BS 3Q2022'!L14</f>
        <v>#REF!</v>
      </c>
      <c r="M14" s="17" t="e">
        <f>#REF!-'BS 3Q2022'!M14</f>
        <v>#REF!</v>
      </c>
      <c r="N14" s="16" t="e">
        <f>#REF!-'BS 3Q2022'!N14</f>
        <v>#REF!</v>
      </c>
      <c r="O14" s="16" t="e">
        <f>#REF!-'BS 3Q2022'!O14</f>
        <v>#REF!</v>
      </c>
      <c r="P14" s="16" t="e">
        <f>#REF!-'BS 3Q2022'!P14</f>
        <v>#REF!</v>
      </c>
      <c r="Q14" s="101" t="e">
        <f>#REF!-'BS 3Q2022'!Q14</f>
        <v>#REF!</v>
      </c>
      <c r="R14" s="17" t="e">
        <f>#REF!-'BS 3Q2022'!R14</f>
        <v>#REF!</v>
      </c>
      <c r="S14" s="16" t="e">
        <f>#REF!-'BS 3Q2022'!S14</f>
        <v>#REF!</v>
      </c>
      <c r="T14" s="16" t="e">
        <f>#REF!-'BS 3Q2022'!T14</f>
        <v>#REF!</v>
      </c>
      <c r="U14" s="101" t="e">
        <f>#REF!-'BS 3Q2022'!U14</f>
        <v>#REF!</v>
      </c>
      <c r="V14" s="16" t="e">
        <f>#REF!-'BS 3Q2022'!V14</f>
        <v>#REF!</v>
      </c>
      <c r="W14" s="17" t="e">
        <f>#REF!-'BS 3Q2022'!W14</f>
        <v>#REF!</v>
      </c>
      <c r="X14" s="16" t="e">
        <f>#REF!-'BS 3Q2022'!X14</f>
        <v>#REF!</v>
      </c>
      <c r="Y14" s="16" t="e">
        <f>#REF!-'BS 3Q2022'!Y14</f>
        <v>#REF!</v>
      </c>
      <c r="Z14" s="16" t="e">
        <f>#REF!-'BS 3Q2022'!Z14</f>
        <v>#REF!</v>
      </c>
      <c r="AA14" s="16" t="e">
        <f>#REF!-'BS 3Q2022'!AA14</f>
        <v>#REF!</v>
      </c>
      <c r="AB14" s="17" t="e">
        <f>#REF!-'BS 3Q2022'!AB14</f>
        <v>#REF!</v>
      </c>
      <c r="AC14" s="16" t="e">
        <f>#REF!-'BS 3Q2022'!AC14</f>
        <v>#REF!</v>
      </c>
      <c r="AD14" s="16" t="e">
        <f>#REF!-'BS 3Q2022'!AD14</f>
        <v>#REF!</v>
      </c>
      <c r="AE14" s="16" t="e">
        <f>#REF!-'BS 3Q2022'!AE14</f>
        <v>#REF!</v>
      </c>
      <c r="AF14" s="16" t="e">
        <f>#REF!-'BS 3Q2022'!AF14</f>
        <v>#REF!</v>
      </c>
      <c r="AG14" s="17" t="e">
        <f>#REF!-'BS 3Q2022'!AG14</f>
        <v>#REF!</v>
      </c>
      <c r="AH14" s="16" t="e">
        <f>#REF!-'BS 3Q2022'!AH14</f>
        <v>#REF!</v>
      </c>
      <c r="AI14" s="16" t="e">
        <f>#REF!-'BS 3Q2022'!AI14</f>
        <v>#REF!</v>
      </c>
      <c r="AJ14" s="16" t="e">
        <f>#REF!-'BS 3Q2022'!AJ14</f>
        <v>#REF!</v>
      </c>
      <c r="AK14" s="16" t="e">
        <f>#REF!-'BS 3Q2022'!AK14</f>
        <v>#REF!</v>
      </c>
      <c r="AL14" s="17" t="e">
        <f>#REF!-'BS 3Q2022'!AL14</f>
        <v>#REF!</v>
      </c>
      <c r="AM14" s="16" t="e">
        <f>#REF!-'BS 3Q2022'!AM14</f>
        <v>#REF!</v>
      </c>
      <c r="AN14" s="16" t="e">
        <f>#REF!-'BS 3Q2022'!AN14</f>
        <v>#REF!</v>
      </c>
      <c r="AO14" s="16" t="e">
        <f>#REF!-'BS 3Q2022'!AO14</f>
        <v>#REF!</v>
      </c>
      <c r="AP14" s="16" t="e">
        <f>#REF!-'BS 3Q2022'!AP14</f>
        <v>#REF!</v>
      </c>
      <c r="AQ14" s="17" t="e">
        <f>#REF!-'BS 3Q2022'!AQ14</f>
        <v>#REF!</v>
      </c>
      <c r="AR14" s="16" t="e">
        <f>#REF!-'BS 3Q2022'!AR14</f>
        <v>#REF!</v>
      </c>
      <c r="AS14" s="16" t="e">
        <f>#REF!-'BS 3Q2022'!AS14</f>
        <v>#REF!</v>
      </c>
      <c r="AT14" s="16" t="e">
        <f>#REF!-'BS 3Q2022'!AT14</f>
        <v>#REF!</v>
      </c>
      <c r="AU14" s="16" t="e">
        <f>#REF!-'BS 3Q2022'!AU14</f>
        <v>#REF!</v>
      </c>
      <c r="AV14" s="17" t="e">
        <f>#REF!-'BS 3Q2022'!AV14</f>
        <v>#REF!</v>
      </c>
    </row>
    <row r="15" spans="1:48" s="8" customFormat="1" outlineLevel="1" x14ac:dyDescent="0.3">
      <c r="A15" s="161"/>
      <c r="B15" s="200" t="s">
        <v>221</v>
      </c>
      <c r="C15" s="206"/>
      <c r="D15" s="16" t="e">
        <f>#REF!-'BS 3Q2022'!D15</f>
        <v>#REF!</v>
      </c>
      <c r="E15" s="16" t="e">
        <f>#REF!-'BS 3Q2022'!E15</f>
        <v>#REF!</v>
      </c>
      <c r="F15" s="16" t="e">
        <f>#REF!-'BS 3Q2022'!F15</f>
        <v>#REF!</v>
      </c>
      <c r="G15" s="16" t="e">
        <f>#REF!-'BS 3Q2022'!G15</f>
        <v>#REF!</v>
      </c>
      <c r="H15" s="17" t="e">
        <f>#REF!-'BS 3Q2022'!H15</f>
        <v>#REF!</v>
      </c>
      <c r="I15" s="16" t="e">
        <f>#REF!-'BS 3Q2022'!I15</f>
        <v>#REF!</v>
      </c>
      <c r="J15" s="16" t="e">
        <f>#REF!-'BS 3Q2022'!J15</f>
        <v>#REF!</v>
      </c>
      <c r="K15" s="16" t="e">
        <f>#REF!-'BS 3Q2022'!K15</f>
        <v>#REF!</v>
      </c>
      <c r="L15" s="101" t="e">
        <f>#REF!-'BS 3Q2022'!L15</f>
        <v>#REF!</v>
      </c>
      <c r="M15" s="17" t="e">
        <f>#REF!-'BS 3Q2022'!M15</f>
        <v>#REF!</v>
      </c>
      <c r="N15" s="16" t="e">
        <f>#REF!-'BS 3Q2022'!N15</f>
        <v>#REF!</v>
      </c>
      <c r="O15" s="16" t="e">
        <f>#REF!-'BS 3Q2022'!O15</f>
        <v>#REF!</v>
      </c>
      <c r="P15" s="16" t="e">
        <f>#REF!-'BS 3Q2022'!P15</f>
        <v>#REF!</v>
      </c>
      <c r="Q15" s="101" t="e">
        <f>#REF!-'BS 3Q2022'!Q15</f>
        <v>#REF!</v>
      </c>
      <c r="R15" s="17" t="e">
        <f>#REF!-'BS 3Q2022'!R15</f>
        <v>#REF!</v>
      </c>
      <c r="S15" s="16" t="e">
        <f>#REF!-'BS 3Q2022'!S15</f>
        <v>#REF!</v>
      </c>
      <c r="T15" s="16" t="e">
        <f>#REF!-'BS 3Q2022'!T15</f>
        <v>#REF!</v>
      </c>
      <c r="U15" s="101" t="e">
        <f>#REF!-'BS 3Q2022'!U15</f>
        <v>#REF!</v>
      </c>
      <c r="V15" s="33" t="e">
        <f>#REF!-'BS 3Q2022'!V15</f>
        <v>#REF!</v>
      </c>
      <c r="W15" s="17" t="e">
        <f>#REF!-'BS 3Q2022'!W15</f>
        <v>#REF!</v>
      </c>
      <c r="X15" s="33" t="e">
        <f>#REF!-'BS 3Q2022'!X15</f>
        <v>#REF!</v>
      </c>
      <c r="Y15" s="33" t="e">
        <f>#REF!-'BS 3Q2022'!Y15</f>
        <v>#REF!</v>
      </c>
      <c r="Z15" s="33" t="e">
        <f>#REF!-'BS 3Q2022'!Z15</f>
        <v>#REF!</v>
      </c>
      <c r="AA15" s="33" t="e">
        <f>#REF!-'BS 3Q2022'!AA15</f>
        <v>#REF!</v>
      </c>
      <c r="AB15" s="17" t="e">
        <f>#REF!-'BS 3Q2022'!AB15</f>
        <v>#REF!</v>
      </c>
      <c r="AC15" s="33" t="e">
        <f>#REF!-'BS 3Q2022'!AC15</f>
        <v>#REF!</v>
      </c>
      <c r="AD15" s="33" t="e">
        <f>#REF!-'BS 3Q2022'!AD15</f>
        <v>#REF!</v>
      </c>
      <c r="AE15" s="33" t="e">
        <f>#REF!-'BS 3Q2022'!AE15</f>
        <v>#REF!</v>
      </c>
      <c r="AF15" s="33" t="e">
        <f>#REF!-'BS 3Q2022'!AF15</f>
        <v>#REF!</v>
      </c>
      <c r="AG15" s="17" t="e">
        <f>#REF!-'BS 3Q2022'!AG15</f>
        <v>#REF!</v>
      </c>
      <c r="AH15" s="33" t="e">
        <f>#REF!-'BS 3Q2022'!AH15</f>
        <v>#REF!</v>
      </c>
      <c r="AI15" s="33" t="e">
        <f>#REF!-'BS 3Q2022'!AI15</f>
        <v>#REF!</v>
      </c>
      <c r="AJ15" s="33" t="e">
        <f>#REF!-'BS 3Q2022'!AJ15</f>
        <v>#REF!</v>
      </c>
      <c r="AK15" s="33" t="e">
        <f>#REF!-'BS 3Q2022'!AK15</f>
        <v>#REF!</v>
      </c>
      <c r="AL15" s="17" t="e">
        <f>#REF!-'BS 3Q2022'!AL15</f>
        <v>#REF!</v>
      </c>
      <c r="AM15" s="33" t="e">
        <f>#REF!-'BS 3Q2022'!AM15</f>
        <v>#REF!</v>
      </c>
      <c r="AN15" s="33" t="e">
        <f>#REF!-'BS 3Q2022'!AN15</f>
        <v>#REF!</v>
      </c>
      <c r="AO15" s="33" t="e">
        <f>#REF!-'BS 3Q2022'!AO15</f>
        <v>#REF!</v>
      </c>
      <c r="AP15" s="33" t="e">
        <f>#REF!-'BS 3Q2022'!AP15</f>
        <v>#REF!</v>
      </c>
      <c r="AQ15" s="17" t="e">
        <f>#REF!-'BS 3Q2022'!AQ15</f>
        <v>#REF!</v>
      </c>
      <c r="AR15" s="33" t="e">
        <f>#REF!-'BS 3Q2022'!AR15</f>
        <v>#REF!</v>
      </c>
      <c r="AS15" s="33" t="e">
        <f>#REF!-'BS 3Q2022'!AS15</f>
        <v>#REF!</v>
      </c>
      <c r="AT15" s="33" t="e">
        <f>#REF!-'BS 3Q2022'!AT15</f>
        <v>#REF!</v>
      </c>
      <c r="AU15" s="33" t="e">
        <f>#REF!-'BS 3Q2022'!AU15</f>
        <v>#REF!</v>
      </c>
      <c r="AV15" s="17" t="e">
        <f>#REF!-'BS 3Q2022'!AV15</f>
        <v>#REF!</v>
      </c>
    </row>
    <row r="16" spans="1:48" s="8" customFormat="1" outlineLevel="1" x14ac:dyDescent="0.3">
      <c r="A16" s="161"/>
      <c r="B16" s="200" t="s">
        <v>222</v>
      </c>
      <c r="C16" s="206"/>
      <c r="D16" s="16" t="e">
        <f>#REF!-'BS 3Q2022'!D16</f>
        <v>#REF!</v>
      </c>
      <c r="E16" s="16" t="e">
        <f>#REF!-'BS 3Q2022'!E16</f>
        <v>#REF!</v>
      </c>
      <c r="F16" s="16" t="e">
        <f>#REF!-'BS 3Q2022'!F16</f>
        <v>#REF!</v>
      </c>
      <c r="G16" s="16" t="e">
        <f>#REF!-'BS 3Q2022'!G16</f>
        <v>#REF!</v>
      </c>
      <c r="H16" s="17" t="e">
        <f>#REF!-'BS 3Q2022'!H16</f>
        <v>#REF!</v>
      </c>
      <c r="I16" s="16" t="e">
        <f>#REF!-'BS 3Q2022'!I16</f>
        <v>#REF!</v>
      </c>
      <c r="J16" s="16" t="e">
        <f>#REF!-'BS 3Q2022'!J16</f>
        <v>#REF!</v>
      </c>
      <c r="K16" s="16" t="e">
        <f>#REF!-'BS 3Q2022'!K16</f>
        <v>#REF!</v>
      </c>
      <c r="L16" s="101" t="e">
        <f>#REF!-'BS 3Q2022'!L16</f>
        <v>#REF!</v>
      </c>
      <c r="M16" s="17" t="e">
        <f>#REF!-'BS 3Q2022'!M16</f>
        <v>#REF!</v>
      </c>
      <c r="N16" s="16" t="e">
        <f>#REF!-'BS 3Q2022'!N16</f>
        <v>#REF!</v>
      </c>
      <c r="O16" s="16" t="e">
        <f>#REF!-'BS 3Q2022'!O16</f>
        <v>#REF!</v>
      </c>
      <c r="P16" s="16" t="e">
        <f>#REF!-'BS 3Q2022'!P16</f>
        <v>#REF!</v>
      </c>
      <c r="Q16" s="101" t="e">
        <f>#REF!-'BS 3Q2022'!Q16</f>
        <v>#REF!</v>
      </c>
      <c r="R16" s="17" t="e">
        <f>#REF!-'BS 3Q2022'!R16</f>
        <v>#REF!</v>
      </c>
      <c r="S16" s="16" t="e">
        <f>#REF!-'BS 3Q2022'!S16</f>
        <v>#REF!</v>
      </c>
      <c r="T16" s="16" t="e">
        <f>#REF!-'BS 3Q2022'!T16</f>
        <v>#REF!</v>
      </c>
      <c r="U16" s="101" t="e">
        <f>#REF!-'BS 3Q2022'!U16</f>
        <v>#REF!</v>
      </c>
      <c r="V16" s="101" t="e">
        <f>#REF!-'BS 3Q2022'!V16</f>
        <v>#REF!</v>
      </c>
      <c r="W16" s="169" t="e">
        <f>#REF!-'BS 3Q2022'!W16</f>
        <v>#REF!</v>
      </c>
      <c r="X16" s="101" t="e">
        <f>#REF!-'BS 3Q2022'!X16</f>
        <v>#REF!</v>
      </c>
      <c r="Y16" s="101" t="e">
        <f>#REF!-'BS 3Q2022'!Y16</f>
        <v>#REF!</v>
      </c>
      <c r="Z16" s="101" t="e">
        <f>#REF!-'BS 3Q2022'!Z16</f>
        <v>#REF!</v>
      </c>
      <c r="AA16" s="101" t="e">
        <f>#REF!-'BS 3Q2022'!AA16</f>
        <v>#REF!</v>
      </c>
      <c r="AB16" s="169" t="e">
        <f>#REF!-'BS 3Q2022'!AB16</f>
        <v>#REF!</v>
      </c>
      <c r="AC16" s="101" t="e">
        <f>#REF!-'BS 3Q2022'!AC16</f>
        <v>#REF!</v>
      </c>
      <c r="AD16" s="101" t="e">
        <f>#REF!-'BS 3Q2022'!AD16</f>
        <v>#REF!</v>
      </c>
      <c r="AE16" s="101" t="e">
        <f>#REF!-'BS 3Q2022'!AE16</f>
        <v>#REF!</v>
      </c>
      <c r="AF16" s="101" t="e">
        <f>#REF!-'BS 3Q2022'!AF16</f>
        <v>#REF!</v>
      </c>
      <c r="AG16" s="169" t="e">
        <f>#REF!-'BS 3Q2022'!AG16</f>
        <v>#REF!</v>
      </c>
      <c r="AH16" s="101" t="e">
        <f>#REF!-'BS 3Q2022'!AH16</f>
        <v>#REF!</v>
      </c>
      <c r="AI16" s="101" t="e">
        <f>#REF!-'BS 3Q2022'!AI16</f>
        <v>#REF!</v>
      </c>
      <c r="AJ16" s="101" t="e">
        <f>#REF!-'BS 3Q2022'!AJ16</f>
        <v>#REF!</v>
      </c>
      <c r="AK16" s="101" t="e">
        <f>#REF!-'BS 3Q2022'!AK16</f>
        <v>#REF!</v>
      </c>
      <c r="AL16" s="169" t="e">
        <f>#REF!-'BS 3Q2022'!AL16</f>
        <v>#REF!</v>
      </c>
      <c r="AM16" s="101" t="e">
        <f>#REF!-'BS 3Q2022'!AM16</f>
        <v>#REF!</v>
      </c>
      <c r="AN16" s="101" t="e">
        <f>#REF!-'BS 3Q2022'!AN16</f>
        <v>#REF!</v>
      </c>
      <c r="AO16" s="101" t="e">
        <f>#REF!-'BS 3Q2022'!AO16</f>
        <v>#REF!</v>
      </c>
      <c r="AP16" s="101" t="e">
        <f>#REF!-'BS 3Q2022'!AP16</f>
        <v>#REF!</v>
      </c>
      <c r="AQ16" s="169" t="e">
        <f>#REF!-'BS 3Q2022'!AQ16</f>
        <v>#REF!</v>
      </c>
      <c r="AR16" s="101" t="e">
        <f>#REF!-'BS 3Q2022'!AR16</f>
        <v>#REF!</v>
      </c>
      <c r="AS16" s="101" t="e">
        <f>#REF!-'BS 3Q2022'!AS16</f>
        <v>#REF!</v>
      </c>
      <c r="AT16" s="101" t="e">
        <f>#REF!-'BS 3Q2022'!AT16</f>
        <v>#REF!</v>
      </c>
      <c r="AU16" s="101" t="e">
        <f>#REF!-'BS 3Q2022'!AU16</f>
        <v>#REF!</v>
      </c>
      <c r="AV16" s="17" t="e">
        <f>#REF!-'BS 3Q2022'!AV16</f>
        <v>#REF!</v>
      </c>
    </row>
    <row r="17" spans="1:48" s="8" customFormat="1" outlineLevel="1" x14ac:dyDescent="0.3">
      <c r="A17" s="161"/>
      <c r="B17" s="200" t="s">
        <v>223</v>
      </c>
      <c r="C17" s="206"/>
      <c r="D17" s="16" t="e">
        <f>#REF!-'BS 3Q2022'!D17</f>
        <v>#REF!</v>
      </c>
      <c r="E17" s="16" t="e">
        <f>#REF!-'BS 3Q2022'!E17</f>
        <v>#REF!</v>
      </c>
      <c r="F17" s="16" t="e">
        <f>#REF!-'BS 3Q2022'!F17</f>
        <v>#REF!</v>
      </c>
      <c r="G17" s="16" t="e">
        <f>#REF!-'BS 3Q2022'!G17</f>
        <v>#REF!</v>
      </c>
      <c r="H17" s="17" t="e">
        <f>#REF!-'BS 3Q2022'!H17</f>
        <v>#REF!</v>
      </c>
      <c r="I17" s="16" t="e">
        <f>#REF!-'BS 3Q2022'!I17</f>
        <v>#REF!</v>
      </c>
      <c r="J17" s="16" t="e">
        <f>#REF!-'BS 3Q2022'!J17</f>
        <v>#REF!</v>
      </c>
      <c r="K17" s="16" t="e">
        <f>#REF!-'BS 3Q2022'!K17</f>
        <v>#REF!</v>
      </c>
      <c r="L17" s="101" t="e">
        <f>#REF!-'BS 3Q2022'!L17</f>
        <v>#REF!</v>
      </c>
      <c r="M17" s="17" t="e">
        <f>#REF!-'BS 3Q2022'!M17</f>
        <v>#REF!</v>
      </c>
      <c r="N17" s="16" t="e">
        <f>#REF!-'BS 3Q2022'!N17</f>
        <v>#REF!</v>
      </c>
      <c r="O17" s="16" t="e">
        <f>#REF!-'BS 3Q2022'!O17</f>
        <v>#REF!</v>
      </c>
      <c r="P17" s="16" t="e">
        <f>#REF!-'BS 3Q2022'!P17</f>
        <v>#REF!</v>
      </c>
      <c r="Q17" s="101" t="e">
        <f>#REF!-'BS 3Q2022'!Q17</f>
        <v>#REF!</v>
      </c>
      <c r="R17" s="17" t="e">
        <f>#REF!-'BS 3Q2022'!R17</f>
        <v>#REF!</v>
      </c>
      <c r="S17" s="16" t="e">
        <f>#REF!-'BS 3Q2022'!S17</f>
        <v>#REF!</v>
      </c>
      <c r="T17" s="16" t="e">
        <f>#REF!-'BS 3Q2022'!T17</f>
        <v>#REF!</v>
      </c>
      <c r="U17" s="101" t="e">
        <f>#REF!-'BS 3Q2022'!U17</f>
        <v>#REF!</v>
      </c>
      <c r="V17" s="33" t="e">
        <f>#REF!-'BS 3Q2022'!V17</f>
        <v>#REF!</v>
      </c>
      <c r="W17" s="17" t="e">
        <f>#REF!-'BS 3Q2022'!W17</f>
        <v>#REF!</v>
      </c>
      <c r="X17" s="33" t="e">
        <f>#REF!-'BS 3Q2022'!X17</f>
        <v>#REF!</v>
      </c>
      <c r="Y17" s="33" t="e">
        <f>#REF!-'BS 3Q2022'!Y17</f>
        <v>#REF!</v>
      </c>
      <c r="Z17" s="33" t="e">
        <f>#REF!-'BS 3Q2022'!Z17</f>
        <v>#REF!</v>
      </c>
      <c r="AA17" s="33" t="e">
        <f>#REF!-'BS 3Q2022'!AA17</f>
        <v>#REF!</v>
      </c>
      <c r="AB17" s="17" t="e">
        <f>#REF!-'BS 3Q2022'!AB17</f>
        <v>#REF!</v>
      </c>
      <c r="AC17" s="33" t="e">
        <f>#REF!-'BS 3Q2022'!AC17</f>
        <v>#REF!</v>
      </c>
      <c r="AD17" s="33" t="e">
        <f>#REF!-'BS 3Q2022'!AD17</f>
        <v>#REF!</v>
      </c>
      <c r="AE17" s="33" t="e">
        <f>#REF!-'BS 3Q2022'!AE17</f>
        <v>#REF!</v>
      </c>
      <c r="AF17" s="33" t="e">
        <f>#REF!-'BS 3Q2022'!AF17</f>
        <v>#REF!</v>
      </c>
      <c r="AG17" s="17" t="e">
        <f>#REF!-'BS 3Q2022'!AG17</f>
        <v>#REF!</v>
      </c>
      <c r="AH17" s="33" t="e">
        <f>#REF!-'BS 3Q2022'!AH17</f>
        <v>#REF!</v>
      </c>
      <c r="AI17" s="33" t="e">
        <f>#REF!-'BS 3Q2022'!AI17</f>
        <v>#REF!</v>
      </c>
      <c r="AJ17" s="33" t="e">
        <f>#REF!-'BS 3Q2022'!AJ17</f>
        <v>#REF!</v>
      </c>
      <c r="AK17" s="33" t="e">
        <f>#REF!-'BS 3Q2022'!AK17</f>
        <v>#REF!</v>
      </c>
      <c r="AL17" s="17" t="e">
        <f>#REF!-'BS 3Q2022'!AL17</f>
        <v>#REF!</v>
      </c>
      <c r="AM17" s="33" t="e">
        <f>#REF!-'BS 3Q2022'!AM17</f>
        <v>#REF!</v>
      </c>
      <c r="AN17" s="33" t="e">
        <f>#REF!-'BS 3Q2022'!AN17</f>
        <v>#REF!</v>
      </c>
      <c r="AO17" s="33" t="e">
        <f>#REF!-'BS 3Q2022'!AO17</f>
        <v>#REF!</v>
      </c>
      <c r="AP17" s="33" t="e">
        <f>#REF!-'BS 3Q2022'!AP17</f>
        <v>#REF!</v>
      </c>
      <c r="AQ17" s="17" t="e">
        <f>#REF!-'BS 3Q2022'!AQ17</f>
        <v>#REF!</v>
      </c>
      <c r="AR17" s="33" t="e">
        <f>#REF!-'BS 3Q2022'!AR17</f>
        <v>#REF!</v>
      </c>
      <c r="AS17" s="33" t="e">
        <f>#REF!-'BS 3Q2022'!AS17</f>
        <v>#REF!</v>
      </c>
      <c r="AT17" s="33" t="e">
        <f>#REF!-'BS 3Q2022'!AT17</f>
        <v>#REF!</v>
      </c>
      <c r="AU17" s="33" t="e">
        <f>#REF!-'BS 3Q2022'!AU17</f>
        <v>#REF!</v>
      </c>
      <c r="AV17" s="17" t="e">
        <f>#REF!-'BS 3Q2022'!AV17</f>
        <v>#REF!</v>
      </c>
    </row>
    <row r="18" spans="1:48" s="8" customFormat="1" outlineLevel="1" x14ac:dyDescent="0.3">
      <c r="A18" s="161"/>
      <c r="B18" s="200" t="s">
        <v>224</v>
      </c>
      <c r="C18" s="206"/>
      <c r="D18" s="16" t="e">
        <f>#REF!-'BS 3Q2022'!D18</f>
        <v>#REF!</v>
      </c>
      <c r="E18" s="16" t="e">
        <f>#REF!-'BS 3Q2022'!E18</f>
        <v>#REF!</v>
      </c>
      <c r="F18" s="16" t="e">
        <f>#REF!-'BS 3Q2022'!F18</f>
        <v>#REF!</v>
      </c>
      <c r="G18" s="16" t="e">
        <f>#REF!-'BS 3Q2022'!G18</f>
        <v>#REF!</v>
      </c>
      <c r="H18" s="17" t="e">
        <f>#REF!-'BS 3Q2022'!H18</f>
        <v>#REF!</v>
      </c>
      <c r="I18" s="16" t="e">
        <f>#REF!-'BS 3Q2022'!I18</f>
        <v>#REF!</v>
      </c>
      <c r="J18" s="16" t="e">
        <f>#REF!-'BS 3Q2022'!J18</f>
        <v>#REF!</v>
      </c>
      <c r="K18" s="16" t="e">
        <f>#REF!-'BS 3Q2022'!K18</f>
        <v>#REF!</v>
      </c>
      <c r="L18" s="101" t="e">
        <f>#REF!-'BS 3Q2022'!L18</f>
        <v>#REF!</v>
      </c>
      <c r="M18" s="17" t="e">
        <f>#REF!-'BS 3Q2022'!M18</f>
        <v>#REF!</v>
      </c>
      <c r="N18" s="16" t="e">
        <f>#REF!-'BS 3Q2022'!N18</f>
        <v>#REF!</v>
      </c>
      <c r="O18" s="16" t="e">
        <f>#REF!-'BS 3Q2022'!O18</f>
        <v>#REF!</v>
      </c>
      <c r="P18" s="16" t="e">
        <f>#REF!-'BS 3Q2022'!P18</f>
        <v>#REF!</v>
      </c>
      <c r="Q18" s="101" t="e">
        <f>#REF!-'BS 3Q2022'!Q18</f>
        <v>#REF!</v>
      </c>
      <c r="R18" s="17" t="e">
        <f>#REF!-'BS 3Q2022'!R18</f>
        <v>#REF!</v>
      </c>
      <c r="S18" s="16" t="e">
        <f>#REF!-'BS 3Q2022'!S18</f>
        <v>#REF!</v>
      </c>
      <c r="T18" s="16" t="e">
        <f>#REF!-'BS 3Q2022'!T18</f>
        <v>#REF!</v>
      </c>
      <c r="U18" s="101" t="e">
        <f>#REF!-'BS 3Q2022'!U18</f>
        <v>#REF!</v>
      </c>
      <c r="V18" s="33" t="e">
        <f>#REF!-'BS 3Q2022'!V18</f>
        <v>#REF!</v>
      </c>
      <c r="W18" s="17" t="e">
        <f>#REF!-'BS 3Q2022'!W18</f>
        <v>#REF!</v>
      </c>
      <c r="X18" s="33" t="e">
        <f>#REF!-'BS 3Q2022'!X18</f>
        <v>#REF!</v>
      </c>
      <c r="Y18" s="33" t="e">
        <f>#REF!-'BS 3Q2022'!Y18</f>
        <v>#REF!</v>
      </c>
      <c r="Z18" s="33" t="e">
        <f>#REF!-'BS 3Q2022'!Z18</f>
        <v>#REF!</v>
      </c>
      <c r="AA18" s="33" t="e">
        <f>#REF!-'BS 3Q2022'!AA18</f>
        <v>#REF!</v>
      </c>
      <c r="AB18" s="17" t="e">
        <f>#REF!-'BS 3Q2022'!AB18</f>
        <v>#REF!</v>
      </c>
      <c r="AC18" s="33" t="e">
        <f>#REF!-'BS 3Q2022'!AC18</f>
        <v>#REF!</v>
      </c>
      <c r="AD18" s="33" t="e">
        <f>#REF!-'BS 3Q2022'!AD18</f>
        <v>#REF!</v>
      </c>
      <c r="AE18" s="33" t="e">
        <f>#REF!-'BS 3Q2022'!AE18</f>
        <v>#REF!</v>
      </c>
      <c r="AF18" s="33" t="e">
        <f>#REF!-'BS 3Q2022'!AF18</f>
        <v>#REF!</v>
      </c>
      <c r="AG18" s="17" t="e">
        <f>#REF!-'BS 3Q2022'!AG18</f>
        <v>#REF!</v>
      </c>
      <c r="AH18" s="33" t="e">
        <f>#REF!-'BS 3Q2022'!AH18</f>
        <v>#REF!</v>
      </c>
      <c r="AI18" s="33" t="e">
        <f>#REF!-'BS 3Q2022'!AI18</f>
        <v>#REF!</v>
      </c>
      <c r="AJ18" s="33" t="e">
        <f>#REF!-'BS 3Q2022'!AJ18</f>
        <v>#REF!</v>
      </c>
      <c r="AK18" s="33" t="e">
        <f>#REF!-'BS 3Q2022'!AK18</f>
        <v>#REF!</v>
      </c>
      <c r="AL18" s="17" t="e">
        <f>#REF!-'BS 3Q2022'!AL18</f>
        <v>#REF!</v>
      </c>
      <c r="AM18" s="33" t="e">
        <f>#REF!-'BS 3Q2022'!AM18</f>
        <v>#REF!</v>
      </c>
      <c r="AN18" s="33" t="e">
        <f>#REF!-'BS 3Q2022'!AN18</f>
        <v>#REF!</v>
      </c>
      <c r="AO18" s="33" t="e">
        <f>#REF!-'BS 3Q2022'!AO18</f>
        <v>#REF!</v>
      </c>
      <c r="AP18" s="33" t="e">
        <f>#REF!-'BS 3Q2022'!AP18</f>
        <v>#REF!</v>
      </c>
      <c r="AQ18" s="17" t="e">
        <f>#REF!-'BS 3Q2022'!AQ18</f>
        <v>#REF!</v>
      </c>
      <c r="AR18" s="33" t="e">
        <f>#REF!-'BS 3Q2022'!AR18</f>
        <v>#REF!</v>
      </c>
      <c r="AS18" s="33" t="e">
        <f>#REF!-'BS 3Q2022'!AS18</f>
        <v>#REF!</v>
      </c>
      <c r="AT18" s="33" t="e">
        <f>#REF!-'BS 3Q2022'!AT18</f>
        <v>#REF!</v>
      </c>
      <c r="AU18" s="33" t="e">
        <f>#REF!-'BS 3Q2022'!AU18</f>
        <v>#REF!</v>
      </c>
      <c r="AV18" s="17" t="e">
        <f>#REF!-'BS 3Q2022'!AV18</f>
        <v>#REF!</v>
      </c>
    </row>
    <row r="19" spans="1:48" ht="16.2" outlineLevel="1" x14ac:dyDescent="0.45">
      <c r="A19" s="161"/>
      <c r="B19" s="580" t="s">
        <v>225</v>
      </c>
      <c r="C19" s="581"/>
      <c r="D19" s="260" t="e">
        <f>#REF!-'BS 3Q2022'!D19</f>
        <v>#REF!</v>
      </c>
      <c r="E19" s="260" t="e">
        <f>#REF!-'BS 3Q2022'!E19</f>
        <v>#REF!</v>
      </c>
      <c r="F19" s="260" t="e">
        <f>#REF!-'BS 3Q2022'!F19</f>
        <v>#REF!</v>
      </c>
      <c r="G19" s="260" t="e">
        <f>#REF!-'BS 3Q2022'!G19</f>
        <v>#REF!</v>
      </c>
      <c r="H19" s="261" t="e">
        <f>#REF!-'BS 3Q2022'!H19</f>
        <v>#REF!</v>
      </c>
      <c r="I19" s="260" t="e">
        <f>#REF!-'BS 3Q2022'!I19</f>
        <v>#REF!</v>
      </c>
      <c r="J19" s="260" t="e">
        <f>#REF!-'BS 3Q2022'!J19</f>
        <v>#REF!</v>
      </c>
      <c r="K19" s="260" t="e">
        <f>#REF!-'BS 3Q2022'!K19</f>
        <v>#REF!</v>
      </c>
      <c r="L19" s="112" t="e">
        <f>#REF!-'BS 3Q2022'!L19</f>
        <v>#REF!</v>
      </c>
      <c r="M19" s="261" t="e">
        <f>#REF!-'BS 3Q2022'!M19</f>
        <v>#REF!</v>
      </c>
      <c r="N19" s="260" t="e">
        <f>#REF!-'BS 3Q2022'!N19</f>
        <v>#REF!</v>
      </c>
      <c r="O19" s="260" t="e">
        <f>#REF!-'BS 3Q2022'!O19</f>
        <v>#REF!</v>
      </c>
      <c r="P19" s="260" t="e">
        <f>#REF!-'BS 3Q2022'!P19</f>
        <v>#REF!</v>
      </c>
      <c r="Q19" s="112" t="e">
        <f>#REF!-'BS 3Q2022'!Q19</f>
        <v>#REF!</v>
      </c>
      <c r="R19" s="261" t="e">
        <f>#REF!-'BS 3Q2022'!R19</f>
        <v>#REF!</v>
      </c>
      <c r="S19" s="260" t="e">
        <f>#REF!-'BS 3Q2022'!S19</f>
        <v>#REF!</v>
      </c>
      <c r="T19" s="260" t="e">
        <f>#REF!-'BS 3Q2022'!T19</f>
        <v>#REF!</v>
      </c>
      <c r="U19" s="112" t="e">
        <f>#REF!-'BS 3Q2022'!U19</f>
        <v>#REF!</v>
      </c>
      <c r="V19" s="32" t="e">
        <f>#REF!-'BS 3Q2022'!V19</f>
        <v>#REF!</v>
      </c>
      <c r="W19" s="261" t="e">
        <f>#REF!-'BS 3Q2022'!W19</f>
        <v>#REF!</v>
      </c>
      <c r="X19" s="32" t="e">
        <f>#REF!-'BS 3Q2022'!X19</f>
        <v>#REF!</v>
      </c>
      <c r="Y19" s="32" t="e">
        <f>#REF!-'BS 3Q2022'!Y19</f>
        <v>#REF!</v>
      </c>
      <c r="Z19" s="32" t="e">
        <f>#REF!-'BS 3Q2022'!Z19</f>
        <v>#REF!</v>
      </c>
      <c r="AA19" s="32" t="e">
        <f>#REF!-'BS 3Q2022'!AA19</f>
        <v>#REF!</v>
      </c>
      <c r="AB19" s="261" t="e">
        <f>#REF!-'BS 3Q2022'!AB19</f>
        <v>#REF!</v>
      </c>
      <c r="AC19" s="32" t="e">
        <f>#REF!-'BS 3Q2022'!AC19</f>
        <v>#REF!</v>
      </c>
      <c r="AD19" s="32" t="e">
        <f>#REF!-'BS 3Q2022'!AD19</f>
        <v>#REF!</v>
      </c>
      <c r="AE19" s="32" t="e">
        <f>#REF!-'BS 3Q2022'!AE19</f>
        <v>#REF!</v>
      </c>
      <c r="AF19" s="32" t="e">
        <f>#REF!-'BS 3Q2022'!AF19</f>
        <v>#REF!</v>
      </c>
      <c r="AG19" s="261" t="e">
        <f>#REF!-'BS 3Q2022'!AG19</f>
        <v>#REF!</v>
      </c>
      <c r="AH19" s="32" t="e">
        <f>#REF!-'BS 3Q2022'!AH19</f>
        <v>#REF!</v>
      </c>
      <c r="AI19" s="32" t="e">
        <f>#REF!-'BS 3Q2022'!AI19</f>
        <v>#REF!</v>
      </c>
      <c r="AJ19" s="32" t="e">
        <f>#REF!-'BS 3Q2022'!AJ19</f>
        <v>#REF!</v>
      </c>
      <c r="AK19" s="32" t="e">
        <f>#REF!-'BS 3Q2022'!AK19</f>
        <v>#REF!</v>
      </c>
      <c r="AL19" s="261" t="e">
        <f>#REF!-'BS 3Q2022'!AL19</f>
        <v>#REF!</v>
      </c>
      <c r="AM19" s="32" t="e">
        <f>#REF!-'BS 3Q2022'!AM19</f>
        <v>#REF!</v>
      </c>
      <c r="AN19" s="32" t="e">
        <f>#REF!-'BS 3Q2022'!AN19</f>
        <v>#REF!</v>
      </c>
      <c r="AO19" s="32" t="e">
        <f>#REF!-'BS 3Q2022'!AO19</f>
        <v>#REF!</v>
      </c>
      <c r="AP19" s="32" t="e">
        <f>#REF!-'BS 3Q2022'!AP19</f>
        <v>#REF!</v>
      </c>
      <c r="AQ19" s="261" t="e">
        <f>#REF!-'BS 3Q2022'!AQ19</f>
        <v>#REF!</v>
      </c>
      <c r="AR19" s="32" t="e">
        <f>#REF!-'BS 3Q2022'!AR19</f>
        <v>#REF!</v>
      </c>
      <c r="AS19" s="32" t="e">
        <f>#REF!-'BS 3Q2022'!AS19</f>
        <v>#REF!</v>
      </c>
      <c r="AT19" s="32" t="e">
        <f>#REF!-'BS 3Q2022'!AT19</f>
        <v>#REF!</v>
      </c>
      <c r="AU19" s="32" t="e">
        <f>#REF!-'BS 3Q2022'!AU19</f>
        <v>#REF!</v>
      </c>
      <c r="AV19" s="261" t="e">
        <f>#REF!-'BS 3Q2022'!AV19</f>
        <v>#REF!</v>
      </c>
    </row>
    <row r="20" spans="1:48" outlineLevel="1" x14ac:dyDescent="0.3">
      <c r="A20" s="161"/>
      <c r="B20" s="619" t="s">
        <v>226</v>
      </c>
      <c r="C20" s="620"/>
      <c r="D20" s="21" t="e">
        <f>#REF!-'BS 3Q2022'!D20</f>
        <v>#REF!</v>
      </c>
      <c r="E20" s="21" t="e">
        <f>#REF!-'BS 3Q2022'!E20</f>
        <v>#REF!</v>
      </c>
      <c r="F20" s="21" t="e">
        <f>#REF!-'BS 3Q2022'!F20</f>
        <v>#REF!</v>
      </c>
      <c r="G20" s="21" t="e">
        <f>#REF!-'BS 3Q2022'!G20</f>
        <v>#REF!</v>
      </c>
      <c r="H20" s="22" t="e">
        <f>#REF!-'BS 3Q2022'!H20</f>
        <v>#REF!</v>
      </c>
      <c r="I20" s="21" t="e">
        <f>#REF!-'BS 3Q2022'!I20</f>
        <v>#REF!</v>
      </c>
      <c r="J20" s="21" t="e">
        <f>#REF!-'BS 3Q2022'!J20</f>
        <v>#REF!</v>
      </c>
      <c r="K20" s="21" t="e">
        <f>#REF!-'BS 3Q2022'!K20</f>
        <v>#REF!</v>
      </c>
      <c r="L20" s="21" t="e">
        <f>#REF!-'BS 3Q2022'!L20</f>
        <v>#REF!</v>
      </c>
      <c r="M20" s="22" t="e">
        <f>#REF!-'BS 3Q2022'!M20</f>
        <v>#REF!</v>
      </c>
      <c r="N20" s="21" t="e">
        <f>#REF!-'BS 3Q2022'!N20</f>
        <v>#REF!</v>
      </c>
      <c r="O20" s="21" t="e">
        <f>#REF!-'BS 3Q2022'!O20</f>
        <v>#REF!</v>
      </c>
      <c r="P20" s="21" t="e">
        <f>#REF!-'BS 3Q2022'!P20</f>
        <v>#REF!</v>
      </c>
      <c r="Q20" s="21" t="e">
        <f>#REF!-'BS 3Q2022'!Q20</f>
        <v>#REF!</v>
      </c>
      <c r="R20" s="22" t="e">
        <f>#REF!-'BS 3Q2022'!R20</f>
        <v>#REF!</v>
      </c>
      <c r="S20" s="21" t="e">
        <f>#REF!-'BS 3Q2022'!S20</f>
        <v>#REF!</v>
      </c>
      <c r="T20" s="21" t="e">
        <f>#REF!-'BS 3Q2022'!T20</f>
        <v>#REF!</v>
      </c>
      <c r="U20" s="21" t="e">
        <f>#REF!-'BS 3Q2022'!U20</f>
        <v>#REF!</v>
      </c>
      <c r="V20" s="21" t="e">
        <f>#REF!-'BS 3Q2022'!V20</f>
        <v>#REF!</v>
      </c>
      <c r="W20" s="22" t="e">
        <f>#REF!-'BS 3Q2022'!W20</f>
        <v>#REF!</v>
      </c>
      <c r="X20" s="21" t="e">
        <f>#REF!-'BS 3Q2022'!X20</f>
        <v>#REF!</v>
      </c>
      <c r="Y20" s="21" t="e">
        <f>#REF!-'BS 3Q2022'!Y20</f>
        <v>#REF!</v>
      </c>
      <c r="Z20" s="21" t="e">
        <f>#REF!-'BS 3Q2022'!Z20</f>
        <v>#REF!</v>
      </c>
      <c r="AA20" s="21" t="e">
        <f>#REF!-'BS 3Q2022'!AA20</f>
        <v>#REF!</v>
      </c>
      <c r="AB20" s="22" t="e">
        <f>#REF!-'BS 3Q2022'!AB20</f>
        <v>#REF!</v>
      </c>
      <c r="AC20" s="21" t="e">
        <f>#REF!-'BS 3Q2022'!AC20</f>
        <v>#REF!</v>
      </c>
      <c r="AD20" s="21" t="e">
        <f>#REF!-'BS 3Q2022'!AD20</f>
        <v>#REF!</v>
      </c>
      <c r="AE20" s="21" t="e">
        <f>#REF!-'BS 3Q2022'!AE20</f>
        <v>#REF!</v>
      </c>
      <c r="AF20" s="21" t="e">
        <f>#REF!-'BS 3Q2022'!AF20</f>
        <v>#REF!</v>
      </c>
      <c r="AG20" s="22" t="e">
        <f>#REF!-'BS 3Q2022'!AG20</f>
        <v>#REF!</v>
      </c>
      <c r="AH20" s="21" t="e">
        <f>#REF!-'BS 3Q2022'!AH20</f>
        <v>#REF!</v>
      </c>
      <c r="AI20" s="21" t="e">
        <f>#REF!-'BS 3Q2022'!AI20</f>
        <v>#REF!</v>
      </c>
      <c r="AJ20" s="21" t="e">
        <f>#REF!-'BS 3Q2022'!AJ20</f>
        <v>#REF!</v>
      </c>
      <c r="AK20" s="21" t="e">
        <f>#REF!-'BS 3Q2022'!AK20</f>
        <v>#REF!</v>
      </c>
      <c r="AL20" s="22" t="e">
        <f>#REF!-'BS 3Q2022'!AL20</f>
        <v>#REF!</v>
      </c>
      <c r="AM20" s="21" t="e">
        <f>#REF!-'BS 3Q2022'!AM20</f>
        <v>#REF!</v>
      </c>
      <c r="AN20" s="21" t="e">
        <f>#REF!-'BS 3Q2022'!AN20</f>
        <v>#REF!</v>
      </c>
      <c r="AO20" s="21" t="e">
        <f>#REF!-'BS 3Q2022'!AO20</f>
        <v>#REF!</v>
      </c>
      <c r="AP20" s="21" t="e">
        <f>#REF!-'BS 3Q2022'!AP20</f>
        <v>#REF!</v>
      </c>
      <c r="AQ20" s="22" t="e">
        <f>#REF!-'BS 3Q2022'!AQ20</f>
        <v>#REF!</v>
      </c>
      <c r="AR20" s="21" t="e">
        <f>#REF!-'BS 3Q2022'!AR20</f>
        <v>#REF!</v>
      </c>
      <c r="AS20" s="21" t="e">
        <f>#REF!-'BS 3Q2022'!AS20</f>
        <v>#REF!</v>
      </c>
      <c r="AT20" s="21" t="e">
        <f>#REF!-'BS 3Q2022'!AT20</f>
        <v>#REF!</v>
      </c>
      <c r="AU20" s="21" t="e">
        <f>#REF!-'BS 3Q2022'!AU20</f>
        <v>#REF!</v>
      </c>
      <c r="AV20" s="22" t="e">
        <f>#REF!-'BS 3Q2022'!AV20</f>
        <v>#REF!</v>
      </c>
    </row>
    <row r="21" spans="1:48" ht="17.399999999999999" x14ac:dyDescent="0.45">
      <c r="A21" s="161"/>
      <c r="B21" s="583" t="s">
        <v>227</v>
      </c>
      <c r="C21" s="584"/>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2" t="s">
        <v>25</v>
      </c>
      <c r="W21" s="42" t="s">
        <v>26</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580" t="s">
        <v>228</v>
      </c>
      <c r="C22" s="581"/>
      <c r="D22" s="16" t="e">
        <f>#REF!-'BS 3Q2022'!D22</f>
        <v>#REF!</v>
      </c>
      <c r="E22" s="101" t="e">
        <f>#REF!-'BS 3Q2022'!E22</f>
        <v>#REF!</v>
      </c>
      <c r="F22" s="101" t="e">
        <f>#REF!-'BS 3Q2022'!F22</f>
        <v>#REF!</v>
      </c>
      <c r="G22" s="101" t="e">
        <f>#REF!-'BS 3Q2022'!G22</f>
        <v>#REF!</v>
      </c>
      <c r="H22" s="169" t="e">
        <f>#REF!-'BS 3Q2022'!H22</f>
        <v>#REF!</v>
      </c>
      <c r="I22" s="101" t="e">
        <f>#REF!-'BS 3Q2022'!I22</f>
        <v>#REF!</v>
      </c>
      <c r="J22" s="101" t="e">
        <f>#REF!-'BS 3Q2022'!J22</f>
        <v>#REF!</v>
      </c>
      <c r="K22" s="101" t="e">
        <f>#REF!-'BS 3Q2022'!K22</f>
        <v>#REF!</v>
      </c>
      <c r="L22" s="101" t="e">
        <f>#REF!-'BS 3Q2022'!L22</f>
        <v>#REF!</v>
      </c>
      <c r="M22" s="169" t="e">
        <f>#REF!-'BS 3Q2022'!M22</f>
        <v>#REF!</v>
      </c>
      <c r="N22" s="101" t="e">
        <f>#REF!-'BS 3Q2022'!N22</f>
        <v>#REF!</v>
      </c>
      <c r="O22" s="101" t="e">
        <f>#REF!-'BS 3Q2022'!O22</f>
        <v>#REF!</v>
      </c>
      <c r="P22" s="101" t="e">
        <f>#REF!-'BS 3Q2022'!P22</f>
        <v>#REF!</v>
      </c>
      <c r="Q22" s="101" t="e">
        <f>#REF!-'BS 3Q2022'!Q22</f>
        <v>#REF!</v>
      </c>
      <c r="R22" s="169" t="e">
        <f>#REF!-'BS 3Q2022'!R22</f>
        <v>#REF!</v>
      </c>
      <c r="S22" s="101" t="e">
        <f>#REF!-'BS 3Q2022'!S22</f>
        <v>#REF!</v>
      </c>
      <c r="T22" s="101" t="e">
        <f>#REF!-'BS 3Q2022'!T22</f>
        <v>#REF!</v>
      </c>
      <c r="U22" s="101" t="e">
        <f>#REF!-'BS 3Q2022'!U22</f>
        <v>#REF!</v>
      </c>
      <c r="V22" s="101" t="e">
        <f>#REF!-'BS 3Q2022'!V22</f>
        <v>#REF!</v>
      </c>
      <c r="W22" s="169" t="e">
        <f>#REF!-'BS 3Q2022'!W22</f>
        <v>#REF!</v>
      </c>
      <c r="X22" s="101" t="e">
        <f>#REF!-'BS 3Q2022'!X22</f>
        <v>#REF!</v>
      </c>
      <c r="Y22" s="101" t="e">
        <f>#REF!-'BS 3Q2022'!Y22</f>
        <v>#REF!</v>
      </c>
      <c r="Z22" s="101" t="e">
        <f>#REF!-'BS 3Q2022'!Z22</f>
        <v>#REF!</v>
      </c>
      <c r="AA22" s="101" t="e">
        <f>#REF!-'BS 3Q2022'!AA22</f>
        <v>#REF!</v>
      </c>
      <c r="AB22" s="169" t="e">
        <f>#REF!-'BS 3Q2022'!AB22</f>
        <v>#REF!</v>
      </c>
      <c r="AC22" s="101" t="e">
        <f>#REF!-'BS 3Q2022'!AC22</f>
        <v>#REF!</v>
      </c>
      <c r="AD22" s="101" t="e">
        <f>#REF!-'BS 3Q2022'!AD22</f>
        <v>#REF!</v>
      </c>
      <c r="AE22" s="101" t="e">
        <f>#REF!-'BS 3Q2022'!AE22</f>
        <v>#REF!</v>
      </c>
      <c r="AF22" s="101" t="e">
        <f>#REF!-'BS 3Q2022'!AF22</f>
        <v>#REF!</v>
      </c>
      <c r="AG22" s="169" t="e">
        <f>#REF!-'BS 3Q2022'!AG22</f>
        <v>#REF!</v>
      </c>
      <c r="AH22" s="101" t="e">
        <f>#REF!-'BS 3Q2022'!AH22</f>
        <v>#REF!</v>
      </c>
      <c r="AI22" s="101" t="e">
        <f>#REF!-'BS 3Q2022'!AI22</f>
        <v>#REF!</v>
      </c>
      <c r="AJ22" s="101" t="e">
        <f>#REF!-'BS 3Q2022'!AJ22</f>
        <v>#REF!</v>
      </c>
      <c r="AK22" s="101" t="e">
        <f>#REF!-'BS 3Q2022'!AK22</f>
        <v>#REF!</v>
      </c>
      <c r="AL22" s="169" t="e">
        <f>#REF!-'BS 3Q2022'!AL22</f>
        <v>#REF!</v>
      </c>
      <c r="AM22" s="101" t="e">
        <f>#REF!-'BS 3Q2022'!AM22</f>
        <v>#REF!</v>
      </c>
      <c r="AN22" s="101" t="e">
        <f>#REF!-'BS 3Q2022'!AN22</f>
        <v>#REF!</v>
      </c>
      <c r="AO22" s="101" t="e">
        <f>#REF!-'BS 3Q2022'!AO22</f>
        <v>#REF!</v>
      </c>
      <c r="AP22" s="101" t="e">
        <f>#REF!-'BS 3Q2022'!AP22</f>
        <v>#REF!</v>
      </c>
      <c r="AQ22" s="169" t="e">
        <f>#REF!-'BS 3Q2022'!AQ22</f>
        <v>#REF!</v>
      </c>
      <c r="AR22" s="101" t="e">
        <f>#REF!-'BS 3Q2022'!AR22</f>
        <v>#REF!</v>
      </c>
      <c r="AS22" s="101" t="e">
        <f>#REF!-'BS 3Q2022'!AS22</f>
        <v>#REF!</v>
      </c>
      <c r="AT22" s="101" t="e">
        <f>#REF!-'BS 3Q2022'!AT22</f>
        <v>#REF!</v>
      </c>
      <c r="AU22" s="101" t="e">
        <f>#REF!-'BS 3Q2022'!AU22</f>
        <v>#REF!</v>
      </c>
      <c r="AV22" s="169" t="e">
        <f>#REF!-'BS 3Q2022'!AV22</f>
        <v>#REF!</v>
      </c>
    </row>
    <row r="23" spans="1:48" outlineLevel="1" x14ac:dyDescent="0.3">
      <c r="A23" s="161"/>
      <c r="B23" s="580" t="s">
        <v>229</v>
      </c>
      <c r="C23" s="581"/>
      <c r="D23" s="101" t="e">
        <f>#REF!-'BS 3Q2022'!D23</f>
        <v>#REF!</v>
      </c>
      <c r="E23" s="101" t="e">
        <f>#REF!-'BS 3Q2022'!E23</f>
        <v>#REF!</v>
      </c>
      <c r="F23" s="101" t="e">
        <f>#REF!-'BS 3Q2022'!F23</f>
        <v>#REF!</v>
      </c>
      <c r="G23" s="101" t="e">
        <f>#REF!-'BS 3Q2022'!G23</f>
        <v>#REF!</v>
      </c>
      <c r="H23" s="169" t="e">
        <f>#REF!-'BS 3Q2022'!H23</f>
        <v>#REF!</v>
      </c>
      <c r="I23" s="101" t="e">
        <f>#REF!-'BS 3Q2022'!I23</f>
        <v>#REF!</v>
      </c>
      <c r="J23" s="101" t="e">
        <f>#REF!-'BS 3Q2022'!J23</f>
        <v>#REF!</v>
      </c>
      <c r="K23" s="101" t="e">
        <f>#REF!-'BS 3Q2022'!K23</f>
        <v>#REF!</v>
      </c>
      <c r="L23" s="101" t="e">
        <f>#REF!-'BS 3Q2022'!L23</f>
        <v>#REF!</v>
      </c>
      <c r="M23" s="169" t="e">
        <f>#REF!-'BS 3Q2022'!M23</f>
        <v>#REF!</v>
      </c>
      <c r="N23" s="101" t="e">
        <f>#REF!-'BS 3Q2022'!N23</f>
        <v>#REF!</v>
      </c>
      <c r="O23" s="101" t="e">
        <f>#REF!-'BS 3Q2022'!O23</f>
        <v>#REF!</v>
      </c>
      <c r="P23" s="101" t="e">
        <f>#REF!-'BS 3Q2022'!P23</f>
        <v>#REF!</v>
      </c>
      <c r="Q23" s="101" t="e">
        <f>#REF!-'BS 3Q2022'!Q23</f>
        <v>#REF!</v>
      </c>
      <c r="R23" s="169" t="e">
        <f>#REF!-'BS 3Q2022'!R23</f>
        <v>#REF!</v>
      </c>
      <c r="S23" s="101" t="e">
        <f>#REF!-'BS 3Q2022'!S23</f>
        <v>#REF!</v>
      </c>
      <c r="T23" s="101" t="e">
        <f>#REF!-'BS 3Q2022'!T23</f>
        <v>#REF!</v>
      </c>
      <c r="U23" s="101" t="e">
        <f>#REF!-'BS 3Q2022'!U23</f>
        <v>#REF!</v>
      </c>
      <c r="V23" s="33" t="e">
        <f>#REF!-'BS 3Q2022'!V23</f>
        <v>#REF!</v>
      </c>
      <c r="W23" s="169" t="e">
        <f>#REF!-'BS 3Q2022'!W23</f>
        <v>#REF!</v>
      </c>
      <c r="X23" s="33" t="e">
        <f>#REF!-'BS 3Q2022'!X23</f>
        <v>#REF!</v>
      </c>
      <c r="Y23" s="33" t="e">
        <f>#REF!-'BS 3Q2022'!Y23</f>
        <v>#REF!</v>
      </c>
      <c r="Z23" s="33" t="e">
        <f>#REF!-'BS 3Q2022'!Z23</f>
        <v>#REF!</v>
      </c>
      <c r="AA23" s="33" t="e">
        <f>#REF!-'BS 3Q2022'!AA23</f>
        <v>#REF!</v>
      </c>
      <c r="AB23" s="169" t="e">
        <f>#REF!-'BS 3Q2022'!AB23</f>
        <v>#REF!</v>
      </c>
      <c r="AC23" s="33" t="e">
        <f>#REF!-'BS 3Q2022'!AC23</f>
        <v>#REF!</v>
      </c>
      <c r="AD23" s="33" t="e">
        <f>#REF!-'BS 3Q2022'!AD23</f>
        <v>#REF!</v>
      </c>
      <c r="AE23" s="33" t="e">
        <f>#REF!-'BS 3Q2022'!AE23</f>
        <v>#REF!</v>
      </c>
      <c r="AF23" s="33" t="e">
        <f>#REF!-'BS 3Q2022'!AF23</f>
        <v>#REF!</v>
      </c>
      <c r="AG23" s="169" t="e">
        <f>#REF!-'BS 3Q2022'!AG23</f>
        <v>#REF!</v>
      </c>
      <c r="AH23" s="33" t="e">
        <f>#REF!-'BS 3Q2022'!AH23</f>
        <v>#REF!</v>
      </c>
      <c r="AI23" s="33" t="e">
        <f>#REF!-'BS 3Q2022'!AI23</f>
        <v>#REF!</v>
      </c>
      <c r="AJ23" s="33" t="e">
        <f>#REF!-'BS 3Q2022'!AJ23</f>
        <v>#REF!</v>
      </c>
      <c r="AK23" s="33" t="e">
        <f>#REF!-'BS 3Q2022'!AK23</f>
        <v>#REF!</v>
      </c>
      <c r="AL23" s="169" t="e">
        <f>#REF!-'BS 3Q2022'!AL23</f>
        <v>#REF!</v>
      </c>
      <c r="AM23" s="33" t="e">
        <f>#REF!-'BS 3Q2022'!AM23</f>
        <v>#REF!</v>
      </c>
      <c r="AN23" s="33" t="e">
        <f>#REF!-'BS 3Q2022'!AN23</f>
        <v>#REF!</v>
      </c>
      <c r="AO23" s="33" t="e">
        <f>#REF!-'BS 3Q2022'!AO23</f>
        <v>#REF!</v>
      </c>
      <c r="AP23" s="33" t="e">
        <f>#REF!-'BS 3Q2022'!AP23</f>
        <v>#REF!</v>
      </c>
      <c r="AQ23" s="169" t="e">
        <f>#REF!-'BS 3Q2022'!AQ23</f>
        <v>#REF!</v>
      </c>
      <c r="AR23" s="33" t="e">
        <f>#REF!-'BS 3Q2022'!AR23</f>
        <v>#REF!</v>
      </c>
      <c r="AS23" s="33" t="e">
        <f>#REF!-'BS 3Q2022'!AS23</f>
        <v>#REF!</v>
      </c>
      <c r="AT23" s="33" t="e">
        <f>#REF!-'BS 3Q2022'!AT23</f>
        <v>#REF!</v>
      </c>
      <c r="AU23" s="33" t="e">
        <f>#REF!-'BS 3Q2022'!AU23</f>
        <v>#REF!</v>
      </c>
      <c r="AV23" s="169" t="e">
        <f>#REF!-'BS 3Q2022'!AV23</f>
        <v>#REF!</v>
      </c>
    </row>
    <row r="24" spans="1:48" outlineLevel="1" x14ac:dyDescent="0.3">
      <c r="A24" s="161"/>
      <c r="B24" s="200" t="s">
        <v>230</v>
      </c>
      <c r="C24" s="201"/>
      <c r="D24" s="101" t="e">
        <f>#REF!-'BS 3Q2022'!D24</f>
        <v>#REF!</v>
      </c>
      <c r="E24" s="101" t="e">
        <f>#REF!-'BS 3Q2022'!E24</f>
        <v>#REF!</v>
      </c>
      <c r="F24" s="101" t="e">
        <f>#REF!-'BS 3Q2022'!F24</f>
        <v>#REF!</v>
      </c>
      <c r="G24" s="101" t="e">
        <f>#REF!-'BS 3Q2022'!G24</f>
        <v>#REF!</v>
      </c>
      <c r="H24" s="169" t="e">
        <f>#REF!-'BS 3Q2022'!H24</f>
        <v>#REF!</v>
      </c>
      <c r="I24" s="101" t="e">
        <f>#REF!-'BS 3Q2022'!I24</f>
        <v>#REF!</v>
      </c>
      <c r="J24" s="101" t="e">
        <f>#REF!-'BS 3Q2022'!J24</f>
        <v>#REF!</v>
      </c>
      <c r="K24" s="101" t="e">
        <f>#REF!-'BS 3Q2022'!K24</f>
        <v>#REF!</v>
      </c>
      <c r="L24" s="101" t="e">
        <f>#REF!-'BS 3Q2022'!L24</f>
        <v>#REF!</v>
      </c>
      <c r="M24" s="169" t="e">
        <f>#REF!-'BS 3Q2022'!M24</f>
        <v>#REF!</v>
      </c>
      <c r="N24" s="101" t="e">
        <f>#REF!-'BS 3Q2022'!N24</f>
        <v>#REF!</v>
      </c>
      <c r="O24" s="101" t="e">
        <f>#REF!-'BS 3Q2022'!O24</f>
        <v>#REF!</v>
      </c>
      <c r="P24" s="101" t="e">
        <f>#REF!-'BS 3Q2022'!P24</f>
        <v>#REF!</v>
      </c>
      <c r="Q24" s="101" t="e">
        <f>#REF!-'BS 3Q2022'!Q24</f>
        <v>#REF!</v>
      </c>
      <c r="R24" s="169" t="e">
        <f>#REF!-'BS 3Q2022'!R24</f>
        <v>#REF!</v>
      </c>
      <c r="S24" s="101" t="e">
        <f>#REF!-'BS 3Q2022'!S24</f>
        <v>#REF!</v>
      </c>
      <c r="T24" s="101" t="e">
        <f>#REF!-'BS 3Q2022'!T24</f>
        <v>#REF!</v>
      </c>
      <c r="U24" s="101" t="e">
        <f>#REF!-'BS 3Q2022'!U24</f>
        <v>#REF!</v>
      </c>
      <c r="V24" s="33" t="e">
        <f>#REF!-'BS 3Q2022'!V24</f>
        <v>#REF!</v>
      </c>
      <c r="W24" s="169" t="e">
        <f>#REF!-'BS 3Q2022'!W24</f>
        <v>#REF!</v>
      </c>
      <c r="X24" s="33" t="e">
        <f>#REF!-'BS 3Q2022'!X24</f>
        <v>#REF!</v>
      </c>
      <c r="Y24" s="33" t="e">
        <f>#REF!-'BS 3Q2022'!Y24</f>
        <v>#REF!</v>
      </c>
      <c r="Z24" s="33" t="e">
        <f>#REF!-'BS 3Q2022'!Z24</f>
        <v>#REF!</v>
      </c>
      <c r="AA24" s="33" t="e">
        <f>#REF!-'BS 3Q2022'!AA24</f>
        <v>#REF!</v>
      </c>
      <c r="AB24" s="169" t="e">
        <f>#REF!-'BS 3Q2022'!AB24</f>
        <v>#REF!</v>
      </c>
      <c r="AC24" s="33" t="e">
        <f>#REF!-'BS 3Q2022'!AC24</f>
        <v>#REF!</v>
      </c>
      <c r="AD24" s="33" t="e">
        <f>#REF!-'BS 3Q2022'!AD24</f>
        <v>#REF!</v>
      </c>
      <c r="AE24" s="33" t="e">
        <f>#REF!-'BS 3Q2022'!AE24</f>
        <v>#REF!</v>
      </c>
      <c r="AF24" s="33" t="e">
        <f>#REF!-'BS 3Q2022'!AF24</f>
        <v>#REF!</v>
      </c>
      <c r="AG24" s="169" t="e">
        <f>#REF!-'BS 3Q2022'!AG24</f>
        <v>#REF!</v>
      </c>
      <c r="AH24" s="33" t="e">
        <f>#REF!-'BS 3Q2022'!AH24</f>
        <v>#REF!</v>
      </c>
      <c r="AI24" s="33" t="e">
        <f>#REF!-'BS 3Q2022'!AI24</f>
        <v>#REF!</v>
      </c>
      <c r="AJ24" s="33" t="e">
        <f>#REF!-'BS 3Q2022'!AJ24</f>
        <v>#REF!</v>
      </c>
      <c r="AK24" s="33" t="e">
        <f>#REF!-'BS 3Q2022'!AK24</f>
        <v>#REF!</v>
      </c>
      <c r="AL24" s="169" t="e">
        <f>#REF!-'BS 3Q2022'!AL24</f>
        <v>#REF!</v>
      </c>
      <c r="AM24" s="33" t="e">
        <f>#REF!-'BS 3Q2022'!AM24</f>
        <v>#REF!</v>
      </c>
      <c r="AN24" s="33" t="e">
        <f>#REF!-'BS 3Q2022'!AN24</f>
        <v>#REF!</v>
      </c>
      <c r="AO24" s="33" t="e">
        <f>#REF!-'BS 3Q2022'!AO24</f>
        <v>#REF!</v>
      </c>
      <c r="AP24" s="33" t="e">
        <f>#REF!-'BS 3Q2022'!AP24</f>
        <v>#REF!</v>
      </c>
      <c r="AQ24" s="169" t="e">
        <f>#REF!-'BS 3Q2022'!AQ24</f>
        <v>#REF!</v>
      </c>
      <c r="AR24" s="33" t="e">
        <f>#REF!-'BS 3Q2022'!AR24</f>
        <v>#REF!</v>
      </c>
      <c r="AS24" s="33" t="e">
        <f>#REF!-'BS 3Q2022'!AS24</f>
        <v>#REF!</v>
      </c>
      <c r="AT24" s="33" t="e">
        <f>#REF!-'BS 3Q2022'!AT24</f>
        <v>#REF!</v>
      </c>
      <c r="AU24" s="33" t="e">
        <f>#REF!-'BS 3Q2022'!AU24</f>
        <v>#REF!</v>
      </c>
      <c r="AV24" s="169" t="e">
        <f>#REF!-'BS 3Q2022'!AV24</f>
        <v>#REF!</v>
      </c>
    </row>
    <row r="25" spans="1:48" outlineLevel="1" x14ac:dyDescent="0.3">
      <c r="A25" s="161"/>
      <c r="B25" s="200" t="s">
        <v>231</v>
      </c>
      <c r="C25" s="201"/>
      <c r="D25" s="101" t="e">
        <f>#REF!-'BS 3Q2022'!D25</f>
        <v>#REF!</v>
      </c>
      <c r="E25" s="101" t="e">
        <f>#REF!-'BS 3Q2022'!E25</f>
        <v>#REF!</v>
      </c>
      <c r="F25" s="101" t="e">
        <f>#REF!-'BS 3Q2022'!F25</f>
        <v>#REF!</v>
      </c>
      <c r="G25" s="101" t="e">
        <f>#REF!-'BS 3Q2022'!G25</f>
        <v>#REF!</v>
      </c>
      <c r="H25" s="169" t="e">
        <f>#REF!-'BS 3Q2022'!H25</f>
        <v>#REF!</v>
      </c>
      <c r="I25" s="101" t="e">
        <f>#REF!-'BS 3Q2022'!I25</f>
        <v>#REF!</v>
      </c>
      <c r="J25" s="101" t="e">
        <f>#REF!-'BS 3Q2022'!J25</f>
        <v>#REF!</v>
      </c>
      <c r="K25" s="101" t="e">
        <f>#REF!-'BS 3Q2022'!K25</f>
        <v>#REF!</v>
      </c>
      <c r="L25" s="101" t="e">
        <f>#REF!-'BS 3Q2022'!L25</f>
        <v>#REF!</v>
      </c>
      <c r="M25" s="169" t="e">
        <f>#REF!-'BS 3Q2022'!M25</f>
        <v>#REF!</v>
      </c>
      <c r="N25" s="101" t="e">
        <f>#REF!-'BS 3Q2022'!N25</f>
        <v>#REF!</v>
      </c>
      <c r="O25" s="101" t="e">
        <f>#REF!-'BS 3Q2022'!O25</f>
        <v>#REF!</v>
      </c>
      <c r="P25" s="101" t="e">
        <f>#REF!-'BS 3Q2022'!P25</f>
        <v>#REF!</v>
      </c>
      <c r="Q25" s="101" t="e">
        <f>#REF!-'BS 3Q2022'!Q25</f>
        <v>#REF!</v>
      </c>
      <c r="R25" s="169" t="e">
        <f>#REF!-'BS 3Q2022'!R25</f>
        <v>#REF!</v>
      </c>
      <c r="S25" s="101" t="e">
        <f>#REF!-'BS 3Q2022'!S25</f>
        <v>#REF!</v>
      </c>
      <c r="T25" s="101" t="e">
        <f>#REF!-'BS 3Q2022'!T25</f>
        <v>#REF!</v>
      </c>
      <c r="U25" s="101" t="e">
        <f>#REF!-'BS 3Q2022'!U25</f>
        <v>#REF!</v>
      </c>
      <c r="V25" s="33" t="e">
        <f>#REF!-'BS 3Q2022'!V25</f>
        <v>#REF!</v>
      </c>
      <c r="W25" s="169" t="e">
        <f>#REF!-'BS 3Q2022'!W25</f>
        <v>#REF!</v>
      </c>
      <c r="X25" s="33" t="e">
        <f>#REF!-'BS 3Q2022'!X25</f>
        <v>#REF!</v>
      </c>
      <c r="Y25" s="33" t="e">
        <f>#REF!-'BS 3Q2022'!Y25</f>
        <v>#REF!</v>
      </c>
      <c r="Z25" s="33" t="e">
        <f>#REF!-'BS 3Q2022'!Z25</f>
        <v>#REF!</v>
      </c>
      <c r="AA25" s="33" t="e">
        <f>#REF!-'BS 3Q2022'!AA25</f>
        <v>#REF!</v>
      </c>
      <c r="AB25" s="169" t="e">
        <f>#REF!-'BS 3Q2022'!AB25</f>
        <v>#REF!</v>
      </c>
      <c r="AC25" s="33" t="e">
        <f>#REF!-'BS 3Q2022'!AC25</f>
        <v>#REF!</v>
      </c>
      <c r="AD25" s="33" t="e">
        <f>#REF!-'BS 3Q2022'!AD25</f>
        <v>#REF!</v>
      </c>
      <c r="AE25" s="33" t="e">
        <f>#REF!-'BS 3Q2022'!AE25</f>
        <v>#REF!</v>
      </c>
      <c r="AF25" s="33" t="e">
        <f>#REF!-'BS 3Q2022'!AF25</f>
        <v>#REF!</v>
      </c>
      <c r="AG25" s="169" t="e">
        <f>#REF!-'BS 3Q2022'!AG25</f>
        <v>#REF!</v>
      </c>
      <c r="AH25" s="33" t="e">
        <f>#REF!-'BS 3Q2022'!AH25</f>
        <v>#REF!</v>
      </c>
      <c r="AI25" s="33" t="e">
        <f>#REF!-'BS 3Q2022'!AI25</f>
        <v>#REF!</v>
      </c>
      <c r="AJ25" s="33" t="e">
        <f>#REF!-'BS 3Q2022'!AJ25</f>
        <v>#REF!</v>
      </c>
      <c r="AK25" s="33" t="e">
        <f>#REF!-'BS 3Q2022'!AK25</f>
        <v>#REF!</v>
      </c>
      <c r="AL25" s="169" t="e">
        <f>#REF!-'BS 3Q2022'!AL25</f>
        <v>#REF!</v>
      </c>
      <c r="AM25" s="33" t="e">
        <f>#REF!-'BS 3Q2022'!AM25</f>
        <v>#REF!</v>
      </c>
      <c r="AN25" s="33" t="e">
        <f>#REF!-'BS 3Q2022'!AN25</f>
        <v>#REF!</v>
      </c>
      <c r="AO25" s="33" t="e">
        <f>#REF!-'BS 3Q2022'!AO25</f>
        <v>#REF!</v>
      </c>
      <c r="AP25" s="33" t="e">
        <f>#REF!-'BS 3Q2022'!AP25</f>
        <v>#REF!</v>
      </c>
      <c r="AQ25" s="169" t="e">
        <f>#REF!-'BS 3Q2022'!AQ25</f>
        <v>#REF!</v>
      </c>
      <c r="AR25" s="33" t="e">
        <f>#REF!-'BS 3Q2022'!AR25</f>
        <v>#REF!</v>
      </c>
      <c r="AS25" s="33" t="e">
        <f>#REF!-'BS 3Q2022'!AS25</f>
        <v>#REF!</v>
      </c>
      <c r="AT25" s="33" t="e">
        <f>#REF!-'BS 3Q2022'!AT25</f>
        <v>#REF!</v>
      </c>
      <c r="AU25" s="33" t="e">
        <f>#REF!-'BS 3Q2022'!AU25</f>
        <v>#REF!</v>
      </c>
      <c r="AV25" s="169" t="e">
        <f>#REF!-'BS 3Q2022'!AV25</f>
        <v>#REF!</v>
      </c>
    </row>
    <row r="26" spans="1:48" outlineLevel="1" x14ac:dyDescent="0.3">
      <c r="A26" s="161"/>
      <c r="B26" s="200" t="s">
        <v>232</v>
      </c>
      <c r="C26" s="201"/>
      <c r="D26" s="101" t="e">
        <f>#REF!-'BS 3Q2022'!D26</f>
        <v>#REF!</v>
      </c>
      <c r="E26" s="101" t="e">
        <f>#REF!-'BS 3Q2022'!E26</f>
        <v>#REF!</v>
      </c>
      <c r="F26" s="101" t="e">
        <f>#REF!-'BS 3Q2022'!F26</f>
        <v>#REF!</v>
      </c>
      <c r="G26" s="101" t="e">
        <f>#REF!-'BS 3Q2022'!G26</f>
        <v>#REF!</v>
      </c>
      <c r="H26" s="169" t="e">
        <f>#REF!-'BS 3Q2022'!H26</f>
        <v>#REF!</v>
      </c>
      <c r="I26" s="101" t="e">
        <f>#REF!-'BS 3Q2022'!I26</f>
        <v>#REF!</v>
      </c>
      <c r="J26" s="101" t="e">
        <f>#REF!-'BS 3Q2022'!J26</f>
        <v>#REF!</v>
      </c>
      <c r="K26" s="101" t="e">
        <f>#REF!-'BS 3Q2022'!K26</f>
        <v>#REF!</v>
      </c>
      <c r="L26" s="101" t="e">
        <f>#REF!-'BS 3Q2022'!L26</f>
        <v>#REF!</v>
      </c>
      <c r="M26" s="169" t="e">
        <f>#REF!-'BS 3Q2022'!M26</f>
        <v>#REF!</v>
      </c>
      <c r="N26" s="101" t="e">
        <f>#REF!-'BS 3Q2022'!N26</f>
        <v>#REF!</v>
      </c>
      <c r="O26" s="101" t="e">
        <f>#REF!-'BS 3Q2022'!O26</f>
        <v>#REF!</v>
      </c>
      <c r="P26" s="101" t="e">
        <f>#REF!-'BS 3Q2022'!P26</f>
        <v>#REF!</v>
      </c>
      <c r="Q26" s="101" t="e">
        <f>#REF!-'BS 3Q2022'!Q26</f>
        <v>#REF!</v>
      </c>
      <c r="R26" s="169" t="e">
        <f>#REF!-'BS 3Q2022'!R26</f>
        <v>#REF!</v>
      </c>
      <c r="S26" s="101" t="e">
        <f>#REF!-'BS 3Q2022'!S26</f>
        <v>#REF!</v>
      </c>
      <c r="T26" s="101" t="e">
        <f>#REF!-'BS 3Q2022'!T26</f>
        <v>#REF!</v>
      </c>
      <c r="U26" s="101" t="e">
        <f>#REF!-'BS 3Q2022'!U26</f>
        <v>#REF!</v>
      </c>
      <c r="V26" s="33" t="e">
        <f>#REF!-'BS 3Q2022'!V26</f>
        <v>#REF!</v>
      </c>
      <c r="W26" s="169" t="e">
        <f>#REF!-'BS 3Q2022'!W26</f>
        <v>#REF!</v>
      </c>
      <c r="X26" s="33" t="e">
        <f>#REF!-'BS 3Q2022'!X26</f>
        <v>#REF!</v>
      </c>
      <c r="Y26" s="33" t="e">
        <f>#REF!-'BS 3Q2022'!Y26</f>
        <v>#REF!</v>
      </c>
      <c r="Z26" s="33" t="e">
        <f>#REF!-'BS 3Q2022'!Z26</f>
        <v>#REF!</v>
      </c>
      <c r="AA26" s="33" t="e">
        <f>#REF!-'BS 3Q2022'!AA26</f>
        <v>#REF!</v>
      </c>
      <c r="AB26" s="169" t="e">
        <f>#REF!-'BS 3Q2022'!AB26</f>
        <v>#REF!</v>
      </c>
      <c r="AC26" s="33" t="e">
        <f>#REF!-'BS 3Q2022'!AC26</f>
        <v>#REF!</v>
      </c>
      <c r="AD26" s="33" t="e">
        <f>#REF!-'BS 3Q2022'!AD26</f>
        <v>#REF!</v>
      </c>
      <c r="AE26" s="33" t="e">
        <f>#REF!-'BS 3Q2022'!AE26</f>
        <v>#REF!</v>
      </c>
      <c r="AF26" s="33" t="e">
        <f>#REF!-'BS 3Q2022'!AF26</f>
        <v>#REF!</v>
      </c>
      <c r="AG26" s="169" t="e">
        <f>#REF!-'BS 3Q2022'!AG26</f>
        <v>#REF!</v>
      </c>
      <c r="AH26" s="33" t="e">
        <f>#REF!-'BS 3Q2022'!AH26</f>
        <v>#REF!</v>
      </c>
      <c r="AI26" s="33" t="e">
        <f>#REF!-'BS 3Q2022'!AI26</f>
        <v>#REF!</v>
      </c>
      <c r="AJ26" s="33" t="e">
        <f>#REF!-'BS 3Q2022'!AJ26</f>
        <v>#REF!</v>
      </c>
      <c r="AK26" s="33" t="e">
        <f>#REF!-'BS 3Q2022'!AK26</f>
        <v>#REF!</v>
      </c>
      <c r="AL26" s="169" t="e">
        <f>#REF!-'BS 3Q2022'!AL26</f>
        <v>#REF!</v>
      </c>
      <c r="AM26" s="33" t="e">
        <f>#REF!-'BS 3Q2022'!AM26</f>
        <v>#REF!</v>
      </c>
      <c r="AN26" s="33" t="e">
        <f>#REF!-'BS 3Q2022'!AN26</f>
        <v>#REF!</v>
      </c>
      <c r="AO26" s="33" t="e">
        <f>#REF!-'BS 3Q2022'!AO26</f>
        <v>#REF!</v>
      </c>
      <c r="AP26" s="33" t="e">
        <f>#REF!-'BS 3Q2022'!AP26</f>
        <v>#REF!</v>
      </c>
      <c r="AQ26" s="169" t="e">
        <f>#REF!-'BS 3Q2022'!AQ26</f>
        <v>#REF!</v>
      </c>
      <c r="AR26" s="33" t="e">
        <f>#REF!-'BS 3Q2022'!AR26</f>
        <v>#REF!</v>
      </c>
      <c r="AS26" s="33" t="e">
        <f>#REF!-'BS 3Q2022'!AS26</f>
        <v>#REF!</v>
      </c>
      <c r="AT26" s="33" t="e">
        <f>#REF!-'BS 3Q2022'!AT26</f>
        <v>#REF!</v>
      </c>
      <c r="AU26" s="33" t="e">
        <f>#REF!-'BS 3Q2022'!AU26</f>
        <v>#REF!</v>
      </c>
      <c r="AV26" s="169" t="e">
        <f>#REF!-'BS 3Q2022'!AV26</f>
        <v>#REF!</v>
      </c>
    </row>
    <row r="27" spans="1:48" outlineLevel="1" x14ac:dyDescent="0.3">
      <c r="A27" s="161"/>
      <c r="B27" s="200" t="s">
        <v>233</v>
      </c>
      <c r="C27" s="201"/>
      <c r="D27" s="101" t="e">
        <f>#REF!-'BS 3Q2022'!D27</f>
        <v>#REF!</v>
      </c>
      <c r="E27" s="101" t="e">
        <f>#REF!-'BS 3Q2022'!E27</f>
        <v>#REF!</v>
      </c>
      <c r="F27" s="101" t="e">
        <f>#REF!-'BS 3Q2022'!F27</f>
        <v>#REF!</v>
      </c>
      <c r="G27" s="101" t="e">
        <f>#REF!-'BS 3Q2022'!G27</f>
        <v>#REF!</v>
      </c>
      <c r="H27" s="169" t="e">
        <f>#REF!-'BS 3Q2022'!H27</f>
        <v>#REF!</v>
      </c>
      <c r="I27" s="101" t="e">
        <f>#REF!-'BS 3Q2022'!I27</f>
        <v>#REF!</v>
      </c>
      <c r="J27" s="101" t="e">
        <f>#REF!-'BS 3Q2022'!J27</f>
        <v>#REF!</v>
      </c>
      <c r="K27" s="101" t="e">
        <f>#REF!-'BS 3Q2022'!K27</f>
        <v>#REF!</v>
      </c>
      <c r="L27" s="101" t="e">
        <f>#REF!-'BS 3Q2022'!L27</f>
        <v>#REF!</v>
      </c>
      <c r="M27" s="169" t="e">
        <f>#REF!-'BS 3Q2022'!M27</f>
        <v>#REF!</v>
      </c>
      <c r="N27" s="101" t="e">
        <f>#REF!-'BS 3Q2022'!N27</f>
        <v>#REF!</v>
      </c>
      <c r="O27" s="101" t="e">
        <f>#REF!-'BS 3Q2022'!O27</f>
        <v>#REF!</v>
      </c>
      <c r="P27" s="101" t="e">
        <f>#REF!-'BS 3Q2022'!P27</f>
        <v>#REF!</v>
      </c>
      <c r="Q27" s="101" t="e">
        <f>#REF!-'BS 3Q2022'!Q27</f>
        <v>#REF!</v>
      </c>
      <c r="R27" s="169" t="e">
        <f>#REF!-'BS 3Q2022'!R27</f>
        <v>#REF!</v>
      </c>
      <c r="S27" s="101" t="e">
        <f>#REF!-'BS 3Q2022'!S27</f>
        <v>#REF!</v>
      </c>
      <c r="T27" s="101" t="e">
        <f>#REF!-'BS 3Q2022'!T27</f>
        <v>#REF!</v>
      </c>
      <c r="U27" s="101" t="e">
        <f>#REF!-'BS 3Q2022'!U27</f>
        <v>#REF!</v>
      </c>
      <c r="V27" s="33" t="e">
        <f>#REF!-'BS 3Q2022'!V27</f>
        <v>#REF!</v>
      </c>
      <c r="W27" s="169" t="e">
        <f>#REF!-'BS 3Q2022'!W27</f>
        <v>#REF!</v>
      </c>
      <c r="X27" s="33" t="e">
        <f>#REF!-'BS 3Q2022'!X27</f>
        <v>#REF!</v>
      </c>
      <c r="Y27" s="33" t="e">
        <f>#REF!-'BS 3Q2022'!Y27</f>
        <v>#REF!</v>
      </c>
      <c r="Z27" s="33" t="e">
        <f>#REF!-'BS 3Q2022'!Z27</f>
        <v>#REF!</v>
      </c>
      <c r="AA27" s="33" t="e">
        <f>#REF!-'BS 3Q2022'!AA27</f>
        <v>#REF!</v>
      </c>
      <c r="AB27" s="169" t="e">
        <f>#REF!-'BS 3Q2022'!AB27</f>
        <v>#REF!</v>
      </c>
      <c r="AC27" s="33" t="e">
        <f>#REF!-'BS 3Q2022'!AC27</f>
        <v>#REF!</v>
      </c>
      <c r="AD27" s="33" t="e">
        <f>#REF!-'BS 3Q2022'!AD27</f>
        <v>#REF!</v>
      </c>
      <c r="AE27" s="33" t="e">
        <f>#REF!-'BS 3Q2022'!AE27</f>
        <v>#REF!</v>
      </c>
      <c r="AF27" s="33" t="e">
        <f>#REF!-'BS 3Q2022'!AF27</f>
        <v>#REF!</v>
      </c>
      <c r="AG27" s="169" t="e">
        <f>#REF!-'BS 3Q2022'!AG27</f>
        <v>#REF!</v>
      </c>
      <c r="AH27" s="33" t="e">
        <f>#REF!-'BS 3Q2022'!AH27</f>
        <v>#REF!</v>
      </c>
      <c r="AI27" s="33" t="e">
        <f>#REF!-'BS 3Q2022'!AI27</f>
        <v>#REF!</v>
      </c>
      <c r="AJ27" s="33" t="e">
        <f>#REF!-'BS 3Q2022'!AJ27</f>
        <v>#REF!</v>
      </c>
      <c r="AK27" s="33" t="e">
        <f>#REF!-'BS 3Q2022'!AK27</f>
        <v>#REF!</v>
      </c>
      <c r="AL27" s="169" t="e">
        <f>#REF!-'BS 3Q2022'!AL27</f>
        <v>#REF!</v>
      </c>
      <c r="AM27" s="33" t="e">
        <f>#REF!-'BS 3Q2022'!AM27</f>
        <v>#REF!</v>
      </c>
      <c r="AN27" s="33" t="e">
        <f>#REF!-'BS 3Q2022'!AN27</f>
        <v>#REF!</v>
      </c>
      <c r="AO27" s="33" t="e">
        <f>#REF!-'BS 3Q2022'!AO27</f>
        <v>#REF!</v>
      </c>
      <c r="AP27" s="33" t="e">
        <f>#REF!-'BS 3Q2022'!AP27</f>
        <v>#REF!</v>
      </c>
      <c r="AQ27" s="169" t="e">
        <f>#REF!-'BS 3Q2022'!AQ27</f>
        <v>#REF!</v>
      </c>
      <c r="AR27" s="33" t="e">
        <f>#REF!-'BS 3Q2022'!AR27</f>
        <v>#REF!</v>
      </c>
      <c r="AS27" s="33" t="e">
        <f>#REF!-'BS 3Q2022'!AS27</f>
        <v>#REF!</v>
      </c>
      <c r="AT27" s="33" t="e">
        <f>#REF!-'BS 3Q2022'!AT27</f>
        <v>#REF!</v>
      </c>
      <c r="AU27" s="33" t="e">
        <f>#REF!-'BS 3Q2022'!AU27</f>
        <v>#REF!</v>
      </c>
      <c r="AV27" s="169" t="e">
        <f>#REF!-'BS 3Q2022'!AV27</f>
        <v>#REF!</v>
      </c>
    </row>
    <row r="28" spans="1:48" outlineLevel="1" x14ac:dyDescent="0.3">
      <c r="A28" s="161"/>
      <c r="B28" s="200" t="s">
        <v>234</v>
      </c>
      <c r="C28" s="201"/>
      <c r="D28" s="101" t="e">
        <f>#REF!-'BS 3Q2022'!D28</f>
        <v>#REF!</v>
      </c>
      <c r="E28" s="101" t="e">
        <f>#REF!-'BS 3Q2022'!E28</f>
        <v>#REF!</v>
      </c>
      <c r="F28" s="101" t="e">
        <f>#REF!-'BS 3Q2022'!F28</f>
        <v>#REF!</v>
      </c>
      <c r="G28" s="101" t="e">
        <f>#REF!-'BS 3Q2022'!G28</f>
        <v>#REF!</v>
      </c>
      <c r="H28" s="169" t="e">
        <f>#REF!-'BS 3Q2022'!H28</f>
        <v>#REF!</v>
      </c>
      <c r="I28" s="101" t="e">
        <f>#REF!-'BS 3Q2022'!I28</f>
        <v>#REF!</v>
      </c>
      <c r="J28" s="101" t="e">
        <f>#REF!-'BS 3Q2022'!J28</f>
        <v>#REF!</v>
      </c>
      <c r="K28" s="101" t="e">
        <f>#REF!-'BS 3Q2022'!K28</f>
        <v>#REF!</v>
      </c>
      <c r="L28" s="101" t="e">
        <f>#REF!-'BS 3Q2022'!L28</f>
        <v>#REF!</v>
      </c>
      <c r="M28" s="169" t="e">
        <f>#REF!-'BS 3Q2022'!M28</f>
        <v>#REF!</v>
      </c>
      <c r="N28" s="101" t="e">
        <f>#REF!-'BS 3Q2022'!N28</f>
        <v>#REF!</v>
      </c>
      <c r="O28" s="101" t="e">
        <f>#REF!-'BS 3Q2022'!O28</f>
        <v>#REF!</v>
      </c>
      <c r="P28" s="101" t="e">
        <f>#REF!-'BS 3Q2022'!P28</f>
        <v>#REF!</v>
      </c>
      <c r="Q28" s="101" t="e">
        <f>#REF!-'BS 3Q2022'!Q28</f>
        <v>#REF!</v>
      </c>
      <c r="R28" s="169" t="e">
        <f>#REF!-'BS 3Q2022'!R28</f>
        <v>#REF!</v>
      </c>
      <c r="S28" s="101" t="e">
        <f>#REF!-'BS 3Q2022'!S28</f>
        <v>#REF!</v>
      </c>
      <c r="T28" s="101" t="e">
        <f>#REF!-'BS 3Q2022'!T28</f>
        <v>#REF!</v>
      </c>
      <c r="U28" s="101" t="e">
        <f>#REF!-'BS 3Q2022'!U28</f>
        <v>#REF!</v>
      </c>
      <c r="V28" s="33" t="e">
        <f>#REF!-'BS 3Q2022'!V28</f>
        <v>#REF!</v>
      </c>
      <c r="W28" s="169" t="e">
        <f>#REF!-'BS 3Q2022'!W28</f>
        <v>#REF!</v>
      </c>
      <c r="X28" s="33" t="e">
        <f>#REF!-'BS 3Q2022'!X28</f>
        <v>#REF!</v>
      </c>
      <c r="Y28" s="33" t="e">
        <f>#REF!-'BS 3Q2022'!Y28</f>
        <v>#REF!</v>
      </c>
      <c r="Z28" s="33" t="e">
        <f>#REF!-'BS 3Q2022'!Z28</f>
        <v>#REF!</v>
      </c>
      <c r="AA28" s="33" t="e">
        <f>#REF!-'BS 3Q2022'!AA28</f>
        <v>#REF!</v>
      </c>
      <c r="AB28" s="169" t="e">
        <f>#REF!-'BS 3Q2022'!AB28</f>
        <v>#REF!</v>
      </c>
      <c r="AC28" s="33" t="e">
        <f>#REF!-'BS 3Q2022'!AC28</f>
        <v>#REF!</v>
      </c>
      <c r="AD28" s="33" t="e">
        <f>#REF!-'BS 3Q2022'!AD28</f>
        <v>#REF!</v>
      </c>
      <c r="AE28" s="33" t="e">
        <f>#REF!-'BS 3Q2022'!AE28</f>
        <v>#REF!</v>
      </c>
      <c r="AF28" s="33" t="e">
        <f>#REF!-'BS 3Q2022'!AF28</f>
        <v>#REF!</v>
      </c>
      <c r="AG28" s="169" t="e">
        <f>#REF!-'BS 3Q2022'!AG28</f>
        <v>#REF!</v>
      </c>
      <c r="AH28" s="33" t="e">
        <f>#REF!-'BS 3Q2022'!AH28</f>
        <v>#REF!</v>
      </c>
      <c r="AI28" s="33" t="e">
        <f>#REF!-'BS 3Q2022'!AI28</f>
        <v>#REF!</v>
      </c>
      <c r="AJ28" s="33" t="e">
        <f>#REF!-'BS 3Q2022'!AJ28</f>
        <v>#REF!</v>
      </c>
      <c r="AK28" s="33" t="e">
        <f>#REF!-'BS 3Q2022'!AK28</f>
        <v>#REF!</v>
      </c>
      <c r="AL28" s="169" t="e">
        <f>#REF!-'BS 3Q2022'!AL28</f>
        <v>#REF!</v>
      </c>
      <c r="AM28" s="33" t="e">
        <f>#REF!-'BS 3Q2022'!AM28</f>
        <v>#REF!</v>
      </c>
      <c r="AN28" s="33" t="e">
        <f>#REF!-'BS 3Q2022'!AN28</f>
        <v>#REF!</v>
      </c>
      <c r="AO28" s="33" t="e">
        <f>#REF!-'BS 3Q2022'!AO28</f>
        <v>#REF!</v>
      </c>
      <c r="AP28" s="33" t="e">
        <f>#REF!-'BS 3Q2022'!AP28</f>
        <v>#REF!</v>
      </c>
      <c r="AQ28" s="169" t="e">
        <f>#REF!-'BS 3Q2022'!AQ28</f>
        <v>#REF!</v>
      </c>
      <c r="AR28" s="33" t="e">
        <f>#REF!-'BS 3Q2022'!AR28</f>
        <v>#REF!</v>
      </c>
      <c r="AS28" s="33" t="e">
        <f>#REF!-'BS 3Q2022'!AS28</f>
        <v>#REF!</v>
      </c>
      <c r="AT28" s="33" t="e">
        <f>#REF!-'BS 3Q2022'!AT28</f>
        <v>#REF!</v>
      </c>
      <c r="AU28" s="33" t="e">
        <f>#REF!-'BS 3Q2022'!AU28</f>
        <v>#REF!</v>
      </c>
      <c r="AV28" s="169" t="e">
        <f>#REF!-'BS 3Q2022'!AV28</f>
        <v>#REF!</v>
      </c>
    </row>
    <row r="29" spans="1:48" ht="16.2" outlineLevel="1" x14ac:dyDescent="0.45">
      <c r="A29" s="161"/>
      <c r="B29" s="200" t="s">
        <v>235</v>
      </c>
      <c r="C29" s="201"/>
      <c r="D29" s="112" t="e">
        <f>#REF!-'BS 3Q2022'!D29</f>
        <v>#REF!</v>
      </c>
      <c r="E29" s="112" t="e">
        <f>#REF!-'BS 3Q2022'!E29</f>
        <v>#REF!</v>
      </c>
      <c r="F29" s="112" t="e">
        <f>#REF!-'BS 3Q2022'!F29</f>
        <v>#REF!</v>
      </c>
      <c r="G29" s="112" t="e">
        <f>#REF!-'BS 3Q2022'!G29</f>
        <v>#REF!</v>
      </c>
      <c r="H29" s="262" t="e">
        <f>#REF!-'BS 3Q2022'!H29</f>
        <v>#REF!</v>
      </c>
      <c r="I29" s="112" t="e">
        <f>#REF!-'BS 3Q2022'!I29</f>
        <v>#REF!</v>
      </c>
      <c r="J29" s="112" t="e">
        <f>#REF!-'BS 3Q2022'!J29</f>
        <v>#REF!</v>
      </c>
      <c r="K29" s="112" t="e">
        <f>#REF!-'BS 3Q2022'!K29</f>
        <v>#REF!</v>
      </c>
      <c r="L29" s="112" t="e">
        <f>#REF!-'BS 3Q2022'!L29</f>
        <v>#REF!</v>
      </c>
      <c r="M29" s="262" t="e">
        <f>#REF!-'BS 3Q2022'!M29</f>
        <v>#REF!</v>
      </c>
      <c r="N29" s="112" t="e">
        <f>#REF!-'BS 3Q2022'!N29</f>
        <v>#REF!</v>
      </c>
      <c r="O29" s="112" t="e">
        <f>#REF!-'BS 3Q2022'!O29</f>
        <v>#REF!</v>
      </c>
      <c r="P29" s="112" t="e">
        <f>#REF!-'BS 3Q2022'!P29</f>
        <v>#REF!</v>
      </c>
      <c r="Q29" s="112" t="e">
        <f>#REF!-'BS 3Q2022'!Q29</f>
        <v>#REF!</v>
      </c>
      <c r="R29" s="262" t="e">
        <f>#REF!-'BS 3Q2022'!R29</f>
        <v>#REF!</v>
      </c>
      <c r="S29" s="112" t="e">
        <f>#REF!-'BS 3Q2022'!S29</f>
        <v>#REF!</v>
      </c>
      <c r="T29" s="112" t="e">
        <f>#REF!-'BS 3Q2022'!T29</f>
        <v>#REF!</v>
      </c>
      <c r="U29" s="112" t="e">
        <f>#REF!-'BS 3Q2022'!U29</f>
        <v>#REF!</v>
      </c>
      <c r="V29" s="32" t="e">
        <f>#REF!-'BS 3Q2022'!V29</f>
        <v>#REF!</v>
      </c>
      <c r="W29" s="262" t="e">
        <f>#REF!-'BS 3Q2022'!W29</f>
        <v>#REF!</v>
      </c>
      <c r="X29" s="32" t="e">
        <f>#REF!-'BS 3Q2022'!X29</f>
        <v>#REF!</v>
      </c>
      <c r="Y29" s="32" t="e">
        <f>#REF!-'BS 3Q2022'!Y29</f>
        <v>#REF!</v>
      </c>
      <c r="Z29" s="32" t="e">
        <f>#REF!-'BS 3Q2022'!Z29</f>
        <v>#REF!</v>
      </c>
      <c r="AA29" s="32" t="e">
        <f>#REF!-'BS 3Q2022'!AA29</f>
        <v>#REF!</v>
      </c>
      <c r="AB29" s="262" t="e">
        <f>#REF!-'BS 3Q2022'!AB29</f>
        <v>#REF!</v>
      </c>
      <c r="AC29" s="32" t="e">
        <f>#REF!-'BS 3Q2022'!AC29</f>
        <v>#REF!</v>
      </c>
      <c r="AD29" s="32" t="e">
        <f>#REF!-'BS 3Q2022'!AD29</f>
        <v>#REF!</v>
      </c>
      <c r="AE29" s="32" t="e">
        <f>#REF!-'BS 3Q2022'!AE29</f>
        <v>#REF!</v>
      </c>
      <c r="AF29" s="32" t="e">
        <f>#REF!-'BS 3Q2022'!AF29</f>
        <v>#REF!</v>
      </c>
      <c r="AG29" s="262" t="e">
        <f>#REF!-'BS 3Q2022'!AG29</f>
        <v>#REF!</v>
      </c>
      <c r="AH29" s="32" t="e">
        <f>#REF!-'BS 3Q2022'!AH29</f>
        <v>#REF!</v>
      </c>
      <c r="AI29" s="32" t="e">
        <f>#REF!-'BS 3Q2022'!AI29</f>
        <v>#REF!</v>
      </c>
      <c r="AJ29" s="32" t="e">
        <f>#REF!-'BS 3Q2022'!AJ29</f>
        <v>#REF!</v>
      </c>
      <c r="AK29" s="32" t="e">
        <f>#REF!-'BS 3Q2022'!AK29</f>
        <v>#REF!</v>
      </c>
      <c r="AL29" s="262" t="e">
        <f>#REF!-'BS 3Q2022'!AL29</f>
        <v>#REF!</v>
      </c>
      <c r="AM29" s="32" t="e">
        <f>#REF!-'BS 3Q2022'!AM29</f>
        <v>#REF!</v>
      </c>
      <c r="AN29" s="32" t="e">
        <f>#REF!-'BS 3Q2022'!AN29</f>
        <v>#REF!</v>
      </c>
      <c r="AO29" s="32" t="e">
        <f>#REF!-'BS 3Q2022'!AO29</f>
        <v>#REF!</v>
      </c>
      <c r="AP29" s="32" t="e">
        <f>#REF!-'BS 3Q2022'!AP29</f>
        <v>#REF!</v>
      </c>
      <c r="AQ29" s="262" t="e">
        <f>#REF!-'BS 3Q2022'!AQ29</f>
        <v>#REF!</v>
      </c>
      <c r="AR29" s="32" t="e">
        <f>#REF!-'BS 3Q2022'!AR29</f>
        <v>#REF!</v>
      </c>
      <c r="AS29" s="32" t="e">
        <f>#REF!-'BS 3Q2022'!AS29</f>
        <v>#REF!</v>
      </c>
      <c r="AT29" s="32" t="e">
        <f>#REF!-'BS 3Q2022'!AT29</f>
        <v>#REF!</v>
      </c>
      <c r="AU29" s="32" t="e">
        <f>#REF!-'BS 3Q2022'!AU29</f>
        <v>#REF!</v>
      </c>
      <c r="AV29" s="262" t="e">
        <f>#REF!-'BS 3Q2022'!AV29</f>
        <v>#REF!</v>
      </c>
    </row>
    <row r="30" spans="1:48" outlineLevel="1" x14ac:dyDescent="0.3">
      <c r="A30" s="161"/>
      <c r="B30" s="205" t="s">
        <v>236</v>
      </c>
      <c r="C30" s="201"/>
      <c r="D30" s="116" t="e">
        <f>#REF!-'BS 3Q2022'!D30</f>
        <v>#REF!</v>
      </c>
      <c r="E30" s="116" t="e">
        <f>#REF!-'BS 3Q2022'!E30</f>
        <v>#REF!</v>
      </c>
      <c r="F30" s="116" t="e">
        <f>#REF!-'BS 3Q2022'!F30</f>
        <v>#REF!</v>
      </c>
      <c r="G30" s="116" t="e">
        <f>#REF!-'BS 3Q2022'!G30</f>
        <v>#REF!</v>
      </c>
      <c r="H30" s="150" t="e">
        <f>#REF!-'BS 3Q2022'!H30</f>
        <v>#REF!</v>
      </c>
      <c r="I30" s="116" t="e">
        <f>#REF!-'BS 3Q2022'!I30</f>
        <v>#REF!</v>
      </c>
      <c r="J30" s="116" t="e">
        <f>#REF!-'BS 3Q2022'!J30</f>
        <v>#REF!</v>
      </c>
      <c r="K30" s="116" t="e">
        <f>#REF!-'BS 3Q2022'!K30</f>
        <v>#REF!</v>
      </c>
      <c r="L30" s="116" t="e">
        <f>#REF!-'BS 3Q2022'!L30</f>
        <v>#REF!</v>
      </c>
      <c r="M30" s="150" t="e">
        <f>#REF!-'BS 3Q2022'!M30</f>
        <v>#REF!</v>
      </c>
      <c r="N30" s="116" t="e">
        <f>#REF!-'BS 3Q2022'!N30</f>
        <v>#REF!</v>
      </c>
      <c r="O30" s="116" t="e">
        <f>#REF!-'BS 3Q2022'!O30</f>
        <v>#REF!</v>
      </c>
      <c r="P30" s="116" t="e">
        <f>#REF!-'BS 3Q2022'!P30</f>
        <v>#REF!</v>
      </c>
      <c r="Q30" s="116" t="e">
        <f>#REF!-'BS 3Q2022'!Q30</f>
        <v>#REF!</v>
      </c>
      <c r="R30" s="150" t="e">
        <f>#REF!-'BS 3Q2022'!R30</f>
        <v>#REF!</v>
      </c>
      <c r="S30" s="116" t="e">
        <f>#REF!-'BS 3Q2022'!S30</f>
        <v>#REF!</v>
      </c>
      <c r="T30" s="116" t="e">
        <f>#REF!-'BS 3Q2022'!T30</f>
        <v>#REF!</v>
      </c>
      <c r="U30" s="116" t="e">
        <f>#REF!-'BS 3Q2022'!U30</f>
        <v>#REF!</v>
      </c>
      <c r="V30" s="116" t="e">
        <f>#REF!-'BS 3Q2022'!V30</f>
        <v>#REF!</v>
      </c>
      <c r="W30" s="150" t="e">
        <f>#REF!-'BS 3Q2022'!W30</f>
        <v>#REF!</v>
      </c>
      <c r="X30" s="116" t="e">
        <f>#REF!-'BS 3Q2022'!X30</f>
        <v>#REF!</v>
      </c>
      <c r="Y30" s="116" t="e">
        <f>#REF!-'BS 3Q2022'!Y30</f>
        <v>#REF!</v>
      </c>
      <c r="Z30" s="116" t="e">
        <f>#REF!-'BS 3Q2022'!Z30</f>
        <v>#REF!</v>
      </c>
      <c r="AA30" s="116" t="e">
        <f>#REF!-'BS 3Q2022'!AA30</f>
        <v>#REF!</v>
      </c>
      <c r="AB30" s="150" t="e">
        <f>#REF!-'BS 3Q2022'!AB30</f>
        <v>#REF!</v>
      </c>
      <c r="AC30" s="116" t="e">
        <f>#REF!-'BS 3Q2022'!AC30</f>
        <v>#REF!</v>
      </c>
      <c r="AD30" s="116" t="e">
        <f>#REF!-'BS 3Q2022'!AD30</f>
        <v>#REF!</v>
      </c>
      <c r="AE30" s="116" t="e">
        <f>#REF!-'BS 3Q2022'!AE30</f>
        <v>#REF!</v>
      </c>
      <c r="AF30" s="116" t="e">
        <f>#REF!-'BS 3Q2022'!AF30</f>
        <v>#REF!</v>
      </c>
      <c r="AG30" s="150" t="e">
        <f>#REF!-'BS 3Q2022'!AG30</f>
        <v>#REF!</v>
      </c>
      <c r="AH30" s="116" t="e">
        <f>#REF!-'BS 3Q2022'!AH30</f>
        <v>#REF!</v>
      </c>
      <c r="AI30" s="116" t="e">
        <f>#REF!-'BS 3Q2022'!AI30</f>
        <v>#REF!</v>
      </c>
      <c r="AJ30" s="116" t="e">
        <f>#REF!-'BS 3Q2022'!AJ30</f>
        <v>#REF!</v>
      </c>
      <c r="AK30" s="116" t="e">
        <f>#REF!-'BS 3Q2022'!AK30</f>
        <v>#REF!</v>
      </c>
      <c r="AL30" s="150" t="e">
        <f>#REF!-'BS 3Q2022'!AL30</f>
        <v>#REF!</v>
      </c>
      <c r="AM30" s="116" t="e">
        <f>#REF!-'BS 3Q2022'!AM30</f>
        <v>#REF!</v>
      </c>
      <c r="AN30" s="116" t="e">
        <f>#REF!-'BS 3Q2022'!AN30</f>
        <v>#REF!</v>
      </c>
      <c r="AO30" s="116" t="e">
        <f>#REF!-'BS 3Q2022'!AO30</f>
        <v>#REF!</v>
      </c>
      <c r="AP30" s="116" t="e">
        <f>#REF!-'BS 3Q2022'!AP30</f>
        <v>#REF!</v>
      </c>
      <c r="AQ30" s="150" t="e">
        <f>#REF!-'BS 3Q2022'!AQ30</f>
        <v>#REF!</v>
      </c>
      <c r="AR30" s="116" t="e">
        <f>#REF!-'BS 3Q2022'!AR30</f>
        <v>#REF!</v>
      </c>
      <c r="AS30" s="116" t="e">
        <f>#REF!-'BS 3Q2022'!AS30</f>
        <v>#REF!</v>
      </c>
      <c r="AT30" s="116" t="e">
        <f>#REF!-'BS 3Q2022'!AT30</f>
        <v>#REF!</v>
      </c>
      <c r="AU30" s="116" t="e">
        <f>#REF!-'BS 3Q2022'!AU30</f>
        <v>#REF!</v>
      </c>
      <c r="AV30" s="150" t="e">
        <f>#REF!-'BS 3Q2022'!AV30</f>
        <v>#REF!</v>
      </c>
    </row>
    <row r="31" spans="1:48" outlineLevel="1" x14ac:dyDescent="0.3">
      <c r="A31" s="161"/>
      <c r="B31" s="200" t="s">
        <v>237</v>
      </c>
      <c r="C31" s="201"/>
      <c r="D31" s="101" t="e">
        <f>#REF!-'BS 3Q2022'!D31</f>
        <v>#REF!</v>
      </c>
      <c r="E31" s="101" t="e">
        <f>#REF!-'BS 3Q2022'!E31</f>
        <v>#REF!</v>
      </c>
      <c r="F31" s="101" t="e">
        <f>#REF!-'BS 3Q2022'!F31</f>
        <v>#REF!</v>
      </c>
      <c r="G31" s="101" t="e">
        <f>#REF!-'BS 3Q2022'!G31</f>
        <v>#REF!</v>
      </c>
      <c r="H31" s="169" t="e">
        <f>#REF!-'BS 3Q2022'!H31</f>
        <v>#REF!</v>
      </c>
      <c r="I31" s="101" t="e">
        <f>#REF!-'BS 3Q2022'!I31</f>
        <v>#REF!</v>
      </c>
      <c r="J31" s="101" t="e">
        <f>#REF!-'BS 3Q2022'!J31</f>
        <v>#REF!</v>
      </c>
      <c r="K31" s="101" t="e">
        <f>#REF!-'BS 3Q2022'!K31</f>
        <v>#REF!</v>
      </c>
      <c r="L31" s="101" t="e">
        <f>#REF!-'BS 3Q2022'!L31</f>
        <v>#REF!</v>
      </c>
      <c r="M31" s="169" t="e">
        <f>#REF!-'BS 3Q2022'!M31</f>
        <v>#REF!</v>
      </c>
      <c r="N31" s="101" t="e">
        <f>#REF!-'BS 3Q2022'!N31</f>
        <v>#REF!</v>
      </c>
      <c r="O31" s="101" t="e">
        <f>#REF!-'BS 3Q2022'!O31</f>
        <v>#REF!</v>
      </c>
      <c r="P31" s="101" t="e">
        <f>#REF!-'BS 3Q2022'!P31</f>
        <v>#REF!</v>
      </c>
      <c r="Q31" s="101" t="e">
        <f>#REF!-'BS 3Q2022'!Q31</f>
        <v>#REF!</v>
      </c>
      <c r="R31" s="169" t="e">
        <f>#REF!-'BS 3Q2022'!R31</f>
        <v>#REF!</v>
      </c>
      <c r="S31" s="101" t="e">
        <f>#REF!-'BS 3Q2022'!S31</f>
        <v>#REF!</v>
      </c>
      <c r="T31" s="101" t="e">
        <f>#REF!-'BS 3Q2022'!T31</f>
        <v>#REF!</v>
      </c>
      <c r="U31" s="101" t="e">
        <f>#REF!-'BS 3Q2022'!U31</f>
        <v>#REF!</v>
      </c>
      <c r="V31" s="33" t="e">
        <f>#REF!-'BS 3Q2022'!V31</f>
        <v>#REF!</v>
      </c>
      <c r="W31" s="169" t="e">
        <f>#REF!-'BS 3Q2022'!W31</f>
        <v>#REF!</v>
      </c>
      <c r="X31" s="33" t="e">
        <f>#REF!-'BS 3Q2022'!X31</f>
        <v>#REF!</v>
      </c>
      <c r="Y31" s="33" t="e">
        <f>#REF!-'BS 3Q2022'!Y31</f>
        <v>#REF!</v>
      </c>
      <c r="Z31" s="33" t="e">
        <f>#REF!-'BS 3Q2022'!Z31</f>
        <v>#REF!</v>
      </c>
      <c r="AA31" s="33" t="e">
        <f>#REF!-'BS 3Q2022'!AA31</f>
        <v>#REF!</v>
      </c>
      <c r="AB31" s="169" t="e">
        <f>#REF!-'BS 3Q2022'!AB31</f>
        <v>#REF!</v>
      </c>
      <c r="AC31" s="33" t="e">
        <f>#REF!-'BS 3Q2022'!AC31</f>
        <v>#REF!</v>
      </c>
      <c r="AD31" s="33" t="e">
        <f>#REF!-'BS 3Q2022'!AD31</f>
        <v>#REF!</v>
      </c>
      <c r="AE31" s="33" t="e">
        <f>#REF!-'BS 3Q2022'!AE31</f>
        <v>#REF!</v>
      </c>
      <c r="AF31" s="33" t="e">
        <f>#REF!-'BS 3Q2022'!AF31</f>
        <v>#REF!</v>
      </c>
      <c r="AG31" s="169" t="e">
        <f>#REF!-'BS 3Q2022'!AG31</f>
        <v>#REF!</v>
      </c>
      <c r="AH31" s="33" t="e">
        <f>#REF!-'BS 3Q2022'!AH31</f>
        <v>#REF!</v>
      </c>
      <c r="AI31" s="33" t="e">
        <f>#REF!-'BS 3Q2022'!AI31</f>
        <v>#REF!</v>
      </c>
      <c r="AJ31" s="33" t="e">
        <f>#REF!-'BS 3Q2022'!AJ31</f>
        <v>#REF!</v>
      </c>
      <c r="AK31" s="33" t="e">
        <f>#REF!-'BS 3Q2022'!AK31</f>
        <v>#REF!</v>
      </c>
      <c r="AL31" s="169" t="e">
        <f>#REF!-'BS 3Q2022'!AL31</f>
        <v>#REF!</v>
      </c>
      <c r="AM31" s="33" t="e">
        <f>#REF!-'BS 3Q2022'!AM31</f>
        <v>#REF!</v>
      </c>
      <c r="AN31" s="33" t="e">
        <f>#REF!-'BS 3Q2022'!AN31</f>
        <v>#REF!</v>
      </c>
      <c r="AO31" s="33" t="e">
        <f>#REF!-'BS 3Q2022'!AO31</f>
        <v>#REF!</v>
      </c>
      <c r="AP31" s="33" t="e">
        <f>#REF!-'BS 3Q2022'!AP31</f>
        <v>#REF!</v>
      </c>
      <c r="AQ31" s="169" t="e">
        <f>#REF!-'BS 3Q2022'!AQ31</f>
        <v>#REF!</v>
      </c>
      <c r="AR31" s="33" t="e">
        <f>#REF!-'BS 3Q2022'!AR31</f>
        <v>#REF!</v>
      </c>
      <c r="AS31" s="33" t="e">
        <f>#REF!-'BS 3Q2022'!AS31</f>
        <v>#REF!</v>
      </c>
      <c r="AT31" s="33" t="e">
        <f>#REF!-'BS 3Q2022'!AT31</f>
        <v>#REF!</v>
      </c>
      <c r="AU31" s="33" t="e">
        <f>#REF!-'BS 3Q2022'!AU31</f>
        <v>#REF!</v>
      </c>
      <c r="AV31" s="169" t="e">
        <f>#REF!-'BS 3Q2022'!AV31</f>
        <v>#REF!</v>
      </c>
    </row>
    <row r="32" spans="1:48" outlineLevel="1" x14ac:dyDescent="0.3">
      <c r="A32" s="161"/>
      <c r="B32" s="200" t="s">
        <v>238</v>
      </c>
      <c r="C32" s="207"/>
      <c r="D32" s="101" t="e">
        <f>#REF!-'BS 3Q2022'!D32</f>
        <v>#REF!</v>
      </c>
      <c r="E32" s="101" t="e">
        <f>#REF!-'BS 3Q2022'!E32</f>
        <v>#REF!</v>
      </c>
      <c r="F32" s="101" t="e">
        <f>#REF!-'BS 3Q2022'!F32</f>
        <v>#REF!</v>
      </c>
      <c r="G32" s="101" t="e">
        <f>#REF!-'BS 3Q2022'!G32</f>
        <v>#REF!</v>
      </c>
      <c r="H32" s="169" t="e">
        <f>#REF!-'BS 3Q2022'!H32</f>
        <v>#REF!</v>
      </c>
      <c r="I32" s="101" t="e">
        <f>#REF!-'BS 3Q2022'!I32</f>
        <v>#REF!</v>
      </c>
      <c r="J32" s="101" t="e">
        <f>#REF!-'BS 3Q2022'!J32</f>
        <v>#REF!</v>
      </c>
      <c r="K32" s="101" t="e">
        <f>#REF!-'BS 3Q2022'!K32</f>
        <v>#REF!</v>
      </c>
      <c r="L32" s="101" t="e">
        <f>#REF!-'BS 3Q2022'!L32</f>
        <v>#REF!</v>
      </c>
      <c r="M32" s="169" t="e">
        <f>#REF!-'BS 3Q2022'!M32</f>
        <v>#REF!</v>
      </c>
      <c r="N32" s="101" t="e">
        <f>#REF!-'BS 3Q2022'!N32</f>
        <v>#REF!</v>
      </c>
      <c r="O32" s="101" t="e">
        <f>#REF!-'BS 3Q2022'!O32</f>
        <v>#REF!</v>
      </c>
      <c r="P32" s="101" t="e">
        <f>#REF!-'BS 3Q2022'!P32</f>
        <v>#REF!</v>
      </c>
      <c r="Q32" s="101" t="e">
        <f>#REF!-'BS 3Q2022'!Q32</f>
        <v>#REF!</v>
      </c>
      <c r="R32" s="169" t="e">
        <f>#REF!-'BS 3Q2022'!R32</f>
        <v>#REF!</v>
      </c>
      <c r="S32" s="101" t="e">
        <f>#REF!-'BS 3Q2022'!S32</f>
        <v>#REF!</v>
      </c>
      <c r="T32" s="101" t="e">
        <f>#REF!-'BS 3Q2022'!T32</f>
        <v>#REF!</v>
      </c>
      <c r="U32" s="101" t="e">
        <f>#REF!-'BS 3Q2022'!U32</f>
        <v>#REF!</v>
      </c>
      <c r="V32" s="33" t="e">
        <f>#REF!-'BS 3Q2022'!V32</f>
        <v>#REF!</v>
      </c>
      <c r="W32" s="169" t="e">
        <f>#REF!-'BS 3Q2022'!W32</f>
        <v>#REF!</v>
      </c>
      <c r="X32" s="33" t="e">
        <f>#REF!-'BS 3Q2022'!X32</f>
        <v>#REF!</v>
      </c>
      <c r="Y32" s="33" t="e">
        <f>#REF!-'BS 3Q2022'!Y32</f>
        <v>#REF!</v>
      </c>
      <c r="Z32" s="33" t="e">
        <f>#REF!-'BS 3Q2022'!Z32</f>
        <v>#REF!</v>
      </c>
      <c r="AA32" s="33" t="e">
        <f>#REF!-'BS 3Q2022'!AA32</f>
        <v>#REF!</v>
      </c>
      <c r="AB32" s="169" t="e">
        <f>#REF!-'BS 3Q2022'!AB32</f>
        <v>#REF!</v>
      </c>
      <c r="AC32" s="33" t="e">
        <f>#REF!-'BS 3Q2022'!AC32</f>
        <v>#REF!</v>
      </c>
      <c r="AD32" s="33" t="e">
        <f>#REF!-'BS 3Q2022'!AD32</f>
        <v>#REF!</v>
      </c>
      <c r="AE32" s="33" t="e">
        <f>#REF!-'BS 3Q2022'!AE32</f>
        <v>#REF!</v>
      </c>
      <c r="AF32" s="33" t="e">
        <f>#REF!-'BS 3Q2022'!AF32</f>
        <v>#REF!</v>
      </c>
      <c r="AG32" s="169" t="e">
        <f>#REF!-'BS 3Q2022'!AG32</f>
        <v>#REF!</v>
      </c>
      <c r="AH32" s="33" t="e">
        <f>#REF!-'BS 3Q2022'!AH32</f>
        <v>#REF!</v>
      </c>
      <c r="AI32" s="33" t="e">
        <f>#REF!-'BS 3Q2022'!AI32</f>
        <v>#REF!</v>
      </c>
      <c r="AJ32" s="33" t="e">
        <f>#REF!-'BS 3Q2022'!AJ32</f>
        <v>#REF!</v>
      </c>
      <c r="AK32" s="33" t="e">
        <f>#REF!-'BS 3Q2022'!AK32</f>
        <v>#REF!</v>
      </c>
      <c r="AL32" s="169" t="e">
        <f>#REF!-'BS 3Q2022'!AL32</f>
        <v>#REF!</v>
      </c>
      <c r="AM32" s="33" t="e">
        <f>#REF!-'BS 3Q2022'!AM32</f>
        <v>#REF!</v>
      </c>
      <c r="AN32" s="33" t="e">
        <f>#REF!-'BS 3Q2022'!AN32</f>
        <v>#REF!</v>
      </c>
      <c r="AO32" s="33" t="e">
        <f>#REF!-'BS 3Q2022'!AO32</f>
        <v>#REF!</v>
      </c>
      <c r="AP32" s="33" t="e">
        <f>#REF!-'BS 3Q2022'!AP32</f>
        <v>#REF!</v>
      </c>
      <c r="AQ32" s="169" t="e">
        <f>#REF!-'BS 3Q2022'!AQ32</f>
        <v>#REF!</v>
      </c>
      <c r="AR32" s="33" t="e">
        <f>#REF!-'BS 3Q2022'!AR32</f>
        <v>#REF!</v>
      </c>
      <c r="AS32" s="33" t="e">
        <f>#REF!-'BS 3Q2022'!AS32</f>
        <v>#REF!</v>
      </c>
      <c r="AT32" s="33" t="e">
        <f>#REF!-'BS 3Q2022'!AT32</f>
        <v>#REF!</v>
      </c>
      <c r="AU32" s="33" t="e">
        <f>#REF!-'BS 3Q2022'!AU32</f>
        <v>#REF!</v>
      </c>
      <c r="AV32" s="169" t="e">
        <f>#REF!-'BS 3Q2022'!AV32</f>
        <v>#REF!</v>
      </c>
    </row>
    <row r="33" spans="1:48" outlineLevel="1" x14ac:dyDescent="0.3">
      <c r="A33" s="161"/>
      <c r="B33" s="200" t="s">
        <v>239</v>
      </c>
      <c r="C33" s="207"/>
      <c r="D33" s="101" t="e">
        <f>#REF!-'BS 3Q2022'!D33</f>
        <v>#REF!</v>
      </c>
      <c r="E33" s="101" t="e">
        <f>#REF!-'BS 3Q2022'!E33</f>
        <v>#REF!</v>
      </c>
      <c r="F33" s="101" t="e">
        <f>#REF!-'BS 3Q2022'!F33</f>
        <v>#REF!</v>
      </c>
      <c r="G33" s="101" t="e">
        <f>#REF!-'BS 3Q2022'!G33</f>
        <v>#REF!</v>
      </c>
      <c r="H33" s="169" t="e">
        <f>#REF!-'BS 3Q2022'!H33</f>
        <v>#REF!</v>
      </c>
      <c r="I33" s="101" t="e">
        <f>#REF!-'BS 3Q2022'!I33</f>
        <v>#REF!</v>
      </c>
      <c r="J33" s="101" t="e">
        <f>#REF!-'BS 3Q2022'!J33</f>
        <v>#REF!</v>
      </c>
      <c r="K33" s="101" t="e">
        <f>#REF!-'BS 3Q2022'!K33</f>
        <v>#REF!</v>
      </c>
      <c r="L33" s="101" t="e">
        <f>#REF!-'BS 3Q2022'!L33</f>
        <v>#REF!</v>
      </c>
      <c r="M33" s="169" t="e">
        <f>#REF!-'BS 3Q2022'!M33</f>
        <v>#REF!</v>
      </c>
      <c r="N33" s="101" t="e">
        <f>#REF!-'BS 3Q2022'!N33</f>
        <v>#REF!</v>
      </c>
      <c r="O33" s="101" t="e">
        <f>#REF!-'BS 3Q2022'!O33</f>
        <v>#REF!</v>
      </c>
      <c r="P33" s="101" t="e">
        <f>#REF!-'BS 3Q2022'!P33</f>
        <v>#REF!</v>
      </c>
      <c r="Q33" s="101" t="e">
        <f>#REF!-'BS 3Q2022'!Q33</f>
        <v>#REF!</v>
      </c>
      <c r="R33" s="169" t="e">
        <f>#REF!-'BS 3Q2022'!R33</f>
        <v>#REF!</v>
      </c>
      <c r="S33" s="101" t="e">
        <f>#REF!-'BS 3Q2022'!S33</f>
        <v>#REF!</v>
      </c>
      <c r="T33" s="101" t="e">
        <f>#REF!-'BS 3Q2022'!T33</f>
        <v>#REF!</v>
      </c>
      <c r="U33" s="101" t="e">
        <f>#REF!-'BS 3Q2022'!U33</f>
        <v>#REF!</v>
      </c>
      <c r="V33" s="33" t="e">
        <f>#REF!-'BS 3Q2022'!V33</f>
        <v>#REF!</v>
      </c>
      <c r="W33" s="169" t="e">
        <f>#REF!-'BS 3Q2022'!W33</f>
        <v>#REF!</v>
      </c>
      <c r="X33" s="33" t="e">
        <f>#REF!-'BS 3Q2022'!X33</f>
        <v>#REF!</v>
      </c>
      <c r="Y33" s="33" t="e">
        <f>#REF!-'BS 3Q2022'!Y33</f>
        <v>#REF!</v>
      </c>
      <c r="Z33" s="33" t="e">
        <f>#REF!-'BS 3Q2022'!Z33</f>
        <v>#REF!</v>
      </c>
      <c r="AA33" s="33" t="e">
        <f>#REF!-'BS 3Q2022'!AA33</f>
        <v>#REF!</v>
      </c>
      <c r="AB33" s="169" t="e">
        <f>#REF!-'BS 3Q2022'!AB33</f>
        <v>#REF!</v>
      </c>
      <c r="AC33" s="33" t="e">
        <f>#REF!-'BS 3Q2022'!AC33</f>
        <v>#REF!</v>
      </c>
      <c r="AD33" s="33" t="e">
        <f>#REF!-'BS 3Q2022'!AD33</f>
        <v>#REF!</v>
      </c>
      <c r="AE33" s="33" t="e">
        <f>#REF!-'BS 3Q2022'!AE33</f>
        <v>#REF!</v>
      </c>
      <c r="AF33" s="33" t="e">
        <f>#REF!-'BS 3Q2022'!AF33</f>
        <v>#REF!</v>
      </c>
      <c r="AG33" s="169" t="e">
        <f>#REF!-'BS 3Q2022'!AG33</f>
        <v>#REF!</v>
      </c>
      <c r="AH33" s="33" t="e">
        <f>#REF!-'BS 3Q2022'!AH33</f>
        <v>#REF!</v>
      </c>
      <c r="AI33" s="33" t="e">
        <f>#REF!-'BS 3Q2022'!AI33</f>
        <v>#REF!</v>
      </c>
      <c r="AJ33" s="33" t="e">
        <f>#REF!-'BS 3Q2022'!AJ33</f>
        <v>#REF!</v>
      </c>
      <c r="AK33" s="33" t="e">
        <f>#REF!-'BS 3Q2022'!AK33</f>
        <v>#REF!</v>
      </c>
      <c r="AL33" s="169" t="e">
        <f>#REF!-'BS 3Q2022'!AL33</f>
        <v>#REF!</v>
      </c>
      <c r="AM33" s="33" t="e">
        <f>#REF!-'BS 3Q2022'!AM33</f>
        <v>#REF!</v>
      </c>
      <c r="AN33" s="33" t="e">
        <f>#REF!-'BS 3Q2022'!AN33</f>
        <v>#REF!</v>
      </c>
      <c r="AO33" s="33" t="e">
        <f>#REF!-'BS 3Q2022'!AO33</f>
        <v>#REF!</v>
      </c>
      <c r="AP33" s="33" t="e">
        <f>#REF!-'BS 3Q2022'!AP33</f>
        <v>#REF!</v>
      </c>
      <c r="AQ33" s="169" t="e">
        <f>#REF!-'BS 3Q2022'!AQ33</f>
        <v>#REF!</v>
      </c>
      <c r="AR33" s="33" t="e">
        <f>#REF!-'BS 3Q2022'!AR33</f>
        <v>#REF!</v>
      </c>
      <c r="AS33" s="33" t="e">
        <f>#REF!-'BS 3Q2022'!AS33</f>
        <v>#REF!</v>
      </c>
      <c r="AT33" s="33" t="e">
        <f>#REF!-'BS 3Q2022'!AT33</f>
        <v>#REF!</v>
      </c>
      <c r="AU33" s="33" t="e">
        <f>#REF!-'BS 3Q2022'!AU33</f>
        <v>#REF!</v>
      </c>
      <c r="AV33" s="169" t="e">
        <f>#REF!-'BS 3Q2022'!AV33</f>
        <v>#REF!</v>
      </c>
    </row>
    <row r="34" spans="1:48" ht="15.75" customHeight="1" outlineLevel="1" x14ac:dyDescent="0.45">
      <c r="A34" s="161"/>
      <c r="B34" s="580" t="s">
        <v>240</v>
      </c>
      <c r="C34" s="581"/>
      <c r="D34" s="112" t="e">
        <f>#REF!-'BS 3Q2022'!D34</f>
        <v>#REF!</v>
      </c>
      <c r="E34" s="112" t="e">
        <f>#REF!-'BS 3Q2022'!E34</f>
        <v>#REF!</v>
      </c>
      <c r="F34" s="112" t="e">
        <f>#REF!-'BS 3Q2022'!F34</f>
        <v>#REF!</v>
      </c>
      <c r="G34" s="112" t="e">
        <f>#REF!-'BS 3Q2022'!G34</f>
        <v>#REF!</v>
      </c>
      <c r="H34" s="262" t="e">
        <f>#REF!-'BS 3Q2022'!H34</f>
        <v>#REF!</v>
      </c>
      <c r="I34" s="112" t="e">
        <f>#REF!-'BS 3Q2022'!I34</f>
        <v>#REF!</v>
      </c>
      <c r="J34" s="112" t="e">
        <f>#REF!-'BS 3Q2022'!J34</f>
        <v>#REF!</v>
      </c>
      <c r="K34" s="112" t="e">
        <f>#REF!-'BS 3Q2022'!K34</f>
        <v>#REF!</v>
      </c>
      <c r="L34" s="112" t="e">
        <f>#REF!-'BS 3Q2022'!L34</f>
        <v>#REF!</v>
      </c>
      <c r="M34" s="262" t="e">
        <f>#REF!-'BS 3Q2022'!M34</f>
        <v>#REF!</v>
      </c>
      <c r="N34" s="112" t="e">
        <f>#REF!-'BS 3Q2022'!N34</f>
        <v>#REF!</v>
      </c>
      <c r="O34" s="112" t="e">
        <f>#REF!-'BS 3Q2022'!O34</f>
        <v>#REF!</v>
      </c>
      <c r="P34" s="112" t="e">
        <f>#REF!-'BS 3Q2022'!P34</f>
        <v>#REF!</v>
      </c>
      <c r="Q34" s="112" t="e">
        <f>#REF!-'BS 3Q2022'!Q34</f>
        <v>#REF!</v>
      </c>
      <c r="R34" s="262" t="e">
        <f>#REF!-'BS 3Q2022'!R34</f>
        <v>#REF!</v>
      </c>
      <c r="S34" s="112" t="e">
        <f>#REF!-'BS 3Q2022'!S34</f>
        <v>#REF!</v>
      </c>
      <c r="T34" s="112" t="e">
        <f>#REF!-'BS 3Q2022'!T34</f>
        <v>#REF!</v>
      </c>
      <c r="U34" s="112" t="e">
        <f>#REF!-'BS 3Q2022'!U34</f>
        <v>#REF!</v>
      </c>
      <c r="V34" s="32" t="e">
        <f>#REF!-'BS 3Q2022'!V34</f>
        <v>#REF!</v>
      </c>
      <c r="W34" s="262" t="e">
        <f>#REF!-'BS 3Q2022'!W34</f>
        <v>#REF!</v>
      </c>
      <c r="X34" s="32" t="e">
        <f>#REF!-'BS 3Q2022'!X34</f>
        <v>#REF!</v>
      </c>
      <c r="Y34" s="32" t="e">
        <f>#REF!-'BS 3Q2022'!Y34</f>
        <v>#REF!</v>
      </c>
      <c r="Z34" s="32" t="e">
        <f>#REF!-'BS 3Q2022'!Z34</f>
        <v>#REF!</v>
      </c>
      <c r="AA34" s="32" t="e">
        <f>#REF!-'BS 3Q2022'!AA34</f>
        <v>#REF!</v>
      </c>
      <c r="AB34" s="262" t="e">
        <f>#REF!-'BS 3Q2022'!AB34</f>
        <v>#REF!</v>
      </c>
      <c r="AC34" s="32" t="e">
        <f>#REF!-'BS 3Q2022'!AC34</f>
        <v>#REF!</v>
      </c>
      <c r="AD34" s="32" t="e">
        <f>#REF!-'BS 3Q2022'!AD34</f>
        <v>#REF!</v>
      </c>
      <c r="AE34" s="32" t="e">
        <f>#REF!-'BS 3Q2022'!AE34</f>
        <v>#REF!</v>
      </c>
      <c r="AF34" s="32" t="e">
        <f>#REF!-'BS 3Q2022'!AF34</f>
        <v>#REF!</v>
      </c>
      <c r="AG34" s="262" t="e">
        <f>#REF!-'BS 3Q2022'!AG34</f>
        <v>#REF!</v>
      </c>
      <c r="AH34" s="32" t="e">
        <f>#REF!-'BS 3Q2022'!AH34</f>
        <v>#REF!</v>
      </c>
      <c r="AI34" s="32" t="e">
        <f>#REF!-'BS 3Q2022'!AI34</f>
        <v>#REF!</v>
      </c>
      <c r="AJ34" s="32" t="e">
        <f>#REF!-'BS 3Q2022'!AJ34</f>
        <v>#REF!</v>
      </c>
      <c r="AK34" s="32" t="e">
        <f>#REF!-'BS 3Q2022'!AK34</f>
        <v>#REF!</v>
      </c>
      <c r="AL34" s="262" t="e">
        <f>#REF!-'BS 3Q2022'!AL34</f>
        <v>#REF!</v>
      </c>
      <c r="AM34" s="32" t="e">
        <f>#REF!-'BS 3Q2022'!AM34</f>
        <v>#REF!</v>
      </c>
      <c r="AN34" s="32" t="e">
        <f>#REF!-'BS 3Q2022'!AN34</f>
        <v>#REF!</v>
      </c>
      <c r="AO34" s="32" t="e">
        <f>#REF!-'BS 3Q2022'!AO34</f>
        <v>#REF!</v>
      </c>
      <c r="AP34" s="32" t="e">
        <f>#REF!-'BS 3Q2022'!AP34</f>
        <v>#REF!</v>
      </c>
      <c r="AQ34" s="262" t="e">
        <f>#REF!-'BS 3Q2022'!AQ34</f>
        <v>#REF!</v>
      </c>
      <c r="AR34" s="32" t="e">
        <f>#REF!-'BS 3Q2022'!AR34</f>
        <v>#REF!</v>
      </c>
      <c r="AS34" s="32" t="e">
        <f>#REF!-'BS 3Q2022'!AS34</f>
        <v>#REF!</v>
      </c>
      <c r="AT34" s="32" t="e">
        <f>#REF!-'BS 3Q2022'!AT34</f>
        <v>#REF!</v>
      </c>
      <c r="AU34" s="32" t="e">
        <f>#REF!-'BS 3Q2022'!AU34</f>
        <v>#REF!</v>
      </c>
      <c r="AV34" s="262" t="e">
        <f>#REF!-'BS 3Q2022'!AV34</f>
        <v>#REF!</v>
      </c>
    </row>
    <row r="35" spans="1:48" outlineLevel="1" x14ac:dyDescent="0.3">
      <c r="A35" s="161"/>
      <c r="B35" s="619" t="s">
        <v>241</v>
      </c>
      <c r="C35" s="620"/>
      <c r="D35" s="116" t="e">
        <f>#REF!-'BS 3Q2022'!D35</f>
        <v>#REF!</v>
      </c>
      <c r="E35" s="116" t="e">
        <f>#REF!-'BS 3Q2022'!E35</f>
        <v>#REF!</v>
      </c>
      <c r="F35" s="116" t="e">
        <f>#REF!-'BS 3Q2022'!F35</f>
        <v>#REF!</v>
      </c>
      <c r="G35" s="116" t="e">
        <f>#REF!-'BS 3Q2022'!G35</f>
        <v>#REF!</v>
      </c>
      <c r="H35" s="150" t="e">
        <f>#REF!-'BS 3Q2022'!H35</f>
        <v>#REF!</v>
      </c>
      <c r="I35" s="116" t="e">
        <f>#REF!-'BS 3Q2022'!I35</f>
        <v>#REF!</v>
      </c>
      <c r="J35" s="116" t="e">
        <f>#REF!-'BS 3Q2022'!J35</f>
        <v>#REF!</v>
      </c>
      <c r="K35" s="116" t="e">
        <f>#REF!-'BS 3Q2022'!K35</f>
        <v>#REF!</v>
      </c>
      <c r="L35" s="116" t="e">
        <f>#REF!-'BS 3Q2022'!L35</f>
        <v>#REF!</v>
      </c>
      <c r="M35" s="150" t="e">
        <f>#REF!-'BS 3Q2022'!M35</f>
        <v>#REF!</v>
      </c>
      <c r="N35" s="116" t="e">
        <f>#REF!-'BS 3Q2022'!N35</f>
        <v>#REF!</v>
      </c>
      <c r="O35" s="116" t="e">
        <f>#REF!-'BS 3Q2022'!O35</f>
        <v>#REF!</v>
      </c>
      <c r="P35" s="116" t="e">
        <f>#REF!-'BS 3Q2022'!P35</f>
        <v>#REF!</v>
      </c>
      <c r="Q35" s="116" t="e">
        <f>#REF!-'BS 3Q2022'!Q35</f>
        <v>#REF!</v>
      </c>
      <c r="R35" s="150" t="e">
        <f>#REF!-'BS 3Q2022'!R35</f>
        <v>#REF!</v>
      </c>
      <c r="S35" s="116" t="e">
        <f>#REF!-'BS 3Q2022'!S35</f>
        <v>#REF!</v>
      </c>
      <c r="T35" s="116" t="e">
        <f>#REF!-'BS 3Q2022'!T35</f>
        <v>#REF!</v>
      </c>
      <c r="U35" s="116" t="e">
        <f>#REF!-'BS 3Q2022'!U35</f>
        <v>#REF!</v>
      </c>
      <c r="V35" s="116" t="e">
        <f>#REF!-'BS 3Q2022'!V35</f>
        <v>#REF!</v>
      </c>
      <c r="W35" s="150" t="e">
        <f>#REF!-'BS 3Q2022'!W35</f>
        <v>#REF!</v>
      </c>
      <c r="X35" s="116" t="e">
        <f>#REF!-'BS 3Q2022'!X35</f>
        <v>#REF!</v>
      </c>
      <c r="Y35" s="116" t="e">
        <f>#REF!-'BS 3Q2022'!Y35</f>
        <v>#REF!</v>
      </c>
      <c r="Z35" s="116" t="e">
        <f>#REF!-'BS 3Q2022'!Z35</f>
        <v>#REF!</v>
      </c>
      <c r="AA35" s="116" t="e">
        <f>#REF!-'BS 3Q2022'!AA35</f>
        <v>#REF!</v>
      </c>
      <c r="AB35" s="150" t="e">
        <f>#REF!-'BS 3Q2022'!AB35</f>
        <v>#REF!</v>
      </c>
      <c r="AC35" s="116" t="e">
        <f>#REF!-'BS 3Q2022'!AC35</f>
        <v>#REF!</v>
      </c>
      <c r="AD35" s="116" t="e">
        <f>#REF!-'BS 3Q2022'!AD35</f>
        <v>#REF!</v>
      </c>
      <c r="AE35" s="116" t="e">
        <f>#REF!-'BS 3Q2022'!AE35</f>
        <v>#REF!</v>
      </c>
      <c r="AF35" s="116" t="e">
        <f>#REF!-'BS 3Q2022'!AF35</f>
        <v>#REF!</v>
      </c>
      <c r="AG35" s="150" t="e">
        <f>#REF!-'BS 3Q2022'!AG35</f>
        <v>#REF!</v>
      </c>
      <c r="AH35" s="116" t="e">
        <f>#REF!-'BS 3Q2022'!AH35</f>
        <v>#REF!</v>
      </c>
      <c r="AI35" s="116" t="e">
        <f>#REF!-'BS 3Q2022'!AI35</f>
        <v>#REF!</v>
      </c>
      <c r="AJ35" s="116" t="e">
        <f>#REF!-'BS 3Q2022'!AJ35</f>
        <v>#REF!</v>
      </c>
      <c r="AK35" s="116" t="e">
        <f>#REF!-'BS 3Q2022'!AK35</f>
        <v>#REF!</v>
      </c>
      <c r="AL35" s="150" t="e">
        <f>#REF!-'BS 3Q2022'!AL35</f>
        <v>#REF!</v>
      </c>
      <c r="AM35" s="116" t="e">
        <f>#REF!-'BS 3Q2022'!AM35</f>
        <v>#REF!</v>
      </c>
      <c r="AN35" s="116" t="e">
        <f>#REF!-'BS 3Q2022'!AN35</f>
        <v>#REF!</v>
      </c>
      <c r="AO35" s="116" t="e">
        <f>#REF!-'BS 3Q2022'!AO35</f>
        <v>#REF!</v>
      </c>
      <c r="AP35" s="116" t="e">
        <f>#REF!-'BS 3Q2022'!AP35</f>
        <v>#REF!</v>
      </c>
      <c r="AQ35" s="150" t="e">
        <f>#REF!-'BS 3Q2022'!AQ35</f>
        <v>#REF!</v>
      </c>
      <c r="AR35" s="116" t="e">
        <f>#REF!-'BS 3Q2022'!AR35</f>
        <v>#REF!</v>
      </c>
      <c r="AS35" s="116" t="e">
        <f>#REF!-'BS 3Q2022'!AS35</f>
        <v>#REF!</v>
      </c>
      <c r="AT35" s="116" t="e">
        <f>#REF!-'BS 3Q2022'!AT35</f>
        <v>#REF!</v>
      </c>
      <c r="AU35" s="116" t="e">
        <f>#REF!-'BS 3Q2022'!AU35</f>
        <v>#REF!</v>
      </c>
      <c r="AV35" s="150" t="e">
        <f>#REF!-'BS 3Q2022'!AV35</f>
        <v>#REF!</v>
      </c>
    </row>
    <row r="36" spans="1:48" ht="17.399999999999999" x14ac:dyDescent="0.45">
      <c r="B36" s="583" t="s">
        <v>242</v>
      </c>
      <c r="C36" s="584"/>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263" t="s">
        <v>25</v>
      </c>
      <c r="W36" s="264" t="s">
        <v>26</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580" t="s">
        <v>243</v>
      </c>
      <c r="C37" s="581"/>
      <c r="D37" s="16" t="e">
        <f>#REF!-'BS 3Q2022'!D37</f>
        <v>#REF!</v>
      </c>
      <c r="E37" s="16" t="e">
        <f>#REF!-'BS 3Q2022'!E37</f>
        <v>#REF!</v>
      </c>
      <c r="F37" s="16" t="e">
        <f>#REF!-'BS 3Q2022'!F37</f>
        <v>#REF!</v>
      </c>
      <c r="G37" s="16" t="e">
        <f>#REF!-'BS 3Q2022'!G37</f>
        <v>#REF!</v>
      </c>
      <c r="H37" s="17" t="e">
        <f>#REF!-'BS 3Q2022'!H37</f>
        <v>#REF!</v>
      </c>
      <c r="I37" s="16" t="e">
        <f>#REF!-'BS 3Q2022'!I37</f>
        <v>#REF!</v>
      </c>
      <c r="J37" s="16" t="e">
        <f>#REF!-'BS 3Q2022'!J37</f>
        <v>#REF!</v>
      </c>
      <c r="K37" s="16" t="e">
        <f>#REF!-'BS 3Q2022'!K37</f>
        <v>#REF!</v>
      </c>
      <c r="L37" s="16" t="e">
        <f>#REF!-'BS 3Q2022'!L37</f>
        <v>#REF!</v>
      </c>
      <c r="M37" s="17" t="e">
        <f>#REF!-'BS 3Q2022'!M37</f>
        <v>#REF!</v>
      </c>
      <c r="N37" s="16" t="e">
        <f>#REF!-'BS 3Q2022'!N37</f>
        <v>#REF!</v>
      </c>
      <c r="O37" s="16" t="e">
        <f>#REF!-'BS 3Q2022'!O37</f>
        <v>#REF!</v>
      </c>
      <c r="P37" s="16" t="e">
        <f>#REF!-'BS 3Q2022'!P37</f>
        <v>#REF!</v>
      </c>
      <c r="Q37" s="16" t="e">
        <f>#REF!-'BS 3Q2022'!Q37</f>
        <v>#REF!</v>
      </c>
      <c r="R37" s="17" t="e">
        <f>#REF!-'BS 3Q2022'!R37</f>
        <v>#REF!</v>
      </c>
      <c r="S37" s="16" t="e">
        <f>#REF!-'BS 3Q2022'!S37</f>
        <v>#REF!</v>
      </c>
      <c r="T37" s="16" t="e">
        <f>#REF!-'BS 3Q2022'!T37</f>
        <v>#REF!</v>
      </c>
      <c r="U37" s="16" t="e">
        <f>#REF!-'BS 3Q2022'!U37</f>
        <v>#REF!</v>
      </c>
      <c r="V37" s="16" t="e">
        <f>#REF!-'BS 3Q2022'!V37</f>
        <v>#REF!</v>
      </c>
      <c r="W37" s="17" t="e">
        <f>#REF!-'BS 3Q2022'!W37</f>
        <v>#REF!</v>
      </c>
      <c r="X37" s="16" t="e">
        <f>#REF!-'BS 3Q2022'!X37</f>
        <v>#REF!</v>
      </c>
      <c r="Y37" s="16" t="e">
        <f>#REF!-'BS 3Q2022'!Y37</f>
        <v>#REF!</v>
      </c>
      <c r="Z37" s="16" t="e">
        <f>#REF!-'BS 3Q2022'!Z37</f>
        <v>#REF!</v>
      </c>
      <c r="AA37" s="16" t="e">
        <f>#REF!-'BS 3Q2022'!AA37</f>
        <v>#REF!</v>
      </c>
      <c r="AB37" s="17" t="e">
        <f>#REF!-'BS 3Q2022'!AB37</f>
        <v>#REF!</v>
      </c>
      <c r="AC37" s="16" t="e">
        <f>#REF!-'BS 3Q2022'!AC37</f>
        <v>#REF!</v>
      </c>
      <c r="AD37" s="16" t="e">
        <f>#REF!-'BS 3Q2022'!AD37</f>
        <v>#REF!</v>
      </c>
      <c r="AE37" s="16" t="e">
        <f>#REF!-'BS 3Q2022'!AE37</f>
        <v>#REF!</v>
      </c>
      <c r="AF37" s="16" t="e">
        <f>#REF!-'BS 3Q2022'!AF37</f>
        <v>#REF!</v>
      </c>
      <c r="AG37" s="17" t="e">
        <f>#REF!-'BS 3Q2022'!AG37</f>
        <v>#REF!</v>
      </c>
      <c r="AH37" s="16" t="e">
        <f>#REF!-'BS 3Q2022'!AH37</f>
        <v>#REF!</v>
      </c>
      <c r="AI37" s="16" t="e">
        <f>#REF!-'BS 3Q2022'!AI37</f>
        <v>#REF!</v>
      </c>
      <c r="AJ37" s="16" t="e">
        <f>#REF!-'BS 3Q2022'!AJ37</f>
        <v>#REF!</v>
      </c>
      <c r="AK37" s="16" t="e">
        <f>#REF!-'BS 3Q2022'!AK37</f>
        <v>#REF!</v>
      </c>
      <c r="AL37" s="17" t="e">
        <f>#REF!-'BS 3Q2022'!AL37</f>
        <v>#REF!</v>
      </c>
      <c r="AM37" s="16" t="e">
        <f>#REF!-'BS 3Q2022'!AM37</f>
        <v>#REF!</v>
      </c>
      <c r="AN37" s="16" t="e">
        <f>#REF!-'BS 3Q2022'!AN37</f>
        <v>#REF!</v>
      </c>
      <c r="AO37" s="16" t="e">
        <f>#REF!-'BS 3Q2022'!AO37</f>
        <v>#REF!</v>
      </c>
      <c r="AP37" s="16" t="e">
        <f>#REF!-'BS 3Q2022'!AP37</f>
        <v>#REF!</v>
      </c>
      <c r="AQ37" s="17" t="e">
        <f>#REF!-'BS 3Q2022'!AQ37</f>
        <v>#REF!</v>
      </c>
      <c r="AR37" s="16" t="e">
        <f>#REF!-'BS 3Q2022'!AR37</f>
        <v>#REF!</v>
      </c>
      <c r="AS37" s="16" t="e">
        <f>#REF!-'BS 3Q2022'!AS37</f>
        <v>#REF!</v>
      </c>
      <c r="AT37" s="16" t="e">
        <f>#REF!-'BS 3Q2022'!AT37</f>
        <v>#REF!</v>
      </c>
      <c r="AU37" s="16" t="e">
        <f>#REF!-'BS 3Q2022'!AU37</f>
        <v>#REF!</v>
      </c>
      <c r="AV37" s="17" t="e">
        <f>#REF!-'BS 3Q2022'!AV37</f>
        <v>#REF!</v>
      </c>
    </row>
    <row r="38" spans="1:48" outlineLevel="1" x14ac:dyDescent="0.3">
      <c r="B38" s="621" t="s">
        <v>244</v>
      </c>
      <c r="C38" s="622"/>
      <c r="D38" s="16" t="e">
        <f>#REF!-'BS 3Q2022'!D38</f>
        <v>#REF!</v>
      </c>
      <c r="E38" s="101" t="e">
        <f>#REF!-'BS 3Q2022'!E38</f>
        <v>#REF!</v>
      </c>
      <c r="F38" s="101" t="e">
        <f>#REF!-'BS 3Q2022'!F38</f>
        <v>#REF!</v>
      </c>
      <c r="G38" s="101" t="e">
        <f>#REF!-'BS 3Q2022'!G38</f>
        <v>#REF!</v>
      </c>
      <c r="H38" s="169" t="e">
        <f>#REF!-'BS 3Q2022'!H38</f>
        <v>#REF!</v>
      </c>
      <c r="I38" s="101" t="e">
        <f>#REF!-'BS 3Q2022'!I38</f>
        <v>#REF!</v>
      </c>
      <c r="J38" s="101" t="e">
        <f>#REF!-'BS 3Q2022'!J38</f>
        <v>#REF!</v>
      </c>
      <c r="K38" s="101" t="e">
        <f>#REF!-'BS 3Q2022'!K38</f>
        <v>#REF!</v>
      </c>
      <c r="L38" s="101" t="e">
        <f>#REF!-'BS 3Q2022'!L38</f>
        <v>#REF!</v>
      </c>
      <c r="M38" s="169" t="e">
        <f>#REF!-'BS 3Q2022'!M38</f>
        <v>#REF!</v>
      </c>
      <c r="N38" s="101" t="e">
        <f>#REF!-'BS 3Q2022'!N38</f>
        <v>#REF!</v>
      </c>
      <c r="O38" s="101" t="e">
        <f>#REF!-'BS 3Q2022'!O38</f>
        <v>#REF!</v>
      </c>
      <c r="P38" s="101" t="e">
        <f>#REF!-'BS 3Q2022'!P38</f>
        <v>#REF!</v>
      </c>
      <c r="Q38" s="101" t="e">
        <f>#REF!-'BS 3Q2022'!Q38</f>
        <v>#REF!</v>
      </c>
      <c r="R38" s="169" t="e">
        <f>#REF!-'BS 3Q2022'!R38</f>
        <v>#REF!</v>
      </c>
      <c r="S38" s="101" t="e">
        <f>#REF!-'BS 3Q2022'!S38</f>
        <v>#REF!</v>
      </c>
      <c r="T38" s="101" t="e">
        <f>#REF!-'BS 3Q2022'!T38</f>
        <v>#REF!</v>
      </c>
      <c r="U38" s="101" t="e">
        <f>#REF!-'BS 3Q2022'!U38</f>
        <v>#REF!</v>
      </c>
      <c r="V38" s="101" t="e">
        <f>#REF!-'BS 3Q2022'!V38</f>
        <v>#REF!</v>
      </c>
      <c r="W38" s="169" t="e">
        <f>#REF!-'BS 3Q2022'!W38</f>
        <v>#REF!</v>
      </c>
      <c r="X38" s="101" t="e">
        <f>#REF!-'BS 3Q2022'!X38</f>
        <v>#REF!</v>
      </c>
      <c r="Y38" s="101" t="e">
        <f>#REF!-'BS 3Q2022'!Y38</f>
        <v>#REF!</v>
      </c>
      <c r="Z38" s="101" t="e">
        <f>#REF!-'BS 3Q2022'!Z38</f>
        <v>#REF!</v>
      </c>
      <c r="AA38" s="101" t="e">
        <f>#REF!-'BS 3Q2022'!AA38</f>
        <v>#REF!</v>
      </c>
      <c r="AB38" s="169" t="e">
        <f>#REF!-'BS 3Q2022'!AB38</f>
        <v>#REF!</v>
      </c>
      <c r="AC38" s="101" t="e">
        <f>#REF!-'BS 3Q2022'!AC38</f>
        <v>#REF!</v>
      </c>
      <c r="AD38" s="101" t="e">
        <f>#REF!-'BS 3Q2022'!AD38</f>
        <v>#REF!</v>
      </c>
      <c r="AE38" s="101" t="e">
        <f>#REF!-'BS 3Q2022'!AE38</f>
        <v>#REF!</v>
      </c>
      <c r="AF38" s="101" t="e">
        <f>#REF!-'BS 3Q2022'!AF38</f>
        <v>#REF!</v>
      </c>
      <c r="AG38" s="169" t="e">
        <f>#REF!-'BS 3Q2022'!AG38</f>
        <v>#REF!</v>
      </c>
      <c r="AH38" s="101" t="e">
        <f>#REF!-'BS 3Q2022'!AH38</f>
        <v>#REF!</v>
      </c>
      <c r="AI38" s="101" t="e">
        <f>#REF!-'BS 3Q2022'!AI38</f>
        <v>#REF!</v>
      </c>
      <c r="AJ38" s="101" t="e">
        <f>#REF!-'BS 3Q2022'!AJ38</f>
        <v>#REF!</v>
      </c>
      <c r="AK38" s="101" t="e">
        <f>#REF!-'BS 3Q2022'!AK38</f>
        <v>#REF!</v>
      </c>
      <c r="AL38" s="169" t="e">
        <f>#REF!-'BS 3Q2022'!AL38</f>
        <v>#REF!</v>
      </c>
      <c r="AM38" s="101" t="e">
        <f>#REF!-'BS 3Q2022'!AM38</f>
        <v>#REF!</v>
      </c>
      <c r="AN38" s="101" t="e">
        <f>#REF!-'BS 3Q2022'!AN38</f>
        <v>#REF!</v>
      </c>
      <c r="AO38" s="101" t="e">
        <f>#REF!-'BS 3Q2022'!AO38</f>
        <v>#REF!</v>
      </c>
      <c r="AP38" s="101" t="e">
        <f>#REF!-'BS 3Q2022'!AP38</f>
        <v>#REF!</v>
      </c>
      <c r="AQ38" s="169" t="e">
        <f>#REF!-'BS 3Q2022'!AQ38</f>
        <v>#REF!</v>
      </c>
      <c r="AR38" s="101" t="e">
        <f>#REF!-'BS 3Q2022'!AR38</f>
        <v>#REF!</v>
      </c>
      <c r="AS38" s="101" t="e">
        <f>#REF!-'BS 3Q2022'!AS38</f>
        <v>#REF!</v>
      </c>
      <c r="AT38" s="101" t="e">
        <f>#REF!-'BS 3Q2022'!AT38</f>
        <v>#REF!</v>
      </c>
      <c r="AU38" s="101" t="e">
        <f>#REF!-'BS 3Q2022'!AU38</f>
        <v>#REF!</v>
      </c>
      <c r="AV38" s="169" t="e">
        <f>#REF!-'BS 3Q2022'!AV38</f>
        <v>#REF!</v>
      </c>
    </row>
    <row r="39" spans="1:48" outlineLevel="1" x14ac:dyDescent="0.3">
      <c r="B39" s="621" t="s">
        <v>245</v>
      </c>
      <c r="C39" s="622"/>
      <c r="D39" s="16" t="e">
        <f>#REF!-'BS 3Q2022'!D39</f>
        <v>#REF!</v>
      </c>
      <c r="E39" s="102" t="e">
        <f>#REF!-'BS 3Q2022'!E39</f>
        <v>#REF!</v>
      </c>
      <c r="F39" s="101" t="e">
        <f>#REF!-'BS 3Q2022'!F39</f>
        <v>#REF!</v>
      </c>
      <c r="G39" s="101" t="e">
        <f>#REF!-'BS 3Q2022'!G39</f>
        <v>#REF!</v>
      </c>
      <c r="H39" s="169" t="e">
        <f>#REF!-'BS 3Q2022'!H39</f>
        <v>#REF!</v>
      </c>
      <c r="I39" s="101" t="e">
        <f>#REF!-'BS 3Q2022'!I39</f>
        <v>#REF!</v>
      </c>
      <c r="J39" s="101" t="e">
        <f>#REF!-'BS 3Q2022'!J39</f>
        <v>#REF!</v>
      </c>
      <c r="K39" s="101" t="e">
        <f>#REF!-'BS 3Q2022'!K39</f>
        <v>#REF!</v>
      </c>
      <c r="L39" s="101" t="e">
        <f>#REF!-'BS 3Q2022'!L39</f>
        <v>#REF!</v>
      </c>
      <c r="M39" s="169" t="e">
        <f>#REF!-'BS 3Q2022'!M39</f>
        <v>#REF!</v>
      </c>
      <c r="N39" s="101" t="e">
        <f>#REF!-'BS 3Q2022'!N39</f>
        <v>#REF!</v>
      </c>
      <c r="O39" s="101" t="e">
        <f>#REF!-'BS 3Q2022'!O39</f>
        <v>#REF!</v>
      </c>
      <c r="P39" s="101" t="e">
        <f>#REF!-'BS 3Q2022'!P39</f>
        <v>#REF!</v>
      </c>
      <c r="Q39" s="101" t="e">
        <f>#REF!-'BS 3Q2022'!Q39</f>
        <v>#REF!</v>
      </c>
      <c r="R39" s="169" t="e">
        <f>#REF!-'BS 3Q2022'!R39</f>
        <v>#REF!</v>
      </c>
      <c r="S39" s="101" t="e">
        <f>#REF!-'BS 3Q2022'!S39</f>
        <v>#REF!</v>
      </c>
      <c r="T39" s="101" t="e">
        <f>#REF!-'BS 3Q2022'!T39</f>
        <v>#REF!</v>
      </c>
      <c r="U39" s="101" t="e">
        <f>#REF!-'BS 3Q2022'!U39</f>
        <v>#REF!</v>
      </c>
      <c r="V39" s="101" t="e">
        <f>#REF!-'BS 3Q2022'!V39</f>
        <v>#REF!</v>
      </c>
      <c r="W39" s="169" t="e">
        <f>#REF!-'BS 3Q2022'!W39</f>
        <v>#REF!</v>
      </c>
      <c r="X39" s="101" t="e">
        <f>#REF!-'BS 3Q2022'!X39</f>
        <v>#REF!</v>
      </c>
      <c r="Y39" s="101" t="e">
        <f>#REF!-'BS 3Q2022'!Y39</f>
        <v>#REF!</v>
      </c>
      <c r="Z39" s="101" t="e">
        <f>#REF!-'BS 3Q2022'!Z39</f>
        <v>#REF!</v>
      </c>
      <c r="AA39" s="101" t="e">
        <f>#REF!-'BS 3Q2022'!AA39</f>
        <v>#REF!</v>
      </c>
      <c r="AB39" s="169" t="e">
        <f>#REF!-'BS 3Q2022'!AB39</f>
        <v>#REF!</v>
      </c>
      <c r="AC39" s="101" t="e">
        <f>#REF!-'BS 3Q2022'!AC39</f>
        <v>#REF!</v>
      </c>
      <c r="AD39" s="101" t="e">
        <f>#REF!-'BS 3Q2022'!AD39</f>
        <v>#REF!</v>
      </c>
      <c r="AE39" s="101" t="e">
        <f>#REF!-'BS 3Q2022'!AE39</f>
        <v>#REF!</v>
      </c>
      <c r="AF39" s="101" t="e">
        <f>#REF!-'BS 3Q2022'!AF39</f>
        <v>#REF!</v>
      </c>
      <c r="AG39" s="169" t="e">
        <f>#REF!-'BS 3Q2022'!AG39</f>
        <v>#REF!</v>
      </c>
      <c r="AH39" s="101" t="e">
        <f>#REF!-'BS 3Q2022'!AH39</f>
        <v>#REF!</v>
      </c>
      <c r="AI39" s="101" t="e">
        <f>#REF!-'BS 3Q2022'!AI39</f>
        <v>#REF!</v>
      </c>
      <c r="AJ39" s="101" t="e">
        <f>#REF!-'BS 3Q2022'!AJ39</f>
        <v>#REF!</v>
      </c>
      <c r="AK39" s="101" t="e">
        <f>#REF!-'BS 3Q2022'!AK39</f>
        <v>#REF!</v>
      </c>
      <c r="AL39" s="169" t="e">
        <f>#REF!-'BS 3Q2022'!AL39</f>
        <v>#REF!</v>
      </c>
      <c r="AM39" s="101" t="e">
        <f>#REF!-'BS 3Q2022'!AM39</f>
        <v>#REF!</v>
      </c>
      <c r="AN39" s="101" t="e">
        <f>#REF!-'BS 3Q2022'!AN39</f>
        <v>#REF!</v>
      </c>
      <c r="AO39" s="101" t="e">
        <f>#REF!-'BS 3Q2022'!AO39</f>
        <v>#REF!</v>
      </c>
      <c r="AP39" s="101" t="e">
        <f>#REF!-'BS 3Q2022'!AP39</f>
        <v>#REF!</v>
      </c>
      <c r="AQ39" s="169" t="e">
        <f>#REF!-'BS 3Q2022'!AQ39</f>
        <v>#REF!</v>
      </c>
      <c r="AR39" s="101" t="e">
        <f>#REF!-'BS 3Q2022'!AR39</f>
        <v>#REF!</v>
      </c>
      <c r="AS39" s="101" t="e">
        <f>#REF!-'BS 3Q2022'!AS39</f>
        <v>#REF!</v>
      </c>
      <c r="AT39" s="101" t="e">
        <f>#REF!-'BS 3Q2022'!AT39</f>
        <v>#REF!</v>
      </c>
      <c r="AU39" s="101" t="e">
        <f>#REF!-'BS 3Q2022'!AU39</f>
        <v>#REF!</v>
      </c>
      <c r="AV39" s="169" t="e">
        <f>#REF!-'BS 3Q2022'!AV39</f>
        <v>#REF!</v>
      </c>
    </row>
    <row r="40" spans="1:48" ht="16.2" outlineLevel="1" x14ac:dyDescent="0.45">
      <c r="B40" s="265" t="s">
        <v>246</v>
      </c>
      <c r="C40" s="266"/>
      <c r="D40" s="260" t="e">
        <f>#REF!-'BS 3Q2022'!D40</f>
        <v>#REF!</v>
      </c>
      <c r="E40" s="112" t="e">
        <f>#REF!-'BS 3Q2022'!E40</f>
        <v>#REF!</v>
      </c>
      <c r="F40" s="112" t="e">
        <f>#REF!-'BS 3Q2022'!F40</f>
        <v>#REF!</v>
      </c>
      <c r="G40" s="112" t="e">
        <f>#REF!-'BS 3Q2022'!G40</f>
        <v>#REF!</v>
      </c>
      <c r="H40" s="261" t="e">
        <f>#REF!-'BS 3Q2022'!H40</f>
        <v>#REF!</v>
      </c>
      <c r="I40" s="112" t="e">
        <f>#REF!-'BS 3Q2022'!I40</f>
        <v>#REF!</v>
      </c>
      <c r="J40" s="112" t="e">
        <f>#REF!-'BS 3Q2022'!J40</f>
        <v>#REF!</v>
      </c>
      <c r="K40" s="112" t="e">
        <f>#REF!-'BS 3Q2022'!K40</f>
        <v>#REF!</v>
      </c>
      <c r="L40" s="112" t="e">
        <f>#REF!-'BS 3Q2022'!L40</f>
        <v>#REF!</v>
      </c>
      <c r="M40" s="262" t="e">
        <f>#REF!-'BS 3Q2022'!M40</f>
        <v>#REF!</v>
      </c>
      <c r="N40" s="112" t="e">
        <f>#REF!-'BS 3Q2022'!N40</f>
        <v>#REF!</v>
      </c>
      <c r="O40" s="112" t="e">
        <f>#REF!-'BS 3Q2022'!O40</f>
        <v>#REF!</v>
      </c>
      <c r="P40" s="112" t="e">
        <f>#REF!-'BS 3Q2022'!P40</f>
        <v>#REF!</v>
      </c>
      <c r="Q40" s="112" t="e">
        <f>#REF!-'BS 3Q2022'!Q40</f>
        <v>#REF!</v>
      </c>
      <c r="R40" s="262" t="e">
        <f>#REF!-'BS 3Q2022'!R40</f>
        <v>#REF!</v>
      </c>
      <c r="S40" s="112" t="e">
        <f>#REF!-'BS 3Q2022'!S40</f>
        <v>#REF!</v>
      </c>
      <c r="T40" s="112" t="e">
        <f>#REF!-'BS 3Q2022'!T40</f>
        <v>#REF!</v>
      </c>
      <c r="U40" s="112" t="e">
        <f>#REF!-'BS 3Q2022'!U40</f>
        <v>#REF!</v>
      </c>
      <c r="V40" s="112" t="e">
        <f>#REF!-'BS 3Q2022'!V40</f>
        <v>#REF!</v>
      </c>
      <c r="W40" s="262" t="e">
        <f>#REF!-'BS 3Q2022'!W40</f>
        <v>#REF!</v>
      </c>
      <c r="X40" s="112" t="e">
        <f>#REF!-'BS 3Q2022'!X40</f>
        <v>#REF!</v>
      </c>
      <c r="Y40" s="112" t="e">
        <f>#REF!-'BS 3Q2022'!Y40</f>
        <v>#REF!</v>
      </c>
      <c r="Z40" s="112" t="e">
        <f>#REF!-'BS 3Q2022'!Z40</f>
        <v>#REF!</v>
      </c>
      <c r="AA40" s="112" t="e">
        <f>#REF!-'BS 3Q2022'!AA40</f>
        <v>#REF!</v>
      </c>
      <c r="AB40" s="262" t="e">
        <f>#REF!-'BS 3Q2022'!AB40</f>
        <v>#REF!</v>
      </c>
      <c r="AC40" s="112" t="e">
        <f>#REF!-'BS 3Q2022'!AC40</f>
        <v>#REF!</v>
      </c>
      <c r="AD40" s="112" t="e">
        <f>#REF!-'BS 3Q2022'!AD40</f>
        <v>#REF!</v>
      </c>
      <c r="AE40" s="112" t="e">
        <f>#REF!-'BS 3Q2022'!AE40</f>
        <v>#REF!</v>
      </c>
      <c r="AF40" s="112" t="e">
        <f>#REF!-'BS 3Q2022'!AF40</f>
        <v>#REF!</v>
      </c>
      <c r="AG40" s="262" t="e">
        <f>#REF!-'BS 3Q2022'!AG40</f>
        <v>#REF!</v>
      </c>
      <c r="AH40" s="112" t="e">
        <f>#REF!-'BS 3Q2022'!AH40</f>
        <v>#REF!</v>
      </c>
      <c r="AI40" s="112" t="e">
        <f>#REF!-'BS 3Q2022'!AI40</f>
        <v>#REF!</v>
      </c>
      <c r="AJ40" s="112" t="e">
        <f>#REF!-'BS 3Q2022'!AJ40</f>
        <v>#REF!</v>
      </c>
      <c r="AK40" s="112" t="e">
        <f>#REF!-'BS 3Q2022'!AK40</f>
        <v>#REF!</v>
      </c>
      <c r="AL40" s="262" t="e">
        <f>#REF!-'BS 3Q2022'!AL40</f>
        <v>#REF!</v>
      </c>
      <c r="AM40" s="112" t="e">
        <f>#REF!-'BS 3Q2022'!AM40</f>
        <v>#REF!</v>
      </c>
      <c r="AN40" s="112" t="e">
        <f>#REF!-'BS 3Q2022'!AN40</f>
        <v>#REF!</v>
      </c>
      <c r="AO40" s="112" t="e">
        <f>#REF!-'BS 3Q2022'!AO40</f>
        <v>#REF!</v>
      </c>
      <c r="AP40" s="112" t="e">
        <f>#REF!-'BS 3Q2022'!AP40</f>
        <v>#REF!</v>
      </c>
      <c r="AQ40" s="262" t="e">
        <f>#REF!-'BS 3Q2022'!AQ40</f>
        <v>#REF!</v>
      </c>
      <c r="AR40" s="112" t="e">
        <f>#REF!-'BS 3Q2022'!AR40</f>
        <v>#REF!</v>
      </c>
      <c r="AS40" s="112" t="e">
        <f>#REF!-'BS 3Q2022'!AS40</f>
        <v>#REF!</v>
      </c>
      <c r="AT40" s="112" t="e">
        <f>#REF!-'BS 3Q2022'!AT40</f>
        <v>#REF!</v>
      </c>
      <c r="AU40" s="112" t="e">
        <f>#REF!-'BS 3Q2022'!AU40</f>
        <v>#REF!</v>
      </c>
      <c r="AV40" s="262" t="e">
        <f>#REF!-'BS 3Q2022'!AV40</f>
        <v>#REF!</v>
      </c>
    </row>
    <row r="41" spans="1:48" outlineLevel="1" x14ac:dyDescent="0.3">
      <c r="B41" s="619" t="s">
        <v>247</v>
      </c>
      <c r="C41" s="620"/>
      <c r="D41" s="21" t="e">
        <f>#REF!-'BS 3Q2022'!D41</f>
        <v>#REF!</v>
      </c>
      <c r="E41" s="21" t="e">
        <f>#REF!-'BS 3Q2022'!E41</f>
        <v>#REF!</v>
      </c>
      <c r="F41" s="21" t="e">
        <f>#REF!-'BS 3Q2022'!F41</f>
        <v>#REF!</v>
      </c>
      <c r="G41" s="21" t="e">
        <f>#REF!-'BS 3Q2022'!G41</f>
        <v>#REF!</v>
      </c>
      <c r="H41" s="22" t="e">
        <f>#REF!-'BS 3Q2022'!H41</f>
        <v>#REF!</v>
      </c>
      <c r="I41" s="21" t="e">
        <f>#REF!-'BS 3Q2022'!I41</f>
        <v>#REF!</v>
      </c>
      <c r="J41" s="21" t="e">
        <f>#REF!-'BS 3Q2022'!J41</f>
        <v>#REF!</v>
      </c>
      <c r="K41" s="21" t="e">
        <f>#REF!-'BS 3Q2022'!K41</f>
        <v>#REF!</v>
      </c>
      <c r="L41" s="21" t="e">
        <f>#REF!-'BS 3Q2022'!L41</f>
        <v>#REF!</v>
      </c>
      <c r="M41" s="22" t="e">
        <f>#REF!-'BS 3Q2022'!M41</f>
        <v>#REF!</v>
      </c>
      <c r="N41" s="21" t="e">
        <f>#REF!-'BS 3Q2022'!N41</f>
        <v>#REF!</v>
      </c>
      <c r="O41" s="21" t="e">
        <f>#REF!-'BS 3Q2022'!O41</f>
        <v>#REF!</v>
      </c>
      <c r="P41" s="21" t="e">
        <f>#REF!-'BS 3Q2022'!P41</f>
        <v>#REF!</v>
      </c>
      <c r="Q41" s="21" t="e">
        <f>#REF!-'BS 3Q2022'!Q41</f>
        <v>#REF!</v>
      </c>
      <c r="R41" s="22" t="e">
        <f>#REF!-'BS 3Q2022'!R41</f>
        <v>#REF!</v>
      </c>
      <c r="S41" s="21" t="e">
        <f>#REF!-'BS 3Q2022'!S41</f>
        <v>#REF!</v>
      </c>
      <c r="T41" s="21" t="e">
        <f>#REF!-'BS 3Q2022'!T41</f>
        <v>#REF!</v>
      </c>
      <c r="U41" s="21" t="e">
        <f>#REF!-'BS 3Q2022'!U41</f>
        <v>#REF!</v>
      </c>
      <c r="V41" s="21" t="e">
        <f>#REF!-'BS 3Q2022'!V41</f>
        <v>#REF!</v>
      </c>
      <c r="W41" s="22" t="e">
        <f>#REF!-'BS 3Q2022'!W41</f>
        <v>#REF!</v>
      </c>
      <c r="X41" s="21" t="e">
        <f>#REF!-'BS 3Q2022'!X41</f>
        <v>#REF!</v>
      </c>
      <c r="Y41" s="21" t="e">
        <f>#REF!-'BS 3Q2022'!Y41</f>
        <v>#REF!</v>
      </c>
      <c r="Z41" s="21" t="e">
        <f>#REF!-'BS 3Q2022'!Z41</f>
        <v>#REF!</v>
      </c>
      <c r="AA41" s="21" t="e">
        <f>#REF!-'BS 3Q2022'!AA41</f>
        <v>#REF!</v>
      </c>
      <c r="AB41" s="22" t="e">
        <f>#REF!-'BS 3Q2022'!AB41</f>
        <v>#REF!</v>
      </c>
      <c r="AC41" s="21" t="e">
        <f>#REF!-'BS 3Q2022'!AC41</f>
        <v>#REF!</v>
      </c>
      <c r="AD41" s="21" t="e">
        <f>#REF!-'BS 3Q2022'!AD41</f>
        <v>#REF!</v>
      </c>
      <c r="AE41" s="21" t="e">
        <f>#REF!-'BS 3Q2022'!AE41</f>
        <v>#REF!</v>
      </c>
      <c r="AF41" s="21" t="e">
        <f>#REF!-'BS 3Q2022'!AF41</f>
        <v>#REF!</v>
      </c>
      <c r="AG41" s="22" t="e">
        <f>#REF!-'BS 3Q2022'!AG41</f>
        <v>#REF!</v>
      </c>
      <c r="AH41" s="21" t="e">
        <f>#REF!-'BS 3Q2022'!AH41</f>
        <v>#REF!</v>
      </c>
      <c r="AI41" s="21" t="e">
        <f>#REF!-'BS 3Q2022'!AI41</f>
        <v>#REF!</v>
      </c>
      <c r="AJ41" s="21" t="e">
        <f>#REF!-'BS 3Q2022'!AJ41</f>
        <v>#REF!</v>
      </c>
      <c r="AK41" s="21" t="e">
        <f>#REF!-'BS 3Q2022'!AK41</f>
        <v>#REF!</v>
      </c>
      <c r="AL41" s="22" t="e">
        <f>#REF!-'BS 3Q2022'!AL41</f>
        <v>#REF!</v>
      </c>
      <c r="AM41" s="21" t="e">
        <f>#REF!-'BS 3Q2022'!AM41</f>
        <v>#REF!</v>
      </c>
      <c r="AN41" s="21" t="e">
        <f>#REF!-'BS 3Q2022'!AN41</f>
        <v>#REF!</v>
      </c>
      <c r="AO41" s="21" t="e">
        <f>#REF!-'BS 3Q2022'!AO41</f>
        <v>#REF!</v>
      </c>
      <c r="AP41" s="21" t="e">
        <f>#REF!-'BS 3Q2022'!AP41</f>
        <v>#REF!</v>
      </c>
      <c r="AQ41" s="22" t="e">
        <f>#REF!-'BS 3Q2022'!AQ41</f>
        <v>#REF!</v>
      </c>
      <c r="AR41" s="21" t="e">
        <f>#REF!-'BS 3Q2022'!AR41</f>
        <v>#REF!</v>
      </c>
      <c r="AS41" s="21" t="e">
        <f>#REF!-'BS 3Q2022'!AS41</f>
        <v>#REF!</v>
      </c>
      <c r="AT41" s="21" t="e">
        <f>#REF!-'BS 3Q2022'!AT41</f>
        <v>#REF!</v>
      </c>
      <c r="AU41" s="21" t="e">
        <f>#REF!-'BS 3Q2022'!AU41</f>
        <v>#REF!</v>
      </c>
      <c r="AV41" s="22" t="e">
        <f>#REF!-'BS 3Q2022'!AV41</f>
        <v>#REF!</v>
      </c>
    </row>
    <row r="42" spans="1:48" outlineLevel="1" x14ac:dyDescent="0.3">
      <c r="B42" s="617" t="s">
        <v>248</v>
      </c>
      <c r="C42" s="618"/>
      <c r="D42" s="267" t="e">
        <f>#REF!-'BS 3Q2022'!D42</f>
        <v>#REF!</v>
      </c>
      <c r="E42" s="267" t="e">
        <f>#REF!-'BS 3Q2022'!E42</f>
        <v>#REF!</v>
      </c>
      <c r="F42" s="267" t="e">
        <f>#REF!-'BS 3Q2022'!F42</f>
        <v>#REF!</v>
      </c>
      <c r="G42" s="267" t="e">
        <f>#REF!-'BS 3Q2022'!G42</f>
        <v>#REF!</v>
      </c>
      <c r="H42" s="268" t="e">
        <f>#REF!-'BS 3Q2022'!H42</f>
        <v>#REF!</v>
      </c>
      <c r="I42" s="267" t="e">
        <f>#REF!-'BS 3Q2022'!I42</f>
        <v>#REF!</v>
      </c>
      <c r="J42" s="267" t="e">
        <f>#REF!-'BS 3Q2022'!J42</f>
        <v>#REF!</v>
      </c>
      <c r="K42" s="267" t="e">
        <f>#REF!-'BS 3Q2022'!K42</f>
        <v>#REF!</v>
      </c>
      <c r="L42" s="267" t="e">
        <f>#REF!-'BS 3Q2022'!L42</f>
        <v>#REF!</v>
      </c>
      <c r="M42" s="268" t="e">
        <f>#REF!-'BS 3Q2022'!M42</f>
        <v>#REF!</v>
      </c>
      <c r="N42" s="267" t="e">
        <f>#REF!-'BS 3Q2022'!N42</f>
        <v>#REF!</v>
      </c>
      <c r="O42" s="267" t="e">
        <f>#REF!-'BS 3Q2022'!O42</f>
        <v>#REF!</v>
      </c>
      <c r="P42" s="267" t="e">
        <f>#REF!-'BS 3Q2022'!P42</f>
        <v>#REF!</v>
      </c>
      <c r="Q42" s="267" t="e">
        <f>#REF!-'BS 3Q2022'!Q42</f>
        <v>#REF!</v>
      </c>
      <c r="R42" s="268" t="e">
        <f>#REF!-'BS 3Q2022'!R42</f>
        <v>#REF!</v>
      </c>
      <c r="S42" s="267" t="e">
        <f>#REF!-'BS 3Q2022'!S42</f>
        <v>#REF!</v>
      </c>
      <c r="T42" s="267" t="e">
        <f>#REF!-'BS 3Q2022'!T42</f>
        <v>#REF!</v>
      </c>
      <c r="U42" s="267" t="e">
        <f>#REF!-'BS 3Q2022'!U42</f>
        <v>#REF!</v>
      </c>
      <c r="V42" s="267" t="e">
        <f>#REF!-'BS 3Q2022'!V42</f>
        <v>#REF!</v>
      </c>
      <c r="W42" s="268" t="e">
        <f>#REF!-'BS 3Q2022'!W42</f>
        <v>#REF!</v>
      </c>
      <c r="X42" s="267" t="e">
        <f>#REF!-'BS 3Q2022'!X42</f>
        <v>#REF!</v>
      </c>
      <c r="Y42" s="267" t="e">
        <f>#REF!-'BS 3Q2022'!Y42</f>
        <v>#REF!</v>
      </c>
      <c r="Z42" s="267" t="e">
        <f>#REF!-'BS 3Q2022'!Z42</f>
        <v>#REF!</v>
      </c>
      <c r="AA42" s="267" t="e">
        <f>#REF!-'BS 3Q2022'!AA42</f>
        <v>#REF!</v>
      </c>
      <c r="AB42" s="268" t="e">
        <f>#REF!-'BS 3Q2022'!AB42</f>
        <v>#REF!</v>
      </c>
      <c r="AC42" s="267" t="e">
        <f>#REF!-'BS 3Q2022'!AC42</f>
        <v>#REF!</v>
      </c>
      <c r="AD42" s="267" t="e">
        <f>#REF!-'BS 3Q2022'!AD42</f>
        <v>#REF!</v>
      </c>
      <c r="AE42" s="267" t="e">
        <f>#REF!-'BS 3Q2022'!AE42</f>
        <v>#REF!</v>
      </c>
      <c r="AF42" s="267" t="e">
        <f>#REF!-'BS 3Q2022'!AF42</f>
        <v>#REF!</v>
      </c>
      <c r="AG42" s="268" t="e">
        <f>#REF!-'BS 3Q2022'!AG42</f>
        <v>#REF!</v>
      </c>
      <c r="AH42" s="267" t="e">
        <f>#REF!-'BS 3Q2022'!AH42</f>
        <v>#REF!</v>
      </c>
      <c r="AI42" s="267" t="e">
        <f>#REF!-'BS 3Q2022'!AI42</f>
        <v>#REF!</v>
      </c>
      <c r="AJ42" s="267" t="e">
        <f>#REF!-'BS 3Q2022'!AJ42</f>
        <v>#REF!</v>
      </c>
      <c r="AK42" s="267" t="e">
        <f>#REF!-'BS 3Q2022'!AK42</f>
        <v>#REF!</v>
      </c>
      <c r="AL42" s="268" t="e">
        <f>#REF!-'BS 3Q2022'!AL42</f>
        <v>#REF!</v>
      </c>
      <c r="AM42" s="267" t="e">
        <f>#REF!-'BS 3Q2022'!AM42</f>
        <v>#REF!</v>
      </c>
      <c r="AN42" s="267" t="e">
        <f>#REF!-'BS 3Q2022'!AN42</f>
        <v>#REF!</v>
      </c>
      <c r="AO42" s="267" t="e">
        <f>#REF!-'BS 3Q2022'!AO42</f>
        <v>#REF!</v>
      </c>
      <c r="AP42" s="267" t="e">
        <f>#REF!-'BS 3Q2022'!AP42</f>
        <v>#REF!</v>
      </c>
      <c r="AQ42" s="268" t="e">
        <f>#REF!-'BS 3Q2022'!AQ42</f>
        <v>#REF!</v>
      </c>
      <c r="AR42" s="267" t="e">
        <f>#REF!-'BS 3Q2022'!AR42</f>
        <v>#REF!</v>
      </c>
      <c r="AS42" s="267" t="e">
        <f>#REF!-'BS 3Q2022'!AS42</f>
        <v>#REF!</v>
      </c>
      <c r="AT42" s="267" t="e">
        <f>#REF!-'BS 3Q2022'!AT42</f>
        <v>#REF!</v>
      </c>
      <c r="AU42" s="267" t="e">
        <f>#REF!-'BS 3Q2022'!AU42</f>
        <v>#REF!</v>
      </c>
      <c r="AV42" s="268" t="e">
        <f>#REF!-'BS 3Q2022'!AV42</f>
        <v>#REF!</v>
      </c>
    </row>
    <row r="43" spans="1:48" x14ac:dyDescent="0.3">
      <c r="B43" s="269"/>
      <c r="C43" s="270"/>
      <c r="D43" s="271" t="e">
        <f>#REF!-'BS 3Q2022'!D43</f>
        <v>#REF!</v>
      </c>
      <c r="E43" s="271" t="e">
        <f>#REF!-'BS 3Q2022'!E43</f>
        <v>#REF!</v>
      </c>
      <c r="F43" s="271" t="e">
        <f>#REF!-'BS 3Q2022'!F43</f>
        <v>#REF!</v>
      </c>
      <c r="G43" s="271" t="e">
        <f>#REF!-'BS 3Q2022'!G43</f>
        <v>#REF!</v>
      </c>
      <c r="H43" s="271" t="e">
        <f>#REF!-'BS 3Q2022'!H43</f>
        <v>#REF!</v>
      </c>
      <c r="I43" s="271" t="e">
        <f>#REF!-'BS 3Q2022'!I43</f>
        <v>#REF!</v>
      </c>
      <c r="J43" s="271" t="e">
        <f>#REF!-'BS 3Q2022'!J43</f>
        <v>#REF!</v>
      </c>
      <c r="K43" s="271" t="e">
        <f>#REF!-'BS 3Q2022'!K43</f>
        <v>#REF!</v>
      </c>
      <c r="L43" s="272" t="e">
        <f>#REF!-'BS 3Q2022'!L43</f>
        <v>#REF!</v>
      </c>
      <c r="M43" s="272" t="e">
        <f>#REF!-'BS 3Q2022'!M43</f>
        <v>#REF!</v>
      </c>
      <c r="N43" s="272" t="e">
        <f>#REF!-'BS 3Q2022'!N43</f>
        <v>#REF!</v>
      </c>
      <c r="O43" s="272" t="e">
        <f>#REF!-'BS 3Q2022'!O43</f>
        <v>#REF!</v>
      </c>
      <c r="P43" s="272" t="e">
        <f>#REF!-'BS 3Q2022'!P43</f>
        <v>#REF!</v>
      </c>
      <c r="Q43" s="272" t="e">
        <f>#REF!-'BS 3Q2022'!Q43</f>
        <v>#REF!</v>
      </c>
      <c r="R43" s="272" t="e">
        <f>#REF!-'BS 3Q2022'!R43</f>
        <v>#REF!</v>
      </c>
      <c r="S43" s="272" t="e">
        <f>#REF!-'BS 3Q2022'!S43</f>
        <v>#REF!</v>
      </c>
      <c r="T43" s="272" t="e">
        <f>#REF!-'BS 3Q2022'!T43</f>
        <v>#REF!</v>
      </c>
      <c r="U43" s="272" t="e">
        <f>#REF!-'BS 3Q2022'!U43</f>
        <v>#REF!</v>
      </c>
      <c r="V43" s="272" t="e">
        <f>#REF!-'BS 3Q2022'!V43</f>
        <v>#REF!</v>
      </c>
      <c r="W43" s="272" t="e">
        <f>#REF!-'BS 3Q2022'!W43</f>
        <v>#REF!</v>
      </c>
      <c r="X43" s="272" t="e">
        <f>#REF!-'BS 3Q2022'!X43</f>
        <v>#REF!</v>
      </c>
      <c r="Y43" s="272" t="e">
        <f>#REF!-'BS 3Q2022'!Y43</f>
        <v>#REF!</v>
      </c>
      <c r="Z43" s="272" t="e">
        <f>#REF!-'BS 3Q2022'!Z43</f>
        <v>#REF!</v>
      </c>
      <c r="AA43" s="272" t="e">
        <f>#REF!-'BS 3Q2022'!AA43</f>
        <v>#REF!</v>
      </c>
      <c r="AB43" s="272" t="e">
        <f>#REF!-'BS 3Q2022'!AB43</f>
        <v>#REF!</v>
      </c>
      <c r="AC43" s="272" t="e">
        <f>#REF!-'BS 3Q2022'!AC43</f>
        <v>#REF!</v>
      </c>
      <c r="AD43" s="272" t="e">
        <f>#REF!-'BS 3Q2022'!AD43</f>
        <v>#REF!</v>
      </c>
      <c r="AE43" s="272" t="e">
        <f>#REF!-'BS 3Q2022'!AE43</f>
        <v>#REF!</v>
      </c>
      <c r="AF43" s="272" t="e">
        <f>#REF!-'BS 3Q2022'!AF43</f>
        <v>#REF!</v>
      </c>
      <c r="AG43" s="272" t="e">
        <f>#REF!-'BS 3Q2022'!AG43</f>
        <v>#REF!</v>
      </c>
      <c r="AH43" s="272" t="e">
        <f>#REF!-'BS 3Q2022'!AH43</f>
        <v>#REF!</v>
      </c>
      <c r="AI43" s="272" t="e">
        <f>#REF!-'BS 3Q2022'!AI43</f>
        <v>#REF!</v>
      </c>
      <c r="AJ43" s="272" t="e">
        <f>#REF!-'BS 3Q2022'!AJ43</f>
        <v>#REF!</v>
      </c>
      <c r="AK43" s="272" t="e">
        <f>#REF!-'BS 3Q2022'!AK43</f>
        <v>#REF!</v>
      </c>
      <c r="AL43" s="272" t="e">
        <f>#REF!-'BS 3Q2022'!AL43</f>
        <v>#REF!</v>
      </c>
      <c r="AM43" s="272" t="e">
        <f>#REF!-'BS 3Q2022'!AM43</f>
        <v>#REF!</v>
      </c>
      <c r="AN43" s="272" t="e">
        <f>#REF!-'BS 3Q2022'!AN43</f>
        <v>#REF!</v>
      </c>
      <c r="AO43" s="272" t="e">
        <f>#REF!-'BS 3Q2022'!AO43</f>
        <v>#REF!</v>
      </c>
      <c r="AP43" s="272" t="e">
        <f>#REF!-'BS 3Q2022'!AP43</f>
        <v>#REF!</v>
      </c>
      <c r="AQ43" s="272" t="e">
        <f>#REF!-'BS 3Q2022'!AQ43</f>
        <v>#REF!</v>
      </c>
      <c r="AR43" s="272" t="e">
        <f>#REF!-'BS 3Q2022'!AR43</f>
        <v>#REF!</v>
      </c>
      <c r="AS43" s="272" t="e">
        <f>#REF!-'BS 3Q2022'!AS43</f>
        <v>#REF!</v>
      </c>
      <c r="AT43" s="272" t="e">
        <f>#REF!-'BS 3Q2022'!AT43</f>
        <v>#REF!</v>
      </c>
      <c r="AU43" s="272" t="e">
        <f>#REF!-'BS 3Q2022'!AU43</f>
        <v>#REF!</v>
      </c>
      <c r="AV43" s="272" t="e">
        <f>#REF!-'BS 3Q2022'!AV43</f>
        <v>#REF!</v>
      </c>
    </row>
    <row r="44" spans="1:48" ht="15.6" x14ac:dyDescent="0.3">
      <c r="B44" s="583" t="s">
        <v>249</v>
      </c>
      <c r="C44" s="584"/>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5" t="s">
        <v>20</v>
      </c>
      <c r="W44" s="41" t="s">
        <v>20</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85"/>
      <c r="C45" s="586"/>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2" t="s">
        <v>25</v>
      </c>
      <c r="W45" s="42" t="s">
        <v>26</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16" t="e">
        <f>#REF!-'BS 3Q2022'!D46</f>
        <v>#REF!</v>
      </c>
      <c r="E46" s="274" t="e">
        <f>#REF!-'BS 3Q2022'!E46</f>
        <v>#REF!</v>
      </c>
      <c r="F46" s="274" t="e">
        <f>#REF!-'BS 3Q2022'!F46</f>
        <v>#REF!</v>
      </c>
      <c r="G46" s="274" t="e">
        <f>#REF!-'BS 3Q2022'!G46</f>
        <v>#REF!</v>
      </c>
      <c r="H46" s="122" t="e">
        <f>#REF!-'BS 3Q2022'!H46</f>
        <v>#REF!</v>
      </c>
      <c r="I46" s="274" t="e">
        <f>#REF!-'BS 3Q2022'!I46</f>
        <v>#REF!</v>
      </c>
      <c r="J46" s="274" t="e">
        <f>#REF!-'BS 3Q2022'!J46</f>
        <v>#REF!</v>
      </c>
      <c r="K46" s="274" t="e">
        <f>#REF!-'BS 3Q2022'!K46</f>
        <v>#REF!</v>
      </c>
      <c r="L46" s="274" t="e">
        <f>#REF!-'BS 3Q2022'!L46</f>
        <v>#REF!</v>
      </c>
      <c r="M46" s="122" t="e">
        <f>#REF!-'BS 3Q2022'!M46</f>
        <v>#REF!</v>
      </c>
      <c r="N46" s="274" t="e">
        <f>#REF!-'BS 3Q2022'!N46</f>
        <v>#REF!</v>
      </c>
      <c r="O46" s="274" t="e">
        <f>#REF!-'BS 3Q2022'!O46</f>
        <v>#REF!</v>
      </c>
      <c r="P46" s="274" t="e">
        <f>#REF!-'BS 3Q2022'!P46</f>
        <v>#REF!</v>
      </c>
      <c r="Q46" s="274" t="e">
        <f>#REF!-'BS 3Q2022'!Q46</f>
        <v>#REF!</v>
      </c>
      <c r="R46" s="122" t="e">
        <f>#REF!-'BS 3Q2022'!R46</f>
        <v>#REF!</v>
      </c>
      <c r="S46" s="274" t="e">
        <f>#REF!-'BS 3Q2022'!S46</f>
        <v>#REF!</v>
      </c>
      <c r="T46" s="274" t="e">
        <f>#REF!-'BS 3Q2022'!T46</f>
        <v>#REF!</v>
      </c>
      <c r="U46" s="274" t="e">
        <f>#REF!-'BS 3Q2022'!U46</f>
        <v>#REF!</v>
      </c>
      <c r="V46" s="274" t="e">
        <f>#REF!-'BS 3Q2022'!V46</f>
        <v>#REF!</v>
      </c>
      <c r="W46" s="122" t="e">
        <f>#REF!-'BS 3Q2022'!W46</f>
        <v>#REF!</v>
      </c>
      <c r="X46" s="274" t="e">
        <f>#REF!-'BS 3Q2022'!X46</f>
        <v>#REF!</v>
      </c>
      <c r="Y46" s="274" t="e">
        <f>#REF!-'BS 3Q2022'!Y46</f>
        <v>#REF!</v>
      </c>
      <c r="Z46" s="274" t="e">
        <f>#REF!-'BS 3Q2022'!Z46</f>
        <v>#REF!</v>
      </c>
      <c r="AA46" s="274" t="e">
        <f>#REF!-'BS 3Q2022'!AA46</f>
        <v>#REF!</v>
      </c>
      <c r="AB46" s="122" t="e">
        <f>#REF!-'BS 3Q2022'!AB46</f>
        <v>#REF!</v>
      </c>
      <c r="AC46" s="274" t="e">
        <f>#REF!-'BS 3Q2022'!AC46</f>
        <v>#REF!</v>
      </c>
      <c r="AD46" s="274" t="e">
        <f>#REF!-'BS 3Q2022'!AD46</f>
        <v>#REF!</v>
      </c>
      <c r="AE46" s="274" t="e">
        <f>#REF!-'BS 3Q2022'!AE46</f>
        <v>#REF!</v>
      </c>
      <c r="AF46" s="274" t="e">
        <f>#REF!-'BS 3Q2022'!AF46</f>
        <v>#REF!</v>
      </c>
      <c r="AG46" s="122" t="e">
        <f>#REF!-'BS 3Q2022'!AG46</f>
        <v>#REF!</v>
      </c>
      <c r="AH46" s="274" t="e">
        <f>#REF!-'BS 3Q2022'!AH46</f>
        <v>#REF!</v>
      </c>
      <c r="AI46" s="274" t="e">
        <f>#REF!-'BS 3Q2022'!AI46</f>
        <v>#REF!</v>
      </c>
      <c r="AJ46" s="274" t="e">
        <f>#REF!-'BS 3Q2022'!AJ46</f>
        <v>#REF!</v>
      </c>
      <c r="AK46" s="274" t="e">
        <f>#REF!-'BS 3Q2022'!AK46</f>
        <v>#REF!</v>
      </c>
      <c r="AL46" s="122" t="e">
        <f>#REF!-'BS 3Q2022'!AL46</f>
        <v>#REF!</v>
      </c>
      <c r="AM46" s="274" t="e">
        <f>#REF!-'BS 3Q2022'!AM46</f>
        <v>#REF!</v>
      </c>
      <c r="AN46" s="274" t="e">
        <f>#REF!-'BS 3Q2022'!AN46</f>
        <v>#REF!</v>
      </c>
      <c r="AO46" s="274" t="e">
        <f>#REF!-'BS 3Q2022'!AO46</f>
        <v>#REF!</v>
      </c>
      <c r="AP46" s="274" t="e">
        <f>#REF!-'BS 3Q2022'!AP46</f>
        <v>#REF!</v>
      </c>
      <c r="AQ46" s="122" t="e">
        <f>#REF!-'BS 3Q2022'!AQ46</f>
        <v>#REF!</v>
      </c>
      <c r="AR46" s="274" t="e">
        <f>#REF!-'BS 3Q2022'!AR46</f>
        <v>#REF!</v>
      </c>
      <c r="AS46" s="274" t="e">
        <f>#REF!-'BS 3Q2022'!AS46</f>
        <v>#REF!</v>
      </c>
      <c r="AT46" s="274" t="e">
        <f>#REF!-'BS 3Q2022'!AT46</f>
        <v>#REF!</v>
      </c>
      <c r="AU46" s="274" t="e">
        <f>#REF!-'BS 3Q2022'!AU46</f>
        <v>#REF!</v>
      </c>
      <c r="AV46" s="122" t="e">
        <f>#REF!-'BS 3Q2022'!AV46</f>
        <v>#REF!</v>
      </c>
    </row>
    <row r="47" spans="1:48" outlineLevel="1" x14ac:dyDescent="0.3">
      <c r="B47" s="580" t="s">
        <v>251</v>
      </c>
      <c r="C47" s="581"/>
      <c r="D47" s="275" t="e">
        <f>#REF!-'BS 3Q2022'!D47</f>
        <v>#REF!</v>
      </c>
      <c r="E47" s="276" t="e">
        <f>#REF!-'BS 3Q2022'!E47</f>
        <v>#REF!</v>
      </c>
      <c r="F47" s="276" t="e">
        <f>#REF!-'BS 3Q2022'!F47</f>
        <v>#REF!</v>
      </c>
      <c r="G47" s="276" t="e">
        <f>#REF!-'BS 3Q2022'!G47</f>
        <v>#REF!</v>
      </c>
      <c r="H47" s="126" t="e">
        <f>#REF!-'BS 3Q2022'!H47</f>
        <v>#REF!</v>
      </c>
      <c r="I47" s="276" t="e">
        <f>#REF!-'BS 3Q2022'!I47</f>
        <v>#REF!</v>
      </c>
      <c r="J47" s="276" t="e">
        <f>#REF!-'BS 3Q2022'!J47</f>
        <v>#REF!</v>
      </c>
      <c r="K47" s="276" t="e">
        <f>#REF!-'BS 3Q2022'!K47</f>
        <v>#REF!</v>
      </c>
      <c r="L47" s="276" t="e">
        <f>#REF!-'BS 3Q2022'!L47</f>
        <v>#REF!</v>
      </c>
      <c r="M47" s="31" t="e">
        <f>#REF!-'BS 3Q2022'!M47</f>
        <v>#REF!</v>
      </c>
      <c r="N47" s="276" t="e">
        <f>#REF!-'BS 3Q2022'!N47</f>
        <v>#REF!</v>
      </c>
      <c r="O47" s="276" t="e">
        <f>#REF!-'BS 3Q2022'!O47</f>
        <v>#REF!</v>
      </c>
      <c r="P47" s="276" t="e">
        <f>#REF!-'BS 3Q2022'!P47</f>
        <v>#REF!</v>
      </c>
      <c r="Q47" s="276" t="e">
        <f>#REF!-'BS 3Q2022'!Q47</f>
        <v>#REF!</v>
      </c>
      <c r="R47" s="31" t="e">
        <f>#REF!-'BS 3Q2022'!R47</f>
        <v>#REF!</v>
      </c>
      <c r="S47" s="276" t="e">
        <f>#REF!-'BS 3Q2022'!S47</f>
        <v>#REF!</v>
      </c>
      <c r="T47" s="276" t="e">
        <f>#REF!-'BS 3Q2022'!T47</f>
        <v>#REF!</v>
      </c>
      <c r="U47" s="276" t="e">
        <f>#REF!-'BS 3Q2022'!U47</f>
        <v>#REF!</v>
      </c>
      <c r="V47" s="277" t="e">
        <f>#REF!-'BS 3Q2022'!V47</f>
        <v>#REF!</v>
      </c>
      <c r="W47" s="31" t="e">
        <f>#REF!-'BS 3Q2022'!W47</f>
        <v>#REF!</v>
      </c>
      <c r="X47" s="277" t="e">
        <f>#REF!-'BS 3Q2022'!X47</f>
        <v>#REF!</v>
      </c>
      <c r="Y47" s="277" t="e">
        <f>#REF!-'BS 3Q2022'!Y47</f>
        <v>#REF!</v>
      </c>
      <c r="Z47" s="277" t="e">
        <f>#REF!-'BS 3Q2022'!Z47</f>
        <v>#REF!</v>
      </c>
      <c r="AA47" s="277" t="e">
        <f>#REF!-'BS 3Q2022'!AA47</f>
        <v>#REF!</v>
      </c>
      <c r="AB47" s="278" t="e">
        <f>#REF!-'BS 3Q2022'!AB47</f>
        <v>#REF!</v>
      </c>
      <c r="AC47" s="277" t="e">
        <f>#REF!-'BS 3Q2022'!AC47</f>
        <v>#REF!</v>
      </c>
      <c r="AD47" s="277" t="e">
        <f>#REF!-'BS 3Q2022'!AD47</f>
        <v>#REF!</v>
      </c>
      <c r="AE47" s="277" t="e">
        <f>#REF!-'BS 3Q2022'!AE47</f>
        <v>#REF!</v>
      </c>
      <c r="AF47" s="277" t="e">
        <f>#REF!-'BS 3Q2022'!AF47</f>
        <v>#REF!</v>
      </c>
      <c r="AG47" s="278" t="e">
        <f>#REF!-'BS 3Q2022'!AG47</f>
        <v>#REF!</v>
      </c>
      <c r="AH47" s="277" t="e">
        <f>#REF!-'BS 3Q2022'!AH47</f>
        <v>#REF!</v>
      </c>
      <c r="AI47" s="277" t="e">
        <f>#REF!-'BS 3Q2022'!AI47</f>
        <v>#REF!</v>
      </c>
      <c r="AJ47" s="277" t="e">
        <f>#REF!-'BS 3Q2022'!AJ47</f>
        <v>#REF!</v>
      </c>
      <c r="AK47" s="277" t="e">
        <f>#REF!-'BS 3Q2022'!AK47</f>
        <v>#REF!</v>
      </c>
      <c r="AL47" s="278" t="e">
        <f>#REF!-'BS 3Q2022'!AL47</f>
        <v>#REF!</v>
      </c>
      <c r="AM47" s="277" t="e">
        <f>#REF!-'BS 3Q2022'!AM47</f>
        <v>#REF!</v>
      </c>
      <c r="AN47" s="277" t="e">
        <f>#REF!-'BS 3Q2022'!AN47</f>
        <v>#REF!</v>
      </c>
      <c r="AO47" s="277" t="e">
        <f>#REF!-'BS 3Q2022'!AO47</f>
        <v>#REF!</v>
      </c>
      <c r="AP47" s="277" t="e">
        <f>#REF!-'BS 3Q2022'!AP47</f>
        <v>#REF!</v>
      </c>
      <c r="AQ47" s="278" t="e">
        <f>#REF!-'BS 3Q2022'!AQ47</f>
        <v>#REF!</v>
      </c>
      <c r="AR47" s="277" t="e">
        <f>#REF!-'BS 3Q2022'!AR47</f>
        <v>#REF!</v>
      </c>
      <c r="AS47" s="277" t="e">
        <f>#REF!-'BS 3Q2022'!AS47</f>
        <v>#REF!</v>
      </c>
      <c r="AT47" s="277" t="e">
        <f>#REF!-'BS 3Q2022'!AT47</f>
        <v>#REF!</v>
      </c>
      <c r="AU47" s="277" t="e">
        <f>#REF!-'BS 3Q2022'!AU47</f>
        <v>#REF!</v>
      </c>
      <c r="AV47" s="278" t="e">
        <f>#REF!-'BS 3Q2022'!AV47</f>
        <v>#REF!</v>
      </c>
    </row>
    <row r="48" spans="1:48" s="23" customFormat="1" outlineLevel="1" x14ac:dyDescent="0.3">
      <c r="B48" s="607" t="s">
        <v>252</v>
      </c>
      <c r="C48" s="608"/>
      <c r="D48" s="279" t="e">
        <f>#REF!-'BS 3Q2022'!D48</f>
        <v>#REF!</v>
      </c>
      <c r="E48" s="279" t="e">
        <f>#REF!-'BS 3Q2022'!E48</f>
        <v>#REF!</v>
      </c>
      <c r="F48" s="274" t="e">
        <f>#REF!-'BS 3Q2022'!F48</f>
        <v>#REF!</v>
      </c>
      <c r="G48" s="274" t="e">
        <f>#REF!-'BS 3Q2022'!G48</f>
        <v>#REF!</v>
      </c>
      <c r="H48" s="126" t="e">
        <f>#REF!-'BS 3Q2022'!H48</f>
        <v>#REF!</v>
      </c>
      <c r="I48" s="274" t="e">
        <f>#REF!-'BS 3Q2022'!I48</f>
        <v>#REF!</v>
      </c>
      <c r="J48" s="274" t="e">
        <f>#REF!-'BS 3Q2022'!J48</f>
        <v>#REF!</v>
      </c>
      <c r="K48" s="274" t="e">
        <f>#REF!-'BS 3Q2022'!K48</f>
        <v>#REF!</v>
      </c>
      <c r="L48" s="279" t="e">
        <f>#REF!-'BS 3Q2022'!L48</f>
        <v>#REF!</v>
      </c>
      <c r="M48" s="31" t="e">
        <f>#REF!-'BS 3Q2022'!M48</f>
        <v>#REF!</v>
      </c>
      <c r="N48" s="279" t="e">
        <f>#REF!-'BS 3Q2022'!N48</f>
        <v>#REF!</v>
      </c>
      <c r="O48" s="279" t="e">
        <f>#REF!-'BS 3Q2022'!O48</f>
        <v>#REF!</v>
      </c>
      <c r="P48" s="279" t="e">
        <f>#REF!-'BS 3Q2022'!P48</f>
        <v>#REF!</v>
      </c>
      <c r="Q48" s="279" t="e">
        <f>#REF!-'BS 3Q2022'!Q48</f>
        <v>#REF!</v>
      </c>
      <c r="R48" s="31" t="e">
        <f>#REF!-'BS 3Q2022'!R48</f>
        <v>#REF!</v>
      </c>
      <c r="S48" s="279" t="e">
        <f>#REF!-'BS 3Q2022'!S48</f>
        <v>#REF!</v>
      </c>
      <c r="T48" s="279" t="e">
        <f>#REF!-'BS 3Q2022'!T48</f>
        <v>#REF!</v>
      </c>
      <c r="U48" s="279" t="e">
        <f>#REF!-'BS 3Q2022'!U48</f>
        <v>#REF!</v>
      </c>
      <c r="V48" s="279" t="e">
        <f>#REF!-'BS 3Q2022'!V48</f>
        <v>#REF!</v>
      </c>
      <c r="W48" s="31" t="e">
        <f>#REF!-'BS 3Q2022'!W48</f>
        <v>#REF!</v>
      </c>
      <c r="X48" s="279" t="e">
        <f>#REF!-'BS 3Q2022'!X48</f>
        <v>#REF!</v>
      </c>
      <c r="Y48" s="279" t="e">
        <f>#REF!-'BS 3Q2022'!Y48</f>
        <v>#REF!</v>
      </c>
      <c r="Z48" s="279" t="e">
        <f>#REF!-'BS 3Q2022'!Z48</f>
        <v>#REF!</v>
      </c>
      <c r="AA48" s="279" t="e">
        <f>#REF!-'BS 3Q2022'!AA48</f>
        <v>#REF!</v>
      </c>
      <c r="AB48" s="31" t="e">
        <f>#REF!-'BS 3Q2022'!AB48</f>
        <v>#REF!</v>
      </c>
      <c r="AC48" s="279" t="e">
        <f>#REF!-'BS 3Q2022'!AC48</f>
        <v>#REF!</v>
      </c>
      <c r="AD48" s="279" t="e">
        <f>#REF!-'BS 3Q2022'!AD48</f>
        <v>#REF!</v>
      </c>
      <c r="AE48" s="279" t="e">
        <f>#REF!-'BS 3Q2022'!AE48</f>
        <v>#REF!</v>
      </c>
      <c r="AF48" s="279" t="e">
        <f>#REF!-'BS 3Q2022'!AF48</f>
        <v>#REF!</v>
      </c>
      <c r="AG48" s="31" t="e">
        <f>#REF!-'BS 3Q2022'!AG48</f>
        <v>#REF!</v>
      </c>
      <c r="AH48" s="279" t="e">
        <f>#REF!-'BS 3Q2022'!AH48</f>
        <v>#REF!</v>
      </c>
      <c r="AI48" s="279" t="e">
        <f>#REF!-'BS 3Q2022'!AI48</f>
        <v>#REF!</v>
      </c>
      <c r="AJ48" s="279" t="e">
        <f>#REF!-'BS 3Q2022'!AJ48</f>
        <v>#REF!</v>
      </c>
      <c r="AK48" s="279" t="e">
        <f>#REF!-'BS 3Q2022'!AK48</f>
        <v>#REF!</v>
      </c>
      <c r="AL48" s="31" t="e">
        <f>#REF!-'BS 3Q2022'!AL48</f>
        <v>#REF!</v>
      </c>
      <c r="AM48" s="279" t="e">
        <f>#REF!-'BS 3Q2022'!AM48</f>
        <v>#REF!</v>
      </c>
      <c r="AN48" s="279" t="e">
        <f>#REF!-'BS 3Q2022'!AN48</f>
        <v>#REF!</v>
      </c>
      <c r="AO48" s="279" t="e">
        <f>#REF!-'BS 3Q2022'!AO48</f>
        <v>#REF!</v>
      </c>
      <c r="AP48" s="279" t="e">
        <f>#REF!-'BS 3Q2022'!AP48</f>
        <v>#REF!</v>
      </c>
      <c r="AQ48" s="31" t="e">
        <f>#REF!-'BS 3Q2022'!AQ48</f>
        <v>#REF!</v>
      </c>
      <c r="AR48" s="279" t="e">
        <f>#REF!-'BS 3Q2022'!AR48</f>
        <v>#REF!</v>
      </c>
      <c r="AS48" s="279" t="e">
        <f>#REF!-'BS 3Q2022'!AS48</f>
        <v>#REF!</v>
      </c>
      <c r="AT48" s="279" t="e">
        <f>#REF!-'BS 3Q2022'!AT48</f>
        <v>#REF!</v>
      </c>
      <c r="AU48" s="279" t="e">
        <f>#REF!-'BS 3Q2022'!AU48</f>
        <v>#REF!</v>
      </c>
      <c r="AV48" s="31" t="e">
        <f>#REF!-'BS 3Q2022'!AV48</f>
        <v>#REF!</v>
      </c>
    </row>
    <row r="49" spans="2:48" outlineLevel="1" x14ac:dyDescent="0.3">
      <c r="B49" s="580" t="s">
        <v>253</v>
      </c>
      <c r="C49" s="581"/>
      <c r="D49" s="275" t="e">
        <f>#REF!-'BS 3Q2022'!D49</f>
        <v>#REF!</v>
      </c>
      <c r="E49" s="275" t="e">
        <f>#REF!-'BS 3Q2022'!E49</f>
        <v>#REF!</v>
      </c>
      <c r="F49" s="276" t="e">
        <f>#REF!-'BS 3Q2022'!F49</f>
        <v>#REF!</v>
      </c>
      <c r="G49" s="276" t="e">
        <f>#REF!-'BS 3Q2022'!G49</f>
        <v>#REF!</v>
      </c>
      <c r="H49" s="126" t="e">
        <f>#REF!-'BS 3Q2022'!H49</f>
        <v>#REF!</v>
      </c>
      <c r="I49" s="276" t="e">
        <f>#REF!-'BS 3Q2022'!I49</f>
        <v>#REF!</v>
      </c>
      <c r="J49" s="276" t="e">
        <f>#REF!-'BS 3Q2022'!J49</f>
        <v>#REF!</v>
      </c>
      <c r="K49" s="276" t="e">
        <f>#REF!-'BS 3Q2022'!K49</f>
        <v>#REF!</v>
      </c>
      <c r="L49" s="276" t="e">
        <f>#REF!-'BS 3Q2022'!L49</f>
        <v>#REF!</v>
      </c>
      <c r="M49" s="31" t="e">
        <f>#REF!-'BS 3Q2022'!M49</f>
        <v>#REF!</v>
      </c>
      <c r="N49" s="276" t="e">
        <f>#REF!-'BS 3Q2022'!N49</f>
        <v>#REF!</v>
      </c>
      <c r="O49" s="276" t="e">
        <f>#REF!-'BS 3Q2022'!O49</f>
        <v>#REF!</v>
      </c>
      <c r="P49" s="276" t="e">
        <f>#REF!-'BS 3Q2022'!P49</f>
        <v>#REF!</v>
      </c>
      <c r="Q49" s="276" t="e">
        <f>#REF!-'BS 3Q2022'!Q49</f>
        <v>#REF!</v>
      </c>
      <c r="R49" s="31" t="e">
        <f>#REF!-'BS 3Q2022'!R49</f>
        <v>#REF!</v>
      </c>
      <c r="S49" s="276" t="e">
        <f>#REF!-'BS 3Q2022'!S49</f>
        <v>#REF!</v>
      </c>
      <c r="T49" s="276" t="e">
        <f>#REF!-'BS 3Q2022'!T49</f>
        <v>#REF!</v>
      </c>
      <c r="U49" s="276" t="e">
        <f>#REF!-'BS 3Q2022'!U49</f>
        <v>#REF!</v>
      </c>
      <c r="V49" s="277" t="e">
        <f>#REF!-'BS 3Q2022'!V49</f>
        <v>#REF!</v>
      </c>
      <c r="W49" s="31" t="e">
        <f>#REF!-'BS 3Q2022'!W49</f>
        <v>#REF!</v>
      </c>
      <c r="X49" s="277" t="e">
        <f>#REF!-'BS 3Q2022'!X49</f>
        <v>#REF!</v>
      </c>
      <c r="Y49" s="277" t="e">
        <f>#REF!-'BS 3Q2022'!Y49</f>
        <v>#REF!</v>
      </c>
      <c r="Z49" s="277" t="e">
        <f>#REF!-'BS 3Q2022'!Z49</f>
        <v>#REF!</v>
      </c>
      <c r="AA49" s="277" t="e">
        <f>#REF!-'BS 3Q2022'!AA49</f>
        <v>#REF!</v>
      </c>
      <c r="AB49" s="278" t="e">
        <f>#REF!-'BS 3Q2022'!AB49</f>
        <v>#REF!</v>
      </c>
      <c r="AC49" s="277" t="e">
        <f>#REF!-'BS 3Q2022'!AC49</f>
        <v>#REF!</v>
      </c>
      <c r="AD49" s="277" t="e">
        <f>#REF!-'BS 3Q2022'!AD49</f>
        <v>#REF!</v>
      </c>
      <c r="AE49" s="277" t="e">
        <f>#REF!-'BS 3Q2022'!AE49</f>
        <v>#REF!</v>
      </c>
      <c r="AF49" s="277" t="e">
        <f>#REF!-'BS 3Q2022'!AF49</f>
        <v>#REF!</v>
      </c>
      <c r="AG49" s="278" t="e">
        <f>#REF!-'BS 3Q2022'!AG49</f>
        <v>#REF!</v>
      </c>
      <c r="AH49" s="277" t="e">
        <f>#REF!-'BS 3Q2022'!AH49</f>
        <v>#REF!</v>
      </c>
      <c r="AI49" s="277" t="e">
        <f>#REF!-'BS 3Q2022'!AI49</f>
        <v>#REF!</v>
      </c>
      <c r="AJ49" s="277" t="e">
        <f>#REF!-'BS 3Q2022'!AJ49</f>
        <v>#REF!</v>
      </c>
      <c r="AK49" s="277" t="e">
        <f>#REF!-'BS 3Q2022'!AK49</f>
        <v>#REF!</v>
      </c>
      <c r="AL49" s="278" t="e">
        <f>#REF!-'BS 3Q2022'!AL49</f>
        <v>#REF!</v>
      </c>
      <c r="AM49" s="277" t="e">
        <f>#REF!-'BS 3Q2022'!AM49</f>
        <v>#REF!</v>
      </c>
      <c r="AN49" s="277" t="e">
        <f>#REF!-'BS 3Q2022'!AN49</f>
        <v>#REF!</v>
      </c>
      <c r="AO49" s="277" t="e">
        <f>#REF!-'BS 3Q2022'!AO49</f>
        <v>#REF!</v>
      </c>
      <c r="AP49" s="277" t="e">
        <f>#REF!-'BS 3Q2022'!AP49</f>
        <v>#REF!</v>
      </c>
      <c r="AQ49" s="278" t="e">
        <f>#REF!-'BS 3Q2022'!AQ49</f>
        <v>#REF!</v>
      </c>
      <c r="AR49" s="277" t="e">
        <f>#REF!-'BS 3Q2022'!AR49</f>
        <v>#REF!</v>
      </c>
      <c r="AS49" s="277" t="e">
        <f>#REF!-'BS 3Q2022'!AS49</f>
        <v>#REF!</v>
      </c>
      <c r="AT49" s="277" t="e">
        <f>#REF!-'BS 3Q2022'!AT49</f>
        <v>#REF!</v>
      </c>
      <c r="AU49" s="277" t="e">
        <f>#REF!-'BS 3Q2022'!AU49</f>
        <v>#REF!</v>
      </c>
      <c r="AV49" s="278" t="e">
        <f>#REF!-'BS 3Q2022'!AV49</f>
        <v>#REF!</v>
      </c>
    </row>
    <row r="50" spans="2:48" s="23" customFormat="1" outlineLevel="1" x14ac:dyDescent="0.3">
      <c r="B50" s="607" t="s">
        <v>252</v>
      </c>
      <c r="C50" s="608"/>
      <c r="D50" s="279" t="e">
        <f>#REF!-'BS 3Q2022'!D50</f>
        <v>#REF!</v>
      </c>
      <c r="E50" s="279" t="e">
        <f>#REF!-'BS 3Q2022'!E50</f>
        <v>#REF!</v>
      </c>
      <c r="F50" s="274" t="e">
        <f>#REF!-'BS 3Q2022'!F50</f>
        <v>#REF!</v>
      </c>
      <c r="G50" s="274" t="e">
        <f>#REF!-'BS 3Q2022'!G50</f>
        <v>#REF!</v>
      </c>
      <c r="H50" s="126" t="e">
        <f>#REF!-'BS 3Q2022'!H50</f>
        <v>#REF!</v>
      </c>
      <c r="I50" s="274" t="e">
        <f>#REF!-'BS 3Q2022'!I50</f>
        <v>#REF!</v>
      </c>
      <c r="J50" s="274" t="e">
        <f>#REF!-'BS 3Q2022'!J50</f>
        <v>#REF!</v>
      </c>
      <c r="K50" s="274" t="e">
        <f>#REF!-'BS 3Q2022'!K50</f>
        <v>#REF!</v>
      </c>
      <c r="L50" s="279" t="e">
        <f>#REF!-'BS 3Q2022'!L50</f>
        <v>#REF!</v>
      </c>
      <c r="M50" s="31" t="e">
        <f>#REF!-'BS 3Q2022'!M50</f>
        <v>#REF!</v>
      </c>
      <c r="N50" s="279" t="e">
        <f>#REF!-'BS 3Q2022'!N50</f>
        <v>#REF!</v>
      </c>
      <c r="O50" s="279" t="e">
        <f>#REF!-'BS 3Q2022'!O50</f>
        <v>#REF!</v>
      </c>
      <c r="P50" s="279" t="e">
        <f>#REF!-'BS 3Q2022'!P50</f>
        <v>#REF!</v>
      </c>
      <c r="Q50" s="279" t="e">
        <f>#REF!-'BS 3Q2022'!Q50</f>
        <v>#REF!</v>
      </c>
      <c r="R50" s="31" t="e">
        <f>#REF!-'BS 3Q2022'!R50</f>
        <v>#REF!</v>
      </c>
      <c r="S50" s="279" t="e">
        <f>#REF!-'BS 3Q2022'!S50</f>
        <v>#REF!</v>
      </c>
      <c r="T50" s="279" t="e">
        <f>#REF!-'BS 3Q2022'!T50</f>
        <v>#REF!</v>
      </c>
      <c r="U50" s="279" t="e">
        <f>#REF!-'BS 3Q2022'!U50</f>
        <v>#REF!</v>
      </c>
      <c r="V50" s="279" t="e">
        <f>#REF!-'BS 3Q2022'!V50</f>
        <v>#REF!</v>
      </c>
      <c r="W50" s="31" t="e">
        <f>#REF!-'BS 3Q2022'!W50</f>
        <v>#REF!</v>
      </c>
      <c r="X50" s="279" t="e">
        <f>#REF!-'BS 3Q2022'!X50</f>
        <v>#REF!</v>
      </c>
      <c r="Y50" s="279" t="e">
        <f>#REF!-'BS 3Q2022'!Y50</f>
        <v>#REF!</v>
      </c>
      <c r="Z50" s="279" t="e">
        <f>#REF!-'BS 3Q2022'!Z50</f>
        <v>#REF!</v>
      </c>
      <c r="AA50" s="279" t="e">
        <f>#REF!-'BS 3Q2022'!AA50</f>
        <v>#REF!</v>
      </c>
      <c r="AB50" s="31" t="e">
        <f>#REF!-'BS 3Q2022'!AB50</f>
        <v>#REF!</v>
      </c>
      <c r="AC50" s="279" t="e">
        <f>#REF!-'BS 3Q2022'!AC50</f>
        <v>#REF!</v>
      </c>
      <c r="AD50" s="279" t="e">
        <f>#REF!-'BS 3Q2022'!AD50</f>
        <v>#REF!</v>
      </c>
      <c r="AE50" s="279" t="e">
        <f>#REF!-'BS 3Q2022'!AE50</f>
        <v>#REF!</v>
      </c>
      <c r="AF50" s="279" t="e">
        <f>#REF!-'BS 3Q2022'!AF50</f>
        <v>#REF!</v>
      </c>
      <c r="AG50" s="31" t="e">
        <f>#REF!-'BS 3Q2022'!AG50</f>
        <v>#REF!</v>
      </c>
      <c r="AH50" s="279" t="e">
        <f>#REF!-'BS 3Q2022'!AH50</f>
        <v>#REF!</v>
      </c>
      <c r="AI50" s="279" t="e">
        <f>#REF!-'BS 3Q2022'!AI50</f>
        <v>#REF!</v>
      </c>
      <c r="AJ50" s="279" t="e">
        <f>#REF!-'BS 3Q2022'!AJ50</f>
        <v>#REF!</v>
      </c>
      <c r="AK50" s="279" t="e">
        <f>#REF!-'BS 3Q2022'!AK50</f>
        <v>#REF!</v>
      </c>
      <c r="AL50" s="31" t="e">
        <f>#REF!-'BS 3Q2022'!AL50</f>
        <v>#REF!</v>
      </c>
      <c r="AM50" s="279" t="e">
        <f>#REF!-'BS 3Q2022'!AM50</f>
        <v>#REF!</v>
      </c>
      <c r="AN50" s="279" t="e">
        <f>#REF!-'BS 3Q2022'!AN50</f>
        <v>#REF!</v>
      </c>
      <c r="AO50" s="279" t="e">
        <f>#REF!-'BS 3Q2022'!AO50</f>
        <v>#REF!</v>
      </c>
      <c r="AP50" s="279" t="e">
        <f>#REF!-'BS 3Q2022'!AP50</f>
        <v>#REF!</v>
      </c>
      <c r="AQ50" s="31" t="e">
        <f>#REF!-'BS 3Q2022'!AQ50</f>
        <v>#REF!</v>
      </c>
      <c r="AR50" s="279" t="e">
        <f>#REF!-'BS 3Q2022'!AR50</f>
        <v>#REF!</v>
      </c>
      <c r="AS50" s="279" t="e">
        <f>#REF!-'BS 3Q2022'!AS50</f>
        <v>#REF!</v>
      </c>
      <c r="AT50" s="279" t="e">
        <f>#REF!-'BS 3Q2022'!AT50</f>
        <v>#REF!</v>
      </c>
      <c r="AU50" s="279" t="e">
        <f>#REF!-'BS 3Q2022'!AU50</f>
        <v>#REF!</v>
      </c>
      <c r="AV50" s="31" t="e">
        <f>#REF!-'BS 3Q2022'!AV50</f>
        <v>#REF!</v>
      </c>
    </row>
    <row r="51" spans="2:48" s="23" customFormat="1" outlineLevel="1" x14ac:dyDescent="0.3">
      <c r="B51" s="580" t="s">
        <v>254</v>
      </c>
      <c r="C51" s="581"/>
      <c r="D51" s="275" t="e">
        <f>#REF!-'BS 3Q2022'!D51</f>
        <v>#REF!</v>
      </c>
      <c r="E51" s="275" t="e">
        <f>#REF!-'BS 3Q2022'!E51</f>
        <v>#REF!</v>
      </c>
      <c r="F51" s="276" t="e">
        <f>#REF!-'BS 3Q2022'!F51</f>
        <v>#REF!</v>
      </c>
      <c r="G51" s="276" t="e">
        <f>#REF!-'BS 3Q2022'!G51</f>
        <v>#REF!</v>
      </c>
      <c r="H51" s="127" t="e">
        <f>#REF!-'BS 3Q2022'!H51</f>
        <v>#REF!</v>
      </c>
      <c r="I51" s="276" t="e">
        <f>#REF!-'BS 3Q2022'!I51</f>
        <v>#REF!</v>
      </c>
      <c r="J51" s="276" t="e">
        <f>#REF!-'BS 3Q2022'!J51</f>
        <v>#REF!</v>
      </c>
      <c r="K51" s="276" t="e">
        <f>#REF!-'BS 3Q2022'!K51</f>
        <v>#REF!</v>
      </c>
      <c r="L51" s="276" t="e">
        <f>#REF!-'BS 3Q2022'!L51</f>
        <v>#REF!</v>
      </c>
      <c r="M51" s="280" t="e">
        <f>#REF!-'BS 3Q2022'!M51</f>
        <v>#REF!</v>
      </c>
      <c r="N51" s="276" t="e">
        <f>#REF!-'BS 3Q2022'!N51</f>
        <v>#REF!</v>
      </c>
      <c r="O51" s="276" t="e">
        <f>#REF!-'BS 3Q2022'!O51</f>
        <v>#REF!</v>
      </c>
      <c r="P51" s="276" t="e">
        <f>#REF!-'BS 3Q2022'!P51</f>
        <v>#REF!</v>
      </c>
      <c r="Q51" s="276" t="e">
        <f>#REF!-'BS 3Q2022'!Q51</f>
        <v>#REF!</v>
      </c>
      <c r="R51" s="280" t="e">
        <f>#REF!-'BS 3Q2022'!R51</f>
        <v>#REF!</v>
      </c>
      <c r="S51" s="276" t="e">
        <f>#REF!-'BS 3Q2022'!S51</f>
        <v>#REF!</v>
      </c>
      <c r="T51" s="276" t="e">
        <f>#REF!-'BS 3Q2022'!T51</f>
        <v>#REF!</v>
      </c>
      <c r="U51" s="276" t="e">
        <f>#REF!-'BS 3Q2022'!U51</f>
        <v>#REF!</v>
      </c>
      <c r="V51" s="277" t="e">
        <f>#REF!-'BS 3Q2022'!V51</f>
        <v>#REF!</v>
      </c>
      <c r="W51" s="280" t="e">
        <f>#REF!-'BS 3Q2022'!W51</f>
        <v>#REF!</v>
      </c>
      <c r="X51" s="277" t="e">
        <f>#REF!-'BS 3Q2022'!X51</f>
        <v>#REF!</v>
      </c>
      <c r="Y51" s="277" t="e">
        <f>#REF!-'BS 3Q2022'!Y51</f>
        <v>#REF!</v>
      </c>
      <c r="Z51" s="277" t="e">
        <f>#REF!-'BS 3Q2022'!Z51</f>
        <v>#REF!</v>
      </c>
      <c r="AA51" s="277" t="e">
        <f>#REF!-'BS 3Q2022'!AA51</f>
        <v>#REF!</v>
      </c>
      <c r="AB51" s="31" t="e">
        <f>#REF!-'BS 3Q2022'!AB51</f>
        <v>#REF!</v>
      </c>
      <c r="AC51" s="277" t="e">
        <f>#REF!-'BS 3Q2022'!AC51</f>
        <v>#REF!</v>
      </c>
      <c r="AD51" s="277" t="e">
        <f>#REF!-'BS 3Q2022'!AD51</f>
        <v>#REF!</v>
      </c>
      <c r="AE51" s="277" t="e">
        <f>#REF!-'BS 3Q2022'!AE51</f>
        <v>#REF!</v>
      </c>
      <c r="AF51" s="277" t="e">
        <f>#REF!-'BS 3Q2022'!AF51</f>
        <v>#REF!</v>
      </c>
      <c r="AG51" s="31" t="e">
        <f>#REF!-'BS 3Q2022'!AG51</f>
        <v>#REF!</v>
      </c>
      <c r="AH51" s="277" t="e">
        <f>#REF!-'BS 3Q2022'!AH51</f>
        <v>#REF!</v>
      </c>
      <c r="AI51" s="277" t="e">
        <f>#REF!-'BS 3Q2022'!AI51</f>
        <v>#REF!</v>
      </c>
      <c r="AJ51" s="277" t="e">
        <f>#REF!-'BS 3Q2022'!AJ51</f>
        <v>#REF!</v>
      </c>
      <c r="AK51" s="277" t="e">
        <f>#REF!-'BS 3Q2022'!AK51</f>
        <v>#REF!</v>
      </c>
      <c r="AL51" s="31" t="e">
        <f>#REF!-'BS 3Q2022'!AL51</f>
        <v>#REF!</v>
      </c>
      <c r="AM51" s="277" t="e">
        <f>#REF!-'BS 3Q2022'!AM51</f>
        <v>#REF!</v>
      </c>
      <c r="AN51" s="277" t="e">
        <f>#REF!-'BS 3Q2022'!AN51</f>
        <v>#REF!</v>
      </c>
      <c r="AO51" s="277" t="e">
        <f>#REF!-'BS 3Q2022'!AO51</f>
        <v>#REF!</v>
      </c>
      <c r="AP51" s="277" t="e">
        <f>#REF!-'BS 3Q2022'!AP51</f>
        <v>#REF!</v>
      </c>
      <c r="AQ51" s="31" t="e">
        <f>#REF!-'BS 3Q2022'!AQ51</f>
        <v>#REF!</v>
      </c>
      <c r="AR51" s="277" t="e">
        <f>#REF!-'BS 3Q2022'!AR51</f>
        <v>#REF!</v>
      </c>
      <c r="AS51" s="277" t="e">
        <f>#REF!-'BS 3Q2022'!AS51</f>
        <v>#REF!</v>
      </c>
      <c r="AT51" s="277" t="e">
        <f>#REF!-'BS 3Q2022'!AT51</f>
        <v>#REF!</v>
      </c>
      <c r="AU51" s="277" t="e">
        <f>#REF!-'BS 3Q2022'!AU51</f>
        <v>#REF!</v>
      </c>
      <c r="AV51" s="31" t="e">
        <f>#REF!-'BS 3Q2022'!AV51</f>
        <v>#REF!</v>
      </c>
    </row>
    <row r="52" spans="2:48" s="23" customFormat="1" outlineLevel="1" x14ac:dyDescent="0.3">
      <c r="B52" s="607" t="s">
        <v>255</v>
      </c>
      <c r="C52" s="608"/>
      <c r="D52" s="16" t="e">
        <f>#REF!-'BS 3Q2022'!D52</f>
        <v>#REF!</v>
      </c>
      <c r="E52" s="16" t="e">
        <f>#REF!-'BS 3Q2022'!E52</f>
        <v>#REF!</v>
      </c>
      <c r="F52" s="101" t="e">
        <f>#REF!-'BS 3Q2022'!F52</f>
        <v>#REF!</v>
      </c>
      <c r="G52" s="101" t="e">
        <f>#REF!-'BS 3Q2022'!G52</f>
        <v>#REF!</v>
      </c>
      <c r="H52" s="128" t="e">
        <f>#REF!-'BS 3Q2022'!H52</f>
        <v>#REF!</v>
      </c>
      <c r="I52" s="101" t="e">
        <f>#REF!-'BS 3Q2022'!I52</f>
        <v>#REF!</v>
      </c>
      <c r="J52" s="101" t="e">
        <f>#REF!-'BS 3Q2022'!J52</f>
        <v>#REF!</v>
      </c>
      <c r="K52" s="101" t="e">
        <f>#REF!-'BS 3Q2022'!K52</f>
        <v>#REF!</v>
      </c>
      <c r="L52" s="16" t="e">
        <f>#REF!-'BS 3Q2022'!L52</f>
        <v>#REF!</v>
      </c>
      <c r="M52" s="28" t="e">
        <f>#REF!-'BS 3Q2022'!M52</f>
        <v>#REF!</v>
      </c>
      <c r="N52" s="16" t="e">
        <f>#REF!-'BS 3Q2022'!N52</f>
        <v>#REF!</v>
      </c>
      <c r="O52" s="16" t="e">
        <f>#REF!-'BS 3Q2022'!O52</f>
        <v>#REF!</v>
      </c>
      <c r="P52" s="16" t="e">
        <f>#REF!-'BS 3Q2022'!P52</f>
        <v>#REF!</v>
      </c>
      <c r="Q52" s="16" t="e">
        <f>#REF!-'BS 3Q2022'!Q52</f>
        <v>#REF!</v>
      </c>
      <c r="R52" s="28" t="e">
        <f>#REF!-'BS 3Q2022'!R52</f>
        <v>#REF!</v>
      </c>
      <c r="S52" s="16" t="e">
        <f>#REF!-'BS 3Q2022'!S52</f>
        <v>#REF!</v>
      </c>
      <c r="T52" s="16" t="e">
        <f>#REF!-'BS 3Q2022'!T52</f>
        <v>#REF!</v>
      </c>
      <c r="U52" s="16" t="e">
        <f>#REF!-'BS 3Q2022'!U52</f>
        <v>#REF!</v>
      </c>
      <c r="V52" s="16" t="e">
        <f>#REF!-'BS 3Q2022'!V52</f>
        <v>#REF!</v>
      </c>
      <c r="W52" s="28" t="e">
        <f>#REF!-'BS 3Q2022'!W52</f>
        <v>#REF!</v>
      </c>
      <c r="X52" s="16" t="e">
        <f>#REF!-'BS 3Q2022'!X52</f>
        <v>#REF!</v>
      </c>
      <c r="Y52" s="16" t="e">
        <f>#REF!-'BS 3Q2022'!Y52</f>
        <v>#REF!</v>
      </c>
      <c r="Z52" s="16" t="e">
        <f>#REF!-'BS 3Q2022'!Z52</f>
        <v>#REF!</v>
      </c>
      <c r="AA52" s="16" t="e">
        <f>#REF!-'BS 3Q2022'!AA52</f>
        <v>#REF!</v>
      </c>
      <c r="AB52" s="28" t="e">
        <f>#REF!-'BS 3Q2022'!AB52</f>
        <v>#REF!</v>
      </c>
      <c r="AC52" s="16" t="e">
        <f>#REF!-'BS 3Q2022'!AC52</f>
        <v>#REF!</v>
      </c>
      <c r="AD52" s="16" t="e">
        <f>#REF!-'BS 3Q2022'!AD52</f>
        <v>#REF!</v>
      </c>
      <c r="AE52" s="16" t="e">
        <f>#REF!-'BS 3Q2022'!AE52</f>
        <v>#REF!</v>
      </c>
      <c r="AF52" s="16" t="e">
        <f>#REF!-'BS 3Q2022'!AF52</f>
        <v>#REF!</v>
      </c>
      <c r="AG52" s="28" t="e">
        <f>#REF!-'BS 3Q2022'!AG52</f>
        <v>#REF!</v>
      </c>
      <c r="AH52" s="16" t="e">
        <f>#REF!-'BS 3Q2022'!AH52</f>
        <v>#REF!</v>
      </c>
      <c r="AI52" s="16" t="e">
        <f>#REF!-'BS 3Q2022'!AI52</f>
        <v>#REF!</v>
      </c>
      <c r="AJ52" s="16" t="e">
        <f>#REF!-'BS 3Q2022'!AJ52</f>
        <v>#REF!</v>
      </c>
      <c r="AK52" s="16" t="e">
        <f>#REF!-'BS 3Q2022'!AK52</f>
        <v>#REF!</v>
      </c>
      <c r="AL52" s="28" t="e">
        <f>#REF!-'BS 3Q2022'!AL52</f>
        <v>#REF!</v>
      </c>
      <c r="AM52" s="16" t="e">
        <f>#REF!-'BS 3Q2022'!AM52</f>
        <v>#REF!</v>
      </c>
      <c r="AN52" s="16" t="e">
        <f>#REF!-'BS 3Q2022'!AN52</f>
        <v>#REF!</v>
      </c>
      <c r="AO52" s="16" t="e">
        <f>#REF!-'BS 3Q2022'!AO52</f>
        <v>#REF!</v>
      </c>
      <c r="AP52" s="16" t="e">
        <f>#REF!-'BS 3Q2022'!AP52</f>
        <v>#REF!</v>
      </c>
      <c r="AQ52" s="28" t="e">
        <f>#REF!-'BS 3Q2022'!AQ52</f>
        <v>#REF!</v>
      </c>
      <c r="AR52" s="16" t="e">
        <f>#REF!-'BS 3Q2022'!AR52</f>
        <v>#REF!</v>
      </c>
      <c r="AS52" s="16" t="e">
        <f>#REF!-'BS 3Q2022'!AS52</f>
        <v>#REF!</v>
      </c>
      <c r="AT52" s="16" t="e">
        <f>#REF!-'BS 3Q2022'!AT52</f>
        <v>#REF!</v>
      </c>
      <c r="AU52" s="16" t="e">
        <f>#REF!-'BS 3Q2022'!AU52</f>
        <v>#REF!</v>
      </c>
      <c r="AV52" s="28" t="e">
        <f>#REF!-'BS 3Q2022'!AV52</f>
        <v>#REF!</v>
      </c>
    </row>
    <row r="53" spans="2:48" s="23" customFormat="1" outlineLevel="1" x14ac:dyDescent="0.3">
      <c r="B53" s="580" t="s">
        <v>256</v>
      </c>
      <c r="C53" s="581"/>
      <c r="D53" s="30" t="e">
        <f>#REF!-'BS 3Q2022'!D53</f>
        <v>#REF!</v>
      </c>
      <c r="E53" s="30" t="e">
        <f>#REF!-'BS 3Q2022'!E53</f>
        <v>#REF!</v>
      </c>
      <c r="F53" s="118" t="e">
        <f>#REF!-'BS 3Q2022'!F53</f>
        <v>#REF!</v>
      </c>
      <c r="G53" s="118" t="e">
        <f>#REF!-'BS 3Q2022'!G53</f>
        <v>#REF!</v>
      </c>
      <c r="H53" s="128" t="e">
        <f>#REF!-'BS 3Q2022'!H53</f>
        <v>#REF!</v>
      </c>
      <c r="I53" s="118" t="e">
        <f>#REF!-'BS 3Q2022'!I53</f>
        <v>#REF!</v>
      </c>
      <c r="J53" s="118" t="e">
        <f>#REF!-'BS 3Q2022'!J53</f>
        <v>#REF!</v>
      </c>
      <c r="K53" s="118" t="e">
        <f>#REF!-'BS 3Q2022'!K53</f>
        <v>#REF!</v>
      </c>
      <c r="L53" s="118" t="e">
        <f>#REF!-'BS 3Q2022'!L53</f>
        <v>#REF!</v>
      </c>
      <c r="M53" s="28" t="e">
        <f>#REF!-'BS 3Q2022'!M53</f>
        <v>#REF!</v>
      </c>
      <c r="N53" s="118" t="e">
        <f>#REF!-'BS 3Q2022'!N53</f>
        <v>#REF!</v>
      </c>
      <c r="O53" s="118" t="e">
        <f>#REF!-'BS 3Q2022'!O53</f>
        <v>#REF!</v>
      </c>
      <c r="P53" s="118" t="e">
        <f>#REF!-'BS 3Q2022'!P53</f>
        <v>#REF!</v>
      </c>
      <c r="Q53" s="118" t="e">
        <f>#REF!-'BS 3Q2022'!Q53</f>
        <v>#REF!</v>
      </c>
      <c r="R53" s="28" t="e">
        <f>#REF!-'BS 3Q2022'!R53</f>
        <v>#REF!</v>
      </c>
      <c r="S53" s="118" t="e">
        <f>#REF!-'BS 3Q2022'!S53</f>
        <v>#REF!</v>
      </c>
      <c r="T53" s="118" t="e">
        <f>#REF!-'BS 3Q2022'!T53</f>
        <v>#REF!</v>
      </c>
      <c r="U53" s="118" t="e">
        <f>#REF!-'BS 3Q2022'!U53</f>
        <v>#REF!</v>
      </c>
      <c r="V53" s="34" t="e">
        <f>#REF!-'BS 3Q2022'!V53</f>
        <v>#REF!</v>
      </c>
      <c r="W53" s="28" t="e">
        <f>#REF!-'BS 3Q2022'!W53</f>
        <v>#REF!</v>
      </c>
      <c r="X53" s="34" t="e">
        <f>#REF!-'BS 3Q2022'!X53</f>
        <v>#REF!</v>
      </c>
      <c r="Y53" s="34" t="e">
        <f>#REF!-'BS 3Q2022'!Y53</f>
        <v>#REF!</v>
      </c>
      <c r="Z53" s="34" t="e">
        <f>#REF!-'BS 3Q2022'!Z53</f>
        <v>#REF!</v>
      </c>
      <c r="AA53" s="34" t="e">
        <f>#REF!-'BS 3Q2022'!AA53</f>
        <v>#REF!</v>
      </c>
      <c r="AB53" s="28" t="e">
        <f>#REF!-'BS 3Q2022'!AB53</f>
        <v>#REF!</v>
      </c>
      <c r="AC53" s="34" t="e">
        <f>#REF!-'BS 3Q2022'!AC53</f>
        <v>#REF!</v>
      </c>
      <c r="AD53" s="34" t="e">
        <f>#REF!-'BS 3Q2022'!AD53</f>
        <v>#REF!</v>
      </c>
      <c r="AE53" s="34" t="e">
        <f>#REF!-'BS 3Q2022'!AE53</f>
        <v>#REF!</v>
      </c>
      <c r="AF53" s="34" t="e">
        <f>#REF!-'BS 3Q2022'!AF53</f>
        <v>#REF!</v>
      </c>
      <c r="AG53" s="28" t="e">
        <f>#REF!-'BS 3Q2022'!AG53</f>
        <v>#REF!</v>
      </c>
      <c r="AH53" s="34" t="e">
        <f>#REF!-'BS 3Q2022'!AH53</f>
        <v>#REF!</v>
      </c>
      <c r="AI53" s="34" t="e">
        <f>#REF!-'BS 3Q2022'!AI53</f>
        <v>#REF!</v>
      </c>
      <c r="AJ53" s="34" t="e">
        <f>#REF!-'BS 3Q2022'!AJ53</f>
        <v>#REF!</v>
      </c>
      <c r="AK53" s="34" t="e">
        <f>#REF!-'BS 3Q2022'!AK53</f>
        <v>#REF!</v>
      </c>
      <c r="AL53" s="28" t="e">
        <f>#REF!-'BS 3Q2022'!AL53</f>
        <v>#REF!</v>
      </c>
      <c r="AM53" s="34" t="e">
        <f>#REF!-'BS 3Q2022'!AM53</f>
        <v>#REF!</v>
      </c>
      <c r="AN53" s="34" t="e">
        <f>#REF!-'BS 3Q2022'!AN53</f>
        <v>#REF!</v>
      </c>
      <c r="AO53" s="34" t="e">
        <f>#REF!-'BS 3Q2022'!AO53</f>
        <v>#REF!</v>
      </c>
      <c r="AP53" s="34" t="e">
        <f>#REF!-'BS 3Q2022'!AP53</f>
        <v>#REF!</v>
      </c>
      <c r="AQ53" s="28" t="e">
        <f>#REF!-'BS 3Q2022'!AQ53</f>
        <v>#REF!</v>
      </c>
      <c r="AR53" s="34" t="e">
        <f>#REF!-'BS 3Q2022'!AR53</f>
        <v>#REF!</v>
      </c>
      <c r="AS53" s="34" t="e">
        <f>#REF!-'BS 3Q2022'!AS53</f>
        <v>#REF!</v>
      </c>
      <c r="AT53" s="34" t="e">
        <f>#REF!-'BS 3Q2022'!AT53</f>
        <v>#REF!</v>
      </c>
      <c r="AU53" s="34" t="e">
        <f>#REF!-'BS 3Q2022'!AU53</f>
        <v>#REF!</v>
      </c>
      <c r="AV53" s="28" t="e">
        <f>#REF!-'BS 3Q2022'!AV53</f>
        <v>#REF!</v>
      </c>
    </row>
    <row r="54" spans="2:48" s="23" customFormat="1" outlineLevel="1" x14ac:dyDescent="0.3">
      <c r="B54" s="180" t="s">
        <v>257</v>
      </c>
      <c r="C54" s="201"/>
      <c r="D54" s="30" t="e">
        <f>#REF!-'BS 3Q2022'!D54</f>
        <v>#REF!</v>
      </c>
      <c r="E54" s="30" t="e">
        <f>#REF!-'BS 3Q2022'!E54</f>
        <v>#REF!</v>
      </c>
      <c r="F54" s="118" t="e">
        <f>#REF!-'BS 3Q2022'!F54</f>
        <v>#REF!</v>
      </c>
      <c r="G54" s="118" t="e">
        <f>#REF!-'BS 3Q2022'!G54</f>
        <v>#REF!</v>
      </c>
      <c r="H54" s="128" t="e">
        <f>#REF!-'BS 3Q2022'!H54</f>
        <v>#REF!</v>
      </c>
      <c r="I54" s="118" t="e">
        <f>#REF!-'BS 3Q2022'!I54</f>
        <v>#REF!</v>
      </c>
      <c r="J54" s="118" t="e">
        <f>#REF!-'BS 3Q2022'!J54</f>
        <v>#REF!</v>
      </c>
      <c r="K54" s="118" t="e">
        <f>#REF!-'BS 3Q2022'!K54</f>
        <v>#REF!</v>
      </c>
      <c r="L54" s="118" t="e">
        <f>#REF!-'BS 3Q2022'!L54</f>
        <v>#REF!</v>
      </c>
      <c r="M54" s="28" t="e">
        <f>#REF!-'BS 3Q2022'!M54</f>
        <v>#REF!</v>
      </c>
      <c r="N54" s="118" t="e">
        <f>#REF!-'BS 3Q2022'!N54</f>
        <v>#REF!</v>
      </c>
      <c r="O54" s="118" t="e">
        <f>#REF!-'BS 3Q2022'!O54</f>
        <v>#REF!</v>
      </c>
      <c r="P54" s="118" t="e">
        <f>#REF!-'BS 3Q2022'!P54</f>
        <v>#REF!</v>
      </c>
      <c r="Q54" s="118" t="e">
        <f>#REF!-'BS 3Q2022'!Q54</f>
        <v>#REF!</v>
      </c>
      <c r="R54" s="28" t="e">
        <f>#REF!-'BS 3Q2022'!R54</f>
        <v>#REF!</v>
      </c>
      <c r="S54" s="118" t="e">
        <f>#REF!-'BS 3Q2022'!S54</f>
        <v>#REF!</v>
      </c>
      <c r="T54" s="118" t="e">
        <f>#REF!-'BS 3Q2022'!T54</f>
        <v>#REF!</v>
      </c>
      <c r="U54" s="118" t="e">
        <f>#REF!-'BS 3Q2022'!U54</f>
        <v>#REF!</v>
      </c>
      <c r="V54" s="34" t="e">
        <f>#REF!-'BS 3Q2022'!V54</f>
        <v>#REF!</v>
      </c>
      <c r="W54" s="28" t="e">
        <f>#REF!-'BS 3Q2022'!W54</f>
        <v>#REF!</v>
      </c>
      <c r="X54" s="34" t="e">
        <f>#REF!-'BS 3Q2022'!X54</f>
        <v>#REF!</v>
      </c>
      <c r="Y54" s="34" t="e">
        <f>#REF!-'BS 3Q2022'!Y54</f>
        <v>#REF!</v>
      </c>
      <c r="Z54" s="34" t="e">
        <f>#REF!-'BS 3Q2022'!Z54</f>
        <v>#REF!</v>
      </c>
      <c r="AA54" s="34" t="e">
        <f>#REF!-'BS 3Q2022'!AA54</f>
        <v>#REF!</v>
      </c>
      <c r="AB54" s="28" t="e">
        <f>#REF!-'BS 3Q2022'!AB54</f>
        <v>#REF!</v>
      </c>
      <c r="AC54" s="34" t="e">
        <f>#REF!-'BS 3Q2022'!AC54</f>
        <v>#REF!</v>
      </c>
      <c r="AD54" s="34" t="e">
        <f>#REF!-'BS 3Q2022'!AD54</f>
        <v>#REF!</v>
      </c>
      <c r="AE54" s="34" t="e">
        <f>#REF!-'BS 3Q2022'!AE54</f>
        <v>#REF!</v>
      </c>
      <c r="AF54" s="34" t="e">
        <f>#REF!-'BS 3Q2022'!AF54</f>
        <v>#REF!</v>
      </c>
      <c r="AG54" s="28" t="e">
        <f>#REF!-'BS 3Q2022'!AG54</f>
        <v>#REF!</v>
      </c>
      <c r="AH54" s="34" t="e">
        <f>#REF!-'BS 3Q2022'!AH54</f>
        <v>#REF!</v>
      </c>
      <c r="AI54" s="34" t="e">
        <f>#REF!-'BS 3Q2022'!AI54</f>
        <v>#REF!</v>
      </c>
      <c r="AJ54" s="34" t="e">
        <f>#REF!-'BS 3Q2022'!AJ54</f>
        <v>#REF!</v>
      </c>
      <c r="AK54" s="34" t="e">
        <f>#REF!-'BS 3Q2022'!AK54</f>
        <v>#REF!</v>
      </c>
      <c r="AL54" s="28" t="e">
        <f>#REF!-'BS 3Q2022'!AL54</f>
        <v>#REF!</v>
      </c>
      <c r="AM54" s="34" t="e">
        <f>#REF!-'BS 3Q2022'!AM54</f>
        <v>#REF!</v>
      </c>
      <c r="AN54" s="34" t="e">
        <f>#REF!-'BS 3Q2022'!AN54</f>
        <v>#REF!</v>
      </c>
      <c r="AO54" s="34" t="e">
        <f>#REF!-'BS 3Q2022'!AO54</f>
        <v>#REF!</v>
      </c>
      <c r="AP54" s="34" t="e">
        <f>#REF!-'BS 3Q2022'!AP54</f>
        <v>#REF!</v>
      </c>
      <c r="AQ54" s="28" t="e">
        <f>#REF!-'BS 3Q2022'!AQ54</f>
        <v>#REF!</v>
      </c>
      <c r="AR54" s="34" t="e">
        <f>#REF!-'BS 3Q2022'!AR54</f>
        <v>#REF!</v>
      </c>
      <c r="AS54" s="34" t="e">
        <f>#REF!-'BS 3Q2022'!AS54</f>
        <v>#REF!</v>
      </c>
      <c r="AT54" s="34" t="e">
        <f>#REF!-'BS 3Q2022'!AT54</f>
        <v>#REF!</v>
      </c>
      <c r="AU54" s="34" t="e">
        <f>#REF!-'BS 3Q2022'!AU54</f>
        <v>#REF!</v>
      </c>
      <c r="AV54" s="28" t="e">
        <f>#REF!-'BS 3Q2022'!AV54</f>
        <v>#REF!</v>
      </c>
    </row>
    <row r="55" spans="2:48" s="23" customFormat="1" outlineLevel="1" x14ac:dyDescent="0.3">
      <c r="B55" s="200" t="s">
        <v>258</v>
      </c>
      <c r="C55" s="201"/>
      <c r="D55" s="30" t="e">
        <f>#REF!-'BS 3Q2022'!D55</f>
        <v>#REF!</v>
      </c>
      <c r="E55" s="30" t="e">
        <f>#REF!-'BS 3Q2022'!E55</f>
        <v>#REF!</v>
      </c>
      <c r="F55" s="113" t="e">
        <f>#REF!-'BS 3Q2022'!F55</f>
        <v>#REF!</v>
      </c>
      <c r="G55" s="113" t="e">
        <f>#REF!-'BS 3Q2022'!G55</f>
        <v>#REF!</v>
      </c>
      <c r="H55" s="125" t="e">
        <f>#REF!-'BS 3Q2022'!H55</f>
        <v>#REF!</v>
      </c>
      <c r="I55" s="281" t="e">
        <f>#REF!-'BS 3Q2022'!I55</f>
        <v>#REF!</v>
      </c>
      <c r="J55" s="281" t="e">
        <f>#REF!-'BS 3Q2022'!J55</f>
        <v>#REF!</v>
      </c>
      <c r="K55" s="113" t="e">
        <f>#REF!-'BS 3Q2022'!K55</f>
        <v>#REF!</v>
      </c>
      <c r="L55" s="113" t="e">
        <f>#REF!-'BS 3Q2022'!L55</f>
        <v>#REF!</v>
      </c>
      <c r="M55" s="282" t="e">
        <f>#REF!-'BS 3Q2022'!M55</f>
        <v>#REF!</v>
      </c>
      <c r="N55" s="281" t="e">
        <f>#REF!-'BS 3Q2022'!N55</f>
        <v>#REF!</v>
      </c>
      <c r="O55" s="281" t="e">
        <f>#REF!-'BS 3Q2022'!O55</f>
        <v>#REF!</v>
      </c>
      <c r="P55" s="113" t="e">
        <f>#REF!-'BS 3Q2022'!P55</f>
        <v>#REF!</v>
      </c>
      <c r="Q55" s="113" t="e">
        <f>#REF!-'BS 3Q2022'!Q55</f>
        <v>#REF!</v>
      </c>
      <c r="R55" s="282" t="e">
        <f>#REF!-'BS 3Q2022'!R55</f>
        <v>#REF!</v>
      </c>
      <c r="S55" s="281" t="e">
        <f>#REF!-'BS 3Q2022'!S55</f>
        <v>#REF!</v>
      </c>
      <c r="T55" s="281" t="e">
        <f>#REF!-'BS 3Q2022'!T55</f>
        <v>#REF!</v>
      </c>
      <c r="U55" s="281" t="e">
        <f>#REF!-'BS 3Q2022'!U55</f>
        <v>#REF!</v>
      </c>
      <c r="V55" s="35" t="e">
        <f>#REF!-'BS 3Q2022'!V55</f>
        <v>#REF!</v>
      </c>
      <c r="W55" s="282" t="e">
        <f>#REF!-'BS 3Q2022'!W55</f>
        <v>#REF!</v>
      </c>
      <c r="X55" s="283" t="e">
        <f>#REF!-'BS 3Q2022'!X55</f>
        <v>#REF!</v>
      </c>
      <c r="Y55" s="283" t="e">
        <f>#REF!-'BS 3Q2022'!Y55</f>
        <v>#REF!</v>
      </c>
      <c r="Z55" s="35" t="e">
        <f>#REF!-'BS 3Q2022'!Z55</f>
        <v>#REF!</v>
      </c>
      <c r="AA55" s="284" t="e">
        <f>#REF!-'BS 3Q2022'!AA55</f>
        <v>#REF!</v>
      </c>
      <c r="AB55" s="28" t="e">
        <f>#REF!-'BS 3Q2022'!AB55</f>
        <v>#REF!</v>
      </c>
      <c r="AC55" s="283" t="e">
        <f>#REF!-'BS 3Q2022'!AC55</f>
        <v>#REF!</v>
      </c>
      <c r="AD55" s="283" t="e">
        <f>#REF!-'BS 3Q2022'!AD55</f>
        <v>#REF!</v>
      </c>
      <c r="AE55" s="35" t="e">
        <f>#REF!-'BS 3Q2022'!AE55</f>
        <v>#REF!</v>
      </c>
      <c r="AF55" s="284" t="e">
        <f>#REF!-'BS 3Q2022'!AF55</f>
        <v>#REF!</v>
      </c>
      <c r="AG55" s="28" t="e">
        <f>#REF!-'BS 3Q2022'!AG55</f>
        <v>#REF!</v>
      </c>
      <c r="AH55" s="283" t="e">
        <f>#REF!-'BS 3Q2022'!AH55</f>
        <v>#REF!</v>
      </c>
      <c r="AI55" s="283" t="e">
        <f>#REF!-'BS 3Q2022'!AI55</f>
        <v>#REF!</v>
      </c>
      <c r="AJ55" s="35" t="e">
        <f>#REF!-'BS 3Q2022'!AJ55</f>
        <v>#REF!</v>
      </c>
      <c r="AK55" s="284" t="e">
        <f>#REF!-'BS 3Q2022'!AK55</f>
        <v>#REF!</v>
      </c>
      <c r="AL55" s="28" t="e">
        <f>#REF!-'BS 3Q2022'!AL55</f>
        <v>#REF!</v>
      </c>
      <c r="AM55" s="283" t="e">
        <f>#REF!-'BS 3Q2022'!AM55</f>
        <v>#REF!</v>
      </c>
      <c r="AN55" s="283" t="e">
        <f>#REF!-'BS 3Q2022'!AN55</f>
        <v>#REF!</v>
      </c>
      <c r="AO55" s="35" t="e">
        <f>#REF!-'BS 3Q2022'!AO55</f>
        <v>#REF!</v>
      </c>
      <c r="AP55" s="284" t="e">
        <f>#REF!-'BS 3Q2022'!AP55</f>
        <v>#REF!</v>
      </c>
      <c r="AQ55" s="28" t="e">
        <f>#REF!-'BS 3Q2022'!AQ55</f>
        <v>#REF!</v>
      </c>
      <c r="AR55" s="283" t="e">
        <f>#REF!-'BS 3Q2022'!AR55</f>
        <v>#REF!</v>
      </c>
      <c r="AS55" s="283" t="e">
        <f>#REF!-'BS 3Q2022'!AS55</f>
        <v>#REF!</v>
      </c>
      <c r="AT55" s="35" t="e">
        <f>#REF!-'BS 3Q2022'!AT55</f>
        <v>#REF!</v>
      </c>
      <c r="AU55" s="284" t="e">
        <f>#REF!-'BS 3Q2022'!AU55</f>
        <v>#REF!</v>
      </c>
      <c r="AV55" s="28" t="e">
        <f>#REF!-'BS 3Q2022'!AV55</f>
        <v>#REF!</v>
      </c>
    </row>
    <row r="56" spans="2:48" outlineLevel="1" x14ac:dyDescent="0.3">
      <c r="B56" s="200" t="s">
        <v>259</v>
      </c>
      <c r="C56" s="201"/>
      <c r="D56" s="285" t="e">
        <f>#REF!-'BS 3Q2022'!D56</f>
        <v>#REF!</v>
      </c>
      <c r="E56" s="285" t="e">
        <f>#REF!-'BS 3Q2022'!E56</f>
        <v>#REF!</v>
      </c>
      <c r="F56" s="286" t="e">
        <f>#REF!-'BS 3Q2022'!F56</f>
        <v>#REF!</v>
      </c>
      <c r="G56" s="286" t="e">
        <f>#REF!-'BS 3Q2022'!G56</f>
        <v>#REF!</v>
      </c>
      <c r="H56" s="125" t="e">
        <f>#REF!-'BS 3Q2022'!H56</f>
        <v>#REF!</v>
      </c>
      <c r="I56" s="287" t="e">
        <f>#REF!-'BS 3Q2022'!I56</f>
        <v>#REF!</v>
      </c>
      <c r="J56" s="287" t="e">
        <f>#REF!-'BS 3Q2022'!J56</f>
        <v>#REF!</v>
      </c>
      <c r="K56" s="286" t="e">
        <f>#REF!-'BS 3Q2022'!K56</f>
        <v>#REF!</v>
      </c>
      <c r="L56" s="286" t="e">
        <f>#REF!-'BS 3Q2022'!L56</f>
        <v>#REF!</v>
      </c>
      <c r="M56" s="282" t="e">
        <f>#REF!-'BS 3Q2022'!M56</f>
        <v>#REF!</v>
      </c>
      <c r="N56" s="287" t="e">
        <f>#REF!-'BS 3Q2022'!N56</f>
        <v>#REF!</v>
      </c>
      <c r="O56" s="287" t="e">
        <f>#REF!-'BS 3Q2022'!O56</f>
        <v>#REF!</v>
      </c>
      <c r="P56" s="286" t="e">
        <f>#REF!-'BS 3Q2022'!P56</f>
        <v>#REF!</v>
      </c>
      <c r="Q56" s="286" t="e">
        <f>#REF!-'BS 3Q2022'!Q56</f>
        <v>#REF!</v>
      </c>
      <c r="R56" s="282" t="e">
        <f>#REF!-'BS 3Q2022'!R56</f>
        <v>#REF!</v>
      </c>
      <c r="S56" s="287" t="e">
        <f>#REF!-'BS 3Q2022'!S56</f>
        <v>#REF!</v>
      </c>
      <c r="T56" s="287" t="e">
        <f>#REF!-'BS 3Q2022'!T56</f>
        <v>#REF!</v>
      </c>
      <c r="U56" s="287" t="e">
        <f>#REF!-'BS 3Q2022'!U56</f>
        <v>#REF!</v>
      </c>
      <c r="V56" s="288" t="e">
        <f>#REF!-'BS 3Q2022'!V56</f>
        <v>#REF!</v>
      </c>
      <c r="W56" s="282" t="e">
        <f>#REF!-'BS 3Q2022'!W56</f>
        <v>#REF!</v>
      </c>
      <c r="X56" s="289" t="e">
        <f>#REF!-'BS 3Q2022'!X56</f>
        <v>#REF!</v>
      </c>
      <c r="Y56" s="289" t="e">
        <f>#REF!-'BS 3Q2022'!Y56</f>
        <v>#REF!</v>
      </c>
      <c r="Z56" s="288" t="e">
        <f>#REF!-'BS 3Q2022'!Z56</f>
        <v>#REF!</v>
      </c>
      <c r="AA56" s="288" t="e">
        <f>#REF!-'BS 3Q2022'!AA56</f>
        <v>#REF!</v>
      </c>
      <c r="AB56" s="290" t="e">
        <f>#REF!-'BS 3Q2022'!AB56</f>
        <v>#REF!</v>
      </c>
      <c r="AC56" s="289" t="e">
        <f>#REF!-'BS 3Q2022'!AC56</f>
        <v>#REF!</v>
      </c>
      <c r="AD56" s="289" t="e">
        <f>#REF!-'BS 3Q2022'!AD56</f>
        <v>#REF!</v>
      </c>
      <c r="AE56" s="288" t="e">
        <f>#REF!-'BS 3Q2022'!AE56</f>
        <v>#REF!</v>
      </c>
      <c r="AF56" s="288" t="e">
        <f>#REF!-'BS 3Q2022'!AF56</f>
        <v>#REF!</v>
      </c>
      <c r="AG56" s="290" t="e">
        <f>#REF!-'BS 3Q2022'!AG56</f>
        <v>#REF!</v>
      </c>
      <c r="AH56" s="289" t="e">
        <f>#REF!-'BS 3Q2022'!AH56</f>
        <v>#REF!</v>
      </c>
      <c r="AI56" s="289" t="e">
        <f>#REF!-'BS 3Q2022'!AI56</f>
        <v>#REF!</v>
      </c>
      <c r="AJ56" s="288" t="e">
        <f>#REF!-'BS 3Q2022'!AJ56</f>
        <v>#REF!</v>
      </c>
      <c r="AK56" s="288" t="e">
        <f>#REF!-'BS 3Q2022'!AK56</f>
        <v>#REF!</v>
      </c>
      <c r="AL56" s="290" t="e">
        <f>#REF!-'BS 3Q2022'!AL56</f>
        <v>#REF!</v>
      </c>
      <c r="AM56" s="289" t="e">
        <f>#REF!-'BS 3Q2022'!AM56</f>
        <v>#REF!</v>
      </c>
      <c r="AN56" s="289" t="e">
        <f>#REF!-'BS 3Q2022'!AN56</f>
        <v>#REF!</v>
      </c>
      <c r="AO56" s="288" t="e">
        <f>#REF!-'BS 3Q2022'!AO56</f>
        <v>#REF!</v>
      </c>
      <c r="AP56" s="288" t="e">
        <f>#REF!-'BS 3Q2022'!AP56</f>
        <v>#REF!</v>
      </c>
      <c r="AQ56" s="290" t="e">
        <f>#REF!-'BS 3Q2022'!AQ56</f>
        <v>#REF!</v>
      </c>
      <c r="AR56" s="289" t="e">
        <f>#REF!-'BS 3Q2022'!AR56</f>
        <v>#REF!</v>
      </c>
      <c r="AS56" s="289" t="e">
        <f>#REF!-'BS 3Q2022'!AS56</f>
        <v>#REF!</v>
      </c>
      <c r="AT56" s="288" t="e">
        <f>#REF!-'BS 3Q2022'!AT56</f>
        <v>#REF!</v>
      </c>
      <c r="AU56" s="288" t="e">
        <f>#REF!-'BS 3Q2022'!AU56</f>
        <v>#REF!</v>
      </c>
      <c r="AV56" s="290" t="e">
        <f>#REF!-'BS 3Q2022'!AV56</f>
        <v>#REF!</v>
      </c>
    </row>
    <row r="57" spans="2:48" outlineLevel="1" x14ac:dyDescent="0.3">
      <c r="B57" s="200"/>
      <c r="C57" s="201"/>
      <c r="D57" s="285" t="e">
        <f>#REF!-'BS 3Q2022'!D57</f>
        <v>#REF!</v>
      </c>
      <c r="E57" s="285" t="e">
        <f>#REF!-'BS 3Q2022'!E57</f>
        <v>#REF!</v>
      </c>
      <c r="F57" s="286" t="e">
        <f>#REF!-'BS 3Q2022'!F57</f>
        <v>#REF!</v>
      </c>
      <c r="G57" s="286" t="e">
        <f>#REF!-'BS 3Q2022'!G57</f>
        <v>#REF!</v>
      </c>
      <c r="H57" s="125" t="e">
        <f>#REF!-'BS 3Q2022'!H57</f>
        <v>#REF!</v>
      </c>
      <c r="I57" s="287" t="e">
        <f>#REF!-'BS 3Q2022'!I57</f>
        <v>#REF!</v>
      </c>
      <c r="J57" s="287" t="e">
        <f>#REF!-'BS 3Q2022'!J57</f>
        <v>#REF!</v>
      </c>
      <c r="K57" s="286" t="e">
        <f>#REF!-'BS 3Q2022'!K57</f>
        <v>#REF!</v>
      </c>
      <c r="L57" s="286" t="e">
        <f>#REF!-'BS 3Q2022'!L57</f>
        <v>#REF!</v>
      </c>
      <c r="M57" s="282" t="e">
        <f>#REF!-'BS 3Q2022'!M57</f>
        <v>#REF!</v>
      </c>
      <c r="N57" s="287" t="e">
        <f>#REF!-'BS 3Q2022'!N57</f>
        <v>#REF!</v>
      </c>
      <c r="O57" s="287" t="e">
        <f>#REF!-'BS 3Q2022'!O57</f>
        <v>#REF!</v>
      </c>
      <c r="P57" s="286" t="e">
        <f>#REF!-'BS 3Q2022'!P57</f>
        <v>#REF!</v>
      </c>
      <c r="Q57" s="286" t="e">
        <f>#REF!-'BS 3Q2022'!Q57</f>
        <v>#REF!</v>
      </c>
      <c r="R57" s="282" t="e">
        <f>#REF!-'BS 3Q2022'!R57</f>
        <v>#REF!</v>
      </c>
      <c r="S57" s="287" t="e">
        <f>#REF!-'BS 3Q2022'!S57</f>
        <v>#REF!</v>
      </c>
      <c r="T57" s="287" t="e">
        <f>#REF!-'BS 3Q2022'!T57</f>
        <v>#REF!</v>
      </c>
      <c r="U57" s="287" t="e">
        <f>#REF!-'BS 3Q2022'!U57</f>
        <v>#REF!</v>
      </c>
      <c r="V57" s="288" t="e">
        <f>#REF!-'BS 3Q2022'!V57</f>
        <v>#REF!</v>
      </c>
      <c r="W57" s="282" t="e">
        <f>#REF!-'BS 3Q2022'!W57</f>
        <v>#REF!</v>
      </c>
      <c r="X57" s="289" t="e">
        <f>#REF!-'BS 3Q2022'!X57</f>
        <v>#REF!</v>
      </c>
      <c r="Y57" s="289" t="e">
        <f>#REF!-'BS 3Q2022'!Y57</f>
        <v>#REF!</v>
      </c>
      <c r="Z57" s="288" t="e">
        <f>#REF!-'BS 3Q2022'!Z57</f>
        <v>#REF!</v>
      </c>
      <c r="AA57" s="288" t="e">
        <f>#REF!-'BS 3Q2022'!AA57</f>
        <v>#REF!</v>
      </c>
      <c r="AB57" s="290" t="e">
        <f>#REF!-'BS 3Q2022'!AB57</f>
        <v>#REF!</v>
      </c>
      <c r="AC57" s="289" t="e">
        <f>#REF!-'BS 3Q2022'!AC57</f>
        <v>#REF!</v>
      </c>
      <c r="AD57" s="289" t="e">
        <f>#REF!-'BS 3Q2022'!AD57</f>
        <v>#REF!</v>
      </c>
      <c r="AE57" s="288" t="e">
        <f>#REF!-'BS 3Q2022'!AE57</f>
        <v>#REF!</v>
      </c>
      <c r="AF57" s="288" t="e">
        <f>#REF!-'BS 3Q2022'!AF57</f>
        <v>#REF!</v>
      </c>
      <c r="AG57" s="290" t="e">
        <f>#REF!-'BS 3Q2022'!AG57</f>
        <v>#REF!</v>
      </c>
      <c r="AH57" s="289" t="e">
        <f>#REF!-'BS 3Q2022'!AH57</f>
        <v>#REF!</v>
      </c>
      <c r="AI57" s="289" t="e">
        <f>#REF!-'BS 3Q2022'!AI57</f>
        <v>#REF!</v>
      </c>
      <c r="AJ57" s="288" t="e">
        <f>#REF!-'BS 3Q2022'!AJ57</f>
        <v>#REF!</v>
      </c>
      <c r="AK57" s="288" t="e">
        <f>#REF!-'BS 3Q2022'!AK57</f>
        <v>#REF!</v>
      </c>
      <c r="AL57" s="290" t="e">
        <f>#REF!-'BS 3Q2022'!AL57</f>
        <v>#REF!</v>
      </c>
      <c r="AM57" s="289" t="e">
        <f>#REF!-'BS 3Q2022'!AM57</f>
        <v>#REF!</v>
      </c>
      <c r="AN57" s="289" t="e">
        <f>#REF!-'BS 3Q2022'!AN57</f>
        <v>#REF!</v>
      </c>
      <c r="AO57" s="288" t="e">
        <f>#REF!-'BS 3Q2022'!AO57</f>
        <v>#REF!</v>
      </c>
      <c r="AP57" s="288" t="e">
        <f>#REF!-'BS 3Q2022'!AP57</f>
        <v>#REF!</v>
      </c>
      <c r="AQ57" s="290" t="e">
        <f>#REF!-'BS 3Q2022'!AQ57</f>
        <v>#REF!</v>
      </c>
      <c r="AR57" s="289" t="e">
        <f>#REF!-'BS 3Q2022'!AR57</f>
        <v>#REF!</v>
      </c>
      <c r="AS57" s="289" t="e">
        <f>#REF!-'BS 3Q2022'!AS57</f>
        <v>#REF!</v>
      </c>
      <c r="AT57" s="288" t="e">
        <f>#REF!-'BS 3Q2022'!AT57</f>
        <v>#REF!</v>
      </c>
      <c r="AU57" s="288" t="e">
        <f>#REF!-'BS 3Q2022'!AU57</f>
        <v>#REF!</v>
      </c>
      <c r="AV57" s="290" t="e">
        <f>#REF!-'BS 3Q2022'!AV57</f>
        <v>#REF!</v>
      </c>
    </row>
    <row r="58" spans="2:48" s="296" customFormat="1" outlineLevel="1" x14ac:dyDescent="0.3">
      <c r="B58" s="291" t="s">
        <v>260</v>
      </c>
      <c r="C58" s="249"/>
      <c r="D58" s="292" t="e">
        <f>#REF!-'BS 3Q2022'!D58</f>
        <v>#REF!</v>
      </c>
      <c r="E58" s="292" t="e">
        <f>#REF!-'BS 3Q2022'!E58</f>
        <v>#REF!</v>
      </c>
      <c r="F58" s="293" t="e">
        <f>#REF!-'BS 3Q2022'!F58</f>
        <v>#REF!</v>
      </c>
      <c r="G58" s="293" t="e">
        <f>#REF!-'BS 3Q2022'!G58</f>
        <v>#REF!</v>
      </c>
      <c r="H58" s="294" t="e">
        <f>#REF!-'BS 3Q2022'!H58</f>
        <v>#REF!</v>
      </c>
      <c r="I58" s="292" t="e">
        <f>#REF!-'BS 3Q2022'!I58</f>
        <v>#REF!</v>
      </c>
      <c r="J58" s="292" t="e">
        <f>#REF!-'BS 3Q2022'!J58</f>
        <v>#REF!</v>
      </c>
      <c r="K58" s="293" t="e">
        <f>#REF!-'BS 3Q2022'!K58</f>
        <v>#REF!</v>
      </c>
      <c r="L58" s="293" t="e">
        <f>#REF!-'BS 3Q2022'!L58</f>
        <v>#REF!</v>
      </c>
      <c r="M58" s="294" t="e">
        <f>#REF!-'BS 3Q2022'!M58</f>
        <v>#REF!</v>
      </c>
      <c r="N58" s="292" t="e">
        <f>#REF!-'BS 3Q2022'!N58</f>
        <v>#REF!</v>
      </c>
      <c r="O58" s="292" t="e">
        <f>#REF!-'BS 3Q2022'!O58</f>
        <v>#REF!</v>
      </c>
      <c r="P58" s="293" t="e">
        <f>#REF!-'BS 3Q2022'!P58</f>
        <v>#REF!</v>
      </c>
      <c r="Q58" s="293" t="e">
        <f>#REF!-'BS 3Q2022'!Q58</f>
        <v>#REF!</v>
      </c>
      <c r="R58" s="294" t="e">
        <f>#REF!-'BS 3Q2022'!R58</f>
        <v>#REF!</v>
      </c>
      <c r="S58" s="292" t="e">
        <f>#REF!-'BS 3Q2022'!S58</f>
        <v>#REF!</v>
      </c>
      <c r="T58" s="292" t="e">
        <f>#REF!-'BS 3Q2022'!T58</f>
        <v>#REF!</v>
      </c>
      <c r="U58" s="292" t="e">
        <f>#REF!-'BS 3Q2022'!U58</f>
        <v>#REF!</v>
      </c>
      <c r="V58" s="293" t="e">
        <f>#REF!-'BS 3Q2022'!V58</f>
        <v>#REF!</v>
      </c>
      <c r="W58" s="294" t="e">
        <f>#REF!-'BS 3Q2022'!W58</f>
        <v>#REF!</v>
      </c>
      <c r="X58" s="292" t="e">
        <f>#REF!-'BS 3Q2022'!X58</f>
        <v>#REF!</v>
      </c>
      <c r="Y58" s="292" t="e">
        <f>#REF!-'BS 3Q2022'!Y58</f>
        <v>#REF!</v>
      </c>
      <c r="Z58" s="293" t="e">
        <f>#REF!-'BS 3Q2022'!Z58</f>
        <v>#REF!</v>
      </c>
      <c r="AA58" s="293" t="e">
        <f>#REF!-'BS 3Q2022'!AA58</f>
        <v>#REF!</v>
      </c>
      <c r="AB58" s="295" t="e">
        <f>#REF!-'BS 3Q2022'!AB58</f>
        <v>#REF!</v>
      </c>
      <c r="AC58" s="292" t="e">
        <f>#REF!-'BS 3Q2022'!AC58</f>
        <v>#REF!</v>
      </c>
      <c r="AD58" s="292" t="e">
        <f>#REF!-'BS 3Q2022'!AD58</f>
        <v>#REF!</v>
      </c>
      <c r="AE58" s="293" t="e">
        <f>#REF!-'BS 3Q2022'!AE58</f>
        <v>#REF!</v>
      </c>
      <c r="AF58" s="293" t="e">
        <f>#REF!-'BS 3Q2022'!AF58</f>
        <v>#REF!</v>
      </c>
      <c r="AG58" s="295" t="e">
        <f>#REF!-'BS 3Q2022'!AG58</f>
        <v>#REF!</v>
      </c>
      <c r="AH58" s="292" t="e">
        <f>#REF!-'BS 3Q2022'!AH58</f>
        <v>#REF!</v>
      </c>
      <c r="AI58" s="292" t="e">
        <f>#REF!-'BS 3Q2022'!AI58</f>
        <v>#REF!</v>
      </c>
      <c r="AJ58" s="293" t="e">
        <f>#REF!-'BS 3Q2022'!AJ58</f>
        <v>#REF!</v>
      </c>
      <c r="AK58" s="293" t="e">
        <f>#REF!-'BS 3Q2022'!AK58</f>
        <v>#REF!</v>
      </c>
      <c r="AL58" s="295" t="e">
        <f>#REF!-'BS 3Q2022'!AL58</f>
        <v>#REF!</v>
      </c>
      <c r="AM58" s="292" t="e">
        <f>#REF!-'BS 3Q2022'!AM58</f>
        <v>#REF!</v>
      </c>
      <c r="AN58" s="292" t="e">
        <f>#REF!-'BS 3Q2022'!AN58</f>
        <v>#REF!</v>
      </c>
      <c r="AO58" s="293" t="e">
        <f>#REF!-'BS 3Q2022'!AO58</f>
        <v>#REF!</v>
      </c>
      <c r="AP58" s="293" t="e">
        <f>#REF!-'BS 3Q2022'!AP58</f>
        <v>#REF!</v>
      </c>
      <c r="AQ58" s="295" t="e">
        <f>#REF!-'BS 3Q2022'!AQ58</f>
        <v>#REF!</v>
      </c>
      <c r="AR58" s="292" t="e">
        <f>#REF!-'BS 3Q2022'!AR58</f>
        <v>#REF!</v>
      </c>
      <c r="AS58" s="292" t="e">
        <f>#REF!-'BS 3Q2022'!AS58</f>
        <v>#REF!</v>
      </c>
      <c r="AT58" s="293" t="e">
        <f>#REF!-'BS 3Q2022'!AT58</f>
        <v>#REF!</v>
      </c>
      <c r="AU58" s="293" t="e">
        <f>#REF!-'BS 3Q2022'!AU58</f>
        <v>#REF!</v>
      </c>
      <c r="AV58" s="295" t="e">
        <f>#REF!-'BS 3Q2022'!AV58</f>
        <v>#REF!</v>
      </c>
    </row>
    <row r="59" spans="2:48" s="302" customFormat="1" outlineLevel="1" x14ac:dyDescent="0.3">
      <c r="B59" s="200" t="s">
        <v>261</v>
      </c>
      <c r="C59" s="297"/>
      <c r="D59" s="298" t="e">
        <f>#REF!-'BS 3Q2022'!D59</f>
        <v>#REF!</v>
      </c>
      <c r="E59" s="298" t="e">
        <f>#REF!-'BS 3Q2022'!E59</f>
        <v>#REF!</v>
      </c>
      <c r="F59" s="146" t="e">
        <f>#REF!-'BS 3Q2022'!F59</f>
        <v>#REF!</v>
      </c>
      <c r="G59" s="146" t="e">
        <f>#REF!-'BS 3Q2022'!G59</f>
        <v>#REF!</v>
      </c>
      <c r="H59" s="122" t="e">
        <f>#REF!-'BS 3Q2022'!H59</f>
        <v>#REF!</v>
      </c>
      <c r="I59" s="299" t="e">
        <f>#REF!-'BS 3Q2022'!I59</f>
        <v>#REF!</v>
      </c>
      <c r="J59" s="299" t="e">
        <f>#REF!-'BS 3Q2022'!J59</f>
        <v>#REF!</v>
      </c>
      <c r="K59" s="146" t="e">
        <f>#REF!-'BS 3Q2022'!K59</f>
        <v>#REF!</v>
      </c>
      <c r="L59" s="146" t="e">
        <f>#REF!-'BS 3Q2022'!L59</f>
        <v>#REF!</v>
      </c>
      <c r="M59" s="26" t="e">
        <f>#REF!-'BS 3Q2022'!M59</f>
        <v>#REF!</v>
      </c>
      <c r="N59" s="299" t="e">
        <f>#REF!-'BS 3Q2022'!N59</f>
        <v>#REF!</v>
      </c>
      <c r="O59" s="299" t="e">
        <f>#REF!-'BS 3Q2022'!O59</f>
        <v>#REF!</v>
      </c>
      <c r="P59" s="146" t="e">
        <f>#REF!-'BS 3Q2022'!P59</f>
        <v>#REF!</v>
      </c>
      <c r="Q59" s="146" t="e">
        <f>#REF!-'BS 3Q2022'!Q59</f>
        <v>#REF!</v>
      </c>
      <c r="R59" s="26" t="e">
        <f>#REF!-'BS 3Q2022'!R59</f>
        <v>#REF!</v>
      </c>
      <c r="S59" s="299" t="e">
        <f>#REF!-'BS 3Q2022'!S59</f>
        <v>#REF!</v>
      </c>
      <c r="T59" s="299" t="e">
        <f>#REF!-'BS 3Q2022'!T59</f>
        <v>#REF!</v>
      </c>
      <c r="U59" s="299" t="e">
        <f>#REF!-'BS 3Q2022'!U59</f>
        <v>#REF!</v>
      </c>
      <c r="V59" s="300" t="e">
        <f>#REF!-'BS 3Q2022'!V59</f>
        <v>#REF!</v>
      </c>
      <c r="W59" s="26" t="e">
        <f>#REF!-'BS 3Q2022'!W59</f>
        <v>#REF!</v>
      </c>
      <c r="X59" s="301" t="e">
        <f>#REF!-'BS 3Q2022'!X59</f>
        <v>#REF!</v>
      </c>
      <c r="Y59" s="301" t="e">
        <f>#REF!-'BS 3Q2022'!Y59</f>
        <v>#REF!</v>
      </c>
      <c r="Z59" s="300" t="e">
        <f>#REF!-'BS 3Q2022'!Z59</f>
        <v>#REF!</v>
      </c>
      <c r="AA59" s="300" t="e">
        <f>#REF!-'BS 3Q2022'!AA59</f>
        <v>#REF!</v>
      </c>
      <c r="AB59" s="6" t="e">
        <f>#REF!-'BS 3Q2022'!AB59</f>
        <v>#REF!</v>
      </c>
      <c r="AC59" s="301" t="e">
        <f>#REF!-'BS 3Q2022'!AC59</f>
        <v>#REF!</v>
      </c>
      <c r="AD59" s="301" t="e">
        <f>#REF!-'BS 3Q2022'!AD59</f>
        <v>#REF!</v>
      </c>
      <c r="AE59" s="300" t="e">
        <f>#REF!-'BS 3Q2022'!AE59</f>
        <v>#REF!</v>
      </c>
      <c r="AF59" s="300" t="e">
        <f>#REF!-'BS 3Q2022'!AF59</f>
        <v>#REF!</v>
      </c>
      <c r="AG59" s="6" t="e">
        <f>#REF!-'BS 3Q2022'!AG59</f>
        <v>#REF!</v>
      </c>
      <c r="AH59" s="301" t="e">
        <f>#REF!-'BS 3Q2022'!AH59</f>
        <v>#REF!</v>
      </c>
      <c r="AI59" s="301" t="e">
        <f>#REF!-'BS 3Q2022'!AI59</f>
        <v>#REF!</v>
      </c>
      <c r="AJ59" s="300" t="e">
        <f>#REF!-'BS 3Q2022'!AJ59</f>
        <v>#REF!</v>
      </c>
      <c r="AK59" s="300" t="e">
        <f>#REF!-'BS 3Q2022'!AK59</f>
        <v>#REF!</v>
      </c>
      <c r="AL59" s="6" t="e">
        <f>#REF!-'BS 3Q2022'!AL59</f>
        <v>#REF!</v>
      </c>
      <c r="AM59" s="301" t="e">
        <f>#REF!-'BS 3Q2022'!AM59</f>
        <v>#REF!</v>
      </c>
      <c r="AN59" s="301" t="e">
        <f>#REF!-'BS 3Q2022'!AN59</f>
        <v>#REF!</v>
      </c>
      <c r="AO59" s="300" t="e">
        <f>#REF!-'BS 3Q2022'!AO59</f>
        <v>#REF!</v>
      </c>
      <c r="AP59" s="300" t="e">
        <f>#REF!-'BS 3Q2022'!AP59</f>
        <v>#REF!</v>
      </c>
      <c r="AQ59" s="6" t="e">
        <f>#REF!-'BS 3Q2022'!AQ59</f>
        <v>#REF!</v>
      </c>
      <c r="AR59" s="301" t="e">
        <f>#REF!-'BS 3Q2022'!AR59</f>
        <v>#REF!</v>
      </c>
      <c r="AS59" s="301" t="e">
        <f>#REF!-'BS 3Q2022'!AS59</f>
        <v>#REF!</v>
      </c>
      <c r="AT59" s="300" t="e">
        <f>#REF!-'BS 3Q2022'!AT59</f>
        <v>#REF!</v>
      </c>
      <c r="AU59" s="300" t="e">
        <f>#REF!-'BS 3Q2022'!AU59</f>
        <v>#REF!</v>
      </c>
      <c r="AV59" s="6" t="e">
        <f>#REF!-'BS 3Q2022'!AV59</f>
        <v>#REF!</v>
      </c>
    </row>
    <row r="60" spans="2:48" s="302" customFormat="1" outlineLevel="1" x14ac:dyDescent="0.3">
      <c r="B60" s="200" t="s">
        <v>262</v>
      </c>
      <c r="C60" s="297"/>
      <c r="D60" s="298" t="e">
        <f>#REF!-'BS 3Q2022'!D60</f>
        <v>#REF!</v>
      </c>
      <c r="E60" s="298" t="e">
        <f>#REF!-'BS 3Q2022'!E60</f>
        <v>#REF!</v>
      </c>
      <c r="F60" s="146" t="e">
        <f>#REF!-'BS 3Q2022'!F60</f>
        <v>#REF!</v>
      </c>
      <c r="G60" s="146" t="e">
        <f>#REF!-'BS 3Q2022'!G60</f>
        <v>#REF!</v>
      </c>
      <c r="H60" s="122" t="e">
        <f>#REF!-'BS 3Q2022'!H60</f>
        <v>#REF!</v>
      </c>
      <c r="I60" s="299" t="e">
        <f>#REF!-'BS 3Q2022'!I60</f>
        <v>#REF!</v>
      </c>
      <c r="J60" s="299" t="e">
        <f>#REF!-'BS 3Q2022'!J60</f>
        <v>#REF!</v>
      </c>
      <c r="K60" s="146" t="e">
        <f>#REF!-'BS 3Q2022'!K60</f>
        <v>#REF!</v>
      </c>
      <c r="L60" s="146" t="e">
        <f>#REF!-'BS 3Q2022'!L60</f>
        <v>#REF!</v>
      </c>
      <c r="M60" s="26" t="e">
        <f>#REF!-'BS 3Q2022'!M60</f>
        <v>#REF!</v>
      </c>
      <c r="N60" s="299" t="e">
        <f>#REF!-'BS 3Q2022'!N60</f>
        <v>#REF!</v>
      </c>
      <c r="O60" s="299" t="e">
        <f>#REF!-'BS 3Q2022'!O60</f>
        <v>#REF!</v>
      </c>
      <c r="P60" s="146" t="e">
        <f>#REF!-'BS 3Q2022'!P60</f>
        <v>#REF!</v>
      </c>
      <c r="Q60" s="146" t="e">
        <f>#REF!-'BS 3Q2022'!Q60</f>
        <v>#REF!</v>
      </c>
      <c r="R60" s="26" t="e">
        <f>#REF!-'BS 3Q2022'!R60</f>
        <v>#REF!</v>
      </c>
      <c r="S60" s="299" t="e">
        <f>#REF!-'BS 3Q2022'!S60</f>
        <v>#REF!</v>
      </c>
      <c r="T60" s="299" t="e">
        <f>#REF!-'BS 3Q2022'!T60</f>
        <v>#REF!</v>
      </c>
      <c r="U60" s="299" t="e">
        <f>#REF!-'BS 3Q2022'!U60</f>
        <v>#REF!</v>
      </c>
      <c r="V60" s="300" t="e">
        <f>#REF!-'BS 3Q2022'!V60</f>
        <v>#REF!</v>
      </c>
      <c r="W60" s="26" t="e">
        <f>#REF!-'BS 3Q2022'!W60</f>
        <v>#REF!</v>
      </c>
      <c r="X60" s="300" t="e">
        <f>#REF!-'BS 3Q2022'!X60</f>
        <v>#REF!</v>
      </c>
      <c r="Y60" s="300" t="e">
        <f>#REF!-'BS 3Q2022'!Y60</f>
        <v>#REF!</v>
      </c>
      <c r="Z60" s="300" t="e">
        <f>#REF!-'BS 3Q2022'!Z60</f>
        <v>#REF!</v>
      </c>
      <c r="AA60" s="300" t="e">
        <f>#REF!-'BS 3Q2022'!AA60</f>
        <v>#REF!</v>
      </c>
      <c r="AB60" s="6" t="e">
        <f>#REF!-'BS 3Q2022'!AB60</f>
        <v>#REF!</v>
      </c>
      <c r="AC60" s="300" t="e">
        <f>#REF!-'BS 3Q2022'!AC60</f>
        <v>#REF!</v>
      </c>
      <c r="AD60" s="300" t="e">
        <f>#REF!-'BS 3Q2022'!AD60</f>
        <v>#REF!</v>
      </c>
      <c r="AE60" s="300" t="e">
        <f>#REF!-'BS 3Q2022'!AE60</f>
        <v>#REF!</v>
      </c>
      <c r="AF60" s="300" t="e">
        <f>#REF!-'BS 3Q2022'!AF60</f>
        <v>#REF!</v>
      </c>
      <c r="AG60" s="6" t="e">
        <f>#REF!-'BS 3Q2022'!AG60</f>
        <v>#REF!</v>
      </c>
      <c r="AH60" s="300" t="e">
        <f>#REF!-'BS 3Q2022'!AH60</f>
        <v>#REF!</v>
      </c>
      <c r="AI60" s="300" t="e">
        <f>#REF!-'BS 3Q2022'!AI60</f>
        <v>#REF!</v>
      </c>
      <c r="AJ60" s="300" t="e">
        <f>#REF!-'BS 3Q2022'!AJ60</f>
        <v>#REF!</v>
      </c>
      <c r="AK60" s="300" t="e">
        <f>#REF!-'BS 3Q2022'!AK60</f>
        <v>#REF!</v>
      </c>
      <c r="AL60" s="6" t="e">
        <f>#REF!-'BS 3Q2022'!AL60</f>
        <v>#REF!</v>
      </c>
      <c r="AM60" s="300" t="e">
        <f>#REF!-'BS 3Q2022'!AM60</f>
        <v>#REF!</v>
      </c>
      <c r="AN60" s="300" t="e">
        <f>#REF!-'BS 3Q2022'!AN60</f>
        <v>#REF!</v>
      </c>
      <c r="AO60" s="300" t="e">
        <f>#REF!-'BS 3Q2022'!AO60</f>
        <v>#REF!</v>
      </c>
      <c r="AP60" s="300" t="e">
        <f>#REF!-'BS 3Q2022'!AP60</f>
        <v>#REF!</v>
      </c>
      <c r="AQ60" s="6" t="e">
        <f>#REF!-'BS 3Q2022'!AQ60</f>
        <v>#REF!</v>
      </c>
      <c r="AR60" s="300" t="e">
        <f>#REF!-'BS 3Q2022'!AR60</f>
        <v>#REF!</v>
      </c>
      <c r="AS60" s="300" t="e">
        <f>#REF!-'BS 3Q2022'!AS60</f>
        <v>#REF!</v>
      </c>
      <c r="AT60" s="300" t="e">
        <f>#REF!-'BS 3Q2022'!AT60</f>
        <v>#REF!</v>
      </c>
      <c r="AU60" s="300" t="e">
        <f>#REF!-'BS 3Q2022'!AU60</f>
        <v>#REF!</v>
      </c>
      <c r="AV60" s="6" t="e">
        <f>#REF!-'BS 3Q2022'!AV60</f>
        <v>#REF!</v>
      </c>
    </row>
    <row r="61" spans="2:48" s="302" customFormat="1" outlineLevel="1" x14ac:dyDescent="0.3">
      <c r="B61" s="200" t="s">
        <v>263</v>
      </c>
      <c r="C61" s="297"/>
      <c r="D61" s="298" t="e">
        <f>#REF!-'BS 3Q2022'!D61</f>
        <v>#REF!</v>
      </c>
      <c r="E61" s="298" t="e">
        <f>#REF!-'BS 3Q2022'!E61</f>
        <v>#REF!</v>
      </c>
      <c r="F61" s="146" t="e">
        <f>#REF!-'BS 3Q2022'!F61</f>
        <v>#REF!</v>
      </c>
      <c r="G61" s="146" t="e">
        <f>#REF!-'BS 3Q2022'!G61</f>
        <v>#REF!</v>
      </c>
      <c r="H61" s="122" t="e">
        <f>#REF!-'BS 3Q2022'!H61</f>
        <v>#REF!</v>
      </c>
      <c r="I61" s="299" t="e">
        <f>#REF!-'BS 3Q2022'!I61</f>
        <v>#REF!</v>
      </c>
      <c r="J61" s="299" t="e">
        <f>#REF!-'BS 3Q2022'!J61</f>
        <v>#REF!</v>
      </c>
      <c r="K61" s="146" t="e">
        <f>#REF!-'BS 3Q2022'!K61</f>
        <v>#REF!</v>
      </c>
      <c r="L61" s="146" t="e">
        <f>#REF!-'BS 3Q2022'!L61</f>
        <v>#REF!</v>
      </c>
      <c r="M61" s="26" t="e">
        <f>#REF!-'BS 3Q2022'!M61</f>
        <v>#REF!</v>
      </c>
      <c r="N61" s="299" t="e">
        <f>#REF!-'BS 3Q2022'!N61</f>
        <v>#REF!</v>
      </c>
      <c r="O61" s="299" t="e">
        <f>#REF!-'BS 3Q2022'!O61</f>
        <v>#REF!</v>
      </c>
      <c r="P61" s="146" t="e">
        <f>#REF!-'BS 3Q2022'!P61</f>
        <v>#REF!</v>
      </c>
      <c r="Q61" s="146" t="e">
        <f>#REF!-'BS 3Q2022'!Q61</f>
        <v>#REF!</v>
      </c>
      <c r="R61" s="26" t="e">
        <f>#REF!-'BS 3Q2022'!R61</f>
        <v>#REF!</v>
      </c>
      <c r="S61" s="299" t="e">
        <f>#REF!-'BS 3Q2022'!S61</f>
        <v>#REF!</v>
      </c>
      <c r="T61" s="299" t="e">
        <f>#REF!-'BS 3Q2022'!T61</f>
        <v>#REF!</v>
      </c>
      <c r="U61" s="299" t="e">
        <f>#REF!-'BS 3Q2022'!U61</f>
        <v>#REF!</v>
      </c>
      <c r="V61" s="300" t="e">
        <f>#REF!-'BS 3Q2022'!V61</f>
        <v>#REF!</v>
      </c>
      <c r="W61" s="26" t="e">
        <f>#REF!-'BS 3Q2022'!W61</f>
        <v>#REF!</v>
      </c>
      <c r="X61" s="301" t="e">
        <f>#REF!-'BS 3Q2022'!X61</f>
        <v>#REF!</v>
      </c>
      <c r="Y61" s="301" t="e">
        <f>#REF!-'BS 3Q2022'!Y61</f>
        <v>#REF!</v>
      </c>
      <c r="Z61" s="300" t="e">
        <f>#REF!-'BS 3Q2022'!Z61</f>
        <v>#REF!</v>
      </c>
      <c r="AA61" s="300" t="e">
        <f>#REF!-'BS 3Q2022'!AA61</f>
        <v>#REF!</v>
      </c>
      <c r="AB61" s="6" t="e">
        <f>#REF!-'BS 3Q2022'!AB61</f>
        <v>#REF!</v>
      </c>
      <c r="AC61" s="301" t="e">
        <f>#REF!-'BS 3Q2022'!AC61</f>
        <v>#REF!</v>
      </c>
      <c r="AD61" s="301" t="e">
        <f>#REF!-'BS 3Q2022'!AD61</f>
        <v>#REF!</v>
      </c>
      <c r="AE61" s="300" t="e">
        <f>#REF!-'BS 3Q2022'!AE61</f>
        <v>#REF!</v>
      </c>
      <c r="AF61" s="300" t="e">
        <f>#REF!-'BS 3Q2022'!AF61</f>
        <v>#REF!</v>
      </c>
      <c r="AG61" s="6" t="e">
        <f>#REF!-'BS 3Q2022'!AG61</f>
        <v>#REF!</v>
      </c>
      <c r="AH61" s="301" t="e">
        <f>#REF!-'BS 3Q2022'!AH61</f>
        <v>#REF!</v>
      </c>
      <c r="AI61" s="301" t="e">
        <f>#REF!-'BS 3Q2022'!AI61</f>
        <v>#REF!</v>
      </c>
      <c r="AJ61" s="300" t="e">
        <f>#REF!-'BS 3Q2022'!AJ61</f>
        <v>#REF!</v>
      </c>
      <c r="AK61" s="300" t="e">
        <f>#REF!-'BS 3Q2022'!AK61</f>
        <v>#REF!</v>
      </c>
      <c r="AL61" s="6" t="e">
        <f>#REF!-'BS 3Q2022'!AL61</f>
        <v>#REF!</v>
      </c>
      <c r="AM61" s="301" t="e">
        <f>#REF!-'BS 3Q2022'!AM61</f>
        <v>#REF!</v>
      </c>
      <c r="AN61" s="301" t="e">
        <f>#REF!-'BS 3Q2022'!AN61</f>
        <v>#REF!</v>
      </c>
      <c r="AO61" s="300" t="e">
        <f>#REF!-'BS 3Q2022'!AO61</f>
        <v>#REF!</v>
      </c>
      <c r="AP61" s="300" t="e">
        <f>#REF!-'BS 3Q2022'!AP61</f>
        <v>#REF!</v>
      </c>
      <c r="AQ61" s="6" t="e">
        <f>#REF!-'BS 3Q2022'!AQ61</f>
        <v>#REF!</v>
      </c>
      <c r="AR61" s="301" t="e">
        <f>#REF!-'BS 3Q2022'!AR61</f>
        <v>#REF!</v>
      </c>
      <c r="AS61" s="301" t="e">
        <f>#REF!-'BS 3Q2022'!AS61</f>
        <v>#REF!</v>
      </c>
      <c r="AT61" s="300" t="e">
        <f>#REF!-'BS 3Q2022'!AT61</f>
        <v>#REF!</v>
      </c>
      <c r="AU61" s="300" t="e">
        <f>#REF!-'BS 3Q2022'!AU61</f>
        <v>#REF!</v>
      </c>
      <c r="AV61" s="6" t="e">
        <f>#REF!-'BS 3Q2022'!AV61</f>
        <v>#REF!</v>
      </c>
    </row>
    <row r="62" spans="2:48" s="23" customFormat="1" outlineLevel="1" x14ac:dyDescent="0.3">
      <c r="B62" s="200" t="s">
        <v>264</v>
      </c>
      <c r="C62" s="201"/>
      <c r="D62" s="179" t="e">
        <f>#REF!-'BS 3Q2022'!D62</f>
        <v>#REF!</v>
      </c>
      <c r="E62" s="179" t="e">
        <f>#REF!-'BS 3Q2022'!E62</f>
        <v>#REF!</v>
      </c>
      <c r="F62" s="303" t="e">
        <f>#REF!-'BS 3Q2022'!F62</f>
        <v>#REF!</v>
      </c>
      <c r="G62" s="303" t="e">
        <f>#REF!-'BS 3Q2022'!G62</f>
        <v>#REF!</v>
      </c>
      <c r="H62" s="128" t="e">
        <f>#REF!-'BS 3Q2022'!H62</f>
        <v>#REF!</v>
      </c>
      <c r="I62" s="303" t="e">
        <f>#REF!-'BS 3Q2022'!I62</f>
        <v>#REF!</v>
      </c>
      <c r="J62" s="303" t="e">
        <f>#REF!-'BS 3Q2022'!J62</f>
        <v>#REF!</v>
      </c>
      <c r="K62" s="303" t="e">
        <f>#REF!-'BS 3Q2022'!K62</f>
        <v>#REF!</v>
      </c>
      <c r="L62" s="179" t="e">
        <f>#REF!-'BS 3Q2022'!L62</f>
        <v>#REF!</v>
      </c>
      <c r="M62" s="28" t="e">
        <f>#REF!-'BS 3Q2022'!M62</f>
        <v>#REF!</v>
      </c>
      <c r="N62" s="179" t="e">
        <f>#REF!-'BS 3Q2022'!N62</f>
        <v>#REF!</v>
      </c>
      <c r="O62" s="179" t="e">
        <f>#REF!-'BS 3Q2022'!O62</f>
        <v>#REF!</v>
      </c>
      <c r="P62" s="179" t="e">
        <f>#REF!-'BS 3Q2022'!P62</f>
        <v>#REF!</v>
      </c>
      <c r="Q62" s="179" t="e">
        <f>#REF!-'BS 3Q2022'!Q62</f>
        <v>#REF!</v>
      </c>
      <c r="R62" s="28" t="e">
        <f>#REF!-'BS 3Q2022'!R62</f>
        <v>#REF!</v>
      </c>
      <c r="S62" s="179" t="e">
        <f>#REF!-'BS 3Q2022'!S62</f>
        <v>#REF!</v>
      </c>
      <c r="T62" s="179" t="e">
        <f>#REF!-'BS 3Q2022'!T62</f>
        <v>#REF!</v>
      </c>
      <c r="U62" s="179" t="e">
        <f>#REF!-'BS 3Q2022'!U62</f>
        <v>#REF!</v>
      </c>
      <c r="V62" s="179" t="e">
        <f>#REF!-'BS 3Q2022'!V62</f>
        <v>#REF!</v>
      </c>
      <c r="W62" s="28" t="e">
        <f>#REF!-'BS 3Q2022'!W62</f>
        <v>#REF!</v>
      </c>
      <c r="X62" s="179" t="e">
        <f>#REF!-'BS 3Q2022'!X62</f>
        <v>#REF!</v>
      </c>
      <c r="Y62" s="179" t="e">
        <f>#REF!-'BS 3Q2022'!Y62</f>
        <v>#REF!</v>
      </c>
      <c r="Z62" s="179" t="e">
        <f>#REF!-'BS 3Q2022'!Z62</f>
        <v>#REF!</v>
      </c>
      <c r="AA62" s="179" t="e">
        <f>#REF!-'BS 3Q2022'!AA62</f>
        <v>#REF!</v>
      </c>
      <c r="AB62" s="28" t="e">
        <f>#REF!-'BS 3Q2022'!AB62</f>
        <v>#REF!</v>
      </c>
      <c r="AC62" s="179" t="e">
        <f>#REF!-'BS 3Q2022'!AC62</f>
        <v>#REF!</v>
      </c>
      <c r="AD62" s="179" t="e">
        <f>#REF!-'BS 3Q2022'!AD62</f>
        <v>#REF!</v>
      </c>
      <c r="AE62" s="179" t="e">
        <f>#REF!-'BS 3Q2022'!AE62</f>
        <v>#REF!</v>
      </c>
      <c r="AF62" s="179" t="e">
        <f>#REF!-'BS 3Q2022'!AF62</f>
        <v>#REF!</v>
      </c>
      <c r="AG62" s="28" t="e">
        <f>#REF!-'BS 3Q2022'!AG62</f>
        <v>#REF!</v>
      </c>
      <c r="AH62" s="179" t="e">
        <f>#REF!-'BS 3Q2022'!AH62</f>
        <v>#REF!</v>
      </c>
      <c r="AI62" s="179" t="e">
        <f>#REF!-'BS 3Q2022'!AI62</f>
        <v>#REF!</v>
      </c>
      <c r="AJ62" s="179" t="e">
        <f>#REF!-'BS 3Q2022'!AJ62</f>
        <v>#REF!</v>
      </c>
      <c r="AK62" s="179" t="e">
        <f>#REF!-'BS 3Q2022'!AK62</f>
        <v>#REF!</v>
      </c>
      <c r="AL62" s="28" t="e">
        <f>#REF!-'BS 3Q2022'!AL62</f>
        <v>#REF!</v>
      </c>
      <c r="AM62" s="179" t="e">
        <f>#REF!-'BS 3Q2022'!AM62</f>
        <v>#REF!</v>
      </c>
      <c r="AN62" s="179" t="e">
        <f>#REF!-'BS 3Q2022'!AN62</f>
        <v>#REF!</v>
      </c>
      <c r="AO62" s="179" t="e">
        <f>#REF!-'BS 3Q2022'!AO62</f>
        <v>#REF!</v>
      </c>
      <c r="AP62" s="179" t="e">
        <f>#REF!-'BS 3Q2022'!AP62</f>
        <v>#REF!</v>
      </c>
      <c r="AQ62" s="28" t="e">
        <f>#REF!-'BS 3Q2022'!AQ62</f>
        <v>#REF!</v>
      </c>
      <c r="AR62" s="179" t="e">
        <f>#REF!-'BS 3Q2022'!AR62</f>
        <v>#REF!</v>
      </c>
      <c r="AS62" s="179" t="e">
        <f>#REF!-'BS 3Q2022'!AS62</f>
        <v>#REF!</v>
      </c>
      <c r="AT62" s="179" t="e">
        <f>#REF!-'BS 3Q2022'!AT62</f>
        <v>#REF!</v>
      </c>
      <c r="AU62" s="179" t="e">
        <f>#REF!-'BS 3Q2022'!AU62</f>
        <v>#REF!</v>
      </c>
      <c r="AV62" s="28" t="e">
        <f>#REF!-'BS 3Q2022'!AV62</f>
        <v>#REF!</v>
      </c>
    </row>
    <row r="63" spans="2:48" s="23" customFormat="1" outlineLevel="1" x14ac:dyDescent="0.3">
      <c r="B63" s="200" t="s">
        <v>265</v>
      </c>
      <c r="C63" s="201"/>
      <c r="D63" s="179" t="e">
        <f>#REF!-'BS 3Q2022'!D63</f>
        <v>#REF!</v>
      </c>
      <c r="E63" s="179" t="e">
        <f>#REF!-'BS 3Q2022'!E63</f>
        <v>#REF!</v>
      </c>
      <c r="F63" s="303" t="e">
        <f>#REF!-'BS 3Q2022'!F63</f>
        <v>#REF!</v>
      </c>
      <c r="G63" s="303" t="e">
        <f>#REF!-'BS 3Q2022'!G63</f>
        <v>#REF!</v>
      </c>
      <c r="H63" s="128" t="e">
        <f>#REF!-'BS 3Q2022'!H63</f>
        <v>#REF!</v>
      </c>
      <c r="I63" s="303" t="e">
        <f>#REF!-'BS 3Q2022'!I63</f>
        <v>#REF!</v>
      </c>
      <c r="J63" s="303" t="e">
        <f>#REF!-'BS 3Q2022'!J63</f>
        <v>#REF!</v>
      </c>
      <c r="K63" s="303" t="e">
        <f>#REF!-'BS 3Q2022'!K63</f>
        <v>#REF!</v>
      </c>
      <c r="L63" s="179" t="e">
        <f>#REF!-'BS 3Q2022'!L63</f>
        <v>#REF!</v>
      </c>
      <c r="M63" s="28" t="e">
        <f>#REF!-'BS 3Q2022'!M63</f>
        <v>#REF!</v>
      </c>
      <c r="N63" s="179" t="e">
        <f>#REF!-'BS 3Q2022'!N63</f>
        <v>#REF!</v>
      </c>
      <c r="O63" s="179" t="e">
        <f>#REF!-'BS 3Q2022'!O63</f>
        <v>#REF!</v>
      </c>
      <c r="P63" s="179" t="e">
        <f>#REF!-'BS 3Q2022'!P63</f>
        <v>#REF!</v>
      </c>
      <c r="Q63" s="179" t="e">
        <f>#REF!-'BS 3Q2022'!Q63</f>
        <v>#REF!</v>
      </c>
      <c r="R63" s="28" t="e">
        <f>#REF!-'BS 3Q2022'!R63</f>
        <v>#REF!</v>
      </c>
      <c r="S63" s="179" t="e">
        <f>#REF!-'BS 3Q2022'!S63</f>
        <v>#REF!</v>
      </c>
      <c r="T63" s="179" t="e">
        <f>#REF!-'BS 3Q2022'!T63</f>
        <v>#REF!</v>
      </c>
      <c r="U63" s="179" t="e">
        <f>#REF!-'BS 3Q2022'!U63</f>
        <v>#REF!</v>
      </c>
      <c r="V63" s="179" t="e">
        <f>#REF!-'BS 3Q2022'!V63</f>
        <v>#REF!</v>
      </c>
      <c r="W63" s="28" t="e">
        <f>#REF!-'BS 3Q2022'!W63</f>
        <v>#REF!</v>
      </c>
      <c r="X63" s="179" t="e">
        <f>#REF!-'BS 3Q2022'!X63</f>
        <v>#REF!</v>
      </c>
      <c r="Y63" s="179" t="e">
        <f>#REF!-'BS 3Q2022'!Y63</f>
        <v>#REF!</v>
      </c>
      <c r="Z63" s="179" t="e">
        <f>#REF!-'BS 3Q2022'!Z63</f>
        <v>#REF!</v>
      </c>
      <c r="AA63" s="179" t="e">
        <f>#REF!-'BS 3Q2022'!AA63</f>
        <v>#REF!</v>
      </c>
      <c r="AB63" s="28" t="e">
        <f>#REF!-'BS 3Q2022'!AB63</f>
        <v>#REF!</v>
      </c>
      <c r="AC63" s="179" t="e">
        <f>#REF!-'BS 3Q2022'!AC63</f>
        <v>#REF!</v>
      </c>
      <c r="AD63" s="179" t="e">
        <f>#REF!-'BS 3Q2022'!AD63</f>
        <v>#REF!</v>
      </c>
      <c r="AE63" s="179" t="e">
        <f>#REF!-'BS 3Q2022'!AE63</f>
        <v>#REF!</v>
      </c>
      <c r="AF63" s="179" t="e">
        <f>#REF!-'BS 3Q2022'!AF63</f>
        <v>#REF!</v>
      </c>
      <c r="AG63" s="28" t="e">
        <f>#REF!-'BS 3Q2022'!AG63</f>
        <v>#REF!</v>
      </c>
      <c r="AH63" s="179" t="e">
        <f>#REF!-'BS 3Q2022'!AH63</f>
        <v>#REF!</v>
      </c>
      <c r="AI63" s="179" t="e">
        <f>#REF!-'BS 3Q2022'!AI63</f>
        <v>#REF!</v>
      </c>
      <c r="AJ63" s="179" t="e">
        <f>#REF!-'BS 3Q2022'!AJ63</f>
        <v>#REF!</v>
      </c>
      <c r="AK63" s="179" t="e">
        <f>#REF!-'BS 3Q2022'!AK63</f>
        <v>#REF!</v>
      </c>
      <c r="AL63" s="28" t="e">
        <f>#REF!-'BS 3Q2022'!AL63</f>
        <v>#REF!</v>
      </c>
      <c r="AM63" s="179" t="e">
        <f>#REF!-'BS 3Q2022'!AM63</f>
        <v>#REF!</v>
      </c>
      <c r="AN63" s="179" t="e">
        <f>#REF!-'BS 3Q2022'!AN63</f>
        <v>#REF!</v>
      </c>
      <c r="AO63" s="179" t="e">
        <f>#REF!-'BS 3Q2022'!AO63</f>
        <v>#REF!</v>
      </c>
      <c r="AP63" s="179" t="e">
        <f>#REF!-'BS 3Q2022'!AP63</f>
        <v>#REF!</v>
      </c>
      <c r="AQ63" s="28" t="e">
        <f>#REF!-'BS 3Q2022'!AQ63</f>
        <v>#REF!</v>
      </c>
      <c r="AR63" s="179" t="e">
        <f>#REF!-'BS 3Q2022'!AR63</f>
        <v>#REF!</v>
      </c>
      <c r="AS63" s="179" t="e">
        <f>#REF!-'BS 3Q2022'!AS63</f>
        <v>#REF!</v>
      </c>
      <c r="AT63" s="179" t="e">
        <f>#REF!-'BS 3Q2022'!AT63</f>
        <v>#REF!</v>
      </c>
      <c r="AU63" s="179" t="e">
        <f>#REF!-'BS 3Q2022'!AU63</f>
        <v>#REF!</v>
      </c>
      <c r="AV63" s="28" t="e">
        <f>#REF!-'BS 3Q2022'!AV63</f>
        <v>#REF!</v>
      </c>
    </row>
    <row r="64" spans="2:48" outlineLevel="1" x14ac:dyDescent="0.3">
      <c r="B64" s="200" t="s">
        <v>328</v>
      </c>
      <c r="C64" s="201"/>
      <c r="D64" s="304" t="e">
        <f>#REF!-'BS 3Q2022'!D64</f>
        <v>#REF!</v>
      </c>
      <c r="E64" s="304" t="e">
        <f>#REF!-'BS 3Q2022'!E64</f>
        <v>#REF!</v>
      </c>
      <c r="F64" s="304" t="e">
        <f>#REF!-'BS 3Q2022'!F64</f>
        <v>#REF!</v>
      </c>
      <c r="G64" s="304" t="e">
        <f>#REF!-'BS 3Q2022'!G64</f>
        <v>#REF!</v>
      </c>
      <c r="H64" s="306" t="e">
        <f>#REF!-'BS 3Q2022'!H64</f>
        <v>#REF!</v>
      </c>
      <c r="I64" s="305" t="e">
        <f>#REF!-'BS 3Q2022'!I64</f>
        <v>#REF!</v>
      </c>
      <c r="J64" s="305" t="e">
        <f>#REF!-'BS 3Q2022'!J64</f>
        <v>#REF!</v>
      </c>
      <c r="K64" s="305" t="e">
        <f>#REF!-'BS 3Q2022'!K64</f>
        <v>#REF!</v>
      </c>
      <c r="L64" s="305" t="e">
        <f>#REF!-'BS 3Q2022'!L64</f>
        <v>#REF!</v>
      </c>
      <c r="M64" s="306" t="e">
        <f>#REF!-'BS 3Q2022'!M64</f>
        <v>#REF!</v>
      </c>
      <c r="N64" s="305" t="e">
        <f>#REF!-'BS 3Q2022'!N64</f>
        <v>#REF!</v>
      </c>
      <c r="O64" s="305" t="e">
        <f>#REF!-'BS 3Q2022'!O64</f>
        <v>#REF!</v>
      </c>
      <c r="P64" s="305" t="e">
        <f>#REF!-'BS 3Q2022'!P64</f>
        <v>#REF!</v>
      </c>
      <c r="Q64" s="305" t="e">
        <f>#REF!-'BS 3Q2022'!Q64</f>
        <v>#REF!</v>
      </c>
      <c r="R64" s="306" t="e">
        <f>#REF!-'BS 3Q2022'!R64</f>
        <v>#REF!</v>
      </c>
      <c r="S64" s="305" t="e">
        <f>#REF!-'BS 3Q2022'!S64</f>
        <v>#REF!</v>
      </c>
      <c r="T64" s="305" t="e">
        <f>#REF!-'BS 3Q2022'!T64</f>
        <v>#REF!</v>
      </c>
      <c r="U64" s="305" t="e">
        <f>#REF!-'BS 3Q2022'!U64</f>
        <v>#REF!</v>
      </c>
      <c r="V64" s="305" t="e">
        <f>#REF!-'BS 3Q2022'!V64</f>
        <v>#REF!</v>
      </c>
      <c r="W64" s="306" t="e">
        <f>#REF!-'BS 3Q2022'!W64</f>
        <v>#REF!</v>
      </c>
      <c r="X64" s="307" t="e">
        <f>#REF!-'BS 3Q2022'!X64</f>
        <v>#REF!</v>
      </c>
      <c r="Y64" s="307" t="e">
        <f>#REF!-'BS 3Q2022'!Y64</f>
        <v>#REF!</v>
      </c>
      <c r="Z64" s="307" t="e">
        <f>#REF!-'BS 3Q2022'!Z64</f>
        <v>#REF!</v>
      </c>
      <c r="AA64" s="307" t="e">
        <f>#REF!-'BS 3Q2022'!AA64</f>
        <v>#REF!</v>
      </c>
      <c r="AB64" s="306" t="e">
        <f>#REF!-'BS 3Q2022'!AB64</f>
        <v>#REF!</v>
      </c>
      <c r="AC64" s="307" t="e">
        <f>#REF!-'BS 3Q2022'!AC64</f>
        <v>#REF!</v>
      </c>
      <c r="AD64" s="307" t="e">
        <f>#REF!-'BS 3Q2022'!AD64</f>
        <v>#REF!</v>
      </c>
      <c r="AE64" s="307" t="e">
        <f>#REF!-'BS 3Q2022'!AE64</f>
        <v>#REF!</v>
      </c>
      <c r="AF64" s="307" t="e">
        <f>#REF!-'BS 3Q2022'!AF64</f>
        <v>#REF!</v>
      </c>
      <c r="AG64" s="405" t="e">
        <f>#REF!-'BS 3Q2022'!AG64</f>
        <v>#REF!</v>
      </c>
      <c r="AH64" s="307" t="e">
        <f>#REF!-'BS 3Q2022'!AH64</f>
        <v>#REF!</v>
      </c>
      <c r="AI64" s="307" t="e">
        <f>#REF!-'BS 3Q2022'!AI64</f>
        <v>#REF!</v>
      </c>
      <c r="AJ64" s="307" t="e">
        <f>#REF!-'BS 3Q2022'!AJ64</f>
        <v>#REF!</v>
      </c>
      <c r="AK64" s="307" t="e">
        <f>#REF!-'BS 3Q2022'!AK64</f>
        <v>#REF!</v>
      </c>
      <c r="AL64" s="405" t="e">
        <f>#REF!-'BS 3Q2022'!AL64</f>
        <v>#REF!</v>
      </c>
      <c r="AM64" s="307" t="e">
        <f>#REF!-'BS 3Q2022'!AM64</f>
        <v>#REF!</v>
      </c>
      <c r="AN64" s="307" t="e">
        <f>#REF!-'BS 3Q2022'!AN64</f>
        <v>#REF!</v>
      </c>
      <c r="AO64" s="307" t="e">
        <f>#REF!-'BS 3Q2022'!AO64</f>
        <v>#REF!</v>
      </c>
      <c r="AP64" s="307" t="e">
        <f>#REF!-'BS 3Q2022'!AP64</f>
        <v>#REF!</v>
      </c>
      <c r="AQ64" s="306" t="e">
        <f>#REF!-'BS 3Q2022'!AQ64</f>
        <v>#REF!</v>
      </c>
      <c r="AR64" s="307" t="e">
        <f>#REF!-'BS 3Q2022'!AR64</f>
        <v>#REF!</v>
      </c>
      <c r="AS64" s="307" t="e">
        <f>#REF!-'BS 3Q2022'!AS64</f>
        <v>#REF!</v>
      </c>
      <c r="AT64" s="307" t="e">
        <f>#REF!-'BS 3Q2022'!AT64</f>
        <v>#REF!</v>
      </c>
      <c r="AU64" s="307" t="e">
        <f>#REF!-'BS 3Q2022'!AU64</f>
        <v>#REF!</v>
      </c>
      <c r="AV64" s="306" t="e">
        <f>#REF!-'BS 3Q2022'!AV64</f>
        <v>#REF!</v>
      </c>
    </row>
    <row r="65" spans="2:48" outlineLevel="1" x14ac:dyDescent="0.3">
      <c r="B65" s="180" t="s">
        <v>325</v>
      </c>
      <c r="C65" s="44"/>
      <c r="D65" s="139" t="e">
        <f>#REF!-'BS 3Q2022'!D65</f>
        <v>#REF!</v>
      </c>
      <c r="E65" s="139" t="e">
        <f>#REF!-'BS 3Q2022'!E65</f>
        <v>#REF!</v>
      </c>
      <c r="F65" s="309" t="e">
        <f>#REF!-'BS 3Q2022'!F65</f>
        <v>#REF!</v>
      </c>
      <c r="G65" s="309" t="e">
        <f>#REF!-'BS 3Q2022'!G65</f>
        <v>#REF!</v>
      </c>
      <c r="H65" s="17" t="e">
        <f>#REF!-'BS 3Q2022'!H65</f>
        <v>#REF!</v>
      </c>
      <c r="I65" s="139" t="e">
        <f>#REF!-'BS 3Q2022'!I65</f>
        <v>#REF!</v>
      </c>
      <c r="J65" s="139" t="e">
        <f>#REF!-'BS 3Q2022'!J65</f>
        <v>#REF!</v>
      </c>
      <c r="K65" s="309" t="e">
        <f>#REF!-'BS 3Q2022'!K65</f>
        <v>#REF!</v>
      </c>
      <c r="L65" s="309" t="e">
        <f>#REF!-'BS 3Q2022'!L65</f>
        <v>#REF!</v>
      </c>
      <c r="M65" s="17" t="e">
        <f>#REF!-'BS 3Q2022'!M65</f>
        <v>#REF!</v>
      </c>
      <c r="N65" s="139" t="e">
        <f>#REF!-'BS 3Q2022'!N65</f>
        <v>#REF!</v>
      </c>
      <c r="O65" s="139" t="e">
        <f>#REF!-'BS 3Q2022'!O65</f>
        <v>#REF!</v>
      </c>
      <c r="P65" s="309" t="e">
        <f>#REF!-'BS 3Q2022'!P65</f>
        <v>#REF!</v>
      </c>
      <c r="Q65" s="309" t="e">
        <f>#REF!-'BS 3Q2022'!Q65</f>
        <v>#REF!</v>
      </c>
      <c r="R65" s="17" t="e">
        <f>#REF!-'BS 3Q2022'!R65</f>
        <v>#REF!</v>
      </c>
      <c r="S65" s="139" t="e">
        <f>#REF!-'BS 3Q2022'!S65</f>
        <v>#REF!</v>
      </c>
      <c r="T65" s="139" t="e">
        <f>#REF!-'BS 3Q2022'!T65</f>
        <v>#REF!</v>
      </c>
      <c r="U65" s="309" t="e">
        <f>#REF!-'BS 3Q2022'!U65</f>
        <v>#REF!</v>
      </c>
      <c r="V65" s="309" t="e">
        <f>#REF!-'BS 3Q2022'!V65</f>
        <v>#REF!</v>
      </c>
      <c r="W65" s="17" t="e">
        <f>#REF!-'BS 3Q2022'!W65</f>
        <v>#REF!</v>
      </c>
      <c r="X65" s="139" t="e">
        <f>#REF!-'BS 3Q2022'!X65</f>
        <v>#REF!</v>
      </c>
      <c r="Y65" s="305" t="e">
        <f>#REF!-'BS 3Q2022'!Y65</f>
        <v>#REF!</v>
      </c>
      <c r="Z65" s="305" t="e">
        <f>#REF!-'BS 3Q2022'!Z65</f>
        <v>#REF!</v>
      </c>
      <c r="AA65" s="310" t="e">
        <f>#REF!-'BS 3Q2022'!AA65</f>
        <v>#REF!</v>
      </c>
      <c r="AB65" s="17" t="e">
        <f>#REF!-'BS 3Q2022'!AB65</f>
        <v>#REF!</v>
      </c>
      <c r="AC65" s="139" t="e">
        <f>#REF!-'BS 3Q2022'!AC65</f>
        <v>#REF!</v>
      </c>
      <c r="AD65" s="139" t="e">
        <f>#REF!-'BS 3Q2022'!AD65</f>
        <v>#REF!</v>
      </c>
      <c r="AE65" s="309" t="e">
        <f>#REF!-'BS 3Q2022'!AE65</f>
        <v>#REF!</v>
      </c>
      <c r="AF65" s="309" t="e">
        <f>#REF!-'BS 3Q2022'!AF65</f>
        <v>#REF!</v>
      </c>
      <c r="AG65" s="17" t="e">
        <f>#REF!-'BS 3Q2022'!AG65</f>
        <v>#REF!</v>
      </c>
      <c r="AH65" s="139" t="e">
        <f>#REF!-'BS 3Q2022'!AH65</f>
        <v>#REF!</v>
      </c>
      <c r="AI65" s="139" t="e">
        <f>#REF!-'BS 3Q2022'!AI65</f>
        <v>#REF!</v>
      </c>
      <c r="AJ65" s="309" t="e">
        <f>#REF!-'BS 3Q2022'!AJ65</f>
        <v>#REF!</v>
      </c>
      <c r="AK65" s="309" t="e">
        <f>#REF!-'BS 3Q2022'!AK65</f>
        <v>#REF!</v>
      </c>
      <c r="AL65" s="17" t="e">
        <f>#REF!-'BS 3Q2022'!AL65</f>
        <v>#REF!</v>
      </c>
      <c r="AM65" s="139" t="e">
        <f>#REF!-'BS 3Q2022'!AM65</f>
        <v>#REF!</v>
      </c>
      <c r="AN65" s="139" t="e">
        <f>#REF!-'BS 3Q2022'!AN65</f>
        <v>#REF!</v>
      </c>
      <c r="AO65" s="309" t="e">
        <f>#REF!-'BS 3Q2022'!AO65</f>
        <v>#REF!</v>
      </c>
      <c r="AP65" s="309" t="e">
        <f>#REF!-'BS 3Q2022'!AP65</f>
        <v>#REF!</v>
      </c>
      <c r="AQ65" s="17" t="e">
        <f>#REF!-'BS 3Q2022'!AQ65</f>
        <v>#REF!</v>
      </c>
      <c r="AR65" s="139" t="e">
        <f>#REF!-'BS 3Q2022'!AR65</f>
        <v>#REF!</v>
      </c>
      <c r="AS65" s="139" t="e">
        <f>#REF!-'BS 3Q2022'!AS65</f>
        <v>#REF!</v>
      </c>
      <c r="AT65" s="309" t="e">
        <f>#REF!-'BS 3Q2022'!AT65</f>
        <v>#REF!</v>
      </c>
      <c r="AU65" s="309" t="e">
        <f>#REF!-'BS 3Q2022'!AU65</f>
        <v>#REF!</v>
      </c>
      <c r="AV65" s="17" t="e">
        <f>#REF!-'BS 3Q2022'!AV65</f>
        <v>#REF!</v>
      </c>
    </row>
    <row r="66" spans="2:48" outlineLevel="1" x14ac:dyDescent="0.3">
      <c r="B66" s="180" t="s">
        <v>327</v>
      </c>
      <c r="C66" s="44"/>
      <c r="D66" s="139" t="e">
        <f>#REF!-'BS 3Q2022'!D66</f>
        <v>#REF!</v>
      </c>
      <c r="E66" s="139" t="e">
        <f>#REF!-'BS 3Q2022'!E66</f>
        <v>#REF!</v>
      </c>
      <c r="F66" s="309" t="e">
        <f>#REF!-'BS 3Q2022'!F66</f>
        <v>#REF!</v>
      </c>
      <c r="G66" s="309" t="e">
        <f>#REF!-'BS 3Q2022'!G66</f>
        <v>#REF!</v>
      </c>
      <c r="H66" s="387" t="e">
        <f>#REF!-'BS 3Q2022'!H66</f>
        <v>#REF!</v>
      </c>
      <c r="I66" s="139" t="e">
        <f>#REF!-'BS 3Q2022'!I66</f>
        <v>#REF!</v>
      </c>
      <c r="J66" s="139" t="e">
        <f>#REF!-'BS 3Q2022'!J66</f>
        <v>#REF!</v>
      </c>
      <c r="K66" s="309" t="e">
        <f>#REF!-'BS 3Q2022'!K66</f>
        <v>#REF!</v>
      </c>
      <c r="L66" s="309" t="e">
        <f>#REF!-'BS 3Q2022'!L66</f>
        <v>#REF!</v>
      </c>
      <c r="M66" s="387" t="e">
        <f>#REF!-'BS 3Q2022'!M66</f>
        <v>#REF!</v>
      </c>
      <c r="N66" s="139" t="e">
        <f>#REF!-'BS 3Q2022'!N66</f>
        <v>#REF!</v>
      </c>
      <c r="O66" s="139" t="e">
        <f>#REF!-'BS 3Q2022'!O66</f>
        <v>#REF!</v>
      </c>
      <c r="P66" s="309" t="e">
        <f>#REF!-'BS 3Q2022'!P66</f>
        <v>#REF!</v>
      </c>
      <c r="Q66" s="309" t="e">
        <f>#REF!-'BS 3Q2022'!Q66</f>
        <v>#REF!</v>
      </c>
      <c r="R66" s="387" t="e">
        <f>#REF!-'BS 3Q2022'!R66</f>
        <v>#REF!</v>
      </c>
      <c r="S66" s="139" t="e">
        <f>#REF!-'BS 3Q2022'!S66</f>
        <v>#REF!</v>
      </c>
      <c r="T66" s="139" t="e">
        <f>#REF!-'BS 3Q2022'!T66</f>
        <v>#REF!</v>
      </c>
      <c r="U66" s="309" t="e">
        <f>#REF!-'BS 3Q2022'!U66</f>
        <v>#REF!</v>
      </c>
      <c r="V66" s="309" t="e">
        <f>#REF!-'BS 3Q2022'!V66</f>
        <v>#REF!</v>
      </c>
      <c r="W66" s="388" t="e">
        <f>#REF!-'BS 3Q2022'!W66</f>
        <v>#REF!</v>
      </c>
      <c r="X66" s="139" t="e">
        <f>#REF!-'BS 3Q2022'!X66</f>
        <v>#REF!</v>
      </c>
      <c r="Y66" s="179" t="e">
        <f>#REF!-'BS 3Q2022'!Y66</f>
        <v>#REF!</v>
      </c>
      <c r="Z66" s="179" t="e">
        <f>#REF!-'BS 3Q2022'!Z66</f>
        <v>#REF!</v>
      </c>
      <c r="AA66" s="310" t="e">
        <f>#REF!-'BS 3Q2022'!AA66</f>
        <v>#REF!</v>
      </c>
      <c r="AB66" s="388" t="e">
        <f>#REF!-'BS 3Q2022'!AB66</f>
        <v>#REF!</v>
      </c>
      <c r="AC66" s="139" t="e">
        <f>#REF!-'BS 3Q2022'!AC66</f>
        <v>#REF!</v>
      </c>
      <c r="AD66" s="139" t="e">
        <f>#REF!-'BS 3Q2022'!AD66</f>
        <v>#REF!</v>
      </c>
      <c r="AE66" s="309" t="e">
        <f>#REF!-'BS 3Q2022'!AE66</f>
        <v>#REF!</v>
      </c>
      <c r="AF66" s="309" t="e">
        <f>#REF!-'BS 3Q2022'!AF66</f>
        <v>#REF!</v>
      </c>
      <c r="AG66" s="388" t="e">
        <f>#REF!-'BS 3Q2022'!AG66</f>
        <v>#REF!</v>
      </c>
      <c r="AH66" s="139" t="e">
        <f>#REF!-'BS 3Q2022'!AH66</f>
        <v>#REF!</v>
      </c>
      <c r="AI66" s="139" t="e">
        <f>#REF!-'BS 3Q2022'!AI66</f>
        <v>#REF!</v>
      </c>
      <c r="AJ66" s="309" t="e">
        <f>#REF!-'BS 3Q2022'!AJ66</f>
        <v>#REF!</v>
      </c>
      <c r="AK66" s="309" t="e">
        <f>#REF!-'BS 3Q2022'!AK66</f>
        <v>#REF!</v>
      </c>
      <c r="AL66" s="388" t="e">
        <f>#REF!-'BS 3Q2022'!AL66</f>
        <v>#REF!</v>
      </c>
      <c r="AM66" s="139" t="e">
        <f>#REF!-'BS 3Q2022'!AM66</f>
        <v>#REF!</v>
      </c>
      <c r="AN66" s="139" t="e">
        <f>#REF!-'BS 3Q2022'!AN66</f>
        <v>#REF!</v>
      </c>
      <c r="AO66" s="309" t="e">
        <f>#REF!-'BS 3Q2022'!AO66</f>
        <v>#REF!</v>
      </c>
      <c r="AP66" s="309" t="e">
        <f>#REF!-'BS 3Q2022'!AP66</f>
        <v>#REF!</v>
      </c>
      <c r="AQ66" s="388" t="e">
        <f>#REF!-'BS 3Q2022'!AQ66</f>
        <v>#REF!</v>
      </c>
      <c r="AR66" s="139" t="e">
        <f>#REF!-'BS 3Q2022'!AR66</f>
        <v>#REF!</v>
      </c>
      <c r="AS66" s="139" t="e">
        <f>#REF!-'BS 3Q2022'!AS66</f>
        <v>#REF!</v>
      </c>
      <c r="AT66" s="309" t="e">
        <f>#REF!-'BS 3Q2022'!AT66</f>
        <v>#REF!</v>
      </c>
      <c r="AU66" s="309" t="e">
        <f>#REF!-'BS 3Q2022'!AU66</f>
        <v>#REF!</v>
      </c>
      <c r="AV66" s="388" t="e">
        <f>#REF!-'BS 3Q2022'!AV66</f>
        <v>#REF!</v>
      </c>
    </row>
    <row r="67" spans="2:48" outlineLevel="1" x14ac:dyDescent="0.3">
      <c r="B67" s="386" t="s">
        <v>326</v>
      </c>
      <c r="C67" s="312"/>
      <c r="D67" s="313" t="e">
        <f>#REF!-'BS 3Q2022'!D67</f>
        <v>#REF!</v>
      </c>
      <c r="E67" s="313" t="e">
        <f>#REF!-'BS 3Q2022'!E67</f>
        <v>#REF!</v>
      </c>
      <c r="F67" s="314" t="e">
        <f>#REF!-'BS 3Q2022'!F67</f>
        <v>#REF!</v>
      </c>
      <c r="G67" s="314" t="e">
        <f>#REF!-'BS 3Q2022'!G67</f>
        <v>#REF!</v>
      </c>
      <c r="H67" s="316" t="e">
        <f>#REF!-'BS 3Q2022'!H67</f>
        <v>#REF!</v>
      </c>
      <c r="I67" s="313" t="e">
        <f>#REF!-'BS 3Q2022'!I67</f>
        <v>#REF!</v>
      </c>
      <c r="J67" s="313" t="e">
        <f>#REF!-'BS 3Q2022'!J67</f>
        <v>#REF!</v>
      </c>
      <c r="K67" s="314" t="e">
        <f>#REF!-'BS 3Q2022'!K67</f>
        <v>#REF!</v>
      </c>
      <c r="L67" s="314" t="e">
        <f>#REF!-'BS 3Q2022'!L67</f>
        <v>#REF!</v>
      </c>
      <c r="M67" s="316" t="e">
        <f>#REF!-'BS 3Q2022'!M67</f>
        <v>#REF!</v>
      </c>
      <c r="N67" s="313" t="e">
        <f>#REF!-'BS 3Q2022'!N67</f>
        <v>#REF!</v>
      </c>
      <c r="O67" s="313" t="e">
        <f>#REF!-'BS 3Q2022'!O67</f>
        <v>#REF!</v>
      </c>
      <c r="P67" s="314" t="e">
        <f>#REF!-'BS 3Q2022'!P67</f>
        <v>#REF!</v>
      </c>
      <c r="Q67" s="314" t="e">
        <f>#REF!-'BS 3Q2022'!Q67</f>
        <v>#REF!</v>
      </c>
      <c r="R67" s="316" t="e">
        <f>#REF!-'BS 3Q2022'!R67</f>
        <v>#REF!</v>
      </c>
      <c r="S67" s="313" t="e">
        <f>#REF!-'BS 3Q2022'!S67</f>
        <v>#REF!</v>
      </c>
      <c r="T67" s="313" t="e">
        <f>#REF!-'BS 3Q2022'!T67</f>
        <v>#REF!</v>
      </c>
      <c r="U67" s="314" t="e">
        <f>#REF!-'BS 3Q2022'!U67</f>
        <v>#REF!</v>
      </c>
      <c r="V67" s="314" t="e">
        <f>#REF!-'BS 3Q2022'!V67</f>
        <v>#REF!</v>
      </c>
      <c r="W67" s="316" t="e">
        <f>#REF!-'BS 3Q2022'!W67</f>
        <v>#REF!</v>
      </c>
      <c r="X67" s="313" t="e">
        <f>#REF!-'BS 3Q2022'!X67</f>
        <v>#REF!</v>
      </c>
      <c r="Y67" s="313" t="e">
        <f>#REF!-'BS 3Q2022'!Y67</f>
        <v>#REF!</v>
      </c>
      <c r="Z67" s="314" t="e">
        <f>#REF!-'BS 3Q2022'!Z67</f>
        <v>#REF!</v>
      </c>
      <c r="AA67" s="315" t="e">
        <f>#REF!-'BS 3Q2022'!AA67</f>
        <v>#REF!</v>
      </c>
      <c r="AB67" s="316" t="e">
        <f>#REF!-'BS 3Q2022'!AB67</f>
        <v>#REF!</v>
      </c>
      <c r="AC67" s="313" t="e">
        <f>#REF!-'BS 3Q2022'!AC67</f>
        <v>#REF!</v>
      </c>
      <c r="AD67" s="313" t="e">
        <f>#REF!-'BS 3Q2022'!AD67</f>
        <v>#REF!</v>
      </c>
      <c r="AE67" s="314" t="e">
        <f>#REF!-'BS 3Q2022'!AE67</f>
        <v>#REF!</v>
      </c>
      <c r="AF67" s="314" t="e">
        <f>#REF!-'BS 3Q2022'!AF67</f>
        <v>#REF!</v>
      </c>
      <c r="AG67" s="316" t="e">
        <f>#REF!-'BS 3Q2022'!AG67</f>
        <v>#REF!</v>
      </c>
      <c r="AH67" s="313" t="e">
        <f>#REF!-'BS 3Q2022'!AH67</f>
        <v>#REF!</v>
      </c>
      <c r="AI67" s="313" t="e">
        <f>#REF!-'BS 3Q2022'!AI67</f>
        <v>#REF!</v>
      </c>
      <c r="AJ67" s="314" t="e">
        <f>#REF!-'BS 3Q2022'!AJ67</f>
        <v>#REF!</v>
      </c>
      <c r="AK67" s="314" t="e">
        <f>#REF!-'BS 3Q2022'!AK67</f>
        <v>#REF!</v>
      </c>
      <c r="AL67" s="316" t="e">
        <f>#REF!-'BS 3Q2022'!AL67</f>
        <v>#REF!</v>
      </c>
      <c r="AM67" s="313" t="e">
        <f>#REF!-'BS 3Q2022'!AM67</f>
        <v>#REF!</v>
      </c>
      <c r="AN67" s="313" t="e">
        <f>#REF!-'BS 3Q2022'!AN67</f>
        <v>#REF!</v>
      </c>
      <c r="AO67" s="314" t="e">
        <f>#REF!-'BS 3Q2022'!AO67</f>
        <v>#REF!</v>
      </c>
      <c r="AP67" s="314" t="e">
        <f>#REF!-'BS 3Q2022'!AP67</f>
        <v>#REF!</v>
      </c>
      <c r="AQ67" s="316" t="e">
        <f>#REF!-'BS 3Q2022'!AQ67</f>
        <v>#REF!</v>
      </c>
      <c r="AR67" s="313" t="e">
        <f>#REF!-'BS 3Q2022'!AR67</f>
        <v>#REF!</v>
      </c>
      <c r="AS67" s="313" t="e">
        <f>#REF!-'BS 3Q2022'!AS67</f>
        <v>#REF!</v>
      </c>
      <c r="AT67" s="314" t="e">
        <f>#REF!-'BS 3Q2022'!AT67</f>
        <v>#REF!</v>
      </c>
      <c r="AU67" s="314" t="e">
        <f>#REF!-'BS 3Q2022'!AU67</f>
        <v>#REF!</v>
      </c>
      <c r="AV67" s="316" t="e">
        <f>#REF!-'BS 3Q2022'!AV67</f>
        <v>#REF!</v>
      </c>
    </row>
  </sheetData>
  <dataConsolidate/>
  <mergeCells count="27">
    <mergeCell ref="B19:C19"/>
    <mergeCell ref="B3:C3"/>
    <mergeCell ref="B5:C5"/>
    <mergeCell ref="B6:C6"/>
    <mergeCell ref="B8:C8"/>
    <mergeCell ref="B10:C10"/>
    <mergeCell ref="B42:C42"/>
    <mergeCell ref="B20:C20"/>
    <mergeCell ref="B21:C21"/>
    <mergeCell ref="B22:C22"/>
    <mergeCell ref="B23:C23"/>
    <mergeCell ref="B34:C34"/>
    <mergeCell ref="B35:C35"/>
    <mergeCell ref="B36:C36"/>
    <mergeCell ref="B37:C37"/>
    <mergeCell ref="B38:C38"/>
    <mergeCell ref="B39:C39"/>
    <mergeCell ref="B41:C41"/>
    <mergeCell ref="B51:C51"/>
    <mergeCell ref="B52:C52"/>
    <mergeCell ref="B53:C53"/>
    <mergeCell ref="B44:C44"/>
    <mergeCell ref="B45:C45"/>
    <mergeCell ref="B47:C47"/>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C47F9-AE3D-4CDE-8FE4-389662C4FA8E}">
  <sheetPr>
    <tabColor theme="9" tint="0.79998168889431442"/>
    <pageSetUpPr fitToPage="1"/>
  </sheetPr>
  <dimension ref="B1:AV65"/>
  <sheetViews>
    <sheetView showGridLines="0" zoomScaleNormal="100" workbookViewId="0">
      <pane xSplit="3" ySplit="4" topLeftCell="U14"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583" t="s">
        <v>266</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601" t="s">
        <v>267</v>
      </c>
      <c r="C5" s="602"/>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t="e">
        <f>#REF!-'CFS 3Q2022'!D6</f>
        <v>#REF!</v>
      </c>
      <c r="E6" s="101" t="e">
        <f>#REF!-'CFS 3Q2022'!E6</f>
        <v>#REF!</v>
      </c>
      <c r="F6" s="16" t="e">
        <f>#REF!-'CFS 3Q2022'!F6</f>
        <v>#REF!</v>
      </c>
      <c r="G6" s="16" t="e">
        <f>#REF!-'CFS 3Q2022'!G6</f>
        <v>#REF!</v>
      </c>
      <c r="H6" s="17" t="e">
        <f>#REF!-'CFS 3Q2022'!H6</f>
        <v>#REF!</v>
      </c>
      <c r="I6" s="16" t="e">
        <f>#REF!-'CFS 3Q2022'!I6</f>
        <v>#REF!</v>
      </c>
      <c r="J6" s="16" t="e">
        <f>#REF!-'CFS 3Q2022'!J6</f>
        <v>#REF!</v>
      </c>
      <c r="K6" s="16" t="e">
        <f>#REF!-'CFS 3Q2022'!K6</f>
        <v>#REF!</v>
      </c>
      <c r="L6" s="16" t="e">
        <f>#REF!-'CFS 3Q2022'!L6</f>
        <v>#REF!</v>
      </c>
      <c r="M6" s="17" t="e">
        <f>#REF!-'CFS 3Q2022'!M6</f>
        <v>#REF!</v>
      </c>
      <c r="N6" s="16" t="e">
        <f>#REF!-'CFS 3Q2022'!N6</f>
        <v>#REF!</v>
      </c>
      <c r="O6" s="16" t="e">
        <f>#REF!-'CFS 3Q2022'!O6</f>
        <v>#REF!</v>
      </c>
      <c r="P6" s="16" t="e">
        <f>#REF!-'CFS 3Q2022'!P6</f>
        <v>#REF!</v>
      </c>
      <c r="Q6" s="16" t="e">
        <f>#REF!-'CFS 3Q2022'!Q6</f>
        <v>#REF!</v>
      </c>
      <c r="R6" s="17" t="e">
        <f>#REF!-'CFS 3Q2022'!R6</f>
        <v>#REF!</v>
      </c>
      <c r="S6" s="16" t="e">
        <f>#REF!-'CFS 3Q2022'!S6</f>
        <v>#REF!</v>
      </c>
      <c r="T6" s="16" t="e">
        <f>#REF!-'CFS 3Q2022'!T6</f>
        <v>#REF!</v>
      </c>
      <c r="U6" s="16" t="e">
        <f>#REF!-'CFS 3Q2022'!U6</f>
        <v>#REF!</v>
      </c>
      <c r="V6" s="16" t="e">
        <f>#REF!-'CFS 3Q2022'!V6</f>
        <v>#REF!</v>
      </c>
      <c r="W6" s="17" t="e">
        <f>#REF!-'CFS 3Q2022'!W6</f>
        <v>#REF!</v>
      </c>
      <c r="X6" s="16" t="e">
        <f>#REF!-'CFS 3Q2022'!X6</f>
        <v>#REF!</v>
      </c>
      <c r="Y6" s="16" t="e">
        <f>#REF!-'CFS 3Q2022'!Y6</f>
        <v>#REF!</v>
      </c>
      <c r="Z6" s="16" t="e">
        <f>#REF!-'CFS 3Q2022'!Z6</f>
        <v>#REF!</v>
      </c>
      <c r="AA6" s="16" t="e">
        <f>#REF!-'CFS 3Q2022'!AA6</f>
        <v>#REF!</v>
      </c>
      <c r="AB6" s="17" t="e">
        <f>#REF!-'CFS 3Q2022'!AB6</f>
        <v>#REF!</v>
      </c>
      <c r="AC6" s="16" t="e">
        <f>#REF!-'CFS 3Q2022'!AC6</f>
        <v>#REF!</v>
      </c>
      <c r="AD6" s="16" t="e">
        <f>#REF!-'CFS 3Q2022'!AD6</f>
        <v>#REF!</v>
      </c>
      <c r="AE6" s="16" t="e">
        <f>#REF!-'CFS 3Q2022'!AE6</f>
        <v>#REF!</v>
      </c>
      <c r="AF6" s="16" t="e">
        <f>#REF!-'CFS 3Q2022'!AF6</f>
        <v>#REF!</v>
      </c>
      <c r="AG6" s="17" t="e">
        <f>#REF!-'CFS 3Q2022'!AG6</f>
        <v>#REF!</v>
      </c>
      <c r="AH6" s="16" t="e">
        <f>#REF!-'CFS 3Q2022'!AH6</f>
        <v>#REF!</v>
      </c>
      <c r="AI6" s="16" t="e">
        <f>#REF!-'CFS 3Q2022'!AI6</f>
        <v>#REF!</v>
      </c>
      <c r="AJ6" s="16" t="e">
        <f>#REF!-'CFS 3Q2022'!AJ6</f>
        <v>#REF!</v>
      </c>
      <c r="AK6" s="16" t="e">
        <f>#REF!-'CFS 3Q2022'!AK6</f>
        <v>#REF!</v>
      </c>
      <c r="AL6" s="17" t="e">
        <f>#REF!-'CFS 3Q2022'!AL6</f>
        <v>#REF!</v>
      </c>
      <c r="AM6" s="16" t="e">
        <f>#REF!-'CFS 3Q2022'!AM6</f>
        <v>#REF!</v>
      </c>
      <c r="AN6" s="16" t="e">
        <f>#REF!-'CFS 3Q2022'!AN6</f>
        <v>#REF!</v>
      </c>
      <c r="AO6" s="16" t="e">
        <f>#REF!-'CFS 3Q2022'!AO6</f>
        <v>#REF!</v>
      </c>
      <c r="AP6" s="16" t="e">
        <f>#REF!-'CFS 3Q2022'!AP6</f>
        <v>#REF!</v>
      </c>
      <c r="AQ6" s="17" t="e">
        <f>#REF!-'CFS 3Q2022'!AQ6</f>
        <v>#REF!</v>
      </c>
      <c r="AR6" s="16" t="e">
        <f>#REF!-'CFS 3Q2022'!AR6</f>
        <v>#REF!</v>
      </c>
      <c r="AS6" s="16" t="e">
        <f>#REF!-'CFS 3Q2022'!AS6</f>
        <v>#REF!</v>
      </c>
      <c r="AT6" s="16" t="e">
        <f>#REF!-'CFS 3Q2022'!AT6</f>
        <v>#REF!</v>
      </c>
      <c r="AU6" s="16" t="e">
        <f>#REF!-'CFS 3Q2022'!AU6</f>
        <v>#REF!</v>
      </c>
      <c r="AV6" s="17" t="e">
        <f>#REF!-'CFS 3Q2022'!AV6</f>
        <v>#REF!</v>
      </c>
    </row>
    <row r="7" spans="2:48" outlineLevel="1" x14ac:dyDescent="0.3">
      <c r="B7" s="308" t="s">
        <v>269</v>
      </c>
      <c r="C7" s="44"/>
      <c r="D7" s="16" t="e">
        <f>#REF!-'CFS 3Q2022'!D7</f>
        <v>#REF!</v>
      </c>
      <c r="E7" s="16" t="e">
        <f>#REF!-'CFS 3Q2022'!E7</f>
        <v>#REF!</v>
      </c>
      <c r="F7" s="16" t="e">
        <f>#REF!-'CFS 3Q2022'!F7</f>
        <v>#REF!</v>
      </c>
      <c r="G7" s="16" t="e">
        <f>#REF!-'CFS 3Q2022'!G7</f>
        <v>#REF!</v>
      </c>
      <c r="H7" s="17" t="e">
        <f>#REF!-'CFS 3Q2022'!H7</f>
        <v>#REF!</v>
      </c>
      <c r="I7" s="16" t="e">
        <f>#REF!-'CFS 3Q2022'!I7</f>
        <v>#REF!</v>
      </c>
      <c r="J7" s="16" t="e">
        <f>#REF!-'CFS 3Q2022'!J7</f>
        <v>#REF!</v>
      </c>
      <c r="K7" s="16" t="e">
        <f>#REF!-'CFS 3Q2022'!K7</f>
        <v>#REF!</v>
      </c>
      <c r="L7" s="16" t="e">
        <f>#REF!-'CFS 3Q2022'!L7</f>
        <v>#REF!</v>
      </c>
      <c r="M7" s="17" t="e">
        <f>#REF!-'CFS 3Q2022'!M7</f>
        <v>#REF!</v>
      </c>
      <c r="N7" s="16" t="e">
        <f>#REF!-'CFS 3Q2022'!N7</f>
        <v>#REF!</v>
      </c>
      <c r="O7" s="16" t="e">
        <f>#REF!-'CFS 3Q2022'!O7</f>
        <v>#REF!</v>
      </c>
      <c r="P7" s="16" t="e">
        <f>#REF!-'CFS 3Q2022'!P7</f>
        <v>#REF!</v>
      </c>
      <c r="Q7" s="16" t="e">
        <f>#REF!-'CFS 3Q2022'!Q7</f>
        <v>#REF!</v>
      </c>
      <c r="R7" s="17" t="e">
        <f>#REF!-'CFS 3Q2022'!R7</f>
        <v>#REF!</v>
      </c>
      <c r="S7" s="16" t="e">
        <f>#REF!-'CFS 3Q2022'!S7</f>
        <v>#REF!</v>
      </c>
      <c r="T7" s="16" t="e">
        <f>#REF!-'CFS 3Q2022'!T7</f>
        <v>#REF!</v>
      </c>
      <c r="U7" s="16" t="e">
        <f>#REF!-'CFS 3Q2022'!U7</f>
        <v>#REF!</v>
      </c>
      <c r="V7" s="16" t="e">
        <f>#REF!-'CFS 3Q2022'!V7</f>
        <v>#REF!</v>
      </c>
      <c r="W7" s="17" t="e">
        <f>#REF!-'CFS 3Q2022'!W7</f>
        <v>#REF!</v>
      </c>
      <c r="X7" s="16" t="e">
        <f>#REF!-'CFS 3Q2022'!X7</f>
        <v>#REF!</v>
      </c>
      <c r="Y7" s="16" t="e">
        <f>#REF!-'CFS 3Q2022'!Y7</f>
        <v>#REF!</v>
      </c>
      <c r="Z7" s="16" t="e">
        <f>#REF!-'CFS 3Q2022'!Z7</f>
        <v>#REF!</v>
      </c>
      <c r="AA7" s="16" t="e">
        <f>#REF!-'CFS 3Q2022'!AA7</f>
        <v>#REF!</v>
      </c>
      <c r="AB7" s="17" t="e">
        <f>#REF!-'CFS 3Q2022'!AB7</f>
        <v>#REF!</v>
      </c>
      <c r="AC7" s="16" t="e">
        <f>#REF!-'CFS 3Q2022'!AC7</f>
        <v>#REF!</v>
      </c>
      <c r="AD7" s="16" t="e">
        <f>#REF!-'CFS 3Q2022'!AD7</f>
        <v>#REF!</v>
      </c>
      <c r="AE7" s="16" t="e">
        <f>#REF!-'CFS 3Q2022'!AE7</f>
        <v>#REF!</v>
      </c>
      <c r="AF7" s="16" t="e">
        <f>#REF!-'CFS 3Q2022'!AF7</f>
        <v>#REF!</v>
      </c>
      <c r="AG7" s="17" t="e">
        <f>#REF!-'CFS 3Q2022'!AG7</f>
        <v>#REF!</v>
      </c>
      <c r="AH7" s="16" t="e">
        <f>#REF!-'CFS 3Q2022'!AH7</f>
        <v>#REF!</v>
      </c>
      <c r="AI7" s="16" t="e">
        <f>#REF!-'CFS 3Q2022'!AI7</f>
        <v>#REF!</v>
      </c>
      <c r="AJ7" s="16" t="e">
        <f>#REF!-'CFS 3Q2022'!AJ7</f>
        <v>#REF!</v>
      </c>
      <c r="AK7" s="16" t="e">
        <f>#REF!-'CFS 3Q2022'!AK7</f>
        <v>#REF!</v>
      </c>
      <c r="AL7" s="17" t="e">
        <f>#REF!-'CFS 3Q2022'!AL7</f>
        <v>#REF!</v>
      </c>
      <c r="AM7" s="16" t="e">
        <f>#REF!-'CFS 3Q2022'!AM7</f>
        <v>#REF!</v>
      </c>
      <c r="AN7" s="16" t="e">
        <f>#REF!-'CFS 3Q2022'!AN7</f>
        <v>#REF!</v>
      </c>
      <c r="AO7" s="16" t="e">
        <f>#REF!-'CFS 3Q2022'!AO7</f>
        <v>#REF!</v>
      </c>
      <c r="AP7" s="16" t="e">
        <f>#REF!-'CFS 3Q2022'!AP7</f>
        <v>#REF!</v>
      </c>
      <c r="AQ7" s="17" t="e">
        <f>#REF!-'CFS 3Q2022'!AQ7</f>
        <v>#REF!</v>
      </c>
      <c r="AR7" s="16" t="e">
        <f>#REF!-'CFS 3Q2022'!AR7</f>
        <v>#REF!</v>
      </c>
      <c r="AS7" s="16" t="e">
        <f>#REF!-'CFS 3Q2022'!AS7</f>
        <v>#REF!</v>
      </c>
      <c r="AT7" s="16" t="e">
        <f>#REF!-'CFS 3Q2022'!AT7</f>
        <v>#REF!</v>
      </c>
      <c r="AU7" s="16" t="e">
        <f>#REF!-'CFS 3Q2022'!AU7</f>
        <v>#REF!</v>
      </c>
      <c r="AV7" s="17" t="e">
        <f>#REF!-'CFS 3Q2022'!AV7</f>
        <v>#REF!</v>
      </c>
    </row>
    <row r="8" spans="2:48" outlineLevel="1" x14ac:dyDescent="0.3">
      <c r="B8" s="308" t="s">
        <v>222</v>
      </c>
      <c r="C8" s="44"/>
      <c r="D8" s="16" t="e">
        <f>#REF!-'CFS 3Q2022'!D8</f>
        <v>#REF!</v>
      </c>
      <c r="E8" s="16" t="e">
        <f>#REF!-'CFS 3Q2022'!E8</f>
        <v>#REF!</v>
      </c>
      <c r="F8" s="16" t="e">
        <f>#REF!-'CFS 3Q2022'!F8</f>
        <v>#REF!</v>
      </c>
      <c r="G8" s="101" t="e">
        <f>#REF!-'CFS 3Q2022'!G8</f>
        <v>#REF!</v>
      </c>
      <c r="H8" s="17" t="e">
        <f>#REF!-'CFS 3Q2022'!H8</f>
        <v>#REF!</v>
      </c>
      <c r="I8" s="16" t="e">
        <f>#REF!-'CFS 3Q2022'!I8</f>
        <v>#REF!</v>
      </c>
      <c r="J8" s="16" t="e">
        <f>#REF!-'CFS 3Q2022'!J8</f>
        <v>#REF!</v>
      </c>
      <c r="K8" s="16" t="e">
        <f>#REF!-'CFS 3Q2022'!K8</f>
        <v>#REF!</v>
      </c>
      <c r="L8" s="101" t="e">
        <f>#REF!-'CFS 3Q2022'!L8</f>
        <v>#REF!</v>
      </c>
      <c r="M8" s="17" t="e">
        <f>#REF!-'CFS 3Q2022'!M8</f>
        <v>#REF!</v>
      </c>
      <c r="N8" s="16" t="e">
        <f>#REF!-'CFS 3Q2022'!N8</f>
        <v>#REF!</v>
      </c>
      <c r="O8" s="16" t="e">
        <f>#REF!-'CFS 3Q2022'!O8</f>
        <v>#REF!</v>
      </c>
      <c r="P8" s="16" t="e">
        <f>#REF!-'CFS 3Q2022'!P8</f>
        <v>#REF!</v>
      </c>
      <c r="Q8" s="101" t="e">
        <f>#REF!-'CFS 3Q2022'!Q8</f>
        <v>#REF!</v>
      </c>
      <c r="R8" s="17" t="e">
        <f>#REF!-'CFS 3Q2022'!R8</f>
        <v>#REF!</v>
      </c>
      <c r="S8" s="16" t="e">
        <f>#REF!-'CFS 3Q2022'!S8</f>
        <v>#REF!</v>
      </c>
      <c r="T8" s="16" t="e">
        <f>#REF!-'CFS 3Q2022'!T8</f>
        <v>#REF!</v>
      </c>
      <c r="U8" s="16" t="e">
        <f>#REF!-'CFS 3Q2022'!U8</f>
        <v>#REF!</v>
      </c>
      <c r="V8" s="16" t="e">
        <f>#REF!-'CFS 3Q2022'!V8</f>
        <v>#REF!</v>
      </c>
      <c r="W8" s="17" t="e">
        <f>#REF!-'CFS 3Q2022'!W8</f>
        <v>#REF!</v>
      </c>
      <c r="X8" s="16" t="e">
        <f>#REF!-'CFS 3Q2022'!X8</f>
        <v>#REF!</v>
      </c>
      <c r="Y8" s="16" t="e">
        <f>#REF!-'CFS 3Q2022'!Y8</f>
        <v>#REF!</v>
      </c>
      <c r="Z8" s="16" t="e">
        <f>#REF!-'CFS 3Q2022'!Z8</f>
        <v>#REF!</v>
      </c>
      <c r="AA8" s="16" t="e">
        <f>#REF!-'CFS 3Q2022'!AA8</f>
        <v>#REF!</v>
      </c>
      <c r="AB8" s="17" t="e">
        <f>#REF!-'CFS 3Q2022'!AB8</f>
        <v>#REF!</v>
      </c>
      <c r="AC8" s="16" t="e">
        <f>#REF!-'CFS 3Q2022'!AC8</f>
        <v>#REF!</v>
      </c>
      <c r="AD8" s="16" t="e">
        <f>#REF!-'CFS 3Q2022'!AD8</f>
        <v>#REF!</v>
      </c>
      <c r="AE8" s="16" t="e">
        <f>#REF!-'CFS 3Q2022'!AE8</f>
        <v>#REF!</v>
      </c>
      <c r="AF8" s="16" t="e">
        <f>#REF!-'CFS 3Q2022'!AF8</f>
        <v>#REF!</v>
      </c>
      <c r="AG8" s="17" t="e">
        <f>#REF!-'CFS 3Q2022'!AG8</f>
        <v>#REF!</v>
      </c>
      <c r="AH8" s="16" t="e">
        <f>#REF!-'CFS 3Q2022'!AH8</f>
        <v>#REF!</v>
      </c>
      <c r="AI8" s="16" t="e">
        <f>#REF!-'CFS 3Q2022'!AI8</f>
        <v>#REF!</v>
      </c>
      <c r="AJ8" s="16" t="e">
        <f>#REF!-'CFS 3Q2022'!AJ8</f>
        <v>#REF!</v>
      </c>
      <c r="AK8" s="16" t="e">
        <f>#REF!-'CFS 3Q2022'!AK8</f>
        <v>#REF!</v>
      </c>
      <c r="AL8" s="17" t="e">
        <f>#REF!-'CFS 3Q2022'!AL8</f>
        <v>#REF!</v>
      </c>
      <c r="AM8" s="16" t="e">
        <f>#REF!-'CFS 3Q2022'!AM8</f>
        <v>#REF!</v>
      </c>
      <c r="AN8" s="16" t="e">
        <f>#REF!-'CFS 3Q2022'!AN8</f>
        <v>#REF!</v>
      </c>
      <c r="AO8" s="16" t="e">
        <f>#REF!-'CFS 3Q2022'!AO8</f>
        <v>#REF!</v>
      </c>
      <c r="AP8" s="16" t="e">
        <f>#REF!-'CFS 3Q2022'!AP8</f>
        <v>#REF!</v>
      </c>
      <c r="AQ8" s="17" t="e">
        <f>#REF!-'CFS 3Q2022'!AQ8</f>
        <v>#REF!</v>
      </c>
      <c r="AR8" s="16" t="e">
        <f>#REF!-'CFS 3Q2022'!AR8</f>
        <v>#REF!</v>
      </c>
      <c r="AS8" s="16" t="e">
        <f>#REF!-'CFS 3Q2022'!AS8</f>
        <v>#REF!</v>
      </c>
      <c r="AT8" s="16" t="e">
        <f>#REF!-'CFS 3Q2022'!AT8</f>
        <v>#REF!</v>
      </c>
      <c r="AU8" s="16" t="e">
        <f>#REF!-'CFS 3Q2022'!AU8</f>
        <v>#REF!</v>
      </c>
      <c r="AV8" s="17" t="e">
        <f>#REF!-'CFS 3Q2022'!AV8</f>
        <v>#REF!</v>
      </c>
    </row>
    <row r="9" spans="2:48" outlineLevel="1" x14ac:dyDescent="0.3">
      <c r="B9" s="308" t="s">
        <v>270</v>
      </c>
      <c r="C9" s="44"/>
      <c r="D9" s="16" t="e">
        <f>#REF!-'CFS 3Q2022'!D9</f>
        <v>#REF!</v>
      </c>
      <c r="E9" s="16" t="e">
        <f>#REF!-'CFS 3Q2022'!E9</f>
        <v>#REF!</v>
      </c>
      <c r="F9" s="16" t="e">
        <f>#REF!-'CFS 3Q2022'!F9</f>
        <v>#REF!</v>
      </c>
      <c r="G9" s="101" t="e">
        <f>#REF!-'CFS 3Q2022'!G9</f>
        <v>#REF!</v>
      </c>
      <c r="H9" s="17" t="e">
        <f>#REF!-'CFS 3Q2022'!H9</f>
        <v>#REF!</v>
      </c>
      <c r="I9" s="16" t="e">
        <f>#REF!-'CFS 3Q2022'!I9</f>
        <v>#REF!</v>
      </c>
      <c r="J9" s="16" t="e">
        <f>#REF!-'CFS 3Q2022'!J9</f>
        <v>#REF!</v>
      </c>
      <c r="K9" s="16" t="e">
        <f>#REF!-'CFS 3Q2022'!K9</f>
        <v>#REF!</v>
      </c>
      <c r="L9" s="101" t="e">
        <f>#REF!-'CFS 3Q2022'!L9</f>
        <v>#REF!</v>
      </c>
      <c r="M9" s="17" t="e">
        <f>#REF!-'CFS 3Q2022'!M9</f>
        <v>#REF!</v>
      </c>
      <c r="N9" s="16" t="e">
        <f>#REF!-'CFS 3Q2022'!N9</f>
        <v>#REF!</v>
      </c>
      <c r="O9" s="16" t="e">
        <f>#REF!-'CFS 3Q2022'!O9</f>
        <v>#REF!</v>
      </c>
      <c r="P9" s="16" t="e">
        <f>#REF!-'CFS 3Q2022'!P9</f>
        <v>#REF!</v>
      </c>
      <c r="Q9" s="101" t="e">
        <f>#REF!-'CFS 3Q2022'!Q9</f>
        <v>#REF!</v>
      </c>
      <c r="R9" s="17" t="e">
        <f>#REF!-'CFS 3Q2022'!R9</f>
        <v>#REF!</v>
      </c>
      <c r="S9" s="16" t="e">
        <f>#REF!-'CFS 3Q2022'!S9</f>
        <v>#REF!</v>
      </c>
      <c r="T9" s="16" t="e">
        <f>#REF!-'CFS 3Q2022'!T9</f>
        <v>#REF!</v>
      </c>
      <c r="U9" s="16" t="e">
        <f>#REF!-'CFS 3Q2022'!U9</f>
        <v>#REF!</v>
      </c>
      <c r="V9" s="16" t="e">
        <f>#REF!-'CFS 3Q2022'!V9</f>
        <v>#REF!</v>
      </c>
      <c r="W9" s="17" t="e">
        <f>#REF!-'CFS 3Q2022'!W9</f>
        <v>#REF!</v>
      </c>
      <c r="X9" s="16" t="e">
        <f>#REF!-'CFS 3Q2022'!X9</f>
        <v>#REF!</v>
      </c>
      <c r="Y9" s="16" t="e">
        <f>#REF!-'CFS 3Q2022'!Y9</f>
        <v>#REF!</v>
      </c>
      <c r="Z9" s="16" t="e">
        <f>#REF!-'CFS 3Q2022'!Z9</f>
        <v>#REF!</v>
      </c>
      <c r="AA9" s="16" t="e">
        <f>#REF!-'CFS 3Q2022'!AA9</f>
        <v>#REF!</v>
      </c>
      <c r="AB9" s="17" t="e">
        <f>#REF!-'CFS 3Q2022'!AB9</f>
        <v>#REF!</v>
      </c>
      <c r="AC9" s="16" t="e">
        <f>#REF!-'CFS 3Q2022'!AC9</f>
        <v>#REF!</v>
      </c>
      <c r="AD9" s="16" t="e">
        <f>#REF!-'CFS 3Q2022'!AD9</f>
        <v>#REF!</v>
      </c>
      <c r="AE9" s="16" t="e">
        <f>#REF!-'CFS 3Q2022'!AE9</f>
        <v>#REF!</v>
      </c>
      <c r="AF9" s="16" t="e">
        <f>#REF!-'CFS 3Q2022'!AF9</f>
        <v>#REF!</v>
      </c>
      <c r="AG9" s="17" t="e">
        <f>#REF!-'CFS 3Q2022'!AG9</f>
        <v>#REF!</v>
      </c>
      <c r="AH9" s="16" t="e">
        <f>#REF!-'CFS 3Q2022'!AH9</f>
        <v>#REF!</v>
      </c>
      <c r="AI9" s="16" t="e">
        <f>#REF!-'CFS 3Q2022'!AI9</f>
        <v>#REF!</v>
      </c>
      <c r="AJ9" s="16" t="e">
        <f>#REF!-'CFS 3Q2022'!AJ9</f>
        <v>#REF!</v>
      </c>
      <c r="AK9" s="16" t="e">
        <f>#REF!-'CFS 3Q2022'!AK9</f>
        <v>#REF!</v>
      </c>
      <c r="AL9" s="17" t="e">
        <f>#REF!-'CFS 3Q2022'!AL9</f>
        <v>#REF!</v>
      </c>
      <c r="AM9" s="16" t="e">
        <f>#REF!-'CFS 3Q2022'!AM9</f>
        <v>#REF!</v>
      </c>
      <c r="AN9" s="16" t="e">
        <f>#REF!-'CFS 3Q2022'!AN9</f>
        <v>#REF!</v>
      </c>
      <c r="AO9" s="16" t="e">
        <f>#REF!-'CFS 3Q2022'!AO9</f>
        <v>#REF!</v>
      </c>
      <c r="AP9" s="16" t="e">
        <f>#REF!-'CFS 3Q2022'!AP9</f>
        <v>#REF!</v>
      </c>
      <c r="AQ9" s="17" t="e">
        <f>#REF!-'CFS 3Q2022'!AQ9</f>
        <v>#REF!</v>
      </c>
      <c r="AR9" s="16" t="e">
        <f>#REF!-'CFS 3Q2022'!AR9</f>
        <v>#REF!</v>
      </c>
      <c r="AS9" s="16" t="e">
        <f>#REF!-'CFS 3Q2022'!AS9</f>
        <v>#REF!</v>
      </c>
      <c r="AT9" s="16" t="e">
        <f>#REF!-'CFS 3Q2022'!AT9</f>
        <v>#REF!</v>
      </c>
      <c r="AU9" s="16" t="e">
        <f>#REF!-'CFS 3Q2022'!AU9</f>
        <v>#REF!</v>
      </c>
      <c r="AV9" s="17" t="e">
        <f>#REF!-'CFS 3Q2022'!AV9</f>
        <v>#REF!</v>
      </c>
    </row>
    <row r="10" spans="2:48" outlineLevel="1" x14ac:dyDescent="0.3">
      <c r="B10" s="308" t="s">
        <v>271</v>
      </c>
      <c r="C10" s="44"/>
      <c r="D10" s="16" t="e">
        <f>#REF!-'CFS 3Q2022'!D10</f>
        <v>#REF!</v>
      </c>
      <c r="E10" s="16" t="e">
        <f>#REF!-'CFS 3Q2022'!E10</f>
        <v>#REF!</v>
      </c>
      <c r="F10" s="16" t="e">
        <f>#REF!-'CFS 3Q2022'!F10</f>
        <v>#REF!</v>
      </c>
      <c r="G10" s="101" t="e">
        <f>#REF!-'CFS 3Q2022'!G10</f>
        <v>#REF!</v>
      </c>
      <c r="H10" s="17" t="e">
        <f>#REF!-'CFS 3Q2022'!H10</f>
        <v>#REF!</v>
      </c>
      <c r="I10" s="16" t="e">
        <f>#REF!-'CFS 3Q2022'!I10</f>
        <v>#REF!</v>
      </c>
      <c r="J10" s="16" t="e">
        <f>#REF!-'CFS 3Q2022'!J10</f>
        <v>#REF!</v>
      </c>
      <c r="K10" s="16" t="e">
        <f>#REF!-'CFS 3Q2022'!K10</f>
        <v>#REF!</v>
      </c>
      <c r="L10" s="101" t="e">
        <f>#REF!-'CFS 3Q2022'!L10</f>
        <v>#REF!</v>
      </c>
      <c r="M10" s="17" t="e">
        <f>#REF!-'CFS 3Q2022'!M10</f>
        <v>#REF!</v>
      </c>
      <c r="N10" s="16" t="e">
        <f>#REF!-'CFS 3Q2022'!N10</f>
        <v>#REF!</v>
      </c>
      <c r="O10" s="16" t="e">
        <f>#REF!-'CFS 3Q2022'!O10</f>
        <v>#REF!</v>
      </c>
      <c r="P10" s="16" t="e">
        <f>#REF!-'CFS 3Q2022'!P10</f>
        <v>#REF!</v>
      </c>
      <c r="Q10" s="101" t="e">
        <f>#REF!-'CFS 3Q2022'!Q10</f>
        <v>#REF!</v>
      </c>
      <c r="R10" s="17" t="e">
        <f>#REF!-'CFS 3Q2022'!R10</f>
        <v>#REF!</v>
      </c>
      <c r="S10" s="16" t="e">
        <f>#REF!-'CFS 3Q2022'!S10</f>
        <v>#REF!</v>
      </c>
      <c r="T10" s="16" t="e">
        <f>#REF!-'CFS 3Q2022'!T10</f>
        <v>#REF!</v>
      </c>
      <c r="U10" s="16" t="e">
        <f>#REF!-'CFS 3Q2022'!U10</f>
        <v>#REF!</v>
      </c>
      <c r="V10" s="16" t="e">
        <f>#REF!-'CFS 3Q2022'!V10</f>
        <v>#REF!</v>
      </c>
      <c r="W10" s="17" t="e">
        <f>#REF!-'CFS 3Q2022'!W10</f>
        <v>#REF!</v>
      </c>
      <c r="X10" s="16" t="e">
        <f>#REF!-'CFS 3Q2022'!X10</f>
        <v>#REF!</v>
      </c>
      <c r="Y10" s="16" t="e">
        <f>#REF!-'CFS 3Q2022'!Y10</f>
        <v>#REF!</v>
      </c>
      <c r="Z10" s="16" t="e">
        <f>#REF!-'CFS 3Q2022'!Z10</f>
        <v>#REF!</v>
      </c>
      <c r="AA10" s="16" t="e">
        <f>#REF!-'CFS 3Q2022'!AA10</f>
        <v>#REF!</v>
      </c>
      <c r="AB10" s="17" t="e">
        <f>#REF!-'CFS 3Q2022'!AB10</f>
        <v>#REF!</v>
      </c>
      <c r="AC10" s="16" t="e">
        <f>#REF!-'CFS 3Q2022'!AC10</f>
        <v>#REF!</v>
      </c>
      <c r="AD10" s="16" t="e">
        <f>#REF!-'CFS 3Q2022'!AD10</f>
        <v>#REF!</v>
      </c>
      <c r="AE10" s="16" t="e">
        <f>#REF!-'CFS 3Q2022'!AE10</f>
        <v>#REF!</v>
      </c>
      <c r="AF10" s="16" t="e">
        <f>#REF!-'CFS 3Q2022'!AF10</f>
        <v>#REF!</v>
      </c>
      <c r="AG10" s="17" t="e">
        <f>#REF!-'CFS 3Q2022'!AG10</f>
        <v>#REF!</v>
      </c>
      <c r="AH10" s="16" t="e">
        <f>#REF!-'CFS 3Q2022'!AH10</f>
        <v>#REF!</v>
      </c>
      <c r="AI10" s="16" t="e">
        <f>#REF!-'CFS 3Q2022'!AI10</f>
        <v>#REF!</v>
      </c>
      <c r="AJ10" s="16" t="e">
        <f>#REF!-'CFS 3Q2022'!AJ10</f>
        <v>#REF!</v>
      </c>
      <c r="AK10" s="16" t="e">
        <f>#REF!-'CFS 3Q2022'!AK10</f>
        <v>#REF!</v>
      </c>
      <c r="AL10" s="17" t="e">
        <f>#REF!-'CFS 3Q2022'!AL10</f>
        <v>#REF!</v>
      </c>
      <c r="AM10" s="16" t="e">
        <f>#REF!-'CFS 3Q2022'!AM10</f>
        <v>#REF!</v>
      </c>
      <c r="AN10" s="16" t="e">
        <f>#REF!-'CFS 3Q2022'!AN10</f>
        <v>#REF!</v>
      </c>
      <c r="AO10" s="16" t="e">
        <f>#REF!-'CFS 3Q2022'!AO10</f>
        <v>#REF!</v>
      </c>
      <c r="AP10" s="16" t="e">
        <f>#REF!-'CFS 3Q2022'!AP10</f>
        <v>#REF!</v>
      </c>
      <c r="AQ10" s="17" t="e">
        <f>#REF!-'CFS 3Q2022'!AQ10</f>
        <v>#REF!</v>
      </c>
      <c r="AR10" s="16" t="e">
        <f>#REF!-'CFS 3Q2022'!AR10</f>
        <v>#REF!</v>
      </c>
      <c r="AS10" s="16" t="e">
        <f>#REF!-'CFS 3Q2022'!AS10</f>
        <v>#REF!</v>
      </c>
      <c r="AT10" s="16" t="e">
        <f>#REF!-'CFS 3Q2022'!AT10</f>
        <v>#REF!</v>
      </c>
      <c r="AU10" s="16" t="e">
        <f>#REF!-'CFS 3Q2022'!AU10</f>
        <v>#REF!</v>
      </c>
      <c r="AV10" s="17" t="e">
        <f>#REF!-'CFS 3Q2022'!AV10</f>
        <v>#REF!</v>
      </c>
    </row>
    <row r="11" spans="2:48" outlineLevel="1" x14ac:dyDescent="0.3">
      <c r="B11" s="308" t="s">
        <v>272</v>
      </c>
      <c r="C11" s="44"/>
      <c r="D11" s="16" t="e">
        <f>#REF!-'CFS 3Q2022'!D11</f>
        <v>#REF!</v>
      </c>
      <c r="E11" s="16" t="e">
        <f>#REF!-'CFS 3Q2022'!E11</f>
        <v>#REF!</v>
      </c>
      <c r="F11" s="16" t="e">
        <f>#REF!-'CFS 3Q2022'!F11</f>
        <v>#REF!</v>
      </c>
      <c r="G11" s="101" t="e">
        <f>#REF!-'CFS 3Q2022'!G11</f>
        <v>#REF!</v>
      </c>
      <c r="H11" s="17" t="e">
        <f>#REF!-'CFS 3Q2022'!H11</f>
        <v>#REF!</v>
      </c>
      <c r="I11" s="16" t="e">
        <f>#REF!-'CFS 3Q2022'!I11</f>
        <v>#REF!</v>
      </c>
      <c r="J11" s="16" t="e">
        <f>#REF!-'CFS 3Q2022'!J11</f>
        <v>#REF!</v>
      </c>
      <c r="K11" s="16" t="e">
        <f>#REF!-'CFS 3Q2022'!K11</f>
        <v>#REF!</v>
      </c>
      <c r="L11" s="101" t="e">
        <f>#REF!-'CFS 3Q2022'!L11</f>
        <v>#REF!</v>
      </c>
      <c r="M11" s="17" t="e">
        <f>#REF!-'CFS 3Q2022'!M11</f>
        <v>#REF!</v>
      </c>
      <c r="N11" s="16" t="e">
        <f>#REF!-'CFS 3Q2022'!N11</f>
        <v>#REF!</v>
      </c>
      <c r="O11" s="16" t="e">
        <f>#REF!-'CFS 3Q2022'!O11</f>
        <v>#REF!</v>
      </c>
      <c r="P11" s="16" t="e">
        <f>#REF!-'CFS 3Q2022'!P11</f>
        <v>#REF!</v>
      </c>
      <c r="Q11" s="101" t="e">
        <f>#REF!-'CFS 3Q2022'!Q11</f>
        <v>#REF!</v>
      </c>
      <c r="R11" s="17" t="e">
        <f>#REF!-'CFS 3Q2022'!R11</f>
        <v>#REF!</v>
      </c>
      <c r="S11" s="16" t="e">
        <f>#REF!-'CFS 3Q2022'!S11</f>
        <v>#REF!</v>
      </c>
      <c r="T11" s="16" t="e">
        <f>#REF!-'CFS 3Q2022'!T11</f>
        <v>#REF!</v>
      </c>
      <c r="U11" s="16" t="e">
        <f>#REF!-'CFS 3Q2022'!U11</f>
        <v>#REF!</v>
      </c>
      <c r="V11" s="16" t="e">
        <f>#REF!-'CFS 3Q2022'!V11</f>
        <v>#REF!</v>
      </c>
      <c r="W11" s="17" t="e">
        <f>#REF!-'CFS 3Q2022'!W11</f>
        <v>#REF!</v>
      </c>
      <c r="X11" s="16" t="e">
        <f>#REF!-'CFS 3Q2022'!X11</f>
        <v>#REF!</v>
      </c>
      <c r="Y11" s="16" t="e">
        <f>#REF!-'CFS 3Q2022'!Y11</f>
        <v>#REF!</v>
      </c>
      <c r="Z11" s="16" t="e">
        <f>#REF!-'CFS 3Q2022'!Z11</f>
        <v>#REF!</v>
      </c>
      <c r="AA11" s="16" t="e">
        <f>#REF!-'CFS 3Q2022'!AA11</f>
        <v>#REF!</v>
      </c>
      <c r="AB11" s="17" t="e">
        <f>#REF!-'CFS 3Q2022'!AB11</f>
        <v>#REF!</v>
      </c>
      <c r="AC11" s="16" t="e">
        <f>#REF!-'CFS 3Q2022'!AC11</f>
        <v>#REF!</v>
      </c>
      <c r="AD11" s="16" t="e">
        <f>#REF!-'CFS 3Q2022'!AD11</f>
        <v>#REF!</v>
      </c>
      <c r="AE11" s="16" t="e">
        <f>#REF!-'CFS 3Q2022'!AE11</f>
        <v>#REF!</v>
      </c>
      <c r="AF11" s="16" t="e">
        <f>#REF!-'CFS 3Q2022'!AF11</f>
        <v>#REF!</v>
      </c>
      <c r="AG11" s="17" t="e">
        <f>#REF!-'CFS 3Q2022'!AG11</f>
        <v>#REF!</v>
      </c>
      <c r="AH11" s="16" t="e">
        <f>#REF!-'CFS 3Q2022'!AH11</f>
        <v>#REF!</v>
      </c>
      <c r="AI11" s="16" t="e">
        <f>#REF!-'CFS 3Q2022'!AI11</f>
        <v>#REF!</v>
      </c>
      <c r="AJ11" s="16" t="e">
        <f>#REF!-'CFS 3Q2022'!AJ11</f>
        <v>#REF!</v>
      </c>
      <c r="AK11" s="16" t="e">
        <f>#REF!-'CFS 3Q2022'!AK11</f>
        <v>#REF!</v>
      </c>
      <c r="AL11" s="17" t="e">
        <f>#REF!-'CFS 3Q2022'!AL11</f>
        <v>#REF!</v>
      </c>
      <c r="AM11" s="16" t="e">
        <f>#REF!-'CFS 3Q2022'!AM11</f>
        <v>#REF!</v>
      </c>
      <c r="AN11" s="16" t="e">
        <f>#REF!-'CFS 3Q2022'!AN11</f>
        <v>#REF!</v>
      </c>
      <c r="AO11" s="16" t="e">
        <f>#REF!-'CFS 3Q2022'!AO11</f>
        <v>#REF!</v>
      </c>
      <c r="AP11" s="16" t="e">
        <f>#REF!-'CFS 3Q2022'!AP11</f>
        <v>#REF!</v>
      </c>
      <c r="AQ11" s="17" t="e">
        <f>#REF!-'CFS 3Q2022'!AQ11</f>
        <v>#REF!</v>
      </c>
      <c r="AR11" s="16" t="e">
        <f>#REF!-'CFS 3Q2022'!AR11</f>
        <v>#REF!</v>
      </c>
      <c r="AS11" s="16" t="e">
        <f>#REF!-'CFS 3Q2022'!AS11</f>
        <v>#REF!</v>
      </c>
      <c r="AT11" s="16" t="e">
        <f>#REF!-'CFS 3Q2022'!AT11</f>
        <v>#REF!</v>
      </c>
      <c r="AU11" s="16" t="e">
        <f>#REF!-'CFS 3Q2022'!AU11</f>
        <v>#REF!</v>
      </c>
      <c r="AV11" s="17" t="e">
        <f>#REF!-'CFS 3Q2022'!AV11</f>
        <v>#REF!</v>
      </c>
    </row>
    <row r="12" spans="2:48" outlineLevel="1" x14ac:dyDescent="0.3">
      <c r="B12" s="308" t="s">
        <v>273</v>
      </c>
      <c r="C12" s="44"/>
      <c r="D12" s="16" t="e">
        <f>#REF!-'CFS 3Q2022'!D12</f>
        <v>#REF!</v>
      </c>
      <c r="E12" s="16" t="e">
        <f>#REF!-'CFS 3Q2022'!E12</f>
        <v>#REF!</v>
      </c>
      <c r="F12" s="16" t="e">
        <f>#REF!-'CFS 3Q2022'!F12</f>
        <v>#REF!</v>
      </c>
      <c r="G12" s="101" t="e">
        <f>#REF!-'CFS 3Q2022'!G12</f>
        <v>#REF!</v>
      </c>
      <c r="H12" s="17" t="e">
        <f>#REF!-'CFS 3Q2022'!H12</f>
        <v>#REF!</v>
      </c>
      <c r="I12" s="16" t="e">
        <f>#REF!-'CFS 3Q2022'!I12</f>
        <v>#REF!</v>
      </c>
      <c r="J12" s="16" t="e">
        <f>#REF!-'CFS 3Q2022'!J12</f>
        <v>#REF!</v>
      </c>
      <c r="K12" s="16" t="e">
        <f>#REF!-'CFS 3Q2022'!K12</f>
        <v>#REF!</v>
      </c>
      <c r="L12" s="101" t="e">
        <f>#REF!-'CFS 3Q2022'!L12</f>
        <v>#REF!</v>
      </c>
      <c r="M12" s="17" t="e">
        <f>#REF!-'CFS 3Q2022'!M12</f>
        <v>#REF!</v>
      </c>
      <c r="N12" s="16" t="e">
        <f>#REF!-'CFS 3Q2022'!N12</f>
        <v>#REF!</v>
      </c>
      <c r="O12" s="16" t="e">
        <f>#REF!-'CFS 3Q2022'!O12</f>
        <v>#REF!</v>
      </c>
      <c r="P12" s="16" t="e">
        <f>#REF!-'CFS 3Q2022'!P12</f>
        <v>#REF!</v>
      </c>
      <c r="Q12" s="101" t="e">
        <f>#REF!-'CFS 3Q2022'!Q12</f>
        <v>#REF!</v>
      </c>
      <c r="R12" s="17" t="e">
        <f>#REF!-'CFS 3Q2022'!R12</f>
        <v>#REF!</v>
      </c>
      <c r="S12" s="16" t="e">
        <f>#REF!-'CFS 3Q2022'!S12</f>
        <v>#REF!</v>
      </c>
      <c r="T12" s="16" t="e">
        <f>#REF!-'CFS 3Q2022'!T12</f>
        <v>#REF!</v>
      </c>
      <c r="U12" s="16" t="e">
        <f>#REF!-'CFS 3Q2022'!U12</f>
        <v>#REF!</v>
      </c>
      <c r="V12" s="16" t="e">
        <f>#REF!-'CFS 3Q2022'!V12</f>
        <v>#REF!</v>
      </c>
      <c r="W12" s="17" t="e">
        <f>#REF!-'CFS 3Q2022'!W12</f>
        <v>#REF!</v>
      </c>
      <c r="X12" s="16" t="e">
        <f>#REF!-'CFS 3Q2022'!X12</f>
        <v>#REF!</v>
      </c>
      <c r="Y12" s="16" t="e">
        <f>#REF!-'CFS 3Q2022'!Y12</f>
        <v>#REF!</v>
      </c>
      <c r="Z12" s="16" t="e">
        <f>#REF!-'CFS 3Q2022'!Z12</f>
        <v>#REF!</v>
      </c>
      <c r="AA12" s="16" t="e">
        <f>#REF!-'CFS 3Q2022'!AA12</f>
        <v>#REF!</v>
      </c>
      <c r="AB12" s="17" t="e">
        <f>#REF!-'CFS 3Q2022'!AB12</f>
        <v>#REF!</v>
      </c>
      <c r="AC12" s="16" t="e">
        <f>#REF!-'CFS 3Q2022'!AC12</f>
        <v>#REF!</v>
      </c>
      <c r="AD12" s="16" t="e">
        <f>#REF!-'CFS 3Q2022'!AD12</f>
        <v>#REF!</v>
      </c>
      <c r="AE12" s="16" t="e">
        <f>#REF!-'CFS 3Q2022'!AE12</f>
        <v>#REF!</v>
      </c>
      <c r="AF12" s="16" t="e">
        <f>#REF!-'CFS 3Q2022'!AF12</f>
        <v>#REF!</v>
      </c>
      <c r="AG12" s="17" t="e">
        <f>#REF!-'CFS 3Q2022'!AG12</f>
        <v>#REF!</v>
      </c>
      <c r="AH12" s="16" t="e">
        <f>#REF!-'CFS 3Q2022'!AH12</f>
        <v>#REF!</v>
      </c>
      <c r="AI12" s="16" t="e">
        <f>#REF!-'CFS 3Q2022'!AI12</f>
        <v>#REF!</v>
      </c>
      <c r="AJ12" s="16" t="e">
        <f>#REF!-'CFS 3Q2022'!AJ12</f>
        <v>#REF!</v>
      </c>
      <c r="AK12" s="16" t="e">
        <f>#REF!-'CFS 3Q2022'!AK12</f>
        <v>#REF!</v>
      </c>
      <c r="AL12" s="17" t="e">
        <f>#REF!-'CFS 3Q2022'!AL12</f>
        <v>#REF!</v>
      </c>
      <c r="AM12" s="16" t="e">
        <f>#REF!-'CFS 3Q2022'!AM12</f>
        <v>#REF!</v>
      </c>
      <c r="AN12" s="16" t="e">
        <f>#REF!-'CFS 3Q2022'!AN12</f>
        <v>#REF!</v>
      </c>
      <c r="AO12" s="16" t="e">
        <f>#REF!-'CFS 3Q2022'!AO12</f>
        <v>#REF!</v>
      </c>
      <c r="AP12" s="16" t="e">
        <f>#REF!-'CFS 3Q2022'!AP12</f>
        <v>#REF!</v>
      </c>
      <c r="AQ12" s="17" t="e">
        <f>#REF!-'CFS 3Q2022'!AQ12</f>
        <v>#REF!</v>
      </c>
      <c r="AR12" s="16" t="e">
        <f>#REF!-'CFS 3Q2022'!AR12</f>
        <v>#REF!</v>
      </c>
      <c r="AS12" s="16" t="e">
        <f>#REF!-'CFS 3Q2022'!AS12</f>
        <v>#REF!</v>
      </c>
      <c r="AT12" s="16" t="e">
        <f>#REF!-'CFS 3Q2022'!AT12</f>
        <v>#REF!</v>
      </c>
      <c r="AU12" s="16" t="e">
        <f>#REF!-'CFS 3Q2022'!AU12</f>
        <v>#REF!</v>
      </c>
      <c r="AV12" s="17" t="e">
        <f>#REF!-'CFS 3Q2022'!AV12</f>
        <v>#REF!</v>
      </c>
    </row>
    <row r="13" spans="2:48" outlineLevel="1" x14ac:dyDescent="0.3">
      <c r="B13" s="319" t="s">
        <v>274</v>
      </c>
      <c r="C13" s="320"/>
      <c r="D13" s="16" t="e">
        <f>#REF!-'CFS 3Q2022'!D13</f>
        <v>#REF!</v>
      </c>
      <c r="E13" s="101" t="e">
        <f>#REF!-'CFS 3Q2022'!E13</f>
        <v>#REF!</v>
      </c>
      <c r="F13" s="101" t="e">
        <f>#REF!-'CFS 3Q2022'!F13</f>
        <v>#REF!</v>
      </c>
      <c r="G13" s="101" t="e">
        <f>#REF!-'CFS 3Q2022'!G13</f>
        <v>#REF!</v>
      </c>
      <c r="H13" s="17" t="e">
        <f>#REF!-'CFS 3Q2022'!H13</f>
        <v>#REF!</v>
      </c>
      <c r="I13" s="101" t="e">
        <f>#REF!-'CFS 3Q2022'!I13</f>
        <v>#REF!</v>
      </c>
      <c r="J13" s="101" t="e">
        <f>#REF!-'CFS 3Q2022'!J13</f>
        <v>#REF!</v>
      </c>
      <c r="K13" s="101" t="e">
        <f>#REF!-'CFS 3Q2022'!K13</f>
        <v>#REF!</v>
      </c>
      <c r="L13" s="101" t="e">
        <f>#REF!-'CFS 3Q2022'!L13</f>
        <v>#REF!</v>
      </c>
      <c r="M13" s="17" t="e">
        <f>#REF!-'CFS 3Q2022'!M13</f>
        <v>#REF!</v>
      </c>
      <c r="N13" s="101" t="e">
        <f>#REF!-'CFS 3Q2022'!N13</f>
        <v>#REF!</v>
      </c>
      <c r="O13" s="101" t="e">
        <f>#REF!-'CFS 3Q2022'!O13</f>
        <v>#REF!</v>
      </c>
      <c r="P13" s="101" t="e">
        <f>#REF!-'CFS 3Q2022'!P13</f>
        <v>#REF!</v>
      </c>
      <c r="Q13" s="101" t="e">
        <f>#REF!-'CFS 3Q2022'!Q13</f>
        <v>#REF!</v>
      </c>
      <c r="R13" s="17" t="e">
        <f>#REF!-'CFS 3Q2022'!R13</f>
        <v>#REF!</v>
      </c>
      <c r="S13" s="101" t="e">
        <f>#REF!-'CFS 3Q2022'!S13</f>
        <v>#REF!</v>
      </c>
      <c r="T13" s="101" t="e">
        <f>#REF!-'CFS 3Q2022'!T13</f>
        <v>#REF!</v>
      </c>
      <c r="U13" s="101" t="e">
        <f>#REF!-'CFS 3Q2022'!U13</f>
        <v>#REF!</v>
      </c>
      <c r="V13" s="33" t="e">
        <f>#REF!-'CFS 3Q2022'!V13</f>
        <v>#REF!</v>
      </c>
      <c r="W13" s="17" t="e">
        <f>#REF!-'CFS 3Q2022'!W13</f>
        <v>#REF!</v>
      </c>
      <c r="X13" s="33" t="e">
        <f>#REF!-'CFS 3Q2022'!X13</f>
        <v>#REF!</v>
      </c>
      <c r="Y13" s="33" t="e">
        <f>#REF!-'CFS 3Q2022'!Y13</f>
        <v>#REF!</v>
      </c>
      <c r="Z13" s="33" t="e">
        <f>#REF!-'CFS 3Q2022'!Z13</f>
        <v>#REF!</v>
      </c>
      <c r="AA13" s="33" t="e">
        <f>#REF!-'CFS 3Q2022'!AA13</f>
        <v>#REF!</v>
      </c>
      <c r="AB13" s="17" t="e">
        <f>#REF!-'CFS 3Q2022'!AB13</f>
        <v>#REF!</v>
      </c>
      <c r="AC13" s="33" t="e">
        <f>#REF!-'CFS 3Q2022'!AC13</f>
        <v>#REF!</v>
      </c>
      <c r="AD13" s="33" t="e">
        <f>#REF!-'CFS 3Q2022'!AD13</f>
        <v>#REF!</v>
      </c>
      <c r="AE13" s="33" t="e">
        <f>#REF!-'CFS 3Q2022'!AE13</f>
        <v>#REF!</v>
      </c>
      <c r="AF13" s="33" t="e">
        <f>#REF!-'CFS 3Q2022'!AF13</f>
        <v>#REF!</v>
      </c>
      <c r="AG13" s="17" t="e">
        <f>#REF!-'CFS 3Q2022'!AG13</f>
        <v>#REF!</v>
      </c>
      <c r="AH13" s="33" t="e">
        <f>#REF!-'CFS 3Q2022'!AH13</f>
        <v>#REF!</v>
      </c>
      <c r="AI13" s="33" t="e">
        <f>#REF!-'CFS 3Q2022'!AI13</f>
        <v>#REF!</v>
      </c>
      <c r="AJ13" s="33" t="e">
        <f>#REF!-'CFS 3Q2022'!AJ13</f>
        <v>#REF!</v>
      </c>
      <c r="AK13" s="33" t="e">
        <f>#REF!-'CFS 3Q2022'!AK13</f>
        <v>#REF!</v>
      </c>
      <c r="AL13" s="17" t="e">
        <f>#REF!-'CFS 3Q2022'!AL13</f>
        <v>#REF!</v>
      </c>
      <c r="AM13" s="33" t="e">
        <f>#REF!-'CFS 3Q2022'!AM13</f>
        <v>#REF!</v>
      </c>
      <c r="AN13" s="33" t="e">
        <f>#REF!-'CFS 3Q2022'!AN13</f>
        <v>#REF!</v>
      </c>
      <c r="AO13" s="33" t="e">
        <f>#REF!-'CFS 3Q2022'!AO13</f>
        <v>#REF!</v>
      </c>
      <c r="AP13" s="33" t="e">
        <f>#REF!-'CFS 3Q2022'!AP13</f>
        <v>#REF!</v>
      </c>
      <c r="AQ13" s="17" t="e">
        <f>#REF!-'CFS 3Q2022'!AQ13</f>
        <v>#REF!</v>
      </c>
      <c r="AR13" s="33" t="e">
        <f>#REF!-'CFS 3Q2022'!AR13</f>
        <v>#REF!</v>
      </c>
      <c r="AS13" s="33" t="e">
        <f>#REF!-'CFS 3Q2022'!AS13</f>
        <v>#REF!</v>
      </c>
      <c r="AT13" s="33" t="e">
        <f>#REF!-'CFS 3Q2022'!AT13</f>
        <v>#REF!</v>
      </c>
      <c r="AU13" s="33" t="e">
        <f>#REF!-'CFS 3Q2022'!AU13</f>
        <v>#REF!</v>
      </c>
      <c r="AV13" s="17" t="e">
        <f>#REF!-'CFS 3Q2022'!AV13</f>
        <v>#REF!</v>
      </c>
    </row>
    <row r="14" spans="2:48" outlineLevel="1" x14ac:dyDescent="0.3">
      <c r="B14" s="625" t="s">
        <v>275</v>
      </c>
      <c r="C14" s="626"/>
      <c r="D14" s="321" t="e">
        <f>#REF!-'CFS 3Q2022'!D14</f>
        <v>#REF!</v>
      </c>
      <c r="E14" s="322" t="e">
        <f>#REF!-'CFS 3Q2022'!E14</f>
        <v>#REF!</v>
      </c>
      <c r="F14" s="323" t="e">
        <f>#REF!-'CFS 3Q2022'!F14</f>
        <v>#REF!</v>
      </c>
      <c r="G14" s="323" t="e">
        <f>#REF!-'CFS 3Q2022'!G14</f>
        <v>#REF!</v>
      </c>
      <c r="H14" s="324" t="e">
        <f>#REF!-'CFS 3Q2022'!H14</f>
        <v>#REF!</v>
      </c>
      <c r="I14" s="323" t="e">
        <f>#REF!-'CFS 3Q2022'!I14</f>
        <v>#REF!</v>
      </c>
      <c r="J14" s="323" t="e">
        <f>#REF!-'CFS 3Q2022'!J14</f>
        <v>#REF!</v>
      </c>
      <c r="K14" s="323" t="e">
        <f>#REF!-'CFS 3Q2022'!K14</f>
        <v>#REF!</v>
      </c>
      <c r="L14" s="323" t="e">
        <f>#REF!-'CFS 3Q2022'!L14</f>
        <v>#REF!</v>
      </c>
      <c r="M14" s="324" t="e">
        <f>#REF!-'CFS 3Q2022'!M14</f>
        <v>#REF!</v>
      </c>
      <c r="N14" s="323" t="e">
        <f>#REF!-'CFS 3Q2022'!N14</f>
        <v>#REF!</v>
      </c>
      <c r="O14" s="323" t="e">
        <f>#REF!-'CFS 3Q2022'!O14</f>
        <v>#REF!</v>
      </c>
      <c r="P14" s="323" t="e">
        <f>#REF!-'CFS 3Q2022'!P14</f>
        <v>#REF!</v>
      </c>
      <c r="Q14" s="323" t="e">
        <f>#REF!-'CFS 3Q2022'!Q14</f>
        <v>#REF!</v>
      </c>
      <c r="R14" s="324" t="e">
        <f>#REF!-'CFS 3Q2022'!R14</f>
        <v>#REF!</v>
      </c>
      <c r="S14" s="323" t="e">
        <f>#REF!-'CFS 3Q2022'!S14</f>
        <v>#REF!</v>
      </c>
      <c r="T14" s="323" t="e">
        <f>#REF!-'CFS 3Q2022'!T14</f>
        <v>#REF!</v>
      </c>
      <c r="U14" s="323" t="e">
        <f>#REF!-'CFS 3Q2022'!U14</f>
        <v>#REF!</v>
      </c>
      <c r="V14" s="323" t="e">
        <f>#REF!-'CFS 3Q2022'!V14</f>
        <v>#REF!</v>
      </c>
      <c r="W14" s="324" t="e">
        <f>#REF!-'CFS 3Q2022'!W14</f>
        <v>#REF!</v>
      </c>
      <c r="X14" s="323" t="e">
        <f>#REF!-'CFS 3Q2022'!X14</f>
        <v>#REF!</v>
      </c>
      <c r="Y14" s="323" t="e">
        <f>#REF!-'CFS 3Q2022'!Y14</f>
        <v>#REF!</v>
      </c>
      <c r="Z14" s="323" t="e">
        <f>#REF!-'CFS 3Q2022'!Z14</f>
        <v>#REF!</v>
      </c>
      <c r="AA14" s="323" t="e">
        <f>#REF!-'CFS 3Q2022'!AA14</f>
        <v>#REF!</v>
      </c>
      <c r="AB14" s="324" t="e">
        <f>#REF!-'CFS 3Q2022'!AB14</f>
        <v>#REF!</v>
      </c>
      <c r="AC14" s="323" t="e">
        <f>#REF!-'CFS 3Q2022'!AC14</f>
        <v>#REF!</v>
      </c>
      <c r="AD14" s="323" t="e">
        <f>#REF!-'CFS 3Q2022'!AD14</f>
        <v>#REF!</v>
      </c>
      <c r="AE14" s="323" t="e">
        <f>#REF!-'CFS 3Q2022'!AE14</f>
        <v>#REF!</v>
      </c>
      <c r="AF14" s="323" t="e">
        <f>#REF!-'CFS 3Q2022'!AF14</f>
        <v>#REF!</v>
      </c>
      <c r="AG14" s="324" t="e">
        <f>#REF!-'CFS 3Q2022'!AG14</f>
        <v>#REF!</v>
      </c>
      <c r="AH14" s="323" t="e">
        <f>#REF!-'CFS 3Q2022'!AH14</f>
        <v>#REF!</v>
      </c>
      <c r="AI14" s="323" t="e">
        <f>#REF!-'CFS 3Q2022'!AI14</f>
        <v>#REF!</v>
      </c>
      <c r="AJ14" s="323" t="e">
        <f>#REF!-'CFS 3Q2022'!AJ14</f>
        <v>#REF!</v>
      </c>
      <c r="AK14" s="323" t="e">
        <f>#REF!-'CFS 3Q2022'!AK14</f>
        <v>#REF!</v>
      </c>
      <c r="AL14" s="324" t="e">
        <f>#REF!-'CFS 3Q2022'!AL14</f>
        <v>#REF!</v>
      </c>
      <c r="AM14" s="323" t="e">
        <f>#REF!-'CFS 3Q2022'!AM14</f>
        <v>#REF!</v>
      </c>
      <c r="AN14" s="323" t="e">
        <f>#REF!-'CFS 3Q2022'!AN14</f>
        <v>#REF!</v>
      </c>
      <c r="AO14" s="323" t="e">
        <f>#REF!-'CFS 3Q2022'!AO14</f>
        <v>#REF!</v>
      </c>
      <c r="AP14" s="323" t="e">
        <f>#REF!-'CFS 3Q2022'!AP14</f>
        <v>#REF!</v>
      </c>
      <c r="AQ14" s="324" t="e">
        <f>#REF!-'CFS 3Q2022'!AQ14</f>
        <v>#REF!</v>
      </c>
      <c r="AR14" s="323" t="e">
        <f>#REF!-'CFS 3Q2022'!AR14</f>
        <v>#REF!</v>
      </c>
      <c r="AS14" s="323" t="e">
        <f>#REF!-'CFS 3Q2022'!AS14</f>
        <v>#REF!</v>
      </c>
      <c r="AT14" s="323" t="e">
        <f>#REF!-'CFS 3Q2022'!AT14</f>
        <v>#REF!</v>
      </c>
      <c r="AU14" s="323" t="e">
        <f>#REF!-'CFS 3Q2022'!AU14</f>
        <v>#REF!</v>
      </c>
      <c r="AV14" s="324" t="e">
        <f>#REF!-'CFS 3Q2022'!AV14</f>
        <v>#REF!</v>
      </c>
    </row>
    <row r="15" spans="2:48" outlineLevel="1" x14ac:dyDescent="0.3">
      <c r="B15" s="623" t="s">
        <v>276</v>
      </c>
      <c r="C15" s="624"/>
      <c r="D15" s="327" t="e">
        <f>#REF!-'CFS 3Q2022'!D15</f>
        <v>#REF!</v>
      </c>
      <c r="E15" s="327" t="e">
        <f>#REF!-'CFS 3Q2022'!E15</f>
        <v>#REF!</v>
      </c>
      <c r="F15" s="327" t="e">
        <f>#REF!-'CFS 3Q2022'!F15</f>
        <v>#REF!</v>
      </c>
      <c r="G15" s="327" t="e">
        <f>#REF!-'CFS 3Q2022'!G15</f>
        <v>#REF!</v>
      </c>
      <c r="H15" s="328" t="e">
        <f>#REF!-'CFS 3Q2022'!H15</f>
        <v>#REF!</v>
      </c>
      <c r="I15" s="327" t="e">
        <f>#REF!-'CFS 3Q2022'!I15</f>
        <v>#REF!</v>
      </c>
      <c r="J15" s="327" t="e">
        <f>#REF!-'CFS 3Q2022'!J15</f>
        <v>#REF!</v>
      </c>
      <c r="K15" s="327" t="e">
        <f>#REF!-'CFS 3Q2022'!K15</f>
        <v>#REF!</v>
      </c>
      <c r="L15" s="327" t="e">
        <f>#REF!-'CFS 3Q2022'!L15</f>
        <v>#REF!</v>
      </c>
      <c r="M15" s="328" t="e">
        <f>#REF!-'CFS 3Q2022'!M15</f>
        <v>#REF!</v>
      </c>
      <c r="N15" s="327" t="e">
        <f>#REF!-'CFS 3Q2022'!N15</f>
        <v>#REF!</v>
      </c>
      <c r="O15" s="327" t="e">
        <f>#REF!-'CFS 3Q2022'!O15</f>
        <v>#REF!</v>
      </c>
      <c r="P15" s="327" t="e">
        <f>#REF!-'CFS 3Q2022'!P15</f>
        <v>#REF!</v>
      </c>
      <c r="Q15" s="327" t="e">
        <f>#REF!-'CFS 3Q2022'!Q15</f>
        <v>#REF!</v>
      </c>
      <c r="R15" s="328" t="e">
        <f>#REF!-'CFS 3Q2022'!R15</f>
        <v>#REF!</v>
      </c>
      <c r="S15" s="327" t="e">
        <f>#REF!-'CFS 3Q2022'!S15</f>
        <v>#REF!</v>
      </c>
      <c r="T15" s="327" t="e">
        <f>#REF!-'CFS 3Q2022'!T15</f>
        <v>#REF!</v>
      </c>
      <c r="U15" s="327" t="e">
        <f>#REF!-'CFS 3Q2022'!U15</f>
        <v>#REF!</v>
      </c>
      <c r="V15" s="327" t="e">
        <f>#REF!-'CFS 3Q2022'!V15</f>
        <v>#REF!</v>
      </c>
      <c r="W15" s="328" t="e">
        <f>#REF!-'CFS 3Q2022'!W15</f>
        <v>#REF!</v>
      </c>
      <c r="X15" s="327" t="e">
        <f>#REF!-'CFS 3Q2022'!X15</f>
        <v>#REF!</v>
      </c>
      <c r="Y15" s="327" t="e">
        <f>#REF!-'CFS 3Q2022'!Y15</f>
        <v>#REF!</v>
      </c>
      <c r="Z15" s="327" t="e">
        <f>#REF!-'CFS 3Q2022'!Z15</f>
        <v>#REF!</v>
      </c>
      <c r="AA15" s="327" t="e">
        <f>#REF!-'CFS 3Q2022'!AA15</f>
        <v>#REF!</v>
      </c>
      <c r="AB15" s="328" t="e">
        <f>#REF!-'CFS 3Q2022'!AB15</f>
        <v>#REF!</v>
      </c>
      <c r="AC15" s="327" t="e">
        <f>#REF!-'CFS 3Q2022'!AC15</f>
        <v>#REF!</v>
      </c>
      <c r="AD15" s="327" t="e">
        <f>#REF!-'CFS 3Q2022'!AD15</f>
        <v>#REF!</v>
      </c>
      <c r="AE15" s="327" t="e">
        <f>#REF!-'CFS 3Q2022'!AE15</f>
        <v>#REF!</v>
      </c>
      <c r="AF15" s="327" t="e">
        <f>#REF!-'CFS 3Q2022'!AF15</f>
        <v>#REF!</v>
      </c>
      <c r="AG15" s="328" t="e">
        <f>#REF!-'CFS 3Q2022'!AG15</f>
        <v>#REF!</v>
      </c>
      <c r="AH15" s="327" t="e">
        <f>#REF!-'CFS 3Q2022'!AH15</f>
        <v>#REF!</v>
      </c>
      <c r="AI15" s="327" t="e">
        <f>#REF!-'CFS 3Q2022'!AI15</f>
        <v>#REF!</v>
      </c>
      <c r="AJ15" s="327" t="e">
        <f>#REF!-'CFS 3Q2022'!AJ15</f>
        <v>#REF!</v>
      </c>
      <c r="AK15" s="327" t="e">
        <f>#REF!-'CFS 3Q2022'!AK15</f>
        <v>#REF!</v>
      </c>
      <c r="AL15" s="328" t="e">
        <f>#REF!-'CFS 3Q2022'!AL15</f>
        <v>#REF!</v>
      </c>
      <c r="AM15" s="327" t="e">
        <f>#REF!-'CFS 3Q2022'!AM15</f>
        <v>#REF!</v>
      </c>
      <c r="AN15" s="327" t="e">
        <f>#REF!-'CFS 3Q2022'!AN15</f>
        <v>#REF!</v>
      </c>
      <c r="AO15" s="327" t="e">
        <f>#REF!-'CFS 3Q2022'!AO15</f>
        <v>#REF!</v>
      </c>
      <c r="AP15" s="327" t="e">
        <f>#REF!-'CFS 3Q2022'!AP15</f>
        <v>#REF!</v>
      </c>
      <c r="AQ15" s="328" t="e">
        <f>#REF!-'CFS 3Q2022'!AQ15</f>
        <v>#REF!</v>
      </c>
      <c r="AR15" s="327" t="e">
        <f>#REF!-'CFS 3Q2022'!AR15</f>
        <v>#REF!</v>
      </c>
      <c r="AS15" s="327" t="e">
        <f>#REF!-'CFS 3Q2022'!AS15</f>
        <v>#REF!</v>
      </c>
      <c r="AT15" s="327" t="e">
        <f>#REF!-'CFS 3Q2022'!AT15</f>
        <v>#REF!</v>
      </c>
      <c r="AU15" s="327" t="e">
        <f>#REF!-'CFS 3Q2022'!AU15</f>
        <v>#REF!</v>
      </c>
      <c r="AV15" s="328" t="e">
        <f>#REF!-'CFS 3Q2022'!AV15</f>
        <v>#REF!</v>
      </c>
    </row>
    <row r="16" spans="2:48" outlineLevel="1" x14ac:dyDescent="0.3">
      <c r="B16" s="325" t="s">
        <v>215</v>
      </c>
      <c r="C16" s="326"/>
      <c r="D16" s="327" t="e">
        <f>#REF!-'CFS 3Q2022'!D16</f>
        <v>#REF!</v>
      </c>
      <c r="E16" s="327" t="e">
        <f>#REF!-'CFS 3Q2022'!E16</f>
        <v>#REF!</v>
      </c>
      <c r="F16" s="327" t="e">
        <f>#REF!-'CFS 3Q2022'!F16</f>
        <v>#REF!</v>
      </c>
      <c r="G16" s="327" t="e">
        <f>#REF!-'CFS 3Q2022'!G16</f>
        <v>#REF!</v>
      </c>
      <c r="H16" s="328" t="e">
        <f>#REF!-'CFS 3Q2022'!H16</f>
        <v>#REF!</v>
      </c>
      <c r="I16" s="327" t="e">
        <f>#REF!-'CFS 3Q2022'!I16</f>
        <v>#REF!</v>
      </c>
      <c r="J16" s="327" t="e">
        <f>#REF!-'CFS 3Q2022'!J16</f>
        <v>#REF!</v>
      </c>
      <c r="K16" s="327" t="e">
        <f>#REF!-'CFS 3Q2022'!K16</f>
        <v>#REF!</v>
      </c>
      <c r="L16" s="327" t="e">
        <f>#REF!-'CFS 3Q2022'!L16</f>
        <v>#REF!</v>
      </c>
      <c r="M16" s="328" t="e">
        <f>#REF!-'CFS 3Q2022'!M16</f>
        <v>#REF!</v>
      </c>
      <c r="N16" s="327" t="e">
        <f>#REF!-'CFS 3Q2022'!N16</f>
        <v>#REF!</v>
      </c>
      <c r="O16" s="327" t="e">
        <f>#REF!-'CFS 3Q2022'!O16</f>
        <v>#REF!</v>
      </c>
      <c r="P16" s="327" t="e">
        <f>#REF!-'CFS 3Q2022'!P16</f>
        <v>#REF!</v>
      </c>
      <c r="Q16" s="327" t="e">
        <f>#REF!-'CFS 3Q2022'!Q16</f>
        <v>#REF!</v>
      </c>
      <c r="R16" s="328" t="e">
        <f>#REF!-'CFS 3Q2022'!R16</f>
        <v>#REF!</v>
      </c>
      <c r="S16" s="327" t="e">
        <f>#REF!-'CFS 3Q2022'!S16</f>
        <v>#REF!</v>
      </c>
      <c r="T16" s="327" t="e">
        <f>#REF!-'CFS 3Q2022'!T16</f>
        <v>#REF!</v>
      </c>
      <c r="U16" s="327" t="e">
        <f>#REF!-'CFS 3Q2022'!U16</f>
        <v>#REF!</v>
      </c>
      <c r="V16" s="327" t="e">
        <f>#REF!-'CFS 3Q2022'!V16</f>
        <v>#REF!</v>
      </c>
      <c r="W16" s="328" t="e">
        <f>#REF!-'CFS 3Q2022'!W16</f>
        <v>#REF!</v>
      </c>
      <c r="X16" s="327" t="e">
        <f>#REF!-'CFS 3Q2022'!X16</f>
        <v>#REF!</v>
      </c>
      <c r="Y16" s="327" t="e">
        <f>#REF!-'CFS 3Q2022'!Y16</f>
        <v>#REF!</v>
      </c>
      <c r="Z16" s="327" t="e">
        <f>#REF!-'CFS 3Q2022'!Z16</f>
        <v>#REF!</v>
      </c>
      <c r="AA16" s="327" t="e">
        <f>#REF!-'CFS 3Q2022'!AA16</f>
        <v>#REF!</v>
      </c>
      <c r="AB16" s="328" t="e">
        <f>#REF!-'CFS 3Q2022'!AB16</f>
        <v>#REF!</v>
      </c>
      <c r="AC16" s="327" t="e">
        <f>#REF!-'CFS 3Q2022'!AC16</f>
        <v>#REF!</v>
      </c>
      <c r="AD16" s="327" t="e">
        <f>#REF!-'CFS 3Q2022'!AD16</f>
        <v>#REF!</v>
      </c>
      <c r="AE16" s="327" t="e">
        <f>#REF!-'CFS 3Q2022'!AE16</f>
        <v>#REF!</v>
      </c>
      <c r="AF16" s="327" t="e">
        <f>#REF!-'CFS 3Q2022'!AF16</f>
        <v>#REF!</v>
      </c>
      <c r="AG16" s="328" t="e">
        <f>#REF!-'CFS 3Q2022'!AG16</f>
        <v>#REF!</v>
      </c>
      <c r="AH16" s="327" t="e">
        <f>#REF!-'CFS 3Q2022'!AH16</f>
        <v>#REF!</v>
      </c>
      <c r="AI16" s="327" t="e">
        <f>#REF!-'CFS 3Q2022'!AI16</f>
        <v>#REF!</v>
      </c>
      <c r="AJ16" s="327" t="e">
        <f>#REF!-'CFS 3Q2022'!AJ16</f>
        <v>#REF!</v>
      </c>
      <c r="AK16" s="327" t="e">
        <f>#REF!-'CFS 3Q2022'!AK16</f>
        <v>#REF!</v>
      </c>
      <c r="AL16" s="328" t="e">
        <f>#REF!-'CFS 3Q2022'!AL16</f>
        <v>#REF!</v>
      </c>
      <c r="AM16" s="327" t="e">
        <f>#REF!-'CFS 3Q2022'!AM16</f>
        <v>#REF!</v>
      </c>
      <c r="AN16" s="327" t="e">
        <f>#REF!-'CFS 3Q2022'!AN16</f>
        <v>#REF!</v>
      </c>
      <c r="AO16" s="327" t="e">
        <f>#REF!-'CFS 3Q2022'!AO16</f>
        <v>#REF!</v>
      </c>
      <c r="AP16" s="327" t="e">
        <f>#REF!-'CFS 3Q2022'!AP16</f>
        <v>#REF!</v>
      </c>
      <c r="AQ16" s="328" t="e">
        <f>#REF!-'CFS 3Q2022'!AQ16</f>
        <v>#REF!</v>
      </c>
      <c r="AR16" s="327" t="e">
        <f>#REF!-'CFS 3Q2022'!AR16</f>
        <v>#REF!</v>
      </c>
      <c r="AS16" s="327" t="e">
        <f>#REF!-'CFS 3Q2022'!AS16</f>
        <v>#REF!</v>
      </c>
      <c r="AT16" s="327" t="e">
        <f>#REF!-'CFS 3Q2022'!AT16</f>
        <v>#REF!</v>
      </c>
      <c r="AU16" s="327" t="e">
        <f>#REF!-'CFS 3Q2022'!AU16</f>
        <v>#REF!</v>
      </c>
      <c r="AV16" s="328" t="e">
        <f>#REF!-'CFS 3Q2022'!AV16</f>
        <v>#REF!</v>
      </c>
    </row>
    <row r="17" spans="2:48" outlineLevel="1" x14ac:dyDescent="0.3">
      <c r="B17" s="623" t="s">
        <v>277</v>
      </c>
      <c r="C17" s="624"/>
      <c r="D17" s="327" t="e">
        <f>#REF!-'CFS 3Q2022'!D17</f>
        <v>#REF!</v>
      </c>
      <c r="E17" s="327" t="e">
        <f>#REF!-'CFS 3Q2022'!E17</f>
        <v>#REF!</v>
      </c>
      <c r="F17" s="327" t="e">
        <f>#REF!-'CFS 3Q2022'!F17</f>
        <v>#REF!</v>
      </c>
      <c r="G17" s="327" t="e">
        <f>#REF!-'CFS 3Q2022'!G17</f>
        <v>#REF!</v>
      </c>
      <c r="H17" s="328" t="e">
        <f>#REF!-'CFS 3Q2022'!H17</f>
        <v>#REF!</v>
      </c>
      <c r="I17" s="327" t="e">
        <f>#REF!-'CFS 3Q2022'!I17</f>
        <v>#REF!</v>
      </c>
      <c r="J17" s="327" t="e">
        <f>#REF!-'CFS 3Q2022'!J17</f>
        <v>#REF!</v>
      </c>
      <c r="K17" s="327" t="e">
        <f>#REF!-'CFS 3Q2022'!K17</f>
        <v>#REF!</v>
      </c>
      <c r="L17" s="327" t="e">
        <f>#REF!-'CFS 3Q2022'!L17</f>
        <v>#REF!</v>
      </c>
      <c r="M17" s="328" t="e">
        <f>#REF!-'CFS 3Q2022'!M17</f>
        <v>#REF!</v>
      </c>
      <c r="N17" s="327" t="e">
        <f>#REF!-'CFS 3Q2022'!N17</f>
        <v>#REF!</v>
      </c>
      <c r="O17" s="327" t="e">
        <f>#REF!-'CFS 3Q2022'!O17</f>
        <v>#REF!</v>
      </c>
      <c r="P17" s="327" t="e">
        <f>#REF!-'CFS 3Q2022'!P17</f>
        <v>#REF!</v>
      </c>
      <c r="Q17" s="327" t="e">
        <f>#REF!-'CFS 3Q2022'!Q17</f>
        <v>#REF!</v>
      </c>
      <c r="R17" s="328" t="e">
        <f>#REF!-'CFS 3Q2022'!R17</f>
        <v>#REF!</v>
      </c>
      <c r="S17" s="327" t="e">
        <f>#REF!-'CFS 3Q2022'!S17</f>
        <v>#REF!</v>
      </c>
      <c r="T17" s="327" t="e">
        <f>#REF!-'CFS 3Q2022'!T17</f>
        <v>#REF!</v>
      </c>
      <c r="U17" s="327" t="e">
        <f>#REF!-'CFS 3Q2022'!U17</f>
        <v>#REF!</v>
      </c>
      <c r="V17" s="327" t="e">
        <f>#REF!-'CFS 3Q2022'!V17</f>
        <v>#REF!</v>
      </c>
      <c r="W17" s="328" t="e">
        <f>#REF!-'CFS 3Q2022'!W17</f>
        <v>#REF!</v>
      </c>
      <c r="X17" s="327" t="e">
        <f>#REF!-'CFS 3Q2022'!X17</f>
        <v>#REF!</v>
      </c>
      <c r="Y17" s="327" t="e">
        <f>#REF!-'CFS 3Q2022'!Y17</f>
        <v>#REF!</v>
      </c>
      <c r="Z17" s="327" t="e">
        <f>#REF!-'CFS 3Q2022'!Z17</f>
        <v>#REF!</v>
      </c>
      <c r="AA17" s="327" t="e">
        <f>#REF!-'CFS 3Q2022'!AA17</f>
        <v>#REF!</v>
      </c>
      <c r="AB17" s="328" t="e">
        <f>#REF!-'CFS 3Q2022'!AB17</f>
        <v>#REF!</v>
      </c>
      <c r="AC17" s="327" t="e">
        <f>#REF!-'CFS 3Q2022'!AC17</f>
        <v>#REF!</v>
      </c>
      <c r="AD17" s="327" t="e">
        <f>#REF!-'CFS 3Q2022'!AD17</f>
        <v>#REF!</v>
      </c>
      <c r="AE17" s="327" t="e">
        <f>#REF!-'CFS 3Q2022'!AE17</f>
        <v>#REF!</v>
      </c>
      <c r="AF17" s="327" t="e">
        <f>#REF!-'CFS 3Q2022'!AF17</f>
        <v>#REF!</v>
      </c>
      <c r="AG17" s="328" t="e">
        <f>#REF!-'CFS 3Q2022'!AG17</f>
        <v>#REF!</v>
      </c>
      <c r="AH17" s="327" t="e">
        <f>#REF!-'CFS 3Q2022'!AH17</f>
        <v>#REF!</v>
      </c>
      <c r="AI17" s="327" t="e">
        <f>#REF!-'CFS 3Q2022'!AI17</f>
        <v>#REF!</v>
      </c>
      <c r="AJ17" s="327" t="e">
        <f>#REF!-'CFS 3Q2022'!AJ17</f>
        <v>#REF!</v>
      </c>
      <c r="AK17" s="327" t="e">
        <f>#REF!-'CFS 3Q2022'!AK17</f>
        <v>#REF!</v>
      </c>
      <c r="AL17" s="328" t="e">
        <f>#REF!-'CFS 3Q2022'!AL17</f>
        <v>#REF!</v>
      </c>
      <c r="AM17" s="327" t="e">
        <f>#REF!-'CFS 3Q2022'!AM17</f>
        <v>#REF!</v>
      </c>
      <c r="AN17" s="327" t="e">
        <f>#REF!-'CFS 3Q2022'!AN17</f>
        <v>#REF!</v>
      </c>
      <c r="AO17" s="327" t="e">
        <f>#REF!-'CFS 3Q2022'!AO17</f>
        <v>#REF!</v>
      </c>
      <c r="AP17" s="327" t="e">
        <f>#REF!-'CFS 3Q2022'!AP17</f>
        <v>#REF!</v>
      </c>
      <c r="AQ17" s="328" t="e">
        <f>#REF!-'CFS 3Q2022'!AQ17</f>
        <v>#REF!</v>
      </c>
      <c r="AR17" s="327" t="e">
        <f>#REF!-'CFS 3Q2022'!AR17</f>
        <v>#REF!</v>
      </c>
      <c r="AS17" s="327" t="e">
        <f>#REF!-'CFS 3Q2022'!AS17</f>
        <v>#REF!</v>
      </c>
      <c r="AT17" s="327" t="e">
        <f>#REF!-'CFS 3Q2022'!AT17</f>
        <v>#REF!</v>
      </c>
      <c r="AU17" s="327" t="e">
        <f>#REF!-'CFS 3Q2022'!AU17</f>
        <v>#REF!</v>
      </c>
      <c r="AV17" s="328" t="e">
        <f>#REF!-'CFS 3Q2022'!AV17</f>
        <v>#REF!</v>
      </c>
    </row>
    <row r="18" spans="2:48" outlineLevel="1" x14ac:dyDescent="0.3">
      <c r="B18" s="623" t="s">
        <v>228</v>
      </c>
      <c r="C18" s="624"/>
      <c r="D18" s="327" t="e">
        <f>#REF!-'CFS 3Q2022'!D18</f>
        <v>#REF!</v>
      </c>
      <c r="E18" s="327" t="e">
        <f>#REF!-'CFS 3Q2022'!E18</f>
        <v>#REF!</v>
      </c>
      <c r="F18" s="327" t="e">
        <f>#REF!-'CFS 3Q2022'!F18</f>
        <v>#REF!</v>
      </c>
      <c r="G18" s="327" t="e">
        <f>#REF!-'CFS 3Q2022'!G18</f>
        <v>#REF!</v>
      </c>
      <c r="H18" s="328" t="e">
        <f>#REF!-'CFS 3Q2022'!H18</f>
        <v>#REF!</v>
      </c>
      <c r="I18" s="327" t="e">
        <f>#REF!-'CFS 3Q2022'!I18</f>
        <v>#REF!</v>
      </c>
      <c r="J18" s="327" t="e">
        <f>#REF!-'CFS 3Q2022'!J18</f>
        <v>#REF!</v>
      </c>
      <c r="K18" s="327" t="e">
        <f>#REF!-'CFS 3Q2022'!K18</f>
        <v>#REF!</v>
      </c>
      <c r="L18" s="327" t="e">
        <f>#REF!-'CFS 3Q2022'!L18</f>
        <v>#REF!</v>
      </c>
      <c r="M18" s="328" t="e">
        <f>#REF!-'CFS 3Q2022'!M18</f>
        <v>#REF!</v>
      </c>
      <c r="N18" s="327" t="e">
        <f>#REF!-'CFS 3Q2022'!N18</f>
        <v>#REF!</v>
      </c>
      <c r="O18" s="327" t="e">
        <f>#REF!-'CFS 3Q2022'!O18</f>
        <v>#REF!</v>
      </c>
      <c r="P18" s="327" t="e">
        <f>#REF!-'CFS 3Q2022'!P18</f>
        <v>#REF!</v>
      </c>
      <c r="Q18" s="327" t="e">
        <f>#REF!-'CFS 3Q2022'!Q18</f>
        <v>#REF!</v>
      </c>
      <c r="R18" s="328" t="e">
        <f>#REF!-'CFS 3Q2022'!R18</f>
        <v>#REF!</v>
      </c>
      <c r="S18" s="327" t="e">
        <f>#REF!-'CFS 3Q2022'!S18</f>
        <v>#REF!</v>
      </c>
      <c r="T18" s="327" t="e">
        <f>#REF!-'CFS 3Q2022'!T18</f>
        <v>#REF!</v>
      </c>
      <c r="U18" s="327" t="e">
        <f>#REF!-'CFS 3Q2022'!U18</f>
        <v>#REF!</v>
      </c>
      <c r="V18" s="327" t="e">
        <f>#REF!-'CFS 3Q2022'!V18</f>
        <v>#REF!</v>
      </c>
      <c r="W18" s="328" t="e">
        <f>#REF!-'CFS 3Q2022'!W18</f>
        <v>#REF!</v>
      </c>
      <c r="X18" s="327" t="e">
        <f>#REF!-'CFS 3Q2022'!X18</f>
        <v>#REF!</v>
      </c>
      <c r="Y18" s="327" t="e">
        <f>#REF!-'CFS 3Q2022'!Y18</f>
        <v>#REF!</v>
      </c>
      <c r="Z18" s="327" t="e">
        <f>#REF!-'CFS 3Q2022'!Z18</f>
        <v>#REF!</v>
      </c>
      <c r="AA18" s="327" t="e">
        <f>#REF!-'CFS 3Q2022'!AA18</f>
        <v>#REF!</v>
      </c>
      <c r="AB18" s="328" t="e">
        <f>#REF!-'CFS 3Q2022'!AB18</f>
        <v>#REF!</v>
      </c>
      <c r="AC18" s="327" t="e">
        <f>#REF!-'CFS 3Q2022'!AC18</f>
        <v>#REF!</v>
      </c>
      <c r="AD18" s="327" t="e">
        <f>#REF!-'CFS 3Q2022'!AD18</f>
        <v>#REF!</v>
      </c>
      <c r="AE18" s="327" t="e">
        <f>#REF!-'CFS 3Q2022'!AE18</f>
        <v>#REF!</v>
      </c>
      <c r="AF18" s="327" t="e">
        <f>#REF!-'CFS 3Q2022'!AF18</f>
        <v>#REF!</v>
      </c>
      <c r="AG18" s="328" t="e">
        <f>#REF!-'CFS 3Q2022'!AG18</f>
        <v>#REF!</v>
      </c>
      <c r="AH18" s="327" t="e">
        <f>#REF!-'CFS 3Q2022'!AH18</f>
        <v>#REF!</v>
      </c>
      <c r="AI18" s="327" t="e">
        <f>#REF!-'CFS 3Q2022'!AI18</f>
        <v>#REF!</v>
      </c>
      <c r="AJ18" s="327" t="e">
        <f>#REF!-'CFS 3Q2022'!AJ18</f>
        <v>#REF!</v>
      </c>
      <c r="AK18" s="327" t="e">
        <f>#REF!-'CFS 3Q2022'!AK18</f>
        <v>#REF!</v>
      </c>
      <c r="AL18" s="328" t="e">
        <f>#REF!-'CFS 3Q2022'!AL18</f>
        <v>#REF!</v>
      </c>
      <c r="AM18" s="327" t="e">
        <f>#REF!-'CFS 3Q2022'!AM18</f>
        <v>#REF!</v>
      </c>
      <c r="AN18" s="327" t="e">
        <f>#REF!-'CFS 3Q2022'!AN18</f>
        <v>#REF!</v>
      </c>
      <c r="AO18" s="327" t="e">
        <f>#REF!-'CFS 3Q2022'!AO18</f>
        <v>#REF!</v>
      </c>
      <c r="AP18" s="327" t="e">
        <f>#REF!-'CFS 3Q2022'!AP18</f>
        <v>#REF!</v>
      </c>
      <c r="AQ18" s="328" t="e">
        <f>#REF!-'CFS 3Q2022'!AQ18</f>
        <v>#REF!</v>
      </c>
      <c r="AR18" s="327" t="e">
        <f>#REF!-'CFS 3Q2022'!AR18</f>
        <v>#REF!</v>
      </c>
      <c r="AS18" s="327" t="e">
        <f>#REF!-'CFS 3Q2022'!AS18</f>
        <v>#REF!</v>
      </c>
      <c r="AT18" s="327" t="e">
        <f>#REF!-'CFS 3Q2022'!AT18</f>
        <v>#REF!</v>
      </c>
      <c r="AU18" s="327" t="e">
        <f>#REF!-'CFS 3Q2022'!AU18</f>
        <v>#REF!</v>
      </c>
      <c r="AV18" s="328" t="e">
        <f>#REF!-'CFS 3Q2022'!AV18</f>
        <v>#REF!</v>
      </c>
    </row>
    <row r="19" spans="2:48" outlineLevel="1" x14ac:dyDescent="0.3">
      <c r="B19" s="325" t="s">
        <v>233</v>
      </c>
      <c r="C19" s="326"/>
      <c r="D19" s="327" t="e">
        <f>#REF!-'CFS 3Q2022'!D19</f>
        <v>#REF!</v>
      </c>
      <c r="E19" s="327" t="e">
        <f>#REF!-'CFS 3Q2022'!E19</f>
        <v>#REF!</v>
      </c>
      <c r="F19" s="327" t="e">
        <f>#REF!-'CFS 3Q2022'!F19</f>
        <v>#REF!</v>
      </c>
      <c r="G19" s="327" t="e">
        <f>#REF!-'CFS 3Q2022'!G19</f>
        <v>#REF!</v>
      </c>
      <c r="H19" s="328" t="e">
        <f>#REF!-'CFS 3Q2022'!H19</f>
        <v>#REF!</v>
      </c>
      <c r="I19" s="327" t="e">
        <f>#REF!-'CFS 3Q2022'!I19</f>
        <v>#REF!</v>
      </c>
      <c r="J19" s="327" t="e">
        <f>#REF!-'CFS 3Q2022'!J19</f>
        <v>#REF!</v>
      </c>
      <c r="K19" s="327" t="e">
        <f>#REF!-'CFS 3Q2022'!K19</f>
        <v>#REF!</v>
      </c>
      <c r="L19" s="327" t="e">
        <f>#REF!-'CFS 3Q2022'!L19</f>
        <v>#REF!</v>
      </c>
      <c r="M19" s="328" t="e">
        <f>#REF!-'CFS 3Q2022'!M19</f>
        <v>#REF!</v>
      </c>
      <c r="N19" s="327" t="e">
        <f>#REF!-'CFS 3Q2022'!N19</f>
        <v>#REF!</v>
      </c>
      <c r="O19" s="327" t="e">
        <f>#REF!-'CFS 3Q2022'!O19</f>
        <v>#REF!</v>
      </c>
      <c r="P19" s="327" t="e">
        <f>#REF!-'CFS 3Q2022'!P19</f>
        <v>#REF!</v>
      </c>
      <c r="Q19" s="327" t="e">
        <f>#REF!-'CFS 3Q2022'!Q19</f>
        <v>#REF!</v>
      </c>
      <c r="R19" s="328" t="e">
        <f>#REF!-'CFS 3Q2022'!R19</f>
        <v>#REF!</v>
      </c>
      <c r="S19" s="327" t="e">
        <f>#REF!-'CFS 3Q2022'!S19</f>
        <v>#REF!</v>
      </c>
      <c r="T19" s="327" t="e">
        <f>#REF!-'CFS 3Q2022'!T19</f>
        <v>#REF!</v>
      </c>
      <c r="U19" s="327" t="e">
        <f>#REF!-'CFS 3Q2022'!U19</f>
        <v>#REF!</v>
      </c>
      <c r="V19" s="327" t="e">
        <f>#REF!-'CFS 3Q2022'!V19</f>
        <v>#REF!</v>
      </c>
      <c r="W19" s="328" t="e">
        <f>#REF!-'CFS 3Q2022'!W19</f>
        <v>#REF!</v>
      </c>
      <c r="X19" s="327" t="e">
        <f>#REF!-'CFS 3Q2022'!X19</f>
        <v>#REF!</v>
      </c>
      <c r="Y19" s="327" t="e">
        <f>#REF!-'CFS 3Q2022'!Y19</f>
        <v>#REF!</v>
      </c>
      <c r="Z19" s="327" t="e">
        <f>#REF!-'CFS 3Q2022'!Z19</f>
        <v>#REF!</v>
      </c>
      <c r="AA19" s="327" t="e">
        <f>#REF!-'CFS 3Q2022'!AA19</f>
        <v>#REF!</v>
      </c>
      <c r="AB19" s="328" t="e">
        <f>#REF!-'CFS 3Q2022'!AB19</f>
        <v>#REF!</v>
      </c>
      <c r="AC19" s="327" t="e">
        <f>#REF!-'CFS 3Q2022'!AC19</f>
        <v>#REF!</v>
      </c>
      <c r="AD19" s="327" t="e">
        <f>#REF!-'CFS 3Q2022'!AD19</f>
        <v>#REF!</v>
      </c>
      <c r="AE19" s="327" t="e">
        <f>#REF!-'CFS 3Q2022'!AE19</f>
        <v>#REF!</v>
      </c>
      <c r="AF19" s="327" t="e">
        <f>#REF!-'CFS 3Q2022'!AF19</f>
        <v>#REF!</v>
      </c>
      <c r="AG19" s="328" t="e">
        <f>#REF!-'CFS 3Q2022'!AG19</f>
        <v>#REF!</v>
      </c>
      <c r="AH19" s="327" t="e">
        <f>#REF!-'CFS 3Q2022'!AH19</f>
        <v>#REF!</v>
      </c>
      <c r="AI19" s="327" t="e">
        <f>#REF!-'CFS 3Q2022'!AI19</f>
        <v>#REF!</v>
      </c>
      <c r="AJ19" s="327" t="e">
        <f>#REF!-'CFS 3Q2022'!AJ19</f>
        <v>#REF!</v>
      </c>
      <c r="AK19" s="327" t="e">
        <f>#REF!-'CFS 3Q2022'!AK19</f>
        <v>#REF!</v>
      </c>
      <c r="AL19" s="328" t="e">
        <f>#REF!-'CFS 3Q2022'!AL19</f>
        <v>#REF!</v>
      </c>
      <c r="AM19" s="327" t="e">
        <f>#REF!-'CFS 3Q2022'!AM19</f>
        <v>#REF!</v>
      </c>
      <c r="AN19" s="327" t="e">
        <f>#REF!-'CFS 3Q2022'!AN19</f>
        <v>#REF!</v>
      </c>
      <c r="AO19" s="327" t="e">
        <f>#REF!-'CFS 3Q2022'!AO19</f>
        <v>#REF!</v>
      </c>
      <c r="AP19" s="327" t="e">
        <f>#REF!-'CFS 3Q2022'!AP19</f>
        <v>#REF!</v>
      </c>
      <c r="AQ19" s="328" t="e">
        <f>#REF!-'CFS 3Q2022'!AQ19</f>
        <v>#REF!</v>
      </c>
      <c r="AR19" s="327" t="e">
        <f>#REF!-'CFS 3Q2022'!AR19</f>
        <v>#REF!</v>
      </c>
      <c r="AS19" s="327" t="e">
        <f>#REF!-'CFS 3Q2022'!AS19</f>
        <v>#REF!</v>
      </c>
      <c r="AT19" s="327" t="e">
        <f>#REF!-'CFS 3Q2022'!AT19</f>
        <v>#REF!</v>
      </c>
      <c r="AU19" s="327" t="e">
        <f>#REF!-'CFS 3Q2022'!AU19</f>
        <v>#REF!</v>
      </c>
      <c r="AV19" s="328" t="e">
        <f>#REF!-'CFS 3Q2022'!AV19</f>
        <v>#REF!</v>
      </c>
    </row>
    <row r="20" spans="2:48" outlineLevel="1" x14ac:dyDescent="0.3">
      <c r="B20" s="325" t="s">
        <v>278</v>
      </c>
      <c r="C20" s="326"/>
      <c r="D20" s="327" t="e">
        <f>#REF!-'CFS 3Q2022'!D20</f>
        <v>#REF!</v>
      </c>
      <c r="E20" s="327" t="e">
        <f>#REF!-'CFS 3Q2022'!E20</f>
        <v>#REF!</v>
      </c>
      <c r="F20" s="327" t="e">
        <f>#REF!-'CFS 3Q2022'!F20</f>
        <v>#REF!</v>
      </c>
      <c r="G20" s="327" t="e">
        <f>#REF!-'CFS 3Q2022'!G20</f>
        <v>#REF!</v>
      </c>
      <c r="H20" s="328" t="e">
        <f>#REF!-'CFS 3Q2022'!H20</f>
        <v>#REF!</v>
      </c>
      <c r="I20" s="327" t="e">
        <f>#REF!-'CFS 3Q2022'!I20</f>
        <v>#REF!</v>
      </c>
      <c r="J20" s="327" t="e">
        <f>#REF!-'CFS 3Q2022'!J20</f>
        <v>#REF!</v>
      </c>
      <c r="K20" s="327" t="e">
        <f>#REF!-'CFS 3Q2022'!K20</f>
        <v>#REF!</v>
      </c>
      <c r="L20" s="327" t="e">
        <f>#REF!-'CFS 3Q2022'!L20</f>
        <v>#REF!</v>
      </c>
      <c r="M20" s="328" t="e">
        <f>#REF!-'CFS 3Q2022'!M20</f>
        <v>#REF!</v>
      </c>
      <c r="N20" s="327" t="e">
        <f>#REF!-'CFS 3Q2022'!N20</f>
        <v>#REF!</v>
      </c>
      <c r="O20" s="327" t="e">
        <f>#REF!-'CFS 3Q2022'!O20</f>
        <v>#REF!</v>
      </c>
      <c r="P20" s="327" t="e">
        <f>#REF!-'CFS 3Q2022'!P20</f>
        <v>#REF!</v>
      </c>
      <c r="Q20" s="327" t="e">
        <f>#REF!-'CFS 3Q2022'!Q20</f>
        <v>#REF!</v>
      </c>
      <c r="R20" s="328" t="e">
        <f>#REF!-'CFS 3Q2022'!R20</f>
        <v>#REF!</v>
      </c>
      <c r="S20" s="327" t="e">
        <f>#REF!-'CFS 3Q2022'!S20</f>
        <v>#REF!</v>
      </c>
      <c r="T20" s="327" t="e">
        <f>#REF!-'CFS 3Q2022'!T20</f>
        <v>#REF!</v>
      </c>
      <c r="U20" s="327" t="e">
        <f>#REF!-'CFS 3Q2022'!U20</f>
        <v>#REF!</v>
      </c>
      <c r="V20" s="327" t="e">
        <f>#REF!-'CFS 3Q2022'!V20</f>
        <v>#REF!</v>
      </c>
      <c r="W20" s="328" t="e">
        <f>#REF!-'CFS 3Q2022'!W20</f>
        <v>#REF!</v>
      </c>
      <c r="X20" s="327" t="e">
        <f>#REF!-'CFS 3Q2022'!X20</f>
        <v>#REF!</v>
      </c>
      <c r="Y20" s="327" t="e">
        <f>#REF!-'CFS 3Q2022'!Y20</f>
        <v>#REF!</v>
      </c>
      <c r="Z20" s="327" t="e">
        <f>#REF!-'CFS 3Q2022'!Z20</f>
        <v>#REF!</v>
      </c>
      <c r="AA20" s="327" t="e">
        <f>#REF!-'CFS 3Q2022'!AA20</f>
        <v>#REF!</v>
      </c>
      <c r="AB20" s="328" t="e">
        <f>#REF!-'CFS 3Q2022'!AB20</f>
        <v>#REF!</v>
      </c>
      <c r="AC20" s="327" t="e">
        <f>#REF!-'CFS 3Q2022'!AC20</f>
        <v>#REF!</v>
      </c>
      <c r="AD20" s="327" t="e">
        <f>#REF!-'CFS 3Q2022'!AD20</f>
        <v>#REF!</v>
      </c>
      <c r="AE20" s="327" t="e">
        <f>#REF!-'CFS 3Q2022'!AE20</f>
        <v>#REF!</v>
      </c>
      <c r="AF20" s="327" t="e">
        <f>#REF!-'CFS 3Q2022'!AF20</f>
        <v>#REF!</v>
      </c>
      <c r="AG20" s="328" t="e">
        <f>#REF!-'CFS 3Q2022'!AG20</f>
        <v>#REF!</v>
      </c>
      <c r="AH20" s="327" t="e">
        <f>#REF!-'CFS 3Q2022'!AH20</f>
        <v>#REF!</v>
      </c>
      <c r="AI20" s="327" t="e">
        <f>#REF!-'CFS 3Q2022'!AI20</f>
        <v>#REF!</v>
      </c>
      <c r="AJ20" s="327" t="e">
        <f>#REF!-'CFS 3Q2022'!AJ20</f>
        <v>#REF!</v>
      </c>
      <c r="AK20" s="327" t="e">
        <f>#REF!-'CFS 3Q2022'!AK20</f>
        <v>#REF!</v>
      </c>
      <c r="AL20" s="328" t="e">
        <f>#REF!-'CFS 3Q2022'!AL20</f>
        <v>#REF!</v>
      </c>
      <c r="AM20" s="327" t="e">
        <f>#REF!-'CFS 3Q2022'!AM20</f>
        <v>#REF!</v>
      </c>
      <c r="AN20" s="327" t="e">
        <f>#REF!-'CFS 3Q2022'!AN20</f>
        <v>#REF!</v>
      </c>
      <c r="AO20" s="327" t="e">
        <f>#REF!-'CFS 3Q2022'!AO20</f>
        <v>#REF!</v>
      </c>
      <c r="AP20" s="327" t="e">
        <f>#REF!-'CFS 3Q2022'!AP20</f>
        <v>#REF!</v>
      </c>
      <c r="AQ20" s="328" t="e">
        <f>#REF!-'CFS 3Q2022'!AQ20</f>
        <v>#REF!</v>
      </c>
      <c r="AR20" s="327" t="e">
        <f>#REF!-'CFS 3Q2022'!AR20</f>
        <v>#REF!</v>
      </c>
      <c r="AS20" s="327" t="e">
        <f>#REF!-'CFS 3Q2022'!AS20</f>
        <v>#REF!</v>
      </c>
      <c r="AT20" s="327" t="e">
        <f>#REF!-'CFS 3Q2022'!AT20</f>
        <v>#REF!</v>
      </c>
      <c r="AU20" s="327" t="e">
        <f>#REF!-'CFS 3Q2022'!AU20</f>
        <v>#REF!</v>
      </c>
      <c r="AV20" s="328" t="e">
        <f>#REF!-'CFS 3Q2022'!AV20</f>
        <v>#REF!</v>
      </c>
    </row>
    <row r="21" spans="2:48" ht="16.2" outlineLevel="1" x14ac:dyDescent="0.45">
      <c r="B21" s="623" t="s">
        <v>279</v>
      </c>
      <c r="C21" s="624"/>
      <c r="D21" s="329" t="e">
        <f>#REF!-'CFS 3Q2022'!D21</f>
        <v>#REF!</v>
      </c>
      <c r="E21" s="329" t="e">
        <f>#REF!-'CFS 3Q2022'!E21</f>
        <v>#REF!</v>
      </c>
      <c r="F21" s="329" t="e">
        <f>#REF!-'CFS 3Q2022'!F21</f>
        <v>#REF!</v>
      </c>
      <c r="G21" s="329" t="e">
        <f>#REF!-'CFS 3Q2022'!G21</f>
        <v>#REF!</v>
      </c>
      <c r="H21" s="330" t="e">
        <f>#REF!-'CFS 3Q2022'!H21</f>
        <v>#REF!</v>
      </c>
      <c r="I21" s="329" t="e">
        <f>#REF!-'CFS 3Q2022'!I21</f>
        <v>#REF!</v>
      </c>
      <c r="J21" s="329" t="e">
        <f>#REF!-'CFS 3Q2022'!J21</f>
        <v>#REF!</v>
      </c>
      <c r="K21" s="329" t="e">
        <f>#REF!-'CFS 3Q2022'!K21</f>
        <v>#REF!</v>
      </c>
      <c r="L21" s="329" t="e">
        <f>#REF!-'CFS 3Q2022'!L21</f>
        <v>#REF!</v>
      </c>
      <c r="M21" s="330" t="e">
        <f>#REF!-'CFS 3Q2022'!M21</f>
        <v>#REF!</v>
      </c>
      <c r="N21" s="329" t="e">
        <f>#REF!-'CFS 3Q2022'!N21</f>
        <v>#REF!</v>
      </c>
      <c r="O21" s="329" t="e">
        <f>#REF!-'CFS 3Q2022'!O21</f>
        <v>#REF!</v>
      </c>
      <c r="P21" s="329" t="e">
        <f>#REF!-'CFS 3Q2022'!P21</f>
        <v>#REF!</v>
      </c>
      <c r="Q21" s="329" t="e">
        <f>#REF!-'CFS 3Q2022'!Q21</f>
        <v>#REF!</v>
      </c>
      <c r="R21" s="330" t="e">
        <f>#REF!-'CFS 3Q2022'!R21</f>
        <v>#REF!</v>
      </c>
      <c r="S21" s="329" t="e">
        <f>#REF!-'CFS 3Q2022'!S21</f>
        <v>#REF!</v>
      </c>
      <c r="T21" s="329" t="e">
        <f>#REF!-'CFS 3Q2022'!T21</f>
        <v>#REF!</v>
      </c>
      <c r="U21" s="329" t="e">
        <f>#REF!-'CFS 3Q2022'!U21</f>
        <v>#REF!</v>
      </c>
      <c r="V21" s="329" t="e">
        <f>#REF!-'CFS 3Q2022'!V21</f>
        <v>#REF!</v>
      </c>
      <c r="W21" s="330" t="e">
        <f>#REF!-'CFS 3Q2022'!W21</f>
        <v>#REF!</v>
      </c>
      <c r="X21" s="329" t="e">
        <f>#REF!-'CFS 3Q2022'!X21</f>
        <v>#REF!</v>
      </c>
      <c r="Y21" s="329" t="e">
        <f>#REF!-'CFS 3Q2022'!Y21</f>
        <v>#REF!</v>
      </c>
      <c r="Z21" s="329" t="e">
        <f>#REF!-'CFS 3Q2022'!Z21</f>
        <v>#REF!</v>
      </c>
      <c r="AA21" s="329" t="e">
        <f>#REF!-'CFS 3Q2022'!AA21</f>
        <v>#REF!</v>
      </c>
      <c r="AB21" s="330" t="e">
        <f>#REF!-'CFS 3Q2022'!AB21</f>
        <v>#REF!</v>
      </c>
      <c r="AC21" s="329" t="e">
        <f>#REF!-'CFS 3Q2022'!AC21</f>
        <v>#REF!</v>
      </c>
      <c r="AD21" s="329" t="e">
        <f>#REF!-'CFS 3Q2022'!AD21</f>
        <v>#REF!</v>
      </c>
      <c r="AE21" s="329" t="e">
        <f>#REF!-'CFS 3Q2022'!AE21</f>
        <v>#REF!</v>
      </c>
      <c r="AF21" s="329" t="e">
        <f>#REF!-'CFS 3Q2022'!AF21</f>
        <v>#REF!</v>
      </c>
      <c r="AG21" s="330" t="e">
        <f>#REF!-'CFS 3Q2022'!AG21</f>
        <v>#REF!</v>
      </c>
      <c r="AH21" s="329" t="e">
        <f>#REF!-'CFS 3Q2022'!AH21</f>
        <v>#REF!</v>
      </c>
      <c r="AI21" s="329" t="e">
        <f>#REF!-'CFS 3Q2022'!AI21</f>
        <v>#REF!</v>
      </c>
      <c r="AJ21" s="329" t="e">
        <f>#REF!-'CFS 3Q2022'!AJ21</f>
        <v>#REF!</v>
      </c>
      <c r="AK21" s="329" t="e">
        <f>#REF!-'CFS 3Q2022'!AK21</f>
        <v>#REF!</v>
      </c>
      <c r="AL21" s="330" t="e">
        <f>#REF!-'CFS 3Q2022'!AL21</f>
        <v>#REF!</v>
      </c>
      <c r="AM21" s="329" t="e">
        <f>#REF!-'CFS 3Q2022'!AM21</f>
        <v>#REF!</v>
      </c>
      <c r="AN21" s="329" t="e">
        <f>#REF!-'CFS 3Q2022'!AN21</f>
        <v>#REF!</v>
      </c>
      <c r="AO21" s="329" t="e">
        <f>#REF!-'CFS 3Q2022'!AO21</f>
        <v>#REF!</v>
      </c>
      <c r="AP21" s="329" t="e">
        <f>#REF!-'CFS 3Q2022'!AP21</f>
        <v>#REF!</v>
      </c>
      <c r="AQ21" s="330" t="e">
        <f>#REF!-'CFS 3Q2022'!AQ21</f>
        <v>#REF!</v>
      </c>
      <c r="AR21" s="329" t="e">
        <f>#REF!-'CFS 3Q2022'!AR21</f>
        <v>#REF!</v>
      </c>
      <c r="AS21" s="329" t="e">
        <f>#REF!-'CFS 3Q2022'!AS21</f>
        <v>#REF!</v>
      </c>
      <c r="AT21" s="329" t="e">
        <f>#REF!-'CFS 3Q2022'!AT21</f>
        <v>#REF!</v>
      </c>
      <c r="AU21" s="329" t="e">
        <f>#REF!-'CFS 3Q2022'!AU21</f>
        <v>#REF!</v>
      </c>
      <c r="AV21" s="330" t="e">
        <f>#REF!-'CFS 3Q2022'!AV21</f>
        <v>#REF!</v>
      </c>
    </row>
    <row r="22" spans="2:48" outlineLevel="1" x14ac:dyDescent="0.3">
      <c r="B22" s="627" t="s">
        <v>280</v>
      </c>
      <c r="C22" s="628"/>
      <c r="D22" s="331" t="e">
        <f>#REF!-'CFS 3Q2022'!D22</f>
        <v>#REF!</v>
      </c>
      <c r="E22" s="331" t="e">
        <f>#REF!-'CFS 3Q2022'!E22</f>
        <v>#REF!</v>
      </c>
      <c r="F22" s="331" t="e">
        <f>#REF!-'CFS 3Q2022'!F22</f>
        <v>#REF!</v>
      </c>
      <c r="G22" s="331" t="e">
        <f>#REF!-'CFS 3Q2022'!G22</f>
        <v>#REF!</v>
      </c>
      <c r="H22" s="332" t="e">
        <f>#REF!-'CFS 3Q2022'!H22</f>
        <v>#REF!</v>
      </c>
      <c r="I22" s="331" t="e">
        <f>#REF!-'CFS 3Q2022'!I22</f>
        <v>#REF!</v>
      </c>
      <c r="J22" s="331" t="e">
        <f>#REF!-'CFS 3Q2022'!J22</f>
        <v>#REF!</v>
      </c>
      <c r="K22" s="331" t="e">
        <f>#REF!-'CFS 3Q2022'!K22</f>
        <v>#REF!</v>
      </c>
      <c r="L22" s="331" t="e">
        <f>#REF!-'CFS 3Q2022'!L22</f>
        <v>#REF!</v>
      </c>
      <c r="M22" s="332" t="e">
        <f>#REF!-'CFS 3Q2022'!M22</f>
        <v>#REF!</v>
      </c>
      <c r="N22" s="331" t="e">
        <f>#REF!-'CFS 3Q2022'!N22</f>
        <v>#REF!</v>
      </c>
      <c r="O22" s="331" t="e">
        <f>#REF!-'CFS 3Q2022'!O22</f>
        <v>#REF!</v>
      </c>
      <c r="P22" s="331" t="e">
        <f>#REF!-'CFS 3Q2022'!P22</f>
        <v>#REF!</v>
      </c>
      <c r="Q22" s="331" t="e">
        <f>#REF!-'CFS 3Q2022'!Q22</f>
        <v>#REF!</v>
      </c>
      <c r="R22" s="332" t="e">
        <f>#REF!-'CFS 3Q2022'!R22</f>
        <v>#REF!</v>
      </c>
      <c r="S22" s="331" t="e">
        <f>#REF!-'CFS 3Q2022'!S22</f>
        <v>#REF!</v>
      </c>
      <c r="T22" s="331" t="e">
        <f>#REF!-'CFS 3Q2022'!T22</f>
        <v>#REF!</v>
      </c>
      <c r="U22" s="331" t="e">
        <f>#REF!-'CFS 3Q2022'!U22</f>
        <v>#REF!</v>
      </c>
      <c r="V22" s="331" t="e">
        <f>#REF!-'CFS 3Q2022'!V22</f>
        <v>#REF!</v>
      </c>
      <c r="W22" s="332" t="e">
        <f>#REF!-'CFS 3Q2022'!W22</f>
        <v>#REF!</v>
      </c>
      <c r="X22" s="331" t="e">
        <f>#REF!-'CFS 3Q2022'!X22</f>
        <v>#REF!</v>
      </c>
      <c r="Y22" s="331" t="e">
        <f>#REF!-'CFS 3Q2022'!Y22</f>
        <v>#REF!</v>
      </c>
      <c r="Z22" s="331" t="e">
        <f>#REF!-'CFS 3Q2022'!Z22</f>
        <v>#REF!</v>
      </c>
      <c r="AA22" s="331" t="e">
        <f>#REF!-'CFS 3Q2022'!AA22</f>
        <v>#REF!</v>
      </c>
      <c r="AB22" s="332" t="e">
        <f>#REF!-'CFS 3Q2022'!AB22</f>
        <v>#REF!</v>
      </c>
      <c r="AC22" s="331" t="e">
        <f>#REF!-'CFS 3Q2022'!AC22</f>
        <v>#REF!</v>
      </c>
      <c r="AD22" s="331" t="e">
        <f>#REF!-'CFS 3Q2022'!AD22</f>
        <v>#REF!</v>
      </c>
      <c r="AE22" s="331" t="e">
        <f>#REF!-'CFS 3Q2022'!AE22</f>
        <v>#REF!</v>
      </c>
      <c r="AF22" s="331" t="e">
        <f>#REF!-'CFS 3Q2022'!AF22</f>
        <v>#REF!</v>
      </c>
      <c r="AG22" s="332" t="e">
        <f>#REF!-'CFS 3Q2022'!AG22</f>
        <v>#REF!</v>
      </c>
      <c r="AH22" s="331" t="e">
        <f>#REF!-'CFS 3Q2022'!AH22</f>
        <v>#REF!</v>
      </c>
      <c r="AI22" s="331" t="e">
        <f>#REF!-'CFS 3Q2022'!AI22</f>
        <v>#REF!</v>
      </c>
      <c r="AJ22" s="331" t="e">
        <f>#REF!-'CFS 3Q2022'!AJ22</f>
        <v>#REF!</v>
      </c>
      <c r="AK22" s="331" t="e">
        <f>#REF!-'CFS 3Q2022'!AK22</f>
        <v>#REF!</v>
      </c>
      <c r="AL22" s="332" t="e">
        <f>#REF!-'CFS 3Q2022'!AL22</f>
        <v>#REF!</v>
      </c>
      <c r="AM22" s="331" t="e">
        <f>#REF!-'CFS 3Q2022'!AM22</f>
        <v>#REF!</v>
      </c>
      <c r="AN22" s="331" t="e">
        <f>#REF!-'CFS 3Q2022'!AN22</f>
        <v>#REF!</v>
      </c>
      <c r="AO22" s="331" t="e">
        <f>#REF!-'CFS 3Q2022'!AO22</f>
        <v>#REF!</v>
      </c>
      <c r="AP22" s="331" t="e">
        <f>#REF!-'CFS 3Q2022'!AP22</f>
        <v>#REF!</v>
      </c>
      <c r="AQ22" s="332" t="e">
        <f>#REF!-'CFS 3Q2022'!AQ22</f>
        <v>#REF!</v>
      </c>
      <c r="AR22" s="331" t="e">
        <f>#REF!-'CFS 3Q2022'!AR22</f>
        <v>#REF!</v>
      </c>
      <c r="AS22" s="331" t="e">
        <f>#REF!-'CFS 3Q2022'!AS22</f>
        <v>#REF!</v>
      </c>
      <c r="AT22" s="331" t="e">
        <f>#REF!-'CFS 3Q2022'!AT22</f>
        <v>#REF!</v>
      </c>
      <c r="AU22" s="331" t="e">
        <f>#REF!-'CFS 3Q2022'!AU22</f>
        <v>#REF!</v>
      </c>
      <c r="AV22" s="332" t="e">
        <f>#REF!-'CFS 3Q2022'!AV22</f>
        <v>#REF!</v>
      </c>
    </row>
    <row r="23" spans="2:48" outlineLevel="1" x14ac:dyDescent="0.3">
      <c r="B23" s="597" t="s">
        <v>281</v>
      </c>
      <c r="C23" s="598"/>
      <c r="D23" s="333" t="e">
        <f>#REF!-'CFS 3Q2022'!D23</f>
        <v>#REF!</v>
      </c>
      <c r="E23" s="334" t="e">
        <f>#REF!-'CFS 3Q2022'!E23</f>
        <v>#REF!</v>
      </c>
      <c r="F23" s="334" t="e">
        <f>#REF!-'CFS 3Q2022'!F23</f>
        <v>#REF!</v>
      </c>
      <c r="G23" s="334" t="e">
        <f>#REF!-'CFS 3Q2022'!G23</f>
        <v>#REF!</v>
      </c>
      <c r="H23" s="335" t="e">
        <f>#REF!-'CFS 3Q2022'!H23</f>
        <v>#REF!</v>
      </c>
      <c r="I23" s="336" t="e">
        <f>#REF!-'CFS 3Q2022'!I23</f>
        <v>#REF!</v>
      </c>
      <c r="J23" s="336" t="e">
        <f>#REF!-'CFS 3Q2022'!J23</f>
        <v>#REF!</v>
      </c>
      <c r="K23" s="334" t="e">
        <f>#REF!-'CFS 3Q2022'!K23</f>
        <v>#REF!</v>
      </c>
      <c r="L23" s="334" t="e">
        <f>#REF!-'CFS 3Q2022'!L23</f>
        <v>#REF!</v>
      </c>
      <c r="M23" s="337" t="e">
        <f>#REF!-'CFS 3Q2022'!M23</f>
        <v>#REF!</v>
      </c>
      <c r="N23" s="334" t="e">
        <f>#REF!-'CFS 3Q2022'!N23</f>
        <v>#REF!</v>
      </c>
      <c r="O23" s="334" t="e">
        <f>#REF!-'CFS 3Q2022'!O23</f>
        <v>#REF!</v>
      </c>
      <c r="P23" s="334" t="e">
        <f>#REF!-'CFS 3Q2022'!P23</f>
        <v>#REF!</v>
      </c>
      <c r="Q23" s="334" t="e">
        <f>#REF!-'CFS 3Q2022'!Q23</f>
        <v>#REF!</v>
      </c>
      <c r="R23" s="337" t="e">
        <f>#REF!-'CFS 3Q2022'!R23</f>
        <v>#REF!</v>
      </c>
      <c r="S23" s="334" t="e">
        <f>#REF!-'CFS 3Q2022'!S23</f>
        <v>#REF!</v>
      </c>
      <c r="T23" s="334" t="e">
        <f>#REF!-'CFS 3Q2022'!T23</f>
        <v>#REF!</v>
      </c>
      <c r="U23" s="334" t="e">
        <f>#REF!-'CFS 3Q2022'!U23</f>
        <v>#REF!</v>
      </c>
      <c r="V23" s="334" t="e">
        <f>#REF!-'CFS 3Q2022'!V23</f>
        <v>#REF!</v>
      </c>
      <c r="W23" s="337" t="e">
        <f>#REF!-'CFS 3Q2022'!W23</f>
        <v>#REF!</v>
      </c>
      <c r="X23" s="334" t="e">
        <f>#REF!-'CFS 3Q2022'!X23</f>
        <v>#REF!</v>
      </c>
      <c r="Y23" s="334" t="e">
        <f>#REF!-'CFS 3Q2022'!Y23</f>
        <v>#REF!</v>
      </c>
      <c r="Z23" s="334" t="e">
        <f>#REF!-'CFS 3Q2022'!Z23</f>
        <v>#REF!</v>
      </c>
      <c r="AA23" s="334" t="e">
        <f>#REF!-'CFS 3Q2022'!AA23</f>
        <v>#REF!</v>
      </c>
      <c r="AB23" s="337" t="e">
        <f>#REF!-'CFS 3Q2022'!AB23</f>
        <v>#REF!</v>
      </c>
      <c r="AC23" s="334" t="e">
        <f>#REF!-'CFS 3Q2022'!AC23</f>
        <v>#REF!</v>
      </c>
      <c r="AD23" s="334" t="e">
        <f>#REF!-'CFS 3Q2022'!AD23</f>
        <v>#REF!</v>
      </c>
      <c r="AE23" s="334" t="e">
        <f>#REF!-'CFS 3Q2022'!AE23</f>
        <v>#REF!</v>
      </c>
      <c r="AF23" s="334" t="e">
        <f>#REF!-'CFS 3Q2022'!AF23</f>
        <v>#REF!</v>
      </c>
      <c r="AG23" s="337" t="e">
        <f>#REF!-'CFS 3Q2022'!AG23</f>
        <v>#REF!</v>
      </c>
      <c r="AH23" s="334" t="e">
        <f>#REF!-'CFS 3Q2022'!AH23</f>
        <v>#REF!</v>
      </c>
      <c r="AI23" s="334" t="e">
        <f>#REF!-'CFS 3Q2022'!AI23</f>
        <v>#REF!</v>
      </c>
      <c r="AJ23" s="334" t="e">
        <f>#REF!-'CFS 3Q2022'!AJ23</f>
        <v>#REF!</v>
      </c>
      <c r="AK23" s="334" t="e">
        <f>#REF!-'CFS 3Q2022'!AK23</f>
        <v>#REF!</v>
      </c>
      <c r="AL23" s="337" t="e">
        <f>#REF!-'CFS 3Q2022'!AL23</f>
        <v>#REF!</v>
      </c>
      <c r="AM23" s="334" t="e">
        <f>#REF!-'CFS 3Q2022'!AM23</f>
        <v>#REF!</v>
      </c>
      <c r="AN23" s="334" t="e">
        <f>#REF!-'CFS 3Q2022'!AN23</f>
        <v>#REF!</v>
      </c>
      <c r="AO23" s="334" t="e">
        <f>#REF!-'CFS 3Q2022'!AO23</f>
        <v>#REF!</v>
      </c>
      <c r="AP23" s="334" t="e">
        <f>#REF!-'CFS 3Q2022'!AP23</f>
        <v>#REF!</v>
      </c>
      <c r="AQ23" s="337" t="e">
        <f>#REF!-'CFS 3Q2022'!AQ23</f>
        <v>#REF!</v>
      </c>
      <c r="AR23" s="334" t="e">
        <f>#REF!-'CFS 3Q2022'!AR23</f>
        <v>#REF!</v>
      </c>
      <c r="AS23" s="334" t="e">
        <f>#REF!-'CFS 3Q2022'!AS23</f>
        <v>#REF!</v>
      </c>
      <c r="AT23" s="334" t="e">
        <f>#REF!-'CFS 3Q2022'!AT23</f>
        <v>#REF!</v>
      </c>
      <c r="AU23" s="334" t="e">
        <f>#REF!-'CFS 3Q2022'!AU23</f>
        <v>#REF!</v>
      </c>
      <c r="AV23" s="337" t="e">
        <f>#REF!-'CFS 3Q2022'!AV23</f>
        <v>#REF!</v>
      </c>
    </row>
    <row r="24" spans="2:48" outlineLevel="1" x14ac:dyDescent="0.3">
      <c r="B24" s="200" t="s">
        <v>282</v>
      </c>
      <c r="C24" s="201"/>
      <c r="D24" s="16" t="e">
        <f>#REF!-'CFS 3Q2022'!D24</f>
        <v>#REF!</v>
      </c>
      <c r="E24" s="16" t="e">
        <f>#REF!-'CFS 3Q2022'!E24</f>
        <v>#REF!</v>
      </c>
      <c r="F24" s="16" t="e">
        <f>#REF!-'CFS 3Q2022'!F24</f>
        <v>#REF!</v>
      </c>
      <c r="G24" s="16" t="e">
        <f>#REF!-'CFS 3Q2022'!G24</f>
        <v>#REF!</v>
      </c>
      <c r="H24" s="17" t="e">
        <f>#REF!-'CFS 3Q2022'!H24</f>
        <v>#REF!</v>
      </c>
      <c r="I24" s="16" t="e">
        <f>#REF!-'CFS 3Q2022'!I24</f>
        <v>#REF!</v>
      </c>
      <c r="J24" s="16" t="e">
        <f>#REF!-'CFS 3Q2022'!J24</f>
        <v>#REF!</v>
      </c>
      <c r="K24" s="16" t="e">
        <f>#REF!-'CFS 3Q2022'!K24</f>
        <v>#REF!</v>
      </c>
      <c r="L24" s="16" t="e">
        <f>#REF!-'CFS 3Q2022'!L24</f>
        <v>#REF!</v>
      </c>
      <c r="M24" s="17" t="e">
        <f>#REF!-'CFS 3Q2022'!M24</f>
        <v>#REF!</v>
      </c>
      <c r="N24" s="16" t="e">
        <f>#REF!-'CFS 3Q2022'!N24</f>
        <v>#REF!</v>
      </c>
      <c r="O24" s="16" t="e">
        <f>#REF!-'CFS 3Q2022'!O24</f>
        <v>#REF!</v>
      </c>
      <c r="P24" s="16" t="e">
        <f>#REF!-'CFS 3Q2022'!P24</f>
        <v>#REF!</v>
      </c>
      <c r="Q24" s="16" t="e">
        <f>#REF!-'CFS 3Q2022'!Q24</f>
        <v>#REF!</v>
      </c>
      <c r="R24" s="17" t="e">
        <f>#REF!-'CFS 3Q2022'!R24</f>
        <v>#REF!</v>
      </c>
      <c r="S24" s="16" t="e">
        <f>#REF!-'CFS 3Q2022'!S24</f>
        <v>#REF!</v>
      </c>
      <c r="T24" s="16" t="e">
        <f>#REF!-'CFS 3Q2022'!T24</f>
        <v>#REF!</v>
      </c>
      <c r="U24" s="16" t="e">
        <f>#REF!-'CFS 3Q2022'!U24</f>
        <v>#REF!</v>
      </c>
      <c r="V24" s="16" t="e">
        <f>#REF!-'CFS 3Q2022'!V24</f>
        <v>#REF!</v>
      </c>
      <c r="W24" s="17" t="e">
        <f>#REF!-'CFS 3Q2022'!W24</f>
        <v>#REF!</v>
      </c>
      <c r="X24" s="16" t="e">
        <f>#REF!-'CFS 3Q2022'!X24</f>
        <v>#REF!</v>
      </c>
      <c r="Y24" s="16" t="e">
        <f>#REF!-'CFS 3Q2022'!Y24</f>
        <v>#REF!</v>
      </c>
      <c r="Z24" s="16" t="e">
        <f>#REF!-'CFS 3Q2022'!Z24</f>
        <v>#REF!</v>
      </c>
      <c r="AA24" s="16" t="e">
        <f>#REF!-'CFS 3Q2022'!AA24</f>
        <v>#REF!</v>
      </c>
      <c r="AB24" s="17" t="e">
        <f>#REF!-'CFS 3Q2022'!AB24</f>
        <v>#REF!</v>
      </c>
      <c r="AC24" s="16" t="e">
        <f>#REF!-'CFS 3Q2022'!AC24</f>
        <v>#REF!</v>
      </c>
      <c r="AD24" s="16" t="e">
        <f>#REF!-'CFS 3Q2022'!AD24</f>
        <v>#REF!</v>
      </c>
      <c r="AE24" s="16" t="e">
        <f>#REF!-'CFS 3Q2022'!AE24</f>
        <v>#REF!</v>
      </c>
      <c r="AF24" s="16" t="e">
        <f>#REF!-'CFS 3Q2022'!AF24</f>
        <v>#REF!</v>
      </c>
      <c r="AG24" s="17" t="e">
        <f>#REF!-'CFS 3Q2022'!AG24</f>
        <v>#REF!</v>
      </c>
      <c r="AH24" s="16" t="e">
        <f>#REF!-'CFS 3Q2022'!AH24</f>
        <v>#REF!</v>
      </c>
      <c r="AI24" s="16" t="e">
        <f>#REF!-'CFS 3Q2022'!AI24</f>
        <v>#REF!</v>
      </c>
      <c r="AJ24" s="16" t="e">
        <f>#REF!-'CFS 3Q2022'!AJ24</f>
        <v>#REF!</v>
      </c>
      <c r="AK24" s="16" t="e">
        <f>#REF!-'CFS 3Q2022'!AK24</f>
        <v>#REF!</v>
      </c>
      <c r="AL24" s="17" t="e">
        <f>#REF!-'CFS 3Q2022'!AL24</f>
        <v>#REF!</v>
      </c>
      <c r="AM24" s="16" t="e">
        <f>#REF!-'CFS 3Q2022'!AM24</f>
        <v>#REF!</v>
      </c>
      <c r="AN24" s="16" t="e">
        <f>#REF!-'CFS 3Q2022'!AN24</f>
        <v>#REF!</v>
      </c>
      <c r="AO24" s="16" t="e">
        <f>#REF!-'CFS 3Q2022'!AO24</f>
        <v>#REF!</v>
      </c>
      <c r="AP24" s="16" t="e">
        <f>#REF!-'CFS 3Q2022'!AP24</f>
        <v>#REF!</v>
      </c>
      <c r="AQ24" s="17" t="e">
        <f>#REF!-'CFS 3Q2022'!AQ24</f>
        <v>#REF!</v>
      </c>
      <c r="AR24" s="16" t="e">
        <f>#REF!-'CFS 3Q2022'!AR24</f>
        <v>#REF!</v>
      </c>
      <c r="AS24" s="16" t="e">
        <f>#REF!-'CFS 3Q2022'!AS24</f>
        <v>#REF!</v>
      </c>
      <c r="AT24" s="16" t="e">
        <f>#REF!-'CFS 3Q2022'!AT24</f>
        <v>#REF!</v>
      </c>
      <c r="AU24" s="16" t="e">
        <f>#REF!-'CFS 3Q2022'!AU24</f>
        <v>#REF!</v>
      </c>
      <c r="AV24" s="17" t="e">
        <f>#REF!-'CFS 3Q2022'!AV24</f>
        <v>#REF!</v>
      </c>
    </row>
    <row r="25" spans="2:48" outlineLevel="1" x14ac:dyDescent="0.3">
      <c r="B25" s="580" t="s">
        <v>283</v>
      </c>
      <c r="C25" s="581"/>
      <c r="D25" s="16" t="e">
        <f>#REF!-'CFS 3Q2022'!D25</f>
        <v>#REF!</v>
      </c>
      <c r="E25" s="16" t="e">
        <f>#REF!-'CFS 3Q2022'!E25</f>
        <v>#REF!</v>
      </c>
      <c r="F25" s="16" t="e">
        <f>#REF!-'CFS 3Q2022'!F25</f>
        <v>#REF!</v>
      </c>
      <c r="G25" s="16" t="e">
        <f>#REF!-'CFS 3Q2022'!G25</f>
        <v>#REF!</v>
      </c>
      <c r="H25" s="169" t="e">
        <f>#REF!-'CFS 3Q2022'!H25</f>
        <v>#REF!</v>
      </c>
      <c r="I25" s="16" t="e">
        <f>#REF!-'CFS 3Q2022'!I25</f>
        <v>#REF!</v>
      </c>
      <c r="J25" s="16" t="e">
        <f>#REF!-'CFS 3Q2022'!J25</f>
        <v>#REF!</v>
      </c>
      <c r="K25" s="16" t="e">
        <f>#REF!-'CFS 3Q2022'!K25</f>
        <v>#REF!</v>
      </c>
      <c r="L25" s="16" t="e">
        <f>#REF!-'CFS 3Q2022'!L25</f>
        <v>#REF!</v>
      </c>
      <c r="M25" s="169" t="e">
        <f>#REF!-'CFS 3Q2022'!M25</f>
        <v>#REF!</v>
      </c>
      <c r="N25" s="16" t="e">
        <f>#REF!-'CFS 3Q2022'!N25</f>
        <v>#REF!</v>
      </c>
      <c r="O25" s="16" t="e">
        <f>#REF!-'CFS 3Q2022'!O25</f>
        <v>#REF!</v>
      </c>
      <c r="P25" s="16" t="e">
        <f>#REF!-'CFS 3Q2022'!P25</f>
        <v>#REF!</v>
      </c>
      <c r="Q25" s="16" t="e">
        <f>#REF!-'CFS 3Q2022'!Q25</f>
        <v>#REF!</v>
      </c>
      <c r="R25" s="169" t="e">
        <f>#REF!-'CFS 3Q2022'!R25</f>
        <v>#REF!</v>
      </c>
      <c r="S25" s="16" t="e">
        <f>#REF!-'CFS 3Q2022'!S25</f>
        <v>#REF!</v>
      </c>
      <c r="T25" s="16" t="e">
        <f>#REF!-'CFS 3Q2022'!T25</f>
        <v>#REF!</v>
      </c>
      <c r="U25" s="16" t="e">
        <f>#REF!-'CFS 3Q2022'!U25</f>
        <v>#REF!</v>
      </c>
      <c r="V25" s="16" t="e">
        <f>#REF!-'CFS 3Q2022'!V25</f>
        <v>#REF!</v>
      </c>
      <c r="W25" s="169" t="e">
        <f>#REF!-'CFS 3Q2022'!W25</f>
        <v>#REF!</v>
      </c>
      <c r="X25" s="16" t="e">
        <f>#REF!-'CFS 3Q2022'!X25</f>
        <v>#REF!</v>
      </c>
      <c r="Y25" s="16" t="e">
        <f>#REF!-'CFS 3Q2022'!Y25</f>
        <v>#REF!</v>
      </c>
      <c r="Z25" s="16" t="e">
        <f>#REF!-'CFS 3Q2022'!Z25</f>
        <v>#REF!</v>
      </c>
      <c r="AA25" s="16" t="e">
        <f>#REF!-'CFS 3Q2022'!AA25</f>
        <v>#REF!</v>
      </c>
      <c r="AB25" s="418" t="e">
        <f>#REF!-'CFS 3Q2022'!AB25</f>
        <v>#REF!</v>
      </c>
      <c r="AC25" s="16" t="e">
        <f>#REF!-'CFS 3Q2022'!AC25</f>
        <v>#REF!</v>
      </c>
      <c r="AD25" s="16" t="e">
        <f>#REF!-'CFS 3Q2022'!AD25</f>
        <v>#REF!</v>
      </c>
      <c r="AE25" s="16" t="e">
        <f>#REF!-'CFS 3Q2022'!AE25</f>
        <v>#REF!</v>
      </c>
      <c r="AF25" s="16" t="e">
        <f>#REF!-'CFS 3Q2022'!AF25</f>
        <v>#REF!</v>
      </c>
      <c r="AG25" s="418" t="e">
        <f>#REF!-'CFS 3Q2022'!AG25</f>
        <v>#REF!</v>
      </c>
      <c r="AH25" s="16" t="e">
        <f>#REF!-'CFS 3Q2022'!AH25</f>
        <v>#REF!</v>
      </c>
      <c r="AI25" s="16" t="e">
        <f>#REF!-'CFS 3Q2022'!AI25</f>
        <v>#REF!</v>
      </c>
      <c r="AJ25" s="16" t="e">
        <f>#REF!-'CFS 3Q2022'!AJ25</f>
        <v>#REF!</v>
      </c>
      <c r="AK25" s="16" t="e">
        <f>#REF!-'CFS 3Q2022'!AK25</f>
        <v>#REF!</v>
      </c>
      <c r="AL25" s="418" t="e">
        <f>#REF!-'CFS 3Q2022'!AL25</f>
        <v>#REF!</v>
      </c>
      <c r="AM25" s="16" t="e">
        <f>#REF!-'CFS 3Q2022'!AM25</f>
        <v>#REF!</v>
      </c>
      <c r="AN25" s="16" t="e">
        <f>#REF!-'CFS 3Q2022'!AN25</f>
        <v>#REF!</v>
      </c>
      <c r="AO25" s="16" t="e">
        <f>#REF!-'CFS 3Q2022'!AO25</f>
        <v>#REF!</v>
      </c>
      <c r="AP25" s="16" t="e">
        <f>#REF!-'CFS 3Q2022'!AP25</f>
        <v>#REF!</v>
      </c>
      <c r="AQ25" s="17" t="e">
        <f>#REF!-'CFS 3Q2022'!AQ25</f>
        <v>#REF!</v>
      </c>
      <c r="AR25" s="16" t="e">
        <f>#REF!-'CFS 3Q2022'!AR25</f>
        <v>#REF!</v>
      </c>
      <c r="AS25" s="16" t="e">
        <f>#REF!-'CFS 3Q2022'!AS25</f>
        <v>#REF!</v>
      </c>
      <c r="AT25" s="16" t="e">
        <f>#REF!-'CFS 3Q2022'!AT25</f>
        <v>#REF!</v>
      </c>
      <c r="AU25" s="16" t="e">
        <f>#REF!-'CFS 3Q2022'!AU25</f>
        <v>#REF!</v>
      </c>
      <c r="AV25" s="17" t="e">
        <f>#REF!-'CFS 3Q2022'!AV25</f>
        <v>#REF!</v>
      </c>
    </row>
    <row r="26" spans="2:48" ht="16.2" outlineLevel="1" x14ac:dyDescent="0.45">
      <c r="B26" s="580" t="s">
        <v>284</v>
      </c>
      <c r="C26" s="581"/>
      <c r="D26" s="260" t="e">
        <f>#REF!-'CFS 3Q2022'!D26</f>
        <v>#REF!</v>
      </c>
      <c r="E26" s="260" t="e">
        <f>#REF!-'CFS 3Q2022'!E26</f>
        <v>#REF!</v>
      </c>
      <c r="F26" s="260" t="e">
        <f>#REF!-'CFS 3Q2022'!F26</f>
        <v>#REF!</v>
      </c>
      <c r="G26" s="260" t="e">
        <f>#REF!-'CFS 3Q2022'!G26</f>
        <v>#REF!</v>
      </c>
      <c r="H26" s="261" t="e">
        <f>#REF!-'CFS 3Q2022'!H26</f>
        <v>#REF!</v>
      </c>
      <c r="I26" s="260" t="e">
        <f>#REF!-'CFS 3Q2022'!I26</f>
        <v>#REF!</v>
      </c>
      <c r="J26" s="260" t="e">
        <f>#REF!-'CFS 3Q2022'!J26</f>
        <v>#REF!</v>
      </c>
      <c r="K26" s="260" t="e">
        <f>#REF!-'CFS 3Q2022'!K26</f>
        <v>#REF!</v>
      </c>
      <c r="L26" s="260" t="e">
        <f>#REF!-'CFS 3Q2022'!L26</f>
        <v>#REF!</v>
      </c>
      <c r="M26" s="261" t="e">
        <f>#REF!-'CFS 3Q2022'!M26</f>
        <v>#REF!</v>
      </c>
      <c r="N26" s="260" t="e">
        <f>#REF!-'CFS 3Q2022'!N26</f>
        <v>#REF!</v>
      </c>
      <c r="O26" s="260" t="e">
        <f>#REF!-'CFS 3Q2022'!O26</f>
        <v>#REF!</v>
      </c>
      <c r="P26" s="260" t="e">
        <f>#REF!-'CFS 3Q2022'!P26</f>
        <v>#REF!</v>
      </c>
      <c r="Q26" s="260" t="e">
        <f>#REF!-'CFS 3Q2022'!Q26</f>
        <v>#REF!</v>
      </c>
      <c r="R26" s="261" t="e">
        <f>#REF!-'CFS 3Q2022'!R26</f>
        <v>#REF!</v>
      </c>
      <c r="S26" s="260" t="e">
        <f>#REF!-'CFS 3Q2022'!S26</f>
        <v>#REF!</v>
      </c>
      <c r="T26" s="260" t="e">
        <f>#REF!-'CFS 3Q2022'!T26</f>
        <v>#REF!</v>
      </c>
      <c r="U26" s="260" t="e">
        <f>#REF!-'CFS 3Q2022'!U26</f>
        <v>#REF!</v>
      </c>
      <c r="V26" s="260" t="e">
        <f>#REF!-'CFS 3Q2022'!V26</f>
        <v>#REF!</v>
      </c>
      <c r="W26" s="261" t="e">
        <f>#REF!-'CFS 3Q2022'!W26</f>
        <v>#REF!</v>
      </c>
      <c r="X26" s="260" t="e">
        <f>#REF!-'CFS 3Q2022'!X26</f>
        <v>#REF!</v>
      </c>
      <c r="Y26" s="260" t="e">
        <f>#REF!-'CFS 3Q2022'!Y26</f>
        <v>#REF!</v>
      </c>
      <c r="Z26" s="260" t="e">
        <f>#REF!-'CFS 3Q2022'!Z26</f>
        <v>#REF!</v>
      </c>
      <c r="AA26" s="260" t="e">
        <f>#REF!-'CFS 3Q2022'!AA26</f>
        <v>#REF!</v>
      </c>
      <c r="AB26" s="261" t="e">
        <f>#REF!-'CFS 3Q2022'!AB26</f>
        <v>#REF!</v>
      </c>
      <c r="AC26" s="260" t="e">
        <f>#REF!-'CFS 3Q2022'!AC26</f>
        <v>#REF!</v>
      </c>
      <c r="AD26" s="260" t="e">
        <f>#REF!-'CFS 3Q2022'!AD26</f>
        <v>#REF!</v>
      </c>
      <c r="AE26" s="260" t="e">
        <f>#REF!-'CFS 3Q2022'!AE26</f>
        <v>#REF!</v>
      </c>
      <c r="AF26" s="260" t="e">
        <f>#REF!-'CFS 3Q2022'!AF26</f>
        <v>#REF!</v>
      </c>
      <c r="AG26" s="261" t="e">
        <f>#REF!-'CFS 3Q2022'!AG26</f>
        <v>#REF!</v>
      </c>
      <c r="AH26" s="260" t="e">
        <f>#REF!-'CFS 3Q2022'!AH26</f>
        <v>#REF!</v>
      </c>
      <c r="AI26" s="260" t="e">
        <f>#REF!-'CFS 3Q2022'!AI26</f>
        <v>#REF!</v>
      </c>
      <c r="AJ26" s="260" t="e">
        <f>#REF!-'CFS 3Q2022'!AJ26</f>
        <v>#REF!</v>
      </c>
      <c r="AK26" s="260" t="e">
        <f>#REF!-'CFS 3Q2022'!AK26</f>
        <v>#REF!</v>
      </c>
      <c r="AL26" s="261" t="e">
        <f>#REF!-'CFS 3Q2022'!AL26</f>
        <v>#REF!</v>
      </c>
      <c r="AM26" s="260" t="e">
        <f>#REF!-'CFS 3Q2022'!AM26</f>
        <v>#REF!</v>
      </c>
      <c r="AN26" s="260" t="e">
        <f>#REF!-'CFS 3Q2022'!AN26</f>
        <v>#REF!</v>
      </c>
      <c r="AO26" s="260" t="e">
        <f>#REF!-'CFS 3Q2022'!AO26</f>
        <v>#REF!</v>
      </c>
      <c r="AP26" s="260" t="e">
        <f>#REF!-'CFS 3Q2022'!AP26</f>
        <v>#REF!</v>
      </c>
      <c r="AQ26" s="261" t="e">
        <f>#REF!-'CFS 3Q2022'!AQ26</f>
        <v>#REF!</v>
      </c>
      <c r="AR26" s="260" t="e">
        <f>#REF!-'CFS 3Q2022'!AR26</f>
        <v>#REF!</v>
      </c>
      <c r="AS26" s="260" t="e">
        <f>#REF!-'CFS 3Q2022'!AS26</f>
        <v>#REF!</v>
      </c>
      <c r="AT26" s="260" t="e">
        <f>#REF!-'CFS 3Q2022'!AT26</f>
        <v>#REF!</v>
      </c>
      <c r="AU26" s="260" t="e">
        <f>#REF!-'CFS 3Q2022'!AU26</f>
        <v>#REF!</v>
      </c>
      <c r="AV26" s="261" t="e">
        <f>#REF!-'CFS 3Q2022'!AV26</f>
        <v>#REF!</v>
      </c>
    </row>
    <row r="27" spans="2:48" outlineLevel="1" x14ac:dyDescent="0.3">
      <c r="B27" s="587" t="s">
        <v>285</v>
      </c>
      <c r="C27" s="588"/>
      <c r="D27" s="21" t="e">
        <f>#REF!-'CFS 3Q2022'!D27</f>
        <v>#REF!</v>
      </c>
      <c r="E27" s="21" t="e">
        <f>#REF!-'CFS 3Q2022'!E27</f>
        <v>#REF!</v>
      </c>
      <c r="F27" s="21" t="e">
        <f>#REF!-'CFS 3Q2022'!F27</f>
        <v>#REF!</v>
      </c>
      <c r="G27" s="21" t="e">
        <f>#REF!-'CFS 3Q2022'!G27</f>
        <v>#REF!</v>
      </c>
      <c r="H27" s="22" t="e">
        <f>#REF!-'CFS 3Q2022'!H27</f>
        <v>#REF!</v>
      </c>
      <c r="I27" s="21" t="e">
        <f>#REF!-'CFS 3Q2022'!I27</f>
        <v>#REF!</v>
      </c>
      <c r="J27" s="21" t="e">
        <f>#REF!-'CFS 3Q2022'!J27</f>
        <v>#REF!</v>
      </c>
      <c r="K27" s="21" t="e">
        <f>#REF!-'CFS 3Q2022'!K27</f>
        <v>#REF!</v>
      </c>
      <c r="L27" s="21" t="e">
        <f>#REF!-'CFS 3Q2022'!L27</f>
        <v>#REF!</v>
      </c>
      <c r="M27" s="22" t="e">
        <f>#REF!-'CFS 3Q2022'!M27</f>
        <v>#REF!</v>
      </c>
      <c r="N27" s="21" t="e">
        <f>#REF!-'CFS 3Q2022'!N27</f>
        <v>#REF!</v>
      </c>
      <c r="O27" s="21" t="e">
        <f>#REF!-'CFS 3Q2022'!O27</f>
        <v>#REF!</v>
      </c>
      <c r="P27" s="21" t="e">
        <f>#REF!-'CFS 3Q2022'!P27</f>
        <v>#REF!</v>
      </c>
      <c r="Q27" s="21" t="e">
        <f>#REF!-'CFS 3Q2022'!Q27</f>
        <v>#REF!</v>
      </c>
      <c r="R27" s="22" t="e">
        <f>#REF!-'CFS 3Q2022'!R27</f>
        <v>#REF!</v>
      </c>
      <c r="S27" s="21" t="e">
        <f>#REF!-'CFS 3Q2022'!S27</f>
        <v>#REF!</v>
      </c>
      <c r="T27" s="21" t="e">
        <f>#REF!-'CFS 3Q2022'!T27</f>
        <v>#REF!</v>
      </c>
      <c r="U27" s="21" t="e">
        <f>#REF!-'CFS 3Q2022'!U27</f>
        <v>#REF!</v>
      </c>
      <c r="V27" s="21" t="e">
        <f>#REF!-'CFS 3Q2022'!V27</f>
        <v>#REF!</v>
      </c>
      <c r="W27" s="22" t="e">
        <f>#REF!-'CFS 3Q2022'!W27</f>
        <v>#REF!</v>
      </c>
      <c r="X27" s="21" t="e">
        <f>#REF!-'CFS 3Q2022'!X27</f>
        <v>#REF!</v>
      </c>
      <c r="Y27" s="21" t="e">
        <f>#REF!-'CFS 3Q2022'!Y27</f>
        <v>#REF!</v>
      </c>
      <c r="Z27" s="21" t="e">
        <f>#REF!-'CFS 3Q2022'!Z27</f>
        <v>#REF!</v>
      </c>
      <c r="AA27" s="21" t="e">
        <f>#REF!-'CFS 3Q2022'!AA27</f>
        <v>#REF!</v>
      </c>
      <c r="AB27" s="22" t="e">
        <f>#REF!-'CFS 3Q2022'!AB27</f>
        <v>#REF!</v>
      </c>
      <c r="AC27" s="21" t="e">
        <f>#REF!-'CFS 3Q2022'!AC27</f>
        <v>#REF!</v>
      </c>
      <c r="AD27" s="21" t="e">
        <f>#REF!-'CFS 3Q2022'!AD27</f>
        <v>#REF!</v>
      </c>
      <c r="AE27" s="21" t="e">
        <f>#REF!-'CFS 3Q2022'!AE27</f>
        <v>#REF!</v>
      </c>
      <c r="AF27" s="21" t="e">
        <f>#REF!-'CFS 3Q2022'!AF27</f>
        <v>#REF!</v>
      </c>
      <c r="AG27" s="22" t="e">
        <f>#REF!-'CFS 3Q2022'!AG27</f>
        <v>#REF!</v>
      </c>
      <c r="AH27" s="21" t="e">
        <f>#REF!-'CFS 3Q2022'!AH27</f>
        <v>#REF!</v>
      </c>
      <c r="AI27" s="21" t="e">
        <f>#REF!-'CFS 3Q2022'!AI27</f>
        <v>#REF!</v>
      </c>
      <c r="AJ27" s="21" t="e">
        <f>#REF!-'CFS 3Q2022'!AJ27</f>
        <v>#REF!</v>
      </c>
      <c r="AK27" s="21" t="e">
        <f>#REF!-'CFS 3Q2022'!AK27</f>
        <v>#REF!</v>
      </c>
      <c r="AL27" s="22" t="e">
        <f>#REF!-'CFS 3Q2022'!AL27</f>
        <v>#REF!</v>
      </c>
      <c r="AM27" s="21" t="e">
        <f>#REF!-'CFS 3Q2022'!AM27</f>
        <v>#REF!</v>
      </c>
      <c r="AN27" s="21" t="e">
        <f>#REF!-'CFS 3Q2022'!AN27</f>
        <v>#REF!</v>
      </c>
      <c r="AO27" s="21" t="e">
        <f>#REF!-'CFS 3Q2022'!AO27</f>
        <v>#REF!</v>
      </c>
      <c r="AP27" s="21" t="e">
        <f>#REF!-'CFS 3Q2022'!AP27</f>
        <v>#REF!</v>
      </c>
      <c r="AQ27" s="22" t="e">
        <f>#REF!-'CFS 3Q2022'!AQ27</f>
        <v>#REF!</v>
      </c>
      <c r="AR27" s="21" t="e">
        <f>#REF!-'CFS 3Q2022'!AR27</f>
        <v>#REF!</v>
      </c>
      <c r="AS27" s="21" t="e">
        <f>#REF!-'CFS 3Q2022'!AS27</f>
        <v>#REF!</v>
      </c>
      <c r="AT27" s="21" t="e">
        <f>#REF!-'CFS 3Q2022'!AT27</f>
        <v>#REF!</v>
      </c>
      <c r="AU27" s="21" t="e">
        <f>#REF!-'CFS 3Q2022'!AU27</f>
        <v>#REF!</v>
      </c>
      <c r="AV27" s="22" t="e">
        <f>#REF!-'CFS 3Q2022'!AV27</f>
        <v>#REF!</v>
      </c>
    </row>
    <row r="28" spans="2:48" outlineLevel="1" x14ac:dyDescent="0.3">
      <c r="B28" s="625" t="s">
        <v>286</v>
      </c>
      <c r="C28" s="626"/>
      <c r="D28" s="321" t="e">
        <f>#REF!-'CFS 3Q2022'!D28</f>
        <v>#REF!</v>
      </c>
      <c r="E28" s="323" t="e">
        <f>#REF!-'CFS 3Q2022'!E28</f>
        <v>#REF!</v>
      </c>
      <c r="F28" s="323" t="e">
        <f>#REF!-'CFS 3Q2022'!F28</f>
        <v>#REF!</v>
      </c>
      <c r="G28" s="323" t="e">
        <f>#REF!-'CFS 3Q2022'!G28</f>
        <v>#REF!</v>
      </c>
      <c r="H28" s="324" t="e">
        <f>#REF!-'CFS 3Q2022'!H28</f>
        <v>#REF!</v>
      </c>
      <c r="I28" s="323" t="e">
        <f>#REF!-'CFS 3Q2022'!I28</f>
        <v>#REF!</v>
      </c>
      <c r="J28" s="323" t="e">
        <f>#REF!-'CFS 3Q2022'!J28</f>
        <v>#REF!</v>
      </c>
      <c r="K28" s="323" t="e">
        <f>#REF!-'CFS 3Q2022'!K28</f>
        <v>#REF!</v>
      </c>
      <c r="L28" s="323" t="e">
        <f>#REF!-'CFS 3Q2022'!L28</f>
        <v>#REF!</v>
      </c>
      <c r="M28" s="324" t="e">
        <f>#REF!-'CFS 3Q2022'!M28</f>
        <v>#REF!</v>
      </c>
      <c r="N28" s="323" t="e">
        <f>#REF!-'CFS 3Q2022'!N28</f>
        <v>#REF!</v>
      </c>
      <c r="O28" s="323" t="e">
        <f>#REF!-'CFS 3Q2022'!O28</f>
        <v>#REF!</v>
      </c>
      <c r="P28" s="323" t="e">
        <f>#REF!-'CFS 3Q2022'!P28</f>
        <v>#REF!</v>
      </c>
      <c r="Q28" s="323" t="e">
        <f>#REF!-'CFS 3Q2022'!Q28</f>
        <v>#REF!</v>
      </c>
      <c r="R28" s="324" t="e">
        <f>#REF!-'CFS 3Q2022'!R28</f>
        <v>#REF!</v>
      </c>
      <c r="S28" s="323" t="e">
        <f>#REF!-'CFS 3Q2022'!S28</f>
        <v>#REF!</v>
      </c>
      <c r="T28" s="323" t="e">
        <f>#REF!-'CFS 3Q2022'!T28</f>
        <v>#REF!</v>
      </c>
      <c r="U28" s="323" t="e">
        <f>#REF!-'CFS 3Q2022'!U28</f>
        <v>#REF!</v>
      </c>
      <c r="V28" s="323" t="e">
        <f>#REF!-'CFS 3Q2022'!V28</f>
        <v>#REF!</v>
      </c>
      <c r="W28" s="324" t="e">
        <f>#REF!-'CFS 3Q2022'!W28</f>
        <v>#REF!</v>
      </c>
      <c r="X28" s="323" t="e">
        <f>#REF!-'CFS 3Q2022'!X28</f>
        <v>#REF!</v>
      </c>
      <c r="Y28" s="323" t="e">
        <f>#REF!-'CFS 3Q2022'!Y28</f>
        <v>#REF!</v>
      </c>
      <c r="Z28" s="323" t="e">
        <f>#REF!-'CFS 3Q2022'!Z28</f>
        <v>#REF!</v>
      </c>
      <c r="AA28" s="323" t="e">
        <f>#REF!-'CFS 3Q2022'!AA28</f>
        <v>#REF!</v>
      </c>
      <c r="AB28" s="324" t="e">
        <f>#REF!-'CFS 3Q2022'!AB28</f>
        <v>#REF!</v>
      </c>
      <c r="AC28" s="323" t="e">
        <f>#REF!-'CFS 3Q2022'!AC28</f>
        <v>#REF!</v>
      </c>
      <c r="AD28" s="323" t="e">
        <f>#REF!-'CFS 3Q2022'!AD28</f>
        <v>#REF!</v>
      </c>
      <c r="AE28" s="323" t="e">
        <f>#REF!-'CFS 3Q2022'!AE28</f>
        <v>#REF!</v>
      </c>
      <c r="AF28" s="323" t="e">
        <f>#REF!-'CFS 3Q2022'!AF28</f>
        <v>#REF!</v>
      </c>
      <c r="AG28" s="324" t="e">
        <f>#REF!-'CFS 3Q2022'!AG28</f>
        <v>#REF!</v>
      </c>
      <c r="AH28" s="323" t="e">
        <f>#REF!-'CFS 3Q2022'!AH28</f>
        <v>#REF!</v>
      </c>
      <c r="AI28" s="323" t="e">
        <f>#REF!-'CFS 3Q2022'!AI28</f>
        <v>#REF!</v>
      </c>
      <c r="AJ28" s="323" t="e">
        <f>#REF!-'CFS 3Q2022'!AJ28</f>
        <v>#REF!</v>
      </c>
      <c r="AK28" s="323" t="e">
        <f>#REF!-'CFS 3Q2022'!AK28</f>
        <v>#REF!</v>
      </c>
      <c r="AL28" s="324" t="e">
        <f>#REF!-'CFS 3Q2022'!AL28</f>
        <v>#REF!</v>
      </c>
      <c r="AM28" s="323" t="e">
        <f>#REF!-'CFS 3Q2022'!AM28</f>
        <v>#REF!</v>
      </c>
      <c r="AN28" s="323" t="e">
        <f>#REF!-'CFS 3Q2022'!AN28</f>
        <v>#REF!</v>
      </c>
      <c r="AO28" s="323" t="e">
        <f>#REF!-'CFS 3Q2022'!AO28</f>
        <v>#REF!</v>
      </c>
      <c r="AP28" s="323" t="e">
        <f>#REF!-'CFS 3Q2022'!AP28</f>
        <v>#REF!</v>
      </c>
      <c r="AQ28" s="324" t="e">
        <f>#REF!-'CFS 3Q2022'!AQ28</f>
        <v>#REF!</v>
      </c>
      <c r="AR28" s="323" t="e">
        <f>#REF!-'CFS 3Q2022'!AR28</f>
        <v>#REF!</v>
      </c>
      <c r="AS28" s="323" t="e">
        <f>#REF!-'CFS 3Q2022'!AS28</f>
        <v>#REF!</v>
      </c>
      <c r="AT28" s="323" t="e">
        <f>#REF!-'CFS 3Q2022'!AT28</f>
        <v>#REF!</v>
      </c>
      <c r="AU28" s="323" t="e">
        <f>#REF!-'CFS 3Q2022'!AU28</f>
        <v>#REF!</v>
      </c>
      <c r="AV28" s="324" t="e">
        <f>#REF!-'CFS 3Q2022'!AV28</f>
        <v>#REF!</v>
      </c>
    </row>
    <row r="29" spans="2:48" outlineLevel="1" x14ac:dyDescent="0.3">
      <c r="B29" s="623" t="s">
        <v>263</v>
      </c>
      <c r="C29" s="624"/>
      <c r="D29" s="327" t="e">
        <f>#REF!-'CFS 3Q2022'!D29</f>
        <v>#REF!</v>
      </c>
      <c r="E29" s="327" t="e">
        <f>#REF!-'CFS 3Q2022'!E29</f>
        <v>#REF!</v>
      </c>
      <c r="F29" s="327" t="e">
        <f>#REF!-'CFS 3Q2022'!F29</f>
        <v>#REF!</v>
      </c>
      <c r="G29" s="327" t="e">
        <f>#REF!-'CFS 3Q2022'!G29</f>
        <v>#REF!</v>
      </c>
      <c r="H29" s="328" t="e">
        <f>#REF!-'CFS 3Q2022'!H29</f>
        <v>#REF!</v>
      </c>
      <c r="I29" s="327" t="e">
        <f>#REF!-'CFS 3Q2022'!I29</f>
        <v>#REF!</v>
      </c>
      <c r="J29" s="327" t="e">
        <f>#REF!-'CFS 3Q2022'!J29</f>
        <v>#REF!</v>
      </c>
      <c r="K29" s="327" t="e">
        <f>#REF!-'CFS 3Q2022'!K29</f>
        <v>#REF!</v>
      </c>
      <c r="L29" s="327" t="e">
        <f>#REF!-'CFS 3Q2022'!L29</f>
        <v>#REF!</v>
      </c>
      <c r="M29" s="328" t="e">
        <f>#REF!-'CFS 3Q2022'!M29</f>
        <v>#REF!</v>
      </c>
      <c r="N29" s="327" t="e">
        <f>#REF!-'CFS 3Q2022'!N29</f>
        <v>#REF!</v>
      </c>
      <c r="O29" s="327" t="e">
        <f>#REF!-'CFS 3Q2022'!O29</f>
        <v>#REF!</v>
      </c>
      <c r="P29" s="327" t="e">
        <f>#REF!-'CFS 3Q2022'!P29</f>
        <v>#REF!</v>
      </c>
      <c r="Q29" s="327" t="e">
        <f>#REF!-'CFS 3Q2022'!Q29</f>
        <v>#REF!</v>
      </c>
      <c r="R29" s="328" t="e">
        <f>#REF!-'CFS 3Q2022'!R29</f>
        <v>#REF!</v>
      </c>
      <c r="S29" s="327" t="e">
        <f>#REF!-'CFS 3Q2022'!S29</f>
        <v>#REF!</v>
      </c>
      <c r="T29" s="327" t="e">
        <f>#REF!-'CFS 3Q2022'!T29</f>
        <v>#REF!</v>
      </c>
      <c r="U29" s="327" t="e">
        <f>#REF!-'CFS 3Q2022'!U29</f>
        <v>#REF!</v>
      </c>
      <c r="V29" s="327" t="e">
        <f>#REF!-'CFS 3Q2022'!V29</f>
        <v>#REF!</v>
      </c>
      <c r="W29" s="328" t="e">
        <f>#REF!-'CFS 3Q2022'!W29</f>
        <v>#REF!</v>
      </c>
      <c r="X29" s="327" t="e">
        <f>#REF!-'CFS 3Q2022'!X29</f>
        <v>#REF!</v>
      </c>
      <c r="Y29" s="327" t="e">
        <f>#REF!-'CFS 3Q2022'!Y29</f>
        <v>#REF!</v>
      </c>
      <c r="Z29" s="327" t="e">
        <f>#REF!-'CFS 3Q2022'!Z29</f>
        <v>#REF!</v>
      </c>
      <c r="AA29" s="327" t="e">
        <f>#REF!-'CFS 3Q2022'!AA29</f>
        <v>#REF!</v>
      </c>
      <c r="AB29" s="328" t="e">
        <f>#REF!-'CFS 3Q2022'!AB29</f>
        <v>#REF!</v>
      </c>
      <c r="AC29" s="327" t="e">
        <f>#REF!-'CFS 3Q2022'!AC29</f>
        <v>#REF!</v>
      </c>
      <c r="AD29" s="327" t="e">
        <f>#REF!-'CFS 3Q2022'!AD29</f>
        <v>#REF!</v>
      </c>
      <c r="AE29" s="327" t="e">
        <f>#REF!-'CFS 3Q2022'!AE29</f>
        <v>#REF!</v>
      </c>
      <c r="AF29" s="327" t="e">
        <f>#REF!-'CFS 3Q2022'!AF29</f>
        <v>#REF!</v>
      </c>
      <c r="AG29" s="328" t="e">
        <f>#REF!-'CFS 3Q2022'!AG29</f>
        <v>#REF!</v>
      </c>
      <c r="AH29" s="327" t="e">
        <f>#REF!-'CFS 3Q2022'!AH29</f>
        <v>#REF!</v>
      </c>
      <c r="AI29" s="327" t="e">
        <f>#REF!-'CFS 3Q2022'!AI29</f>
        <v>#REF!</v>
      </c>
      <c r="AJ29" s="327" t="e">
        <f>#REF!-'CFS 3Q2022'!AJ29</f>
        <v>#REF!</v>
      </c>
      <c r="AK29" s="327" t="e">
        <f>#REF!-'CFS 3Q2022'!AK29</f>
        <v>#REF!</v>
      </c>
      <c r="AL29" s="328" t="e">
        <f>#REF!-'CFS 3Q2022'!AL29</f>
        <v>#REF!</v>
      </c>
      <c r="AM29" s="327" t="e">
        <f>#REF!-'CFS 3Q2022'!AM29</f>
        <v>#REF!</v>
      </c>
      <c r="AN29" s="327" t="e">
        <f>#REF!-'CFS 3Q2022'!AN29</f>
        <v>#REF!</v>
      </c>
      <c r="AO29" s="327" t="e">
        <f>#REF!-'CFS 3Q2022'!AO29</f>
        <v>#REF!</v>
      </c>
      <c r="AP29" s="327" t="e">
        <f>#REF!-'CFS 3Q2022'!AP29</f>
        <v>#REF!</v>
      </c>
      <c r="AQ29" s="328" t="e">
        <f>#REF!-'CFS 3Q2022'!AQ29</f>
        <v>#REF!</v>
      </c>
      <c r="AR29" s="327" t="e">
        <f>#REF!-'CFS 3Q2022'!AR29</f>
        <v>#REF!</v>
      </c>
      <c r="AS29" s="327" t="e">
        <f>#REF!-'CFS 3Q2022'!AS29</f>
        <v>#REF!</v>
      </c>
      <c r="AT29" s="327" t="e">
        <f>#REF!-'CFS 3Q2022'!AT29</f>
        <v>#REF!</v>
      </c>
      <c r="AU29" s="327" t="e">
        <f>#REF!-'CFS 3Q2022'!AU29</f>
        <v>#REF!</v>
      </c>
      <c r="AV29" s="328" t="e">
        <f>#REF!-'CFS 3Q2022'!AV29</f>
        <v>#REF!</v>
      </c>
    </row>
    <row r="30" spans="2:48" outlineLevel="1" x14ac:dyDescent="0.3">
      <c r="B30" s="325" t="s">
        <v>287</v>
      </c>
      <c r="C30" s="326"/>
      <c r="D30" s="327" t="e">
        <f>#REF!-'CFS 3Q2022'!D30</f>
        <v>#REF!</v>
      </c>
      <c r="E30" s="327" t="e">
        <f>#REF!-'CFS 3Q2022'!E30</f>
        <v>#REF!</v>
      </c>
      <c r="F30" s="327" t="e">
        <f>#REF!-'CFS 3Q2022'!F30</f>
        <v>#REF!</v>
      </c>
      <c r="G30" s="327" t="e">
        <f>#REF!-'CFS 3Q2022'!G30</f>
        <v>#REF!</v>
      </c>
      <c r="H30" s="328" t="e">
        <f>#REF!-'CFS 3Q2022'!H30</f>
        <v>#REF!</v>
      </c>
      <c r="I30" s="327" t="e">
        <f>#REF!-'CFS 3Q2022'!I30</f>
        <v>#REF!</v>
      </c>
      <c r="J30" s="327" t="e">
        <f>#REF!-'CFS 3Q2022'!J30</f>
        <v>#REF!</v>
      </c>
      <c r="K30" s="327" t="e">
        <f>#REF!-'CFS 3Q2022'!K30</f>
        <v>#REF!</v>
      </c>
      <c r="L30" s="327" t="e">
        <f>#REF!-'CFS 3Q2022'!L30</f>
        <v>#REF!</v>
      </c>
      <c r="M30" s="328" t="e">
        <f>#REF!-'CFS 3Q2022'!M30</f>
        <v>#REF!</v>
      </c>
      <c r="N30" s="327" t="e">
        <f>#REF!-'CFS 3Q2022'!N30</f>
        <v>#REF!</v>
      </c>
      <c r="O30" s="327" t="e">
        <f>#REF!-'CFS 3Q2022'!O30</f>
        <v>#REF!</v>
      </c>
      <c r="P30" s="327" t="e">
        <f>#REF!-'CFS 3Q2022'!P30</f>
        <v>#REF!</v>
      </c>
      <c r="Q30" s="327" t="e">
        <f>#REF!-'CFS 3Q2022'!Q30</f>
        <v>#REF!</v>
      </c>
      <c r="R30" s="328" t="e">
        <f>#REF!-'CFS 3Q2022'!R30</f>
        <v>#REF!</v>
      </c>
      <c r="S30" s="327" t="e">
        <f>#REF!-'CFS 3Q2022'!S30</f>
        <v>#REF!</v>
      </c>
      <c r="T30" s="327" t="e">
        <f>#REF!-'CFS 3Q2022'!T30</f>
        <v>#REF!</v>
      </c>
      <c r="U30" s="327" t="e">
        <f>#REF!-'CFS 3Q2022'!U30</f>
        <v>#REF!</v>
      </c>
      <c r="V30" s="327" t="e">
        <f>#REF!-'CFS 3Q2022'!V30</f>
        <v>#REF!</v>
      </c>
      <c r="W30" s="328" t="e">
        <f>#REF!-'CFS 3Q2022'!W30</f>
        <v>#REF!</v>
      </c>
      <c r="X30" s="327" t="e">
        <f>#REF!-'CFS 3Q2022'!X30</f>
        <v>#REF!</v>
      </c>
      <c r="Y30" s="327" t="e">
        <f>#REF!-'CFS 3Q2022'!Y30</f>
        <v>#REF!</v>
      </c>
      <c r="Z30" s="327" t="e">
        <f>#REF!-'CFS 3Q2022'!Z30</f>
        <v>#REF!</v>
      </c>
      <c r="AA30" s="327" t="e">
        <f>#REF!-'CFS 3Q2022'!AA30</f>
        <v>#REF!</v>
      </c>
      <c r="AB30" s="328" t="e">
        <f>#REF!-'CFS 3Q2022'!AB30</f>
        <v>#REF!</v>
      </c>
      <c r="AC30" s="327" t="e">
        <f>#REF!-'CFS 3Q2022'!AC30</f>
        <v>#REF!</v>
      </c>
      <c r="AD30" s="327" t="e">
        <f>#REF!-'CFS 3Q2022'!AD30</f>
        <v>#REF!</v>
      </c>
      <c r="AE30" s="327" t="e">
        <f>#REF!-'CFS 3Q2022'!AE30</f>
        <v>#REF!</v>
      </c>
      <c r="AF30" s="327" t="e">
        <f>#REF!-'CFS 3Q2022'!AF30</f>
        <v>#REF!</v>
      </c>
      <c r="AG30" s="328" t="e">
        <f>#REF!-'CFS 3Q2022'!AG30</f>
        <v>#REF!</v>
      </c>
      <c r="AH30" s="327" t="e">
        <f>#REF!-'CFS 3Q2022'!AH30</f>
        <v>#REF!</v>
      </c>
      <c r="AI30" s="327" t="e">
        <f>#REF!-'CFS 3Q2022'!AI30</f>
        <v>#REF!</v>
      </c>
      <c r="AJ30" s="327" t="e">
        <f>#REF!-'CFS 3Q2022'!AJ30</f>
        <v>#REF!</v>
      </c>
      <c r="AK30" s="327" t="e">
        <f>#REF!-'CFS 3Q2022'!AK30</f>
        <v>#REF!</v>
      </c>
      <c r="AL30" s="328" t="e">
        <f>#REF!-'CFS 3Q2022'!AL30</f>
        <v>#REF!</v>
      </c>
      <c r="AM30" s="327" t="e">
        <f>#REF!-'CFS 3Q2022'!AM30</f>
        <v>#REF!</v>
      </c>
      <c r="AN30" s="327" t="e">
        <f>#REF!-'CFS 3Q2022'!AN30</f>
        <v>#REF!</v>
      </c>
      <c r="AO30" s="327" t="e">
        <f>#REF!-'CFS 3Q2022'!AO30</f>
        <v>#REF!</v>
      </c>
      <c r="AP30" s="327" t="e">
        <f>#REF!-'CFS 3Q2022'!AP30</f>
        <v>#REF!</v>
      </c>
      <c r="AQ30" s="328" t="e">
        <f>#REF!-'CFS 3Q2022'!AQ30</f>
        <v>#REF!</v>
      </c>
      <c r="AR30" s="327" t="e">
        <f>#REF!-'CFS 3Q2022'!AR30</f>
        <v>#REF!</v>
      </c>
      <c r="AS30" s="327" t="e">
        <f>#REF!-'CFS 3Q2022'!AS30</f>
        <v>#REF!</v>
      </c>
      <c r="AT30" s="327" t="e">
        <f>#REF!-'CFS 3Q2022'!AT30</f>
        <v>#REF!</v>
      </c>
      <c r="AU30" s="327" t="e">
        <f>#REF!-'CFS 3Q2022'!AU30</f>
        <v>#REF!</v>
      </c>
      <c r="AV30" s="328" t="e">
        <f>#REF!-'CFS 3Q2022'!AV30</f>
        <v>#REF!</v>
      </c>
    </row>
    <row r="31" spans="2:48" outlineLevel="1" x14ac:dyDescent="0.3">
      <c r="B31" s="325" t="s">
        <v>288</v>
      </c>
      <c r="C31" s="326"/>
      <c r="D31" s="327" t="e">
        <f>#REF!-'CFS 3Q2022'!D31</f>
        <v>#REF!</v>
      </c>
      <c r="E31" s="327" t="e">
        <f>#REF!-'CFS 3Q2022'!E31</f>
        <v>#REF!</v>
      </c>
      <c r="F31" s="327" t="e">
        <f>#REF!-'CFS 3Q2022'!F31</f>
        <v>#REF!</v>
      </c>
      <c r="G31" s="327" t="e">
        <f>#REF!-'CFS 3Q2022'!G31</f>
        <v>#REF!</v>
      </c>
      <c r="H31" s="328" t="e">
        <f>#REF!-'CFS 3Q2022'!H31</f>
        <v>#REF!</v>
      </c>
      <c r="I31" s="327" t="e">
        <f>#REF!-'CFS 3Q2022'!I31</f>
        <v>#REF!</v>
      </c>
      <c r="J31" s="327" t="e">
        <f>#REF!-'CFS 3Q2022'!J31</f>
        <v>#REF!</v>
      </c>
      <c r="K31" s="327" t="e">
        <f>#REF!-'CFS 3Q2022'!K31</f>
        <v>#REF!</v>
      </c>
      <c r="L31" s="327" t="e">
        <f>#REF!-'CFS 3Q2022'!L31</f>
        <v>#REF!</v>
      </c>
      <c r="M31" s="328" t="e">
        <f>#REF!-'CFS 3Q2022'!M31</f>
        <v>#REF!</v>
      </c>
      <c r="N31" s="327" t="e">
        <f>#REF!-'CFS 3Q2022'!N31</f>
        <v>#REF!</v>
      </c>
      <c r="O31" s="327" t="e">
        <f>#REF!-'CFS 3Q2022'!O31</f>
        <v>#REF!</v>
      </c>
      <c r="P31" s="327" t="e">
        <f>#REF!-'CFS 3Q2022'!P31</f>
        <v>#REF!</v>
      </c>
      <c r="Q31" s="327" t="e">
        <f>#REF!-'CFS 3Q2022'!Q31</f>
        <v>#REF!</v>
      </c>
      <c r="R31" s="328" t="e">
        <f>#REF!-'CFS 3Q2022'!R31</f>
        <v>#REF!</v>
      </c>
      <c r="S31" s="327" t="e">
        <f>#REF!-'CFS 3Q2022'!S31</f>
        <v>#REF!</v>
      </c>
      <c r="T31" s="327" t="e">
        <f>#REF!-'CFS 3Q2022'!T31</f>
        <v>#REF!</v>
      </c>
      <c r="U31" s="327" t="e">
        <f>#REF!-'CFS 3Q2022'!U31</f>
        <v>#REF!</v>
      </c>
      <c r="V31" s="327" t="e">
        <f>#REF!-'CFS 3Q2022'!V31</f>
        <v>#REF!</v>
      </c>
      <c r="W31" s="328" t="e">
        <f>#REF!-'CFS 3Q2022'!W31</f>
        <v>#REF!</v>
      </c>
      <c r="X31" s="327" t="e">
        <f>#REF!-'CFS 3Q2022'!X31</f>
        <v>#REF!</v>
      </c>
      <c r="Y31" s="327" t="e">
        <f>#REF!-'CFS 3Q2022'!Y31</f>
        <v>#REF!</v>
      </c>
      <c r="Z31" s="327" t="e">
        <f>#REF!-'CFS 3Q2022'!Z31</f>
        <v>#REF!</v>
      </c>
      <c r="AA31" s="327" t="e">
        <f>#REF!-'CFS 3Q2022'!AA31</f>
        <v>#REF!</v>
      </c>
      <c r="AB31" s="328" t="e">
        <f>#REF!-'CFS 3Q2022'!AB31</f>
        <v>#REF!</v>
      </c>
      <c r="AC31" s="327" t="e">
        <f>#REF!-'CFS 3Q2022'!AC31</f>
        <v>#REF!</v>
      </c>
      <c r="AD31" s="327" t="e">
        <f>#REF!-'CFS 3Q2022'!AD31</f>
        <v>#REF!</v>
      </c>
      <c r="AE31" s="327" t="e">
        <f>#REF!-'CFS 3Q2022'!AE31</f>
        <v>#REF!</v>
      </c>
      <c r="AF31" s="327" t="e">
        <f>#REF!-'CFS 3Q2022'!AF31</f>
        <v>#REF!</v>
      </c>
      <c r="AG31" s="328" t="e">
        <f>#REF!-'CFS 3Q2022'!AG31</f>
        <v>#REF!</v>
      </c>
      <c r="AH31" s="327" t="e">
        <f>#REF!-'CFS 3Q2022'!AH31</f>
        <v>#REF!</v>
      </c>
      <c r="AI31" s="327" t="e">
        <f>#REF!-'CFS 3Q2022'!AI31</f>
        <v>#REF!</v>
      </c>
      <c r="AJ31" s="327" t="e">
        <f>#REF!-'CFS 3Q2022'!AJ31</f>
        <v>#REF!</v>
      </c>
      <c r="AK31" s="327" t="e">
        <f>#REF!-'CFS 3Q2022'!AK31</f>
        <v>#REF!</v>
      </c>
      <c r="AL31" s="328" t="e">
        <f>#REF!-'CFS 3Q2022'!AL31</f>
        <v>#REF!</v>
      </c>
      <c r="AM31" s="327" t="e">
        <f>#REF!-'CFS 3Q2022'!AM31</f>
        <v>#REF!</v>
      </c>
      <c r="AN31" s="327" t="e">
        <f>#REF!-'CFS 3Q2022'!AN31</f>
        <v>#REF!</v>
      </c>
      <c r="AO31" s="327" t="e">
        <f>#REF!-'CFS 3Q2022'!AO31</f>
        <v>#REF!</v>
      </c>
      <c r="AP31" s="327" t="e">
        <f>#REF!-'CFS 3Q2022'!AP31</f>
        <v>#REF!</v>
      </c>
      <c r="AQ31" s="328" t="e">
        <f>#REF!-'CFS 3Q2022'!AQ31</f>
        <v>#REF!</v>
      </c>
      <c r="AR31" s="327" t="e">
        <f>#REF!-'CFS 3Q2022'!AR31</f>
        <v>#REF!</v>
      </c>
      <c r="AS31" s="327" t="e">
        <f>#REF!-'CFS 3Q2022'!AS31</f>
        <v>#REF!</v>
      </c>
      <c r="AT31" s="327" t="e">
        <f>#REF!-'CFS 3Q2022'!AT31</f>
        <v>#REF!</v>
      </c>
      <c r="AU31" s="327" t="e">
        <f>#REF!-'CFS 3Q2022'!AU31</f>
        <v>#REF!</v>
      </c>
      <c r="AV31" s="328" t="e">
        <f>#REF!-'CFS 3Q2022'!AV31</f>
        <v>#REF!</v>
      </c>
    </row>
    <row r="32" spans="2:48" outlineLevel="1" x14ac:dyDescent="0.3">
      <c r="B32" s="325" t="s">
        <v>289</v>
      </c>
      <c r="C32" s="326"/>
      <c r="D32" s="327" t="e">
        <f>#REF!-'CFS 3Q2022'!D32</f>
        <v>#REF!</v>
      </c>
      <c r="E32" s="327" t="e">
        <f>#REF!-'CFS 3Q2022'!E32</f>
        <v>#REF!</v>
      </c>
      <c r="F32" s="327" t="e">
        <f>#REF!-'CFS 3Q2022'!F32</f>
        <v>#REF!</v>
      </c>
      <c r="G32" s="327" t="e">
        <f>#REF!-'CFS 3Q2022'!G32</f>
        <v>#REF!</v>
      </c>
      <c r="H32" s="328" t="e">
        <f>#REF!-'CFS 3Q2022'!H32</f>
        <v>#REF!</v>
      </c>
      <c r="I32" s="327" t="e">
        <f>#REF!-'CFS 3Q2022'!I32</f>
        <v>#REF!</v>
      </c>
      <c r="J32" s="327" t="e">
        <f>#REF!-'CFS 3Q2022'!J32</f>
        <v>#REF!</v>
      </c>
      <c r="K32" s="327" t="e">
        <f>#REF!-'CFS 3Q2022'!K32</f>
        <v>#REF!</v>
      </c>
      <c r="L32" s="327" t="e">
        <f>#REF!-'CFS 3Q2022'!L32</f>
        <v>#REF!</v>
      </c>
      <c r="M32" s="328" t="e">
        <f>#REF!-'CFS 3Q2022'!M32</f>
        <v>#REF!</v>
      </c>
      <c r="N32" s="327" t="e">
        <f>#REF!-'CFS 3Q2022'!N32</f>
        <v>#REF!</v>
      </c>
      <c r="O32" s="327" t="e">
        <f>#REF!-'CFS 3Q2022'!O32</f>
        <v>#REF!</v>
      </c>
      <c r="P32" s="327" t="e">
        <f>#REF!-'CFS 3Q2022'!P32</f>
        <v>#REF!</v>
      </c>
      <c r="Q32" s="327" t="e">
        <f>#REF!-'CFS 3Q2022'!Q32</f>
        <v>#REF!</v>
      </c>
      <c r="R32" s="328" t="e">
        <f>#REF!-'CFS 3Q2022'!R32</f>
        <v>#REF!</v>
      </c>
      <c r="S32" s="327" t="e">
        <f>#REF!-'CFS 3Q2022'!S32</f>
        <v>#REF!</v>
      </c>
      <c r="T32" s="327" t="e">
        <f>#REF!-'CFS 3Q2022'!T32</f>
        <v>#REF!</v>
      </c>
      <c r="U32" s="327" t="e">
        <f>#REF!-'CFS 3Q2022'!U32</f>
        <v>#REF!</v>
      </c>
      <c r="V32" s="327" t="e">
        <f>#REF!-'CFS 3Q2022'!V32</f>
        <v>#REF!</v>
      </c>
      <c r="W32" s="328" t="e">
        <f>#REF!-'CFS 3Q2022'!W32</f>
        <v>#REF!</v>
      </c>
      <c r="X32" s="327" t="e">
        <f>#REF!-'CFS 3Q2022'!X32</f>
        <v>#REF!</v>
      </c>
      <c r="Y32" s="327" t="e">
        <f>#REF!-'CFS 3Q2022'!Y32</f>
        <v>#REF!</v>
      </c>
      <c r="Z32" s="327" t="e">
        <f>#REF!-'CFS 3Q2022'!Z32</f>
        <v>#REF!</v>
      </c>
      <c r="AA32" s="327" t="e">
        <f>#REF!-'CFS 3Q2022'!AA32</f>
        <v>#REF!</v>
      </c>
      <c r="AB32" s="328" t="e">
        <f>#REF!-'CFS 3Q2022'!AB32</f>
        <v>#REF!</v>
      </c>
      <c r="AC32" s="327" t="e">
        <f>#REF!-'CFS 3Q2022'!AC32</f>
        <v>#REF!</v>
      </c>
      <c r="AD32" s="327" t="e">
        <f>#REF!-'CFS 3Q2022'!AD32</f>
        <v>#REF!</v>
      </c>
      <c r="AE32" s="327" t="e">
        <f>#REF!-'CFS 3Q2022'!AE32</f>
        <v>#REF!</v>
      </c>
      <c r="AF32" s="327" t="e">
        <f>#REF!-'CFS 3Q2022'!AF32</f>
        <v>#REF!</v>
      </c>
      <c r="AG32" s="328" t="e">
        <f>#REF!-'CFS 3Q2022'!AG32</f>
        <v>#REF!</v>
      </c>
      <c r="AH32" s="327" t="e">
        <f>#REF!-'CFS 3Q2022'!AH32</f>
        <v>#REF!</v>
      </c>
      <c r="AI32" s="327" t="e">
        <f>#REF!-'CFS 3Q2022'!AI32</f>
        <v>#REF!</v>
      </c>
      <c r="AJ32" s="327" t="e">
        <f>#REF!-'CFS 3Q2022'!AJ32</f>
        <v>#REF!</v>
      </c>
      <c r="AK32" s="327" t="e">
        <f>#REF!-'CFS 3Q2022'!AK32</f>
        <v>#REF!</v>
      </c>
      <c r="AL32" s="328" t="e">
        <f>#REF!-'CFS 3Q2022'!AL32</f>
        <v>#REF!</v>
      </c>
      <c r="AM32" s="327" t="e">
        <f>#REF!-'CFS 3Q2022'!AM32</f>
        <v>#REF!</v>
      </c>
      <c r="AN32" s="327" t="e">
        <f>#REF!-'CFS 3Q2022'!AN32</f>
        <v>#REF!</v>
      </c>
      <c r="AO32" s="327" t="e">
        <f>#REF!-'CFS 3Q2022'!AO32</f>
        <v>#REF!</v>
      </c>
      <c r="AP32" s="327" t="e">
        <f>#REF!-'CFS 3Q2022'!AP32</f>
        <v>#REF!</v>
      </c>
      <c r="AQ32" s="328" t="e">
        <f>#REF!-'CFS 3Q2022'!AQ32</f>
        <v>#REF!</v>
      </c>
      <c r="AR32" s="327" t="e">
        <f>#REF!-'CFS 3Q2022'!AR32</f>
        <v>#REF!</v>
      </c>
      <c r="AS32" s="327" t="e">
        <f>#REF!-'CFS 3Q2022'!AS32</f>
        <v>#REF!</v>
      </c>
      <c r="AT32" s="327" t="e">
        <f>#REF!-'CFS 3Q2022'!AT32</f>
        <v>#REF!</v>
      </c>
      <c r="AU32" s="327" t="e">
        <f>#REF!-'CFS 3Q2022'!AU32</f>
        <v>#REF!</v>
      </c>
      <c r="AV32" s="328" t="e">
        <f>#REF!-'CFS 3Q2022'!AV32</f>
        <v>#REF!</v>
      </c>
    </row>
    <row r="33" spans="2:48" outlineLevel="1" x14ac:dyDescent="0.3">
      <c r="B33" s="325" t="s">
        <v>290</v>
      </c>
      <c r="C33" s="326"/>
      <c r="D33" s="327" t="e">
        <f>#REF!-'CFS 3Q2022'!D33</f>
        <v>#REF!</v>
      </c>
      <c r="E33" s="327" t="e">
        <f>#REF!-'CFS 3Q2022'!E33</f>
        <v>#REF!</v>
      </c>
      <c r="F33" s="327" t="e">
        <f>#REF!-'CFS 3Q2022'!F33</f>
        <v>#REF!</v>
      </c>
      <c r="G33" s="327" t="e">
        <f>#REF!-'CFS 3Q2022'!G33</f>
        <v>#REF!</v>
      </c>
      <c r="H33" s="328" t="e">
        <f>#REF!-'CFS 3Q2022'!H33</f>
        <v>#REF!</v>
      </c>
      <c r="I33" s="327" t="e">
        <f>#REF!-'CFS 3Q2022'!I33</f>
        <v>#REF!</v>
      </c>
      <c r="J33" s="327" t="e">
        <f>#REF!-'CFS 3Q2022'!J33</f>
        <v>#REF!</v>
      </c>
      <c r="K33" s="327" t="e">
        <f>#REF!-'CFS 3Q2022'!K33</f>
        <v>#REF!</v>
      </c>
      <c r="L33" s="327" t="e">
        <f>#REF!-'CFS 3Q2022'!L33</f>
        <v>#REF!</v>
      </c>
      <c r="M33" s="328" t="e">
        <f>#REF!-'CFS 3Q2022'!M33</f>
        <v>#REF!</v>
      </c>
      <c r="N33" s="327" t="e">
        <f>#REF!-'CFS 3Q2022'!N33</f>
        <v>#REF!</v>
      </c>
      <c r="O33" s="327" t="e">
        <f>#REF!-'CFS 3Q2022'!O33</f>
        <v>#REF!</v>
      </c>
      <c r="P33" s="327" t="e">
        <f>#REF!-'CFS 3Q2022'!P33</f>
        <v>#REF!</v>
      </c>
      <c r="Q33" s="327" t="e">
        <f>#REF!-'CFS 3Q2022'!Q33</f>
        <v>#REF!</v>
      </c>
      <c r="R33" s="328" t="e">
        <f>#REF!-'CFS 3Q2022'!R33</f>
        <v>#REF!</v>
      </c>
      <c r="S33" s="327" t="e">
        <f>#REF!-'CFS 3Q2022'!S33</f>
        <v>#REF!</v>
      </c>
      <c r="T33" s="327" t="e">
        <f>#REF!-'CFS 3Q2022'!T33</f>
        <v>#REF!</v>
      </c>
      <c r="U33" s="327" t="e">
        <f>#REF!-'CFS 3Q2022'!U33</f>
        <v>#REF!</v>
      </c>
      <c r="V33" s="327" t="e">
        <f>#REF!-'CFS 3Q2022'!V33</f>
        <v>#REF!</v>
      </c>
      <c r="W33" s="328" t="e">
        <f>#REF!-'CFS 3Q2022'!W33</f>
        <v>#REF!</v>
      </c>
      <c r="X33" s="327" t="e">
        <f>#REF!-'CFS 3Q2022'!X33</f>
        <v>#REF!</v>
      </c>
      <c r="Y33" s="327" t="e">
        <f>#REF!-'CFS 3Q2022'!Y33</f>
        <v>#REF!</v>
      </c>
      <c r="Z33" s="327" t="e">
        <f>#REF!-'CFS 3Q2022'!Z33</f>
        <v>#REF!</v>
      </c>
      <c r="AA33" s="327" t="e">
        <f>#REF!-'CFS 3Q2022'!AA33</f>
        <v>#REF!</v>
      </c>
      <c r="AB33" s="328" t="e">
        <f>#REF!-'CFS 3Q2022'!AB33</f>
        <v>#REF!</v>
      </c>
      <c r="AC33" s="327" t="e">
        <f>#REF!-'CFS 3Q2022'!AC33</f>
        <v>#REF!</v>
      </c>
      <c r="AD33" s="327" t="e">
        <f>#REF!-'CFS 3Q2022'!AD33</f>
        <v>#REF!</v>
      </c>
      <c r="AE33" s="327" t="e">
        <f>#REF!-'CFS 3Q2022'!AE33</f>
        <v>#REF!</v>
      </c>
      <c r="AF33" s="327" t="e">
        <f>#REF!-'CFS 3Q2022'!AF33</f>
        <v>#REF!</v>
      </c>
      <c r="AG33" s="328" t="e">
        <f>#REF!-'CFS 3Q2022'!AG33</f>
        <v>#REF!</v>
      </c>
      <c r="AH33" s="327" t="e">
        <f>#REF!-'CFS 3Q2022'!AH33</f>
        <v>#REF!</v>
      </c>
      <c r="AI33" s="327" t="e">
        <f>#REF!-'CFS 3Q2022'!AI33</f>
        <v>#REF!</v>
      </c>
      <c r="AJ33" s="327" t="e">
        <f>#REF!-'CFS 3Q2022'!AJ33</f>
        <v>#REF!</v>
      </c>
      <c r="AK33" s="327" t="e">
        <f>#REF!-'CFS 3Q2022'!AK33</f>
        <v>#REF!</v>
      </c>
      <c r="AL33" s="328" t="e">
        <f>#REF!-'CFS 3Q2022'!AL33</f>
        <v>#REF!</v>
      </c>
      <c r="AM33" s="327" t="e">
        <f>#REF!-'CFS 3Q2022'!AM33</f>
        <v>#REF!</v>
      </c>
      <c r="AN33" s="327" t="e">
        <f>#REF!-'CFS 3Q2022'!AN33</f>
        <v>#REF!</v>
      </c>
      <c r="AO33" s="327" t="e">
        <f>#REF!-'CFS 3Q2022'!AO33</f>
        <v>#REF!</v>
      </c>
      <c r="AP33" s="327" t="e">
        <f>#REF!-'CFS 3Q2022'!AP33</f>
        <v>#REF!</v>
      </c>
      <c r="AQ33" s="328" t="e">
        <f>#REF!-'CFS 3Q2022'!AQ33</f>
        <v>#REF!</v>
      </c>
      <c r="AR33" s="327" t="e">
        <f>#REF!-'CFS 3Q2022'!AR33</f>
        <v>#REF!</v>
      </c>
      <c r="AS33" s="327" t="e">
        <f>#REF!-'CFS 3Q2022'!AS33</f>
        <v>#REF!</v>
      </c>
      <c r="AT33" s="327" t="e">
        <f>#REF!-'CFS 3Q2022'!AT33</f>
        <v>#REF!</v>
      </c>
      <c r="AU33" s="327" t="e">
        <f>#REF!-'CFS 3Q2022'!AU33</f>
        <v>#REF!</v>
      </c>
      <c r="AV33" s="328" t="e">
        <f>#REF!-'CFS 3Q2022'!AV33</f>
        <v>#REF!</v>
      </c>
    </row>
    <row r="34" spans="2:48" outlineLevel="1" x14ac:dyDescent="0.3">
      <c r="B34" s="325" t="s">
        <v>291</v>
      </c>
      <c r="C34" s="338"/>
      <c r="D34" s="327" t="e">
        <f>#REF!-'CFS 3Q2022'!D34</f>
        <v>#REF!</v>
      </c>
      <c r="E34" s="327" t="e">
        <f>#REF!-'CFS 3Q2022'!E34</f>
        <v>#REF!</v>
      </c>
      <c r="F34" s="327" t="e">
        <f>#REF!-'CFS 3Q2022'!F34</f>
        <v>#REF!</v>
      </c>
      <c r="G34" s="327" t="e">
        <f>#REF!-'CFS 3Q2022'!G34</f>
        <v>#REF!</v>
      </c>
      <c r="H34" s="328" t="e">
        <f>#REF!-'CFS 3Q2022'!H34</f>
        <v>#REF!</v>
      </c>
      <c r="I34" s="327" t="e">
        <f>#REF!-'CFS 3Q2022'!I34</f>
        <v>#REF!</v>
      </c>
      <c r="J34" s="327" t="e">
        <f>#REF!-'CFS 3Q2022'!J34</f>
        <v>#REF!</v>
      </c>
      <c r="K34" s="327" t="e">
        <f>#REF!-'CFS 3Q2022'!K34</f>
        <v>#REF!</v>
      </c>
      <c r="L34" s="327" t="e">
        <f>#REF!-'CFS 3Q2022'!L34</f>
        <v>#REF!</v>
      </c>
      <c r="M34" s="328" t="e">
        <f>#REF!-'CFS 3Q2022'!M34</f>
        <v>#REF!</v>
      </c>
      <c r="N34" s="327" t="e">
        <f>#REF!-'CFS 3Q2022'!N34</f>
        <v>#REF!</v>
      </c>
      <c r="O34" s="327" t="e">
        <f>#REF!-'CFS 3Q2022'!O34</f>
        <v>#REF!</v>
      </c>
      <c r="P34" s="327" t="e">
        <f>#REF!-'CFS 3Q2022'!P34</f>
        <v>#REF!</v>
      </c>
      <c r="Q34" s="327" t="e">
        <f>#REF!-'CFS 3Q2022'!Q34</f>
        <v>#REF!</v>
      </c>
      <c r="R34" s="328" t="e">
        <f>#REF!-'CFS 3Q2022'!R34</f>
        <v>#REF!</v>
      </c>
      <c r="S34" s="327" t="e">
        <f>#REF!-'CFS 3Q2022'!S34</f>
        <v>#REF!</v>
      </c>
      <c r="T34" s="327" t="e">
        <f>#REF!-'CFS 3Q2022'!T34</f>
        <v>#REF!</v>
      </c>
      <c r="U34" s="327" t="e">
        <f>#REF!-'CFS 3Q2022'!U34</f>
        <v>#REF!</v>
      </c>
      <c r="V34" s="327" t="e">
        <f>#REF!-'CFS 3Q2022'!V34</f>
        <v>#REF!</v>
      </c>
      <c r="W34" s="328" t="e">
        <f>#REF!-'CFS 3Q2022'!W34</f>
        <v>#REF!</v>
      </c>
      <c r="X34" s="327" t="e">
        <f>#REF!-'CFS 3Q2022'!X34</f>
        <v>#REF!</v>
      </c>
      <c r="Y34" s="327" t="e">
        <f>#REF!-'CFS 3Q2022'!Y34</f>
        <v>#REF!</v>
      </c>
      <c r="Z34" s="327" t="e">
        <f>#REF!-'CFS 3Q2022'!Z34</f>
        <v>#REF!</v>
      </c>
      <c r="AA34" s="327" t="e">
        <f>#REF!-'CFS 3Q2022'!AA34</f>
        <v>#REF!</v>
      </c>
      <c r="AB34" s="328" t="e">
        <f>#REF!-'CFS 3Q2022'!AB34</f>
        <v>#REF!</v>
      </c>
      <c r="AC34" s="327" t="e">
        <f>#REF!-'CFS 3Q2022'!AC34</f>
        <v>#REF!</v>
      </c>
      <c r="AD34" s="327" t="e">
        <f>#REF!-'CFS 3Q2022'!AD34</f>
        <v>#REF!</v>
      </c>
      <c r="AE34" s="327" t="e">
        <f>#REF!-'CFS 3Q2022'!AE34</f>
        <v>#REF!</v>
      </c>
      <c r="AF34" s="327" t="e">
        <f>#REF!-'CFS 3Q2022'!AF34</f>
        <v>#REF!</v>
      </c>
      <c r="AG34" s="328" t="e">
        <f>#REF!-'CFS 3Q2022'!AG34</f>
        <v>#REF!</v>
      </c>
      <c r="AH34" s="327" t="e">
        <f>#REF!-'CFS 3Q2022'!AH34</f>
        <v>#REF!</v>
      </c>
      <c r="AI34" s="327" t="e">
        <f>#REF!-'CFS 3Q2022'!AI34</f>
        <v>#REF!</v>
      </c>
      <c r="AJ34" s="327" t="e">
        <f>#REF!-'CFS 3Q2022'!AJ34</f>
        <v>#REF!</v>
      </c>
      <c r="AK34" s="327" t="e">
        <f>#REF!-'CFS 3Q2022'!AK34</f>
        <v>#REF!</v>
      </c>
      <c r="AL34" s="328" t="e">
        <f>#REF!-'CFS 3Q2022'!AL34</f>
        <v>#REF!</v>
      </c>
      <c r="AM34" s="327" t="e">
        <f>#REF!-'CFS 3Q2022'!AM34</f>
        <v>#REF!</v>
      </c>
      <c r="AN34" s="327" t="e">
        <f>#REF!-'CFS 3Q2022'!AN34</f>
        <v>#REF!</v>
      </c>
      <c r="AO34" s="327" t="e">
        <f>#REF!-'CFS 3Q2022'!AO34</f>
        <v>#REF!</v>
      </c>
      <c r="AP34" s="327" t="e">
        <f>#REF!-'CFS 3Q2022'!AP34</f>
        <v>#REF!</v>
      </c>
      <c r="AQ34" s="328" t="e">
        <f>#REF!-'CFS 3Q2022'!AQ34</f>
        <v>#REF!</v>
      </c>
      <c r="AR34" s="327" t="e">
        <f>#REF!-'CFS 3Q2022'!AR34</f>
        <v>#REF!</v>
      </c>
      <c r="AS34" s="327" t="e">
        <f>#REF!-'CFS 3Q2022'!AS34</f>
        <v>#REF!</v>
      </c>
      <c r="AT34" s="327" t="e">
        <f>#REF!-'CFS 3Q2022'!AT34</f>
        <v>#REF!</v>
      </c>
      <c r="AU34" s="327" t="e">
        <f>#REF!-'CFS 3Q2022'!AU34</f>
        <v>#REF!</v>
      </c>
      <c r="AV34" s="328" t="e">
        <f>#REF!-'CFS 3Q2022'!AV34</f>
        <v>#REF!</v>
      </c>
    </row>
    <row r="35" spans="2:48" outlineLevel="1" x14ac:dyDescent="0.3">
      <c r="B35" s="325" t="s">
        <v>292</v>
      </c>
      <c r="C35" s="339"/>
      <c r="D35" s="327" t="e">
        <f>#REF!-'CFS 3Q2022'!D35</f>
        <v>#REF!</v>
      </c>
      <c r="E35" s="327" t="e">
        <f>#REF!-'CFS 3Q2022'!E35</f>
        <v>#REF!</v>
      </c>
      <c r="F35" s="327" t="e">
        <f>#REF!-'CFS 3Q2022'!F35</f>
        <v>#REF!</v>
      </c>
      <c r="G35" s="327" t="e">
        <f>#REF!-'CFS 3Q2022'!G35</f>
        <v>#REF!</v>
      </c>
      <c r="H35" s="328" t="e">
        <f>#REF!-'CFS 3Q2022'!H35</f>
        <v>#REF!</v>
      </c>
      <c r="I35" s="327" t="e">
        <f>#REF!-'CFS 3Q2022'!I35</f>
        <v>#REF!</v>
      </c>
      <c r="J35" s="327" t="e">
        <f>#REF!-'CFS 3Q2022'!J35</f>
        <v>#REF!</v>
      </c>
      <c r="K35" s="327" t="e">
        <f>#REF!-'CFS 3Q2022'!K35</f>
        <v>#REF!</v>
      </c>
      <c r="L35" s="327" t="e">
        <f>#REF!-'CFS 3Q2022'!L35</f>
        <v>#REF!</v>
      </c>
      <c r="M35" s="328" t="e">
        <f>#REF!-'CFS 3Q2022'!M35</f>
        <v>#REF!</v>
      </c>
      <c r="N35" s="327" t="e">
        <f>#REF!-'CFS 3Q2022'!N35</f>
        <v>#REF!</v>
      </c>
      <c r="O35" s="327" t="e">
        <f>#REF!-'CFS 3Q2022'!O35</f>
        <v>#REF!</v>
      </c>
      <c r="P35" s="327" t="e">
        <f>#REF!-'CFS 3Q2022'!P35</f>
        <v>#REF!</v>
      </c>
      <c r="Q35" s="327" t="e">
        <f>#REF!-'CFS 3Q2022'!Q35</f>
        <v>#REF!</v>
      </c>
      <c r="R35" s="328" t="e">
        <f>#REF!-'CFS 3Q2022'!R35</f>
        <v>#REF!</v>
      </c>
      <c r="S35" s="327" t="e">
        <f>#REF!-'CFS 3Q2022'!S35</f>
        <v>#REF!</v>
      </c>
      <c r="T35" s="327" t="e">
        <f>#REF!-'CFS 3Q2022'!T35</f>
        <v>#REF!</v>
      </c>
      <c r="U35" s="327" t="e">
        <f>#REF!-'CFS 3Q2022'!U35</f>
        <v>#REF!</v>
      </c>
      <c r="V35" s="327" t="e">
        <f>#REF!-'CFS 3Q2022'!V35</f>
        <v>#REF!</v>
      </c>
      <c r="W35" s="328" t="e">
        <f>#REF!-'CFS 3Q2022'!W35</f>
        <v>#REF!</v>
      </c>
      <c r="X35" s="327" t="e">
        <f>#REF!-'CFS 3Q2022'!X35</f>
        <v>#REF!</v>
      </c>
      <c r="Y35" s="327" t="e">
        <f>#REF!-'CFS 3Q2022'!Y35</f>
        <v>#REF!</v>
      </c>
      <c r="Z35" s="327" t="e">
        <f>#REF!-'CFS 3Q2022'!Z35</f>
        <v>#REF!</v>
      </c>
      <c r="AA35" s="327" t="e">
        <f>#REF!-'CFS 3Q2022'!AA35</f>
        <v>#REF!</v>
      </c>
      <c r="AB35" s="328" t="e">
        <f>#REF!-'CFS 3Q2022'!AB35</f>
        <v>#REF!</v>
      </c>
      <c r="AC35" s="327" t="e">
        <f>#REF!-'CFS 3Q2022'!AC35</f>
        <v>#REF!</v>
      </c>
      <c r="AD35" s="327" t="e">
        <f>#REF!-'CFS 3Q2022'!AD35</f>
        <v>#REF!</v>
      </c>
      <c r="AE35" s="327" t="e">
        <f>#REF!-'CFS 3Q2022'!AE35</f>
        <v>#REF!</v>
      </c>
      <c r="AF35" s="327" t="e">
        <f>#REF!-'CFS 3Q2022'!AF35</f>
        <v>#REF!</v>
      </c>
      <c r="AG35" s="328" t="e">
        <f>#REF!-'CFS 3Q2022'!AG35</f>
        <v>#REF!</v>
      </c>
      <c r="AH35" s="327" t="e">
        <f>#REF!-'CFS 3Q2022'!AH35</f>
        <v>#REF!</v>
      </c>
      <c r="AI35" s="327" t="e">
        <f>#REF!-'CFS 3Q2022'!AI35</f>
        <v>#REF!</v>
      </c>
      <c r="AJ35" s="327" t="e">
        <f>#REF!-'CFS 3Q2022'!AJ35</f>
        <v>#REF!</v>
      </c>
      <c r="AK35" s="327" t="e">
        <f>#REF!-'CFS 3Q2022'!AK35</f>
        <v>#REF!</v>
      </c>
      <c r="AL35" s="328" t="e">
        <f>#REF!-'CFS 3Q2022'!AL35</f>
        <v>#REF!</v>
      </c>
      <c r="AM35" s="327" t="e">
        <f>#REF!-'CFS 3Q2022'!AM35</f>
        <v>#REF!</v>
      </c>
      <c r="AN35" s="327" t="e">
        <f>#REF!-'CFS 3Q2022'!AN35</f>
        <v>#REF!</v>
      </c>
      <c r="AO35" s="327" t="e">
        <f>#REF!-'CFS 3Q2022'!AO35</f>
        <v>#REF!</v>
      </c>
      <c r="AP35" s="327" t="e">
        <f>#REF!-'CFS 3Q2022'!AP35</f>
        <v>#REF!</v>
      </c>
      <c r="AQ35" s="328" t="e">
        <f>#REF!-'CFS 3Q2022'!AQ35</f>
        <v>#REF!</v>
      </c>
      <c r="AR35" s="327" t="e">
        <f>#REF!-'CFS 3Q2022'!AR35</f>
        <v>#REF!</v>
      </c>
      <c r="AS35" s="327" t="e">
        <f>#REF!-'CFS 3Q2022'!AS35</f>
        <v>#REF!</v>
      </c>
      <c r="AT35" s="327" t="e">
        <f>#REF!-'CFS 3Q2022'!AT35</f>
        <v>#REF!</v>
      </c>
      <c r="AU35" s="327" t="e">
        <f>#REF!-'CFS 3Q2022'!AU35</f>
        <v>#REF!</v>
      </c>
      <c r="AV35" s="328" t="e">
        <f>#REF!-'CFS 3Q2022'!AV35</f>
        <v>#REF!</v>
      </c>
    </row>
    <row r="36" spans="2:48" ht="16.2" outlineLevel="1" x14ac:dyDescent="0.45">
      <c r="B36" s="623" t="s">
        <v>293</v>
      </c>
      <c r="C36" s="624"/>
      <c r="D36" s="329" t="e">
        <f>#REF!-'CFS 3Q2022'!D36</f>
        <v>#REF!</v>
      </c>
      <c r="E36" s="329" t="e">
        <f>#REF!-'CFS 3Q2022'!E36</f>
        <v>#REF!</v>
      </c>
      <c r="F36" s="329" t="e">
        <f>#REF!-'CFS 3Q2022'!F36</f>
        <v>#REF!</v>
      </c>
      <c r="G36" s="329" t="e">
        <f>#REF!-'CFS 3Q2022'!G36</f>
        <v>#REF!</v>
      </c>
      <c r="H36" s="330" t="e">
        <f>#REF!-'CFS 3Q2022'!H36</f>
        <v>#REF!</v>
      </c>
      <c r="I36" s="329" t="e">
        <f>#REF!-'CFS 3Q2022'!I36</f>
        <v>#REF!</v>
      </c>
      <c r="J36" s="329" t="e">
        <f>#REF!-'CFS 3Q2022'!J36</f>
        <v>#REF!</v>
      </c>
      <c r="K36" s="329" t="e">
        <f>#REF!-'CFS 3Q2022'!K36</f>
        <v>#REF!</v>
      </c>
      <c r="L36" s="329" t="e">
        <f>#REF!-'CFS 3Q2022'!L36</f>
        <v>#REF!</v>
      </c>
      <c r="M36" s="330" t="e">
        <f>#REF!-'CFS 3Q2022'!M36</f>
        <v>#REF!</v>
      </c>
      <c r="N36" s="329" t="e">
        <f>#REF!-'CFS 3Q2022'!N36</f>
        <v>#REF!</v>
      </c>
      <c r="O36" s="329" t="e">
        <f>#REF!-'CFS 3Q2022'!O36</f>
        <v>#REF!</v>
      </c>
      <c r="P36" s="329" t="e">
        <f>#REF!-'CFS 3Q2022'!P36</f>
        <v>#REF!</v>
      </c>
      <c r="Q36" s="329" t="e">
        <f>#REF!-'CFS 3Q2022'!Q36</f>
        <v>#REF!</v>
      </c>
      <c r="R36" s="330" t="e">
        <f>#REF!-'CFS 3Q2022'!R36</f>
        <v>#REF!</v>
      </c>
      <c r="S36" s="329" t="e">
        <f>#REF!-'CFS 3Q2022'!S36</f>
        <v>#REF!</v>
      </c>
      <c r="T36" s="329" t="e">
        <f>#REF!-'CFS 3Q2022'!T36</f>
        <v>#REF!</v>
      </c>
      <c r="U36" s="329" t="e">
        <f>#REF!-'CFS 3Q2022'!U36</f>
        <v>#REF!</v>
      </c>
      <c r="V36" s="329" t="e">
        <f>#REF!-'CFS 3Q2022'!V36</f>
        <v>#REF!</v>
      </c>
      <c r="W36" s="330" t="e">
        <f>#REF!-'CFS 3Q2022'!W36</f>
        <v>#REF!</v>
      </c>
      <c r="X36" s="329" t="e">
        <f>#REF!-'CFS 3Q2022'!X36</f>
        <v>#REF!</v>
      </c>
      <c r="Y36" s="329" t="e">
        <f>#REF!-'CFS 3Q2022'!Y36</f>
        <v>#REF!</v>
      </c>
      <c r="Z36" s="329" t="e">
        <f>#REF!-'CFS 3Q2022'!Z36</f>
        <v>#REF!</v>
      </c>
      <c r="AA36" s="329" t="e">
        <f>#REF!-'CFS 3Q2022'!AA36</f>
        <v>#REF!</v>
      </c>
      <c r="AB36" s="330" t="e">
        <f>#REF!-'CFS 3Q2022'!AB36</f>
        <v>#REF!</v>
      </c>
      <c r="AC36" s="329" t="e">
        <f>#REF!-'CFS 3Q2022'!AC36</f>
        <v>#REF!</v>
      </c>
      <c r="AD36" s="329" t="e">
        <f>#REF!-'CFS 3Q2022'!AD36</f>
        <v>#REF!</v>
      </c>
      <c r="AE36" s="329" t="e">
        <f>#REF!-'CFS 3Q2022'!AE36</f>
        <v>#REF!</v>
      </c>
      <c r="AF36" s="329" t="e">
        <f>#REF!-'CFS 3Q2022'!AF36</f>
        <v>#REF!</v>
      </c>
      <c r="AG36" s="330" t="e">
        <f>#REF!-'CFS 3Q2022'!AG36</f>
        <v>#REF!</v>
      </c>
      <c r="AH36" s="329" t="e">
        <f>#REF!-'CFS 3Q2022'!AH36</f>
        <v>#REF!</v>
      </c>
      <c r="AI36" s="329" t="e">
        <f>#REF!-'CFS 3Q2022'!AI36</f>
        <v>#REF!</v>
      </c>
      <c r="AJ36" s="329" t="e">
        <f>#REF!-'CFS 3Q2022'!AJ36</f>
        <v>#REF!</v>
      </c>
      <c r="AK36" s="329" t="e">
        <f>#REF!-'CFS 3Q2022'!AK36</f>
        <v>#REF!</v>
      </c>
      <c r="AL36" s="330" t="e">
        <f>#REF!-'CFS 3Q2022'!AL36</f>
        <v>#REF!</v>
      </c>
      <c r="AM36" s="329" t="e">
        <f>#REF!-'CFS 3Q2022'!AM36</f>
        <v>#REF!</v>
      </c>
      <c r="AN36" s="329" t="e">
        <f>#REF!-'CFS 3Q2022'!AN36</f>
        <v>#REF!</v>
      </c>
      <c r="AO36" s="329" t="e">
        <f>#REF!-'CFS 3Q2022'!AO36</f>
        <v>#REF!</v>
      </c>
      <c r="AP36" s="329" t="e">
        <f>#REF!-'CFS 3Q2022'!AP36</f>
        <v>#REF!</v>
      </c>
      <c r="AQ36" s="330" t="e">
        <f>#REF!-'CFS 3Q2022'!AQ36</f>
        <v>#REF!</v>
      </c>
      <c r="AR36" s="329" t="e">
        <f>#REF!-'CFS 3Q2022'!AR36</f>
        <v>#REF!</v>
      </c>
      <c r="AS36" s="329" t="e">
        <f>#REF!-'CFS 3Q2022'!AS36</f>
        <v>#REF!</v>
      </c>
      <c r="AT36" s="329" t="e">
        <f>#REF!-'CFS 3Q2022'!AT36</f>
        <v>#REF!</v>
      </c>
      <c r="AU36" s="329" t="e">
        <f>#REF!-'CFS 3Q2022'!AU36</f>
        <v>#REF!</v>
      </c>
      <c r="AV36" s="330" t="e">
        <f>#REF!-'CFS 3Q2022'!AV36</f>
        <v>#REF!</v>
      </c>
    </row>
    <row r="37" spans="2:48" outlineLevel="1" x14ac:dyDescent="0.3">
      <c r="B37" s="627" t="s">
        <v>294</v>
      </c>
      <c r="C37" s="628"/>
      <c r="D37" s="331" t="e">
        <f>#REF!-'CFS 3Q2022'!D37</f>
        <v>#REF!</v>
      </c>
      <c r="E37" s="331" t="e">
        <f>#REF!-'CFS 3Q2022'!E37</f>
        <v>#REF!</v>
      </c>
      <c r="F37" s="331" t="e">
        <f>#REF!-'CFS 3Q2022'!F37</f>
        <v>#REF!</v>
      </c>
      <c r="G37" s="331" t="e">
        <f>#REF!-'CFS 3Q2022'!G37</f>
        <v>#REF!</v>
      </c>
      <c r="H37" s="332" t="e">
        <f>#REF!-'CFS 3Q2022'!H37</f>
        <v>#REF!</v>
      </c>
      <c r="I37" s="331" t="e">
        <f>#REF!-'CFS 3Q2022'!I37</f>
        <v>#REF!</v>
      </c>
      <c r="J37" s="331" t="e">
        <f>#REF!-'CFS 3Q2022'!J37</f>
        <v>#REF!</v>
      </c>
      <c r="K37" s="331" t="e">
        <f>#REF!-'CFS 3Q2022'!K37</f>
        <v>#REF!</v>
      </c>
      <c r="L37" s="331" t="e">
        <f>#REF!-'CFS 3Q2022'!L37</f>
        <v>#REF!</v>
      </c>
      <c r="M37" s="332" t="e">
        <f>#REF!-'CFS 3Q2022'!M37</f>
        <v>#REF!</v>
      </c>
      <c r="N37" s="331" t="e">
        <f>#REF!-'CFS 3Q2022'!N37</f>
        <v>#REF!</v>
      </c>
      <c r="O37" s="331" t="e">
        <f>#REF!-'CFS 3Q2022'!O37</f>
        <v>#REF!</v>
      </c>
      <c r="P37" s="331" t="e">
        <f>#REF!-'CFS 3Q2022'!P37</f>
        <v>#REF!</v>
      </c>
      <c r="Q37" s="331" t="e">
        <f>#REF!-'CFS 3Q2022'!Q37</f>
        <v>#REF!</v>
      </c>
      <c r="R37" s="332" t="e">
        <f>#REF!-'CFS 3Q2022'!R37</f>
        <v>#REF!</v>
      </c>
      <c r="S37" s="331" t="e">
        <f>#REF!-'CFS 3Q2022'!S37</f>
        <v>#REF!</v>
      </c>
      <c r="T37" s="331" t="e">
        <f>#REF!-'CFS 3Q2022'!T37</f>
        <v>#REF!</v>
      </c>
      <c r="U37" s="331" t="e">
        <f>#REF!-'CFS 3Q2022'!U37</f>
        <v>#REF!</v>
      </c>
      <c r="V37" s="331" t="e">
        <f>#REF!-'CFS 3Q2022'!V37</f>
        <v>#REF!</v>
      </c>
      <c r="W37" s="332" t="e">
        <f>#REF!-'CFS 3Q2022'!W37</f>
        <v>#REF!</v>
      </c>
      <c r="X37" s="331" t="e">
        <f>#REF!-'CFS 3Q2022'!X37</f>
        <v>#REF!</v>
      </c>
      <c r="Y37" s="331" t="e">
        <f>#REF!-'CFS 3Q2022'!Y37</f>
        <v>#REF!</v>
      </c>
      <c r="Z37" s="331" t="e">
        <f>#REF!-'CFS 3Q2022'!Z37</f>
        <v>#REF!</v>
      </c>
      <c r="AA37" s="331" t="e">
        <f>#REF!-'CFS 3Q2022'!AA37</f>
        <v>#REF!</v>
      </c>
      <c r="AB37" s="332" t="e">
        <f>#REF!-'CFS 3Q2022'!AB37</f>
        <v>#REF!</v>
      </c>
      <c r="AC37" s="331" t="e">
        <f>#REF!-'CFS 3Q2022'!AC37</f>
        <v>#REF!</v>
      </c>
      <c r="AD37" s="331" t="e">
        <f>#REF!-'CFS 3Q2022'!AD37</f>
        <v>#REF!</v>
      </c>
      <c r="AE37" s="331" t="e">
        <f>#REF!-'CFS 3Q2022'!AE37</f>
        <v>#REF!</v>
      </c>
      <c r="AF37" s="331" t="e">
        <f>#REF!-'CFS 3Q2022'!AF37</f>
        <v>#REF!</v>
      </c>
      <c r="AG37" s="332" t="e">
        <f>#REF!-'CFS 3Q2022'!AG37</f>
        <v>#REF!</v>
      </c>
      <c r="AH37" s="331" t="e">
        <f>#REF!-'CFS 3Q2022'!AH37</f>
        <v>#REF!</v>
      </c>
      <c r="AI37" s="331" t="e">
        <f>#REF!-'CFS 3Q2022'!AI37</f>
        <v>#REF!</v>
      </c>
      <c r="AJ37" s="331" t="e">
        <f>#REF!-'CFS 3Q2022'!AJ37</f>
        <v>#REF!</v>
      </c>
      <c r="AK37" s="331" t="e">
        <f>#REF!-'CFS 3Q2022'!AK37</f>
        <v>#REF!</v>
      </c>
      <c r="AL37" s="332" t="e">
        <f>#REF!-'CFS 3Q2022'!AL37</f>
        <v>#REF!</v>
      </c>
      <c r="AM37" s="331" t="e">
        <f>#REF!-'CFS 3Q2022'!AM37</f>
        <v>#REF!</v>
      </c>
      <c r="AN37" s="331" t="e">
        <f>#REF!-'CFS 3Q2022'!AN37</f>
        <v>#REF!</v>
      </c>
      <c r="AO37" s="331" t="e">
        <f>#REF!-'CFS 3Q2022'!AO37</f>
        <v>#REF!</v>
      </c>
      <c r="AP37" s="331" t="e">
        <f>#REF!-'CFS 3Q2022'!AP37</f>
        <v>#REF!</v>
      </c>
      <c r="AQ37" s="332" t="e">
        <f>#REF!-'CFS 3Q2022'!AQ37</f>
        <v>#REF!</v>
      </c>
      <c r="AR37" s="331" t="e">
        <f>#REF!-'CFS 3Q2022'!AR37</f>
        <v>#REF!</v>
      </c>
      <c r="AS37" s="331" t="e">
        <f>#REF!-'CFS 3Q2022'!AS37</f>
        <v>#REF!</v>
      </c>
      <c r="AT37" s="331" t="e">
        <f>#REF!-'CFS 3Q2022'!AT37</f>
        <v>#REF!</v>
      </c>
      <c r="AU37" s="331" t="e">
        <f>#REF!-'CFS 3Q2022'!AU37</f>
        <v>#REF!</v>
      </c>
      <c r="AV37" s="332" t="e">
        <f>#REF!-'CFS 3Q2022'!AV37</f>
        <v>#REF!</v>
      </c>
    </row>
    <row r="38" spans="2:48" outlineLevel="1" x14ac:dyDescent="0.3">
      <c r="B38" s="248" t="s">
        <v>295</v>
      </c>
      <c r="C38" s="249"/>
      <c r="D38" s="333" t="e">
        <f>#REF!-'CFS 3Q2022'!D38</f>
        <v>#REF!</v>
      </c>
      <c r="E38" s="340" t="e">
        <f>#REF!-'CFS 3Q2022'!E38</f>
        <v>#REF!</v>
      </c>
      <c r="F38" s="340" t="e">
        <f>#REF!-'CFS 3Q2022'!F38</f>
        <v>#REF!</v>
      </c>
      <c r="G38" s="340" t="e">
        <f>#REF!-'CFS 3Q2022'!G38</f>
        <v>#REF!</v>
      </c>
      <c r="H38" s="337" t="e">
        <f>#REF!-'CFS 3Q2022'!H38</f>
        <v>#REF!</v>
      </c>
      <c r="I38" s="340" t="e">
        <f>#REF!-'CFS 3Q2022'!I38</f>
        <v>#REF!</v>
      </c>
      <c r="J38" s="340" t="e">
        <f>#REF!-'CFS 3Q2022'!J38</f>
        <v>#REF!</v>
      </c>
      <c r="K38" s="340" t="e">
        <f>#REF!-'CFS 3Q2022'!K38</f>
        <v>#REF!</v>
      </c>
      <c r="L38" s="340" t="e">
        <f>#REF!-'CFS 3Q2022'!L38</f>
        <v>#REF!</v>
      </c>
      <c r="M38" s="337" t="e">
        <f>#REF!-'CFS 3Q2022'!M38</f>
        <v>#REF!</v>
      </c>
      <c r="N38" s="340" t="e">
        <f>#REF!-'CFS 3Q2022'!N38</f>
        <v>#REF!</v>
      </c>
      <c r="O38" s="340" t="e">
        <f>#REF!-'CFS 3Q2022'!O38</f>
        <v>#REF!</v>
      </c>
      <c r="P38" s="340" t="e">
        <f>#REF!-'CFS 3Q2022'!P38</f>
        <v>#REF!</v>
      </c>
      <c r="Q38" s="340" t="e">
        <f>#REF!-'CFS 3Q2022'!Q38</f>
        <v>#REF!</v>
      </c>
      <c r="R38" s="337" t="e">
        <f>#REF!-'CFS 3Q2022'!R38</f>
        <v>#REF!</v>
      </c>
      <c r="S38" s="340" t="e">
        <f>#REF!-'CFS 3Q2022'!S38</f>
        <v>#REF!</v>
      </c>
      <c r="T38" s="340" t="e">
        <f>#REF!-'CFS 3Q2022'!T38</f>
        <v>#REF!</v>
      </c>
      <c r="U38" s="340" t="e">
        <f>#REF!-'CFS 3Q2022'!U38</f>
        <v>#REF!</v>
      </c>
      <c r="V38" s="341" t="e">
        <f>#REF!-'CFS 3Q2022'!V38</f>
        <v>#REF!</v>
      </c>
      <c r="W38" s="337" t="e">
        <f>#REF!-'CFS 3Q2022'!W38</f>
        <v>#REF!</v>
      </c>
      <c r="X38" s="341" t="e">
        <f>#REF!-'CFS 3Q2022'!X38</f>
        <v>#REF!</v>
      </c>
      <c r="Y38" s="341" t="e">
        <f>#REF!-'CFS 3Q2022'!Y38</f>
        <v>#REF!</v>
      </c>
      <c r="Z38" s="341" t="e">
        <f>#REF!-'CFS 3Q2022'!Z38</f>
        <v>#REF!</v>
      </c>
      <c r="AA38" s="341" t="e">
        <f>#REF!-'CFS 3Q2022'!AA38</f>
        <v>#REF!</v>
      </c>
      <c r="AB38" s="337" t="e">
        <f>#REF!-'CFS 3Q2022'!AB38</f>
        <v>#REF!</v>
      </c>
      <c r="AC38" s="341" t="e">
        <f>#REF!-'CFS 3Q2022'!AC38</f>
        <v>#REF!</v>
      </c>
      <c r="AD38" s="341" t="e">
        <f>#REF!-'CFS 3Q2022'!AD38</f>
        <v>#REF!</v>
      </c>
      <c r="AE38" s="341" t="e">
        <f>#REF!-'CFS 3Q2022'!AE38</f>
        <v>#REF!</v>
      </c>
      <c r="AF38" s="341" t="e">
        <f>#REF!-'CFS 3Q2022'!AF38</f>
        <v>#REF!</v>
      </c>
      <c r="AG38" s="337" t="e">
        <f>#REF!-'CFS 3Q2022'!AG38</f>
        <v>#REF!</v>
      </c>
      <c r="AH38" s="341" t="e">
        <f>#REF!-'CFS 3Q2022'!AH38</f>
        <v>#REF!</v>
      </c>
      <c r="AI38" s="341" t="e">
        <f>#REF!-'CFS 3Q2022'!AI38</f>
        <v>#REF!</v>
      </c>
      <c r="AJ38" s="341" t="e">
        <f>#REF!-'CFS 3Q2022'!AJ38</f>
        <v>#REF!</v>
      </c>
      <c r="AK38" s="341" t="e">
        <f>#REF!-'CFS 3Q2022'!AK38</f>
        <v>#REF!</v>
      </c>
      <c r="AL38" s="337" t="e">
        <f>#REF!-'CFS 3Q2022'!AL38</f>
        <v>#REF!</v>
      </c>
      <c r="AM38" s="341" t="e">
        <f>#REF!-'CFS 3Q2022'!AM38</f>
        <v>#REF!</v>
      </c>
      <c r="AN38" s="341" t="e">
        <f>#REF!-'CFS 3Q2022'!AN38</f>
        <v>#REF!</v>
      </c>
      <c r="AO38" s="341" t="e">
        <f>#REF!-'CFS 3Q2022'!AO38</f>
        <v>#REF!</v>
      </c>
      <c r="AP38" s="341" t="e">
        <f>#REF!-'CFS 3Q2022'!AP38</f>
        <v>#REF!</v>
      </c>
      <c r="AQ38" s="337" t="e">
        <f>#REF!-'CFS 3Q2022'!AQ38</f>
        <v>#REF!</v>
      </c>
      <c r="AR38" s="341" t="e">
        <f>#REF!-'CFS 3Q2022'!AR38</f>
        <v>#REF!</v>
      </c>
      <c r="AS38" s="341" t="e">
        <f>#REF!-'CFS 3Q2022'!AS38</f>
        <v>#REF!</v>
      </c>
      <c r="AT38" s="341" t="e">
        <f>#REF!-'CFS 3Q2022'!AT38</f>
        <v>#REF!</v>
      </c>
      <c r="AU38" s="341" t="e">
        <f>#REF!-'CFS 3Q2022'!AU38</f>
        <v>#REF!</v>
      </c>
      <c r="AV38" s="337" t="e">
        <f>#REF!-'CFS 3Q2022'!AV38</f>
        <v>#REF!</v>
      </c>
    </row>
    <row r="39" spans="2:48" ht="16.2" outlineLevel="1" x14ac:dyDescent="0.45">
      <c r="B39" s="580" t="s">
        <v>296</v>
      </c>
      <c r="C39" s="581"/>
      <c r="D39" s="260" t="e">
        <f>#REF!-'CFS 3Q2022'!D39</f>
        <v>#REF!</v>
      </c>
      <c r="E39" s="260" t="e">
        <f>#REF!-'CFS 3Q2022'!E39</f>
        <v>#REF!</v>
      </c>
      <c r="F39" s="260" t="e">
        <f>#REF!-'CFS 3Q2022'!F39</f>
        <v>#REF!</v>
      </c>
      <c r="G39" s="260" t="e">
        <f>#REF!-'CFS 3Q2022'!G39</f>
        <v>#REF!</v>
      </c>
      <c r="H39" s="261" t="e">
        <f>#REF!-'CFS 3Q2022'!H39</f>
        <v>#REF!</v>
      </c>
      <c r="I39" s="260" t="e">
        <f>#REF!-'CFS 3Q2022'!I39</f>
        <v>#REF!</v>
      </c>
      <c r="J39" s="260" t="e">
        <f>#REF!-'CFS 3Q2022'!J39</f>
        <v>#REF!</v>
      </c>
      <c r="K39" s="260" t="e">
        <f>#REF!-'CFS 3Q2022'!K39</f>
        <v>#REF!</v>
      </c>
      <c r="L39" s="260" t="e">
        <f>#REF!-'CFS 3Q2022'!L39</f>
        <v>#REF!</v>
      </c>
      <c r="M39" s="261" t="e">
        <f>#REF!-'CFS 3Q2022'!M39</f>
        <v>#REF!</v>
      </c>
      <c r="N39" s="260" t="e">
        <f>#REF!-'CFS 3Q2022'!N39</f>
        <v>#REF!</v>
      </c>
      <c r="O39" s="260" t="e">
        <f>#REF!-'CFS 3Q2022'!O39</f>
        <v>#REF!</v>
      </c>
      <c r="P39" s="260" t="e">
        <f>#REF!-'CFS 3Q2022'!P39</f>
        <v>#REF!</v>
      </c>
      <c r="Q39" s="260" t="e">
        <f>#REF!-'CFS 3Q2022'!Q39</f>
        <v>#REF!</v>
      </c>
      <c r="R39" s="261" t="e">
        <f>#REF!-'CFS 3Q2022'!R39</f>
        <v>#REF!</v>
      </c>
      <c r="S39" s="260" t="e">
        <f>#REF!-'CFS 3Q2022'!S39</f>
        <v>#REF!</v>
      </c>
      <c r="T39" s="260" t="e">
        <f>#REF!-'CFS 3Q2022'!T39</f>
        <v>#REF!</v>
      </c>
      <c r="U39" s="260" t="e">
        <f>#REF!-'CFS 3Q2022'!U39</f>
        <v>#REF!</v>
      </c>
      <c r="V39" s="260" t="e">
        <f>#REF!-'CFS 3Q2022'!V39</f>
        <v>#REF!</v>
      </c>
      <c r="W39" s="261" t="e">
        <f>#REF!-'CFS 3Q2022'!W39</f>
        <v>#REF!</v>
      </c>
      <c r="X39" s="260" t="e">
        <f>#REF!-'CFS 3Q2022'!X39</f>
        <v>#REF!</v>
      </c>
      <c r="Y39" s="260" t="e">
        <f>#REF!-'CFS 3Q2022'!Y39</f>
        <v>#REF!</v>
      </c>
      <c r="Z39" s="260" t="e">
        <f>#REF!-'CFS 3Q2022'!Z39</f>
        <v>#REF!</v>
      </c>
      <c r="AA39" s="260" t="e">
        <f>#REF!-'CFS 3Q2022'!AA39</f>
        <v>#REF!</v>
      </c>
      <c r="AB39" s="261" t="e">
        <f>#REF!-'CFS 3Q2022'!AB39</f>
        <v>#REF!</v>
      </c>
      <c r="AC39" s="260" t="e">
        <f>#REF!-'CFS 3Q2022'!AC39</f>
        <v>#REF!</v>
      </c>
      <c r="AD39" s="260" t="e">
        <f>#REF!-'CFS 3Q2022'!AD39</f>
        <v>#REF!</v>
      </c>
      <c r="AE39" s="260" t="e">
        <f>#REF!-'CFS 3Q2022'!AE39</f>
        <v>#REF!</v>
      </c>
      <c r="AF39" s="260" t="e">
        <f>#REF!-'CFS 3Q2022'!AF39</f>
        <v>#REF!</v>
      </c>
      <c r="AG39" s="261" t="e">
        <f>#REF!-'CFS 3Q2022'!AG39</f>
        <v>#REF!</v>
      </c>
      <c r="AH39" s="260" t="e">
        <f>#REF!-'CFS 3Q2022'!AH39</f>
        <v>#REF!</v>
      </c>
      <c r="AI39" s="260" t="e">
        <f>#REF!-'CFS 3Q2022'!AI39</f>
        <v>#REF!</v>
      </c>
      <c r="AJ39" s="260" t="e">
        <f>#REF!-'CFS 3Q2022'!AJ39</f>
        <v>#REF!</v>
      </c>
      <c r="AK39" s="260" t="e">
        <f>#REF!-'CFS 3Q2022'!AK39</f>
        <v>#REF!</v>
      </c>
      <c r="AL39" s="261" t="e">
        <f>#REF!-'CFS 3Q2022'!AL39</f>
        <v>#REF!</v>
      </c>
      <c r="AM39" s="260" t="e">
        <f>#REF!-'CFS 3Q2022'!AM39</f>
        <v>#REF!</v>
      </c>
      <c r="AN39" s="260" t="e">
        <f>#REF!-'CFS 3Q2022'!AN39</f>
        <v>#REF!</v>
      </c>
      <c r="AO39" s="260" t="e">
        <f>#REF!-'CFS 3Q2022'!AO39</f>
        <v>#REF!</v>
      </c>
      <c r="AP39" s="260" t="e">
        <f>#REF!-'CFS 3Q2022'!AP39</f>
        <v>#REF!</v>
      </c>
      <c r="AQ39" s="261" t="e">
        <f>#REF!-'CFS 3Q2022'!AQ39</f>
        <v>#REF!</v>
      </c>
      <c r="AR39" s="260" t="e">
        <f>#REF!-'CFS 3Q2022'!AR39</f>
        <v>#REF!</v>
      </c>
      <c r="AS39" s="260" t="e">
        <f>#REF!-'CFS 3Q2022'!AS39</f>
        <v>#REF!</v>
      </c>
      <c r="AT39" s="260" t="e">
        <f>#REF!-'CFS 3Q2022'!AT39</f>
        <v>#REF!</v>
      </c>
      <c r="AU39" s="260" t="e">
        <f>#REF!-'CFS 3Q2022'!AU39</f>
        <v>#REF!</v>
      </c>
      <c r="AV39" s="261" t="e">
        <f>#REF!-'CFS 3Q2022'!AV39</f>
        <v>#REF!</v>
      </c>
    </row>
    <row r="40" spans="2:48" ht="16.2" outlineLevel="1" x14ac:dyDescent="0.45">
      <c r="B40" s="580" t="s">
        <v>297</v>
      </c>
      <c r="C40" s="581"/>
      <c r="D40" s="260" t="e">
        <f>#REF!-'CFS 3Q2022'!D40</f>
        <v>#REF!</v>
      </c>
      <c r="E40" s="260" t="e">
        <f>#REF!-'CFS 3Q2022'!E40</f>
        <v>#REF!</v>
      </c>
      <c r="F40" s="260" t="e">
        <f>#REF!-'CFS 3Q2022'!F40</f>
        <v>#REF!</v>
      </c>
      <c r="G40" s="260" t="e">
        <f>#REF!-'CFS 3Q2022'!G40</f>
        <v>#REF!</v>
      </c>
      <c r="H40" s="261" t="e">
        <f>#REF!-'CFS 3Q2022'!H40</f>
        <v>#REF!</v>
      </c>
      <c r="I40" s="112" t="e">
        <f>#REF!-'CFS 3Q2022'!I40</f>
        <v>#REF!</v>
      </c>
      <c r="J40" s="260" t="e">
        <f>#REF!-'CFS 3Q2022'!J40</f>
        <v>#REF!</v>
      </c>
      <c r="K40" s="260" t="e">
        <f>#REF!-'CFS 3Q2022'!K40</f>
        <v>#REF!</v>
      </c>
      <c r="L40" s="260" t="e">
        <f>#REF!-'CFS 3Q2022'!L40</f>
        <v>#REF!</v>
      </c>
      <c r="M40" s="261" t="e">
        <f>#REF!-'CFS 3Q2022'!M40</f>
        <v>#REF!</v>
      </c>
      <c r="N40" s="260" t="e">
        <f>#REF!-'CFS 3Q2022'!N40</f>
        <v>#REF!</v>
      </c>
      <c r="O40" s="260" t="e">
        <f>#REF!-'CFS 3Q2022'!O40</f>
        <v>#REF!</v>
      </c>
      <c r="P40" s="260" t="e">
        <f>#REF!-'CFS 3Q2022'!P40</f>
        <v>#REF!</v>
      </c>
      <c r="Q40" s="260" t="e">
        <f>#REF!-'CFS 3Q2022'!Q40</f>
        <v>#REF!</v>
      </c>
      <c r="R40" s="261" t="e">
        <f>#REF!-'CFS 3Q2022'!R40</f>
        <v>#REF!</v>
      </c>
      <c r="S40" s="260" t="e">
        <f>#REF!-'CFS 3Q2022'!S40</f>
        <v>#REF!</v>
      </c>
      <c r="T40" s="260" t="e">
        <f>#REF!-'CFS 3Q2022'!T40</f>
        <v>#REF!</v>
      </c>
      <c r="U40" s="260" t="e">
        <f>#REF!-'CFS 3Q2022'!U40</f>
        <v>#REF!</v>
      </c>
      <c r="V40" s="260" t="e">
        <f>#REF!-'CFS 3Q2022'!V40</f>
        <v>#REF!</v>
      </c>
      <c r="W40" s="261" t="e">
        <f>#REF!-'CFS 3Q2022'!W40</f>
        <v>#REF!</v>
      </c>
      <c r="X40" s="260" t="e">
        <f>#REF!-'CFS 3Q2022'!X40</f>
        <v>#REF!</v>
      </c>
      <c r="Y40" s="260" t="e">
        <f>#REF!-'CFS 3Q2022'!Y40</f>
        <v>#REF!</v>
      </c>
      <c r="Z40" s="260" t="e">
        <f>#REF!-'CFS 3Q2022'!Z40</f>
        <v>#REF!</v>
      </c>
      <c r="AA40" s="260" t="e">
        <f>#REF!-'CFS 3Q2022'!AA40</f>
        <v>#REF!</v>
      </c>
      <c r="AB40" s="261" t="e">
        <f>#REF!-'CFS 3Q2022'!AB40</f>
        <v>#REF!</v>
      </c>
      <c r="AC40" s="260" t="e">
        <f>#REF!-'CFS 3Q2022'!AC40</f>
        <v>#REF!</v>
      </c>
      <c r="AD40" s="260" t="e">
        <f>#REF!-'CFS 3Q2022'!AD40</f>
        <v>#REF!</v>
      </c>
      <c r="AE40" s="260" t="e">
        <f>#REF!-'CFS 3Q2022'!AE40</f>
        <v>#REF!</v>
      </c>
      <c r="AF40" s="260" t="e">
        <f>#REF!-'CFS 3Q2022'!AF40</f>
        <v>#REF!</v>
      </c>
      <c r="AG40" s="261" t="e">
        <f>#REF!-'CFS 3Q2022'!AG40</f>
        <v>#REF!</v>
      </c>
      <c r="AH40" s="260" t="e">
        <f>#REF!-'CFS 3Q2022'!AH40</f>
        <v>#REF!</v>
      </c>
      <c r="AI40" s="260" t="e">
        <f>#REF!-'CFS 3Q2022'!AI40</f>
        <v>#REF!</v>
      </c>
      <c r="AJ40" s="260" t="e">
        <f>#REF!-'CFS 3Q2022'!AJ40</f>
        <v>#REF!</v>
      </c>
      <c r="AK40" s="260" t="e">
        <f>#REF!-'CFS 3Q2022'!AK40</f>
        <v>#REF!</v>
      </c>
      <c r="AL40" s="261" t="e">
        <f>#REF!-'CFS 3Q2022'!AL40</f>
        <v>#REF!</v>
      </c>
      <c r="AM40" s="260" t="e">
        <f>#REF!-'CFS 3Q2022'!AM40</f>
        <v>#REF!</v>
      </c>
      <c r="AN40" s="260" t="e">
        <f>#REF!-'CFS 3Q2022'!AN40</f>
        <v>#REF!</v>
      </c>
      <c r="AO40" s="260" t="e">
        <f>#REF!-'CFS 3Q2022'!AO40</f>
        <v>#REF!</v>
      </c>
      <c r="AP40" s="260" t="e">
        <f>#REF!-'CFS 3Q2022'!AP40</f>
        <v>#REF!</v>
      </c>
      <c r="AQ40" s="261" t="e">
        <f>#REF!-'CFS 3Q2022'!AQ40</f>
        <v>#REF!</v>
      </c>
      <c r="AR40" s="260" t="e">
        <f>#REF!-'CFS 3Q2022'!AR40</f>
        <v>#REF!</v>
      </c>
      <c r="AS40" s="260" t="e">
        <f>#REF!-'CFS 3Q2022'!AS40</f>
        <v>#REF!</v>
      </c>
      <c r="AT40" s="260" t="e">
        <f>#REF!-'CFS 3Q2022'!AT40</f>
        <v>#REF!</v>
      </c>
      <c r="AU40" s="260" t="e">
        <f>#REF!-'CFS 3Q2022'!AU40</f>
        <v>#REF!</v>
      </c>
      <c r="AV40" s="261" t="e">
        <f>#REF!-'CFS 3Q2022'!AV40</f>
        <v>#REF!</v>
      </c>
    </row>
    <row r="41" spans="2:48" outlineLevel="1" x14ac:dyDescent="0.3">
      <c r="B41" s="629" t="s">
        <v>298</v>
      </c>
      <c r="C41" s="630"/>
      <c r="D41" s="116" t="e">
        <f>#REF!-'CFS 3Q2022'!D41</f>
        <v>#REF!</v>
      </c>
      <c r="E41" s="116" t="e">
        <f>#REF!-'CFS 3Q2022'!E41</f>
        <v>#REF!</v>
      </c>
      <c r="F41" s="116" t="e">
        <f>#REF!-'CFS 3Q2022'!F41</f>
        <v>#REF!</v>
      </c>
      <c r="G41" s="116" t="e">
        <f>#REF!-'CFS 3Q2022'!G41</f>
        <v>#REF!</v>
      </c>
      <c r="H41" s="150" t="e">
        <f>#REF!-'CFS 3Q2022'!H41</f>
        <v>#REF!</v>
      </c>
      <c r="I41" s="116" t="e">
        <f>#REF!-'CFS 3Q2022'!I41</f>
        <v>#REF!</v>
      </c>
      <c r="J41" s="116" t="e">
        <f>#REF!-'CFS 3Q2022'!J41</f>
        <v>#REF!</v>
      </c>
      <c r="K41" s="116" t="e">
        <f>#REF!-'CFS 3Q2022'!K41</f>
        <v>#REF!</v>
      </c>
      <c r="L41" s="21" t="e">
        <f>#REF!-'CFS 3Q2022'!L41</f>
        <v>#REF!</v>
      </c>
      <c r="M41" s="22" t="e">
        <f>#REF!-'CFS 3Q2022'!M41</f>
        <v>#REF!</v>
      </c>
      <c r="N41" s="21" t="e">
        <f>#REF!-'CFS 3Q2022'!N41</f>
        <v>#REF!</v>
      </c>
      <c r="O41" s="21" t="e">
        <f>#REF!-'CFS 3Q2022'!O41</f>
        <v>#REF!</v>
      </c>
      <c r="P41" s="21" t="e">
        <f>#REF!-'CFS 3Q2022'!P41</f>
        <v>#REF!</v>
      </c>
      <c r="Q41" s="21" t="e">
        <f>#REF!-'CFS 3Q2022'!Q41</f>
        <v>#REF!</v>
      </c>
      <c r="R41" s="22" t="e">
        <f>#REF!-'CFS 3Q2022'!R41</f>
        <v>#REF!</v>
      </c>
      <c r="S41" s="21" t="e">
        <f>#REF!-'CFS 3Q2022'!S41</f>
        <v>#REF!</v>
      </c>
      <c r="T41" s="21" t="e">
        <f>#REF!-'CFS 3Q2022'!T41</f>
        <v>#REF!</v>
      </c>
      <c r="U41" s="21" t="e">
        <f>#REF!-'CFS 3Q2022'!U41</f>
        <v>#REF!</v>
      </c>
      <c r="V41" s="21" t="e">
        <f>#REF!-'CFS 3Q2022'!V41</f>
        <v>#REF!</v>
      </c>
      <c r="W41" s="22" t="e">
        <f>#REF!-'CFS 3Q2022'!W41</f>
        <v>#REF!</v>
      </c>
      <c r="X41" s="21" t="e">
        <f>#REF!-'CFS 3Q2022'!X41</f>
        <v>#REF!</v>
      </c>
      <c r="Y41" s="21" t="e">
        <f>#REF!-'CFS 3Q2022'!Y41</f>
        <v>#REF!</v>
      </c>
      <c r="Z41" s="21" t="e">
        <f>#REF!-'CFS 3Q2022'!Z41</f>
        <v>#REF!</v>
      </c>
      <c r="AA41" s="21" t="e">
        <f>#REF!-'CFS 3Q2022'!AA41</f>
        <v>#REF!</v>
      </c>
      <c r="AB41" s="22" t="e">
        <f>#REF!-'CFS 3Q2022'!AB41</f>
        <v>#REF!</v>
      </c>
      <c r="AC41" s="21" t="e">
        <f>#REF!-'CFS 3Q2022'!AC41</f>
        <v>#REF!</v>
      </c>
      <c r="AD41" s="21" t="e">
        <f>#REF!-'CFS 3Q2022'!AD41</f>
        <v>#REF!</v>
      </c>
      <c r="AE41" s="21" t="e">
        <f>#REF!-'CFS 3Q2022'!AE41</f>
        <v>#REF!</v>
      </c>
      <c r="AF41" s="21" t="e">
        <f>#REF!-'CFS 3Q2022'!AF41</f>
        <v>#REF!</v>
      </c>
      <c r="AG41" s="22" t="e">
        <f>#REF!-'CFS 3Q2022'!AG41</f>
        <v>#REF!</v>
      </c>
      <c r="AH41" s="21" t="e">
        <f>#REF!-'CFS 3Q2022'!AH41</f>
        <v>#REF!</v>
      </c>
      <c r="AI41" s="21" t="e">
        <f>#REF!-'CFS 3Q2022'!AI41</f>
        <v>#REF!</v>
      </c>
      <c r="AJ41" s="21" t="e">
        <f>#REF!-'CFS 3Q2022'!AJ41</f>
        <v>#REF!</v>
      </c>
      <c r="AK41" s="21" t="e">
        <f>#REF!-'CFS 3Q2022'!AK41</f>
        <v>#REF!</v>
      </c>
      <c r="AL41" s="22" t="e">
        <f>#REF!-'CFS 3Q2022'!AL41</f>
        <v>#REF!</v>
      </c>
      <c r="AM41" s="21" t="e">
        <f>#REF!-'CFS 3Q2022'!AM41</f>
        <v>#REF!</v>
      </c>
      <c r="AN41" s="21" t="e">
        <f>#REF!-'CFS 3Q2022'!AN41</f>
        <v>#REF!</v>
      </c>
      <c r="AO41" s="21" t="e">
        <f>#REF!-'CFS 3Q2022'!AO41</f>
        <v>#REF!</v>
      </c>
      <c r="AP41" s="21" t="e">
        <f>#REF!-'CFS 3Q2022'!AP41</f>
        <v>#REF!</v>
      </c>
      <c r="AQ41" s="22" t="e">
        <f>#REF!-'CFS 3Q2022'!AQ41</f>
        <v>#REF!</v>
      </c>
      <c r="AR41" s="21" t="e">
        <f>#REF!-'CFS 3Q2022'!AR41</f>
        <v>#REF!</v>
      </c>
      <c r="AS41" s="21" t="e">
        <f>#REF!-'CFS 3Q2022'!AS41</f>
        <v>#REF!</v>
      </c>
      <c r="AT41" s="21" t="e">
        <f>#REF!-'CFS 3Q2022'!AT41</f>
        <v>#REF!</v>
      </c>
      <c r="AU41" s="21" t="e">
        <f>#REF!-'CFS 3Q2022'!AU41</f>
        <v>#REF!</v>
      </c>
      <c r="AV41" s="22" t="e">
        <f>#REF!-'CFS 3Q2022'!AV41</f>
        <v>#REF!</v>
      </c>
    </row>
    <row r="42" spans="2:48" s="23" customFormat="1" outlineLevel="1" x14ac:dyDescent="0.3">
      <c r="B42" s="631" t="s">
        <v>299</v>
      </c>
      <c r="C42" s="632"/>
      <c r="D42" s="321" t="e">
        <f>#REF!-'CFS 3Q2022'!D42</f>
        <v>#REF!</v>
      </c>
      <c r="E42" s="321" t="e">
        <f>#REF!-'CFS 3Q2022'!E42</f>
        <v>#REF!</v>
      </c>
      <c r="F42" s="321" t="e">
        <f>#REF!-'CFS 3Q2022'!F42</f>
        <v>#REF!</v>
      </c>
      <c r="G42" s="321" t="e">
        <f>#REF!-'CFS 3Q2022'!G42</f>
        <v>#REF!</v>
      </c>
      <c r="H42" s="342" t="e">
        <f>#REF!-'CFS 3Q2022'!H42</f>
        <v>#REF!</v>
      </c>
      <c r="I42" s="321" t="e">
        <f>#REF!-'CFS 3Q2022'!I42</f>
        <v>#REF!</v>
      </c>
      <c r="J42" s="321" t="e">
        <f>#REF!-'CFS 3Q2022'!J42</f>
        <v>#REF!</v>
      </c>
      <c r="K42" s="321" t="e">
        <f>#REF!-'CFS 3Q2022'!K42</f>
        <v>#REF!</v>
      </c>
      <c r="L42" s="321" t="e">
        <f>#REF!-'CFS 3Q2022'!L42</f>
        <v>#REF!</v>
      </c>
      <c r="M42" s="342" t="e">
        <f>#REF!-'CFS 3Q2022'!M42</f>
        <v>#REF!</v>
      </c>
      <c r="N42" s="321" t="e">
        <f>#REF!-'CFS 3Q2022'!N42</f>
        <v>#REF!</v>
      </c>
      <c r="O42" s="321" t="e">
        <f>#REF!-'CFS 3Q2022'!O42</f>
        <v>#REF!</v>
      </c>
      <c r="P42" s="321" t="e">
        <f>#REF!-'CFS 3Q2022'!P42</f>
        <v>#REF!</v>
      </c>
      <c r="Q42" s="321" t="e">
        <f>#REF!-'CFS 3Q2022'!Q42</f>
        <v>#REF!</v>
      </c>
      <c r="R42" s="342" t="e">
        <f>#REF!-'CFS 3Q2022'!R42</f>
        <v>#REF!</v>
      </c>
      <c r="S42" s="321" t="e">
        <f>#REF!-'CFS 3Q2022'!S42</f>
        <v>#REF!</v>
      </c>
      <c r="T42" s="321" t="e">
        <f>#REF!-'CFS 3Q2022'!T42</f>
        <v>#REF!</v>
      </c>
      <c r="U42" s="321" t="e">
        <f>#REF!-'CFS 3Q2022'!U42</f>
        <v>#REF!</v>
      </c>
      <c r="V42" s="321" t="e">
        <f>#REF!-'CFS 3Q2022'!V42</f>
        <v>#REF!</v>
      </c>
      <c r="W42" s="342" t="e">
        <f>#REF!-'CFS 3Q2022'!W42</f>
        <v>#REF!</v>
      </c>
      <c r="X42" s="321" t="e">
        <f>#REF!-'CFS 3Q2022'!X42</f>
        <v>#REF!</v>
      </c>
      <c r="Y42" s="321" t="e">
        <f>#REF!-'CFS 3Q2022'!Y42</f>
        <v>#REF!</v>
      </c>
      <c r="Z42" s="321" t="e">
        <f>#REF!-'CFS 3Q2022'!Z42</f>
        <v>#REF!</v>
      </c>
      <c r="AA42" s="321" t="e">
        <f>#REF!-'CFS 3Q2022'!AA42</f>
        <v>#REF!</v>
      </c>
      <c r="AB42" s="342" t="e">
        <f>#REF!-'CFS 3Q2022'!AB42</f>
        <v>#REF!</v>
      </c>
      <c r="AC42" s="321" t="e">
        <f>#REF!-'CFS 3Q2022'!AC42</f>
        <v>#REF!</v>
      </c>
      <c r="AD42" s="321" t="e">
        <f>#REF!-'CFS 3Q2022'!AD42</f>
        <v>#REF!</v>
      </c>
      <c r="AE42" s="321" t="e">
        <f>#REF!-'CFS 3Q2022'!AE42</f>
        <v>#REF!</v>
      </c>
      <c r="AF42" s="321" t="e">
        <f>#REF!-'CFS 3Q2022'!AF42</f>
        <v>#REF!</v>
      </c>
      <c r="AG42" s="342" t="e">
        <f>#REF!-'CFS 3Q2022'!AG42</f>
        <v>#REF!</v>
      </c>
      <c r="AH42" s="321" t="e">
        <f>#REF!-'CFS 3Q2022'!AH42</f>
        <v>#REF!</v>
      </c>
      <c r="AI42" s="321" t="e">
        <f>#REF!-'CFS 3Q2022'!AI42</f>
        <v>#REF!</v>
      </c>
      <c r="AJ42" s="321" t="e">
        <f>#REF!-'CFS 3Q2022'!AJ42</f>
        <v>#REF!</v>
      </c>
      <c r="AK42" s="321" t="e">
        <f>#REF!-'CFS 3Q2022'!AK42</f>
        <v>#REF!</v>
      </c>
      <c r="AL42" s="342" t="e">
        <f>#REF!-'CFS 3Q2022'!AL42</f>
        <v>#REF!</v>
      </c>
      <c r="AM42" s="321" t="e">
        <f>#REF!-'CFS 3Q2022'!AM42</f>
        <v>#REF!</v>
      </c>
      <c r="AN42" s="321" t="e">
        <f>#REF!-'CFS 3Q2022'!AN42</f>
        <v>#REF!</v>
      </c>
      <c r="AO42" s="321" t="e">
        <f>#REF!-'CFS 3Q2022'!AO42</f>
        <v>#REF!</v>
      </c>
      <c r="AP42" s="321" t="e">
        <f>#REF!-'CFS 3Q2022'!AP42</f>
        <v>#REF!</v>
      </c>
      <c r="AQ42" s="342" t="e">
        <f>#REF!-'CFS 3Q2022'!AQ42</f>
        <v>#REF!</v>
      </c>
      <c r="AR42" s="321" t="e">
        <f>#REF!-'CFS 3Q2022'!AR42</f>
        <v>#REF!</v>
      </c>
      <c r="AS42" s="321" t="e">
        <f>#REF!-'CFS 3Q2022'!AS42</f>
        <v>#REF!</v>
      </c>
      <c r="AT42" s="321" t="e">
        <f>#REF!-'CFS 3Q2022'!AT42</f>
        <v>#REF!</v>
      </c>
      <c r="AU42" s="321" t="e">
        <f>#REF!-'CFS 3Q2022'!AU42</f>
        <v>#REF!</v>
      </c>
      <c r="AV42" s="342" t="e">
        <f>#REF!-'CFS 3Q2022'!AV42</f>
        <v>#REF!</v>
      </c>
    </row>
    <row r="43" spans="2:48" s="23" customFormat="1" outlineLevel="1" x14ac:dyDescent="0.3">
      <c r="B43" s="325" t="s">
        <v>300</v>
      </c>
      <c r="C43" s="326"/>
      <c r="D43" s="327" t="e">
        <f>#REF!-'CFS 3Q2022'!D43</f>
        <v>#REF!</v>
      </c>
      <c r="E43" s="327" t="e">
        <f>#REF!-'CFS 3Q2022'!E43</f>
        <v>#REF!</v>
      </c>
      <c r="F43" s="343" t="e">
        <f>#REF!-'CFS 3Q2022'!F43</f>
        <v>#REF!</v>
      </c>
      <c r="G43" s="327" t="e">
        <f>#REF!-'CFS 3Q2022'!G43</f>
        <v>#REF!</v>
      </c>
      <c r="H43" s="328" t="e">
        <f>#REF!-'CFS 3Q2022'!H43</f>
        <v>#REF!</v>
      </c>
      <c r="I43" s="327" t="e">
        <f>#REF!-'CFS 3Q2022'!I43</f>
        <v>#REF!</v>
      </c>
      <c r="J43" s="327" t="e">
        <f>#REF!-'CFS 3Q2022'!J43</f>
        <v>#REF!</v>
      </c>
      <c r="K43" s="327" t="e">
        <f>#REF!-'CFS 3Q2022'!K43</f>
        <v>#REF!</v>
      </c>
      <c r="L43" s="327" t="e">
        <f>#REF!-'CFS 3Q2022'!L43</f>
        <v>#REF!</v>
      </c>
      <c r="M43" s="328" t="e">
        <f>#REF!-'CFS 3Q2022'!M43</f>
        <v>#REF!</v>
      </c>
      <c r="N43" s="327" t="e">
        <f>#REF!-'CFS 3Q2022'!N43</f>
        <v>#REF!</v>
      </c>
      <c r="O43" s="327" t="e">
        <f>#REF!-'CFS 3Q2022'!O43</f>
        <v>#REF!</v>
      </c>
      <c r="P43" s="327" t="e">
        <f>#REF!-'CFS 3Q2022'!P43</f>
        <v>#REF!</v>
      </c>
      <c r="Q43" s="327" t="e">
        <f>#REF!-'CFS 3Q2022'!Q43</f>
        <v>#REF!</v>
      </c>
      <c r="R43" s="328" t="e">
        <f>#REF!-'CFS 3Q2022'!R43</f>
        <v>#REF!</v>
      </c>
      <c r="S43" s="327" t="e">
        <f>#REF!-'CFS 3Q2022'!S43</f>
        <v>#REF!</v>
      </c>
      <c r="T43" s="327" t="e">
        <f>#REF!-'CFS 3Q2022'!T43</f>
        <v>#REF!</v>
      </c>
      <c r="U43" s="327" t="e">
        <f>#REF!-'CFS 3Q2022'!U43</f>
        <v>#REF!</v>
      </c>
      <c r="V43" s="327" t="e">
        <f>#REF!-'CFS 3Q2022'!V43</f>
        <v>#REF!</v>
      </c>
      <c r="W43" s="328" t="e">
        <f>#REF!-'CFS 3Q2022'!W43</f>
        <v>#REF!</v>
      </c>
      <c r="X43" s="327" t="e">
        <f>#REF!-'CFS 3Q2022'!X43</f>
        <v>#REF!</v>
      </c>
      <c r="Y43" s="327" t="e">
        <f>#REF!-'CFS 3Q2022'!Y43</f>
        <v>#REF!</v>
      </c>
      <c r="Z43" s="327" t="e">
        <f>#REF!-'CFS 3Q2022'!Z43</f>
        <v>#REF!</v>
      </c>
      <c r="AA43" s="327" t="e">
        <f>#REF!-'CFS 3Q2022'!AA43</f>
        <v>#REF!</v>
      </c>
      <c r="AB43" s="328" t="e">
        <f>#REF!-'CFS 3Q2022'!AB43</f>
        <v>#REF!</v>
      </c>
      <c r="AC43" s="327" t="e">
        <f>#REF!-'CFS 3Q2022'!AC43</f>
        <v>#REF!</v>
      </c>
      <c r="AD43" s="327" t="e">
        <f>#REF!-'CFS 3Q2022'!AD43</f>
        <v>#REF!</v>
      </c>
      <c r="AE43" s="327" t="e">
        <f>#REF!-'CFS 3Q2022'!AE43</f>
        <v>#REF!</v>
      </c>
      <c r="AF43" s="327" t="e">
        <f>#REF!-'CFS 3Q2022'!AF43</f>
        <v>#REF!</v>
      </c>
      <c r="AG43" s="328" t="e">
        <f>#REF!-'CFS 3Q2022'!AG43</f>
        <v>#REF!</v>
      </c>
      <c r="AH43" s="327" t="e">
        <f>#REF!-'CFS 3Q2022'!AH43</f>
        <v>#REF!</v>
      </c>
      <c r="AI43" s="327" t="e">
        <f>#REF!-'CFS 3Q2022'!AI43</f>
        <v>#REF!</v>
      </c>
      <c r="AJ43" s="327" t="e">
        <f>#REF!-'CFS 3Q2022'!AJ43</f>
        <v>#REF!</v>
      </c>
      <c r="AK43" s="327" t="e">
        <f>#REF!-'CFS 3Q2022'!AK43</f>
        <v>#REF!</v>
      </c>
      <c r="AL43" s="328" t="e">
        <f>#REF!-'CFS 3Q2022'!AL43</f>
        <v>#REF!</v>
      </c>
      <c r="AM43" s="327" t="e">
        <f>#REF!-'CFS 3Q2022'!AM43</f>
        <v>#REF!</v>
      </c>
      <c r="AN43" s="327" t="e">
        <f>#REF!-'CFS 3Q2022'!AN43</f>
        <v>#REF!</v>
      </c>
      <c r="AO43" s="327" t="e">
        <f>#REF!-'CFS 3Q2022'!AO43</f>
        <v>#REF!</v>
      </c>
      <c r="AP43" s="327" t="e">
        <f>#REF!-'CFS 3Q2022'!AP43</f>
        <v>#REF!</v>
      </c>
      <c r="AQ43" s="328" t="e">
        <f>#REF!-'CFS 3Q2022'!AQ43</f>
        <v>#REF!</v>
      </c>
      <c r="AR43" s="327" t="e">
        <f>#REF!-'CFS 3Q2022'!AR43</f>
        <v>#REF!</v>
      </c>
      <c r="AS43" s="327" t="e">
        <f>#REF!-'CFS 3Q2022'!AS43</f>
        <v>#REF!</v>
      </c>
      <c r="AT43" s="327" t="e">
        <f>#REF!-'CFS 3Q2022'!AT43</f>
        <v>#REF!</v>
      </c>
      <c r="AU43" s="327" t="e">
        <f>#REF!-'CFS 3Q2022'!AU43</f>
        <v>#REF!</v>
      </c>
      <c r="AV43" s="328" t="e">
        <f>#REF!-'CFS 3Q2022'!AV43</f>
        <v>#REF!</v>
      </c>
    </row>
    <row r="44" spans="2:48" s="23" customFormat="1" outlineLevel="1" x14ac:dyDescent="0.3">
      <c r="B44" s="633" t="s">
        <v>301</v>
      </c>
      <c r="C44" s="634"/>
      <c r="D44" s="344" t="e">
        <f>#REF!-'CFS 3Q2022'!D44</f>
        <v>#REF!</v>
      </c>
      <c r="E44" s="344" t="e">
        <f>#REF!-'CFS 3Q2022'!E44</f>
        <v>#REF!</v>
      </c>
      <c r="F44" s="344" t="e">
        <f>#REF!-'CFS 3Q2022'!F44</f>
        <v>#REF!</v>
      </c>
      <c r="G44" s="344" t="e">
        <f>#REF!-'CFS 3Q2022'!G44</f>
        <v>#REF!</v>
      </c>
      <c r="H44" s="345" t="e">
        <f>#REF!-'CFS 3Q2022'!H44</f>
        <v>#REF!</v>
      </c>
      <c r="I44" s="344" t="e">
        <f>#REF!-'CFS 3Q2022'!I44</f>
        <v>#REF!</v>
      </c>
      <c r="J44" s="344" t="e">
        <f>#REF!-'CFS 3Q2022'!J44</f>
        <v>#REF!</v>
      </c>
      <c r="K44" s="344" t="e">
        <f>#REF!-'CFS 3Q2022'!K44</f>
        <v>#REF!</v>
      </c>
      <c r="L44" s="344" t="e">
        <f>#REF!-'CFS 3Q2022'!L44</f>
        <v>#REF!</v>
      </c>
      <c r="M44" s="345" t="e">
        <f>#REF!-'CFS 3Q2022'!M44</f>
        <v>#REF!</v>
      </c>
      <c r="N44" s="344" t="e">
        <f>#REF!-'CFS 3Q2022'!N44</f>
        <v>#REF!</v>
      </c>
      <c r="O44" s="344" t="e">
        <f>#REF!-'CFS 3Q2022'!O44</f>
        <v>#REF!</v>
      </c>
      <c r="P44" s="344" t="e">
        <f>#REF!-'CFS 3Q2022'!P44</f>
        <v>#REF!</v>
      </c>
      <c r="Q44" s="344" t="e">
        <f>#REF!-'CFS 3Q2022'!Q44</f>
        <v>#REF!</v>
      </c>
      <c r="R44" s="345" t="e">
        <f>#REF!-'CFS 3Q2022'!R44</f>
        <v>#REF!</v>
      </c>
      <c r="S44" s="344" t="e">
        <f>#REF!-'CFS 3Q2022'!S44</f>
        <v>#REF!</v>
      </c>
      <c r="T44" s="344" t="e">
        <f>#REF!-'CFS 3Q2022'!T44</f>
        <v>#REF!</v>
      </c>
      <c r="U44" s="344" t="e">
        <f>#REF!-'CFS 3Q2022'!U44</f>
        <v>#REF!</v>
      </c>
      <c r="V44" s="344" t="e">
        <f>#REF!-'CFS 3Q2022'!V44</f>
        <v>#REF!</v>
      </c>
      <c r="W44" s="345" t="e">
        <f>#REF!-'CFS 3Q2022'!W44</f>
        <v>#REF!</v>
      </c>
      <c r="X44" s="344" t="e">
        <f>#REF!-'CFS 3Q2022'!X44</f>
        <v>#REF!</v>
      </c>
      <c r="Y44" s="344" t="e">
        <f>#REF!-'CFS 3Q2022'!Y44</f>
        <v>#REF!</v>
      </c>
      <c r="Z44" s="344" t="e">
        <f>#REF!-'CFS 3Q2022'!Z44</f>
        <v>#REF!</v>
      </c>
      <c r="AA44" s="344" t="e">
        <f>#REF!-'CFS 3Q2022'!AA44</f>
        <v>#REF!</v>
      </c>
      <c r="AB44" s="345" t="e">
        <f>#REF!-'CFS 3Q2022'!AB44</f>
        <v>#REF!</v>
      </c>
      <c r="AC44" s="344" t="e">
        <f>#REF!-'CFS 3Q2022'!AC44</f>
        <v>#REF!</v>
      </c>
      <c r="AD44" s="344" t="e">
        <f>#REF!-'CFS 3Q2022'!AD44</f>
        <v>#REF!</v>
      </c>
      <c r="AE44" s="344" t="e">
        <f>#REF!-'CFS 3Q2022'!AE44</f>
        <v>#REF!</v>
      </c>
      <c r="AF44" s="344" t="e">
        <f>#REF!-'CFS 3Q2022'!AF44</f>
        <v>#REF!</v>
      </c>
      <c r="AG44" s="345" t="e">
        <f>#REF!-'CFS 3Q2022'!AG44</f>
        <v>#REF!</v>
      </c>
      <c r="AH44" s="344" t="e">
        <f>#REF!-'CFS 3Q2022'!AH44</f>
        <v>#REF!</v>
      </c>
      <c r="AI44" s="344" t="e">
        <f>#REF!-'CFS 3Q2022'!AI44</f>
        <v>#REF!</v>
      </c>
      <c r="AJ44" s="344" t="e">
        <f>#REF!-'CFS 3Q2022'!AJ44</f>
        <v>#REF!</v>
      </c>
      <c r="AK44" s="344" t="e">
        <f>#REF!-'CFS 3Q2022'!AK44</f>
        <v>#REF!</v>
      </c>
      <c r="AL44" s="345" t="e">
        <f>#REF!-'CFS 3Q2022'!AL44</f>
        <v>#REF!</v>
      </c>
      <c r="AM44" s="344" t="e">
        <f>#REF!-'CFS 3Q2022'!AM44</f>
        <v>#REF!</v>
      </c>
      <c r="AN44" s="344" t="e">
        <f>#REF!-'CFS 3Q2022'!AN44</f>
        <v>#REF!</v>
      </c>
      <c r="AO44" s="344" t="e">
        <f>#REF!-'CFS 3Q2022'!AO44</f>
        <v>#REF!</v>
      </c>
      <c r="AP44" s="344" t="e">
        <f>#REF!-'CFS 3Q2022'!AP44</f>
        <v>#REF!</v>
      </c>
      <c r="AQ44" s="345" t="e">
        <f>#REF!-'CFS 3Q2022'!AQ44</f>
        <v>#REF!</v>
      </c>
      <c r="AR44" s="344" t="e">
        <f>#REF!-'CFS 3Q2022'!AR44</f>
        <v>#REF!</v>
      </c>
      <c r="AS44" s="344" t="e">
        <f>#REF!-'CFS 3Q2022'!AS44</f>
        <v>#REF!</v>
      </c>
      <c r="AT44" s="344" t="e">
        <f>#REF!-'CFS 3Q2022'!AT44</f>
        <v>#REF!</v>
      </c>
      <c r="AU44" s="344" t="e">
        <f>#REF!-'CFS 3Q2022'!AU44</f>
        <v>#REF!</v>
      </c>
      <c r="AV44" s="345" t="e">
        <f>#REF!-'CFS 3Q2022'!AV44</f>
        <v>#REF!</v>
      </c>
    </row>
    <row r="45" spans="2:48" outlineLevel="1" x14ac:dyDescent="0.3">
      <c r="B45" s="250" t="s">
        <v>302</v>
      </c>
      <c r="C45" s="249"/>
      <c r="D45" s="334" t="e">
        <f>#REF!-'CFS 3Q2022'!D45</f>
        <v>#REF!</v>
      </c>
      <c r="E45" s="334" t="e">
        <f>#REF!-'CFS 3Q2022'!E45</f>
        <v>#REF!</v>
      </c>
      <c r="F45" s="334" t="e">
        <f>#REF!-'CFS 3Q2022'!F45</f>
        <v>#REF!</v>
      </c>
      <c r="G45" s="334" t="e">
        <f>#REF!-'CFS 3Q2022'!G45</f>
        <v>#REF!</v>
      </c>
      <c r="H45" s="335" t="e">
        <f>#REF!-'CFS 3Q2022'!H45</f>
        <v>#REF!</v>
      </c>
      <c r="I45" s="334" t="e">
        <f>#REF!-'CFS 3Q2022'!I45</f>
        <v>#REF!</v>
      </c>
      <c r="J45" s="334" t="e">
        <f>#REF!-'CFS 3Q2022'!J45</f>
        <v>#REF!</v>
      </c>
      <c r="K45" s="334" t="e">
        <f>#REF!-'CFS 3Q2022'!K45</f>
        <v>#REF!</v>
      </c>
      <c r="L45" s="334" t="e">
        <f>#REF!-'CFS 3Q2022'!L45</f>
        <v>#REF!</v>
      </c>
      <c r="M45" s="335" t="e">
        <f>#REF!-'CFS 3Q2022'!M45</f>
        <v>#REF!</v>
      </c>
      <c r="N45" s="334" t="e">
        <f>#REF!-'CFS 3Q2022'!N45</f>
        <v>#REF!</v>
      </c>
      <c r="O45" s="334" t="e">
        <f>#REF!-'CFS 3Q2022'!O45</f>
        <v>#REF!</v>
      </c>
      <c r="P45" s="334" t="e">
        <f>#REF!-'CFS 3Q2022'!P45</f>
        <v>#REF!</v>
      </c>
      <c r="Q45" s="334" t="e">
        <f>#REF!-'CFS 3Q2022'!Q45</f>
        <v>#REF!</v>
      </c>
      <c r="R45" s="335" t="e">
        <f>#REF!-'CFS 3Q2022'!R45</f>
        <v>#REF!</v>
      </c>
      <c r="S45" s="334" t="e">
        <f>#REF!-'CFS 3Q2022'!S45</f>
        <v>#REF!</v>
      </c>
      <c r="T45" s="334" t="e">
        <f>#REF!-'CFS 3Q2022'!T45</f>
        <v>#REF!</v>
      </c>
      <c r="U45" s="334" t="e">
        <f>#REF!-'CFS 3Q2022'!U45</f>
        <v>#REF!</v>
      </c>
      <c r="V45" s="334" t="e">
        <f>#REF!-'CFS 3Q2022'!V45</f>
        <v>#REF!</v>
      </c>
      <c r="W45" s="335" t="e">
        <f>#REF!-'CFS 3Q2022'!W45</f>
        <v>#REF!</v>
      </c>
      <c r="X45" s="334" t="e">
        <f>#REF!-'CFS 3Q2022'!X45</f>
        <v>#REF!</v>
      </c>
      <c r="Y45" s="334" t="e">
        <f>#REF!-'CFS 3Q2022'!Y45</f>
        <v>#REF!</v>
      </c>
      <c r="Z45" s="334" t="e">
        <f>#REF!-'CFS 3Q2022'!Z45</f>
        <v>#REF!</v>
      </c>
      <c r="AA45" s="334" t="e">
        <f>#REF!-'CFS 3Q2022'!AA45</f>
        <v>#REF!</v>
      </c>
      <c r="AB45" s="335" t="e">
        <f>#REF!-'CFS 3Q2022'!AB45</f>
        <v>#REF!</v>
      </c>
      <c r="AC45" s="334" t="e">
        <f>#REF!-'CFS 3Q2022'!AC45</f>
        <v>#REF!</v>
      </c>
      <c r="AD45" s="334" t="e">
        <f>#REF!-'CFS 3Q2022'!AD45</f>
        <v>#REF!</v>
      </c>
      <c r="AE45" s="334" t="e">
        <f>#REF!-'CFS 3Q2022'!AE45</f>
        <v>#REF!</v>
      </c>
      <c r="AF45" s="334" t="e">
        <f>#REF!-'CFS 3Q2022'!AF45</f>
        <v>#REF!</v>
      </c>
      <c r="AG45" s="335" t="e">
        <f>#REF!-'CFS 3Q2022'!AG45</f>
        <v>#REF!</v>
      </c>
      <c r="AH45" s="334" t="e">
        <f>#REF!-'CFS 3Q2022'!AH45</f>
        <v>#REF!</v>
      </c>
      <c r="AI45" s="334" t="e">
        <f>#REF!-'CFS 3Q2022'!AI45</f>
        <v>#REF!</v>
      </c>
      <c r="AJ45" s="334" t="e">
        <f>#REF!-'CFS 3Q2022'!AJ45</f>
        <v>#REF!</v>
      </c>
      <c r="AK45" s="334" t="e">
        <f>#REF!-'CFS 3Q2022'!AK45</f>
        <v>#REF!</v>
      </c>
      <c r="AL45" s="335" t="e">
        <f>#REF!-'CFS 3Q2022'!AL45</f>
        <v>#REF!</v>
      </c>
      <c r="AM45" s="334" t="e">
        <f>#REF!-'CFS 3Q2022'!AM45</f>
        <v>#REF!</v>
      </c>
      <c r="AN45" s="334" t="e">
        <f>#REF!-'CFS 3Q2022'!AN45</f>
        <v>#REF!</v>
      </c>
      <c r="AO45" s="334" t="e">
        <f>#REF!-'CFS 3Q2022'!AO45</f>
        <v>#REF!</v>
      </c>
      <c r="AP45" s="334" t="e">
        <f>#REF!-'CFS 3Q2022'!AP45</f>
        <v>#REF!</v>
      </c>
      <c r="AQ45" s="335" t="e">
        <f>#REF!-'CFS 3Q2022'!AQ45</f>
        <v>#REF!</v>
      </c>
      <c r="AR45" s="334" t="e">
        <f>#REF!-'CFS 3Q2022'!AR45</f>
        <v>#REF!</v>
      </c>
      <c r="AS45" s="334" t="e">
        <f>#REF!-'CFS 3Q2022'!AS45</f>
        <v>#REF!</v>
      </c>
      <c r="AT45" s="334" t="e">
        <f>#REF!-'CFS 3Q2022'!AT45</f>
        <v>#REF!</v>
      </c>
      <c r="AU45" s="334" t="e">
        <f>#REF!-'CFS 3Q2022'!AU45</f>
        <v>#REF!</v>
      </c>
      <c r="AV45" s="335" t="e">
        <f>#REF!-'CFS 3Q2022'!AV45</f>
        <v>#REF!</v>
      </c>
    </row>
    <row r="46" spans="2:48" outlineLevel="1" x14ac:dyDescent="0.3">
      <c r="B46" s="200" t="s">
        <v>303</v>
      </c>
      <c r="C46" s="201"/>
      <c r="D46" s="16" t="e">
        <f>#REF!-'CFS 3Q2022'!D46</f>
        <v>#REF!</v>
      </c>
      <c r="E46" s="16" t="e">
        <f>#REF!-'CFS 3Q2022'!E46</f>
        <v>#REF!</v>
      </c>
      <c r="F46" s="16" t="e">
        <f>#REF!-'CFS 3Q2022'!F46</f>
        <v>#REF!</v>
      </c>
      <c r="G46" s="16" t="e">
        <f>#REF!-'CFS 3Q2022'!G46</f>
        <v>#REF!</v>
      </c>
      <c r="H46" s="17" t="e">
        <f>#REF!-'CFS 3Q2022'!H46</f>
        <v>#REF!</v>
      </c>
      <c r="I46" s="16" t="e">
        <f>#REF!-'CFS 3Q2022'!I46</f>
        <v>#REF!</v>
      </c>
      <c r="J46" s="16" t="e">
        <f>#REF!-'CFS 3Q2022'!J46</f>
        <v>#REF!</v>
      </c>
      <c r="K46" s="16" t="e">
        <f>#REF!-'CFS 3Q2022'!K46</f>
        <v>#REF!</v>
      </c>
      <c r="L46" s="16" t="e">
        <f>#REF!-'CFS 3Q2022'!L46</f>
        <v>#REF!</v>
      </c>
      <c r="M46" s="17" t="e">
        <f>#REF!-'CFS 3Q2022'!M46</f>
        <v>#REF!</v>
      </c>
      <c r="N46" s="16" t="e">
        <f>#REF!-'CFS 3Q2022'!N46</f>
        <v>#REF!</v>
      </c>
      <c r="O46" s="16" t="e">
        <f>#REF!-'CFS 3Q2022'!O46</f>
        <v>#REF!</v>
      </c>
      <c r="P46" s="16" t="e">
        <f>#REF!-'CFS 3Q2022'!P46</f>
        <v>#REF!</v>
      </c>
      <c r="Q46" s="16" t="e">
        <f>#REF!-'CFS 3Q2022'!Q46</f>
        <v>#REF!</v>
      </c>
      <c r="R46" s="17" t="e">
        <f>#REF!-'CFS 3Q2022'!R46</f>
        <v>#REF!</v>
      </c>
      <c r="S46" s="16" t="e">
        <f>#REF!-'CFS 3Q2022'!S46</f>
        <v>#REF!</v>
      </c>
      <c r="T46" s="16" t="e">
        <f>#REF!-'CFS 3Q2022'!T46</f>
        <v>#REF!</v>
      </c>
      <c r="U46" s="16" t="e">
        <f>#REF!-'CFS 3Q2022'!U46</f>
        <v>#REF!</v>
      </c>
      <c r="V46" s="16" t="e">
        <f>#REF!-'CFS 3Q2022'!V46</f>
        <v>#REF!</v>
      </c>
      <c r="W46" s="17" t="e">
        <f>#REF!-'CFS 3Q2022'!W46</f>
        <v>#REF!</v>
      </c>
      <c r="X46" s="16" t="e">
        <f>#REF!-'CFS 3Q2022'!X46</f>
        <v>#REF!</v>
      </c>
      <c r="Y46" s="16" t="e">
        <f>#REF!-'CFS 3Q2022'!Y46</f>
        <v>#REF!</v>
      </c>
      <c r="Z46" s="16" t="e">
        <f>#REF!-'CFS 3Q2022'!Z46</f>
        <v>#REF!</v>
      </c>
      <c r="AA46" s="16" t="e">
        <f>#REF!-'CFS 3Q2022'!AA46</f>
        <v>#REF!</v>
      </c>
      <c r="AB46" s="17" t="e">
        <f>#REF!-'CFS 3Q2022'!AB46</f>
        <v>#REF!</v>
      </c>
      <c r="AC46" s="16" t="e">
        <f>#REF!-'CFS 3Q2022'!AC46</f>
        <v>#REF!</v>
      </c>
      <c r="AD46" s="16" t="e">
        <f>#REF!-'CFS 3Q2022'!AD46</f>
        <v>#REF!</v>
      </c>
      <c r="AE46" s="16" t="e">
        <f>#REF!-'CFS 3Q2022'!AE46</f>
        <v>#REF!</v>
      </c>
      <c r="AF46" s="16" t="e">
        <f>#REF!-'CFS 3Q2022'!AF46</f>
        <v>#REF!</v>
      </c>
      <c r="AG46" s="17" t="e">
        <f>#REF!-'CFS 3Q2022'!AG46</f>
        <v>#REF!</v>
      </c>
      <c r="AH46" s="16" t="e">
        <f>#REF!-'CFS 3Q2022'!AH46</f>
        <v>#REF!</v>
      </c>
      <c r="AI46" s="16" t="e">
        <f>#REF!-'CFS 3Q2022'!AI46</f>
        <v>#REF!</v>
      </c>
      <c r="AJ46" s="16" t="e">
        <f>#REF!-'CFS 3Q2022'!AJ46</f>
        <v>#REF!</v>
      </c>
      <c r="AK46" s="16" t="e">
        <f>#REF!-'CFS 3Q2022'!AK46</f>
        <v>#REF!</v>
      </c>
      <c r="AL46" s="17" t="e">
        <f>#REF!-'CFS 3Q2022'!AL46</f>
        <v>#REF!</v>
      </c>
      <c r="AM46" s="16" t="e">
        <f>#REF!-'CFS 3Q2022'!AM46</f>
        <v>#REF!</v>
      </c>
      <c r="AN46" s="16" t="e">
        <f>#REF!-'CFS 3Q2022'!AN46</f>
        <v>#REF!</v>
      </c>
      <c r="AO46" s="16" t="e">
        <f>#REF!-'CFS 3Q2022'!AO46</f>
        <v>#REF!</v>
      </c>
      <c r="AP46" s="16" t="e">
        <f>#REF!-'CFS 3Q2022'!AP46</f>
        <v>#REF!</v>
      </c>
      <c r="AQ46" s="17" t="e">
        <f>#REF!-'CFS 3Q2022'!AQ46</f>
        <v>#REF!</v>
      </c>
      <c r="AR46" s="16" t="e">
        <f>#REF!-'CFS 3Q2022'!AR46</f>
        <v>#REF!</v>
      </c>
      <c r="AS46" s="16" t="e">
        <f>#REF!-'CFS 3Q2022'!AS46</f>
        <v>#REF!</v>
      </c>
      <c r="AT46" s="16" t="e">
        <f>#REF!-'CFS 3Q2022'!AT46</f>
        <v>#REF!</v>
      </c>
      <c r="AU46" s="16" t="e">
        <f>#REF!-'CFS 3Q2022'!AU46</f>
        <v>#REF!</v>
      </c>
      <c r="AV46" s="17" t="e">
        <f>#REF!-'CFS 3Q2022'!AV46</f>
        <v>#REF!</v>
      </c>
    </row>
    <row r="47" spans="2:48" outlineLevel="1" x14ac:dyDescent="0.3">
      <c r="B47" s="200" t="s">
        <v>304</v>
      </c>
      <c r="C47" s="201"/>
      <c r="D47" s="16" t="e">
        <f>#REF!-'CFS 3Q2022'!D47</f>
        <v>#REF!</v>
      </c>
      <c r="E47" s="16" t="e">
        <f>#REF!-'CFS 3Q2022'!E47</f>
        <v>#REF!</v>
      </c>
      <c r="F47" s="16" t="e">
        <f>#REF!-'CFS 3Q2022'!F47</f>
        <v>#REF!</v>
      </c>
      <c r="G47" s="16" t="e">
        <f>#REF!-'CFS 3Q2022'!G47</f>
        <v>#REF!</v>
      </c>
      <c r="H47" s="17" t="e">
        <f>#REF!-'CFS 3Q2022'!H47</f>
        <v>#REF!</v>
      </c>
      <c r="I47" s="16" t="e">
        <f>#REF!-'CFS 3Q2022'!I47</f>
        <v>#REF!</v>
      </c>
      <c r="J47" s="16" t="e">
        <f>#REF!-'CFS 3Q2022'!J47</f>
        <v>#REF!</v>
      </c>
      <c r="K47" s="16" t="e">
        <f>#REF!-'CFS 3Q2022'!K47</f>
        <v>#REF!</v>
      </c>
      <c r="L47" s="16" t="e">
        <f>#REF!-'CFS 3Q2022'!L47</f>
        <v>#REF!</v>
      </c>
      <c r="M47" s="17" t="e">
        <f>#REF!-'CFS 3Q2022'!M47</f>
        <v>#REF!</v>
      </c>
      <c r="N47" s="16" t="e">
        <f>#REF!-'CFS 3Q2022'!N47</f>
        <v>#REF!</v>
      </c>
      <c r="O47" s="16" t="e">
        <f>#REF!-'CFS 3Q2022'!O47</f>
        <v>#REF!</v>
      </c>
      <c r="P47" s="16" t="e">
        <f>#REF!-'CFS 3Q2022'!P47</f>
        <v>#REF!</v>
      </c>
      <c r="Q47" s="16" t="e">
        <f>#REF!-'CFS 3Q2022'!Q47</f>
        <v>#REF!</v>
      </c>
      <c r="R47" s="17" t="e">
        <f>#REF!-'CFS 3Q2022'!R47</f>
        <v>#REF!</v>
      </c>
      <c r="S47" s="16" t="e">
        <f>#REF!-'CFS 3Q2022'!S47</f>
        <v>#REF!</v>
      </c>
      <c r="T47" s="16" t="e">
        <f>#REF!-'CFS 3Q2022'!T47</f>
        <v>#REF!</v>
      </c>
      <c r="U47" s="16" t="e">
        <f>#REF!-'CFS 3Q2022'!U47</f>
        <v>#REF!</v>
      </c>
      <c r="V47" s="16" t="e">
        <f>#REF!-'CFS 3Q2022'!V47</f>
        <v>#REF!</v>
      </c>
      <c r="W47" s="17" t="e">
        <f>#REF!-'CFS 3Q2022'!W47</f>
        <v>#REF!</v>
      </c>
      <c r="X47" s="16" t="e">
        <f>#REF!-'CFS 3Q2022'!X47</f>
        <v>#REF!</v>
      </c>
      <c r="Y47" s="16" t="e">
        <f>#REF!-'CFS 3Q2022'!Y47</f>
        <v>#REF!</v>
      </c>
      <c r="Z47" s="16" t="e">
        <f>#REF!-'CFS 3Q2022'!Z47</f>
        <v>#REF!</v>
      </c>
      <c r="AA47" s="16" t="e">
        <f>#REF!-'CFS 3Q2022'!AA47</f>
        <v>#REF!</v>
      </c>
      <c r="AB47" s="17" t="e">
        <f>#REF!-'CFS 3Q2022'!AB47</f>
        <v>#REF!</v>
      </c>
      <c r="AC47" s="16" t="e">
        <f>#REF!-'CFS 3Q2022'!AC47</f>
        <v>#REF!</v>
      </c>
      <c r="AD47" s="16" t="e">
        <f>#REF!-'CFS 3Q2022'!AD47</f>
        <v>#REF!</v>
      </c>
      <c r="AE47" s="16" t="e">
        <f>#REF!-'CFS 3Q2022'!AE47</f>
        <v>#REF!</v>
      </c>
      <c r="AF47" s="16" t="e">
        <f>#REF!-'CFS 3Q2022'!AF47</f>
        <v>#REF!</v>
      </c>
      <c r="AG47" s="17" t="e">
        <f>#REF!-'CFS 3Q2022'!AG47</f>
        <v>#REF!</v>
      </c>
      <c r="AH47" s="16" t="e">
        <f>#REF!-'CFS 3Q2022'!AH47</f>
        <v>#REF!</v>
      </c>
      <c r="AI47" s="16" t="e">
        <f>#REF!-'CFS 3Q2022'!AI47</f>
        <v>#REF!</v>
      </c>
      <c r="AJ47" s="16" t="e">
        <f>#REF!-'CFS 3Q2022'!AJ47</f>
        <v>#REF!</v>
      </c>
      <c r="AK47" s="16" t="e">
        <f>#REF!-'CFS 3Q2022'!AK47</f>
        <v>#REF!</v>
      </c>
      <c r="AL47" s="17" t="e">
        <f>#REF!-'CFS 3Q2022'!AL47</f>
        <v>#REF!</v>
      </c>
      <c r="AM47" s="16" t="e">
        <f>#REF!-'CFS 3Q2022'!AM47</f>
        <v>#REF!</v>
      </c>
      <c r="AN47" s="16" t="e">
        <f>#REF!-'CFS 3Q2022'!AN47</f>
        <v>#REF!</v>
      </c>
      <c r="AO47" s="16" t="e">
        <f>#REF!-'CFS 3Q2022'!AO47</f>
        <v>#REF!</v>
      </c>
      <c r="AP47" s="16" t="e">
        <f>#REF!-'CFS 3Q2022'!AP47</f>
        <v>#REF!</v>
      </c>
      <c r="AQ47" s="17" t="e">
        <f>#REF!-'CFS 3Q2022'!AQ47</f>
        <v>#REF!</v>
      </c>
      <c r="AR47" s="16" t="e">
        <f>#REF!-'CFS 3Q2022'!AR47</f>
        <v>#REF!</v>
      </c>
      <c r="AS47" s="16" t="e">
        <f>#REF!-'CFS 3Q2022'!AS47</f>
        <v>#REF!</v>
      </c>
      <c r="AT47" s="16" t="e">
        <f>#REF!-'CFS 3Q2022'!AT47</f>
        <v>#REF!</v>
      </c>
      <c r="AU47" s="16" t="e">
        <f>#REF!-'CFS 3Q2022'!AU47</f>
        <v>#REF!</v>
      </c>
      <c r="AV47" s="17" t="e">
        <f>#REF!-'CFS 3Q2022'!AV47</f>
        <v>#REF!</v>
      </c>
    </row>
    <row r="48" spans="2:48" outlineLevel="1" x14ac:dyDescent="0.3">
      <c r="B48" s="635" t="s">
        <v>305</v>
      </c>
      <c r="C48" s="636"/>
      <c r="D48" s="346" t="e">
        <f>#REF!-'CFS 3Q2022'!D48</f>
        <v>#REF!</v>
      </c>
      <c r="E48" s="346" t="e">
        <f>#REF!-'CFS 3Q2022'!E48</f>
        <v>#REF!</v>
      </c>
      <c r="F48" s="346" t="e">
        <f>#REF!-'CFS 3Q2022'!F48</f>
        <v>#REF!</v>
      </c>
      <c r="G48" s="346" t="e">
        <f>#REF!-'CFS 3Q2022'!G48</f>
        <v>#REF!</v>
      </c>
      <c r="H48" s="347" t="e">
        <f>#REF!-'CFS 3Q2022'!H48</f>
        <v>#REF!</v>
      </c>
      <c r="I48" s="346" t="e">
        <f>#REF!-'CFS 3Q2022'!I48</f>
        <v>#REF!</v>
      </c>
      <c r="J48" s="346" t="e">
        <f>#REF!-'CFS 3Q2022'!J48</f>
        <v>#REF!</v>
      </c>
      <c r="K48" s="346" t="e">
        <f>#REF!-'CFS 3Q2022'!K48</f>
        <v>#REF!</v>
      </c>
      <c r="L48" s="346" t="e">
        <f>#REF!-'CFS 3Q2022'!L48</f>
        <v>#REF!</v>
      </c>
      <c r="M48" s="347" t="e">
        <f>#REF!-'CFS 3Q2022'!M48</f>
        <v>#REF!</v>
      </c>
      <c r="N48" s="346" t="e">
        <f>#REF!-'CFS 3Q2022'!N48</f>
        <v>#REF!</v>
      </c>
      <c r="O48" s="346" t="e">
        <f>#REF!-'CFS 3Q2022'!O48</f>
        <v>#REF!</v>
      </c>
      <c r="P48" s="346" t="e">
        <f>#REF!-'CFS 3Q2022'!P48</f>
        <v>#REF!</v>
      </c>
      <c r="Q48" s="346" t="e">
        <f>#REF!-'CFS 3Q2022'!Q48</f>
        <v>#REF!</v>
      </c>
      <c r="R48" s="347" t="e">
        <f>#REF!-'CFS 3Q2022'!R48</f>
        <v>#REF!</v>
      </c>
      <c r="S48" s="346" t="e">
        <f>#REF!-'CFS 3Q2022'!S48</f>
        <v>#REF!</v>
      </c>
      <c r="T48" s="346" t="e">
        <f>#REF!-'CFS 3Q2022'!T48</f>
        <v>#REF!</v>
      </c>
      <c r="U48" s="346" t="e">
        <f>#REF!-'CFS 3Q2022'!U48</f>
        <v>#REF!</v>
      </c>
      <c r="V48" s="346" t="e">
        <f>#REF!-'CFS 3Q2022'!V48</f>
        <v>#REF!</v>
      </c>
      <c r="W48" s="347" t="e">
        <f>#REF!-'CFS 3Q2022'!W48</f>
        <v>#REF!</v>
      </c>
      <c r="X48" s="346" t="e">
        <f>#REF!-'CFS 3Q2022'!X48</f>
        <v>#REF!</v>
      </c>
      <c r="Y48" s="346" t="e">
        <f>#REF!-'CFS 3Q2022'!Y48</f>
        <v>#REF!</v>
      </c>
      <c r="Z48" s="346" t="e">
        <f>#REF!-'CFS 3Q2022'!Z48</f>
        <v>#REF!</v>
      </c>
      <c r="AA48" s="346" t="e">
        <f>#REF!-'CFS 3Q2022'!AA48</f>
        <v>#REF!</v>
      </c>
      <c r="AB48" s="347" t="e">
        <f>#REF!-'CFS 3Q2022'!AB48</f>
        <v>#REF!</v>
      </c>
      <c r="AC48" s="346" t="e">
        <f>#REF!-'CFS 3Q2022'!AC48</f>
        <v>#REF!</v>
      </c>
      <c r="AD48" s="346" t="e">
        <f>#REF!-'CFS 3Q2022'!AD48</f>
        <v>#REF!</v>
      </c>
      <c r="AE48" s="346" t="e">
        <f>#REF!-'CFS 3Q2022'!AE48</f>
        <v>#REF!</v>
      </c>
      <c r="AF48" s="346" t="e">
        <f>#REF!-'CFS 3Q2022'!AF48</f>
        <v>#REF!</v>
      </c>
      <c r="AG48" s="347" t="e">
        <f>#REF!-'CFS 3Q2022'!AG48</f>
        <v>#REF!</v>
      </c>
      <c r="AH48" s="346" t="e">
        <f>#REF!-'CFS 3Q2022'!AH48</f>
        <v>#REF!</v>
      </c>
      <c r="AI48" s="346" t="e">
        <f>#REF!-'CFS 3Q2022'!AI48</f>
        <v>#REF!</v>
      </c>
      <c r="AJ48" s="346" t="e">
        <f>#REF!-'CFS 3Q2022'!AJ48</f>
        <v>#REF!</v>
      </c>
      <c r="AK48" s="346" t="e">
        <f>#REF!-'CFS 3Q2022'!AK48</f>
        <v>#REF!</v>
      </c>
      <c r="AL48" s="347" t="e">
        <f>#REF!-'CFS 3Q2022'!AL48</f>
        <v>#REF!</v>
      </c>
      <c r="AM48" s="346" t="e">
        <f>#REF!-'CFS 3Q2022'!AM48</f>
        <v>#REF!</v>
      </c>
      <c r="AN48" s="346" t="e">
        <f>#REF!-'CFS 3Q2022'!AN48</f>
        <v>#REF!</v>
      </c>
      <c r="AO48" s="346" t="e">
        <f>#REF!-'CFS 3Q2022'!AO48</f>
        <v>#REF!</v>
      </c>
      <c r="AP48" s="346" t="e">
        <f>#REF!-'CFS 3Q2022'!AP48</f>
        <v>#REF!</v>
      </c>
      <c r="AQ48" s="347" t="e">
        <f>#REF!-'CFS 3Q2022'!AQ48</f>
        <v>#REF!</v>
      </c>
      <c r="AR48" s="346" t="e">
        <f>#REF!-'CFS 3Q2022'!AR48</f>
        <v>#REF!</v>
      </c>
      <c r="AS48" s="346" t="e">
        <f>#REF!-'CFS 3Q2022'!AS48</f>
        <v>#REF!</v>
      </c>
      <c r="AT48" s="346" t="e">
        <f>#REF!-'CFS 3Q2022'!AT48</f>
        <v>#REF!</v>
      </c>
      <c r="AU48" s="346" t="e">
        <f>#REF!-'CFS 3Q2022'!AU48</f>
        <v>#REF!</v>
      </c>
      <c r="AV48" s="347" t="e">
        <f>#REF!-'CFS 3Q2022'!AV48</f>
        <v>#REF!</v>
      </c>
    </row>
    <row r="49" spans="2:48" x14ac:dyDescent="0.3">
      <c r="B49" s="637"/>
      <c r="C49" s="637"/>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583" t="s">
        <v>306</v>
      </c>
      <c r="C50" s="584"/>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5" t="s">
        <v>20</v>
      </c>
      <c r="W50" s="41" t="s">
        <v>20</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85"/>
      <c r="C51" s="586"/>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2" t="s">
        <v>25</v>
      </c>
      <c r="W51" s="42" t="s">
        <v>26</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601" t="s">
        <v>307</v>
      </c>
      <c r="C52" s="602"/>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16" t="e">
        <f>#REF!-'CFS 3Q2022'!D53</f>
        <v>#REF!</v>
      </c>
      <c r="E53" s="281" t="e">
        <f>#REF!-'CFS 3Q2022'!E53</f>
        <v>#REF!</v>
      </c>
      <c r="F53" s="113" t="e">
        <f>#REF!-'CFS 3Q2022'!F53</f>
        <v>#REF!</v>
      </c>
      <c r="G53" s="113" t="e">
        <f>#REF!-'CFS 3Q2022'!G53</f>
        <v>#REF!</v>
      </c>
      <c r="H53" s="125" t="e">
        <f>#REF!-'CFS 3Q2022'!H53</f>
        <v>#REF!</v>
      </c>
      <c r="I53" s="113" t="e">
        <f>#REF!-'CFS 3Q2022'!I53</f>
        <v>#REF!</v>
      </c>
      <c r="J53" s="113" t="e">
        <f>#REF!-'CFS 3Q2022'!J53</f>
        <v>#REF!</v>
      </c>
      <c r="K53" s="113" t="e">
        <f>#REF!-'CFS 3Q2022'!K53</f>
        <v>#REF!</v>
      </c>
      <c r="L53" s="113" t="e">
        <f>#REF!-'CFS 3Q2022'!L53</f>
        <v>#REF!</v>
      </c>
      <c r="M53" s="282" t="e">
        <f>#REF!-'CFS 3Q2022'!M53</f>
        <v>#REF!</v>
      </c>
      <c r="N53" s="113" t="e">
        <f>#REF!-'CFS 3Q2022'!N53</f>
        <v>#REF!</v>
      </c>
      <c r="O53" s="113" t="e">
        <f>#REF!-'CFS 3Q2022'!O53</f>
        <v>#REF!</v>
      </c>
      <c r="P53" s="113" t="e">
        <f>#REF!-'CFS 3Q2022'!P53</f>
        <v>#REF!</v>
      </c>
      <c r="Q53" s="113" t="e">
        <f>#REF!-'CFS 3Q2022'!Q53</f>
        <v>#REF!</v>
      </c>
      <c r="R53" s="282" t="e">
        <f>#REF!-'CFS 3Q2022'!R53</f>
        <v>#REF!</v>
      </c>
      <c r="S53" s="113" t="e">
        <f>#REF!-'CFS 3Q2022'!S53</f>
        <v>#REF!</v>
      </c>
      <c r="T53" s="113" t="e">
        <f>#REF!-'CFS 3Q2022'!T53</f>
        <v>#REF!</v>
      </c>
      <c r="U53" s="113" t="e">
        <f>#REF!-'CFS 3Q2022'!U53</f>
        <v>#REF!</v>
      </c>
      <c r="V53" s="35" t="e">
        <f>#REF!-'CFS 3Q2022'!V53</f>
        <v>#REF!</v>
      </c>
      <c r="W53" s="282" t="e">
        <f>#REF!-'CFS 3Q2022'!W53</f>
        <v>#REF!</v>
      </c>
      <c r="X53" s="35" t="e">
        <f>#REF!-'CFS 3Q2022'!X53</f>
        <v>#REF!</v>
      </c>
      <c r="Y53" s="35" t="e">
        <f>#REF!-'CFS 3Q2022'!Y53</f>
        <v>#REF!</v>
      </c>
      <c r="Z53" s="35" t="e">
        <f>#REF!-'CFS 3Q2022'!Z53</f>
        <v>#REF!</v>
      </c>
      <c r="AA53" s="35" t="e">
        <f>#REF!-'CFS 3Q2022'!AA53</f>
        <v>#REF!</v>
      </c>
      <c r="AB53" s="282" t="e">
        <f>#REF!-'CFS 3Q2022'!AB53</f>
        <v>#REF!</v>
      </c>
      <c r="AC53" s="35" t="e">
        <f>#REF!-'CFS 3Q2022'!AC53</f>
        <v>#REF!</v>
      </c>
      <c r="AD53" s="35" t="e">
        <f>#REF!-'CFS 3Q2022'!AD53</f>
        <v>#REF!</v>
      </c>
      <c r="AE53" s="35" t="e">
        <f>#REF!-'CFS 3Q2022'!AE53</f>
        <v>#REF!</v>
      </c>
      <c r="AF53" s="35" t="e">
        <f>#REF!-'CFS 3Q2022'!AF53</f>
        <v>#REF!</v>
      </c>
      <c r="AG53" s="282" t="e">
        <f>#REF!-'CFS 3Q2022'!AG53</f>
        <v>#REF!</v>
      </c>
      <c r="AH53" s="35" t="e">
        <f>#REF!-'CFS 3Q2022'!AH53</f>
        <v>#REF!</v>
      </c>
      <c r="AI53" s="35" t="e">
        <f>#REF!-'CFS 3Q2022'!AI53</f>
        <v>#REF!</v>
      </c>
      <c r="AJ53" s="35" t="e">
        <f>#REF!-'CFS 3Q2022'!AJ53</f>
        <v>#REF!</v>
      </c>
      <c r="AK53" s="35" t="e">
        <f>#REF!-'CFS 3Q2022'!AK53</f>
        <v>#REF!</v>
      </c>
      <c r="AL53" s="282" t="e">
        <f>#REF!-'CFS 3Q2022'!AL53</f>
        <v>#REF!</v>
      </c>
      <c r="AM53" s="35" t="e">
        <f>#REF!-'CFS 3Q2022'!AM53</f>
        <v>#REF!</v>
      </c>
      <c r="AN53" s="35" t="e">
        <f>#REF!-'CFS 3Q2022'!AN53</f>
        <v>#REF!</v>
      </c>
      <c r="AO53" s="35" t="e">
        <f>#REF!-'CFS 3Q2022'!AO53</f>
        <v>#REF!</v>
      </c>
      <c r="AP53" s="35" t="e">
        <f>#REF!-'CFS 3Q2022'!AP53</f>
        <v>#REF!</v>
      </c>
      <c r="AQ53" s="282" t="e">
        <f>#REF!-'CFS 3Q2022'!AQ53</f>
        <v>#REF!</v>
      </c>
      <c r="AR53" s="35" t="e">
        <f>#REF!-'CFS 3Q2022'!AR53</f>
        <v>#REF!</v>
      </c>
      <c r="AS53" s="35" t="e">
        <f>#REF!-'CFS 3Q2022'!AS53</f>
        <v>#REF!</v>
      </c>
      <c r="AT53" s="35" t="e">
        <f>#REF!-'CFS 3Q2022'!AT53</f>
        <v>#REF!</v>
      </c>
      <c r="AU53" s="35" t="e">
        <f>#REF!-'CFS 3Q2022'!AU53</f>
        <v>#REF!</v>
      </c>
      <c r="AV53" s="282" t="e">
        <f>#REF!-'CFS 3Q2022'!AV53</f>
        <v>#REF!</v>
      </c>
    </row>
    <row r="54" spans="2:48" s="23" customFormat="1" outlineLevel="1" x14ac:dyDescent="0.3">
      <c r="B54" s="200" t="s">
        <v>309</v>
      </c>
      <c r="C54" s="201"/>
      <c r="D54" s="351" t="e">
        <f>#REF!-'CFS 3Q2022'!D54</f>
        <v>#REF!</v>
      </c>
      <c r="E54" s="351" t="e">
        <f>#REF!-'CFS 3Q2022'!E54</f>
        <v>#REF!</v>
      </c>
      <c r="F54" s="113" t="e">
        <f>#REF!-'CFS 3Q2022'!F54</f>
        <v>#REF!</v>
      </c>
      <c r="G54" s="113" t="e">
        <f>#REF!-'CFS 3Q2022'!G54</f>
        <v>#REF!</v>
      </c>
      <c r="H54" s="125" t="e">
        <f>#REF!-'CFS 3Q2022'!H54</f>
        <v>#REF!</v>
      </c>
      <c r="I54" s="113" t="e">
        <f>#REF!-'CFS 3Q2022'!I54</f>
        <v>#REF!</v>
      </c>
      <c r="J54" s="113" t="e">
        <f>#REF!-'CFS 3Q2022'!J54</f>
        <v>#REF!</v>
      </c>
      <c r="K54" s="113" t="e">
        <f>#REF!-'CFS 3Q2022'!K54</f>
        <v>#REF!</v>
      </c>
      <c r="L54" s="113" t="e">
        <f>#REF!-'CFS 3Q2022'!L54</f>
        <v>#REF!</v>
      </c>
      <c r="M54" s="282" t="e">
        <f>#REF!-'CFS 3Q2022'!M54</f>
        <v>#REF!</v>
      </c>
      <c r="N54" s="113" t="e">
        <f>#REF!-'CFS 3Q2022'!N54</f>
        <v>#REF!</v>
      </c>
      <c r="O54" s="113" t="e">
        <f>#REF!-'CFS 3Q2022'!O54</f>
        <v>#REF!</v>
      </c>
      <c r="P54" s="113" t="e">
        <f>#REF!-'CFS 3Q2022'!P54</f>
        <v>#REF!</v>
      </c>
      <c r="Q54" s="113" t="e">
        <f>#REF!-'CFS 3Q2022'!Q54</f>
        <v>#REF!</v>
      </c>
      <c r="R54" s="282" t="e">
        <f>#REF!-'CFS 3Q2022'!R54</f>
        <v>#REF!</v>
      </c>
      <c r="S54" s="113" t="e">
        <f>#REF!-'CFS 3Q2022'!S54</f>
        <v>#REF!</v>
      </c>
      <c r="T54" s="113" t="e">
        <f>#REF!-'CFS 3Q2022'!T54</f>
        <v>#REF!</v>
      </c>
      <c r="U54" s="113" t="e">
        <f>#REF!-'CFS 3Q2022'!U54</f>
        <v>#REF!</v>
      </c>
      <c r="V54" s="35" t="e">
        <f>#REF!-'CFS 3Q2022'!V54</f>
        <v>#REF!</v>
      </c>
      <c r="W54" s="282" t="e">
        <f>#REF!-'CFS 3Q2022'!W54</f>
        <v>#REF!</v>
      </c>
      <c r="X54" s="35" t="e">
        <f>#REF!-'CFS 3Q2022'!X54</f>
        <v>#REF!</v>
      </c>
      <c r="Y54" s="35" t="e">
        <f>#REF!-'CFS 3Q2022'!Y54</f>
        <v>#REF!</v>
      </c>
      <c r="Z54" s="35" t="e">
        <f>#REF!-'CFS 3Q2022'!Z54</f>
        <v>#REF!</v>
      </c>
      <c r="AA54" s="35" t="e">
        <f>#REF!-'CFS 3Q2022'!AA54</f>
        <v>#REF!</v>
      </c>
      <c r="AB54" s="282" t="e">
        <f>#REF!-'CFS 3Q2022'!AB54</f>
        <v>#REF!</v>
      </c>
      <c r="AC54" s="35" t="e">
        <f>#REF!-'CFS 3Q2022'!AC54</f>
        <v>#REF!</v>
      </c>
      <c r="AD54" s="35" t="e">
        <f>#REF!-'CFS 3Q2022'!AD54</f>
        <v>#REF!</v>
      </c>
      <c r="AE54" s="35" t="e">
        <f>#REF!-'CFS 3Q2022'!AE54</f>
        <v>#REF!</v>
      </c>
      <c r="AF54" s="35" t="e">
        <f>#REF!-'CFS 3Q2022'!AF54</f>
        <v>#REF!</v>
      </c>
      <c r="AG54" s="282" t="e">
        <f>#REF!-'CFS 3Q2022'!AG54</f>
        <v>#REF!</v>
      </c>
      <c r="AH54" s="35" t="e">
        <f>#REF!-'CFS 3Q2022'!AH54</f>
        <v>#REF!</v>
      </c>
      <c r="AI54" s="35" t="e">
        <f>#REF!-'CFS 3Q2022'!AI54</f>
        <v>#REF!</v>
      </c>
      <c r="AJ54" s="35" t="e">
        <f>#REF!-'CFS 3Q2022'!AJ54</f>
        <v>#REF!</v>
      </c>
      <c r="AK54" s="35" t="e">
        <f>#REF!-'CFS 3Q2022'!AK54</f>
        <v>#REF!</v>
      </c>
      <c r="AL54" s="282" t="e">
        <f>#REF!-'CFS 3Q2022'!AL54</f>
        <v>#REF!</v>
      </c>
      <c r="AM54" s="35" t="e">
        <f>#REF!-'CFS 3Q2022'!AM54</f>
        <v>#REF!</v>
      </c>
      <c r="AN54" s="35" t="e">
        <f>#REF!-'CFS 3Q2022'!AN54</f>
        <v>#REF!</v>
      </c>
      <c r="AO54" s="35" t="e">
        <f>#REF!-'CFS 3Q2022'!AO54</f>
        <v>#REF!</v>
      </c>
      <c r="AP54" s="35" t="e">
        <f>#REF!-'CFS 3Q2022'!AP54</f>
        <v>#REF!</v>
      </c>
      <c r="AQ54" s="282" t="e">
        <f>#REF!-'CFS 3Q2022'!AQ54</f>
        <v>#REF!</v>
      </c>
      <c r="AR54" s="35" t="e">
        <f>#REF!-'CFS 3Q2022'!AR54</f>
        <v>#REF!</v>
      </c>
      <c r="AS54" s="35" t="e">
        <f>#REF!-'CFS 3Q2022'!AS54</f>
        <v>#REF!</v>
      </c>
      <c r="AT54" s="35" t="e">
        <f>#REF!-'CFS 3Q2022'!AT54</f>
        <v>#REF!</v>
      </c>
      <c r="AU54" s="35" t="e">
        <f>#REF!-'CFS 3Q2022'!AU54</f>
        <v>#REF!</v>
      </c>
      <c r="AV54" s="282" t="e">
        <f>#REF!-'CFS 3Q2022'!AV54</f>
        <v>#REF!</v>
      </c>
    </row>
    <row r="55" spans="2:48" s="23" customFormat="1" outlineLevel="1" x14ac:dyDescent="0.3">
      <c r="B55" s="580" t="s">
        <v>310</v>
      </c>
      <c r="C55" s="581"/>
      <c r="D55" s="352" t="e">
        <f>#REF!-'CFS 3Q2022'!D55</f>
        <v>#REF!</v>
      </c>
      <c r="E55" s="352" t="e">
        <f>#REF!-'CFS 3Q2022'!E55</f>
        <v>#REF!</v>
      </c>
      <c r="F55" s="352" t="e">
        <f>#REF!-'CFS 3Q2022'!F55</f>
        <v>#REF!</v>
      </c>
      <c r="G55" s="352" t="e">
        <f>#REF!-'CFS 3Q2022'!G55</f>
        <v>#REF!</v>
      </c>
      <c r="H55" s="353" t="e">
        <f>#REF!-'CFS 3Q2022'!H55</f>
        <v>#REF!</v>
      </c>
      <c r="I55" s="352" t="e">
        <f>#REF!-'CFS 3Q2022'!I55</f>
        <v>#REF!</v>
      </c>
      <c r="J55" s="352" t="e">
        <f>#REF!-'CFS 3Q2022'!J55</f>
        <v>#REF!</v>
      </c>
      <c r="K55" s="352" t="e">
        <f>#REF!-'CFS 3Q2022'!K55</f>
        <v>#REF!</v>
      </c>
      <c r="L55" s="352" t="e">
        <f>#REF!-'CFS 3Q2022'!L55</f>
        <v>#REF!</v>
      </c>
      <c r="M55" s="353" t="e">
        <f>#REF!-'CFS 3Q2022'!M55</f>
        <v>#REF!</v>
      </c>
      <c r="N55" s="352" t="e">
        <f>#REF!-'CFS 3Q2022'!N55</f>
        <v>#REF!</v>
      </c>
      <c r="O55" s="352" t="e">
        <f>#REF!-'CFS 3Q2022'!O55</f>
        <v>#REF!</v>
      </c>
      <c r="P55" s="352" t="e">
        <f>#REF!-'CFS 3Q2022'!P55</f>
        <v>#REF!</v>
      </c>
      <c r="Q55" s="352" t="e">
        <f>#REF!-'CFS 3Q2022'!Q55</f>
        <v>#REF!</v>
      </c>
      <c r="R55" s="353" t="e">
        <f>#REF!-'CFS 3Q2022'!R55</f>
        <v>#REF!</v>
      </c>
      <c r="S55" s="352" t="e">
        <f>#REF!-'CFS 3Q2022'!S55</f>
        <v>#REF!</v>
      </c>
      <c r="T55" s="352" t="e">
        <f>#REF!-'CFS 3Q2022'!T55</f>
        <v>#REF!</v>
      </c>
      <c r="U55" s="352" t="e">
        <f>#REF!-'CFS 3Q2022'!U55</f>
        <v>#REF!</v>
      </c>
      <c r="V55" s="352" t="e">
        <f>#REF!-'CFS 3Q2022'!V55</f>
        <v>#REF!</v>
      </c>
      <c r="W55" s="353" t="e">
        <f>#REF!-'CFS 3Q2022'!W55</f>
        <v>#REF!</v>
      </c>
      <c r="X55" s="352" t="e">
        <f>#REF!-'CFS 3Q2022'!X55</f>
        <v>#REF!</v>
      </c>
      <c r="Y55" s="352" t="e">
        <f>#REF!-'CFS 3Q2022'!Y55</f>
        <v>#REF!</v>
      </c>
      <c r="Z55" s="352" t="e">
        <f>#REF!-'CFS 3Q2022'!Z55</f>
        <v>#REF!</v>
      </c>
      <c r="AA55" s="352" t="e">
        <f>#REF!-'CFS 3Q2022'!AA55</f>
        <v>#REF!</v>
      </c>
      <c r="AB55" s="353" t="e">
        <f>#REF!-'CFS 3Q2022'!AB55</f>
        <v>#REF!</v>
      </c>
      <c r="AC55" s="352" t="e">
        <f>#REF!-'CFS 3Q2022'!AC55</f>
        <v>#REF!</v>
      </c>
      <c r="AD55" s="352" t="e">
        <f>#REF!-'CFS 3Q2022'!AD55</f>
        <v>#REF!</v>
      </c>
      <c r="AE55" s="352" t="e">
        <f>#REF!-'CFS 3Q2022'!AE55</f>
        <v>#REF!</v>
      </c>
      <c r="AF55" s="352" t="e">
        <f>#REF!-'CFS 3Q2022'!AF55</f>
        <v>#REF!</v>
      </c>
      <c r="AG55" s="353" t="e">
        <f>#REF!-'CFS 3Q2022'!AG55</f>
        <v>#REF!</v>
      </c>
      <c r="AH55" s="352" t="e">
        <f>#REF!-'CFS 3Q2022'!AH55</f>
        <v>#REF!</v>
      </c>
      <c r="AI55" s="352" t="e">
        <f>#REF!-'CFS 3Q2022'!AI55</f>
        <v>#REF!</v>
      </c>
      <c r="AJ55" s="352" t="e">
        <f>#REF!-'CFS 3Q2022'!AJ55</f>
        <v>#REF!</v>
      </c>
      <c r="AK55" s="352" t="e">
        <f>#REF!-'CFS 3Q2022'!AK55</f>
        <v>#REF!</v>
      </c>
      <c r="AL55" s="353" t="e">
        <f>#REF!-'CFS 3Q2022'!AL55</f>
        <v>#REF!</v>
      </c>
      <c r="AM55" s="352" t="e">
        <f>#REF!-'CFS 3Q2022'!AM55</f>
        <v>#REF!</v>
      </c>
      <c r="AN55" s="352" t="e">
        <f>#REF!-'CFS 3Q2022'!AN55</f>
        <v>#REF!</v>
      </c>
      <c r="AO55" s="352" t="e">
        <f>#REF!-'CFS 3Q2022'!AO55</f>
        <v>#REF!</v>
      </c>
      <c r="AP55" s="352" t="e">
        <f>#REF!-'CFS 3Q2022'!AP55</f>
        <v>#REF!</v>
      </c>
      <c r="AQ55" s="353" t="e">
        <f>#REF!-'CFS 3Q2022'!AQ55</f>
        <v>#REF!</v>
      </c>
      <c r="AR55" s="352" t="e">
        <f>#REF!-'CFS 3Q2022'!AR55</f>
        <v>#REF!</v>
      </c>
      <c r="AS55" s="352" t="e">
        <f>#REF!-'CFS 3Q2022'!AS55</f>
        <v>#REF!</v>
      </c>
      <c r="AT55" s="352" t="e">
        <f>#REF!-'CFS 3Q2022'!AT55</f>
        <v>#REF!</v>
      </c>
      <c r="AU55" s="352" t="e">
        <f>#REF!-'CFS 3Q2022'!AU55</f>
        <v>#REF!</v>
      </c>
      <c r="AV55" s="353" t="e">
        <f>#REF!-'CFS 3Q2022'!AV55</f>
        <v>#REF!</v>
      </c>
    </row>
    <row r="56" spans="2:48" outlineLevel="1" x14ac:dyDescent="0.3">
      <c r="B56" s="200" t="s">
        <v>311</v>
      </c>
      <c r="C56" s="356"/>
      <c r="D56" s="351" t="e">
        <f>#REF!-'CFS 3Q2022'!D56</f>
        <v>#REF!</v>
      </c>
      <c r="E56" s="351" t="e">
        <f>#REF!-'CFS 3Q2022'!E56</f>
        <v>#REF!</v>
      </c>
      <c r="F56" s="113" t="e">
        <f>#REF!-'CFS 3Q2022'!F56</f>
        <v>#REF!</v>
      </c>
      <c r="G56" s="113" t="e">
        <f>#REF!-'CFS 3Q2022'!G56</f>
        <v>#REF!</v>
      </c>
      <c r="H56" s="363" t="e">
        <f>#REF!-'CFS 3Q2022'!H56</f>
        <v>#REF!</v>
      </c>
      <c r="I56" s="354" t="e">
        <f>#REF!-'CFS 3Q2022'!I56</f>
        <v>#REF!</v>
      </c>
      <c r="J56" s="118" t="e">
        <f>#REF!-'CFS 3Q2022'!J56</f>
        <v>#REF!</v>
      </c>
      <c r="K56" s="118" t="e">
        <f>#REF!-'CFS 3Q2022'!K56</f>
        <v>#REF!</v>
      </c>
      <c r="L56" s="113" t="e">
        <f>#REF!-'CFS 3Q2022'!L56</f>
        <v>#REF!</v>
      </c>
      <c r="M56" s="353" t="e">
        <f>#REF!-'CFS 3Q2022'!M56</f>
        <v>#REF!</v>
      </c>
      <c r="N56" s="354" t="e">
        <f>#REF!-'CFS 3Q2022'!N56</f>
        <v>#REF!</v>
      </c>
      <c r="O56" s="118" t="e">
        <f>#REF!-'CFS 3Q2022'!O56</f>
        <v>#REF!</v>
      </c>
      <c r="P56" s="118" t="e">
        <f>#REF!-'CFS 3Q2022'!P56</f>
        <v>#REF!</v>
      </c>
      <c r="Q56" s="118" t="e">
        <f>#REF!-'CFS 3Q2022'!Q56</f>
        <v>#REF!</v>
      </c>
      <c r="R56" s="353" t="e">
        <f>#REF!-'CFS 3Q2022'!R56</f>
        <v>#REF!</v>
      </c>
      <c r="S56" s="354" t="e">
        <f>#REF!-'CFS 3Q2022'!S56</f>
        <v>#REF!</v>
      </c>
      <c r="T56" s="118" t="e">
        <f>#REF!-'CFS 3Q2022'!T56</f>
        <v>#REF!</v>
      </c>
      <c r="U56" s="118" t="e">
        <f>#REF!-'CFS 3Q2022'!U56</f>
        <v>#REF!</v>
      </c>
      <c r="V56" s="35" t="e">
        <f>#REF!-'CFS 3Q2022'!V56</f>
        <v>#REF!</v>
      </c>
      <c r="W56" s="353" t="e">
        <f>#REF!-'CFS 3Q2022'!W56</f>
        <v>#REF!</v>
      </c>
      <c r="X56" s="355" t="e">
        <f>#REF!-'CFS 3Q2022'!X56</f>
        <v>#REF!</v>
      </c>
      <c r="Y56" s="355" t="e">
        <f>#REF!-'CFS 3Q2022'!Y56</f>
        <v>#REF!</v>
      </c>
      <c r="Z56" s="355" t="e">
        <f>#REF!-'CFS 3Q2022'!Z56</f>
        <v>#REF!</v>
      </c>
      <c r="AA56" s="355" t="e">
        <f>#REF!-'CFS 3Q2022'!AA56</f>
        <v>#REF!</v>
      </c>
      <c r="AB56" s="353" t="e">
        <f>#REF!-'CFS 3Q2022'!AB56</f>
        <v>#REF!</v>
      </c>
      <c r="AC56" s="355" t="e">
        <f>#REF!-'CFS 3Q2022'!AC56</f>
        <v>#REF!</v>
      </c>
      <c r="AD56" s="35" t="e">
        <f>#REF!-'CFS 3Q2022'!AD56</f>
        <v>#REF!</v>
      </c>
      <c r="AE56" s="35" t="e">
        <f>#REF!-'CFS 3Q2022'!AE56</f>
        <v>#REF!</v>
      </c>
      <c r="AF56" s="35" t="e">
        <f>#REF!-'CFS 3Q2022'!AF56</f>
        <v>#REF!</v>
      </c>
      <c r="AG56" s="353" t="e">
        <f>#REF!-'CFS 3Q2022'!AG56</f>
        <v>#REF!</v>
      </c>
      <c r="AH56" s="355" t="e">
        <f>#REF!-'CFS 3Q2022'!AH56</f>
        <v>#REF!</v>
      </c>
      <c r="AI56" s="35" t="e">
        <f>#REF!-'CFS 3Q2022'!AI56</f>
        <v>#REF!</v>
      </c>
      <c r="AJ56" s="35" t="e">
        <f>#REF!-'CFS 3Q2022'!AJ56</f>
        <v>#REF!</v>
      </c>
      <c r="AK56" s="35" t="e">
        <f>#REF!-'CFS 3Q2022'!AK56</f>
        <v>#REF!</v>
      </c>
      <c r="AL56" s="353" t="e">
        <f>#REF!-'CFS 3Q2022'!AL56</f>
        <v>#REF!</v>
      </c>
      <c r="AM56" s="355" t="e">
        <f>#REF!-'CFS 3Q2022'!AM56</f>
        <v>#REF!</v>
      </c>
      <c r="AN56" s="35" t="e">
        <f>#REF!-'CFS 3Q2022'!AN56</f>
        <v>#REF!</v>
      </c>
      <c r="AO56" s="35" t="e">
        <f>#REF!-'CFS 3Q2022'!AO56</f>
        <v>#REF!</v>
      </c>
      <c r="AP56" s="35" t="e">
        <f>#REF!-'CFS 3Q2022'!AP56</f>
        <v>#REF!</v>
      </c>
      <c r="AQ56" s="353" t="e">
        <f>#REF!-'CFS 3Q2022'!AQ56</f>
        <v>#REF!</v>
      </c>
      <c r="AR56" s="355" t="e">
        <f>#REF!-'CFS 3Q2022'!AR56</f>
        <v>#REF!</v>
      </c>
      <c r="AS56" s="35" t="e">
        <f>#REF!-'CFS 3Q2022'!AS56</f>
        <v>#REF!</v>
      </c>
      <c r="AT56" s="35" t="e">
        <f>#REF!-'CFS 3Q2022'!AT56</f>
        <v>#REF!</v>
      </c>
      <c r="AU56" s="35" t="e">
        <f>#REF!-'CFS 3Q2022'!AU56</f>
        <v>#REF!</v>
      </c>
      <c r="AV56" s="353" t="e">
        <f>#REF!-'CFS 3Q2022'!AV56</f>
        <v>#REF!</v>
      </c>
    </row>
    <row r="57" spans="2:48" outlineLevel="1" x14ac:dyDescent="0.3">
      <c r="B57" s="200" t="s">
        <v>312</v>
      </c>
      <c r="C57" s="356"/>
      <c r="D57" s="299" t="e">
        <f>#REF!-'CFS 3Q2022'!D57</f>
        <v>#REF!</v>
      </c>
      <c r="E57" s="299" t="e">
        <f>#REF!-'CFS 3Q2022'!E57</f>
        <v>#REF!</v>
      </c>
      <c r="F57" s="146" t="e">
        <f>#REF!-'CFS 3Q2022'!F57</f>
        <v>#REF!</v>
      </c>
      <c r="G57" s="146" t="e">
        <f>#REF!-'CFS 3Q2022'!G57</f>
        <v>#REF!</v>
      </c>
      <c r="H57" s="122" t="e">
        <f>#REF!-'CFS 3Q2022'!H57</f>
        <v>#REF!</v>
      </c>
      <c r="I57" s="299" t="e">
        <f>#REF!-'CFS 3Q2022'!I57</f>
        <v>#REF!</v>
      </c>
      <c r="J57" s="146" t="e">
        <f>#REF!-'CFS 3Q2022'!J57</f>
        <v>#REF!</v>
      </c>
      <c r="K57" s="146" t="e">
        <f>#REF!-'CFS 3Q2022'!K57</f>
        <v>#REF!</v>
      </c>
      <c r="L57" s="146" t="e">
        <f>#REF!-'CFS 3Q2022'!L57</f>
        <v>#REF!</v>
      </c>
      <c r="M57" s="122" t="e">
        <f>#REF!-'CFS 3Q2022'!M57</f>
        <v>#REF!</v>
      </c>
      <c r="N57" s="299" t="e">
        <f>#REF!-'CFS 3Q2022'!N57</f>
        <v>#REF!</v>
      </c>
      <c r="O57" s="146" t="e">
        <f>#REF!-'CFS 3Q2022'!O57</f>
        <v>#REF!</v>
      </c>
      <c r="P57" s="146" t="e">
        <f>#REF!-'CFS 3Q2022'!P57</f>
        <v>#REF!</v>
      </c>
      <c r="Q57" s="146" t="e">
        <f>#REF!-'CFS 3Q2022'!Q57</f>
        <v>#REF!</v>
      </c>
      <c r="R57" s="122" t="e">
        <f>#REF!-'CFS 3Q2022'!R57</f>
        <v>#REF!</v>
      </c>
      <c r="S57" s="299" t="e">
        <f>#REF!-'CFS 3Q2022'!S57</f>
        <v>#REF!</v>
      </c>
      <c r="T57" s="146" t="e">
        <f>#REF!-'CFS 3Q2022'!T57</f>
        <v>#REF!</v>
      </c>
      <c r="U57" s="146" t="e">
        <f>#REF!-'CFS 3Q2022'!U57</f>
        <v>#REF!</v>
      </c>
      <c r="V57" s="146" t="e">
        <f>#REF!-'CFS 3Q2022'!V57</f>
        <v>#REF!</v>
      </c>
      <c r="W57" s="122" t="e">
        <f>#REF!-'CFS 3Q2022'!W57</f>
        <v>#REF!</v>
      </c>
      <c r="X57" s="299" t="e">
        <f>#REF!-'CFS 3Q2022'!X57</f>
        <v>#REF!</v>
      </c>
      <c r="Y57" s="299" t="e">
        <f>#REF!-'CFS 3Q2022'!Y57</f>
        <v>#REF!</v>
      </c>
      <c r="Z57" s="299" t="e">
        <f>#REF!-'CFS 3Q2022'!Z57</f>
        <v>#REF!</v>
      </c>
      <c r="AA57" s="299" t="e">
        <f>#REF!-'CFS 3Q2022'!AA57</f>
        <v>#REF!</v>
      </c>
      <c r="AB57" s="166" t="e">
        <f>#REF!-'CFS 3Q2022'!AB57</f>
        <v>#REF!</v>
      </c>
      <c r="AC57" s="299" t="e">
        <f>#REF!-'CFS 3Q2022'!AC57</f>
        <v>#REF!</v>
      </c>
      <c r="AD57" s="146" t="e">
        <f>#REF!-'CFS 3Q2022'!AD57</f>
        <v>#REF!</v>
      </c>
      <c r="AE57" s="146" t="e">
        <f>#REF!-'CFS 3Q2022'!AE57</f>
        <v>#REF!</v>
      </c>
      <c r="AF57" s="146" t="e">
        <f>#REF!-'CFS 3Q2022'!AF57</f>
        <v>#REF!</v>
      </c>
      <c r="AG57" s="166" t="e">
        <f>#REF!-'CFS 3Q2022'!AG57</f>
        <v>#REF!</v>
      </c>
      <c r="AH57" s="299" t="e">
        <f>#REF!-'CFS 3Q2022'!AH57</f>
        <v>#REF!</v>
      </c>
      <c r="AI57" s="146" t="e">
        <f>#REF!-'CFS 3Q2022'!AI57</f>
        <v>#REF!</v>
      </c>
      <c r="AJ57" s="146" t="e">
        <f>#REF!-'CFS 3Q2022'!AJ57</f>
        <v>#REF!</v>
      </c>
      <c r="AK57" s="146" t="e">
        <f>#REF!-'CFS 3Q2022'!AK57</f>
        <v>#REF!</v>
      </c>
      <c r="AL57" s="122" t="e">
        <f>#REF!-'CFS 3Q2022'!AL57</f>
        <v>#REF!</v>
      </c>
      <c r="AM57" s="299" t="e">
        <f>#REF!-'CFS 3Q2022'!AM57</f>
        <v>#REF!</v>
      </c>
      <c r="AN57" s="146" t="e">
        <f>#REF!-'CFS 3Q2022'!AN57</f>
        <v>#REF!</v>
      </c>
      <c r="AO57" s="146" t="e">
        <f>#REF!-'CFS 3Q2022'!AO57</f>
        <v>#REF!</v>
      </c>
      <c r="AP57" s="146" t="e">
        <f>#REF!-'CFS 3Q2022'!AP57</f>
        <v>#REF!</v>
      </c>
      <c r="AQ57" s="122" t="e">
        <f>#REF!-'CFS 3Q2022'!AQ57</f>
        <v>#REF!</v>
      </c>
      <c r="AR57" s="299" t="e">
        <f>#REF!-'CFS 3Q2022'!AR57</f>
        <v>#REF!</v>
      </c>
      <c r="AS57" s="146" t="e">
        <f>#REF!-'CFS 3Q2022'!AS57</f>
        <v>#REF!</v>
      </c>
      <c r="AT57" s="146" t="e">
        <f>#REF!-'CFS 3Q2022'!AT57</f>
        <v>#REF!</v>
      </c>
      <c r="AU57" s="146" t="e">
        <f>#REF!-'CFS 3Q2022'!AU57</f>
        <v>#REF!</v>
      </c>
      <c r="AV57" s="122" t="e">
        <f>#REF!-'CFS 3Q2022'!AV57</f>
        <v>#REF!</v>
      </c>
    </row>
    <row r="58" spans="2:48" outlineLevel="1" x14ac:dyDescent="0.3">
      <c r="B58" s="203" t="s">
        <v>313</v>
      </c>
      <c r="C58" s="364"/>
      <c r="D58" s="365" t="e">
        <f>#REF!-'CFS 3Q2022'!D58</f>
        <v>#REF!</v>
      </c>
      <c r="E58" s="365" t="e">
        <f>#REF!-'CFS 3Q2022'!E58</f>
        <v>#REF!</v>
      </c>
      <c r="F58" s="366" t="e">
        <f>#REF!-'CFS 3Q2022'!F58</f>
        <v>#REF!</v>
      </c>
      <c r="G58" s="366" t="e">
        <f>#REF!-'CFS 3Q2022'!G58</f>
        <v>#REF!</v>
      </c>
      <c r="H58" s="367" t="e">
        <f>#REF!-'CFS 3Q2022'!H58</f>
        <v>#REF!</v>
      </c>
      <c r="I58" s="365" t="e">
        <f>#REF!-'CFS 3Q2022'!I58</f>
        <v>#REF!</v>
      </c>
      <c r="J58" s="366" t="e">
        <f>#REF!-'CFS 3Q2022'!J58</f>
        <v>#REF!</v>
      </c>
      <c r="K58" s="366" t="e">
        <f>#REF!-'CFS 3Q2022'!K58</f>
        <v>#REF!</v>
      </c>
      <c r="L58" s="366" t="e">
        <f>#REF!-'CFS 3Q2022'!L58</f>
        <v>#REF!</v>
      </c>
      <c r="M58" s="367" t="e">
        <f>#REF!-'CFS 3Q2022'!M58</f>
        <v>#REF!</v>
      </c>
      <c r="N58" s="365" t="e">
        <f>#REF!-'CFS 3Q2022'!N58</f>
        <v>#REF!</v>
      </c>
      <c r="O58" s="366" t="e">
        <f>#REF!-'CFS 3Q2022'!O58</f>
        <v>#REF!</v>
      </c>
      <c r="P58" s="366" t="e">
        <f>#REF!-'CFS 3Q2022'!P58</f>
        <v>#REF!</v>
      </c>
      <c r="Q58" s="366" t="e">
        <f>#REF!-'CFS 3Q2022'!Q58</f>
        <v>#REF!</v>
      </c>
      <c r="R58" s="367" t="e">
        <f>#REF!-'CFS 3Q2022'!R58</f>
        <v>#REF!</v>
      </c>
      <c r="S58" s="365" t="e">
        <f>#REF!-'CFS 3Q2022'!S58</f>
        <v>#REF!</v>
      </c>
      <c r="T58" s="366" t="e">
        <f>#REF!-'CFS 3Q2022'!T58</f>
        <v>#REF!</v>
      </c>
      <c r="U58" s="366" t="e">
        <f>#REF!-'CFS 3Q2022'!U58</f>
        <v>#REF!</v>
      </c>
      <c r="V58" s="366" t="e">
        <f>#REF!-'CFS 3Q2022'!V58</f>
        <v>#REF!</v>
      </c>
      <c r="W58" s="367" t="e">
        <f>#REF!-'CFS 3Q2022'!W58</f>
        <v>#REF!</v>
      </c>
      <c r="X58" s="365" t="e">
        <f>#REF!-'CFS 3Q2022'!X58</f>
        <v>#REF!</v>
      </c>
      <c r="Y58" s="365" t="e">
        <f>#REF!-'CFS 3Q2022'!Y58</f>
        <v>#REF!</v>
      </c>
      <c r="Z58" s="365" t="e">
        <f>#REF!-'CFS 3Q2022'!Z58</f>
        <v>#REF!</v>
      </c>
      <c r="AA58" s="365" t="e">
        <f>#REF!-'CFS 3Q2022'!AA58</f>
        <v>#REF!</v>
      </c>
      <c r="AB58" s="368" t="e">
        <f>#REF!-'CFS 3Q2022'!AB58</f>
        <v>#REF!</v>
      </c>
      <c r="AC58" s="365" t="e">
        <f>#REF!-'CFS 3Q2022'!AC58</f>
        <v>#REF!</v>
      </c>
      <c r="AD58" s="365" t="e">
        <f>#REF!-'CFS 3Q2022'!AD58</f>
        <v>#REF!</v>
      </c>
      <c r="AE58" s="365" t="e">
        <f>#REF!-'CFS 3Q2022'!AE58</f>
        <v>#REF!</v>
      </c>
      <c r="AF58" s="365" t="e">
        <f>#REF!-'CFS 3Q2022'!AF58</f>
        <v>#REF!</v>
      </c>
      <c r="AG58" s="368" t="e">
        <f>#REF!-'CFS 3Q2022'!AG58</f>
        <v>#REF!</v>
      </c>
      <c r="AH58" s="365" t="e">
        <f>#REF!-'CFS 3Q2022'!AH58</f>
        <v>#REF!</v>
      </c>
      <c r="AI58" s="365" t="e">
        <f>#REF!-'CFS 3Q2022'!AI58</f>
        <v>#REF!</v>
      </c>
      <c r="AJ58" s="365" t="e">
        <f>#REF!-'CFS 3Q2022'!AJ58</f>
        <v>#REF!</v>
      </c>
      <c r="AK58" s="365" t="e">
        <f>#REF!-'CFS 3Q2022'!AK58</f>
        <v>#REF!</v>
      </c>
      <c r="AL58" s="394" t="e">
        <f>#REF!-'CFS 3Q2022'!AL58</f>
        <v>#REF!</v>
      </c>
      <c r="AM58" s="365" t="e">
        <f>#REF!-'CFS 3Q2022'!AM58</f>
        <v>#REF!</v>
      </c>
      <c r="AN58" s="366" t="e">
        <f>#REF!-'CFS 3Q2022'!AN58</f>
        <v>#REF!</v>
      </c>
      <c r="AO58" s="366" t="e">
        <f>#REF!-'CFS 3Q2022'!AO58</f>
        <v>#REF!</v>
      </c>
      <c r="AP58" s="366" t="e">
        <f>#REF!-'CFS 3Q2022'!AP58</f>
        <v>#REF!</v>
      </c>
      <c r="AQ58" s="367" t="e">
        <f>#REF!-'CFS 3Q2022'!AQ58</f>
        <v>#REF!</v>
      </c>
      <c r="AR58" s="365" t="e">
        <f>#REF!-'CFS 3Q2022'!AR58</f>
        <v>#REF!</v>
      </c>
      <c r="AS58" s="366" t="e">
        <f>#REF!-'CFS 3Q2022'!AS58</f>
        <v>#REF!</v>
      </c>
      <c r="AT58" s="366" t="e">
        <f>#REF!-'CFS 3Q2022'!AT58</f>
        <v>#REF!</v>
      </c>
      <c r="AU58" s="366" t="e">
        <f>#REF!-'CFS 3Q2022'!AU58</f>
        <v>#REF!</v>
      </c>
      <c r="AV58" s="367" t="e">
        <f>#REF!-'CFS 3Q2022'!AV58</f>
        <v>#REF!</v>
      </c>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t="e">
        <f>#REF!-'CFS 3Q2022'!AL59</f>
        <v>#REF!</v>
      </c>
    </row>
    <row r="60" spans="2:48" x14ac:dyDescent="0.3">
      <c r="B60" s="308" t="s">
        <v>330</v>
      </c>
      <c r="D60" s="399"/>
      <c r="E60" s="399"/>
      <c r="I60" s="399"/>
      <c r="J60" s="399"/>
      <c r="N60" s="399"/>
      <c r="O60" s="399"/>
      <c r="S60" s="399"/>
      <c r="T60" s="399"/>
      <c r="X60" s="399"/>
      <c r="Y60" s="399"/>
      <c r="AC60" s="399"/>
      <c r="AD60" s="399"/>
      <c r="AH60" s="399"/>
      <c r="AI60" s="399"/>
      <c r="AL60" s="29" t="e">
        <f>#REF!-'CFS 3Q2022'!AL60</f>
        <v>#REF!</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t="e">
        <f>#REF!-'CFS 3Q2022'!AL61</f>
        <v>#REF!</v>
      </c>
    </row>
    <row r="62" spans="2:48" s="23" customFormat="1" x14ac:dyDescent="0.3">
      <c r="B62" s="395" t="s">
        <v>332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t="e">
        <f>#REF!-'CFS 3Q2022'!AL62</f>
        <v>#REF!</v>
      </c>
      <c r="AM62" s="408"/>
      <c r="AN62" s="48"/>
      <c r="AO62" s="309"/>
      <c r="AP62" s="309"/>
      <c r="AQ62" s="309"/>
      <c r="AR62" s="48"/>
      <c r="AS62" s="48"/>
      <c r="AT62" s="309"/>
      <c r="AU62" s="309"/>
      <c r="AV62" s="309"/>
    </row>
    <row r="63" spans="2:48" s="23" customFormat="1" x14ac:dyDescent="0.3">
      <c r="B63" s="311" t="s">
        <v>333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t="e">
        <f>#REF!-'CFS 3Q2022'!AL63</f>
        <v>#REF!</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403" t="e">
        <f>#REF!-'CFS 3Q2022'!AL64</f>
        <v>#REF!</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425" t="e">
        <f>#REF!-'CFS 3Q2022'!AL65</f>
        <v>#REF!</v>
      </c>
      <c r="AM65" s="48"/>
      <c r="AN65" s="48"/>
      <c r="AO65" s="309"/>
      <c r="AP65" s="309"/>
      <c r="AQ65" s="309"/>
      <c r="AR65" s="48"/>
      <c r="AS65" s="48"/>
      <c r="AT65" s="309"/>
      <c r="AU65" s="309"/>
      <c r="AV65" s="309"/>
    </row>
  </sheetData>
  <dataConsolidate/>
  <mergeCells count="27">
    <mergeCell ref="B18:C18"/>
    <mergeCell ref="B3:C3"/>
    <mergeCell ref="B5:C5"/>
    <mergeCell ref="B14:C14"/>
    <mergeCell ref="B15:C15"/>
    <mergeCell ref="B17:C17"/>
    <mergeCell ref="B40:C40"/>
    <mergeCell ref="B21:C21"/>
    <mergeCell ref="B22:C22"/>
    <mergeCell ref="B23:C23"/>
    <mergeCell ref="B25:C25"/>
    <mergeCell ref="B26:C26"/>
    <mergeCell ref="B27:C27"/>
    <mergeCell ref="B28:C28"/>
    <mergeCell ref="B29:C29"/>
    <mergeCell ref="B36:C36"/>
    <mergeCell ref="B37:C37"/>
    <mergeCell ref="B39:C39"/>
    <mergeCell ref="B51:C51"/>
    <mergeCell ref="B52:C52"/>
    <mergeCell ref="B55:C55"/>
    <mergeCell ref="B41:C41"/>
    <mergeCell ref="B42:C42"/>
    <mergeCell ref="B44:C44"/>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E1227-DF86-4379-9BFC-8C3AA076CB51}">
  <sheetPr>
    <tabColor theme="6" tint="0.39997558519241921"/>
  </sheetPr>
  <dimension ref="A1"/>
  <sheetViews>
    <sheetView showGridLines="0" workbookViewId="0">
      <selection activeCell="AA123" sqref="AA123"/>
    </sheetView>
  </sheetViews>
  <sheetFormatPr defaultRowHeight="14.4"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06ABB-B1D2-46EF-A5AA-3DE8FA9B78D2}">
  <sheetPr>
    <tabColor theme="6" tint="0.39997558519241921"/>
  </sheetPr>
  <dimension ref="B2:G38"/>
  <sheetViews>
    <sheetView showGridLines="0" workbookViewId="0">
      <selection activeCell="AA123" sqref="AA123"/>
    </sheetView>
  </sheetViews>
  <sheetFormatPr defaultRowHeight="14.4" x14ac:dyDescent="0.3"/>
  <cols>
    <col min="1" max="1" width="2.44140625" customWidth="1"/>
    <col min="2" max="2" width="28.33203125" customWidth="1"/>
    <col min="3" max="3" width="12.5546875" customWidth="1"/>
    <col min="4" max="4" width="2.33203125" customWidth="1"/>
    <col min="5" max="5" width="36.109375" customWidth="1"/>
    <col min="6" max="6" width="11.5546875" customWidth="1"/>
    <col min="7" max="7" width="86.109375" customWidth="1"/>
  </cols>
  <sheetData>
    <row r="2" spans="2:7" ht="30" customHeight="1" x14ac:dyDescent="0.3">
      <c r="B2" s="639" t="s">
        <v>446</v>
      </c>
      <c r="C2" s="640"/>
      <c r="D2" s="640"/>
      <c r="E2" s="640"/>
      <c r="F2" s="640"/>
      <c r="G2" s="641"/>
    </row>
    <row r="3" spans="2:7" ht="8.4" customHeight="1" x14ac:dyDescent="0.3"/>
    <row r="4" spans="2:7" ht="15.6" x14ac:dyDescent="0.3">
      <c r="B4" s="583" t="s">
        <v>335</v>
      </c>
      <c r="C4" s="638"/>
      <c r="E4" s="583" t="s">
        <v>350</v>
      </c>
      <c r="F4" s="638"/>
      <c r="G4" s="458" t="s">
        <v>384</v>
      </c>
    </row>
    <row r="5" spans="2:7" ht="14.4" customHeight="1" x14ac:dyDescent="0.3">
      <c r="B5" s="308" t="s">
        <v>338</v>
      </c>
      <c r="C5" s="474">
        <v>28.6</v>
      </c>
      <c r="E5" s="432" t="s">
        <v>351</v>
      </c>
      <c r="F5" s="399"/>
      <c r="G5" s="459"/>
    </row>
    <row r="6" spans="2:7" ht="16.2" customHeight="1" x14ac:dyDescent="0.3">
      <c r="B6" s="308" t="s">
        <v>339</v>
      </c>
      <c r="C6" s="421">
        <v>30.5</v>
      </c>
      <c r="E6" s="433" t="s">
        <v>352</v>
      </c>
      <c r="F6" s="476">
        <v>109</v>
      </c>
      <c r="G6" s="459" t="s">
        <v>397</v>
      </c>
    </row>
    <row r="7" spans="2:7" ht="16.2" x14ac:dyDescent="0.45">
      <c r="B7" s="308" t="s">
        <v>340</v>
      </c>
      <c r="C7" s="421">
        <v>26.9</v>
      </c>
      <c r="E7" s="433" t="s">
        <v>353</v>
      </c>
      <c r="F7" s="444">
        <f>'IS (F1Q23)'!X31</f>
        <v>1152.9000000000001</v>
      </c>
      <c r="G7" s="459" t="s">
        <v>398</v>
      </c>
    </row>
    <row r="8" spans="2:7" x14ac:dyDescent="0.3">
      <c r="B8" s="308" t="s">
        <v>447</v>
      </c>
      <c r="C8" s="421" t="s">
        <v>448</v>
      </c>
      <c r="E8" s="434" t="s">
        <v>354</v>
      </c>
      <c r="F8" s="445">
        <f>F7*F6</f>
        <v>125666.1</v>
      </c>
      <c r="G8" s="459"/>
    </row>
    <row r="9" spans="2:7" x14ac:dyDescent="0.3">
      <c r="B9" s="180" t="s">
        <v>342</v>
      </c>
      <c r="C9" s="475">
        <v>30</v>
      </c>
      <c r="E9" s="442" t="s">
        <v>373</v>
      </c>
      <c r="F9" s="446"/>
      <c r="G9" s="459"/>
    </row>
    <row r="10" spans="2:7" ht="16.2" x14ac:dyDescent="0.45">
      <c r="B10" s="180" t="s">
        <v>336</v>
      </c>
      <c r="C10" s="422">
        <v>0</v>
      </c>
      <c r="E10" s="433" t="s">
        <v>355</v>
      </c>
      <c r="F10" s="447">
        <v>0.86</v>
      </c>
      <c r="G10" s="459" t="s">
        <v>399</v>
      </c>
    </row>
    <row r="11" spans="2:7" ht="15" customHeight="1" x14ac:dyDescent="0.3">
      <c r="B11" s="423" t="s">
        <v>337</v>
      </c>
      <c r="C11" s="424">
        <f>C9*('IS (F1Q23)'!AC34+'IS (F1Q23)'!Y34+'IS (F1Q23)'!Z34+'IS (F1Q23)'!AA34)</f>
        <v>108.3836872064665</v>
      </c>
      <c r="E11" s="433" t="s">
        <v>356</v>
      </c>
      <c r="F11" s="448">
        <v>0.35</v>
      </c>
      <c r="G11" s="459" t="s">
        <v>401</v>
      </c>
    </row>
    <row r="12" spans="2:7" ht="15" customHeight="1" x14ac:dyDescent="0.3">
      <c r="E12" s="433" t="s">
        <v>357</v>
      </c>
      <c r="F12" s="449">
        <v>0.19819999999999999</v>
      </c>
      <c r="G12" s="459" t="s">
        <v>402</v>
      </c>
    </row>
    <row r="13" spans="2:7" ht="15" customHeight="1" x14ac:dyDescent="0.3">
      <c r="B13" s="642" t="s">
        <v>449</v>
      </c>
      <c r="C13" s="643"/>
      <c r="E13" s="435" t="s">
        <v>387</v>
      </c>
      <c r="F13" s="450">
        <f>F11*F12</f>
        <v>6.9369999999999987E-2</v>
      </c>
      <c r="G13" s="459" t="s">
        <v>386</v>
      </c>
    </row>
    <row r="14" spans="2:7" x14ac:dyDescent="0.3">
      <c r="B14" s="644"/>
      <c r="C14" s="645"/>
      <c r="E14" s="433" t="s">
        <v>380</v>
      </c>
      <c r="F14" s="473">
        <v>4.4499999999999998E-2</v>
      </c>
      <c r="G14" s="459" t="s">
        <v>394</v>
      </c>
    </row>
    <row r="15" spans="2:7" x14ac:dyDescent="0.3">
      <c r="B15" s="644"/>
      <c r="C15" s="645"/>
      <c r="E15" s="434" t="s">
        <v>374</v>
      </c>
      <c r="F15" s="451">
        <f>F14+(F10*F13)</f>
        <v>0.10415819999999998</v>
      </c>
      <c r="G15" s="459"/>
    </row>
    <row r="16" spans="2:7" x14ac:dyDescent="0.3">
      <c r="B16" s="644"/>
      <c r="C16" s="645"/>
      <c r="E16" s="308" t="s">
        <v>358</v>
      </c>
      <c r="F16" s="452">
        <f>F8/(F8+'BS (F1Q23)'!X28+'BS (F1Q23)'!X31)</f>
        <v>0.89383471759793043</v>
      </c>
      <c r="G16" s="459"/>
    </row>
    <row r="17" spans="2:7" ht="14.4" customHeight="1" x14ac:dyDescent="0.3">
      <c r="B17" s="644"/>
      <c r="C17" s="645"/>
      <c r="E17" s="308" t="s">
        <v>359</v>
      </c>
      <c r="F17" s="452">
        <f>'IS (F1Q23)'!X145*4</f>
        <v>3.4621403474819734E-2</v>
      </c>
      <c r="G17" s="459"/>
    </row>
    <row r="18" spans="2:7" ht="14.4" customHeight="1" x14ac:dyDescent="0.3">
      <c r="B18" s="644"/>
      <c r="C18" s="645"/>
      <c r="E18" s="308" t="s">
        <v>2</v>
      </c>
      <c r="F18" s="453">
        <f>'IS (F1Q23)'!X143</f>
        <v>0.24651982378854645</v>
      </c>
      <c r="G18" s="459"/>
    </row>
    <row r="19" spans="2:7" ht="14.4" customHeight="1" x14ac:dyDescent="0.3">
      <c r="B19" s="644"/>
      <c r="C19" s="645"/>
      <c r="E19" s="308" t="s">
        <v>360</v>
      </c>
      <c r="F19" s="452">
        <f>F17*(1-F18)</f>
        <v>2.6086541190895006E-2</v>
      </c>
      <c r="G19" s="459"/>
    </row>
    <row r="20" spans="2:7" ht="14.4" customHeight="1" x14ac:dyDescent="0.3">
      <c r="B20" s="644"/>
      <c r="C20" s="645"/>
      <c r="E20" s="436" t="s">
        <v>361</v>
      </c>
      <c r="F20" s="454">
        <f>(F16*F15)+((1-F16)*F19)</f>
        <v>9.586970029493333E-2</v>
      </c>
      <c r="G20" s="459"/>
    </row>
    <row r="21" spans="2:7" ht="14.4" customHeight="1" x14ac:dyDescent="0.3">
      <c r="B21" s="644"/>
      <c r="C21" s="645"/>
      <c r="E21" s="648" t="s">
        <v>372</v>
      </c>
      <c r="F21" s="649"/>
      <c r="G21" s="459"/>
    </row>
    <row r="22" spans="2:7" ht="14.4" customHeight="1" x14ac:dyDescent="0.3">
      <c r="B22" s="644"/>
      <c r="C22" s="645"/>
      <c r="E22" s="308" t="s">
        <v>404</v>
      </c>
      <c r="F22" s="288">
        <v>0.04</v>
      </c>
      <c r="G22" s="650" t="s">
        <v>397</v>
      </c>
    </row>
    <row r="23" spans="2:7" ht="14.4" customHeight="1" x14ac:dyDescent="0.3">
      <c r="B23" s="644"/>
      <c r="C23" s="645"/>
      <c r="E23" s="308" t="s">
        <v>362</v>
      </c>
      <c r="F23" s="288">
        <v>0.04</v>
      </c>
      <c r="G23" s="650"/>
    </row>
    <row r="24" spans="2:7" ht="14.4" customHeight="1" x14ac:dyDescent="0.3">
      <c r="B24" s="644"/>
      <c r="C24" s="645"/>
      <c r="E24" s="308" t="s">
        <v>363</v>
      </c>
      <c r="F24" s="288">
        <v>0.02</v>
      </c>
      <c r="G24" s="650"/>
    </row>
    <row r="25" spans="2:7" ht="14.4" customHeight="1" x14ac:dyDescent="0.3">
      <c r="B25" s="644"/>
      <c r="C25" s="645"/>
      <c r="E25" s="443" t="s">
        <v>375</v>
      </c>
      <c r="F25" s="455"/>
      <c r="G25" s="459"/>
    </row>
    <row r="26" spans="2:7" ht="14.4" customHeight="1" x14ac:dyDescent="0.3">
      <c r="B26" s="646"/>
      <c r="C26" s="647"/>
      <c r="E26" s="433" t="s">
        <v>377</v>
      </c>
      <c r="F26" s="447">
        <v>0.83</v>
      </c>
      <c r="G26" s="459" t="s">
        <v>400</v>
      </c>
    </row>
    <row r="27" spans="2:7" ht="14.4" customHeight="1" x14ac:dyDescent="0.3">
      <c r="B27" s="466"/>
      <c r="C27" s="466"/>
      <c r="E27" s="433" t="s">
        <v>385</v>
      </c>
      <c r="F27" s="448">
        <v>0.34</v>
      </c>
      <c r="G27" s="459" t="s">
        <v>405</v>
      </c>
    </row>
    <row r="28" spans="2:7" ht="14.4" customHeight="1" x14ac:dyDescent="0.3">
      <c r="B28" s="583" t="s">
        <v>390</v>
      </c>
      <c r="C28" s="638"/>
      <c r="E28" s="433" t="s">
        <v>376</v>
      </c>
      <c r="F28" s="449">
        <v>0.19500000000000001</v>
      </c>
      <c r="G28" s="459" t="s">
        <v>395</v>
      </c>
    </row>
    <row r="29" spans="2:7" x14ac:dyDescent="0.3">
      <c r="B29" s="395" t="s">
        <v>391</v>
      </c>
      <c r="C29" s="468">
        <f>C11</f>
        <v>108.3836872064665</v>
      </c>
      <c r="E29" s="435" t="s">
        <v>388</v>
      </c>
      <c r="F29" s="450">
        <f>F27*F28</f>
        <v>6.6300000000000012E-2</v>
      </c>
      <c r="G29" s="459"/>
    </row>
    <row r="30" spans="2:7" x14ac:dyDescent="0.3">
      <c r="B30" s="308" t="s">
        <v>392</v>
      </c>
      <c r="C30" s="467">
        <f>F37</f>
        <v>109.38913342103555</v>
      </c>
      <c r="E30" s="433" t="s">
        <v>379</v>
      </c>
      <c r="F30" s="490">
        <v>3.9E-2</v>
      </c>
      <c r="G30" s="459" t="s">
        <v>396</v>
      </c>
    </row>
    <row r="31" spans="2:7" x14ac:dyDescent="0.3">
      <c r="B31" s="469" t="s">
        <v>393</v>
      </c>
      <c r="C31" s="470">
        <f>(C29+C30)/2</f>
        <v>108.88641031375103</v>
      </c>
      <c r="E31" s="435" t="s">
        <v>378</v>
      </c>
      <c r="F31" s="450">
        <f>F30+(F26*F29)</f>
        <v>9.4029000000000001E-2</v>
      </c>
      <c r="G31" s="459"/>
    </row>
    <row r="32" spans="2:7" x14ac:dyDescent="0.3">
      <c r="E32" s="319" t="s">
        <v>364</v>
      </c>
      <c r="F32" s="465">
        <f>(F16*(F30+(F26*(F27*F28))))+((1-F16)*F19)</f>
        <v>8.6815869673440391E-2</v>
      </c>
      <c r="G32" s="459"/>
    </row>
    <row r="33" spans="2:7" ht="15.6" x14ac:dyDescent="0.3">
      <c r="B33" s="583" t="s">
        <v>389</v>
      </c>
      <c r="C33" s="638"/>
      <c r="E33" s="437" t="s">
        <v>349</v>
      </c>
      <c r="F33" s="399"/>
      <c r="G33" s="459"/>
    </row>
    <row r="34" spans="2:7" x14ac:dyDescent="0.3">
      <c r="B34" s="395" t="s">
        <v>367</v>
      </c>
      <c r="C34" s="438">
        <v>1.6299999999999999E-2</v>
      </c>
      <c r="E34" s="308" t="s">
        <v>383</v>
      </c>
      <c r="F34" s="456">
        <f>'CFS (F1Q23)'!AB44+'CFS (F1Q23)'!AG44+'CFS (F1Q23)'!AL44+'CFS (F1Q23)'!AQ44+'CFS (F1Q23)'!AV44</f>
        <v>18163.308318244621</v>
      </c>
      <c r="G34" s="459"/>
    </row>
    <row r="35" spans="2:7" x14ac:dyDescent="0.3">
      <c r="B35" s="308" t="s">
        <v>368</v>
      </c>
      <c r="C35" s="439">
        <v>8.7099999999999997E-2</v>
      </c>
      <c r="E35" s="308" t="s">
        <v>382</v>
      </c>
      <c r="F35" s="456">
        <f>(((('CFS (F1Q23)'!AV22*(1+F23))-(F24*'IS (F1Q23)'!AV8*(1+F22))+(F19*('BS (F1Q23)'!AV28+'BS (F1Q23)'!AV31))))/(F32-F22))/(1+F32)^5</f>
        <v>119283.52360286725</v>
      </c>
      <c r="G35" s="459" t="s">
        <v>397</v>
      </c>
    </row>
    <row r="36" spans="2:7" ht="16.2" x14ac:dyDescent="0.45">
      <c r="B36" s="308" t="s">
        <v>369</v>
      </c>
      <c r="C36" s="440">
        <f>C31</f>
        <v>108.88641031375103</v>
      </c>
      <c r="E36" s="308" t="s">
        <v>365</v>
      </c>
      <c r="F36" s="457">
        <f>'CFS (F1Q23)'!X48</f>
        <v>-9.8292132882296741</v>
      </c>
      <c r="G36" s="459" t="s">
        <v>397</v>
      </c>
    </row>
    <row r="37" spans="2:7" x14ac:dyDescent="0.3">
      <c r="B37" s="308" t="s">
        <v>370</v>
      </c>
      <c r="C37" s="440">
        <f>C36*(1+(C34+(2*C35)))</f>
        <v>129.62927147852062</v>
      </c>
      <c r="E37" s="461" t="s">
        <v>366</v>
      </c>
      <c r="F37" s="462">
        <f>(F35+F34)/F7+F36</f>
        <v>109.38913342103555</v>
      </c>
      <c r="G37" s="459"/>
    </row>
    <row r="38" spans="2:7" x14ac:dyDescent="0.3">
      <c r="B38" s="311" t="s">
        <v>371</v>
      </c>
      <c r="C38" s="441">
        <f>C36*(1+(C34-(2*C35)))</f>
        <v>91.693246125209754</v>
      </c>
      <c r="E38" s="463" t="s">
        <v>381</v>
      </c>
      <c r="F38" s="464">
        <f>F6-F37</f>
        <v>-0.38913342103555237</v>
      </c>
      <c r="G38" s="460"/>
    </row>
  </sheetData>
  <mergeCells count="8">
    <mergeCell ref="B28:C28"/>
    <mergeCell ref="B33:C33"/>
    <mergeCell ref="B2:G2"/>
    <mergeCell ref="B4:C4"/>
    <mergeCell ref="E4:F4"/>
    <mergeCell ref="B13:C26"/>
    <mergeCell ref="E21:F21"/>
    <mergeCell ref="G22:G24"/>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10A9D-E1C0-418C-A235-8827F9C81E4C}">
  <dimension ref="B1:P29"/>
  <sheetViews>
    <sheetView showGridLines="0" zoomScale="120" zoomScaleNormal="120" workbookViewId="0">
      <selection activeCell="B29" sqref="B29:G29"/>
    </sheetView>
  </sheetViews>
  <sheetFormatPr defaultRowHeight="14.4" x14ac:dyDescent="0.3"/>
  <cols>
    <col min="1" max="1" width="0.88671875" customWidth="1"/>
    <col min="2" max="2" width="22" customWidth="1"/>
    <col min="9" max="10" width="12.33203125" customWidth="1"/>
    <col min="11" max="12" width="8.88671875" customWidth="1"/>
    <col min="15" max="16" width="14.33203125" customWidth="1"/>
  </cols>
  <sheetData>
    <row r="1" spans="2:14" ht="15" customHeight="1" x14ac:dyDescent="0.3"/>
    <row r="2" spans="2:14" ht="15.6" x14ac:dyDescent="0.3">
      <c r="B2" s="505" t="s">
        <v>453</v>
      </c>
      <c r="C2" s="668" t="s">
        <v>424</v>
      </c>
      <c r="D2" s="669"/>
      <c r="E2" s="669"/>
      <c r="F2" s="669"/>
      <c r="G2" s="669"/>
      <c r="H2" s="669"/>
      <c r="I2" s="669"/>
      <c r="J2" s="670"/>
      <c r="K2" s="671" t="s">
        <v>425</v>
      </c>
      <c r="L2" s="672"/>
      <c r="M2" s="672"/>
      <c r="N2" s="673"/>
    </row>
    <row r="3" spans="2:14" s="488" customFormat="1" ht="17.7" customHeight="1" x14ac:dyDescent="0.3">
      <c r="B3" s="487"/>
      <c r="C3" s="675" t="s">
        <v>409</v>
      </c>
      <c r="D3" s="676"/>
      <c r="E3" s="676"/>
      <c r="F3" s="676"/>
      <c r="G3" s="515"/>
      <c r="H3" s="518"/>
      <c r="I3" s="507" t="s">
        <v>410</v>
      </c>
      <c r="J3" s="508" t="s">
        <v>421</v>
      </c>
      <c r="K3" s="677" t="s">
        <v>410</v>
      </c>
      <c r="L3" s="678"/>
      <c r="M3" s="679" t="s">
        <v>421</v>
      </c>
      <c r="N3" s="680"/>
    </row>
    <row r="4" spans="2:14" x14ac:dyDescent="0.3">
      <c r="B4" s="482"/>
      <c r="C4" s="481" t="s">
        <v>412</v>
      </c>
      <c r="D4" s="481" t="s">
        <v>413</v>
      </c>
      <c r="E4" s="481" t="s">
        <v>414</v>
      </c>
      <c r="F4" s="481" t="s">
        <v>423</v>
      </c>
      <c r="G4" s="481" t="s">
        <v>418</v>
      </c>
      <c r="H4" s="510" t="s">
        <v>422</v>
      </c>
      <c r="I4" s="509" t="s">
        <v>415</v>
      </c>
      <c r="J4" s="510" t="s">
        <v>422</v>
      </c>
      <c r="K4" s="483" t="s">
        <v>415</v>
      </c>
      <c r="L4" s="514" t="s">
        <v>416</v>
      </c>
      <c r="M4" s="513" t="s">
        <v>422</v>
      </c>
      <c r="N4" s="484" t="s">
        <v>416</v>
      </c>
    </row>
    <row r="5" spans="2:14" x14ac:dyDescent="0.3">
      <c r="B5" s="486" t="s">
        <v>417</v>
      </c>
      <c r="C5" s="521">
        <v>8.4</v>
      </c>
      <c r="D5" s="521">
        <v>9.36</v>
      </c>
      <c r="E5" s="521">
        <v>9.4700000000000006</v>
      </c>
      <c r="F5" s="521">
        <v>9.86</v>
      </c>
      <c r="G5" s="516">
        <f>SUM(C5:F5)</f>
        <v>37.089999999999996</v>
      </c>
      <c r="H5" s="519">
        <v>44.75</v>
      </c>
      <c r="I5" s="511">
        <f>(35.475+36.12)/2</f>
        <v>35.797499999999999</v>
      </c>
      <c r="J5" s="519">
        <f>+(42.925+45.309)/2</f>
        <v>44.116999999999997</v>
      </c>
      <c r="K5" s="558">
        <f>(35.475+36.12)/2</f>
        <v>35.797499999999999</v>
      </c>
      <c r="L5" s="559">
        <f>K5-I5</f>
        <v>0</v>
      </c>
      <c r="M5" s="560">
        <f>(35.475+36.12)/2</f>
        <v>35.797499999999999</v>
      </c>
      <c r="N5" s="561">
        <f>M5-J5</f>
        <v>-8.3194999999999979</v>
      </c>
    </row>
    <row r="6" spans="2:14" x14ac:dyDescent="0.3">
      <c r="B6" s="485" t="s">
        <v>411</v>
      </c>
      <c r="C6" s="525">
        <v>0.65</v>
      </c>
      <c r="D6" s="525">
        <v>1</v>
      </c>
      <c r="E6" s="525">
        <v>1.02</v>
      </c>
      <c r="F6" s="525">
        <v>0.94</v>
      </c>
      <c r="G6" s="517">
        <f>SUM(C6:F6)</f>
        <v>3.61</v>
      </c>
      <c r="H6" s="520">
        <v>4.8099999999999996</v>
      </c>
      <c r="I6" s="512">
        <f>(3.4+3.55)/2</f>
        <v>3.4749999999999996</v>
      </c>
      <c r="J6" s="520">
        <f>(4.49+5.1)/2</f>
        <v>4.7949999999999999</v>
      </c>
      <c r="K6" s="562">
        <v>3.4</v>
      </c>
      <c r="L6" s="563">
        <f>K6-I6</f>
        <v>-7.4999999999999734E-2</v>
      </c>
      <c r="M6" s="564">
        <v>3.4</v>
      </c>
      <c r="N6" s="565">
        <f>M6-J6</f>
        <v>-1.395</v>
      </c>
    </row>
    <row r="7" spans="2:14" x14ac:dyDescent="0.3">
      <c r="B7" s="495"/>
      <c r="C7" s="496"/>
      <c r="D7" s="496"/>
      <c r="E7" s="496"/>
      <c r="F7" s="497" t="s">
        <v>419</v>
      </c>
      <c r="G7" s="498">
        <v>114.5</v>
      </c>
      <c r="H7" s="498"/>
      <c r="I7" s="496"/>
      <c r="J7" s="496"/>
      <c r="K7" s="497"/>
      <c r="L7" s="498"/>
      <c r="M7" s="497"/>
      <c r="N7" s="499"/>
    </row>
    <row r="8" spans="2:14" x14ac:dyDescent="0.3">
      <c r="B8" s="500"/>
      <c r="C8" s="501"/>
      <c r="D8" s="501"/>
      <c r="E8" s="501"/>
      <c r="F8" s="502" t="s">
        <v>420</v>
      </c>
      <c r="G8" s="503">
        <f>G7/G6</f>
        <v>31.717451523545709</v>
      </c>
      <c r="H8" s="503"/>
      <c r="I8" s="501"/>
      <c r="J8" s="501"/>
      <c r="K8" s="501"/>
      <c r="L8" s="501"/>
      <c r="M8" s="501"/>
      <c r="N8" s="504"/>
    </row>
    <row r="9" spans="2:14" ht="15" customHeight="1" x14ac:dyDescent="0.3"/>
    <row r="10" spans="2:14" ht="15.6" x14ac:dyDescent="0.3">
      <c r="B10" s="505"/>
      <c r="C10" s="668" t="s">
        <v>424</v>
      </c>
      <c r="D10" s="669"/>
      <c r="E10" s="669"/>
      <c r="F10" s="669"/>
      <c r="G10" s="669"/>
      <c r="H10" s="669"/>
      <c r="I10" s="669"/>
      <c r="J10" s="670"/>
      <c r="K10" s="671" t="s">
        <v>425</v>
      </c>
      <c r="L10" s="672"/>
      <c r="M10" s="672"/>
      <c r="N10" s="673"/>
    </row>
    <row r="11" spans="2:14" ht="14.4" customHeight="1" x14ac:dyDescent="0.3">
      <c r="B11" s="663" t="s">
        <v>426</v>
      </c>
      <c r="C11" s="664"/>
      <c r="D11" s="664"/>
      <c r="E11" s="664"/>
      <c r="F11" s="664"/>
      <c r="G11" s="664"/>
      <c r="H11" s="664"/>
      <c r="I11" s="664"/>
      <c r="J11" s="664"/>
      <c r="K11" s="664"/>
      <c r="L11" s="664"/>
      <c r="M11" s="664"/>
      <c r="N11" s="674"/>
    </row>
    <row r="12" spans="2:14" x14ac:dyDescent="0.3">
      <c r="B12" s="482"/>
      <c r="C12" s="481" t="s">
        <v>412</v>
      </c>
      <c r="D12" s="481" t="s">
        <v>413</v>
      </c>
      <c r="E12" s="481" t="s">
        <v>414</v>
      </c>
      <c r="F12" s="481" t="s">
        <v>423</v>
      </c>
      <c r="G12" s="481" t="s">
        <v>418</v>
      </c>
      <c r="H12" s="510" t="s">
        <v>422</v>
      </c>
      <c r="I12" s="509" t="s">
        <v>415</v>
      </c>
      <c r="J12" s="510"/>
      <c r="K12" s="483" t="s">
        <v>415</v>
      </c>
      <c r="L12" s="514" t="s">
        <v>416</v>
      </c>
      <c r="M12" s="513" t="s">
        <v>422</v>
      </c>
      <c r="N12" s="484" t="s">
        <v>416</v>
      </c>
    </row>
    <row r="13" spans="2:14" x14ac:dyDescent="0.3">
      <c r="B13" s="486" t="s">
        <v>417</v>
      </c>
      <c r="C13" s="521">
        <f>'IS (F1Q23)'!Y8/1000</f>
        <v>8.4143242311706459</v>
      </c>
      <c r="D13" s="521">
        <f>'IS (F1Q23)'!Z8/1000</f>
        <v>9.2230422532839622</v>
      </c>
      <c r="E13" s="521">
        <f>'IS (F1Q23)'!AA8/1000</f>
        <v>9.5293657690018367</v>
      </c>
      <c r="F13" s="521">
        <f>'IS (F1Q23)'!AC8/1000</f>
        <v>9.7372936347019525</v>
      </c>
      <c r="G13" s="516">
        <f>SUM(C13:F13)</f>
        <v>36.904025888158401</v>
      </c>
      <c r="H13" s="519">
        <f>'IS (F1Q23)'!AL8/1000</f>
        <v>44.154978241984473</v>
      </c>
      <c r="I13" s="511">
        <f>'IS (F1Q23)'!AB8/1000</f>
        <v>35.88063225345644</v>
      </c>
      <c r="J13" s="519"/>
      <c r="K13" s="567"/>
      <c r="L13" s="568">
        <f>K13-I13</f>
        <v>-35.88063225345644</v>
      </c>
      <c r="M13" s="569"/>
      <c r="N13" s="561">
        <f>M13-H13</f>
        <v>-44.154978241984473</v>
      </c>
    </row>
    <row r="14" spans="2:14" x14ac:dyDescent="0.3">
      <c r="B14" s="485" t="s">
        <v>411</v>
      </c>
      <c r="C14" s="525">
        <f>'IS (F1Q23)'!Y34</f>
        <v>0.61631975743355849</v>
      </c>
      <c r="D14" s="525">
        <f>'IS (F1Q23)'!Z34</f>
        <v>0.94516253291124774</v>
      </c>
      <c r="E14" s="525">
        <f>'IS (F1Q23)'!AA34</f>
        <v>1.0847203775903573</v>
      </c>
      <c r="F14" s="525">
        <f>'IS (F1Q23)'!AC34</f>
        <v>0.96658690561371974</v>
      </c>
      <c r="G14" s="517">
        <f>SUM(C14:F14)</f>
        <v>3.6127895735488833</v>
      </c>
      <c r="H14" s="520">
        <f>'IS (F1Q23)'!AL34</f>
        <v>4.6913369207197393</v>
      </c>
      <c r="I14" s="512">
        <f>'IS (F1Q23)'!AB34</f>
        <v>3.3932740277680487</v>
      </c>
      <c r="J14" s="520"/>
      <c r="K14" s="570"/>
      <c r="L14" s="571">
        <f>K14-I14</f>
        <v>-3.3932740277680487</v>
      </c>
      <c r="M14" s="572"/>
      <c r="N14" s="566">
        <f>M14-I14</f>
        <v>-3.3932740277680487</v>
      </c>
    </row>
    <row r="15" spans="2:14" ht="15" customHeight="1" x14ac:dyDescent="0.3"/>
    <row r="16" spans="2:14" ht="14.4" customHeight="1" x14ac:dyDescent="0.3">
      <c r="B16" s="663" t="s">
        <v>427</v>
      </c>
      <c r="C16" s="664"/>
      <c r="D16" s="664"/>
      <c r="E16" s="664"/>
      <c r="F16" s="664"/>
      <c r="G16" s="664"/>
      <c r="H16" s="664"/>
      <c r="I16" s="665" t="s">
        <v>428</v>
      </c>
      <c r="J16" s="666"/>
      <c r="K16" s="666"/>
      <c r="L16" s="666"/>
      <c r="M16" s="666"/>
      <c r="N16" s="667"/>
    </row>
    <row r="17" spans="2:16" x14ac:dyDescent="0.3">
      <c r="B17" s="482"/>
      <c r="C17" s="481" t="s">
        <v>412</v>
      </c>
      <c r="D17" s="481" t="s">
        <v>413</v>
      </c>
      <c r="E17" s="481" t="s">
        <v>414</v>
      </c>
      <c r="F17" s="481" t="s">
        <v>423</v>
      </c>
      <c r="G17" s="481" t="s">
        <v>418</v>
      </c>
      <c r="H17" s="510" t="s">
        <v>422</v>
      </c>
      <c r="I17" s="509" t="s">
        <v>415</v>
      </c>
      <c r="J17" s="510" t="s">
        <v>422</v>
      </c>
      <c r="K17" s="483"/>
      <c r="L17" s="514"/>
      <c r="M17" s="513"/>
      <c r="N17" s="484"/>
    </row>
    <row r="18" spans="2:16" x14ac:dyDescent="0.3">
      <c r="B18" s="486" t="s">
        <v>417</v>
      </c>
      <c r="C18" s="521">
        <f>C13-C5</f>
        <v>1.4324231170645518E-2</v>
      </c>
      <c r="D18" s="521">
        <f>D13-D5</f>
        <v>-0.13695774671603722</v>
      </c>
      <c r="E18" s="521">
        <f>E13-E5</f>
        <v>5.93657690018361E-2</v>
      </c>
      <c r="F18" s="521">
        <f>F13-F5</f>
        <v>-0.1227063652980469</v>
      </c>
      <c r="G18" s="516">
        <f>SUM(C18:F18)</f>
        <v>-0.18597411184160251</v>
      </c>
      <c r="H18" s="519">
        <f>H13-H5</f>
        <v>-0.59502175801552681</v>
      </c>
      <c r="I18" s="521">
        <f>I13-I5</f>
        <v>8.3132253456440708E-2</v>
      </c>
      <c r="J18" s="519">
        <f>H13-J5</f>
        <v>3.7978241984475858E-2</v>
      </c>
      <c r="K18" s="522"/>
      <c r="L18" s="523"/>
      <c r="M18" s="524"/>
      <c r="N18" s="506"/>
    </row>
    <row r="19" spans="2:16" x14ac:dyDescent="0.3">
      <c r="B19" s="526" t="s">
        <v>430</v>
      </c>
      <c r="C19" s="530">
        <f t="shared" ref="C19:J19" si="0">C18/C5</f>
        <v>1.7052656155530379E-3</v>
      </c>
      <c r="D19" s="530">
        <f t="shared" si="0"/>
        <v>-1.4632237897012524E-2</v>
      </c>
      <c r="E19" s="530">
        <f t="shared" si="0"/>
        <v>6.2688246042065573E-3</v>
      </c>
      <c r="F19" s="530">
        <f t="shared" si="0"/>
        <v>-1.2444864634690356E-2</v>
      </c>
      <c r="G19" s="531">
        <f t="shared" si="0"/>
        <v>-5.0141308126611626E-3</v>
      </c>
      <c r="H19" s="556">
        <f t="shared" si="0"/>
        <v>-1.329657559811233E-2</v>
      </c>
      <c r="I19" s="532">
        <f t="shared" si="0"/>
        <v>2.3222921560567275E-3</v>
      </c>
      <c r="J19" s="533">
        <f t="shared" si="0"/>
        <v>8.6085277748885602E-4</v>
      </c>
      <c r="K19" s="534"/>
      <c r="L19" s="535"/>
      <c r="M19" s="536"/>
      <c r="N19" s="537"/>
    </row>
    <row r="20" spans="2:16" x14ac:dyDescent="0.3">
      <c r="B20" s="486" t="s">
        <v>411</v>
      </c>
      <c r="C20" s="528">
        <f>C14-C6</f>
        <v>-3.3680242566441532E-2</v>
      </c>
      <c r="D20" s="528">
        <f>D14-D6</f>
        <v>-5.4837467088752256E-2</v>
      </c>
      <c r="E20" s="528">
        <f>E14-E6</f>
        <v>6.4720377590357314E-2</v>
      </c>
      <c r="F20" s="528">
        <f>F14-F6</f>
        <v>2.6586905613719791E-2</v>
      </c>
      <c r="G20" s="529">
        <f>SUM(C20:F20)</f>
        <v>2.7895735488833173E-3</v>
      </c>
      <c r="H20" s="547">
        <f>H14-H6</f>
        <v>-0.11866307928026032</v>
      </c>
      <c r="I20" s="546">
        <f>I14-I6</f>
        <v>-8.1725972231950994E-2</v>
      </c>
      <c r="J20" s="547">
        <f>H14-J6</f>
        <v>-0.10366307928026064</v>
      </c>
      <c r="K20" s="548"/>
      <c r="L20" s="549"/>
      <c r="M20" s="550"/>
      <c r="N20" s="551"/>
    </row>
    <row r="21" spans="2:16" x14ac:dyDescent="0.3">
      <c r="B21" s="527" t="s">
        <v>429</v>
      </c>
      <c r="C21" s="538">
        <f t="shared" ref="C21:J21" si="1">C20/C6</f>
        <v>-5.1815757794525429E-2</v>
      </c>
      <c r="D21" s="538">
        <f t="shared" si="1"/>
        <v>-5.4837467088752256E-2</v>
      </c>
      <c r="E21" s="538">
        <f t="shared" si="1"/>
        <v>6.3451350578781679E-2</v>
      </c>
      <c r="F21" s="538">
        <f t="shared" si="1"/>
        <v>2.8283942142255099E-2</v>
      </c>
      <c r="G21" s="539">
        <f t="shared" si="1"/>
        <v>7.7273505509233172E-4</v>
      </c>
      <c r="H21" s="557">
        <f t="shared" si="1"/>
        <v>-2.4670078852444974E-2</v>
      </c>
      <c r="I21" s="540">
        <f t="shared" si="1"/>
        <v>-2.3518265390489498E-2</v>
      </c>
      <c r="J21" s="541">
        <f t="shared" si="1"/>
        <v>-2.1618994636133607E-2</v>
      </c>
      <c r="K21" s="542"/>
      <c r="L21" s="543"/>
      <c r="M21" s="544"/>
      <c r="N21" s="545"/>
    </row>
    <row r="23" spans="2:16" ht="14.4" customHeight="1" x14ac:dyDescent="0.3">
      <c r="B23" s="651" t="s">
        <v>431</v>
      </c>
      <c r="C23" s="652"/>
      <c r="D23" s="652"/>
      <c r="E23" s="652"/>
      <c r="F23" s="652"/>
      <c r="G23" s="652"/>
      <c r="H23" s="652"/>
      <c r="I23" s="652"/>
      <c r="J23" s="652"/>
      <c r="K23" s="652"/>
      <c r="L23" s="652"/>
      <c r="M23" s="652"/>
      <c r="N23" s="652"/>
      <c r="O23" s="651"/>
      <c r="P23" s="652"/>
    </row>
    <row r="24" spans="2:16" ht="15.6" customHeight="1" x14ac:dyDescent="0.3">
      <c r="B24" s="660" t="s">
        <v>432</v>
      </c>
      <c r="C24" s="661"/>
      <c r="D24" s="661"/>
      <c r="E24" s="661"/>
      <c r="F24" s="661"/>
      <c r="G24" s="661"/>
      <c r="H24" s="661"/>
      <c r="I24" s="661"/>
      <c r="J24" s="662"/>
      <c r="K24" s="653" t="s">
        <v>433</v>
      </c>
      <c r="L24" s="654"/>
      <c r="M24" s="653" t="s">
        <v>435</v>
      </c>
      <c r="N24" s="654"/>
      <c r="O24" s="653" t="s">
        <v>454</v>
      </c>
      <c r="P24" s="654"/>
    </row>
    <row r="25" spans="2:16" ht="177" customHeight="1" x14ac:dyDescent="0.3">
      <c r="B25" s="646" t="s">
        <v>450</v>
      </c>
      <c r="C25" s="659"/>
      <c r="D25" s="659"/>
      <c r="E25" s="659"/>
      <c r="F25" s="659"/>
      <c r="G25" s="659"/>
      <c r="H25" s="659"/>
      <c r="I25" s="659"/>
      <c r="J25" s="647"/>
      <c r="K25" s="646" t="s">
        <v>434</v>
      </c>
      <c r="L25" s="647"/>
      <c r="M25" s="646" t="s">
        <v>436</v>
      </c>
      <c r="N25" s="647"/>
      <c r="O25" s="646"/>
      <c r="P25" s="647"/>
    </row>
    <row r="27" spans="2:16" ht="15" customHeight="1" x14ac:dyDescent="0.3">
      <c r="B27" s="655" t="s">
        <v>437</v>
      </c>
      <c r="C27" s="656"/>
      <c r="D27" s="656"/>
      <c r="E27" s="656"/>
      <c r="F27" s="656"/>
      <c r="G27" s="656"/>
      <c r="H27" s="656"/>
      <c r="I27" s="656"/>
      <c r="J27" s="656"/>
      <c r="K27" s="656"/>
      <c r="L27" s="656"/>
      <c r="M27" s="656"/>
      <c r="N27" s="657"/>
      <c r="O27" s="651"/>
      <c r="P27" s="652"/>
    </row>
    <row r="28" spans="2:16" ht="14.4" customHeight="1" x14ac:dyDescent="0.3">
      <c r="B28" s="653" t="s">
        <v>438</v>
      </c>
      <c r="C28" s="658"/>
      <c r="D28" s="658"/>
      <c r="E28" s="658"/>
      <c r="F28" s="658"/>
      <c r="G28" s="654"/>
      <c r="H28" s="653" t="s">
        <v>439</v>
      </c>
      <c r="I28" s="658"/>
      <c r="J28" s="658"/>
      <c r="K28" s="658"/>
      <c r="L28" s="658"/>
      <c r="M28" s="658"/>
      <c r="N28" s="654"/>
      <c r="O28" s="653" t="s">
        <v>455</v>
      </c>
      <c r="P28" s="654"/>
    </row>
    <row r="29" spans="2:16" ht="191.4" customHeight="1" x14ac:dyDescent="0.3">
      <c r="B29" s="646" t="s">
        <v>440</v>
      </c>
      <c r="C29" s="659"/>
      <c r="D29" s="659"/>
      <c r="E29" s="659"/>
      <c r="F29" s="659"/>
      <c r="G29" s="647"/>
      <c r="H29" s="646" t="s">
        <v>441</v>
      </c>
      <c r="I29" s="659"/>
      <c r="J29" s="659"/>
      <c r="K29" s="659"/>
      <c r="L29" s="659"/>
      <c r="M29" s="659"/>
      <c r="N29" s="647"/>
      <c r="O29" s="646"/>
      <c r="P29" s="647"/>
    </row>
  </sheetData>
  <mergeCells count="28">
    <mergeCell ref="C3:F3"/>
    <mergeCell ref="K3:L3"/>
    <mergeCell ref="M3:N3"/>
    <mergeCell ref="K2:N2"/>
    <mergeCell ref="C2:J2"/>
    <mergeCell ref="B16:H16"/>
    <mergeCell ref="I16:N16"/>
    <mergeCell ref="C10:J10"/>
    <mergeCell ref="K10:N10"/>
    <mergeCell ref="B11:N11"/>
    <mergeCell ref="B25:J25"/>
    <mergeCell ref="B24:J24"/>
    <mergeCell ref="K25:L25"/>
    <mergeCell ref="K24:L24"/>
    <mergeCell ref="B23:N23"/>
    <mergeCell ref="M24:N24"/>
    <mergeCell ref="M25:N25"/>
    <mergeCell ref="B27:N27"/>
    <mergeCell ref="B28:G28"/>
    <mergeCell ref="B29:G29"/>
    <mergeCell ref="H28:N28"/>
    <mergeCell ref="H29:N29"/>
    <mergeCell ref="O29:P29"/>
    <mergeCell ref="O23:P23"/>
    <mergeCell ref="O24:P24"/>
    <mergeCell ref="O25:P25"/>
    <mergeCell ref="O27:P27"/>
    <mergeCell ref="O28:P28"/>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C73DC-583F-4A89-86AF-39060EE30FC7}">
  <sheetPr>
    <tabColor theme="6" tint="0.39997558519241921"/>
    <pageSetUpPr fitToPage="1"/>
  </sheetPr>
  <dimension ref="A1:AV316"/>
  <sheetViews>
    <sheetView showGridLines="0" zoomScaleNormal="100" workbookViewId="0">
      <pane xSplit="3" ySplit="4" topLeftCell="N5" activePane="bottomRight" state="frozen"/>
      <selection activeCell="B3" sqref="B3:C3"/>
      <selection pane="topRight" activeCell="B3" sqref="B3:C3"/>
      <selection pane="bottomLeft" activeCell="B3" sqref="B3:C3"/>
      <selection pane="bottomRight" activeCell="AB1" sqref="AB1"/>
    </sheetView>
  </sheetViews>
  <sheetFormatPr defaultColWidth="8.88671875" defaultRowHeight="14.4" outlineLevelRow="1" outlineLevelCol="1" x14ac:dyDescent="0.3"/>
  <cols>
    <col min="1" max="1" width="2" style="2" customWidth="1"/>
    <col min="2" max="2" width="39" style="2" customWidth="1"/>
    <col min="3" max="3" width="3.109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91"/>
      <c r="U1" s="369"/>
      <c r="V1" s="369"/>
      <c r="W1" s="391"/>
      <c r="X1" s="369"/>
      <c r="Y1" s="391"/>
      <c r="Z1" s="573"/>
      <c r="AA1" s="573"/>
      <c r="AB1" s="385"/>
      <c r="AC1" s="573"/>
      <c r="AD1" s="573"/>
      <c r="AE1" s="573"/>
      <c r="AF1" s="573"/>
      <c r="AG1" s="573"/>
      <c r="AH1" s="573"/>
      <c r="AI1" s="573"/>
      <c r="AJ1" s="573"/>
      <c r="AK1" s="573"/>
      <c r="AL1" s="573"/>
      <c r="AM1" s="573"/>
      <c r="AN1" s="573"/>
      <c r="AO1" s="573"/>
      <c r="AP1" s="573"/>
      <c r="AQ1" s="573"/>
      <c r="AR1" s="573"/>
      <c r="AS1" s="573"/>
      <c r="AT1" s="573"/>
      <c r="AU1" s="573"/>
      <c r="AV1" s="573"/>
    </row>
    <row r="2" spans="1:48" ht="13.2"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89"/>
      <c r="AC2" s="389"/>
      <c r="AD2" s="389"/>
      <c r="AE2" s="389"/>
      <c r="AF2" s="389"/>
      <c r="AG2" s="389"/>
      <c r="AH2" s="389"/>
      <c r="AI2" s="389"/>
      <c r="AJ2" s="389"/>
      <c r="AK2" s="389"/>
      <c r="AL2" s="389"/>
      <c r="AM2" s="389"/>
      <c r="AN2" s="389"/>
      <c r="AO2" s="389"/>
      <c r="AP2" s="389"/>
      <c r="AQ2" s="389"/>
      <c r="AR2" s="389"/>
      <c r="AS2" s="389"/>
      <c r="AT2" s="389"/>
      <c r="AU2" s="389"/>
      <c r="AV2" s="389"/>
    </row>
    <row r="3" spans="1:48" ht="15.6" x14ac:dyDescent="0.3">
      <c r="A3" s="582"/>
      <c r="B3" s="583" t="s">
        <v>18</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3" t="s">
        <v>451</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82"/>
      <c r="B4" s="585" t="s">
        <v>3</v>
      </c>
      <c r="C4" s="586"/>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4" t="s">
        <v>452</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580" t="s">
        <v>101</v>
      </c>
      <c r="C5" s="581"/>
      <c r="D5" s="105">
        <v>5370.3</v>
      </c>
      <c r="E5" s="105">
        <v>5159</v>
      </c>
      <c r="F5" s="105">
        <v>5535</v>
      </c>
      <c r="G5" s="105">
        <f>H5-F5-E5-D5</f>
        <v>5480.1000000000013</v>
      </c>
      <c r="H5" s="170">
        <v>21544.400000000001</v>
      </c>
      <c r="I5" s="105">
        <v>5780.7</v>
      </c>
      <c r="J5" s="105">
        <v>4766</v>
      </c>
      <c r="K5" s="105">
        <v>3444.4</v>
      </c>
      <c r="L5" s="105">
        <v>5173.6000000000004</v>
      </c>
      <c r="M5" s="49">
        <f>SUM(I5:L5)</f>
        <v>19164.7</v>
      </c>
      <c r="N5" s="48">
        <v>5726.5</v>
      </c>
      <c r="O5" s="48">
        <v>5653.1</v>
      </c>
      <c r="P5" s="48">
        <v>6363.1</v>
      </c>
      <c r="Q5" s="105">
        <v>6864.3</v>
      </c>
      <c r="R5" s="49">
        <f>SUM(N5:Q5)</f>
        <v>24607</v>
      </c>
      <c r="S5" s="48">
        <v>6722.4</v>
      </c>
      <c r="T5" s="48">
        <v>6276.7</v>
      </c>
      <c r="U5" s="48">
        <v>6675.5</v>
      </c>
      <c r="V5" s="48">
        <v>6901.4</v>
      </c>
      <c r="W5" s="49">
        <f>SUM(S5:V5)</f>
        <v>26576</v>
      </c>
      <c r="X5" s="105">
        <v>7083.5</v>
      </c>
      <c r="Y5" s="105">
        <v>7142.3</v>
      </c>
      <c r="Z5" s="48">
        <f>+Z45+Z78</f>
        <v>7669.3421216757179</v>
      </c>
      <c r="AA5" s="48">
        <f>+AA45+AA78</f>
        <v>7713.4880606413199</v>
      </c>
      <c r="AB5" s="49">
        <f>SUM(X5:AA5)</f>
        <v>29608.630182317036</v>
      </c>
      <c r="AC5" s="48">
        <f>+AC45+AC78</f>
        <v>7985.339364316942</v>
      </c>
      <c r="AD5" s="48">
        <f>+AD45+AD78</f>
        <v>7885.2940495505591</v>
      </c>
      <c r="AE5" s="48">
        <f>+AE45+AE78</f>
        <v>8459.0854191319868</v>
      </c>
      <c r="AF5" s="48">
        <f>+AF45+AF78</f>
        <v>8508.5080120594612</v>
      </c>
      <c r="AG5" s="49">
        <f>SUM(AC5:AF5)</f>
        <v>32838.226845058947</v>
      </c>
      <c r="AH5" s="48">
        <f>+AH45+AH78</f>
        <v>8904.4380279099205</v>
      </c>
      <c r="AI5" s="48">
        <f>+AI45+AI78</f>
        <v>8800.5577766482966</v>
      </c>
      <c r="AJ5" s="48">
        <f>+AJ45+AJ78</f>
        <v>9447.6605518539673</v>
      </c>
      <c r="AK5" s="48">
        <f>+AK45+AK78</f>
        <v>9523.7579152665148</v>
      </c>
      <c r="AL5" s="49">
        <f>SUM(AH5:AK5)</f>
        <v>36676.414271678696</v>
      </c>
      <c r="AM5" s="48">
        <f>+AM45+AM78</f>
        <v>9789.406157351088</v>
      </c>
      <c r="AN5" s="48">
        <f>+AN45+AN78</f>
        <v>9650.4993029389989</v>
      </c>
      <c r="AO5" s="48">
        <f>+AO45+AO78</f>
        <v>10332.502716716077</v>
      </c>
      <c r="AP5" s="48">
        <f>+AP45+AP78</f>
        <v>10393.472083638091</v>
      </c>
      <c r="AQ5" s="49">
        <f>SUM(AM5:AP5)</f>
        <v>40165.880260644255</v>
      </c>
      <c r="AR5" s="48">
        <f>+AR45+AR78</f>
        <v>10456.982842573032</v>
      </c>
      <c r="AS5" s="48">
        <f>+AS45+AS78</f>
        <v>10305.675129499681</v>
      </c>
      <c r="AT5" s="48">
        <f>+AT45+AT78</f>
        <v>11030.681263508537</v>
      </c>
      <c r="AU5" s="48">
        <f>+AU45+AU78</f>
        <v>11096.122857457469</v>
      </c>
      <c r="AV5" s="49">
        <f>SUM(AR5:AU5)</f>
        <v>42889.462093038717</v>
      </c>
    </row>
    <row r="6" spans="1:48" outlineLevel="1" x14ac:dyDescent="0.3">
      <c r="B6" s="580" t="s">
        <v>102</v>
      </c>
      <c r="C6" s="581"/>
      <c r="D6" s="105">
        <v>737.1</v>
      </c>
      <c r="E6" s="105">
        <v>678.2</v>
      </c>
      <c r="F6" s="105">
        <v>725</v>
      </c>
      <c r="G6" s="105">
        <f t="shared" ref="G6:G16" si="0">H6-F6-E6-D6</f>
        <v>734.69999999999993</v>
      </c>
      <c r="H6" s="170">
        <v>2875</v>
      </c>
      <c r="I6" s="105">
        <v>792</v>
      </c>
      <c r="J6" s="105">
        <v>689.8</v>
      </c>
      <c r="K6" s="105">
        <v>300.5</v>
      </c>
      <c r="L6" s="48">
        <v>544.6</v>
      </c>
      <c r="M6" s="49">
        <f t="shared" ref="M6:M7" si="1">SUM(I6:L6)</f>
        <v>2326.9</v>
      </c>
      <c r="N6" s="48">
        <v>613.79999999999995</v>
      </c>
      <c r="O6" s="48">
        <v>595</v>
      </c>
      <c r="P6" s="48">
        <v>680.2</v>
      </c>
      <c r="Q6" s="105">
        <v>794.5</v>
      </c>
      <c r="R6" s="49">
        <f>SUM(N6:Q6)</f>
        <v>2683.5</v>
      </c>
      <c r="S6" s="48">
        <v>850.8</v>
      </c>
      <c r="T6" s="48">
        <v>849.5</v>
      </c>
      <c r="U6" s="48">
        <v>956.8</v>
      </c>
      <c r="V6" s="48">
        <v>998.4</v>
      </c>
      <c r="W6" s="49">
        <f t="shared" ref="W6:W7" si="2">SUM(S6:V6)</f>
        <v>3655.5</v>
      </c>
      <c r="X6" s="105">
        <v>1119.5</v>
      </c>
      <c r="Y6" s="105">
        <v>1069.5</v>
      </c>
      <c r="Z6" s="48">
        <f>+Z54+Z87</f>
        <v>1123.0079151815307</v>
      </c>
      <c r="AA6" s="48">
        <f>+AA54+AA87</f>
        <v>1177.7917344816065</v>
      </c>
      <c r="AB6" s="49">
        <f t="shared" ref="AB6:AB7" si="3">SUM(X6:AA6)</f>
        <v>4489.7996496631367</v>
      </c>
      <c r="AC6" s="48">
        <f>+AC54+AC87</f>
        <v>1244.0238803761072</v>
      </c>
      <c r="AD6" s="48">
        <f>+AD54+AD87</f>
        <v>1193.8305670294721</v>
      </c>
      <c r="AE6" s="48">
        <f>+AE54+AE87</f>
        <v>1260.724066569142</v>
      </c>
      <c r="AF6" s="48">
        <f>+AF54+AF87</f>
        <v>1317.4966303609731</v>
      </c>
      <c r="AG6" s="49">
        <f t="shared" ref="AG6:AG7" si="4">SUM(AC6:AF6)</f>
        <v>5016.0751443356949</v>
      </c>
      <c r="AH6" s="48">
        <f>+AH54+AH87</f>
        <v>1402.4202526117717</v>
      </c>
      <c r="AI6" s="48">
        <f>+AI54+AI87</f>
        <v>1346.6738875859387</v>
      </c>
      <c r="AJ6" s="48">
        <f>+AJ54+AJ87</f>
        <v>1424.1176033324848</v>
      </c>
      <c r="AK6" s="48">
        <f>+AK54+AK87</f>
        <v>1488.3479355448135</v>
      </c>
      <c r="AL6" s="49">
        <f t="shared" ref="AL6:AL7" si="5">SUM(AH6:AK6)</f>
        <v>5661.5596790750087</v>
      </c>
      <c r="AM6" s="48">
        <f>+AM54+AM87</f>
        <v>1556.9033555663052</v>
      </c>
      <c r="AN6" s="48">
        <f>+AN54+AN87</f>
        <v>1477.9568002765163</v>
      </c>
      <c r="AO6" s="48">
        <f>+AO54+AO87</f>
        <v>1546.6417045774419</v>
      </c>
      <c r="AP6" s="48">
        <f>+AP54+AP87</f>
        <v>1597.4880616686075</v>
      </c>
      <c r="AQ6" s="49">
        <f t="shared" ref="AQ6:AQ7" si="6">SUM(AM6:AP6)</f>
        <v>6178.989922088871</v>
      </c>
      <c r="AR6" s="48">
        <f>+AR54+AR87</f>
        <v>1629.3964287876702</v>
      </c>
      <c r="AS6" s="48">
        <f>+AS54+AS87</f>
        <v>1546.731191587548</v>
      </c>
      <c r="AT6" s="48">
        <f>+AT54+AT87</f>
        <v>1619.0633142233717</v>
      </c>
      <c r="AU6" s="48">
        <f>+AU54+AU87</f>
        <v>1672.0419224343648</v>
      </c>
      <c r="AV6" s="49">
        <f t="shared" ref="AV6:AV7" si="7">SUM(AR6:AU6)</f>
        <v>6467.2328570329546</v>
      </c>
    </row>
    <row r="7" spans="1:48" ht="16.2" outlineLevel="1" x14ac:dyDescent="0.45">
      <c r="B7" s="580" t="s">
        <v>103</v>
      </c>
      <c r="C7" s="581"/>
      <c r="D7" s="104">
        <v>525.29999999999995</v>
      </c>
      <c r="E7" s="104">
        <v>468.7</v>
      </c>
      <c r="F7" s="104">
        <v>563</v>
      </c>
      <c r="G7" s="104">
        <f t="shared" si="0"/>
        <v>532.19999999999982</v>
      </c>
      <c r="H7" s="173">
        <v>2089.1999999999998</v>
      </c>
      <c r="I7" s="104">
        <v>524.4</v>
      </c>
      <c r="J7" s="104">
        <v>539.9</v>
      </c>
      <c r="K7" s="104">
        <v>477.2</v>
      </c>
      <c r="L7" s="52">
        <v>484.9</v>
      </c>
      <c r="M7" s="53">
        <f t="shared" si="1"/>
        <v>2026.4</v>
      </c>
      <c r="N7" s="52">
        <v>409.1</v>
      </c>
      <c r="O7" s="52">
        <v>419.9</v>
      </c>
      <c r="P7" s="52">
        <v>453.2</v>
      </c>
      <c r="Q7" s="104">
        <v>487.9</v>
      </c>
      <c r="R7" s="53">
        <f>SUM(N7:Q7)</f>
        <v>1770.1</v>
      </c>
      <c r="S7" s="52">
        <v>477.2</v>
      </c>
      <c r="T7" s="52">
        <v>509.4</v>
      </c>
      <c r="U7" s="52">
        <v>517.79999999999995</v>
      </c>
      <c r="V7" s="52">
        <v>514.4</v>
      </c>
      <c r="W7" s="173">
        <f t="shared" si="2"/>
        <v>2018.7999999999997</v>
      </c>
      <c r="X7" s="104">
        <v>510.9</v>
      </c>
      <c r="Y7" s="104">
        <v>508</v>
      </c>
      <c r="Z7" s="52">
        <f>+Z55+Z88+Z108+Z123</f>
        <v>515.22300000000007</v>
      </c>
      <c r="AA7" s="52">
        <f>+AA55+AA88+AA108+AA123</f>
        <v>519.97799999999995</v>
      </c>
      <c r="AB7" s="53">
        <f t="shared" si="3"/>
        <v>2054.1010000000001</v>
      </c>
      <c r="AC7" s="52">
        <f>+AC55+AC88+AC108+AC123</f>
        <v>533.22800000000007</v>
      </c>
      <c r="AD7" s="52">
        <f>+AD55+AD88+AD108+AD123</f>
        <v>531.0630000000001</v>
      </c>
      <c r="AE7" s="52">
        <f>+AE55+AE88+AE108+AE123</f>
        <v>537.64602000000002</v>
      </c>
      <c r="AF7" s="52">
        <f>+AF55+AF88+AF108+AF123</f>
        <v>542.90842000000009</v>
      </c>
      <c r="AG7" s="53">
        <f t="shared" si="4"/>
        <v>2144.8454400000005</v>
      </c>
      <c r="AH7" s="52">
        <f>+AH55+AH88+AH108+AH123</f>
        <v>561.21162000000004</v>
      </c>
      <c r="AI7" s="52">
        <f>+AI55+AI88+AI108+AI123</f>
        <v>558.10836999999992</v>
      </c>
      <c r="AJ7" s="52">
        <f>+AJ55+AJ88+AJ108+AJ123</f>
        <v>561.93721080000012</v>
      </c>
      <c r="AK7" s="52">
        <f>+AK55+AK88+AK108+AK123</f>
        <v>567.85696680000001</v>
      </c>
      <c r="AL7" s="53">
        <f t="shared" si="5"/>
        <v>2249.1141676000002</v>
      </c>
      <c r="AM7" s="52">
        <f>+AM55+AM88+AM108+AM123</f>
        <v>586.22951480000006</v>
      </c>
      <c r="AN7" s="52">
        <f>+AN55+AN88+AN108+AN123</f>
        <v>582.67369980000001</v>
      </c>
      <c r="AO7" s="52">
        <f>+AO55+AO88+AO108+AO123</f>
        <v>585.56009623200009</v>
      </c>
      <c r="AP7" s="52">
        <f>+AP55+AP88+AP108+AP123</f>
        <v>591.94686047200014</v>
      </c>
      <c r="AQ7" s="53">
        <f t="shared" si="6"/>
        <v>2346.410171304</v>
      </c>
      <c r="AR7" s="52">
        <f>+AR55+AR88+AR108+AR123</f>
        <v>610.41305589199999</v>
      </c>
      <c r="AS7" s="52">
        <f>+AS55+AS88+AS108+AS123</f>
        <v>606.62139854200007</v>
      </c>
      <c r="AT7" s="52">
        <f>+AT55+AT88+AT108+AT123</f>
        <v>609.40131178128001</v>
      </c>
      <c r="AU7" s="52">
        <f>+AU55+AU88+AU108+AU123</f>
        <v>616.17837389088015</v>
      </c>
      <c r="AV7" s="53">
        <f t="shared" si="7"/>
        <v>2442.6141401061604</v>
      </c>
    </row>
    <row r="8" spans="1:48" s="8" customFormat="1" x14ac:dyDescent="0.3">
      <c r="B8" s="587" t="s">
        <v>104</v>
      </c>
      <c r="C8" s="588"/>
      <c r="D8" s="103">
        <f t="shared" ref="D8:AB8" si="8">SUM(D5:D7)</f>
        <v>6632.7000000000007</v>
      </c>
      <c r="E8" s="103">
        <f t="shared" si="8"/>
        <v>6305.9</v>
      </c>
      <c r="F8" s="103">
        <f t="shared" si="8"/>
        <v>6823</v>
      </c>
      <c r="G8" s="103">
        <f t="shared" si="8"/>
        <v>6747.0000000000009</v>
      </c>
      <c r="H8" s="171">
        <f t="shared" si="8"/>
        <v>26508.600000000002</v>
      </c>
      <c r="I8" s="103">
        <f>SUM(I5:I7)</f>
        <v>7097.0999999999995</v>
      </c>
      <c r="J8" s="103">
        <f>SUM(J5:J7)</f>
        <v>5995.7</v>
      </c>
      <c r="K8" s="103">
        <f>SUM(K5:K7)</f>
        <v>4222.1000000000004</v>
      </c>
      <c r="L8" s="103">
        <f>SUM(L5:L7)</f>
        <v>6203.1</v>
      </c>
      <c r="M8" s="171">
        <f t="shared" si="8"/>
        <v>23518.000000000004</v>
      </c>
      <c r="N8" s="103">
        <f t="shared" si="8"/>
        <v>6749.4000000000005</v>
      </c>
      <c r="O8" s="103">
        <f t="shared" si="8"/>
        <v>6668</v>
      </c>
      <c r="P8" s="103">
        <f t="shared" si="8"/>
        <v>7496.5</v>
      </c>
      <c r="Q8" s="103">
        <f>SUM(Q5:Q7)</f>
        <v>8146.7</v>
      </c>
      <c r="R8" s="171">
        <f t="shared" si="8"/>
        <v>29060.6</v>
      </c>
      <c r="S8" s="103">
        <f t="shared" si="8"/>
        <v>8050.4</v>
      </c>
      <c r="T8" s="103">
        <f t="shared" si="8"/>
        <v>7635.5999999999995</v>
      </c>
      <c r="U8" s="103">
        <f t="shared" si="8"/>
        <v>8150.1</v>
      </c>
      <c r="V8" s="103">
        <f t="shared" si="8"/>
        <v>8414.1999999999989</v>
      </c>
      <c r="W8" s="171">
        <f t="shared" si="8"/>
        <v>32250.3</v>
      </c>
      <c r="X8" s="103">
        <f t="shared" si="8"/>
        <v>8713.9</v>
      </c>
      <c r="Y8" s="103">
        <f t="shared" si="8"/>
        <v>8719.7999999999993</v>
      </c>
      <c r="Z8" s="50">
        <f t="shared" si="8"/>
        <v>9307.5730368572495</v>
      </c>
      <c r="AA8" s="50">
        <f t="shared" si="8"/>
        <v>9411.257795122925</v>
      </c>
      <c r="AB8" s="489">
        <f t="shared" si="8"/>
        <v>36152.530831980177</v>
      </c>
      <c r="AC8" s="50">
        <f t="shared" ref="AC8:AV8" si="9">SUM(AC5:AC7)</f>
        <v>9762.5912446930488</v>
      </c>
      <c r="AD8" s="50">
        <f t="shared" si="9"/>
        <v>9610.1876165800313</v>
      </c>
      <c r="AE8" s="50">
        <f t="shared" si="9"/>
        <v>10257.455505701129</v>
      </c>
      <c r="AF8" s="50">
        <f t="shared" si="9"/>
        <v>10368.913062420434</v>
      </c>
      <c r="AG8" s="51">
        <f t="shared" si="9"/>
        <v>39999.147429394638</v>
      </c>
      <c r="AH8" s="50">
        <f t="shared" si="9"/>
        <v>10868.069900521692</v>
      </c>
      <c r="AI8" s="50">
        <f t="shared" si="9"/>
        <v>10705.340034234236</v>
      </c>
      <c r="AJ8" s="50">
        <f t="shared" si="9"/>
        <v>11433.715365986453</v>
      </c>
      <c r="AK8" s="50">
        <f t="shared" si="9"/>
        <v>11579.962817611327</v>
      </c>
      <c r="AL8" s="51">
        <f t="shared" si="9"/>
        <v>44587.088118353699</v>
      </c>
      <c r="AM8" s="50">
        <f t="shared" si="9"/>
        <v>11932.539027717392</v>
      </c>
      <c r="AN8" s="50">
        <f t="shared" si="9"/>
        <v>11711.129803015514</v>
      </c>
      <c r="AO8" s="50">
        <f t="shared" si="9"/>
        <v>12464.704517525519</v>
      </c>
      <c r="AP8" s="50">
        <f t="shared" si="9"/>
        <v>12582.907005778699</v>
      </c>
      <c r="AQ8" s="51">
        <f t="shared" si="9"/>
        <v>48691.280354037124</v>
      </c>
      <c r="AR8" s="50">
        <f t="shared" si="9"/>
        <v>12696.792327252702</v>
      </c>
      <c r="AS8" s="50">
        <f t="shared" si="9"/>
        <v>12459.02771962923</v>
      </c>
      <c r="AT8" s="50">
        <f t="shared" si="9"/>
        <v>13259.145889513187</v>
      </c>
      <c r="AU8" s="50">
        <f t="shared" si="9"/>
        <v>13384.343153782713</v>
      </c>
      <c r="AV8" s="51">
        <f t="shared" si="9"/>
        <v>51799.309090177834</v>
      </c>
    </row>
    <row r="9" spans="1:48" outlineLevel="1" x14ac:dyDescent="0.3">
      <c r="B9" s="589" t="s">
        <v>100</v>
      </c>
      <c r="C9" s="590"/>
      <c r="D9" s="105">
        <v>2175.8000000000002</v>
      </c>
      <c r="E9" s="105">
        <v>2012</v>
      </c>
      <c r="F9" s="105">
        <v>2199.6</v>
      </c>
      <c r="G9" s="105">
        <f t="shared" si="0"/>
        <v>2139.4999999999991</v>
      </c>
      <c r="H9" s="170">
        <v>8526.9</v>
      </c>
      <c r="I9" s="105">
        <v>2236.4</v>
      </c>
      <c r="J9" s="105">
        <v>1997.7</v>
      </c>
      <c r="K9" s="105">
        <v>1484</v>
      </c>
      <c r="L9" s="105">
        <v>1976.8</v>
      </c>
      <c r="M9" s="170">
        <f>SUM(I9:L9)</f>
        <v>7694.9000000000005</v>
      </c>
      <c r="N9" s="105">
        <v>2049.1</v>
      </c>
      <c r="O9" s="105">
        <v>1992.4</v>
      </c>
      <c r="P9" s="105">
        <v>2206</v>
      </c>
      <c r="Q9" s="105">
        <v>2491.1</v>
      </c>
      <c r="R9" s="170">
        <f>SUM(N9:Q9)</f>
        <v>8738.6</v>
      </c>
      <c r="S9" s="105">
        <v>2526.9</v>
      </c>
      <c r="T9" s="105">
        <v>2465.8000000000002</v>
      </c>
      <c r="U9" s="105">
        <v>2613.6</v>
      </c>
      <c r="V9" s="105">
        <v>2711</v>
      </c>
      <c r="W9" s="170">
        <f>SUM(S9:V9)</f>
        <v>10317.300000000001</v>
      </c>
      <c r="X9" s="105">
        <v>2810.2</v>
      </c>
      <c r="Y9" s="105">
        <v>2801.7</v>
      </c>
      <c r="Z9" s="105">
        <f>+Z60+Z93+Z110+Z125</f>
        <v>2952.7109087594008</v>
      </c>
      <c r="AA9" s="105">
        <f>+AA60+AA93+AA110+AA125</f>
        <v>2899.3011349142112</v>
      </c>
      <c r="AB9" s="49">
        <f>SUM(X9:AA9)</f>
        <v>11463.912043673612</v>
      </c>
      <c r="AC9" s="105">
        <f>+AC60+AC93+AC110+AC125</f>
        <v>3102.8304833872376</v>
      </c>
      <c r="AD9" s="105">
        <f>+AD60+AD93+AD110+AD125</f>
        <v>3021.2198767911964</v>
      </c>
      <c r="AE9" s="105">
        <f>+AE60+AE93+AE110+AE125</f>
        <v>3225.4099939310586</v>
      </c>
      <c r="AF9" s="105">
        <f>+AF60+AF93+AF110+AF125</f>
        <v>3257.01974971648</v>
      </c>
      <c r="AG9" s="49">
        <f>SUM(AC9:AF9)</f>
        <v>12606.480103825972</v>
      </c>
      <c r="AH9" s="105">
        <f>+AH60+AH93+AH110+AH125</f>
        <v>3430.7507373898998</v>
      </c>
      <c r="AI9" s="105">
        <f>+AI60+AI93+AI110+AI125</f>
        <v>3340.1291420932962</v>
      </c>
      <c r="AJ9" s="105">
        <f>+AJ60+AJ93+AJ110+AJ125</f>
        <v>3537.1352782457802</v>
      </c>
      <c r="AK9" s="105">
        <f>+AK60+AK93+AK110+AK125</f>
        <v>3604.6344673629123</v>
      </c>
      <c r="AL9" s="49">
        <f>SUM(AH9:AK9)</f>
        <v>13912.649625091888</v>
      </c>
      <c r="AM9" s="105">
        <f>+AM60+AM93+AM110+AM125</f>
        <v>3758.8542905592026</v>
      </c>
      <c r="AN9" s="105">
        <f>+AN60+AN93+AN110+AN125</f>
        <v>3644.1200701824055</v>
      </c>
      <c r="AO9" s="105">
        <f>+AO60+AO93+AO110+AO125</f>
        <v>3844.4173902859038</v>
      </c>
      <c r="AP9" s="105">
        <f>+AP60+AP93+AP110+AP125</f>
        <v>3904.5691192148283</v>
      </c>
      <c r="AQ9" s="49">
        <f>SUM(AM9:AP9)</f>
        <v>15151.960870242339</v>
      </c>
      <c r="AR9" s="105">
        <f>+AR60+AR93+AR110+AR125</f>
        <v>3994.1557212008315</v>
      </c>
      <c r="AS9" s="105">
        <f>+AS60+AS93+AS110+AS125</f>
        <v>3871.1230550026548</v>
      </c>
      <c r="AT9" s="105">
        <f>+AT60+AT93+AT110+AT125</f>
        <v>4083.128179727702</v>
      </c>
      <c r="AU9" s="105">
        <f>+AU60+AU93+AU110+AU125</f>
        <v>4146.5718645930392</v>
      </c>
      <c r="AV9" s="49">
        <f>SUM(AR9:AU9)</f>
        <v>16094.978820524228</v>
      </c>
    </row>
    <row r="10" spans="1:48" outlineLevel="1" x14ac:dyDescent="0.3">
      <c r="B10" s="38" t="s">
        <v>32</v>
      </c>
      <c r="C10" s="18"/>
      <c r="D10" s="105">
        <v>2586.8000000000002</v>
      </c>
      <c r="E10" s="105">
        <v>2554.1</v>
      </c>
      <c r="F10" s="105">
        <v>2643.2</v>
      </c>
      <c r="G10" s="105">
        <f t="shared" si="0"/>
        <v>2709.5000000000009</v>
      </c>
      <c r="H10" s="170">
        <v>10493.6</v>
      </c>
      <c r="I10" s="105">
        <v>2821.5</v>
      </c>
      <c r="J10" s="105">
        <v>2721.4</v>
      </c>
      <c r="K10" s="105">
        <v>2537.8000000000002</v>
      </c>
      <c r="L10" s="48">
        <v>2683.4</v>
      </c>
      <c r="M10" s="49">
        <f t="shared" ref="M10:M13" si="10">SUM(I10:L10)</f>
        <v>10764.1</v>
      </c>
      <c r="N10" s="48">
        <v>2867.3</v>
      </c>
      <c r="O10" s="105">
        <v>2823.3</v>
      </c>
      <c r="P10" s="105">
        <v>2966.9</v>
      </c>
      <c r="Q10" s="105">
        <v>3273.4</v>
      </c>
      <c r="R10" s="170">
        <f t="shared" ref="R10:R13" si="11">SUM(N10:Q10)</f>
        <v>11930.9</v>
      </c>
      <c r="S10" s="48">
        <v>3400</v>
      </c>
      <c r="T10" s="48">
        <v>3314.7</v>
      </c>
      <c r="U10" s="48">
        <v>3302.5</v>
      </c>
      <c r="V10" s="48">
        <v>3544.7</v>
      </c>
      <c r="W10" s="170">
        <f t="shared" ref="W10:W13" si="12">SUM(S10:V10)</f>
        <v>13561.900000000001</v>
      </c>
      <c r="X10" s="105">
        <v>3665.3</v>
      </c>
      <c r="Y10" s="105">
        <v>3636</v>
      </c>
      <c r="Z10" s="48">
        <f>+Z62+Z95</f>
        <v>3821.5561906152252</v>
      </c>
      <c r="AA10" s="48">
        <f>+AA62+AA95</f>
        <v>3877.6416033537453</v>
      </c>
      <c r="AB10" s="49">
        <f t="shared" ref="AB10:AB13" si="13">SUM(X10:AA10)</f>
        <v>15000.497793968971</v>
      </c>
      <c r="AC10" s="48">
        <f>+AC62+AC95</f>
        <v>4069.997118349519</v>
      </c>
      <c r="AD10" s="48">
        <f>+AD62+AD95</f>
        <v>3971.8107230408295</v>
      </c>
      <c r="AE10" s="48">
        <f>+AE62+AE95</f>
        <v>4211.0501658739313</v>
      </c>
      <c r="AF10" s="48">
        <f>+AF62+AF95</f>
        <v>4333.5518627471374</v>
      </c>
      <c r="AG10" s="49">
        <f t="shared" ref="AG10:AG14" si="14">SUM(AC10:AF10)</f>
        <v>16586.409870011419</v>
      </c>
      <c r="AH10" s="48">
        <f>+AH62+AH95</f>
        <v>4529.1830958254068</v>
      </c>
      <c r="AI10" s="48">
        <f>+AI62+AI95</f>
        <v>4418.0381617930998</v>
      </c>
      <c r="AJ10" s="48">
        <f>+AJ62+AJ95</f>
        <v>4655.0505498833463</v>
      </c>
      <c r="AK10" s="48">
        <f>+AK62+AK95</f>
        <v>4832.031216563546</v>
      </c>
      <c r="AL10" s="49">
        <f t="shared" ref="AL10:AL14" si="15">SUM(AH10:AK10)</f>
        <v>18434.303024065397</v>
      </c>
      <c r="AM10" s="48">
        <f>+AM62+AM95</f>
        <v>4980.9843568004071</v>
      </c>
      <c r="AN10" s="48">
        <f>+AN62+AN95</f>
        <v>4840.9870410339472</v>
      </c>
      <c r="AO10" s="48">
        <f>+AO62+AO95</f>
        <v>5091.147420506737</v>
      </c>
      <c r="AP10" s="48">
        <f>+AP62+AP95</f>
        <v>5270.7150897277261</v>
      </c>
      <c r="AQ10" s="49">
        <f t="shared" ref="AQ10:AQ14" si="16">SUM(AM10:AP10)</f>
        <v>20183.833908068817</v>
      </c>
      <c r="AR10" s="48">
        <f>+AR62+AR95</f>
        <v>5320.99113735848</v>
      </c>
      <c r="AS10" s="48">
        <f>+AS62+AS95</f>
        <v>5168.6779072393074</v>
      </c>
      <c r="AT10" s="48">
        <f>+AT62+AT95</f>
        <v>5435.2047011638151</v>
      </c>
      <c r="AU10" s="48">
        <f>+AU62+AU95</f>
        <v>5625.4215773822825</v>
      </c>
      <c r="AV10" s="49">
        <f t="shared" ref="AV10:AV14" si="17">SUM(AR10:AU10)</f>
        <v>21550.295323143884</v>
      </c>
    </row>
    <row r="11" spans="1:48" outlineLevel="1" x14ac:dyDescent="0.3">
      <c r="B11" s="38" t="s">
        <v>33</v>
      </c>
      <c r="C11" s="18"/>
      <c r="D11" s="105">
        <v>97.6</v>
      </c>
      <c r="E11" s="105">
        <v>87.1</v>
      </c>
      <c r="F11" s="105">
        <v>94.4</v>
      </c>
      <c r="G11" s="105">
        <f t="shared" si="0"/>
        <v>91.900000000000034</v>
      </c>
      <c r="H11" s="170">
        <v>371</v>
      </c>
      <c r="I11" s="105">
        <v>101.8</v>
      </c>
      <c r="J11" s="105">
        <v>95</v>
      </c>
      <c r="K11" s="105">
        <v>133.6</v>
      </c>
      <c r="L11" s="48">
        <v>99.9</v>
      </c>
      <c r="M11" s="49">
        <f t="shared" si="10"/>
        <v>430.29999999999995</v>
      </c>
      <c r="N11" s="48">
        <v>91.8</v>
      </c>
      <c r="O11" s="105">
        <v>87.7</v>
      </c>
      <c r="P11" s="105">
        <v>71.400000000000006</v>
      </c>
      <c r="Q11" s="105">
        <v>108.6</v>
      </c>
      <c r="R11" s="170">
        <f t="shared" si="11"/>
        <v>359.5</v>
      </c>
      <c r="S11" s="48">
        <v>101.7</v>
      </c>
      <c r="T11" s="48">
        <v>101.7</v>
      </c>
      <c r="U11" s="48">
        <v>135.1</v>
      </c>
      <c r="V11" s="48">
        <v>123.1</v>
      </c>
      <c r="W11" s="170">
        <f t="shared" si="12"/>
        <v>461.6</v>
      </c>
      <c r="X11" s="105">
        <v>129.30000000000001</v>
      </c>
      <c r="Y11" s="105">
        <v>126.2</v>
      </c>
      <c r="Z11" s="48">
        <f>+Z64+Z97+Z112+Z126</f>
        <v>147.59713928506753</v>
      </c>
      <c r="AA11" s="48">
        <f>+AA64+AA97+AA112+AA126</f>
        <v>140.96603950546478</v>
      </c>
      <c r="AB11" s="49">
        <f t="shared" si="13"/>
        <v>544.06317879053233</v>
      </c>
      <c r="AC11" s="48">
        <f>+AC64+AC97+AC112+AC126</f>
        <v>152.27171848200047</v>
      </c>
      <c r="AD11" s="48">
        <f>+AD64+AD97+AD112+AD126</f>
        <v>143.81225402887284</v>
      </c>
      <c r="AE11" s="48">
        <f>+AE64+AE97+AE112+AE126</f>
        <v>152.43350995934827</v>
      </c>
      <c r="AF11" s="48">
        <f>+AF64+AF97+AF112+AF126</f>
        <v>157.776604485326</v>
      </c>
      <c r="AG11" s="49">
        <f t="shared" si="14"/>
        <v>606.29408695554753</v>
      </c>
      <c r="AH11" s="48">
        <f>+AH64+AH97+AH112+AH126</f>
        <v>166.22526806162006</v>
      </c>
      <c r="AI11" s="48">
        <f>+AI64+AI97+AI112+AI126</f>
        <v>156.20115760936642</v>
      </c>
      <c r="AJ11" s="48">
        <f>+AJ64+AJ97+AJ112+AJ126</f>
        <v>153.79446238905155</v>
      </c>
      <c r="AK11" s="48">
        <f>+AK64+AK97+AK112+AK126</f>
        <v>171.31956503907341</v>
      </c>
      <c r="AL11" s="49">
        <f t="shared" si="15"/>
        <v>647.54045309911146</v>
      </c>
      <c r="AM11" s="48">
        <f>+AM64+AM97+AM112+AM126</f>
        <v>184.1780374773823</v>
      </c>
      <c r="AN11" s="48">
        <f>+AN64+AN97+AN112+AN126</f>
        <v>171.64720279022285</v>
      </c>
      <c r="AO11" s="48">
        <f>+AO64+AO97+AO112+AO126</f>
        <v>167.8794668532864</v>
      </c>
      <c r="AP11" s="48">
        <f>+AP64+AP97+AP112+AP126</f>
        <v>186.35412763776591</v>
      </c>
      <c r="AQ11" s="49">
        <f t="shared" si="16"/>
        <v>710.05883475865755</v>
      </c>
      <c r="AR11" s="48">
        <f>+AR64+AR97+AR112+AR126</f>
        <v>196.02190485111177</v>
      </c>
      <c r="AS11" s="48">
        <f>+AS64+AS97+AS112+AS126</f>
        <v>182.57447079744233</v>
      </c>
      <c r="AT11" s="48">
        <f>+AT64+AT97+AT112+AT126</f>
        <v>178.47954681513588</v>
      </c>
      <c r="AU11" s="48">
        <f>+AU64+AU97+AU112+AU126</f>
        <v>198.30747453367371</v>
      </c>
      <c r="AV11" s="49">
        <f t="shared" si="17"/>
        <v>755.38339699736366</v>
      </c>
    </row>
    <row r="12" spans="1:48" outlineLevel="1" x14ac:dyDescent="0.3">
      <c r="B12" s="38" t="s">
        <v>34</v>
      </c>
      <c r="C12" s="18"/>
      <c r="D12" s="105">
        <v>333.4</v>
      </c>
      <c r="E12" s="105">
        <v>356.2</v>
      </c>
      <c r="F12" s="105">
        <v>343.1</v>
      </c>
      <c r="G12" s="105">
        <f t="shared" si="0"/>
        <v>344.5999999999998</v>
      </c>
      <c r="H12" s="170">
        <v>1377.3</v>
      </c>
      <c r="I12" s="105">
        <v>351</v>
      </c>
      <c r="J12" s="105">
        <v>356.3</v>
      </c>
      <c r="K12" s="105">
        <v>361</v>
      </c>
      <c r="L12" s="48">
        <v>362.9</v>
      </c>
      <c r="M12" s="49">
        <f t="shared" ref="M12" si="18">SUM(I12:L12)</f>
        <v>1431.1999999999998</v>
      </c>
      <c r="N12" s="48">
        <v>366.1</v>
      </c>
      <c r="O12" s="105">
        <v>366.7</v>
      </c>
      <c r="P12" s="105">
        <v>354.3</v>
      </c>
      <c r="Q12" s="105">
        <v>354.7</v>
      </c>
      <c r="R12" s="170">
        <f t="shared" ref="R12" si="19">SUM(N12:Q12)</f>
        <v>1441.8</v>
      </c>
      <c r="S12" s="48">
        <v>366</v>
      </c>
      <c r="T12" s="48">
        <v>367.7</v>
      </c>
      <c r="U12" s="48">
        <v>356.8</v>
      </c>
      <c r="V12" s="48">
        <v>357.4</v>
      </c>
      <c r="W12" s="170">
        <f t="shared" ref="W12" si="20">SUM(S12:V12)</f>
        <v>1447.9</v>
      </c>
      <c r="X12" s="105">
        <v>327.10000000000002</v>
      </c>
      <c r="Y12" s="105">
        <v>341.9</v>
      </c>
      <c r="Z12" s="48">
        <f t="shared" ref="Z12:AA13" si="21">+Z66+Z99+Z114+Z127</f>
        <v>358.97863142275145</v>
      </c>
      <c r="AA12" s="48">
        <f t="shared" si="21"/>
        <v>369.16766398149059</v>
      </c>
      <c r="AB12" s="49">
        <f t="shared" ref="AB12" si="22">SUM(X12:AA12)</f>
        <v>1397.1462954042422</v>
      </c>
      <c r="AC12" s="48">
        <f t="shared" ref="AC12:AF13" si="23">+AC66+AC99+AC114+AC127</f>
        <v>385.25925470918571</v>
      </c>
      <c r="AD12" s="48">
        <f t="shared" si="23"/>
        <v>402.82767680044378</v>
      </c>
      <c r="AE12" s="48">
        <f t="shared" si="23"/>
        <v>416.36575461501559</v>
      </c>
      <c r="AF12" s="48">
        <f t="shared" si="23"/>
        <v>428.27893014913781</v>
      </c>
      <c r="AG12" s="49">
        <f t="shared" si="14"/>
        <v>1632.7316162737827</v>
      </c>
      <c r="AH12" s="48">
        <f t="shared" ref="AH12:AK13" si="24">+AH66+AH99+AH114+AH127</f>
        <v>442.01460150250102</v>
      </c>
      <c r="AI12" s="48">
        <f t="shared" si="24"/>
        <v>453.58701549223656</v>
      </c>
      <c r="AJ12" s="48">
        <f t="shared" si="24"/>
        <v>463.16936571494978</v>
      </c>
      <c r="AK12" s="48">
        <f t="shared" si="24"/>
        <v>474.22618890876424</v>
      </c>
      <c r="AL12" s="49">
        <f t="shared" si="15"/>
        <v>1832.9971716184516</v>
      </c>
      <c r="AM12" s="48">
        <f t="shared" ref="AM12:AP13" si="25">+AM66+AM99+AM114+AM127</f>
        <v>485.63596372391027</v>
      </c>
      <c r="AN12" s="48">
        <f t="shared" si="25"/>
        <v>497.58261862815294</v>
      </c>
      <c r="AO12" s="48">
        <f t="shared" si="25"/>
        <v>507.98874095166394</v>
      </c>
      <c r="AP12" s="48">
        <f t="shared" si="25"/>
        <v>520.23641535035017</v>
      </c>
      <c r="AQ12" s="49">
        <f t="shared" si="16"/>
        <v>2011.4437386540774</v>
      </c>
      <c r="AR12" s="48">
        <f t="shared" ref="AR12:AU13" si="26">+AR66+AR99+AR114+AR127</f>
        <v>532.28976482099665</v>
      </c>
      <c r="AS12" s="48">
        <f t="shared" si="26"/>
        <v>544.03496872700293</v>
      </c>
      <c r="AT12" s="48">
        <f t="shared" si="26"/>
        <v>554.3523958723456</v>
      </c>
      <c r="AU12" s="48">
        <f t="shared" si="26"/>
        <v>566.67708868090415</v>
      </c>
      <c r="AV12" s="49">
        <f t="shared" si="17"/>
        <v>2197.3542181012494</v>
      </c>
    </row>
    <row r="13" spans="1:48" ht="17.25" customHeight="1" outlineLevel="1" x14ac:dyDescent="0.3">
      <c r="B13" s="38" t="s">
        <v>83</v>
      </c>
      <c r="C13" s="18"/>
      <c r="D13" s="105">
        <v>448</v>
      </c>
      <c r="E13" s="105">
        <v>458.1</v>
      </c>
      <c r="F13" s="105">
        <v>459.7</v>
      </c>
      <c r="G13" s="105">
        <f t="shared" si="0"/>
        <v>458.29999999999984</v>
      </c>
      <c r="H13" s="170">
        <v>1824.1</v>
      </c>
      <c r="I13" s="105">
        <v>434.2</v>
      </c>
      <c r="J13" s="105">
        <v>406.5</v>
      </c>
      <c r="K13" s="105">
        <v>399.9</v>
      </c>
      <c r="L13" s="48">
        <v>439</v>
      </c>
      <c r="M13" s="170">
        <f t="shared" si="10"/>
        <v>1679.6</v>
      </c>
      <c r="N13" s="48">
        <v>472.1</v>
      </c>
      <c r="O13" s="105">
        <v>464.4</v>
      </c>
      <c r="P13" s="105">
        <v>494.9</v>
      </c>
      <c r="Q13" s="105">
        <v>501.2</v>
      </c>
      <c r="R13" s="170">
        <f t="shared" si="11"/>
        <v>1932.6000000000001</v>
      </c>
      <c r="S13" s="48">
        <v>525.79999999999995</v>
      </c>
      <c r="T13" s="48">
        <v>481.5</v>
      </c>
      <c r="U13" s="48">
        <v>486.7</v>
      </c>
      <c r="V13" s="48">
        <v>538</v>
      </c>
      <c r="W13" s="170">
        <f t="shared" si="12"/>
        <v>2032</v>
      </c>
      <c r="X13" s="105">
        <v>580.9</v>
      </c>
      <c r="Y13" s="105">
        <v>620.4</v>
      </c>
      <c r="Z13" s="48">
        <f t="shared" si="21"/>
        <v>582.44378916888968</v>
      </c>
      <c r="AA13" s="48">
        <f t="shared" si="21"/>
        <v>528.96585613603725</v>
      </c>
      <c r="AB13" s="49">
        <f t="shared" si="13"/>
        <v>2312.7096453049271</v>
      </c>
      <c r="AC13" s="48">
        <f t="shared" si="23"/>
        <v>591.77650245770315</v>
      </c>
      <c r="AD13" s="48">
        <f t="shared" si="23"/>
        <v>622.65828821269338</v>
      </c>
      <c r="AE13" s="48">
        <f t="shared" si="23"/>
        <v>615.84764456831203</v>
      </c>
      <c r="AF13" s="48">
        <f t="shared" si="23"/>
        <v>547.3145884514314</v>
      </c>
      <c r="AG13" s="49">
        <f t="shared" si="14"/>
        <v>2377.5970236901398</v>
      </c>
      <c r="AH13" s="48">
        <f t="shared" si="24"/>
        <v>602.1584270687423</v>
      </c>
      <c r="AI13" s="48">
        <f t="shared" si="24"/>
        <v>634.2098492126961</v>
      </c>
      <c r="AJ13" s="48">
        <f t="shared" si="24"/>
        <v>634.65549888362659</v>
      </c>
      <c r="AK13" s="48">
        <f t="shared" si="24"/>
        <v>555.84621346716847</v>
      </c>
      <c r="AL13" s="49">
        <f t="shared" si="15"/>
        <v>2426.8699886322333</v>
      </c>
      <c r="AM13" s="48">
        <f t="shared" si="25"/>
        <v>625.37953292146597</v>
      </c>
      <c r="AN13" s="48">
        <f t="shared" si="25"/>
        <v>658.99966343303208</v>
      </c>
      <c r="AO13" s="48">
        <f t="shared" si="25"/>
        <v>658.99309364618068</v>
      </c>
      <c r="AP13" s="48">
        <f t="shared" si="25"/>
        <v>571.06590333372048</v>
      </c>
      <c r="AQ13" s="49">
        <f t="shared" si="16"/>
        <v>2514.4381933343993</v>
      </c>
      <c r="AR13" s="48">
        <f t="shared" si="26"/>
        <v>640.41189831192605</v>
      </c>
      <c r="AS13" s="48">
        <f t="shared" si="26"/>
        <v>676.3073396709683</v>
      </c>
      <c r="AT13" s="48">
        <f t="shared" si="26"/>
        <v>676.37399547548694</v>
      </c>
      <c r="AU13" s="48">
        <f t="shared" si="26"/>
        <v>582.89267877346697</v>
      </c>
      <c r="AV13" s="49">
        <f t="shared" si="17"/>
        <v>2575.9859122318485</v>
      </c>
    </row>
    <row r="14" spans="1:48" ht="17.25" customHeight="1" outlineLevel="1" x14ac:dyDescent="0.45">
      <c r="B14" s="38" t="s">
        <v>456</v>
      </c>
      <c r="C14" s="18"/>
      <c r="D14" s="104">
        <v>43.2</v>
      </c>
      <c r="E14" s="104">
        <v>43</v>
      </c>
      <c r="F14" s="104">
        <v>37.700000000000003</v>
      </c>
      <c r="G14" s="104">
        <f t="shared" si="0"/>
        <v>11.900000000000006</v>
      </c>
      <c r="H14" s="173">
        <v>135.80000000000001</v>
      </c>
      <c r="I14" s="104">
        <v>6.3</v>
      </c>
      <c r="J14" s="104">
        <v>-0.7</v>
      </c>
      <c r="K14" s="104">
        <v>78.099999999999994</v>
      </c>
      <c r="L14" s="104">
        <v>195</v>
      </c>
      <c r="M14" s="53">
        <f t="shared" ref="M14" si="27">SUM(I14:L14)</f>
        <v>278.7</v>
      </c>
      <c r="N14" s="52">
        <v>72.2</v>
      </c>
      <c r="O14" s="104">
        <v>23</v>
      </c>
      <c r="P14" s="104">
        <v>19.8</v>
      </c>
      <c r="Q14" s="104">
        <v>55.5</v>
      </c>
      <c r="R14" s="173">
        <f t="shared" ref="R14" si="28">SUM(N14:Q14)</f>
        <v>170.5</v>
      </c>
      <c r="S14" s="52">
        <v>-7.5</v>
      </c>
      <c r="T14" s="52">
        <v>4.4000000000000004</v>
      </c>
      <c r="U14" s="52">
        <v>14</v>
      </c>
      <c r="V14" s="52">
        <v>35.1</v>
      </c>
      <c r="W14" s="173">
        <f t="shared" ref="W14" si="29">SUM(S14:V14)</f>
        <v>46</v>
      </c>
      <c r="X14" s="104">
        <v>5.8</v>
      </c>
      <c r="Y14" s="104">
        <f>8.8-91.3</f>
        <v>-82.5</v>
      </c>
      <c r="Z14" s="52">
        <f>+Z69+Z102+Z117+Z129</f>
        <v>7</v>
      </c>
      <c r="AA14" s="52">
        <f>+AA69+AA102+AA117+AA129</f>
        <v>7</v>
      </c>
      <c r="AB14" s="53">
        <f t="shared" ref="AB14" si="30">SUM(X14:AA14)</f>
        <v>-62.7</v>
      </c>
      <c r="AC14" s="52">
        <f>+AC69+AC102+AC117+AC129</f>
        <v>7</v>
      </c>
      <c r="AD14" s="52">
        <f>+AD69+AD102+AD117+AD129</f>
        <v>7</v>
      </c>
      <c r="AE14" s="52">
        <f>+AE69+AE102+AE117+AE129</f>
        <v>7</v>
      </c>
      <c r="AF14" s="52">
        <f>+AF69+AF102+AF117+AF129</f>
        <v>7</v>
      </c>
      <c r="AG14" s="53">
        <f t="shared" si="14"/>
        <v>28</v>
      </c>
      <c r="AH14" s="52">
        <f>+AH69+AH102+AH117+AH129</f>
        <v>7</v>
      </c>
      <c r="AI14" s="52">
        <f>+AI69+AI102+AI117+AI129</f>
        <v>7</v>
      </c>
      <c r="AJ14" s="52">
        <f>+AJ69+AJ102+AJ117+AJ129</f>
        <v>7</v>
      </c>
      <c r="AK14" s="52">
        <f>+AK69+AK102+AK117+AK129</f>
        <v>7</v>
      </c>
      <c r="AL14" s="53">
        <f t="shared" si="15"/>
        <v>28</v>
      </c>
      <c r="AM14" s="52">
        <f>+AM69+AM102+AM117+AM129</f>
        <v>7</v>
      </c>
      <c r="AN14" s="52">
        <f>+AN69+AN102+AN117+AN129</f>
        <v>7</v>
      </c>
      <c r="AO14" s="52">
        <f>+AO69+AO102+AO117+AO129</f>
        <v>7</v>
      </c>
      <c r="AP14" s="52">
        <f>+AP69+AP102+AP117+AP129</f>
        <v>7</v>
      </c>
      <c r="AQ14" s="53">
        <f t="shared" si="16"/>
        <v>28</v>
      </c>
      <c r="AR14" s="52">
        <f>+AR69+AR102+AR117+AR129</f>
        <v>7</v>
      </c>
      <c r="AS14" s="52">
        <f>+AS69+AS102+AS117+AS129</f>
        <v>7</v>
      </c>
      <c r="AT14" s="52">
        <f>+AT69+AT102+AT117+AT129</f>
        <v>7</v>
      </c>
      <c r="AU14" s="52">
        <f>+AU69+AU102+AU117+AU129</f>
        <v>7</v>
      </c>
      <c r="AV14" s="53">
        <f t="shared" si="17"/>
        <v>28</v>
      </c>
    </row>
    <row r="15" spans="1:48" s="20" customFormat="1" ht="17.25" customHeight="1" x14ac:dyDescent="0.45">
      <c r="B15" s="46" t="s">
        <v>8</v>
      </c>
      <c r="C15" s="19"/>
      <c r="D15" s="106">
        <f t="shared" ref="D15:AL15" si="31">SUM(D10:D14)+D9</f>
        <v>5684.8</v>
      </c>
      <c r="E15" s="106">
        <f t="shared" si="31"/>
        <v>5510.5</v>
      </c>
      <c r="F15" s="106">
        <f t="shared" si="31"/>
        <v>5777.6999999999989</v>
      </c>
      <c r="G15" s="106">
        <f t="shared" si="31"/>
        <v>5755.7</v>
      </c>
      <c r="H15" s="175">
        <f t="shared" si="31"/>
        <v>22728.699999999997</v>
      </c>
      <c r="I15" s="106">
        <f t="shared" si="31"/>
        <v>5951.2000000000007</v>
      </c>
      <c r="J15" s="106">
        <f t="shared" si="31"/>
        <v>5576.2000000000007</v>
      </c>
      <c r="K15" s="106">
        <f t="shared" si="31"/>
        <v>4994.3999999999996</v>
      </c>
      <c r="L15" s="54">
        <f t="shared" si="31"/>
        <v>5757</v>
      </c>
      <c r="M15" s="55">
        <f t="shared" si="31"/>
        <v>22278.799999999999</v>
      </c>
      <c r="N15" s="54">
        <f t="shared" si="31"/>
        <v>5918.6</v>
      </c>
      <c r="O15" s="106">
        <f t="shared" si="31"/>
        <v>5757.5</v>
      </c>
      <c r="P15" s="106">
        <f>SUM(P10:P14)+P9</f>
        <v>6113.3000000000011</v>
      </c>
      <c r="Q15" s="106">
        <f>SUM(Q10:Q14)+Q9</f>
        <v>6784.5</v>
      </c>
      <c r="R15" s="175">
        <f t="shared" si="31"/>
        <v>24573.9</v>
      </c>
      <c r="S15" s="54">
        <f t="shared" si="31"/>
        <v>6912.9</v>
      </c>
      <c r="T15" s="54">
        <f t="shared" si="31"/>
        <v>6735.7999999999993</v>
      </c>
      <c r="U15" s="54">
        <f t="shared" si="31"/>
        <v>6908.7000000000007</v>
      </c>
      <c r="V15" s="54">
        <f t="shared" si="31"/>
        <v>7309.3</v>
      </c>
      <c r="W15" s="175">
        <f t="shared" si="31"/>
        <v>27866.700000000004</v>
      </c>
      <c r="X15" s="106">
        <f>SUM(X10:X14)+X9</f>
        <v>7518.6</v>
      </c>
      <c r="Y15" s="106">
        <f>SUM(Y10:Y14)+Y9</f>
        <v>7443.6999999999989</v>
      </c>
      <c r="Z15" s="54">
        <f t="shared" si="31"/>
        <v>7870.2866592513346</v>
      </c>
      <c r="AA15" s="54">
        <f>SUM(AA10:AA14)+AA9</f>
        <v>7823.0422978909501</v>
      </c>
      <c r="AB15" s="55">
        <f>SUM(AB10:AB14)+AB9</f>
        <v>30655.628957142286</v>
      </c>
      <c r="AC15" s="54">
        <f t="shared" si="31"/>
        <v>8309.1350773856448</v>
      </c>
      <c r="AD15" s="54">
        <f t="shared" si="31"/>
        <v>8169.3288188740353</v>
      </c>
      <c r="AE15" s="54">
        <f t="shared" si="31"/>
        <v>8628.1070689476655</v>
      </c>
      <c r="AF15" s="54">
        <f t="shared" si="31"/>
        <v>8730.9417355495134</v>
      </c>
      <c r="AG15" s="55">
        <f t="shared" si="31"/>
        <v>33837.512700756866</v>
      </c>
      <c r="AH15" s="54">
        <f t="shared" si="31"/>
        <v>9177.3321298481715</v>
      </c>
      <c r="AI15" s="54">
        <f t="shared" si="31"/>
        <v>9009.1653262006948</v>
      </c>
      <c r="AJ15" s="54">
        <f t="shared" si="31"/>
        <v>9450.8051551167555</v>
      </c>
      <c r="AK15" s="54">
        <f t="shared" si="31"/>
        <v>9645.0576513414635</v>
      </c>
      <c r="AL15" s="55">
        <f t="shared" si="31"/>
        <v>37282.360262507078</v>
      </c>
      <c r="AM15" s="54">
        <f t="shared" ref="AM15:AQ15" si="32">SUM(AM10:AM14)+AM9</f>
        <v>10042.032181482369</v>
      </c>
      <c r="AN15" s="54">
        <f t="shared" si="32"/>
        <v>9820.3365960677602</v>
      </c>
      <c r="AO15" s="54">
        <f t="shared" si="32"/>
        <v>10277.426112243771</v>
      </c>
      <c r="AP15" s="54">
        <f t="shared" si="32"/>
        <v>10459.94065526439</v>
      </c>
      <c r="AQ15" s="55">
        <f t="shared" si="32"/>
        <v>40599.735545058284</v>
      </c>
      <c r="AR15" s="54">
        <f t="shared" ref="AR15:AV15" si="33">SUM(AR10:AR14)+AR9</f>
        <v>10690.870426543346</v>
      </c>
      <c r="AS15" s="54">
        <f t="shared" si="33"/>
        <v>10449.717741437376</v>
      </c>
      <c r="AT15" s="54">
        <f t="shared" si="33"/>
        <v>10934.538819054485</v>
      </c>
      <c r="AU15" s="54">
        <f t="shared" si="33"/>
        <v>11126.870683963367</v>
      </c>
      <c r="AV15" s="55">
        <f t="shared" si="33"/>
        <v>43201.997670998571</v>
      </c>
    </row>
    <row r="16" spans="1:48" s="23" customFormat="1" ht="17.25" customHeight="1" x14ac:dyDescent="0.45">
      <c r="B16" s="591" t="s">
        <v>36</v>
      </c>
      <c r="C16" s="592"/>
      <c r="D16" s="104">
        <v>67.8</v>
      </c>
      <c r="E16" s="104">
        <v>62.3</v>
      </c>
      <c r="F16" s="104">
        <v>76</v>
      </c>
      <c r="G16" s="104">
        <f t="shared" si="0"/>
        <v>91.899999999999991</v>
      </c>
      <c r="H16" s="173">
        <v>298</v>
      </c>
      <c r="I16" s="104">
        <v>73.900000000000006</v>
      </c>
      <c r="J16" s="104">
        <v>67.900000000000006</v>
      </c>
      <c r="K16" s="104">
        <v>68.400000000000006</v>
      </c>
      <c r="L16" s="52">
        <v>112.2</v>
      </c>
      <c r="M16" s="53">
        <f t="shared" ref="M16" si="34">SUM(I16:L16)</f>
        <v>322.40000000000003</v>
      </c>
      <c r="N16" s="52">
        <v>82.7</v>
      </c>
      <c r="O16" s="104">
        <v>77.099999999999994</v>
      </c>
      <c r="P16" s="104">
        <v>105.5</v>
      </c>
      <c r="Q16" s="104">
        <v>120</v>
      </c>
      <c r="R16" s="173">
        <f t="shared" ref="R16" si="35">SUM(N16:Q16)</f>
        <v>385.3</v>
      </c>
      <c r="S16" s="52">
        <v>40.299999999999997</v>
      </c>
      <c r="T16" s="52">
        <v>49.1</v>
      </c>
      <c r="U16" s="52">
        <v>54.1</v>
      </c>
      <c r="V16" s="52">
        <v>90.6</v>
      </c>
      <c r="W16" s="173">
        <f t="shared" ref="W16" si="36">SUM(S16:V16)</f>
        <v>234.1</v>
      </c>
      <c r="X16" s="104">
        <v>57.8</v>
      </c>
      <c r="Y16" s="104">
        <v>51.4</v>
      </c>
      <c r="Z16" s="52">
        <f>+Z104+Z119</f>
        <v>51.2</v>
      </c>
      <c r="AA16" s="52">
        <f>+AA104+AA119</f>
        <v>51.300000000000004</v>
      </c>
      <c r="AB16" s="53">
        <f t="shared" ref="AB16" si="37">SUM(X16:AA16)</f>
        <v>211.7</v>
      </c>
      <c r="AC16" s="52">
        <f>+AC104+AC119</f>
        <v>51.6</v>
      </c>
      <c r="AD16" s="52">
        <f>+AD104+AD119</f>
        <v>51.6</v>
      </c>
      <c r="AE16" s="52">
        <f>+AE104+AE119</f>
        <v>51.6</v>
      </c>
      <c r="AF16" s="52">
        <f>+AF104+AF119</f>
        <v>51.6</v>
      </c>
      <c r="AG16" s="53">
        <f t="shared" ref="AG16" si="38">SUM(AC16:AF16)</f>
        <v>206.4</v>
      </c>
      <c r="AH16" s="52">
        <f>+AH104+AH119</f>
        <v>51.6</v>
      </c>
      <c r="AI16" s="52">
        <f>+AI104+AI119</f>
        <v>51.6</v>
      </c>
      <c r="AJ16" s="52">
        <f>+AJ104+AJ119</f>
        <v>51.6</v>
      </c>
      <c r="AK16" s="52">
        <f>+AK104+AK119</f>
        <v>51.6</v>
      </c>
      <c r="AL16" s="53">
        <f t="shared" ref="AL16" si="39">SUM(AH16:AK16)</f>
        <v>206.4</v>
      </c>
      <c r="AM16" s="52">
        <f>+AM104+AM119</f>
        <v>51.6</v>
      </c>
      <c r="AN16" s="52">
        <f>+AN104+AN119</f>
        <v>51.6</v>
      </c>
      <c r="AO16" s="52">
        <f>+AO104+AO119</f>
        <v>51.6</v>
      </c>
      <c r="AP16" s="52">
        <f>+AP104+AP119</f>
        <v>51.6</v>
      </c>
      <c r="AQ16" s="53">
        <f t="shared" ref="AQ16" si="40">SUM(AM16:AP16)</f>
        <v>206.4</v>
      </c>
      <c r="AR16" s="52">
        <f>+AR104+AR119</f>
        <v>51.6</v>
      </c>
      <c r="AS16" s="52">
        <f>+AS104+AS119</f>
        <v>51.6</v>
      </c>
      <c r="AT16" s="52">
        <f>+AT104+AT119</f>
        <v>51.6</v>
      </c>
      <c r="AU16" s="52">
        <f>+AU104+AU119</f>
        <v>51.6</v>
      </c>
      <c r="AV16" s="53">
        <f t="shared" ref="AV16" si="41">SUM(AR16:AU16)</f>
        <v>206.4</v>
      </c>
    </row>
    <row r="17" spans="1:48" x14ac:dyDescent="0.3">
      <c r="B17" s="135" t="s">
        <v>10</v>
      </c>
      <c r="C17" s="136"/>
      <c r="D17" s="103">
        <f t="shared" ref="D17:AV17" si="42">D8-D15+D16</f>
        <v>1015.7000000000005</v>
      </c>
      <c r="E17" s="103">
        <f t="shared" si="42"/>
        <v>857.69999999999959</v>
      </c>
      <c r="F17" s="103">
        <f t="shared" si="42"/>
        <v>1121.3000000000011</v>
      </c>
      <c r="G17" s="103">
        <f t="shared" si="42"/>
        <v>1083.2000000000012</v>
      </c>
      <c r="H17" s="171">
        <f t="shared" si="42"/>
        <v>4077.9000000000051</v>
      </c>
      <c r="I17" s="103">
        <f t="shared" si="42"/>
        <v>1219.7999999999988</v>
      </c>
      <c r="J17" s="103">
        <f t="shared" si="42"/>
        <v>487.39999999999907</v>
      </c>
      <c r="K17" s="103">
        <f t="shared" si="42"/>
        <v>-703.8999999999993</v>
      </c>
      <c r="L17" s="50">
        <f t="shared" si="42"/>
        <v>558.30000000000041</v>
      </c>
      <c r="M17" s="51">
        <f t="shared" si="42"/>
        <v>1561.6000000000045</v>
      </c>
      <c r="N17" s="50">
        <f t="shared" si="42"/>
        <v>913.50000000000023</v>
      </c>
      <c r="O17" s="103">
        <f t="shared" si="42"/>
        <v>987.6</v>
      </c>
      <c r="P17" s="103">
        <f>P8-P15+P16</f>
        <v>1488.6999999999989</v>
      </c>
      <c r="Q17" s="103">
        <f>Q8-Q15+Q16</f>
        <v>1482.1999999999998</v>
      </c>
      <c r="R17" s="171">
        <f t="shared" si="42"/>
        <v>4871.9999999999973</v>
      </c>
      <c r="S17" s="50">
        <f t="shared" si="42"/>
        <v>1177.8</v>
      </c>
      <c r="T17" s="50">
        <f t="shared" si="42"/>
        <v>948.9000000000002</v>
      </c>
      <c r="U17" s="50">
        <f t="shared" si="42"/>
        <v>1295.4999999999995</v>
      </c>
      <c r="V17" s="50">
        <f t="shared" si="42"/>
        <v>1195.4999999999986</v>
      </c>
      <c r="W17" s="171">
        <f t="shared" si="42"/>
        <v>4617.6999999999953</v>
      </c>
      <c r="X17" s="103">
        <f t="shared" si="42"/>
        <v>1253.0999999999992</v>
      </c>
      <c r="Y17" s="103">
        <f>Y8-Y15+Y16</f>
        <v>1327.5000000000005</v>
      </c>
      <c r="Z17" s="50">
        <f t="shared" si="42"/>
        <v>1488.4863776059149</v>
      </c>
      <c r="AA17" s="50">
        <f t="shared" si="42"/>
        <v>1639.5154972319749</v>
      </c>
      <c r="AB17" s="51">
        <f>AB8-AB15+AB16</f>
        <v>5708.601874837891</v>
      </c>
      <c r="AC17" s="50">
        <f t="shared" si="42"/>
        <v>1505.0561673074039</v>
      </c>
      <c r="AD17" s="50">
        <f t="shared" si="42"/>
        <v>1492.4587977059959</v>
      </c>
      <c r="AE17" s="50">
        <f t="shared" si="42"/>
        <v>1680.9484367534637</v>
      </c>
      <c r="AF17" s="50">
        <f t="shared" si="42"/>
        <v>1689.5713268709201</v>
      </c>
      <c r="AG17" s="51">
        <f t="shared" si="42"/>
        <v>6368.034728637771</v>
      </c>
      <c r="AH17" s="50">
        <f t="shared" si="42"/>
        <v>1742.3377706735205</v>
      </c>
      <c r="AI17" s="50">
        <f t="shared" si="42"/>
        <v>1747.7747080335407</v>
      </c>
      <c r="AJ17" s="50">
        <f t="shared" si="42"/>
        <v>2034.5102108696969</v>
      </c>
      <c r="AK17" s="50">
        <f t="shared" si="42"/>
        <v>1986.5051662698638</v>
      </c>
      <c r="AL17" s="51">
        <f t="shared" si="42"/>
        <v>7511.1278558466202</v>
      </c>
      <c r="AM17" s="50">
        <f t="shared" si="42"/>
        <v>1942.1068462350227</v>
      </c>
      <c r="AN17" s="50">
        <f t="shared" si="42"/>
        <v>1942.3932069477537</v>
      </c>
      <c r="AO17" s="50">
        <f t="shared" si="42"/>
        <v>2238.8784052817477</v>
      </c>
      <c r="AP17" s="50">
        <f t="shared" si="42"/>
        <v>2174.5663505143089</v>
      </c>
      <c r="AQ17" s="51">
        <f t="shared" si="42"/>
        <v>8297.9448089788402</v>
      </c>
      <c r="AR17" s="50">
        <f t="shared" si="42"/>
        <v>2057.521900709356</v>
      </c>
      <c r="AS17" s="50">
        <f t="shared" si="42"/>
        <v>2060.9099781918535</v>
      </c>
      <c r="AT17" s="50">
        <f t="shared" si="42"/>
        <v>2376.2070704587018</v>
      </c>
      <c r="AU17" s="50">
        <f t="shared" si="42"/>
        <v>2309.0724698193458</v>
      </c>
      <c r="AV17" s="51">
        <f t="shared" si="42"/>
        <v>8803.7114191792625</v>
      </c>
    </row>
    <row r="18" spans="1:48" ht="16.2" x14ac:dyDescent="0.45">
      <c r="B18" s="123" t="s">
        <v>70</v>
      </c>
      <c r="C18" s="88"/>
      <c r="D18" s="107">
        <f>+D170</f>
        <v>138</v>
      </c>
      <c r="E18" s="107">
        <f>+E170</f>
        <v>141.4</v>
      </c>
      <c r="F18" s="107">
        <f>+F170</f>
        <v>125.30000000000001</v>
      </c>
      <c r="G18" s="107">
        <f>+G170</f>
        <v>77.399999999999991</v>
      </c>
      <c r="H18" s="176">
        <f>SUM(D18:G18)</f>
        <v>482.09999999999997</v>
      </c>
      <c r="I18" s="107">
        <f>+I170</f>
        <v>71.599999999999994</v>
      </c>
      <c r="J18" s="107">
        <f>+J170</f>
        <v>66.8</v>
      </c>
      <c r="K18" s="107">
        <f>+K170</f>
        <v>173.67999999999998</v>
      </c>
      <c r="L18" s="89">
        <f>+L170</f>
        <v>259.5</v>
      </c>
      <c r="M18" s="90">
        <f>SUM(I18:L18)</f>
        <v>571.57999999999993</v>
      </c>
      <c r="N18" s="107">
        <f>+N170</f>
        <v>134.9</v>
      </c>
      <c r="O18" s="107">
        <f>+O170</f>
        <v>88.2</v>
      </c>
      <c r="P18" s="107">
        <f>+P170</f>
        <v>51.7</v>
      </c>
      <c r="Q18" s="107">
        <f>+Q170</f>
        <v>115.2</v>
      </c>
      <c r="R18" s="176">
        <f>SUM(N18:Q18)</f>
        <v>390</v>
      </c>
      <c r="S18" s="89">
        <f>+S170</f>
        <v>35.199999999999996</v>
      </c>
      <c r="T18" s="89">
        <f>+T170</f>
        <v>47.5</v>
      </c>
      <c r="U18" s="89">
        <f>+U170</f>
        <v>77.5</v>
      </c>
      <c r="V18" s="89">
        <f>+V170</f>
        <v>77.099999999999994</v>
      </c>
      <c r="W18" s="176">
        <f>SUM(S18:V18)</f>
        <v>237.29999999999998</v>
      </c>
      <c r="X18" s="107">
        <f>+X170</f>
        <v>6.1</v>
      </c>
      <c r="Y18" s="107">
        <f>+Y170</f>
        <v>-82.399999999999991</v>
      </c>
      <c r="Z18" s="89">
        <f>+Z170</f>
        <v>7.1</v>
      </c>
      <c r="AA18" s="89">
        <f>+AA170</f>
        <v>7.1</v>
      </c>
      <c r="AB18" s="90">
        <f>SUM(X18:AA18)</f>
        <v>-62.1</v>
      </c>
      <c r="AC18" s="89">
        <f t="shared" ref="AC18:AF18" si="43">+AC170</f>
        <v>7.1</v>
      </c>
      <c r="AD18" s="89">
        <f t="shared" si="43"/>
        <v>7.1</v>
      </c>
      <c r="AE18" s="89">
        <f t="shared" si="43"/>
        <v>7.1</v>
      </c>
      <c r="AF18" s="89">
        <f t="shared" si="43"/>
        <v>7.1</v>
      </c>
      <c r="AG18" s="90">
        <f>SUM(AC18:AF18)</f>
        <v>28.4</v>
      </c>
      <c r="AH18" s="89">
        <f t="shared" ref="AH18:AK18" si="44">+AH170</f>
        <v>7.1</v>
      </c>
      <c r="AI18" s="89">
        <f t="shared" si="44"/>
        <v>7.1</v>
      </c>
      <c r="AJ18" s="89">
        <f t="shared" si="44"/>
        <v>7.1</v>
      </c>
      <c r="AK18" s="89">
        <f t="shared" si="44"/>
        <v>7.1</v>
      </c>
      <c r="AL18" s="90">
        <f>SUM(AH18:AK18)</f>
        <v>28.4</v>
      </c>
      <c r="AM18" s="89">
        <f t="shared" ref="AM18:AP18" si="45">+AM170</f>
        <v>7.1</v>
      </c>
      <c r="AN18" s="89">
        <f t="shared" si="45"/>
        <v>7.1</v>
      </c>
      <c r="AO18" s="89">
        <f t="shared" si="45"/>
        <v>7.1</v>
      </c>
      <c r="AP18" s="89">
        <f t="shared" si="45"/>
        <v>7.1</v>
      </c>
      <c r="AQ18" s="90">
        <f>SUM(AM18:AP18)</f>
        <v>28.4</v>
      </c>
      <c r="AR18" s="89">
        <f t="shared" ref="AR18:AU18" si="46">+AR170</f>
        <v>7.1</v>
      </c>
      <c r="AS18" s="89">
        <f t="shared" si="46"/>
        <v>7.1</v>
      </c>
      <c r="AT18" s="89">
        <f t="shared" si="46"/>
        <v>7.1</v>
      </c>
      <c r="AU18" s="89">
        <f t="shared" si="46"/>
        <v>7.1</v>
      </c>
      <c r="AV18" s="90">
        <f>SUM(AR18:AU18)</f>
        <v>28.4</v>
      </c>
    </row>
    <row r="19" spans="1:48" x14ac:dyDescent="0.3">
      <c r="B19" s="124" t="s">
        <v>71</v>
      </c>
      <c r="C19" s="79"/>
      <c r="D19" s="108">
        <f t="shared" ref="D19:AV19" si="47">+D17+D18</f>
        <v>1153.7000000000005</v>
      </c>
      <c r="E19" s="108">
        <f t="shared" si="47"/>
        <v>999.09999999999957</v>
      </c>
      <c r="F19" s="108">
        <f t="shared" si="47"/>
        <v>1246.600000000001</v>
      </c>
      <c r="G19" s="108">
        <f t="shared" si="47"/>
        <v>1160.6000000000013</v>
      </c>
      <c r="H19" s="177">
        <f t="shared" si="47"/>
        <v>4560.0000000000055</v>
      </c>
      <c r="I19" s="108">
        <f t="shared" si="47"/>
        <v>1291.3999999999987</v>
      </c>
      <c r="J19" s="108">
        <f t="shared" si="47"/>
        <v>554.19999999999902</v>
      </c>
      <c r="K19" s="108">
        <f t="shared" si="47"/>
        <v>-530.21999999999935</v>
      </c>
      <c r="L19" s="80">
        <f t="shared" si="47"/>
        <v>817.80000000000041</v>
      </c>
      <c r="M19" s="81">
        <f t="shared" si="47"/>
        <v>2133.1800000000044</v>
      </c>
      <c r="N19" s="108">
        <f t="shared" si="47"/>
        <v>1048.4000000000003</v>
      </c>
      <c r="O19" s="108">
        <f t="shared" si="47"/>
        <v>1075.8</v>
      </c>
      <c r="P19" s="108">
        <f t="shared" si="47"/>
        <v>1540.399999999999</v>
      </c>
      <c r="Q19" s="108">
        <f t="shared" si="47"/>
        <v>1597.3999999999999</v>
      </c>
      <c r="R19" s="177">
        <f t="shared" si="47"/>
        <v>5261.9999999999973</v>
      </c>
      <c r="S19" s="80">
        <f t="shared" si="47"/>
        <v>1213</v>
      </c>
      <c r="T19" s="80">
        <f t="shared" si="47"/>
        <v>996.4000000000002</v>
      </c>
      <c r="U19" s="80">
        <f t="shared" si="47"/>
        <v>1372.9999999999995</v>
      </c>
      <c r="V19" s="80">
        <f t="shared" si="47"/>
        <v>1272.5999999999985</v>
      </c>
      <c r="W19" s="177">
        <f t="shared" si="47"/>
        <v>4854.9999999999955</v>
      </c>
      <c r="X19" s="108">
        <f t="shared" si="47"/>
        <v>1259.1999999999991</v>
      </c>
      <c r="Y19" s="108">
        <f t="shared" si="47"/>
        <v>1245.1000000000004</v>
      </c>
      <c r="Z19" s="80">
        <f t="shared" si="47"/>
        <v>1495.5863776059148</v>
      </c>
      <c r="AA19" s="80">
        <f t="shared" si="47"/>
        <v>1646.6154972319748</v>
      </c>
      <c r="AB19" s="81">
        <f>+AB17+AB18</f>
        <v>5646.5018748378907</v>
      </c>
      <c r="AC19" s="80">
        <f t="shared" si="47"/>
        <v>1512.1561673074038</v>
      </c>
      <c r="AD19" s="80">
        <f t="shared" si="47"/>
        <v>1499.5587977059959</v>
      </c>
      <c r="AE19" s="80">
        <f t="shared" si="47"/>
        <v>1688.0484367534636</v>
      </c>
      <c r="AF19" s="80">
        <f t="shared" si="47"/>
        <v>1696.67132687092</v>
      </c>
      <c r="AG19" s="81">
        <f t="shared" si="47"/>
        <v>6396.4347286377706</v>
      </c>
      <c r="AH19" s="80">
        <f t="shared" si="47"/>
        <v>1749.4377706735204</v>
      </c>
      <c r="AI19" s="80">
        <f t="shared" si="47"/>
        <v>1754.8747080335406</v>
      </c>
      <c r="AJ19" s="80">
        <f t="shared" si="47"/>
        <v>2041.6102108696969</v>
      </c>
      <c r="AK19" s="80">
        <f t="shared" si="47"/>
        <v>1993.6051662698637</v>
      </c>
      <c r="AL19" s="81">
        <f t="shared" si="47"/>
        <v>7539.5278558466198</v>
      </c>
      <c r="AM19" s="80">
        <f t="shared" si="47"/>
        <v>1949.2068462350226</v>
      </c>
      <c r="AN19" s="80">
        <f t="shared" si="47"/>
        <v>1949.4932069477536</v>
      </c>
      <c r="AO19" s="80">
        <f t="shared" si="47"/>
        <v>2245.9784052817477</v>
      </c>
      <c r="AP19" s="80">
        <f t="shared" si="47"/>
        <v>2181.6663505143088</v>
      </c>
      <c r="AQ19" s="81">
        <f t="shared" si="47"/>
        <v>8326.3448089788399</v>
      </c>
      <c r="AR19" s="80">
        <f t="shared" si="47"/>
        <v>2064.6219007093559</v>
      </c>
      <c r="AS19" s="80">
        <f t="shared" si="47"/>
        <v>2068.0099781918534</v>
      </c>
      <c r="AT19" s="80">
        <f t="shared" si="47"/>
        <v>2383.3070704587017</v>
      </c>
      <c r="AU19" s="80">
        <f t="shared" si="47"/>
        <v>2316.1724698193457</v>
      </c>
      <c r="AV19" s="81">
        <f t="shared" si="47"/>
        <v>8832.1114191792622</v>
      </c>
    </row>
    <row r="20" spans="1:48" x14ac:dyDescent="0.3">
      <c r="B20" s="38" t="s">
        <v>63</v>
      </c>
      <c r="C20" s="18"/>
      <c r="D20" s="105">
        <v>0</v>
      </c>
      <c r="E20" s="105">
        <v>21</v>
      </c>
      <c r="F20" s="105">
        <v>601.79999999999995</v>
      </c>
      <c r="G20" s="105">
        <f t="shared" ref="G20:G22" si="48">H20-F20-E20-D20</f>
        <v>0</v>
      </c>
      <c r="H20" s="170">
        <v>622.79999999999995</v>
      </c>
      <c r="I20" s="105">
        <v>0</v>
      </c>
      <c r="J20" s="105">
        <v>0</v>
      </c>
      <c r="K20" s="105">
        <v>0</v>
      </c>
      <c r="L20" s="105">
        <v>0</v>
      </c>
      <c r="M20" s="170">
        <f>SUM(I20:L20)</f>
        <v>0</v>
      </c>
      <c r="N20" s="105">
        <v>0</v>
      </c>
      <c r="O20" s="105">
        <v>0</v>
      </c>
      <c r="P20" s="105">
        <v>0</v>
      </c>
      <c r="Q20" s="105">
        <v>864.5</v>
      </c>
      <c r="R20" s="170">
        <f>SUM(N20:Q20)</f>
        <v>864.5</v>
      </c>
      <c r="S20" s="105">
        <v>0</v>
      </c>
      <c r="T20" s="105">
        <v>0</v>
      </c>
      <c r="U20" s="105">
        <v>0</v>
      </c>
      <c r="V20" s="105">
        <v>0</v>
      </c>
      <c r="W20" s="170">
        <f>SUM(S20:V20)</f>
        <v>0</v>
      </c>
      <c r="X20" s="105">
        <v>0</v>
      </c>
      <c r="Y20" s="105">
        <v>0</v>
      </c>
      <c r="Z20" s="105">
        <v>0</v>
      </c>
      <c r="AA20" s="105">
        <v>0</v>
      </c>
      <c r="AB20" s="170">
        <f>SUM(X20:AA20)</f>
        <v>0</v>
      </c>
      <c r="AC20" s="105">
        <v>0</v>
      </c>
      <c r="AD20" s="105">
        <v>0</v>
      </c>
      <c r="AE20" s="105">
        <v>0</v>
      </c>
      <c r="AF20" s="105">
        <v>0</v>
      </c>
      <c r="AG20" s="170">
        <f>SUM(AC20:AF20)</f>
        <v>0</v>
      </c>
      <c r="AH20" s="105">
        <v>0</v>
      </c>
      <c r="AI20" s="105">
        <v>0</v>
      </c>
      <c r="AJ20" s="105">
        <v>0</v>
      </c>
      <c r="AK20" s="105">
        <v>0</v>
      </c>
      <c r="AL20" s="170">
        <f>SUM(AH20:AK20)</f>
        <v>0</v>
      </c>
      <c r="AM20" s="105">
        <v>0</v>
      </c>
      <c r="AN20" s="105">
        <v>0</v>
      </c>
      <c r="AO20" s="105">
        <v>0</v>
      </c>
      <c r="AP20" s="105">
        <v>0</v>
      </c>
      <c r="AQ20" s="170">
        <f>SUM(AM20:AP20)</f>
        <v>0</v>
      </c>
      <c r="AR20" s="105">
        <v>0</v>
      </c>
      <c r="AS20" s="105">
        <v>0</v>
      </c>
      <c r="AT20" s="105">
        <v>0</v>
      </c>
      <c r="AU20" s="105">
        <v>0</v>
      </c>
      <c r="AV20" s="170">
        <f>SUM(AR20:AU20)</f>
        <v>0</v>
      </c>
    </row>
    <row r="21" spans="1:48" x14ac:dyDescent="0.3">
      <c r="B21" s="38" t="s">
        <v>37</v>
      </c>
      <c r="C21" s="18"/>
      <c r="D21" s="105">
        <v>24.8</v>
      </c>
      <c r="E21" s="105">
        <v>15.2</v>
      </c>
      <c r="F21" s="102">
        <v>40.200000000000003</v>
      </c>
      <c r="G21" s="105">
        <f t="shared" si="48"/>
        <v>16.299999999999994</v>
      </c>
      <c r="H21" s="170">
        <v>96.5</v>
      </c>
      <c r="I21" s="105">
        <v>15.9</v>
      </c>
      <c r="J21" s="105">
        <v>2</v>
      </c>
      <c r="K21" s="105">
        <v>12.7</v>
      </c>
      <c r="L21" s="105">
        <v>9.1</v>
      </c>
      <c r="M21" s="170">
        <f t="shared" ref="M21:M22" si="49">SUM(I21:L21)</f>
        <v>39.699999999999996</v>
      </c>
      <c r="N21" s="105">
        <v>15.5</v>
      </c>
      <c r="O21" s="105">
        <v>17.3</v>
      </c>
      <c r="P21" s="105">
        <v>36</v>
      </c>
      <c r="Q21" s="105">
        <v>21.5</v>
      </c>
      <c r="R21" s="170">
        <f t="shared" ref="R21" si="50">SUM(N21:Q21)</f>
        <v>90.3</v>
      </c>
      <c r="S21" s="105">
        <v>-0.1</v>
      </c>
      <c r="T21" s="105">
        <v>46.3</v>
      </c>
      <c r="U21" s="105">
        <v>19.8</v>
      </c>
      <c r="V21" s="105">
        <v>31</v>
      </c>
      <c r="W21" s="170">
        <f t="shared" ref="W21:W22" si="51">SUM(S21:V21)</f>
        <v>97</v>
      </c>
      <c r="X21" s="105">
        <v>11.6</v>
      </c>
      <c r="Y21" s="105">
        <v>18.399999999999999</v>
      </c>
      <c r="Z21" s="105">
        <f>('BS (Adjusted)'!Y6+'BS (Adjusted)'!Y7+'BS (Adjusted)'!Y12)*'IS (Adjusted)'!Z144</f>
        <v>26.576831417786455</v>
      </c>
      <c r="AA21" s="105">
        <f>('BS (Adjusted)'!Z6+'BS (Adjusted)'!Z7+'BS (Adjusted)'!Z12)*'IS (Adjusted)'!AA144</f>
        <v>7.070520407149842</v>
      </c>
      <c r="AB21" s="170">
        <f t="shared" ref="AB21:AB22" si="52">SUM(X21:AA21)</f>
        <v>63.647351824936294</v>
      </c>
      <c r="AC21" s="105">
        <f>('BS (Adjusted)'!AA6+'BS (Adjusted)'!AA7+'BS (Adjusted)'!AA12)*'IS (Adjusted)'!AC144</f>
        <v>7.8871632179294338</v>
      </c>
      <c r="AD21" s="105">
        <f>('BS (Adjusted)'!AC6+'BS (Adjusted)'!AC7+'BS (Adjusted)'!AC12)*'IS (Adjusted)'!AD144</f>
        <v>9.0013695378964087</v>
      </c>
      <c r="AE21" s="105">
        <f>('BS (Adjusted)'!AD6+'BS (Adjusted)'!AD7+'BS (Adjusted)'!AD12)*'IS (Adjusted)'!AE144</f>
        <v>8.5301894542805137</v>
      </c>
      <c r="AF21" s="105">
        <f>('BS (Adjusted)'!AE6+'BS (Adjusted)'!AE7+'BS (Adjusted)'!AE12)*'IS (Adjusted)'!AF144</f>
        <v>8.5613088239211699</v>
      </c>
      <c r="AG21" s="170">
        <f t="shared" ref="AG21:AG22" si="53">SUM(AC21:AF21)</f>
        <v>33.980031034027526</v>
      </c>
      <c r="AH21" s="105">
        <f>('BS (Adjusted)'!AF6+'BS (Adjusted)'!AF7+'BS (Adjusted)'!AF12)*'IS (Adjusted)'!AH144</f>
        <v>9.2770105379636671</v>
      </c>
      <c r="AI21" s="105">
        <f>('BS (Adjusted)'!AH6+'BS (Adjusted)'!AH7+'BS (Adjusted)'!AH12)*'IS (Adjusted)'!AI144</f>
        <v>10.718984846308745</v>
      </c>
      <c r="AJ21" s="105">
        <f>('BS (Adjusted)'!AI6+'BS (Adjusted)'!AI7+'BS (Adjusted)'!AI12)*'IS (Adjusted)'!AJ144</f>
        <v>10.673604541413685</v>
      </c>
      <c r="AK21" s="105">
        <f>('BS (Adjusted)'!AJ6+'BS (Adjusted)'!AJ7+'BS (Adjusted)'!AJ12)*'IS (Adjusted)'!AK144</f>
        <v>12.612534191672763</v>
      </c>
      <c r="AL21" s="170">
        <f t="shared" ref="AL21:AL22" si="54">SUM(AH21:AK21)</f>
        <v>43.282134117358858</v>
      </c>
      <c r="AM21" s="105">
        <f>('BS (Adjusted)'!AK6+'BS (Adjusted)'!AK7+'BS (Adjusted)'!AK12)*'IS (Adjusted)'!AM144</f>
        <v>1.9915239003843592</v>
      </c>
      <c r="AN21" s="105">
        <f>('BS (Adjusted)'!AM6+'BS (Adjusted)'!AM7+'BS (Adjusted)'!AM12)*'IS (Adjusted)'!AN144</f>
        <v>3.4404434735528375</v>
      </c>
      <c r="AO21" s="105">
        <f>('BS (Adjusted)'!AN6+'BS (Adjusted)'!AN7+'BS (Adjusted)'!AN12)*'IS (Adjusted)'!AO144</f>
        <v>1.2188727192517825</v>
      </c>
      <c r="AP21" s="105">
        <f>('BS (Adjusted)'!AO6+'BS (Adjusted)'!AO7+'BS (Adjusted)'!AO12)*'IS (Adjusted)'!AP144</f>
        <v>1.2626380578520409</v>
      </c>
      <c r="AQ21" s="170">
        <f t="shared" ref="AQ21:AQ22" si="55">SUM(AM21:AP21)</f>
        <v>7.913478151041021</v>
      </c>
      <c r="AR21" s="105">
        <f>('BS (Adjusted)'!AP6+'BS (Adjusted)'!AP7+'BS (Adjusted)'!AP12)*'IS (Adjusted)'!AR144</f>
        <v>2.6140203782967273</v>
      </c>
      <c r="AS21" s="105">
        <f>('BS (Adjusted)'!AR6+'BS (Adjusted)'!AR7+'BS (Adjusted)'!AR12)*'IS (Adjusted)'!AS144</f>
        <v>4.5129062035631762</v>
      </c>
      <c r="AT21" s="105">
        <f>('BS (Adjusted)'!AS6+'BS (Adjusted)'!AS7+'BS (Adjusted)'!AS12)*'IS (Adjusted)'!AT144</f>
        <v>4.4908688131292722</v>
      </c>
      <c r="AU21" s="105">
        <f>('BS (Adjusted)'!AT6+'BS (Adjusted)'!AT7+'BS (Adjusted)'!AT12)*'IS (Adjusted)'!AU144</f>
        <v>4.8632295037489692</v>
      </c>
      <c r="AV21" s="170">
        <f t="shared" ref="AV21:AV22" si="56">SUM(AR21:AU21)</f>
        <v>16.481024898738145</v>
      </c>
    </row>
    <row r="22" spans="1:48" ht="16.2" x14ac:dyDescent="0.45">
      <c r="B22" s="38" t="s">
        <v>38</v>
      </c>
      <c r="C22" s="356"/>
      <c r="D22" s="104">
        <v>-75</v>
      </c>
      <c r="E22" s="104">
        <v>-73.900000000000006</v>
      </c>
      <c r="F22" s="104">
        <v>-86.4</v>
      </c>
      <c r="G22" s="104">
        <f t="shared" si="48"/>
        <v>-95.699999999999989</v>
      </c>
      <c r="H22" s="173">
        <v>-331</v>
      </c>
      <c r="I22" s="104">
        <v>-91.9</v>
      </c>
      <c r="J22" s="104">
        <v>-99.2</v>
      </c>
      <c r="K22" s="104">
        <v>-120.8</v>
      </c>
      <c r="L22" s="104">
        <v>-125</v>
      </c>
      <c r="M22" s="173">
        <f t="shared" si="49"/>
        <v>-436.90000000000003</v>
      </c>
      <c r="N22" s="104">
        <v>-120.7</v>
      </c>
      <c r="O22" s="104">
        <v>-115</v>
      </c>
      <c r="P22" s="104">
        <v>-113.4</v>
      </c>
      <c r="Q22" s="104">
        <v>-120.6</v>
      </c>
      <c r="R22" s="173">
        <f t="shared" ref="R22" si="57">SUM(N22:Q22)</f>
        <v>-469.70000000000005</v>
      </c>
      <c r="S22" s="104">
        <v>-115.3</v>
      </c>
      <c r="T22" s="104">
        <v>-119.1</v>
      </c>
      <c r="U22" s="104">
        <v>-123.1</v>
      </c>
      <c r="V22" s="104">
        <v>-125.3</v>
      </c>
      <c r="W22" s="173">
        <f t="shared" si="51"/>
        <v>-482.8</v>
      </c>
      <c r="X22" s="104">
        <v>-129.69999999999999</v>
      </c>
      <c r="Y22" s="104">
        <v>-136.30000000000001</v>
      </c>
      <c r="Z22" s="104">
        <f>-('BS (Adjusted)'!Y28+'BS (Adjusted)'!Y31)*Z145</f>
        <v>-145.35914712582067</v>
      </c>
      <c r="AA22" s="104">
        <f>-('BS (Adjusted)'!Z28+'BS (Adjusted)'!Z31)*AA145</f>
        <v>-145.35914712582067</v>
      </c>
      <c r="AB22" s="430">
        <f t="shared" si="52"/>
        <v>-556.71829425164128</v>
      </c>
      <c r="AC22" s="104">
        <f>-('BS (Adjusted)'!AA28+'BS (Adjusted)'!AA31)*AC145</f>
        <v>-146.90777712582067</v>
      </c>
      <c r="AD22" s="104">
        <f>-('BS (Adjusted)'!AC28+'BS (Adjusted)'!AC31)*AD145</f>
        <v>-148.45640712582065</v>
      </c>
      <c r="AE22" s="104">
        <f>-('BS (Adjusted)'!AD28+'BS (Adjusted)'!AD31)*AE145</f>
        <v>-150.00503712582065</v>
      </c>
      <c r="AF22" s="104">
        <f>-('BS (Adjusted)'!AE28+'BS (Adjusted)'!AE31)*AF145</f>
        <v>-151.55366712582062</v>
      </c>
      <c r="AG22" s="173">
        <f t="shared" si="53"/>
        <v>-596.92288850328259</v>
      </c>
      <c r="AH22" s="104">
        <f>-('BS (Adjusted)'!AF28+'BS (Adjusted)'!AF31)*AH145</f>
        <v>-153.10229712582063</v>
      </c>
      <c r="AI22" s="104">
        <f>-('BS (Adjusted)'!AH28+'BS (Adjusted)'!AH31)*AI145</f>
        <v>-154.6509271258206</v>
      </c>
      <c r="AJ22" s="104">
        <f>-('BS (Adjusted)'!AI28+'BS (Adjusted)'!AI31)*AJ145</f>
        <v>-156.1995571258206</v>
      </c>
      <c r="AK22" s="104">
        <f>-('BS (Adjusted)'!AJ28+'BS (Adjusted)'!AJ31)*AK145</f>
        <v>-221.52398026545356</v>
      </c>
      <c r="AL22" s="173">
        <f t="shared" si="54"/>
        <v>-685.47676164291533</v>
      </c>
      <c r="AM22" s="104">
        <f>-('BS (Adjusted)'!AK28+'BS (Adjusted)'!AK31)*AM145</f>
        <v>-221.52398026545356</v>
      </c>
      <c r="AN22" s="104">
        <f>-('BS (Adjusted)'!AM28+'BS (Adjusted)'!AM31)*AN145</f>
        <v>-221.52398026545356</v>
      </c>
      <c r="AO22" s="104">
        <f>-('BS (Adjusted)'!AN28+'BS (Adjusted)'!AN31)*AO145</f>
        <v>-211.33767449029611</v>
      </c>
      <c r="AP22" s="104">
        <f>-('BS (Adjusted)'!AO28+'BS (Adjusted)'!AO31)*AP145</f>
        <v>-211.33767449029611</v>
      </c>
      <c r="AQ22" s="173">
        <f t="shared" si="55"/>
        <v>-865.72330951149934</v>
      </c>
      <c r="AR22" s="104">
        <f>-('BS (Adjusted)'!AP28+'BS (Adjusted)'!AP31)*AR145</f>
        <v>-211.33767449029611</v>
      </c>
      <c r="AS22" s="104">
        <f>-('BS (Adjusted)'!AR28+'BS (Adjusted)'!AR31)*AS145</f>
        <v>-211.33767449029611</v>
      </c>
      <c r="AT22" s="104">
        <f>-('BS (Adjusted)'!AS28+'BS (Adjusted)'!AS31)*AT145</f>
        <v>-211.33767449029611</v>
      </c>
      <c r="AU22" s="104">
        <f>-('BS (Adjusted)'!AT28+'BS (Adjusted)'!AT31)*AU145</f>
        <v>-211.33767449029611</v>
      </c>
      <c r="AV22" s="173">
        <f t="shared" si="56"/>
        <v>-845.35069796118444</v>
      </c>
    </row>
    <row r="23" spans="1:48" x14ac:dyDescent="0.3">
      <c r="B23" s="593" t="s">
        <v>11</v>
      </c>
      <c r="C23" s="594"/>
      <c r="D23" s="103">
        <f t="shared" ref="D23:AV23" si="58">D17+D21+D22+D20</f>
        <v>965.50000000000045</v>
      </c>
      <c r="E23" s="103">
        <f t="shared" si="58"/>
        <v>819.99999999999966</v>
      </c>
      <c r="F23" s="103">
        <f t="shared" si="58"/>
        <v>1676.900000000001</v>
      </c>
      <c r="G23" s="103">
        <f t="shared" si="58"/>
        <v>1003.8000000000011</v>
      </c>
      <c r="H23" s="171">
        <f t="shared" si="58"/>
        <v>4466.2000000000053</v>
      </c>
      <c r="I23" s="103">
        <f t="shared" si="58"/>
        <v>1143.7999999999988</v>
      </c>
      <c r="J23" s="103">
        <f t="shared" si="58"/>
        <v>390.19999999999908</v>
      </c>
      <c r="K23" s="103">
        <f t="shared" si="58"/>
        <v>-811.9999999999992</v>
      </c>
      <c r="L23" s="50">
        <f t="shared" si="58"/>
        <v>442.40000000000043</v>
      </c>
      <c r="M23" s="51">
        <f t="shared" si="58"/>
        <v>1164.4000000000044</v>
      </c>
      <c r="N23" s="50">
        <f t="shared" si="58"/>
        <v>808.30000000000018</v>
      </c>
      <c r="O23" s="103">
        <f t="shared" si="58"/>
        <v>889.9</v>
      </c>
      <c r="P23" s="103">
        <f t="shared" si="58"/>
        <v>1411.2999999999988</v>
      </c>
      <c r="Q23" s="103">
        <f>Q17+Q21+Q22+Q20</f>
        <v>2247.6</v>
      </c>
      <c r="R23" s="171">
        <f t="shared" si="58"/>
        <v>5357.0999999999976</v>
      </c>
      <c r="S23" s="50">
        <f t="shared" si="58"/>
        <v>1062.4000000000001</v>
      </c>
      <c r="T23" s="50">
        <f t="shared" si="58"/>
        <v>876.10000000000014</v>
      </c>
      <c r="U23" s="50">
        <f t="shared" si="58"/>
        <v>1192.1999999999996</v>
      </c>
      <c r="V23" s="50">
        <f t="shared" si="58"/>
        <v>1101.1999999999987</v>
      </c>
      <c r="W23" s="171">
        <f t="shared" si="58"/>
        <v>4231.8999999999951</v>
      </c>
      <c r="X23" s="103">
        <f>X17+X21+X22+X20</f>
        <v>1134.9999999999991</v>
      </c>
      <c r="Y23" s="103">
        <f>Y17+Y21+Y22+Y20</f>
        <v>1209.6000000000006</v>
      </c>
      <c r="Z23" s="50">
        <f t="shared" si="58"/>
        <v>1369.7040618978806</v>
      </c>
      <c r="AA23" s="50">
        <f>AA17+AA21+AA22+AA20</f>
        <v>1501.226870513304</v>
      </c>
      <c r="AB23" s="51">
        <f>AB17+AB21+AB22+AB20</f>
        <v>5215.5309324111859</v>
      </c>
      <c r="AC23" s="50">
        <f t="shared" si="58"/>
        <v>1366.0355533995125</v>
      </c>
      <c r="AD23" s="50">
        <f t="shared" si="58"/>
        <v>1353.0037601180716</v>
      </c>
      <c r="AE23" s="50">
        <f t="shared" si="58"/>
        <v>1539.4735890819238</v>
      </c>
      <c r="AF23" s="50">
        <f t="shared" si="58"/>
        <v>1546.5789685690206</v>
      </c>
      <c r="AG23" s="51">
        <f t="shared" si="58"/>
        <v>5805.0918711685163</v>
      </c>
      <c r="AH23" s="50">
        <f t="shared" si="58"/>
        <v>1598.5124840856636</v>
      </c>
      <c r="AI23" s="50">
        <f t="shared" si="58"/>
        <v>1603.842765754029</v>
      </c>
      <c r="AJ23" s="50">
        <f t="shared" si="58"/>
        <v>1888.98425828529</v>
      </c>
      <c r="AK23" s="50">
        <f t="shared" si="58"/>
        <v>1777.593720196083</v>
      </c>
      <c r="AL23" s="51">
        <f t="shared" si="58"/>
        <v>6868.9332283210633</v>
      </c>
      <c r="AM23" s="50">
        <f t="shared" si="58"/>
        <v>1722.5743898699536</v>
      </c>
      <c r="AN23" s="50">
        <f t="shared" si="58"/>
        <v>1724.3096701558532</v>
      </c>
      <c r="AO23" s="50">
        <f t="shared" si="58"/>
        <v>2028.7596035107035</v>
      </c>
      <c r="AP23" s="50">
        <f t="shared" si="58"/>
        <v>1964.4913140818649</v>
      </c>
      <c r="AQ23" s="51">
        <f t="shared" si="58"/>
        <v>7440.1349776183815</v>
      </c>
      <c r="AR23" s="50">
        <f t="shared" si="58"/>
        <v>1848.7982465973564</v>
      </c>
      <c r="AS23" s="50">
        <f t="shared" si="58"/>
        <v>1854.0852099051203</v>
      </c>
      <c r="AT23" s="50">
        <f t="shared" si="58"/>
        <v>2169.3602647815346</v>
      </c>
      <c r="AU23" s="50">
        <f t="shared" si="58"/>
        <v>2102.5980248327987</v>
      </c>
      <c r="AV23" s="51">
        <f t="shared" si="58"/>
        <v>7974.8417461168156</v>
      </c>
    </row>
    <row r="24" spans="1:48" ht="16.2" x14ac:dyDescent="0.45">
      <c r="B24" s="595" t="s">
        <v>5</v>
      </c>
      <c r="C24" s="596"/>
      <c r="D24" s="104">
        <v>205.1</v>
      </c>
      <c r="E24" s="104">
        <v>161.19999999999999</v>
      </c>
      <c r="F24" s="104">
        <v>303.7</v>
      </c>
      <c r="G24" s="104">
        <f t="shared" ref="G24" si="59">H24-F24-E24-D24</f>
        <v>201.60000000000011</v>
      </c>
      <c r="H24" s="173">
        <v>871.6</v>
      </c>
      <c r="I24" s="104">
        <v>258.5</v>
      </c>
      <c r="J24" s="104">
        <v>65.400000000000006</v>
      </c>
      <c r="K24" s="104">
        <v>-133.9</v>
      </c>
      <c r="L24" s="52">
        <v>49.7</v>
      </c>
      <c r="M24" s="53">
        <f>SUM(I24:L24)</f>
        <v>239.7</v>
      </c>
      <c r="N24" s="52">
        <v>186.1</v>
      </c>
      <c r="O24" s="104">
        <v>230.5</v>
      </c>
      <c r="P24" s="104">
        <v>257.10000000000002</v>
      </c>
      <c r="Q24" s="104">
        <v>483</v>
      </c>
      <c r="R24" s="173">
        <f>SUM(N24:Q24)</f>
        <v>1156.7</v>
      </c>
      <c r="S24" s="52">
        <v>246.3</v>
      </c>
      <c r="T24" s="52">
        <v>201.1</v>
      </c>
      <c r="U24" s="52">
        <v>278.5</v>
      </c>
      <c r="V24" s="52">
        <v>222.7</v>
      </c>
      <c r="W24" s="173">
        <f>SUM(S24:V24)</f>
        <v>948.59999999999991</v>
      </c>
      <c r="X24" s="104">
        <v>279.8</v>
      </c>
      <c r="Y24" s="104">
        <v>301.3</v>
      </c>
      <c r="Z24" s="52">
        <f>+Z23*Z143</f>
        <v>342.42601547447015</v>
      </c>
      <c r="AA24" s="52">
        <f>+AA23*AA143</f>
        <v>375.306717628326</v>
      </c>
      <c r="AB24" s="53">
        <f>SUM(X24:AA24)</f>
        <v>1298.8327331027961</v>
      </c>
      <c r="AC24" s="52">
        <f>+AC23*AC143</f>
        <v>340.00981194865807</v>
      </c>
      <c r="AD24" s="52">
        <f>+AD23*AD143</f>
        <v>337.57214363406621</v>
      </c>
      <c r="AE24" s="52">
        <f>+AE23*AE143</f>
        <v>384.25295891019351</v>
      </c>
      <c r="AF24" s="52">
        <f>+AF23*AF143</f>
        <v>385.87189352762033</v>
      </c>
      <c r="AG24" s="53">
        <f>SUM(AC24:AF24)</f>
        <v>1447.7068080205381</v>
      </c>
      <c r="AH24" s="52">
        <f>+AH23*AH143</f>
        <v>398.62962031121197</v>
      </c>
      <c r="AI24" s="52">
        <f>+AI23*AI143</f>
        <v>400.1484146719722</v>
      </c>
      <c r="AJ24" s="52">
        <f>+AJ23*AJ143</f>
        <v>471.28712777099179</v>
      </c>
      <c r="AK24" s="52">
        <f>+AK23*AK143</f>
        <v>443.44810088778758</v>
      </c>
      <c r="AL24" s="53">
        <f>SUM(AH24:AK24)</f>
        <v>1713.5132636419637</v>
      </c>
      <c r="AM24" s="52">
        <f>+AM23*AM143</f>
        <v>429.70765278861302</v>
      </c>
      <c r="AN24" s="52">
        <f>+AN23*AN143</f>
        <v>430.17557791164012</v>
      </c>
      <c r="AO24" s="52">
        <f>+AO23*AO143</f>
        <v>506.12043121084315</v>
      </c>
      <c r="AP24" s="52">
        <f>+AP23*AP143</f>
        <v>490.07765750969162</v>
      </c>
      <c r="AQ24" s="53">
        <f>SUM(AM24:AP24)</f>
        <v>1856.0813194207878</v>
      </c>
      <c r="AR24" s="52">
        <f>+AR23*AR143</f>
        <v>461.21713736401063</v>
      </c>
      <c r="AS24" s="52">
        <f>+AS23*AS143</f>
        <v>462.54161031426622</v>
      </c>
      <c r="AT24" s="52">
        <f>+AT23*AT143</f>
        <v>541.19086512128501</v>
      </c>
      <c r="AU24" s="52">
        <f>+AU23*AU143</f>
        <v>524.53431179206029</v>
      </c>
      <c r="AV24" s="53">
        <f>SUM(AR24:AU24)</f>
        <v>1989.4839245916223</v>
      </c>
    </row>
    <row r="25" spans="1:48" x14ac:dyDescent="0.3">
      <c r="A25" s="23"/>
      <c r="B25" s="593" t="s">
        <v>39</v>
      </c>
      <c r="C25" s="594"/>
      <c r="D25" s="103">
        <f t="shared" ref="D25:AV25" si="60">+D23-D24</f>
        <v>760.40000000000043</v>
      </c>
      <c r="E25" s="103">
        <f t="shared" si="60"/>
        <v>658.79999999999973</v>
      </c>
      <c r="F25" s="103">
        <f t="shared" si="60"/>
        <v>1373.200000000001</v>
      </c>
      <c r="G25" s="103">
        <f t="shared" si="60"/>
        <v>802.20000000000095</v>
      </c>
      <c r="H25" s="171">
        <f t="shared" si="60"/>
        <v>3594.6000000000054</v>
      </c>
      <c r="I25" s="103">
        <f t="shared" si="60"/>
        <v>885.29999999999882</v>
      </c>
      <c r="J25" s="103">
        <f t="shared" si="60"/>
        <v>324.79999999999905</v>
      </c>
      <c r="K25" s="103">
        <f t="shared" si="60"/>
        <v>-678.09999999999923</v>
      </c>
      <c r="L25" s="50">
        <f t="shared" si="60"/>
        <v>392.70000000000044</v>
      </c>
      <c r="M25" s="51">
        <f t="shared" si="60"/>
        <v>924.70000000000437</v>
      </c>
      <c r="N25" s="50">
        <f t="shared" si="60"/>
        <v>622.20000000000016</v>
      </c>
      <c r="O25" s="103">
        <f t="shared" si="60"/>
        <v>659.4</v>
      </c>
      <c r="P25" s="103">
        <f t="shared" si="60"/>
        <v>1154.1999999999989</v>
      </c>
      <c r="Q25" s="103">
        <f>+Q23-Q24</f>
        <v>1764.6</v>
      </c>
      <c r="R25" s="171">
        <f t="shared" si="60"/>
        <v>4200.3999999999978</v>
      </c>
      <c r="S25" s="50">
        <f t="shared" si="60"/>
        <v>816.10000000000014</v>
      </c>
      <c r="T25" s="50">
        <f t="shared" si="60"/>
        <v>675.00000000000011</v>
      </c>
      <c r="U25" s="50">
        <f t="shared" si="60"/>
        <v>913.69999999999959</v>
      </c>
      <c r="V25" s="50">
        <f t="shared" si="60"/>
        <v>878.49999999999864</v>
      </c>
      <c r="W25" s="171">
        <f t="shared" si="60"/>
        <v>3283.2999999999952</v>
      </c>
      <c r="X25" s="103">
        <f>+X23-X24</f>
        <v>855.19999999999914</v>
      </c>
      <c r="Y25" s="103">
        <f>+Y23-Y24</f>
        <v>908.30000000000064</v>
      </c>
      <c r="Z25" s="50">
        <f t="shared" si="60"/>
        <v>1027.2780464234104</v>
      </c>
      <c r="AA25" s="50">
        <f>+AA23-AA24</f>
        <v>1125.9201528849781</v>
      </c>
      <c r="AB25" s="51">
        <f>+AB23-AB24</f>
        <v>3916.69819930839</v>
      </c>
      <c r="AC25" s="50">
        <f t="shared" si="60"/>
        <v>1026.0257414508544</v>
      </c>
      <c r="AD25" s="50">
        <f t="shared" si="60"/>
        <v>1015.4316164840054</v>
      </c>
      <c r="AE25" s="50">
        <f t="shared" si="60"/>
        <v>1155.2206301717304</v>
      </c>
      <c r="AF25" s="103">
        <f t="shared" si="60"/>
        <v>1160.7070750414002</v>
      </c>
      <c r="AG25" s="171">
        <f t="shared" si="60"/>
        <v>4357.3850631479781</v>
      </c>
      <c r="AH25" s="103">
        <f t="shared" si="60"/>
        <v>1199.8828637744516</v>
      </c>
      <c r="AI25" s="103">
        <f t="shared" si="60"/>
        <v>1203.6943510820568</v>
      </c>
      <c r="AJ25" s="103">
        <f t="shared" si="60"/>
        <v>1417.6971305142984</v>
      </c>
      <c r="AK25" s="103">
        <f t="shared" si="60"/>
        <v>1334.1456193082954</v>
      </c>
      <c r="AL25" s="51">
        <f t="shared" si="60"/>
        <v>5155.4199646790994</v>
      </c>
      <c r="AM25" s="103">
        <f t="shared" si="60"/>
        <v>1292.8667370813405</v>
      </c>
      <c r="AN25" s="103">
        <f t="shared" si="60"/>
        <v>1294.134092244213</v>
      </c>
      <c r="AO25" s="103">
        <f t="shared" si="60"/>
        <v>1522.6391722998603</v>
      </c>
      <c r="AP25" s="103">
        <f t="shared" si="60"/>
        <v>1474.4136565721733</v>
      </c>
      <c r="AQ25" s="51">
        <f t="shared" si="60"/>
        <v>5584.0536581975939</v>
      </c>
      <c r="AR25" s="103">
        <f t="shared" si="60"/>
        <v>1387.5811092333458</v>
      </c>
      <c r="AS25" s="103">
        <f t="shared" si="60"/>
        <v>1391.5435995908542</v>
      </c>
      <c r="AT25" s="103">
        <f t="shared" si="60"/>
        <v>1628.1693996602496</v>
      </c>
      <c r="AU25" s="103">
        <f t="shared" si="60"/>
        <v>1578.0637130407385</v>
      </c>
      <c r="AV25" s="51">
        <f t="shared" si="60"/>
        <v>5985.3578215251928</v>
      </c>
    </row>
    <row r="26" spans="1:48" ht="16.2" x14ac:dyDescent="0.45">
      <c r="A26" s="23"/>
      <c r="B26" s="210" t="s">
        <v>40</v>
      </c>
      <c r="C26" s="201"/>
      <c r="D26" s="104">
        <v>-0.2</v>
      </c>
      <c r="E26" s="104">
        <v>-4.4000000000000004</v>
      </c>
      <c r="F26" s="104">
        <v>0.4</v>
      </c>
      <c r="G26" s="104">
        <f t="shared" ref="G26" si="61">H26-F26-E26-D26</f>
        <v>-0.39999999999999963</v>
      </c>
      <c r="H26" s="173">
        <v>-4.5999999999999996</v>
      </c>
      <c r="I26" s="104">
        <v>-0.4</v>
      </c>
      <c r="J26" s="104">
        <v>-3.6</v>
      </c>
      <c r="K26" s="104">
        <v>0.3</v>
      </c>
      <c r="L26" s="104">
        <v>0.1</v>
      </c>
      <c r="M26" s="173">
        <f>SUM(I26:L26)</f>
        <v>-3.6</v>
      </c>
      <c r="N26" s="104">
        <v>0</v>
      </c>
      <c r="O26" s="104">
        <v>0</v>
      </c>
      <c r="P26" s="104">
        <v>0.8</v>
      </c>
      <c r="Q26" s="104">
        <v>0.2</v>
      </c>
      <c r="R26" s="173">
        <f>SUM(N26:Q26)</f>
        <v>1</v>
      </c>
      <c r="S26" s="104">
        <v>0.2</v>
      </c>
      <c r="T26" s="104">
        <f>AVERAGE(S26,Q26,P26,O26)</f>
        <v>0.30000000000000004</v>
      </c>
      <c r="U26" s="104">
        <v>0.8</v>
      </c>
      <c r="V26" s="104">
        <v>0.49999999999999983</v>
      </c>
      <c r="W26" s="173">
        <f>SUM(S26:V26)</f>
        <v>1.7999999999999998</v>
      </c>
      <c r="X26" s="104">
        <v>0</v>
      </c>
      <c r="Y26" s="104">
        <v>0.39999999999999997</v>
      </c>
      <c r="Z26" s="104">
        <f>AVERAGE(Y26,X26,V26,U26)</f>
        <v>0.42499999999999993</v>
      </c>
      <c r="AA26" s="104">
        <f>AVERAGE(Z26,Y26,X26,V26)</f>
        <v>0.33124999999999993</v>
      </c>
      <c r="AB26" s="173">
        <f>SUM(X26:AA26)</f>
        <v>1.15625</v>
      </c>
      <c r="AC26" s="104">
        <f>AVERAGE(AA26,Z26,Y26,X26)</f>
        <v>0.28906249999999994</v>
      </c>
      <c r="AD26" s="104">
        <f>AVERAGE(AC26,AA26,Z26,Y26)</f>
        <v>0.36132812499999989</v>
      </c>
      <c r="AE26" s="104">
        <f>AVERAGE(AD26,AC26,AA26,Z26)</f>
        <v>0.35166015624999991</v>
      </c>
      <c r="AF26" s="104">
        <f>AVERAGE(AE26,AD26,AC26,AA26)</f>
        <v>0.33332519531249993</v>
      </c>
      <c r="AG26" s="173">
        <f>SUM(AC26:AF26)</f>
        <v>1.3353759765624997</v>
      </c>
      <c r="AH26" s="104">
        <f>AVERAGE(AF26,AE26,AD26,AC26)</f>
        <v>0.33384399414062493</v>
      </c>
      <c r="AI26" s="104">
        <f>AVERAGE(AH26,AF26,AE26,AD26)</f>
        <v>0.34503936767578114</v>
      </c>
      <c r="AJ26" s="104">
        <f>AVERAGE(AI26,AH26,AF26,AE26)</f>
        <v>0.34096717834472645</v>
      </c>
      <c r="AK26" s="104">
        <f>AVERAGE(AJ26,AI26,AH26,AF26)</f>
        <v>0.33829393386840811</v>
      </c>
      <c r="AL26" s="53">
        <f>SUM(AH26:AK26)</f>
        <v>1.3581444740295407</v>
      </c>
      <c r="AM26" s="104">
        <f>AVERAGE(AK26,AJ26,AI26,AH26)</f>
        <v>0.33953611850738519</v>
      </c>
      <c r="AN26" s="104">
        <f>AVERAGE(AM26,AK26,AJ26,AI26)</f>
        <v>0.34095914959907525</v>
      </c>
      <c r="AO26" s="104">
        <f>AVERAGE(AN26,AM26,AK26,AJ26)</f>
        <v>0.33993909507989872</v>
      </c>
      <c r="AP26" s="104">
        <f>AVERAGE(AO26,AN26,AM26,AK26)</f>
        <v>0.33968207426369179</v>
      </c>
      <c r="AQ26" s="53">
        <f>SUM(AM26:AP26)</f>
        <v>1.360116437450051</v>
      </c>
      <c r="AR26" s="104">
        <f>AVERAGE(AP26,AO26,AN26,AM26)</f>
        <v>0.34002910936251274</v>
      </c>
      <c r="AS26" s="104">
        <f>AVERAGE(AR26,AP26,AO26,AN26)</f>
        <v>0.34015235707629465</v>
      </c>
      <c r="AT26" s="104">
        <f>AVERAGE(AS26,AR26,AP26,AO26)</f>
        <v>0.3399506589455995</v>
      </c>
      <c r="AU26" s="104">
        <f>AVERAGE(AT26,AS26,AR26,AP26)</f>
        <v>0.33995354991202464</v>
      </c>
      <c r="AV26" s="53">
        <f>SUM(AR26:AU26)</f>
        <v>1.3600856752964314</v>
      </c>
    </row>
    <row r="27" spans="1:48" s="8" customFormat="1" x14ac:dyDescent="0.3">
      <c r="A27" s="20"/>
      <c r="B27" s="209" t="s">
        <v>16</v>
      </c>
      <c r="C27" s="202"/>
      <c r="D27" s="103">
        <f t="shared" ref="D27:AV27" si="62">+D25-D26</f>
        <v>760.60000000000048</v>
      </c>
      <c r="E27" s="103">
        <f t="shared" si="62"/>
        <v>663.1999999999997</v>
      </c>
      <c r="F27" s="103">
        <f t="shared" si="62"/>
        <v>1372.8000000000009</v>
      </c>
      <c r="G27" s="103">
        <f t="shared" si="62"/>
        <v>802.60000000000093</v>
      </c>
      <c r="H27" s="171">
        <f t="shared" si="62"/>
        <v>3599.2000000000053</v>
      </c>
      <c r="I27" s="103">
        <f t="shared" si="62"/>
        <v>885.69999999999879</v>
      </c>
      <c r="J27" s="103">
        <f t="shared" si="62"/>
        <v>328.39999999999907</v>
      </c>
      <c r="K27" s="103">
        <f t="shared" si="62"/>
        <v>-678.39999999999918</v>
      </c>
      <c r="L27" s="50">
        <f t="shared" si="62"/>
        <v>392.60000000000042</v>
      </c>
      <c r="M27" s="51">
        <f t="shared" si="62"/>
        <v>928.30000000000439</v>
      </c>
      <c r="N27" s="50">
        <f t="shared" si="62"/>
        <v>622.20000000000016</v>
      </c>
      <c r="O27" s="103">
        <f t="shared" si="62"/>
        <v>659.4</v>
      </c>
      <c r="P27" s="103">
        <f t="shared" si="62"/>
        <v>1153.399999999999</v>
      </c>
      <c r="Q27" s="103">
        <f t="shared" si="62"/>
        <v>1764.3999999999999</v>
      </c>
      <c r="R27" s="171">
        <f t="shared" si="62"/>
        <v>4199.3999999999978</v>
      </c>
      <c r="S27" s="50">
        <f t="shared" si="62"/>
        <v>815.90000000000009</v>
      </c>
      <c r="T27" s="50">
        <f t="shared" si="62"/>
        <v>674.70000000000016</v>
      </c>
      <c r="U27" s="50">
        <f t="shared" si="62"/>
        <v>912.89999999999964</v>
      </c>
      <c r="V27" s="103">
        <f t="shared" si="62"/>
        <v>877.99999999999864</v>
      </c>
      <c r="W27" s="171">
        <f t="shared" si="62"/>
        <v>3281.499999999995</v>
      </c>
      <c r="X27" s="103">
        <f>+X25-X26</f>
        <v>855.19999999999914</v>
      </c>
      <c r="Y27" s="103">
        <f>+Y25-Y26</f>
        <v>907.90000000000066</v>
      </c>
      <c r="Z27" s="50">
        <f t="shared" si="62"/>
        <v>1026.8530464234104</v>
      </c>
      <c r="AA27" s="50">
        <f>+AA25-AA26</f>
        <v>1125.5889028849781</v>
      </c>
      <c r="AB27" s="51">
        <f>+AB25-AB26</f>
        <v>3915.54194930839</v>
      </c>
      <c r="AC27" s="50">
        <f t="shared" si="62"/>
        <v>1025.7366789508544</v>
      </c>
      <c r="AD27" s="50">
        <f t="shared" si="62"/>
        <v>1015.0702883590054</v>
      </c>
      <c r="AE27" s="50">
        <f t="shared" si="62"/>
        <v>1154.8689700154803</v>
      </c>
      <c r="AF27" s="50">
        <f t="shared" si="62"/>
        <v>1160.3737498460878</v>
      </c>
      <c r="AG27" s="51">
        <f t="shared" si="62"/>
        <v>4356.0496871714158</v>
      </c>
      <c r="AH27" s="50">
        <f t="shared" si="62"/>
        <v>1199.549019780311</v>
      </c>
      <c r="AI27" s="50">
        <f t="shared" si="62"/>
        <v>1203.349311714381</v>
      </c>
      <c r="AJ27" s="50">
        <f t="shared" si="62"/>
        <v>1417.3561633359536</v>
      </c>
      <c r="AK27" s="50">
        <f t="shared" si="62"/>
        <v>1333.8073253744269</v>
      </c>
      <c r="AL27" s="51">
        <f t="shared" si="62"/>
        <v>5154.06182020507</v>
      </c>
      <c r="AM27" s="50">
        <f t="shared" si="62"/>
        <v>1292.5272009628331</v>
      </c>
      <c r="AN27" s="50">
        <f t="shared" si="62"/>
        <v>1293.7931330946139</v>
      </c>
      <c r="AO27" s="50">
        <f t="shared" si="62"/>
        <v>1522.2992332047804</v>
      </c>
      <c r="AP27" s="50">
        <f t="shared" si="62"/>
        <v>1474.0739744979096</v>
      </c>
      <c r="AQ27" s="51">
        <f t="shared" si="62"/>
        <v>5582.6935417601435</v>
      </c>
      <c r="AR27" s="50">
        <f t="shared" si="62"/>
        <v>1387.2410801239832</v>
      </c>
      <c r="AS27" s="50">
        <f t="shared" si="62"/>
        <v>1391.203447233778</v>
      </c>
      <c r="AT27" s="50">
        <f t="shared" si="62"/>
        <v>1627.8294490013041</v>
      </c>
      <c r="AU27" s="50">
        <f t="shared" si="62"/>
        <v>1577.7237594908265</v>
      </c>
      <c r="AV27" s="51">
        <f t="shared" si="62"/>
        <v>5983.9977358498963</v>
      </c>
    </row>
    <row r="28" spans="1:48" s="8" customFormat="1" ht="16.2" x14ac:dyDescent="0.45">
      <c r="A28" s="20"/>
      <c r="B28" s="87" t="s">
        <v>72</v>
      </c>
      <c r="C28" s="84"/>
      <c r="D28" s="109">
        <f t="shared" ref="D28:AA28" si="63">-D171-D172</f>
        <v>41.449999999998646</v>
      </c>
      <c r="E28" s="109">
        <f t="shared" si="63"/>
        <v>-54.179999999999545</v>
      </c>
      <c r="F28" s="109">
        <f t="shared" si="63"/>
        <v>-544.16000000000076</v>
      </c>
      <c r="G28" s="109">
        <f t="shared" si="63"/>
        <v>-30</v>
      </c>
      <c r="H28" s="178">
        <f>SUM(D28:G28)</f>
        <v>-586.89000000000169</v>
      </c>
      <c r="I28" s="109">
        <f t="shared" si="63"/>
        <v>-11</v>
      </c>
      <c r="J28" s="109">
        <f t="shared" si="63"/>
        <v>-23</v>
      </c>
      <c r="K28" s="109">
        <f t="shared" si="63"/>
        <v>-35.055</v>
      </c>
      <c r="L28" s="91">
        <f>-L171-L172</f>
        <v>-50.810000000000372</v>
      </c>
      <c r="M28" s="92">
        <f>SUM(I28:L28)</f>
        <v>-119.86500000000038</v>
      </c>
      <c r="N28" s="109">
        <f t="shared" si="63"/>
        <v>-35.49</v>
      </c>
      <c r="O28" s="109">
        <f t="shared" si="63"/>
        <v>-11.847999999999999</v>
      </c>
      <c r="P28" s="109">
        <f t="shared" si="63"/>
        <v>-11.862</v>
      </c>
      <c r="Q28" s="109">
        <f t="shared" si="63"/>
        <v>-696.10940000000005</v>
      </c>
      <c r="R28" s="178">
        <f>SUM(N28:Q28)</f>
        <v>-755.3094000000001</v>
      </c>
      <c r="S28" s="91">
        <f t="shared" si="63"/>
        <v>-3.9480000000003299</v>
      </c>
      <c r="T28" s="91">
        <f t="shared" si="63"/>
        <v>-46.156000000000006</v>
      </c>
      <c r="U28" s="91">
        <f t="shared" si="63"/>
        <v>-23.02</v>
      </c>
      <c r="V28" s="109">
        <f t="shared" si="63"/>
        <v>-23.05</v>
      </c>
      <c r="W28" s="178">
        <f>SUM(S28:V28)</f>
        <v>-96.174000000000333</v>
      </c>
      <c r="X28" s="109">
        <f t="shared" si="63"/>
        <v>0</v>
      </c>
      <c r="Y28" s="109">
        <f t="shared" si="63"/>
        <v>23.054000000000002</v>
      </c>
      <c r="Z28" s="91">
        <f t="shared" si="63"/>
        <v>-1.986449029126214</v>
      </c>
      <c r="AA28" s="91">
        <f t="shared" si="63"/>
        <v>-1.986449029126214</v>
      </c>
      <c r="AB28" s="92">
        <f>SUM(X28:AA28)</f>
        <v>19.081101941747576</v>
      </c>
      <c r="AC28" s="91">
        <f t="shared" ref="AC28:AF28" si="64">-AC171-AC172</f>
        <v>-1.986449029126214</v>
      </c>
      <c r="AD28" s="91">
        <f t="shared" si="64"/>
        <v>-1.986449029126214</v>
      </c>
      <c r="AE28" s="91">
        <f t="shared" si="64"/>
        <v>-1.986449029126214</v>
      </c>
      <c r="AF28" s="91">
        <f t="shared" si="64"/>
        <v>-1.986449029126214</v>
      </c>
      <c r="AG28" s="92">
        <f>SUM(AC28:AF28)</f>
        <v>-7.9457961165048561</v>
      </c>
      <c r="AH28" s="91">
        <f t="shared" ref="AH28:AK28" si="65">-AH171-AH172</f>
        <v>-1.986449029126214</v>
      </c>
      <c r="AI28" s="91">
        <f t="shared" si="65"/>
        <v>-1.986449029126214</v>
      </c>
      <c r="AJ28" s="91">
        <f t="shared" si="65"/>
        <v>-1.986449029126214</v>
      </c>
      <c r="AK28" s="91">
        <f t="shared" si="65"/>
        <v>-1.986449029126214</v>
      </c>
      <c r="AL28" s="92">
        <f>SUM(AH28:AK28)</f>
        <v>-7.9457961165048561</v>
      </c>
      <c r="AM28" s="91">
        <f t="shared" ref="AM28:AP28" si="66">-AM171-AM172</f>
        <v>-1.986449029126214</v>
      </c>
      <c r="AN28" s="91">
        <f t="shared" si="66"/>
        <v>-1.986449029126214</v>
      </c>
      <c r="AO28" s="91">
        <f t="shared" si="66"/>
        <v>-1.986449029126214</v>
      </c>
      <c r="AP28" s="91">
        <f t="shared" si="66"/>
        <v>-1.986449029126214</v>
      </c>
      <c r="AQ28" s="92">
        <f>SUM(AM28:AP28)</f>
        <v>-7.9457961165048561</v>
      </c>
      <c r="AR28" s="91">
        <f t="shared" ref="AR28:AU28" si="67">-AR171-AR172</f>
        <v>-1.986449029126214</v>
      </c>
      <c r="AS28" s="91">
        <f t="shared" si="67"/>
        <v>-1.986449029126214</v>
      </c>
      <c r="AT28" s="91">
        <f t="shared" si="67"/>
        <v>-1.986449029126214</v>
      </c>
      <c r="AU28" s="91">
        <f t="shared" si="67"/>
        <v>-1.986449029126214</v>
      </c>
      <c r="AV28" s="92">
        <f>SUM(AR28:AU28)</f>
        <v>-7.9457961165048561</v>
      </c>
    </row>
    <row r="29" spans="1:48" s="8" customFormat="1" x14ac:dyDescent="0.3">
      <c r="A29" s="20"/>
      <c r="B29" s="85" t="s">
        <v>73</v>
      </c>
      <c r="C29" s="86"/>
      <c r="D29" s="108">
        <f t="shared" ref="D29:AV29" si="68">+D19+D20+D21+D22-D24-D26+D28</f>
        <v>940.04999999999916</v>
      </c>
      <c r="E29" s="108">
        <f t="shared" si="68"/>
        <v>750.42000000000007</v>
      </c>
      <c r="F29" s="108">
        <f t="shared" si="68"/>
        <v>953.94</v>
      </c>
      <c r="G29" s="108">
        <f t="shared" si="68"/>
        <v>850.00000000000102</v>
      </c>
      <c r="H29" s="177">
        <f t="shared" si="68"/>
        <v>3494.4100000000039</v>
      </c>
      <c r="I29" s="108">
        <f t="shared" si="68"/>
        <v>946.2999999999987</v>
      </c>
      <c r="J29" s="108">
        <f t="shared" si="68"/>
        <v>372.19999999999902</v>
      </c>
      <c r="K29" s="108">
        <f t="shared" si="68"/>
        <v>-539.7749999999993</v>
      </c>
      <c r="L29" s="80">
        <f>+L19+L20+L21+L22-L24-L26+L28</f>
        <v>601.29</v>
      </c>
      <c r="M29" s="81">
        <f t="shared" si="68"/>
        <v>1380.0150000000035</v>
      </c>
      <c r="N29" s="108">
        <f t="shared" si="68"/>
        <v>721.61000000000024</v>
      </c>
      <c r="O29" s="108">
        <f t="shared" si="68"/>
        <v>735.75199999999995</v>
      </c>
      <c r="P29" s="108">
        <f t="shared" si="68"/>
        <v>1193.2379999999987</v>
      </c>
      <c r="Q29" s="108">
        <f t="shared" si="68"/>
        <v>1183.4905999999996</v>
      </c>
      <c r="R29" s="177">
        <f t="shared" si="68"/>
        <v>3834.0905999999977</v>
      </c>
      <c r="S29" s="80">
        <f t="shared" si="68"/>
        <v>847.15199999999982</v>
      </c>
      <c r="T29" s="80">
        <f t="shared" si="68"/>
        <v>676.04400000000032</v>
      </c>
      <c r="U29" s="80">
        <f t="shared" si="68"/>
        <v>967.37999999999965</v>
      </c>
      <c r="V29" s="108">
        <f t="shared" si="68"/>
        <v>932.04999999999859</v>
      </c>
      <c r="W29" s="177">
        <f t="shared" si="68"/>
        <v>3422.6259999999947</v>
      </c>
      <c r="X29" s="108">
        <f t="shared" si="68"/>
        <v>861.29999999999905</v>
      </c>
      <c r="Y29" s="108">
        <f t="shared" si="68"/>
        <v>848.55400000000054</v>
      </c>
      <c r="Z29" s="80">
        <f t="shared" si="68"/>
        <v>1031.9665973942842</v>
      </c>
      <c r="AA29" s="80">
        <f t="shared" si="68"/>
        <v>1130.7024538558519</v>
      </c>
      <c r="AB29" s="81">
        <f t="shared" si="68"/>
        <v>3872.5230512501371</v>
      </c>
      <c r="AC29" s="80">
        <f t="shared" si="68"/>
        <v>1030.8502299217282</v>
      </c>
      <c r="AD29" s="80">
        <f t="shared" si="68"/>
        <v>1020.1838393298791</v>
      </c>
      <c r="AE29" s="80">
        <f t="shared" si="68"/>
        <v>1159.9825209863541</v>
      </c>
      <c r="AF29" s="80">
        <f t="shared" si="68"/>
        <v>1165.4873008169616</v>
      </c>
      <c r="AG29" s="81">
        <f t="shared" si="68"/>
        <v>4376.503891054911</v>
      </c>
      <c r="AH29" s="80">
        <f t="shared" si="68"/>
        <v>1204.6625707511848</v>
      </c>
      <c r="AI29" s="80">
        <f t="shared" si="68"/>
        <v>1208.4628626852548</v>
      </c>
      <c r="AJ29" s="80">
        <f t="shared" si="68"/>
        <v>1422.4697143068274</v>
      </c>
      <c r="AK29" s="80">
        <f t="shared" si="68"/>
        <v>1338.9208763453007</v>
      </c>
      <c r="AL29" s="81">
        <f t="shared" si="68"/>
        <v>5174.5160240885652</v>
      </c>
      <c r="AM29" s="80">
        <f t="shared" si="68"/>
        <v>1297.640751933707</v>
      </c>
      <c r="AN29" s="80">
        <f t="shared" si="68"/>
        <v>1298.9066840654878</v>
      </c>
      <c r="AO29" s="80">
        <f t="shared" si="68"/>
        <v>1527.4127841756542</v>
      </c>
      <c r="AP29" s="80">
        <f t="shared" si="68"/>
        <v>1479.1875254687834</v>
      </c>
      <c r="AQ29" s="81">
        <f t="shared" si="68"/>
        <v>5603.1477456436387</v>
      </c>
      <c r="AR29" s="80">
        <f t="shared" si="68"/>
        <v>1392.354631094857</v>
      </c>
      <c r="AS29" s="80">
        <f t="shared" si="68"/>
        <v>1396.3169982046518</v>
      </c>
      <c r="AT29" s="80">
        <f t="shared" si="68"/>
        <v>1632.9429999721779</v>
      </c>
      <c r="AU29" s="80">
        <f t="shared" si="68"/>
        <v>1582.8373104617003</v>
      </c>
      <c r="AV29" s="81">
        <f t="shared" si="68"/>
        <v>6004.4519397333916</v>
      </c>
    </row>
    <row r="30" spans="1:48" x14ac:dyDescent="0.3">
      <c r="B30" s="580" t="s">
        <v>0</v>
      </c>
      <c r="C30" s="581"/>
      <c r="D30" s="101">
        <v>1242</v>
      </c>
      <c r="E30" s="101">
        <v>1239.2</v>
      </c>
      <c r="F30" s="101">
        <v>1211</v>
      </c>
      <c r="G30" s="101">
        <v>1210.7904210526317</v>
      </c>
      <c r="H30" s="169">
        <v>1221.2</v>
      </c>
      <c r="I30" s="101">
        <v>1180.4000000000001</v>
      </c>
      <c r="J30" s="101">
        <v>1171.8</v>
      </c>
      <c r="K30" s="101">
        <v>1168.5</v>
      </c>
      <c r="L30" s="101">
        <v>1167.3874645009873</v>
      </c>
      <c r="M30" s="17">
        <f>+(I27/M27*I30)+(J27/M27*J30)+(K27/M27*K30)+(L27/M27*L30)</f>
        <v>1180.550811766758</v>
      </c>
      <c r="N30" s="101">
        <v>1175</v>
      </c>
      <c r="O30" s="101">
        <v>1177.5</v>
      </c>
      <c r="P30" s="101">
        <v>1178.5</v>
      </c>
      <c r="Q30" s="101">
        <v>1179.5008492569002</v>
      </c>
      <c r="R30" s="169">
        <f>+(N27/R27*N30)+(O27/R27*O30)+(P27/R27*P30)+(Q27/R27*Q30)</f>
        <v>1178.2449155662418</v>
      </c>
      <c r="S30" s="16">
        <v>1169.5999999999999</v>
      </c>
      <c r="T30" s="16">
        <v>1149.2</v>
      </c>
      <c r="U30" s="16">
        <v>1147</v>
      </c>
      <c r="V30" s="101">
        <v>1147.8558123647915</v>
      </c>
      <c r="W30" s="169">
        <f>+(S27/W27*S30)+(T27/W27*T30)+(U27/W27*U30)+(V27/W27*V30)</f>
        <v>1153.3004977163769</v>
      </c>
      <c r="X30" s="101">
        <v>1148.5</v>
      </c>
      <c r="Y30" s="101">
        <v>1148.5</v>
      </c>
      <c r="Z30" s="16">
        <f>Y30*(1+Z151)-Z155-Z158-Z161</f>
        <v>1149.797</v>
      </c>
      <c r="AA30" s="16">
        <f>Z30*(1+AA151)-AA155-AA158-AA161</f>
        <v>1151.0965940000001</v>
      </c>
      <c r="AB30" s="17">
        <f>+(X27/AB27*X30)+(Y27/AB27*Y30)+(Z27/AB27*Z30)+(AA27/AB27*AA30)</f>
        <v>1149.5865739271821</v>
      </c>
      <c r="AC30" s="16">
        <f>AA30*(1+AC151)-AC155-AC158-AC161</f>
        <v>1152.5114068456933</v>
      </c>
      <c r="AD30" s="16">
        <f>AC30*(1+AD151)-AD155-AD158-AD161</f>
        <v>1153.9290493170779</v>
      </c>
      <c r="AE30" s="16">
        <f>AD30*(1+AE151)-AE155-AE158-AE161</f>
        <v>1155.3495270734052</v>
      </c>
      <c r="AF30" s="16">
        <f>AE30*(1+AF151)-AF155-AF158-AF161</f>
        <v>1156.7728457852452</v>
      </c>
      <c r="AG30" s="17">
        <f>+(AC27/AG27*AC30)+(AD27/AG27*AD30)+(AE27/AG27*AE30)+(AF27/AG27*AF30)</f>
        <v>1154.7293626341389</v>
      </c>
      <c r="AH30" s="16">
        <f>AF30*(1+AH151)-AH155-AH158-AH161</f>
        <v>1158.2412673412853</v>
      </c>
      <c r="AI30" s="16">
        <f>AH30*(1+AI151)-AI155-AI158-AI161</f>
        <v>1159.7126257404375</v>
      </c>
      <c r="AJ30" s="16">
        <f>AI30*(1+AJ151)-AJ155-AJ158-AJ161</f>
        <v>1114.7747492425913</v>
      </c>
      <c r="AK30" s="16">
        <f>AJ30*(1+AK151)-AK155-AK158-AK161</f>
        <v>1069.7469969917493</v>
      </c>
      <c r="AL30" s="17">
        <f>+(AH27/AL27*AH30)+(AI27/AL27*AI30)+(AJ27/AL27*AJ30)+(AK27/AL27*AK30)</f>
        <v>1123.7303725441739</v>
      </c>
      <c r="AM30" s="16">
        <f>AK30*(1+AM151)-AM155-AM158-AM161</f>
        <v>1069.8592742427227</v>
      </c>
      <c r="AN30" s="16">
        <f>AM30*(1+AN151)-AN155-AN158-AN161</f>
        <v>1069.9717760481981</v>
      </c>
      <c r="AO30" s="16">
        <f>AN30*(1+AO151)-AO155-AO158-AO161</f>
        <v>1070.0845028572844</v>
      </c>
      <c r="AP30" s="16">
        <f>AO30*(1+AP151)-AP155-AP158-AP161</f>
        <v>1070.1974551199889</v>
      </c>
      <c r="AQ30" s="17">
        <f>+(AM27/AQ27*AM30)+(AN27/AQ27*AN30)+(AO27/AQ27*AO30)+(AP27/AQ27*AP30)</f>
        <v>1070.0360568357648</v>
      </c>
      <c r="AR30" s="16">
        <f>AP30*(1+AR151)-AR155-AR158-AR161</f>
        <v>1070.3503826351209</v>
      </c>
      <c r="AS30" s="16">
        <f>AR30*(1+AS151)-AS155-AS158-AS161</f>
        <v>1070.503616005283</v>
      </c>
      <c r="AT30" s="16">
        <f>AS30*(1+AT151)-AT155-AT158-AT161</f>
        <v>1070.6571558421856</v>
      </c>
      <c r="AU30" s="16">
        <f>AT30*(1+AU151)-AU155-AU158-AU161</f>
        <v>1070.811002758762</v>
      </c>
      <c r="AV30" s="17">
        <f>+(AR27/AV27*AR30)+(AS27/AV27*AS30)+(AT27/AV27*AT30)+(AU27/AV27*AU30)</f>
        <v>1070.5909048796341</v>
      </c>
    </row>
    <row r="31" spans="1:48" ht="15.75" customHeight="1" x14ac:dyDescent="0.3">
      <c r="B31" s="580" t="s">
        <v>1</v>
      </c>
      <c r="C31" s="581"/>
      <c r="D31" s="101">
        <v>1253.4000000000001</v>
      </c>
      <c r="E31" s="101">
        <v>1250.7</v>
      </c>
      <c r="F31" s="101">
        <v>1223</v>
      </c>
      <c r="G31" s="101">
        <v>1222.8144210526316</v>
      </c>
      <c r="H31" s="169">
        <v>1233.2</v>
      </c>
      <c r="I31" s="101">
        <v>1191</v>
      </c>
      <c r="J31" s="101">
        <v>1180.7</v>
      </c>
      <c r="K31" s="101">
        <v>1168.5</v>
      </c>
      <c r="L31" s="101">
        <v>1179</v>
      </c>
      <c r="M31" s="17">
        <f>+(I27/M27*I31)+(J27/M27*J31)+(K27/M27*K31)+(L27/M27*L31)</f>
        <v>1198.7240978132002</v>
      </c>
      <c r="N31" s="101">
        <v>1183</v>
      </c>
      <c r="O31" s="101">
        <v>1184.8</v>
      </c>
      <c r="P31" s="101">
        <v>1186.2</v>
      </c>
      <c r="Q31" s="101">
        <v>1187.9000000000001</v>
      </c>
      <c r="R31" s="169">
        <f>+(N27/R27*N31)+(O27/R27*O31)+(P27/R27*P31)+(Q27/R27*Q31)</f>
        <v>1186.2203076629999</v>
      </c>
      <c r="S31" s="16">
        <v>1176.5999999999999</v>
      </c>
      <c r="T31" s="16">
        <v>1153.9000000000001</v>
      </c>
      <c r="U31" s="16">
        <v>1151</v>
      </c>
      <c r="V31" s="16">
        <v>1152.5</v>
      </c>
      <c r="W31" s="169">
        <f>+(S27/W27*S31)+(T27/W27*T31)+(U27/W27*U31)+(V27/W27*V31)</f>
        <v>1158.3626908426036</v>
      </c>
      <c r="X31" s="101">
        <v>1152.9000000000001</v>
      </c>
      <c r="Y31" s="101">
        <v>1152.7</v>
      </c>
      <c r="Z31" s="16">
        <f>Y31*(1+Z152)-Z155-Z158-Z161</f>
        <v>1152.8526999999999</v>
      </c>
      <c r="AA31" s="16">
        <f>Z31*(1+AA152)-AA155-AA158-AA161</f>
        <v>1153.0055526999997</v>
      </c>
      <c r="AB31" s="17">
        <f>+(X27/AB27*X31)+(Y27/AB27*Y31)+(Z27/AB27*Z31)+(AA27/AB27*AA31)</f>
        <v>1152.8715642935895</v>
      </c>
      <c r="AC31" s="16">
        <f>AA31*(1+AC152)-AC155-AC158-AC161</f>
        <v>1153.2711779103927</v>
      </c>
      <c r="AD31" s="16">
        <f>AC31*(1+AD152)-AD155-AD158-AD161</f>
        <v>1153.5370687459961</v>
      </c>
      <c r="AE31" s="16">
        <f>AD31*(1+AE152)-AE155-AE158-AE161</f>
        <v>1153.8032254724351</v>
      </c>
      <c r="AF31" s="16">
        <f>AE31*(1+AF152)-AF155-AF158-AF161</f>
        <v>1154.0696483556005</v>
      </c>
      <c r="AG31" s="17">
        <f>+(AC27/AG27*AC31)+(AD27/AG27*AD31)+(AE27/AG27*AE31)+(AF27/AG27*AF31)</f>
        <v>1153.6868910867454</v>
      </c>
      <c r="AH31" s="16">
        <f>AF31*(1+AH152)-AH155-AH158-AH161</f>
        <v>1154.3785938684257</v>
      </c>
      <c r="AI31" s="16">
        <f>AH31*(1+AI152)-AI155-AI158-AI161</f>
        <v>1154.6878483267637</v>
      </c>
      <c r="AJ31" s="16">
        <f>AI31*(1+AJ152)-AJ155-AJ158-AJ161</f>
        <v>1108.5852344257632</v>
      </c>
      <c r="AK31" s="16">
        <f>AJ31*(1+AK152)-AK155-AK158-AK161</f>
        <v>1062.4365179108618</v>
      </c>
      <c r="AL31" s="17">
        <f>+(AH27/AL27*AH31)+(AI27/AL27*AI31)+(AJ27/AL27*AJ31)+(AK27/AL27*AK31)</f>
        <v>1118.0642499474964</v>
      </c>
      <c r="AM31" s="16">
        <f>AK31*(1+AM152)-AM155-AM158-AM161</f>
        <v>1061.4717376857625</v>
      </c>
      <c r="AN31" s="16">
        <f>AM31*(1+AN152)-AN155-AN158-AN161</f>
        <v>1060.5059926804381</v>
      </c>
      <c r="AO31" s="16">
        <f>AN31*(1+AO152)-AO155-AO158-AO161</f>
        <v>1059.5392819301085</v>
      </c>
      <c r="AP31" s="16">
        <f>AO31*(1+AP152)-AP155-AP158-AP161</f>
        <v>1058.5716044690284</v>
      </c>
      <c r="AQ31" s="17">
        <f>+(AM27/AQ27*AM31)+(AN27/AQ27*AN31)+(AO27/AQ27*AO31)+(AP27/AQ27*AP31)</f>
        <v>1059.9552186425292</v>
      </c>
      <c r="AR31" s="16">
        <f>AP31*(1+AR152)-AR155-AR158-AR161</f>
        <v>1057.6427086783892</v>
      </c>
      <c r="AS31" s="16">
        <f>AR31*(1+AS152)-AS155-AS158-AS161</f>
        <v>1056.7128839919594</v>
      </c>
      <c r="AT31" s="16">
        <f>AS31*(1+AT152)-AT155-AT158-AT161</f>
        <v>1055.7821294808432</v>
      </c>
      <c r="AU31" s="16">
        <f>AT31*(1+AU152)-AU155-AU158-AU161</f>
        <v>1054.8504442152159</v>
      </c>
      <c r="AV31" s="17">
        <f>+(AR27/AV27*AR31)+(AS27/AV27*AS31)+(AT27/AV27*AT31)+(AU27/AV27*AU31)</f>
        <v>1056.1842016249695</v>
      </c>
    </row>
    <row r="32" spans="1:48" ht="15.75" customHeight="1" x14ac:dyDescent="0.3">
      <c r="B32" s="587" t="s">
        <v>6</v>
      </c>
      <c r="C32" s="588"/>
      <c r="D32" s="110">
        <f t="shared" ref="D32:AV32" si="69">D27/D30</f>
        <v>0.61239935587761718</v>
      </c>
      <c r="E32" s="110">
        <f t="shared" si="69"/>
        <v>0.53518398967075509</v>
      </c>
      <c r="F32" s="110">
        <f t="shared" si="69"/>
        <v>1.1336085879438487</v>
      </c>
      <c r="G32" s="110">
        <f t="shared" si="69"/>
        <v>0.66287276975832043</v>
      </c>
      <c r="H32" s="174">
        <f t="shared" si="69"/>
        <v>2.947264985260404</v>
      </c>
      <c r="I32" s="110">
        <f t="shared" si="69"/>
        <v>0.75033886818027684</v>
      </c>
      <c r="J32" s="110">
        <f t="shared" si="69"/>
        <v>0.28025260283324721</v>
      </c>
      <c r="K32" s="110">
        <f t="shared" si="69"/>
        <v>-0.58057338468121455</v>
      </c>
      <c r="L32" s="110">
        <f t="shared" si="69"/>
        <v>0.3363065065700544</v>
      </c>
      <c r="M32" s="25">
        <f t="shared" si="69"/>
        <v>0.78632786555858059</v>
      </c>
      <c r="N32" s="110">
        <f t="shared" si="69"/>
        <v>0.52953191489361717</v>
      </c>
      <c r="O32" s="110">
        <f t="shared" si="69"/>
        <v>0.55999999999999994</v>
      </c>
      <c r="P32" s="110">
        <f t="shared" si="69"/>
        <v>0.97870173949936268</v>
      </c>
      <c r="Q32" s="110">
        <f t="shared" si="69"/>
        <v>1.495887011112873</v>
      </c>
      <c r="R32" s="174">
        <f t="shared" si="69"/>
        <v>3.5641146798260079</v>
      </c>
      <c r="S32" s="24">
        <f t="shared" si="69"/>
        <v>0.69758891928864586</v>
      </c>
      <c r="T32" s="24">
        <f t="shared" si="69"/>
        <v>0.58710407239819018</v>
      </c>
      <c r="U32" s="24">
        <f t="shared" si="69"/>
        <v>0.79590235396686981</v>
      </c>
      <c r="V32" s="24">
        <f t="shared" si="69"/>
        <v>0.76490443359010318</v>
      </c>
      <c r="W32" s="174">
        <f t="shared" si="69"/>
        <v>2.8453122204469832</v>
      </c>
      <c r="X32" s="110">
        <f t="shared" si="69"/>
        <v>0.74462342185459218</v>
      </c>
      <c r="Y32" s="110">
        <f t="shared" si="69"/>
        <v>0.79050936003482863</v>
      </c>
      <c r="Z32" s="24">
        <f t="shared" si="69"/>
        <v>0.89307333940113809</v>
      </c>
      <c r="AA32" s="24">
        <f t="shared" si="69"/>
        <v>0.97784052941518651</v>
      </c>
      <c r="AB32" s="25">
        <f t="shared" si="69"/>
        <v>3.4060435621931773</v>
      </c>
      <c r="AC32" s="24">
        <f t="shared" si="69"/>
        <v>0.89000132480961003</v>
      </c>
      <c r="AD32" s="24">
        <f t="shared" si="69"/>
        <v>0.8796643857434282</v>
      </c>
      <c r="AE32" s="24">
        <f t="shared" si="69"/>
        <v>0.99958405915555082</v>
      </c>
      <c r="AF32" s="24">
        <f t="shared" si="69"/>
        <v>1.0031128877842894</v>
      </c>
      <c r="AG32" s="25">
        <f t="shared" si="69"/>
        <v>3.7723555216735005</v>
      </c>
      <c r="AH32" s="24">
        <f t="shared" si="69"/>
        <v>1.0356642036540855</v>
      </c>
      <c r="AI32" s="24">
        <f t="shared" si="69"/>
        <v>1.0376271543530735</v>
      </c>
      <c r="AJ32" s="24">
        <f t="shared" si="69"/>
        <v>1.2714282991240557</v>
      </c>
      <c r="AK32" s="24">
        <f t="shared" si="69"/>
        <v>1.2468437201742519</v>
      </c>
      <c r="AL32" s="25">
        <f t="shared" si="69"/>
        <v>4.5865644874722502</v>
      </c>
      <c r="AM32" s="24">
        <f t="shared" si="69"/>
        <v>1.2081282389945363</v>
      </c>
      <c r="AN32" s="24">
        <f t="shared" si="69"/>
        <v>1.2091843561267299</v>
      </c>
      <c r="AO32" s="24">
        <f t="shared" si="69"/>
        <v>1.4225972146498858</v>
      </c>
      <c r="AP32" s="24">
        <f t="shared" si="69"/>
        <v>1.3773850493156319</v>
      </c>
      <c r="AQ32" s="25">
        <f t="shared" si="69"/>
        <v>5.2172947874942563</v>
      </c>
      <c r="AR32" s="24">
        <f t="shared" si="69"/>
        <v>1.2960625815900599</v>
      </c>
      <c r="AS32" s="24">
        <f t="shared" si="69"/>
        <v>1.2995784660917131</v>
      </c>
      <c r="AT32" s="24">
        <f t="shared" si="69"/>
        <v>1.5204021568611692</v>
      </c>
      <c r="AU32" s="24">
        <f t="shared" si="69"/>
        <v>1.4733914345538943</v>
      </c>
      <c r="AV32" s="25">
        <f t="shared" si="69"/>
        <v>5.5894344969450991</v>
      </c>
    </row>
    <row r="33" spans="2:48" x14ac:dyDescent="0.3">
      <c r="B33" s="587" t="s">
        <v>7</v>
      </c>
      <c r="C33" s="588"/>
      <c r="D33" s="110">
        <f t="shared" ref="D33:AV33" si="70">D27/D31</f>
        <v>0.60682942396681061</v>
      </c>
      <c r="E33" s="110">
        <f t="shared" si="70"/>
        <v>0.53026305269049312</v>
      </c>
      <c r="F33" s="110">
        <f t="shared" si="70"/>
        <v>1.1224856909239582</v>
      </c>
      <c r="G33" s="110">
        <f t="shared" si="70"/>
        <v>0.65635470614510849</v>
      </c>
      <c r="H33" s="174">
        <f t="shared" si="70"/>
        <v>2.9185857930587131</v>
      </c>
      <c r="I33" s="110">
        <f t="shared" si="70"/>
        <v>0.74366078925272783</v>
      </c>
      <c r="J33" s="110">
        <f t="shared" si="70"/>
        <v>0.27814008638942922</v>
      </c>
      <c r="K33" s="110">
        <f t="shared" si="70"/>
        <v>-0.58057338468121455</v>
      </c>
      <c r="L33" s="110">
        <f t="shared" si="70"/>
        <v>0.3329940627650555</v>
      </c>
      <c r="M33" s="174">
        <f t="shared" si="70"/>
        <v>0.7744067226924668</v>
      </c>
      <c r="N33" s="110">
        <f t="shared" si="70"/>
        <v>0.52595097210481845</v>
      </c>
      <c r="O33" s="110">
        <f t="shared" si="70"/>
        <v>0.55654962862930457</v>
      </c>
      <c r="P33" s="110">
        <f t="shared" si="70"/>
        <v>0.97234867644579237</v>
      </c>
      <c r="Q33" s="110">
        <f t="shared" si="70"/>
        <v>1.4853102112972469</v>
      </c>
      <c r="R33" s="174">
        <f t="shared" si="70"/>
        <v>3.5401518359379072</v>
      </c>
      <c r="S33" s="24">
        <f t="shared" si="70"/>
        <v>0.69343872174060861</v>
      </c>
      <c r="T33" s="24">
        <f t="shared" si="70"/>
        <v>0.58471271340670783</v>
      </c>
      <c r="U33" s="24">
        <f t="shared" si="70"/>
        <v>0.79313640312771472</v>
      </c>
      <c r="V33" s="24">
        <f t="shared" si="70"/>
        <v>0.76182212581344788</v>
      </c>
      <c r="W33" s="174">
        <f t="shared" si="70"/>
        <v>2.8328778420971088</v>
      </c>
      <c r="X33" s="110">
        <f>X27/X31</f>
        <v>0.74178159424060985</v>
      </c>
      <c r="Y33" s="110">
        <f t="shared" si="70"/>
        <v>0.78762904485121943</v>
      </c>
      <c r="Z33" s="24">
        <f t="shared" si="70"/>
        <v>0.89070619899958647</v>
      </c>
      <c r="AA33" s="24">
        <f>AA27/AA31</f>
        <v>0.97622158041579254</v>
      </c>
      <c r="AB33" s="25">
        <f>AB27/AB31</f>
        <v>3.3963383871885151</v>
      </c>
      <c r="AC33" s="24">
        <f t="shared" si="70"/>
        <v>0.88941499501390686</v>
      </c>
      <c r="AD33" s="24">
        <f t="shared" si="70"/>
        <v>0.87996330231717901</v>
      </c>
      <c r="AE33" s="24">
        <f t="shared" si="70"/>
        <v>1.0009236796357619</v>
      </c>
      <c r="AF33" s="24">
        <f t="shared" si="70"/>
        <v>1.0054624965654975</v>
      </c>
      <c r="AG33" s="25">
        <f t="shared" si="70"/>
        <v>3.7757642223602987</v>
      </c>
      <c r="AH33" s="24">
        <f t="shared" si="70"/>
        <v>1.0391296461592512</v>
      </c>
      <c r="AI33" s="24">
        <f t="shared" si="70"/>
        <v>1.0421425266214861</v>
      </c>
      <c r="AJ33" s="24">
        <f t="shared" si="70"/>
        <v>1.2785270084082716</v>
      </c>
      <c r="AK33" s="24">
        <f t="shared" si="70"/>
        <v>1.2554230797687369</v>
      </c>
      <c r="AL33" s="25">
        <f t="shared" si="70"/>
        <v>4.6098082649964898</v>
      </c>
      <c r="AM33" s="24">
        <f t="shared" si="70"/>
        <v>1.21767462578026</v>
      </c>
      <c r="AN33" s="24">
        <f t="shared" si="70"/>
        <v>1.2199772014720449</v>
      </c>
      <c r="AO33" s="24">
        <f t="shared" si="70"/>
        <v>1.4367558231835311</v>
      </c>
      <c r="AP33" s="24">
        <f t="shared" si="70"/>
        <v>1.3925122951293352</v>
      </c>
      <c r="AQ33" s="25">
        <f t="shared" si="70"/>
        <v>5.2669145295683588</v>
      </c>
      <c r="AR33" s="24">
        <f t="shared" si="70"/>
        <v>1.3116348921437317</v>
      </c>
      <c r="AS33" s="24">
        <f t="shared" si="70"/>
        <v>1.3165387384870417</v>
      </c>
      <c r="AT33" s="24">
        <f t="shared" si="70"/>
        <v>1.5418232640495175</v>
      </c>
      <c r="AU33" s="24">
        <f t="shared" si="70"/>
        <v>1.4956847846469989</v>
      </c>
      <c r="AV33" s="25">
        <f t="shared" si="70"/>
        <v>5.6656762396590903</v>
      </c>
    </row>
    <row r="34" spans="2:48" x14ac:dyDescent="0.3">
      <c r="B34" s="93" t="s">
        <v>74</v>
      </c>
      <c r="C34" s="100"/>
      <c r="D34" s="111">
        <f t="shared" ref="D34:AV34" si="71">+D29/D31</f>
        <v>0.74999999999999922</v>
      </c>
      <c r="E34" s="111">
        <f t="shared" si="71"/>
        <v>0.60000000000000009</v>
      </c>
      <c r="F34" s="111">
        <f t="shared" si="71"/>
        <v>0.78</v>
      </c>
      <c r="G34" s="111">
        <f t="shared" si="71"/>
        <v>0.69511774261567683</v>
      </c>
      <c r="H34" s="172">
        <f t="shared" si="71"/>
        <v>2.8336117418099285</v>
      </c>
      <c r="I34" s="111">
        <f t="shared" si="71"/>
        <v>0.79454240134340781</v>
      </c>
      <c r="J34" s="111">
        <f t="shared" si="71"/>
        <v>0.31523672397730074</v>
      </c>
      <c r="K34" s="111">
        <f t="shared" si="71"/>
        <v>-0.46193838254171954</v>
      </c>
      <c r="L34" s="111">
        <f t="shared" si="71"/>
        <v>0.51</v>
      </c>
      <c r="M34" s="172">
        <f t="shared" si="71"/>
        <v>1.1512365543643674</v>
      </c>
      <c r="N34" s="111">
        <f t="shared" si="71"/>
        <v>0.60998309382924787</v>
      </c>
      <c r="O34" s="111">
        <f t="shared" si="71"/>
        <v>0.62099257258609042</v>
      </c>
      <c r="P34" s="111">
        <f t="shared" si="71"/>
        <v>1.0059332321699532</v>
      </c>
      <c r="Q34" s="111">
        <f t="shared" si="71"/>
        <v>0.99628807138648001</v>
      </c>
      <c r="R34" s="172">
        <f>+R29/R31+0.01</f>
        <v>3.2421909979383412</v>
      </c>
      <c r="S34" s="111">
        <f t="shared" si="71"/>
        <v>0.71999999999999986</v>
      </c>
      <c r="T34" s="111">
        <f t="shared" si="71"/>
        <v>0.58587745905191113</v>
      </c>
      <c r="U34" s="111">
        <f t="shared" si="71"/>
        <v>0.84046915725456095</v>
      </c>
      <c r="V34" s="111">
        <f t="shared" si="71"/>
        <v>0.80872017353579051</v>
      </c>
      <c r="W34" s="172">
        <f t="shared" si="71"/>
        <v>2.95471014998795</v>
      </c>
      <c r="X34" s="111">
        <f t="shared" si="71"/>
        <v>0.74707259953161509</v>
      </c>
      <c r="Y34" s="111">
        <f t="shared" si="71"/>
        <v>0.73614470373904795</v>
      </c>
      <c r="Z34" s="82">
        <f t="shared" si="71"/>
        <v>0.89514176216465846</v>
      </c>
      <c r="AA34" s="82">
        <f t="shared" si="71"/>
        <v>0.98065655556304954</v>
      </c>
      <c r="AB34" s="415">
        <f t="shared" si="71"/>
        <v>3.3590238246729478</v>
      </c>
      <c r="AC34" s="82">
        <f t="shared" si="71"/>
        <v>0.89384894868310294</v>
      </c>
      <c r="AD34" s="82">
        <f t="shared" si="71"/>
        <v>0.88439623395797373</v>
      </c>
      <c r="AE34" s="82">
        <f t="shared" si="71"/>
        <v>1.0053555886978811</v>
      </c>
      <c r="AF34" s="82">
        <f t="shared" si="71"/>
        <v>1.0098933824987337</v>
      </c>
      <c r="AG34" s="83">
        <f t="shared" si="71"/>
        <v>3.7934936462113642</v>
      </c>
      <c r="AH34" s="82">
        <f t="shared" si="71"/>
        <v>1.0435593462576718</v>
      </c>
      <c r="AI34" s="82">
        <f t="shared" si="71"/>
        <v>1.046571040334767</v>
      </c>
      <c r="AJ34" s="82">
        <f t="shared" si="71"/>
        <v>1.2831396902410066</v>
      </c>
      <c r="AK34" s="82">
        <f t="shared" si="71"/>
        <v>1.2602361211925472</v>
      </c>
      <c r="AL34" s="415">
        <f t="shared" si="71"/>
        <v>4.6281025659585824</v>
      </c>
      <c r="AM34" s="82">
        <f t="shared" si="71"/>
        <v>1.2224920418162464</v>
      </c>
      <c r="AN34" s="82">
        <f t="shared" si="71"/>
        <v>1.2247990044662451</v>
      </c>
      <c r="AO34" s="82">
        <f t="shared" si="71"/>
        <v>1.4415820255321206</v>
      </c>
      <c r="AP34" s="82">
        <f t="shared" si="71"/>
        <v>1.3973429092788983</v>
      </c>
      <c r="AQ34" s="83">
        <f t="shared" si="71"/>
        <v>5.2862117635681978</v>
      </c>
      <c r="AR34" s="82">
        <f t="shared" si="71"/>
        <v>1.3164697488764592</v>
      </c>
      <c r="AS34" s="82">
        <f t="shared" si="71"/>
        <v>1.3213778495155326</v>
      </c>
      <c r="AT34" s="82">
        <f t="shared" si="71"/>
        <v>1.5466666411328067</v>
      </c>
      <c r="AU34" s="82">
        <f t="shared" si="71"/>
        <v>1.5005324395908031</v>
      </c>
      <c r="AV34" s="83">
        <f t="shared" si="71"/>
        <v>5.6850423728127826</v>
      </c>
    </row>
    <row r="35" spans="2:48" x14ac:dyDescent="0.3">
      <c r="B35" s="38" t="s">
        <v>41</v>
      </c>
      <c r="C35" s="207"/>
      <c r="D35" s="239">
        <v>0.36</v>
      </c>
      <c r="E35" s="239">
        <v>0.36</v>
      </c>
      <c r="F35" s="239">
        <v>0.36</v>
      </c>
      <c r="G35" s="239">
        <v>0.41</v>
      </c>
      <c r="H35" s="174">
        <f>+SUM(D35:G35)</f>
        <v>1.49</v>
      </c>
      <c r="I35" s="239">
        <v>0.41</v>
      </c>
      <c r="J35" s="239">
        <v>0.41</v>
      </c>
      <c r="K35" s="239">
        <v>0.41</v>
      </c>
      <c r="L35" s="239">
        <f>K35*1.1</f>
        <v>0.45100000000000001</v>
      </c>
      <c r="M35" s="25">
        <f>+SUM(I35:L35)</f>
        <v>1.681</v>
      </c>
      <c r="N35" s="239">
        <f>+L35</f>
        <v>0.45100000000000001</v>
      </c>
      <c r="O35" s="239">
        <v>0.45</v>
      </c>
      <c r="P35" s="239">
        <v>0.45</v>
      </c>
      <c r="Q35" s="239">
        <v>0.49</v>
      </c>
      <c r="R35" s="25">
        <f>+SUM(N35:Q35)</f>
        <v>1.841</v>
      </c>
      <c r="S35" s="239">
        <v>0.49</v>
      </c>
      <c r="T35" s="239">
        <v>0.49</v>
      </c>
      <c r="U35" s="239">
        <v>0.49</v>
      </c>
      <c r="V35" s="239">
        <v>0.53</v>
      </c>
      <c r="W35" s="25">
        <f>+SUM(S35:V35)</f>
        <v>2</v>
      </c>
      <c r="X35" s="239">
        <v>0.53</v>
      </c>
      <c r="Y35" s="239">
        <v>0.53</v>
      </c>
      <c r="Z35" s="240">
        <f>+Y35</f>
        <v>0.53</v>
      </c>
      <c r="AA35" s="240">
        <f>1.05*Z35</f>
        <v>0.55650000000000011</v>
      </c>
      <c r="AB35" s="25">
        <f>+SUM(X35:AA35)</f>
        <v>2.1465000000000001</v>
      </c>
      <c r="AC35" s="240">
        <f>+AA35</f>
        <v>0.55650000000000011</v>
      </c>
      <c r="AD35" s="240">
        <f>+AC35</f>
        <v>0.55650000000000011</v>
      </c>
      <c r="AE35" s="240">
        <f>+AD35</f>
        <v>0.55650000000000011</v>
      </c>
      <c r="AF35" s="240">
        <f>1.05*AE35</f>
        <v>0.58432500000000009</v>
      </c>
      <c r="AG35" s="25">
        <f>+SUM(AC35:AF35)</f>
        <v>2.2538250000000004</v>
      </c>
      <c r="AH35" s="240">
        <f>+AF35</f>
        <v>0.58432500000000009</v>
      </c>
      <c r="AI35" s="240">
        <f>+AH35</f>
        <v>0.58432500000000009</v>
      </c>
      <c r="AJ35" s="240">
        <f>+AI35</f>
        <v>0.58432500000000009</v>
      </c>
      <c r="AK35" s="240">
        <f>1.05*AJ35</f>
        <v>0.61354125000000015</v>
      </c>
      <c r="AL35" s="25">
        <f>+SUM(AH35:AK35)</f>
        <v>2.3665162500000001</v>
      </c>
      <c r="AM35" s="240">
        <f>+AK35</f>
        <v>0.61354125000000015</v>
      </c>
      <c r="AN35" s="240">
        <f>+AM35</f>
        <v>0.61354125000000015</v>
      </c>
      <c r="AO35" s="240">
        <f>+AN35</f>
        <v>0.61354125000000015</v>
      </c>
      <c r="AP35" s="240">
        <f>1.02*AO35</f>
        <v>0.62581207500000013</v>
      </c>
      <c r="AQ35" s="25">
        <f>+SUM(AM35:AP35)</f>
        <v>2.4664358250000005</v>
      </c>
      <c r="AR35" s="240">
        <f>+AP35</f>
        <v>0.62581207500000013</v>
      </c>
      <c r="AS35" s="240">
        <f>+AR35</f>
        <v>0.62581207500000013</v>
      </c>
      <c r="AT35" s="240">
        <f>+AS35</f>
        <v>0.62581207500000013</v>
      </c>
      <c r="AU35" s="240">
        <f>1.02*AT35</f>
        <v>0.6383283165000001</v>
      </c>
      <c r="AV35" s="25">
        <f>+SUM(AR35:AU35)</f>
        <v>2.5157645415000003</v>
      </c>
    </row>
    <row r="36" spans="2:48" s="241" customFormat="1" x14ac:dyDescent="0.3">
      <c r="B36" s="242" t="s">
        <v>170</v>
      </c>
      <c r="C36" s="243"/>
      <c r="D36" s="211"/>
      <c r="E36" s="211"/>
      <c r="F36" s="211"/>
      <c r="G36" s="211"/>
      <c r="H36" s="244">
        <f>H35/H33</f>
        <v>0.51052122693931912</v>
      </c>
      <c r="I36" s="211"/>
      <c r="J36" s="211"/>
      <c r="K36" s="211"/>
      <c r="L36" s="211"/>
      <c r="M36" s="244">
        <f>M35/M33</f>
        <v>2.1706939657696651</v>
      </c>
      <c r="N36" s="211"/>
      <c r="O36" s="211"/>
      <c r="P36" s="211"/>
      <c r="Q36" s="211"/>
      <c r="R36" s="244">
        <f>R35/R33</f>
        <v>0.52003419212449009</v>
      </c>
      <c r="S36" s="211"/>
      <c r="T36" s="211"/>
      <c r="U36" s="211"/>
      <c r="V36" s="211"/>
      <c r="W36" s="244">
        <f>W35/W33</f>
        <v>0.70599584997263765</v>
      </c>
      <c r="X36" s="211"/>
      <c r="Y36" s="211"/>
      <c r="Z36" s="211"/>
      <c r="AA36" s="211"/>
      <c r="AB36" s="244">
        <f>AB35/AB33</f>
        <v>0.63200416310015273</v>
      </c>
      <c r="AC36" s="211"/>
      <c r="AD36" s="211"/>
      <c r="AE36" s="211"/>
      <c r="AF36" s="211"/>
      <c r="AG36" s="244">
        <f>AG35/AG33</f>
        <v>0.59691889304229206</v>
      </c>
      <c r="AH36" s="211"/>
      <c r="AI36" s="211"/>
      <c r="AJ36" s="211"/>
      <c r="AK36" s="211"/>
      <c r="AL36" s="431">
        <f>AL35/AL33</f>
        <v>0.51336544037408072</v>
      </c>
      <c r="AM36" s="211"/>
      <c r="AN36" s="211"/>
      <c r="AO36" s="211"/>
      <c r="AP36" s="211"/>
      <c r="AQ36" s="244">
        <f>AQ35/AQ33</f>
        <v>0.46828856081743425</v>
      </c>
      <c r="AR36" s="211"/>
      <c r="AS36" s="211"/>
      <c r="AT36" s="211"/>
      <c r="AU36" s="211"/>
      <c r="AV36" s="244">
        <f>AV35/AV33</f>
        <v>0.44403605767126864</v>
      </c>
    </row>
    <row r="37" spans="2:48" s="63" customFormat="1" x14ac:dyDescent="0.3">
      <c r="B37" s="198"/>
      <c r="C37" s="371"/>
      <c r="D37" s="372"/>
      <c r="E37" s="196"/>
      <c r="F37" s="196"/>
      <c r="G37" s="196">
        <f>G35/F35-1</f>
        <v>0.13888888888888884</v>
      </c>
      <c r="H37" s="196"/>
      <c r="I37" s="196"/>
      <c r="J37" s="196"/>
      <c r="K37" s="196"/>
      <c r="L37" s="196">
        <f>L35/K35-1</f>
        <v>0.10000000000000009</v>
      </c>
      <c r="M37" s="196"/>
      <c r="N37" s="196"/>
      <c r="O37" s="196"/>
      <c r="P37" s="196"/>
      <c r="Q37" s="196">
        <f>Q35/P35-1</f>
        <v>8.8888888888888795E-2</v>
      </c>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583" t="s">
        <v>13</v>
      </c>
      <c r="C38" s="584"/>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3" t="s">
        <v>407</v>
      </c>
      <c r="Y38" s="13" t="s">
        <v>451</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85"/>
      <c r="C39" s="586"/>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4" t="s">
        <v>408</v>
      </c>
      <c r="Y39" s="14" t="s">
        <v>452</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99" t="s">
        <v>174</v>
      </c>
      <c r="C40" s="600"/>
      <c r="D40" s="14"/>
      <c r="E40" s="14"/>
      <c r="F40" s="14"/>
      <c r="G40" s="14"/>
      <c r="H40" s="40"/>
      <c r="I40" s="14"/>
      <c r="J40" s="14"/>
      <c r="K40" s="14"/>
      <c r="L40" s="14"/>
      <c r="M40" s="40"/>
      <c r="N40" s="14"/>
      <c r="O40" s="14"/>
      <c r="P40" s="14"/>
      <c r="Q40" s="14"/>
      <c r="R40" s="40"/>
      <c r="S40" s="14"/>
      <c r="T40" s="14"/>
      <c r="U40" s="14"/>
      <c r="V40" s="14"/>
      <c r="W40" s="40"/>
      <c r="X40" s="14"/>
      <c r="Y40" s="14"/>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601" t="s">
        <v>175</v>
      </c>
      <c r="C41" s="602"/>
      <c r="D41" s="21">
        <v>9777</v>
      </c>
      <c r="E41" s="21">
        <v>9776</v>
      </c>
      <c r="F41" s="116">
        <v>9857</v>
      </c>
      <c r="G41" s="21">
        <v>9974</v>
      </c>
      <c r="H41" s="57"/>
      <c r="I41" s="21">
        <v>10020</v>
      </c>
      <c r="J41" s="21">
        <v>10051</v>
      </c>
      <c r="K41" s="21">
        <v>10017</v>
      </c>
      <c r="L41" s="21">
        <v>10109</v>
      </c>
      <c r="M41" s="57"/>
      <c r="N41" s="21">
        <v>10029</v>
      </c>
      <c r="O41" s="21">
        <f>+N41+O42</f>
        <v>9820</v>
      </c>
      <c r="P41" s="21">
        <f>+O41+P42</f>
        <v>9860</v>
      </c>
      <c r="Q41" s="21">
        <f>+P41+Q42</f>
        <v>9861</v>
      </c>
      <c r="R41" s="191"/>
      <c r="S41" s="21">
        <f>+Q41+S42</f>
        <v>9900</v>
      </c>
      <c r="T41" s="21">
        <f>+S41+T42</f>
        <v>9954</v>
      </c>
      <c r="U41" s="21">
        <f>+T41+U42</f>
        <v>10050</v>
      </c>
      <c r="V41" s="21">
        <f>+U41+V42</f>
        <v>10216</v>
      </c>
      <c r="W41" s="191">
        <f>V41</f>
        <v>10216</v>
      </c>
      <c r="X41" s="21">
        <f>+V41+X42</f>
        <v>10256</v>
      </c>
      <c r="Y41" s="21">
        <f>+X41+Y42</f>
        <v>10347</v>
      </c>
      <c r="Z41" s="21">
        <f>+Y41+Z42</f>
        <v>10432</v>
      </c>
      <c r="AA41" s="21">
        <f>+Z41+AA42</f>
        <v>10522</v>
      </c>
      <c r="AB41" s="191">
        <f>AA41</f>
        <v>10522</v>
      </c>
      <c r="AC41" s="21">
        <f>+AA41+AC42</f>
        <v>10594</v>
      </c>
      <c r="AD41" s="21">
        <f>+AC41+AD42</f>
        <v>10666</v>
      </c>
      <c r="AE41" s="21">
        <f>+AD41+AE42</f>
        <v>10739</v>
      </c>
      <c r="AF41" s="21">
        <f>+AE41+AF42</f>
        <v>10812</v>
      </c>
      <c r="AG41" s="191">
        <f>AF41</f>
        <v>10812</v>
      </c>
      <c r="AH41" s="21">
        <f>+AF41+AH42</f>
        <v>10898</v>
      </c>
      <c r="AI41" s="21">
        <f>+AH41+AI42</f>
        <v>10984</v>
      </c>
      <c r="AJ41" s="21">
        <f>+AI41+AJ42</f>
        <v>11070</v>
      </c>
      <c r="AK41" s="21">
        <f>+AJ41+AK42</f>
        <v>11156</v>
      </c>
      <c r="AL41" s="191">
        <f>AK41</f>
        <v>11156</v>
      </c>
      <c r="AM41" s="21">
        <f>+AK41+AM42</f>
        <v>11252</v>
      </c>
      <c r="AN41" s="21">
        <f>+AM41+AN42</f>
        <v>11348</v>
      </c>
      <c r="AO41" s="21">
        <f>+AN41+AO42</f>
        <v>11444</v>
      </c>
      <c r="AP41" s="21">
        <f>+AO41+AP42</f>
        <v>11540</v>
      </c>
      <c r="AQ41" s="191">
        <f>AP41</f>
        <v>11540</v>
      </c>
      <c r="AR41" s="21">
        <f>+AP41+AR42</f>
        <v>11636</v>
      </c>
      <c r="AS41" s="21">
        <f>+AR41+AS42</f>
        <v>11732</v>
      </c>
      <c r="AT41" s="21">
        <f>+AS41+AT42</f>
        <v>11828</v>
      </c>
      <c r="AU41" s="21">
        <f>+AT41+AU42</f>
        <v>11924</v>
      </c>
      <c r="AV41" s="191">
        <f>AU41</f>
        <v>11924</v>
      </c>
    </row>
    <row r="42" spans="2:48" outlineLevel="1" x14ac:dyDescent="0.3">
      <c r="B42" s="180" t="s">
        <v>46</v>
      </c>
      <c r="C42" s="201"/>
      <c r="D42" s="101">
        <f>+D41-9690</f>
        <v>87</v>
      </c>
      <c r="E42" s="101">
        <f>E41-D41</f>
        <v>-1</v>
      </c>
      <c r="F42" s="101">
        <f>F41-E41</f>
        <v>81</v>
      </c>
      <c r="G42" s="101">
        <f>G41-F41</f>
        <v>117</v>
      </c>
      <c r="H42" s="122">
        <f>+SUM(D42:G42)</f>
        <v>284</v>
      </c>
      <c r="I42" s="101">
        <f>I41-G41</f>
        <v>46</v>
      </c>
      <c r="J42" s="101">
        <f>J41-I41</f>
        <v>31</v>
      </c>
      <c r="K42" s="101">
        <f>K41-J41</f>
        <v>-34</v>
      </c>
      <c r="L42" s="101">
        <f>L41-K41</f>
        <v>92</v>
      </c>
      <c r="M42" s="122"/>
      <c r="N42" s="101">
        <v>-80</v>
      </c>
      <c r="O42" s="101">
        <v>-209</v>
      </c>
      <c r="P42" s="101">
        <v>40</v>
      </c>
      <c r="Q42" s="101">
        <v>1</v>
      </c>
      <c r="R42" s="26"/>
      <c r="S42" s="101">
        <v>39</v>
      </c>
      <c r="T42" s="101">
        <v>54</v>
      </c>
      <c r="U42" s="101">
        <v>96</v>
      </c>
      <c r="V42" s="101">
        <v>166</v>
      </c>
      <c r="W42" s="122">
        <f>+SUM(S42:V42)</f>
        <v>355</v>
      </c>
      <c r="X42" s="101">
        <v>40</v>
      </c>
      <c r="Y42" s="101">
        <v>91</v>
      </c>
      <c r="Z42" s="33">
        <v>85</v>
      </c>
      <c r="AA42" s="33">
        <v>90</v>
      </c>
      <c r="AB42" s="26">
        <f>+SUM(X42:AA42)</f>
        <v>306</v>
      </c>
      <c r="AC42" s="33">
        <v>72</v>
      </c>
      <c r="AD42" s="33">
        <v>72</v>
      </c>
      <c r="AE42" s="33">
        <v>73</v>
      </c>
      <c r="AF42" s="33">
        <v>73</v>
      </c>
      <c r="AG42" s="26">
        <f>+SUM(AC42:AF42)</f>
        <v>290</v>
      </c>
      <c r="AH42" s="33">
        <v>86</v>
      </c>
      <c r="AI42" s="33">
        <v>86</v>
      </c>
      <c r="AJ42" s="33">
        <v>86</v>
      </c>
      <c r="AK42" s="33">
        <v>86</v>
      </c>
      <c r="AL42" s="26">
        <f>+SUM(AH42:AK42)</f>
        <v>344</v>
      </c>
      <c r="AM42" s="33">
        <v>96</v>
      </c>
      <c r="AN42" s="33">
        <v>96</v>
      </c>
      <c r="AO42" s="33">
        <v>96</v>
      </c>
      <c r="AP42" s="33">
        <v>96</v>
      </c>
      <c r="AQ42" s="26">
        <f>+SUM(AM42:AP42)</f>
        <v>384</v>
      </c>
      <c r="AR42" s="33">
        <v>96</v>
      </c>
      <c r="AS42" s="33">
        <v>96</v>
      </c>
      <c r="AT42" s="33">
        <v>96</v>
      </c>
      <c r="AU42" s="33">
        <v>96</v>
      </c>
      <c r="AV42" s="26">
        <f>+SUM(AR42:AU42)</f>
        <v>384</v>
      </c>
    </row>
    <row r="43" spans="2:48" outlineLevel="1" x14ac:dyDescent="0.3">
      <c r="B43" s="180" t="s">
        <v>201</v>
      </c>
      <c r="C43" s="201"/>
      <c r="D43" s="101">
        <f>D41</f>
        <v>9777</v>
      </c>
      <c r="E43" s="101">
        <f>AVERAGE(D41,E41)</f>
        <v>9776.5</v>
      </c>
      <c r="F43" s="101">
        <f t="shared" ref="F43:G43" si="72">AVERAGE(E41,F41)</f>
        <v>9816.5</v>
      </c>
      <c r="G43" s="101">
        <f t="shared" si="72"/>
        <v>9915.5</v>
      </c>
      <c r="H43" s="122"/>
      <c r="I43" s="101">
        <f>AVERAGE(G41,I41)</f>
        <v>9997</v>
      </c>
      <c r="J43" s="101">
        <f>AVERAGE(I41,J41)</f>
        <v>10035.5</v>
      </c>
      <c r="K43" s="101">
        <f t="shared" ref="K43:L43" si="73">AVERAGE(J41,K41)</f>
        <v>10034</v>
      </c>
      <c r="L43" s="101">
        <f t="shared" si="73"/>
        <v>10063</v>
      </c>
      <c r="M43" s="122"/>
      <c r="N43" s="101">
        <f>AVERAGE(L41,N41)</f>
        <v>10069</v>
      </c>
      <c r="O43" s="101">
        <f>AVERAGE(N41,O41)</f>
        <v>9924.5</v>
      </c>
      <c r="P43" s="101">
        <f t="shared" ref="P43:Q43" si="74">AVERAGE(O41,P41)</f>
        <v>9840</v>
      </c>
      <c r="Q43" s="101">
        <f t="shared" si="74"/>
        <v>9860.5</v>
      </c>
      <c r="R43" s="122"/>
      <c r="S43" s="101">
        <f>AVERAGE(Q41,S41)</f>
        <v>9880.5</v>
      </c>
      <c r="T43" s="101">
        <f>AVERAGE(S41,T41)</f>
        <v>9927</v>
      </c>
      <c r="U43" s="101">
        <f t="shared" ref="U43" si="75">AVERAGE(T41,U41)</f>
        <v>10002</v>
      </c>
      <c r="V43" s="101">
        <f>AVERAGE(U41,V41)</f>
        <v>10133</v>
      </c>
      <c r="W43" s="122"/>
      <c r="X43" s="101">
        <f>AVERAGE(V41,X41)</f>
        <v>10236</v>
      </c>
      <c r="Y43" s="101">
        <f>AVERAGE(X41,Y41)</f>
        <v>10301.5</v>
      </c>
      <c r="Z43" s="101">
        <f t="shared" ref="Z43:AA43" si="76">AVERAGE(Y41,Z41)</f>
        <v>10389.5</v>
      </c>
      <c r="AA43" s="101">
        <f t="shared" si="76"/>
        <v>10477</v>
      </c>
      <c r="AB43" s="122"/>
      <c r="AC43" s="101">
        <f>AVERAGE(AA41,AC41)</f>
        <v>10558</v>
      </c>
      <c r="AD43" s="101">
        <f>AVERAGE(AC41,AD41)</f>
        <v>10630</v>
      </c>
      <c r="AE43" s="101">
        <f t="shared" ref="AE43:AF43" si="77">AVERAGE(AD41,AE41)</f>
        <v>10702.5</v>
      </c>
      <c r="AF43" s="101">
        <f t="shared" si="77"/>
        <v>10775.5</v>
      </c>
      <c r="AG43" s="122"/>
      <c r="AH43" s="101">
        <f>AVERAGE(AF41,AH41)</f>
        <v>10855</v>
      </c>
      <c r="AI43" s="101">
        <f>AVERAGE(AH41,AI41)</f>
        <v>10941</v>
      </c>
      <c r="AJ43" s="101">
        <f t="shared" ref="AJ43:AK43" si="78">AVERAGE(AI41,AJ41)</f>
        <v>11027</v>
      </c>
      <c r="AK43" s="101">
        <f t="shared" si="78"/>
        <v>11113</v>
      </c>
      <c r="AL43" s="122"/>
      <c r="AM43" s="101">
        <f>AVERAGE(AK41,AM41)</f>
        <v>11204</v>
      </c>
      <c r="AN43" s="101">
        <f>AVERAGE(AM41,AN41)</f>
        <v>11300</v>
      </c>
      <c r="AO43" s="101">
        <f t="shared" ref="AO43:AP43" si="79">AVERAGE(AN41,AO41)</f>
        <v>11396</v>
      </c>
      <c r="AP43" s="101">
        <f t="shared" si="79"/>
        <v>11492</v>
      </c>
      <c r="AQ43" s="122"/>
      <c r="AR43" s="101">
        <f>AVERAGE(AP41,AR41)</f>
        <v>11588</v>
      </c>
      <c r="AS43" s="101">
        <f>AVERAGE(AR41,AS41)</f>
        <v>11684</v>
      </c>
      <c r="AT43" s="101">
        <f t="shared" ref="AT43:AU43" si="80">AVERAGE(AS41,AT41)</f>
        <v>11780</v>
      </c>
      <c r="AU43" s="101">
        <f t="shared" si="80"/>
        <v>11876</v>
      </c>
      <c r="AV43" s="122"/>
    </row>
    <row r="44" spans="2:48" s="8" customFormat="1" outlineLevel="1" x14ac:dyDescent="0.3">
      <c r="B44" s="180" t="s">
        <v>205</v>
      </c>
      <c r="C44" s="206"/>
      <c r="D44" s="472"/>
      <c r="E44" s="43">
        <f>+E45/E43</f>
        <v>0.39376054825346496</v>
      </c>
      <c r="F44" s="43">
        <f>+F45/F43</f>
        <v>0.42603779351092547</v>
      </c>
      <c r="G44" s="43">
        <f>+G45/G43</f>
        <v>0.4199687358176592</v>
      </c>
      <c r="H44" s="471"/>
      <c r="I44" s="43">
        <f>+I45/I43</f>
        <v>0.44723417025107531</v>
      </c>
      <c r="J44" s="43">
        <f>+J45/J43</f>
        <v>0.38499327387773402</v>
      </c>
      <c r="K44" s="43">
        <f>+K45/K43</f>
        <v>0.25601953358580826</v>
      </c>
      <c r="L44" s="43">
        <f>+L45/L43</f>
        <v>0.3851038457716387</v>
      </c>
      <c r="M44" s="471"/>
      <c r="N44" s="43">
        <f>+N45/N43</f>
        <v>0.42554374813784884</v>
      </c>
      <c r="O44" s="43">
        <f>+O45/O43</f>
        <v>0.43008715804322634</v>
      </c>
      <c r="P44" s="43">
        <f>+P45/P43</f>
        <v>0.50099593495934958</v>
      </c>
      <c r="Q44" s="43">
        <f>+Q45/Q43</f>
        <v>0.53286344505856698</v>
      </c>
      <c r="R44" s="97"/>
      <c r="S44" s="43">
        <f>+S45/S43</f>
        <v>0.52771620869389202</v>
      </c>
      <c r="T44" s="43">
        <f>+T45/T43</f>
        <v>0.49725999798529263</v>
      </c>
      <c r="U44" s="43">
        <f>+U45/U43</f>
        <v>0.55120975804839034</v>
      </c>
      <c r="V44" s="43">
        <f>+V45/V43</f>
        <v>0.54776472910293106</v>
      </c>
      <c r="W44" s="132"/>
      <c r="X44" s="114">
        <f>+X45/X43</f>
        <v>0.57352481438061742</v>
      </c>
      <c r="Y44" s="114">
        <f>+Y45/Y43</f>
        <v>0.55746250546036979</v>
      </c>
      <c r="Z44" s="219">
        <f>U44*1.07</f>
        <v>0.5897944411117777</v>
      </c>
      <c r="AA44" s="219">
        <f>V44*1.03</f>
        <v>0.56419767097601903</v>
      </c>
      <c r="AB44" s="97"/>
      <c r="AC44" s="219">
        <f>X44*1.05</f>
        <v>0.60220105509964827</v>
      </c>
      <c r="AD44" s="219">
        <f>Y44*1.05</f>
        <v>0.58533563073338835</v>
      </c>
      <c r="AE44" s="219">
        <f>Z44*1.05</f>
        <v>0.61928416316736656</v>
      </c>
      <c r="AF44" s="219">
        <f>AA44*1.05</f>
        <v>0.59240755452481997</v>
      </c>
      <c r="AG44" s="97"/>
      <c r="AH44" s="219">
        <f>AC44*1.07</f>
        <v>0.64435512895662372</v>
      </c>
      <c r="AI44" s="219">
        <f>AD44*1.07</f>
        <v>0.62630912488472557</v>
      </c>
      <c r="AJ44" s="219">
        <f>AE44*1.07</f>
        <v>0.66263405458908231</v>
      </c>
      <c r="AK44" s="219">
        <f>AF44*1.07</f>
        <v>0.63387608334155743</v>
      </c>
      <c r="AL44" s="97"/>
      <c r="AM44" s="477">
        <f>AH44*1.05</f>
        <v>0.67657288540445493</v>
      </c>
      <c r="AN44" s="477">
        <f>AI44*1.05</f>
        <v>0.65762458112896183</v>
      </c>
      <c r="AO44" s="477">
        <f>AJ44*1.05</f>
        <v>0.6957657573185364</v>
      </c>
      <c r="AP44" s="477">
        <f>AK44*1.05</f>
        <v>0.66556988750863533</v>
      </c>
      <c r="AQ44" s="97"/>
      <c r="AR44" s="477">
        <f>AM44*1.03</f>
        <v>0.69687007196658857</v>
      </c>
      <c r="AS44" s="477">
        <f>AN44*1.03</f>
        <v>0.67735331856283065</v>
      </c>
      <c r="AT44" s="477">
        <f>AO44*1.03</f>
        <v>0.71663873003809253</v>
      </c>
      <c r="AU44" s="477">
        <f>AP44*1.03</f>
        <v>0.68553698413389441</v>
      </c>
      <c r="AV44" s="97"/>
    </row>
    <row r="45" spans="2:48" s="8" customFormat="1" outlineLevel="1" x14ac:dyDescent="0.3">
      <c r="B45" s="587" t="s">
        <v>176</v>
      </c>
      <c r="C45" s="588"/>
      <c r="D45" s="50">
        <v>4092.2</v>
      </c>
      <c r="E45" s="50">
        <v>3849.6</v>
      </c>
      <c r="F45" s="50">
        <v>4182.2</v>
      </c>
      <c r="G45" s="50">
        <v>4164.2</v>
      </c>
      <c r="H45" s="97">
        <f>SUM(D45:G45)</f>
        <v>16288.2</v>
      </c>
      <c r="I45" s="50">
        <v>4471</v>
      </c>
      <c r="J45" s="50">
        <v>3863.6</v>
      </c>
      <c r="K45" s="103">
        <v>2568.9</v>
      </c>
      <c r="L45" s="50">
        <v>3875.3</v>
      </c>
      <c r="M45" s="132">
        <f>SUM(I45:L45)</f>
        <v>14778.8</v>
      </c>
      <c r="N45" s="50">
        <v>4284.8</v>
      </c>
      <c r="O45" s="50">
        <v>4268.3999999999996</v>
      </c>
      <c r="P45" s="50">
        <v>4929.8</v>
      </c>
      <c r="Q45" s="103">
        <v>5254.3</v>
      </c>
      <c r="R45" s="132">
        <f>SUM(N45:Q45)</f>
        <v>18737.3</v>
      </c>
      <c r="S45" s="50">
        <v>5214.1000000000004</v>
      </c>
      <c r="T45" s="50">
        <v>4936.3</v>
      </c>
      <c r="U45" s="50">
        <v>5513.2</v>
      </c>
      <c r="V45" s="50">
        <v>5550.5</v>
      </c>
      <c r="W45" s="132">
        <f>SUM(S45:V45)</f>
        <v>21214.100000000002</v>
      </c>
      <c r="X45" s="103">
        <v>5870.6</v>
      </c>
      <c r="Y45" s="103">
        <v>5742.7</v>
      </c>
      <c r="Z45" s="50">
        <f>Z44*Z43</f>
        <v>6127.6693459308144</v>
      </c>
      <c r="AA45" s="50">
        <f>AA44*AA43</f>
        <v>5911.0989988157517</v>
      </c>
      <c r="AB45" s="97">
        <f>SUM(X45:AA45)</f>
        <v>23652.068344746567</v>
      </c>
      <c r="AC45" s="50">
        <f>AC44*AC43</f>
        <v>6358.0387397420864</v>
      </c>
      <c r="AD45" s="50">
        <f>AD44*AD43</f>
        <v>6222.1177546959179</v>
      </c>
      <c r="AE45" s="50">
        <f>AE44*AE43</f>
        <v>6627.8887562987411</v>
      </c>
      <c r="AF45" s="50">
        <f>AF44*AF43</f>
        <v>6383.4876037821978</v>
      </c>
      <c r="AG45" s="97">
        <f>SUM(AC45:AF45)</f>
        <v>25591.53285451894</v>
      </c>
      <c r="AH45" s="50">
        <f>AH44*AH43</f>
        <v>6994.4749248241505</v>
      </c>
      <c r="AI45" s="50">
        <f>AI44*AI43</f>
        <v>6852.4481353637821</v>
      </c>
      <c r="AJ45" s="50">
        <f>AJ44*AJ43</f>
        <v>7306.8657199538111</v>
      </c>
      <c r="AK45" s="50">
        <f>AK44*AK43</f>
        <v>7044.2649141747279</v>
      </c>
      <c r="AL45" s="97">
        <f>SUM(AH45:AK45)</f>
        <v>28198.05369431647</v>
      </c>
      <c r="AM45" s="50">
        <f>AM44*AM43</f>
        <v>7580.3226080715131</v>
      </c>
      <c r="AN45" s="50">
        <f>AN44*AN43</f>
        <v>7431.1577667572683</v>
      </c>
      <c r="AO45" s="50">
        <f>AO44*AO43</f>
        <v>7928.9465704020413</v>
      </c>
      <c r="AP45" s="50">
        <f>AP44*AP43</f>
        <v>7648.729147249237</v>
      </c>
      <c r="AQ45" s="97">
        <f>SUM(AM45:AP45)</f>
        <v>30589.156092480058</v>
      </c>
      <c r="AR45" s="50">
        <f>AR44*AR43</f>
        <v>8075.3303939488287</v>
      </c>
      <c r="AS45" s="50">
        <f>AS44*AS43</f>
        <v>7914.1961740881134</v>
      </c>
      <c r="AT45" s="50">
        <f>AT44*AT43</f>
        <v>8442.0042398487294</v>
      </c>
      <c r="AU45" s="50">
        <f>AU44*AU43</f>
        <v>8141.4372235741303</v>
      </c>
      <c r="AV45" s="97">
        <f>SUM(AR45:AU45)</f>
        <v>32572.968031459801</v>
      </c>
    </row>
    <row r="46" spans="2:48" s="8" customFormat="1" outlineLevel="1" x14ac:dyDescent="0.3">
      <c r="B46" s="38" t="s">
        <v>200</v>
      </c>
      <c r="C46" s="206"/>
      <c r="D46" s="43"/>
      <c r="E46" s="43"/>
      <c r="F46" s="43"/>
      <c r="G46" s="43"/>
      <c r="H46" s="97"/>
      <c r="I46" s="27">
        <f>I45/D45-1</f>
        <v>9.2566345730902722E-2</v>
      </c>
      <c r="J46" s="27">
        <f>J45/E45-1</f>
        <v>3.6367414796343311E-3</v>
      </c>
      <c r="K46" s="27">
        <f>K45/F45-1</f>
        <v>-0.38575390942566112</v>
      </c>
      <c r="L46" s="27">
        <f>L45/G45-1</f>
        <v>-6.9377071226165765E-2</v>
      </c>
      <c r="M46" s="97"/>
      <c r="N46" s="27">
        <f>N45/I45-1</f>
        <v>-4.1646164169089617E-2</v>
      </c>
      <c r="O46" s="27">
        <f>O45/J45-1</f>
        <v>0.10477275080236037</v>
      </c>
      <c r="P46" s="27">
        <f>P45/K45-1</f>
        <v>0.91903149207832135</v>
      </c>
      <c r="Q46" s="27">
        <f>Q45/L45-1</f>
        <v>0.35584341857404578</v>
      </c>
      <c r="R46" s="97"/>
      <c r="S46" s="27">
        <f>S45/N45-1</f>
        <v>0.21688293502613898</v>
      </c>
      <c r="T46" s="27">
        <f>T45/O45-1</f>
        <v>0.15647549433042851</v>
      </c>
      <c r="U46" s="27">
        <f>U45/P45-1</f>
        <v>0.11834151486875721</v>
      </c>
      <c r="V46" s="27">
        <f>V45/Q45-1</f>
        <v>5.6372875549549839E-2</v>
      </c>
      <c r="W46" s="98">
        <f>W45/R45-1</f>
        <v>0.13218553366813812</v>
      </c>
      <c r="X46" s="113">
        <f t="shared" ref="X46:AV46" si="81">X45/S45-1</f>
        <v>0.12590859400471799</v>
      </c>
      <c r="Y46" s="113">
        <f t="shared" si="81"/>
        <v>0.16336122196787062</v>
      </c>
      <c r="Z46" s="27">
        <f t="shared" si="81"/>
        <v>0.1114542091581685</v>
      </c>
      <c r="AA46" s="27">
        <f t="shared" si="81"/>
        <v>6.4966939701964099E-2</v>
      </c>
      <c r="AB46" s="98">
        <f t="shared" si="81"/>
        <v>0.11492207280754618</v>
      </c>
      <c r="AC46" s="27">
        <f t="shared" si="81"/>
        <v>8.3030480656506311E-2</v>
      </c>
      <c r="AD46" s="27">
        <f t="shared" si="81"/>
        <v>8.3482987914381468E-2</v>
      </c>
      <c r="AE46" s="27">
        <f t="shared" si="81"/>
        <v>8.1632898599547588E-2</v>
      </c>
      <c r="AF46" s="27">
        <f t="shared" si="81"/>
        <v>7.9915529254557471E-2</v>
      </c>
      <c r="AG46" s="98">
        <f t="shared" si="81"/>
        <v>8.199978460670887E-2</v>
      </c>
      <c r="AH46" s="27">
        <f t="shared" si="81"/>
        <v>0.1000994506535331</v>
      </c>
      <c r="AI46" s="27">
        <f t="shared" si="81"/>
        <v>0.10130479774223899</v>
      </c>
      <c r="AJ46" s="27">
        <f t="shared" si="81"/>
        <v>0.10244241999532844</v>
      </c>
      <c r="AK46" s="27">
        <f t="shared" si="81"/>
        <v>0.1035135260544755</v>
      </c>
      <c r="AL46" s="98">
        <f t="shared" si="81"/>
        <v>0.1018509072752658</v>
      </c>
      <c r="AM46" s="27">
        <f t="shared" si="81"/>
        <v>8.3758636573007861E-2</v>
      </c>
      <c r="AN46" s="27">
        <f t="shared" si="81"/>
        <v>8.4452975047984546E-2</v>
      </c>
      <c r="AO46" s="27">
        <f t="shared" si="81"/>
        <v>8.5136483177654876E-2</v>
      </c>
      <c r="AP46" s="27">
        <f t="shared" si="81"/>
        <v>8.5809412399892038E-2</v>
      </c>
      <c r="AQ46" s="98">
        <f t="shared" si="81"/>
        <v>8.4796717677203759E-2</v>
      </c>
      <c r="AR46" s="27">
        <f t="shared" si="81"/>
        <v>6.5301677972152916E-2</v>
      </c>
      <c r="AS46" s="27">
        <f t="shared" si="81"/>
        <v>6.5001769911504415E-2</v>
      </c>
      <c r="AT46" s="27">
        <f t="shared" si="81"/>
        <v>6.4706914706914587E-2</v>
      </c>
      <c r="AU46" s="27">
        <f t="shared" si="81"/>
        <v>6.4416985729202958E-2</v>
      </c>
      <c r="AV46" s="98">
        <f t="shared" si="81"/>
        <v>6.4853438028237731E-2</v>
      </c>
    </row>
    <row r="47" spans="2:48" outlineLevel="1" x14ac:dyDescent="0.3">
      <c r="B47" s="220" t="s">
        <v>44</v>
      </c>
      <c r="C47" s="221"/>
      <c r="D47" s="222">
        <v>0.04</v>
      </c>
      <c r="E47" s="222">
        <v>0</v>
      </c>
      <c r="F47" s="222">
        <v>0.03</v>
      </c>
      <c r="G47" s="222">
        <v>0.03</v>
      </c>
      <c r="H47" s="223"/>
      <c r="I47" s="222">
        <v>0.02</v>
      </c>
      <c r="J47" s="222">
        <v>-7.0000000000000007E-2</v>
      </c>
      <c r="K47" s="222">
        <v>-0.53</v>
      </c>
      <c r="L47" s="224">
        <v>-0.25</v>
      </c>
      <c r="M47" s="223"/>
      <c r="N47" s="222">
        <v>-0.21</v>
      </c>
      <c r="O47" s="222">
        <v>-0.1</v>
      </c>
      <c r="P47" s="222">
        <v>0.82</v>
      </c>
      <c r="Q47" s="222">
        <v>0.18</v>
      </c>
      <c r="R47" s="225"/>
      <c r="S47" s="224">
        <v>0.12</v>
      </c>
      <c r="T47" s="224">
        <v>0.05</v>
      </c>
      <c r="U47" s="224">
        <v>0.01</v>
      </c>
      <c r="V47" s="224">
        <v>0.01</v>
      </c>
      <c r="W47" s="223"/>
      <c r="X47" s="222">
        <v>0.01</v>
      </c>
      <c r="Y47" s="222">
        <v>0.06</v>
      </c>
      <c r="Z47" s="224"/>
      <c r="AA47" s="224"/>
      <c r="AB47" s="376"/>
      <c r="AC47" s="224"/>
      <c r="AD47" s="224"/>
      <c r="AE47" s="224"/>
      <c r="AF47" s="224"/>
      <c r="AG47" s="225"/>
      <c r="AH47" s="224"/>
      <c r="AI47" s="224"/>
      <c r="AJ47" s="224"/>
      <c r="AK47" s="224"/>
      <c r="AL47" s="225"/>
      <c r="AM47" s="224"/>
      <c r="AN47" s="224"/>
      <c r="AO47" s="224"/>
      <c r="AP47" s="224"/>
      <c r="AQ47" s="225"/>
      <c r="AR47" s="224"/>
      <c r="AS47" s="224"/>
      <c r="AT47" s="224"/>
      <c r="AU47" s="224"/>
      <c r="AV47" s="225"/>
    </row>
    <row r="48" spans="2:48" outlineLevel="1" x14ac:dyDescent="0.3">
      <c r="B48" s="38" t="s">
        <v>43</v>
      </c>
      <c r="C48" s="207"/>
      <c r="D48" s="226">
        <v>0</v>
      </c>
      <c r="E48" s="226">
        <v>0.04</v>
      </c>
      <c r="F48" s="226">
        <v>0.04</v>
      </c>
      <c r="G48" s="226">
        <v>0.03</v>
      </c>
      <c r="H48" s="217"/>
      <c r="I48" s="226">
        <v>0.03</v>
      </c>
      <c r="J48" s="226">
        <v>0.05</v>
      </c>
      <c r="K48" s="226">
        <v>0.27</v>
      </c>
      <c r="L48" s="227">
        <v>0.21</v>
      </c>
      <c r="M48" s="217"/>
      <c r="N48" s="226">
        <v>0.2</v>
      </c>
      <c r="O48" s="226">
        <v>0.22</v>
      </c>
      <c r="P48" s="226">
        <v>0.01</v>
      </c>
      <c r="Q48" s="226">
        <v>0.03</v>
      </c>
      <c r="R48" s="218"/>
      <c r="S48" s="227">
        <v>0.06</v>
      </c>
      <c r="T48" s="227">
        <v>7.0000000000000007E-2</v>
      </c>
      <c r="U48" s="228">
        <v>0.08</v>
      </c>
      <c r="V48" s="228">
        <v>0.1</v>
      </c>
      <c r="W48" s="148"/>
      <c r="X48" s="226">
        <v>0.09</v>
      </c>
      <c r="Y48" s="577">
        <v>0.05</v>
      </c>
      <c r="Z48" s="228"/>
      <c r="AA48" s="228"/>
      <c r="AB48" s="362"/>
      <c r="AC48" s="228"/>
      <c r="AD48" s="228"/>
      <c r="AE48" s="228"/>
      <c r="AF48" s="228"/>
      <c r="AG48" s="60"/>
      <c r="AH48" s="228"/>
      <c r="AI48" s="228"/>
      <c r="AJ48" s="228"/>
      <c r="AK48" s="228"/>
      <c r="AL48" s="60"/>
      <c r="AM48" s="228"/>
      <c r="AN48" s="228"/>
      <c r="AO48" s="228"/>
      <c r="AP48" s="228"/>
      <c r="AQ48" s="60"/>
      <c r="AR48" s="228"/>
      <c r="AS48" s="228"/>
      <c r="AT48" s="228"/>
      <c r="AU48" s="228"/>
      <c r="AV48" s="60"/>
    </row>
    <row r="49" spans="2:48" s="8" customFormat="1" outlineLevel="1" x14ac:dyDescent="0.3">
      <c r="B49" s="229" t="s">
        <v>45</v>
      </c>
      <c r="C49" s="230"/>
      <c r="D49" s="231">
        <v>0.04</v>
      </c>
      <c r="E49" s="231">
        <v>4.2999999999999997E-2</v>
      </c>
      <c r="F49" s="231">
        <v>7.0000000000000007E-2</v>
      </c>
      <c r="G49" s="231">
        <v>0.06</v>
      </c>
      <c r="H49" s="232"/>
      <c r="I49" s="231">
        <v>0.06</v>
      </c>
      <c r="J49" s="231">
        <v>-0.03</v>
      </c>
      <c r="K49" s="231">
        <v>-0.41</v>
      </c>
      <c r="L49" s="233">
        <v>-0.09</v>
      </c>
      <c r="M49" s="234"/>
      <c r="N49" s="233">
        <v>-0.06</v>
      </c>
      <c r="O49" s="233">
        <v>0.09</v>
      </c>
      <c r="P49" s="231">
        <v>0.84</v>
      </c>
      <c r="Q49" s="231">
        <v>0.22</v>
      </c>
      <c r="R49" s="235"/>
      <c r="S49" s="233">
        <v>0.18</v>
      </c>
      <c r="T49" s="233">
        <v>0.12</v>
      </c>
      <c r="U49" s="231">
        <v>0.09</v>
      </c>
      <c r="V49" s="231">
        <v>0.11</v>
      </c>
      <c r="W49" s="232"/>
      <c r="X49" s="233">
        <v>0.1</v>
      </c>
      <c r="Y49" s="233">
        <v>0.12</v>
      </c>
      <c r="Z49" s="233"/>
      <c r="AA49" s="233"/>
      <c r="AB49" s="361"/>
      <c r="AC49" s="233"/>
      <c r="AD49" s="233"/>
      <c r="AE49" s="233"/>
      <c r="AF49" s="233"/>
      <c r="AG49" s="232"/>
      <c r="AH49" s="233"/>
      <c r="AI49" s="233"/>
      <c r="AJ49" s="233"/>
      <c r="AK49" s="233"/>
      <c r="AL49" s="232"/>
      <c r="AM49" s="233"/>
      <c r="AN49" s="233"/>
      <c r="AO49" s="233"/>
      <c r="AP49" s="233"/>
      <c r="AQ49" s="232"/>
      <c r="AR49" s="233"/>
      <c r="AS49" s="233"/>
      <c r="AT49" s="233"/>
      <c r="AU49" s="233"/>
      <c r="AV49" s="232"/>
    </row>
    <row r="50" spans="2:48" s="8" customFormat="1" outlineLevel="1" x14ac:dyDescent="0.3">
      <c r="B50" s="597" t="s">
        <v>177</v>
      </c>
      <c r="C50" s="598"/>
      <c r="D50" s="67">
        <v>7876</v>
      </c>
      <c r="E50" s="67">
        <v>7943</v>
      </c>
      <c r="F50" s="117">
        <v>7996</v>
      </c>
      <c r="G50" s="67">
        <v>8093</v>
      </c>
      <c r="H50" s="68"/>
      <c r="I50" s="67">
        <v>8183</v>
      </c>
      <c r="J50" s="67">
        <v>8220</v>
      </c>
      <c r="K50" s="67">
        <v>8218</v>
      </c>
      <c r="L50" s="67">
        <v>6831</v>
      </c>
      <c r="M50" s="68"/>
      <c r="N50" s="67">
        <v>8279</v>
      </c>
      <c r="O50" s="67">
        <f>+N50+O51</f>
        <v>8300</v>
      </c>
      <c r="P50" s="67">
        <f t="shared" ref="P50" si="82">+O50+P51</f>
        <v>8315</v>
      </c>
      <c r="Q50" s="67">
        <v>6965</v>
      </c>
      <c r="R50" s="192"/>
      <c r="S50" s="67">
        <f>+Q50+S51</f>
        <v>6988</v>
      </c>
      <c r="T50" s="67">
        <f>+S50+T51</f>
        <v>6972</v>
      </c>
      <c r="U50" s="67">
        <f t="shared" ref="U50:V50" si="83">+T50+U51</f>
        <v>7000</v>
      </c>
      <c r="V50" s="67">
        <f t="shared" si="83"/>
        <v>7079</v>
      </c>
      <c r="W50" s="253">
        <f>V50</f>
        <v>7079</v>
      </c>
      <c r="X50" s="117">
        <f>+V50+X51</f>
        <v>7125</v>
      </c>
      <c r="Y50" s="117">
        <f>+X50+Y51</f>
        <v>7135</v>
      </c>
      <c r="Z50" s="67">
        <f t="shared" ref="Z50:AA50" si="84">+Y50+Z51</f>
        <v>7210</v>
      </c>
      <c r="AA50" s="67">
        <f t="shared" si="84"/>
        <v>7285</v>
      </c>
      <c r="AB50" s="192">
        <f>AA50</f>
        <v>7285</v>
      </c>
      <c r="AC50" s="67">
        <f>+AA50+AC51</f>
        <v>7367</v>
      </c>
      <c r="AD50" s="67">
        <f>+AC50+AD51</f>
        <v>7449</v>
      </c>
      <c r="AE50" s="67">
        <f t="shared" ref="AE50:AF50" si="85">+AD50+AE51</f>
        <v>7531</v>
      </c>
      <c r="AF50" s="67">
        <f t="shared" si="85"/>
        <v>7614</v>
      </c>
      <c r="AG50" s="192">
        <f>AF50</f>
        <v>7614</v>
      </c>
      <c r="AH50" s="67">
        <f>+AF50+AH51</f>
        <v>7711</v>
      </c>
      <c r="AI50" s="67">
        <f>+AH50+AI51</f>
        <v>7808</v>
      </c>
      <c r="AJ50" s="67">
        <f t="shared" ref="AJ50:AK50" si="86">+AI50+AJ51</f>
        <v>7905</v>
      </c>
      <c r="AK50" s="67">
        <f t="shared" si="86"/>
        <v>8002</v>
      </c>
      <c r="AL50" s="192">
        <f>AK50</f>
        <v>8002</v>
      </c>
      <c r="AM50" s="67">
        <f>+AK50+AM51</f>
        <v>8030</v>
      </c>
      <c r="AN50" s="67">
        <f>+AM50+AN51</f>
        <v>8058</v>
      </c>
      <c r="AO50" s="67">
        <f t="shared" ref="AO50:AP50" si="87">+AN50+AO51</f>
        <v>8086</v>
      </c>
      <c r="AP50" s="67">
        <f t="shared" si="87"/>
        <v>8114</v>
      </c>
      <c r="AQ50" s="192">
        <f>AP50</f>
        <v>8114</v>
      </c>
      <c r="AR50" s="67">
        <f>+AP50+AR51</f>
        <v>8142</v>
      </c>
      <c r="AS50" s="67">
        <f>+AR50+AS51</f>
        <v>8170</v>
      </c>
      <c r="AT50" s="67">
        <f t="shared" ref="AT50:AU50" si="88">+AS50+AT51</f>
        <v>8198</v>
      </c>
      <c r="AU50" s="67">
        <f t="shared" si="88"/>
        <v>8226</v>
      </c>
      <c r="AV50" s="192">
        <f>AU50</f>
        <v>8226</v>
      </c>
    </row>
    <row r="51" spans="2:48" outlineLevel="1" x14ac:dyDescent="0.3">
      <c r="B51" s="180" t="s">
        <v>47</v>
      </c>
      <c r="C51" s="201"/>
      <c r="D51" s="101">
        <f>+D50-7770</f>
        <v>106</v>
      </c>
      <c r="E51" s="101">
        <f>E50-D50</f>
        <v>67</v>
      </c>
      <c r="F51" s="101">
        <f t="shared" ref="F51:G51" si="89">F50-E50</f>
        <v>53</v>
      </c>
      <c r="G51" s="101">
        <f t="shared" si="89"/>
        <v>97</v>
      </c>
      <c r="H51" s="122">
        <f>+SUM(D51:G51)</f>
        <v>323</v>
      </c>
      <c r="I51" s="101">
        <f>I50-G50</f>
        <v>90</v>
      </c>
      <c r="J51" s="101">
        <f t="shared" ref="J51:K51" si="90">J50-I50</f>
        <v>37</v>
      </c>
      <c r="K51" s="101">
        <f t="shared" si="90"/>
        <v>-2</v>
      </c>
      <c r="L51" s="101">
        <v>32</v>
      </c>
      <c r="M51" s="122"/>
      <c r="N51" s="101">
        <v>34</v>
      </c>
      <c r="O51" s="101">
        <v>21</v>
      </c>
      <c r="P51" s="101">
        <v>15</v>
      </c>
      <c r="Q51" s="101">
        <v>73</v>
      </c>
      <c r="R51" s="26"/>
      <c r="S51" s="101">
        <v>23</v>
      </c>
      <c r="T51" s="101">
        <v>-16</v>
      </c>
      <c r="U51" s="101">
        <v>28</v>
      </c>
      <c r="V51" s="101">
        <v>79</v>
      </c>
      <c r="W51" s="122">
        <f>+SUM(S51:V51)</f>
        <v>114</v>
      </c>
      <c r="X51" s="101">
        <v>46</v>
      </c>
      <c r="Y51" s="101">
        <v>10</v>
      </c>
      <c r="Z51" s="33">
        <v>75</v>
      </c>
      <c r="AA51" s="33">
        <v>75</v>
      </c>
      <c r="AB51" s="26">
        <f>+SUM(X51:AA51)</f>
        <v>206</v>
      </c>
      <c r="AC51" s="33">
        <v>82</v>
      </c>
      <c r="AD51" s="33">
        <v>82</v>
      </c>
      <c r="AE51" s="33">
        <v>82</v>
      </c>
      <c r="AF51" s="33">
        <v>83</v>
      </c>
      <c r="AG51" s="26">
        <f>+SUM(AC51:AF51)</f>
        <v>329</v>
      </c>
      <c r="AH51" s="33">
        <v>97</v>
      </c>
      <c r="AI51" s="33">
        <v>97</v>
      </c>
      <c r="AJ51" s="33">
        <v>97</v>
      </c>
      <c r="AK51" s="33">
        <v>97</v>
      </c>
      <c r="AL51" s="26">
        <f>+SUM(AH51:AK51)</f>
        <v>388</v>
      </c>
      <c r="AM51" s="33">
        <v>28</v>
      </c>
      <c r="AN51" s="33">
        <v>28</v>
      </c>
      <c r="AO51" s="33">
        <v>28</v>
      </c>
      <c r="AP51" s="33">
        <v>28</v>
      </c>
      <c r="AQ51" s="26">
        <f>+SUM(AM51:AP51)</f>
        <v>112</v>
      </c>
      <c r="AR51" s="33">
        <v>28</v>
      </c>
      <c r="AS51" s="33">
        <v>28</v>
      </c>
      <c r="AT51" s="33">
        <v>28</v>
      </c>
      <c r="AU51" s="33">
        <v>28</v>
      </c>
      <c r="AV51" s="26">
        <f>+SUM(AR51:AU51)</f>
        <v>112</v>
      </c>
    </row>
    <row r="52" spans="2:48" outlineLevel="1" x14ac:dyDescent="0.3">
      <c r="B52" s="180" t="s">
        <v>49</v>
      </c>
      <c r="C52" s="201"/>
      <c r="D52" s="16">
        <f>AVERAGE(D50,7770)</f>
        <v>7823</v>
      </c>
      <c r="E52" s="16">
        <f>AVERAGE(E50,D50)</f>
        <v>7909.5</v>
      </c>
      <c r="F52" s="16">
        <f t="shared" ref="F52:G52" si="91">AVERAGE(F50,E50)</f>
        <v>7969.5</v>
      </c>
      <c r="G52" s="16">
        <f t="shared" si="91"/>
        <v>8044.5</v>
      </c>
      <c r="H52" s="26"/>
      <c r="I52" s="16">
        <f>AVERAGE(I50,G50)</f>
        <v>8138</v>
      </c>
      <c r="J52" s="16">
        <f>AVERAGE(J50,I50)</f>
        <v>8201.5</v>
      </c>
      <c r="K52" s="16">
        <f t="shared" ref="K52:L52" si="92">AVERAGE(K50,J50)</f>
        <v>8219</v>
      </c>
      <c r="L52" s="16">
        <f t="shared" si="92"/>
        <v>7524.5</v>
      </c>
      <c r="M52" s="6"/>
      <c r="N52" s="16">
        <f>AVERAGE(N50,L50)</f>
        <v>7555</v>
      </c>
      <c r="O52" s="16">
        <f>AVERAGE(O50,N50)</f>
        <v>8289.5</v>
      </c>
      <c r="P52" s="16">
        <f t="shared" ref="P52:Q52" si="93">AVERAGE(P50,O50)</f>
        <v>8307.5</v>
      </c>
      <c r="Q52" s="16">
        <f t="shared" si="93"/>
        <v>7640</v>
      </c>
      <c r="R52" s="6"/>
      <c r="S52" s="16">
        <f>AVERAGE(S50,Q50)</f>
        <v>6976.5</v>
      </c>
      <c r="T52" s="16">
        <f>AVERAGE(T50,S50)</f>
        <v>6980</v>
      </c>
      <c r="U52" s="16">
        <f t="shared" ref="U52:V52" si="94">AVERAGE(U50,T50)</f>
        <v>6986</v>
      </c>
      <c r="V52" s="16">
        <f t="shared" si="94"/>
        <v>7039.5</v>
      </c>
      <c r="W52" s="130"/>
      <c r="X52" s="101">
        <f>AVERAGE(X50,V50)</f>
        <v>7102</v>
      </c>
      <c r="Y52" s="101">
        <f>AVERAGE(Y50,X50)</f>
        <v>7130</v>
      </c>
      <c r="Z52" s="16">
        <f t="shared" ref="Z52:AA52" si="95">AVERAGE(Z50,Y50)</f>
        <v>7172.5</v>
      </c>
      <c r="AA52" s="16">
        <f t="shared" si="95"/>
        <v>7247.5</v>
      </c>
      <c r="AB52" s="6"/>
      <c r="AC52" s="16">
        <f>AVERAGE(AC50,AA50)</f>
        <v>7326</v>
      </c>
      <c r="AD52" s="16">
        <f>AVERAGE(AD50,AC50)</f>
        <v>7408</v>
      </c>
      <c r="AE52" s="16">
        <f t="shared" ref="AE52:AF52" si="96">AVERAGE(AE50,AD50)</f>
        <v>7490</v>
      </c>
      <c r="AF52" s="16">
        <f t="shared" si="96"/>
        <v>7572.5</v>
      </c>
      <c r="AG52" s="6"/>
      <c r="AH52" s="16">
        <f>AVERAGE(AH50,AF50)</f>
        <v>7662.5</v>
      </c>
      <c r="AI52" s="16">
        <f>AVERAGE(AI50,AH50)</f>
        <v>7759.5</v>
      </c>
      <c r="AJ52" s="16">
        <f t="shared" ref="AJ52:AK52" si="97">AVERAGE(AJ50,AI50)</f>
        <v>7856.5</v>
      </c>
      <c r="AK52" s="16">
        <f t="shared" si="97"/>
        <v>7953.5</v>
      </c>
      <c r="AL52" s="6"/>
      <c r="AM52" s="16">
        <f>AVERAGE(AM50,AK50)</f>
        <v>8016</v>
      </c>
      <c r="AN52" s="16">
        <f>AVERAGE(AN50,AM50)</f>
        <v>8044</v>
      </c>
      <c r="AO52" s="16">
        <f t="shared" ref="AO52:AP52" si="98">AVERAGE(AO50,AN50)</f>
        <v>8072</v>
      </c>
      <c r="AP52" s="16">
        <f t="shared" si="98"/>
        <v>8100</v>
      </c>
      <c r="AQ52" s="6"/>
      <c r="AR52" s="16">
        <f>AVERAGE(AR50,AP50)</f>
        <v>8128</v>
      </c>
      <c r="AS52" s="16">
        <f>AVERAGE(AS50,AR50)</f>
        <v>8156</v>
      </c>
      <c r="AT52" s="16">
        <f t="shared" ref="AT52:AU52" si="99">AVERAGE(AT50,AS50)</f>
        <v>8184</v>
      </c>
      <c r="AU52" s="16">
        <f t="shared" si="99"/>
        <v>8212</v>
      </c>
      <c r="AV52" s="6"/>
    </row>
    <row r="53" spans="2:48" outlineLevel="1" x14ac:dyDescent="0.3">
      <c r="B53" s="180" t="s">
        <v>202</v>
      </c>
      <c r="C53" s="201"/>
      <c r="D53" s="43">
        <f>+D54/D52</f>
        <v>6.5780391154288645E-2</v>
      </c>
      <c r="E53" s="43">
        <f>+E54/E52</f>
        <v>5.8549845122953414E-2</v>
      </c>
      <c r="F53" s="43">
        <f>+F54/F52</f>
        <v>6.2274923144488362E-2</v>
      </c>
      <c r="G53" s="114">
        <f t="shared" ref="G53:S53" si="100">+G54/G52</f>
        <v>6.016533034992852E-2</v>
      </c>
      <c r="H53" s="127"/>
      <c r="I53" s="114">
        <f t="shared" si="100"/>
        <v>6.6023593020398133E-2</v>
      </c>
      <c r="J53" s="114">
        <f t="shared" si="100"/>
        <v>5.6599402548314331E-2</v>
      </c>
      <c r="K53" s="114">
        <f t="shared" si="100"/>
        <v>2.8653120817617714E-2</v>
      </c>
      <c r="L53" s="114">
        <f t="shared" si="100"/>
        <v>4.4773739118878331E-2</v>
      </c>
      <c r="M53" s="6"/>
      <c r="N53" s="114">
        <f t="shared" si="100"/>
        <v>5.5089344804765052E-2</v>
      </c>
      <c r="O53" s="114">
        <f t="shared" si="100"/>
        <v>4.7554134748778572E-2</v>
      </c>
      <c r="P53" s="114">
        <f t="shared" si="100"/>
        <v>5.6394823954258204E-2</v>
      </c>
      <c r="Q53" s="114">
        <f t="shared" si="100"/>
        <v>6.6295811518324602E-2</v>
      </c>
      <c r="R53" s="6"/>
      <c r="S53" s="114">
        <f t="shared" si="100"/>
        <v>7.3948254855586606E-2</v>
      </c>
      <c r="T53" s="114">
        <f>+T54/T52</f>
        <v>7.2636103151862461E-2</v>
      </c>
      <c r="U53" s="114">
        <f>+U54/U52</f>
        <v>7.7898654451760668E-2</v>
      </c>
      <c r="V53" s="114">
        <f>+V54/V52</f>
        <v>8.2875204204844094E-2</v>
      </c>
      <c r="W53" s="130"/>
      <c r="X53" s="114">
        <f t="shared" ref="X53:Y53" si="101">+X54/X52</f>
        <v>9.5747676710785698E-2</v>
      </c>
      <c r="Y53" s="114">
        <f t="shared" si="101"/>
        <v>8.9396914446002798E-2</v>
      </c>
      <c r="Z53" s="62">
        <f>U53*1.05</f>
        <v>8.1793587174348703E-2</v>
      </c>
      <c r="AA53" s="62">
        <f>V53*1.05</f>
        <v>8.7018964415086303E-2</v>
      </c>
      <c r="AB53" s="378"/>
      <c r="AC53" s="62">
        <f>X53*1.05</f>
        <v>0.10053506054632498</v>
      </c>
      <c r="AD53" s="62">
        <f>Y53*1.05</f>
        <v>9.3866760168302948E-2</v>
      </c>
      <c r="AE53" s="62">
        <f>Z53*1.05</f>
        <v>8.5883266533066147E-2</v>
      </c>
      <c r="AF53" s="62">
        <f>AA53*1.05</f>
        <v>9.1369912635840628E-2</v>
      </c>
      <c r="AG53" s="378"/>
      <c r="AH53" s="62">
        <f>AC53*1.07</f>
        <v>0.10757251478456774</v>
      </c>
      <c r="AI53" s="62">
        <f>AD53*1.07</f>
        <v>0.10043743338008417</v>
      </c>
      <c r="AJ53" s="62">
        <f>AE53*1.07</f>
        <v>9.1895095190380777E-2</v>
      </c>
      <c r="AK53" s="62">
        <f>AF53*1.07</f>
        <v>9.7765806520349482E-2</v>
      </c>
      <c r="AL53" s="379"/>
      <c r="AM53" s="477">
        <f>AH53*1.05</f>
        <v>0.11295114052379612</v>
      </c>
      <c r="AN53" s="477">
        <f>AI53*1.05</f>
        <v>0.10545930504908838</v>
      </c>
      <c r="AO53" s="477">
        <f>AJ53*1.05</f>
        <v>9.6489849949899814E-2</v>
      </c>
      <c r="AP53" s="477">
        <f>AK53*1.05</f>
        <v>0.10265409684636696</v>
      </c>
      <c r="AQ53" s="97"/>
      <c r="AR53" s="477">
        <f>AM53*1.03</f>
        <v>0.11633967473951001</v>
      </c>
      <c r="AS53" s="477">
        <f>AN53*1.03</f>
        <v>0.10862308420056103</v>
      </c>
      <c r="AT53" s="477">
        <f>AO53*1.03</f>
        <v>9.938454544839681E-2</v>
      </c>
      <c r="AU53" s="477">
        <f>AP53*1.03</f>
        <v>0.10573371975175798</v>
      </c>
      <c r="AV53" s="6"/>
    </row>
    <row r="54" spans="2:48" s="8" customFormat="1" outlineLevel="1" x14ac:dyDescent="0.3">
      <c r="B54" s="603" t="s">
        <v>178</v>
      </c>
      <c r="C54" s="604"/>
      <c r="D54" s="115">
        <v>514.6</v>
      </c>
      <c r="E54" s="115">
        <v>463.1</v>
      </c>
      <c r="F54" s="115">
        <v>496.3</v>
      </c>
      <c r="G54" s="115">
        <v>484</v>
      </c>
      <c r="H54" s="153"/>
      <c r="I54" s="115">
        <v>537.29999999999995</v>
      </c>
      <c r="J54" s="115">
        <v>464.2</v>
      </c>
      <c r="K54" s="115">
        <v>235.5</v>
      </c>
      <c r="L54" s="72">
        <v>336.9</v>
      </c>
      <c r="M54" s="73"/>
      <c r="N54" s="72">
        <v>416.2</v>
      </c>
      <c r="O54" s="72">
        <v>394.2</v>
      </c>
      <c r="P54" s="72">
        <v>468.5</v>
      </c>
      <c r="Q54" s="115">
        <v>506.5</v>
      </c>
      <c r="R54" s="73"/>
      <c r="S54" s="72">
        <v>515.9</v>
      </c>
      <c r="T54" s="72">
        <v>507</v>
      </c>
      <c r="U54" s="72">
        <v>544.20000000000005</v>
      </c>
      <c r="V54" s="72">
        <v>583.4</v>
      </c>
      <c r="W54" s="213">
        <f>SUM(S54:V54)</f>
        <v>2150.5</v>
      </c>
      <c r="X54" s="115">
        <v>680</v>
      </c>
      <c r="Y54" s="115">
        <v>637.4</v>
      </c>
      <c r="Z54" s="72">
        <f t="shared" ref="Z54:AA54" si="102">+Z52*Z53</f>
        <v>586.66450400801602</v>
      </c>
      <c r="AA54" s="72">
        <f t="shared" si="102"/>
        <v>630.66994459833802</v>
      </c>
      <c r="AB54" s="73">
        <f>SUM(X54:AA54)</f>
        <v>2534.7344486063544</v>
      </c>
      <c r="AC54" s="72">
        <f>+AC52*AC53</f>
        <v>736.51985356237685</v>
      </c>
      <c r="AD54" s="72">
        <f>+AD52*AD53</f>
        <v>695.36495932678827</v>
      </c>
      <c r="AE54" s="72">
        <f t="shared" ref="AE54:AF54" si="103">+AE52*AE53</f>
        <v>643.26566633266543</v>
      </c>
      <c r="AF54" s="72">
        <f t="shared" si="103"/>
        <v>691.89866343490314</v>
      </c>
      <c r="AG54" s="73">
        <f>SUM(AC54:AF54)</f>
        <v>2767.0491426567332</v>
      </c>
      <c r="AH54" s="72">
        <f>+AH52*AH53</f>
        <v>824.27439453675026</v>
      </c>
      <c r="AI54" s="72">
        <f>+AI52*AI53</f>
        <v>779.34426431276313</v>
      </c>
      <c r="AJ54" s="72">
        <f t="shared" ref="AJ54:AK54" si="104">+AJ52*AJ53</f>
        <v>721.97381536322655</v>
      </c>
      <c r="AK54" s="72">
        <f t="shared" si="104"/>
        <v>777.58034215959958</v>
      </c>
      <c r="AL54" s="73">
        <f>SUM(AH54:AK54)</f>
        <v>3103.1728163723396</v>
      </c>
      <c r="AM54" s="72">
        <f>+AM52*AM53</f>
        <v>905.41634243874967</v>
      </c>
      <c r="AN54" s="72">
        <f>+AN52*AN53</f>
        <v>848.31464981486693</v>
      </c>
      <c r="AO54" s="72">
        <f t="shared" ref="AO54:AP54" si="105">+AO52*AO53</f>
        <v>778.86606879559133</v>
      </c>
      <c r="AP54" s="72">
        <f t="shared" si="105"/>
        <v>831.49818445557241</v>
      </c>
      <c r="AQ54" s="73">
        <f>SUM(AM54:AP54)</f>
        <v>3364.09524550478</v>
      </c>
      <c r="AR54" s="72">
        <f>+AR52*AR53</f>
        <v>945.60887628273736</v>
      </c>
      <c r="AS54" s="72">
        <f>+AS52*AS53</f>
        <v>885.92987473977576</v>
      </c>
      <c r="AT54" s="72">
        <f t="shared" ref="AT54:AU54" si="106">+AT52*AT53</f>
        <v>813.36311994967946</v>
      </c>
      <c r="AU54" s="72">
        <f t="shared" si="106"/>
        <v>868.28530660143656</v>
      </c>
      <c r="AV54" s="73">
        <f>SUM(AR54:AU54)</f>
        <v>3513.187177573629</v>
      </c>
    </row>
    <row r="55" spans="2:48" s="8" customFormat="1" outlineLevel="1" x14ac:dyDescent="0.3">
      <c r="B55" s="587" t="s">
        <v>179</v>
      </c>
      <c r="C55" s="588"/>
      <c r="D55" s="103">
        <v>5.7</v>
      </c>
      <c r="E55" s="103">
        <v>1.4</v>
      </c>
      <c r="F55" s="103">
        <v>2.6</v>
      </c>
      <c r="G55" s="103">
        <v>3.2</v>
      </c>
      <c r="H55" s="154"/>
      <c r="I55" s="103">
        <v>2.6</v>
      </c>
      <c r="J55" s="103">
        <v>2.2000000000000002</v>
      </c>
      <c r="K55" s="103">
        <v>1.1000000000000001</v>
      </c>
      <c r="L55" s="50">
        <v>1.7</v>
      </c>
      <c r="M55" s="97"/>
      <c r="N55" s="50">
        <v>2.2000000000000002</v>
      </c>
      <c r="O55" s="50">
        <v>2</v>
      </c>
      <c r="P55" s="50">
        <v>2</v>
      </c>
      <c r="Q55" s="103">
        <v>2.2000000000000002</v>
      </c>
      <c r="R55" s="191"/>
      <c r="S55" s="50">
        <v>2.2999999999999998</v>
      </c>
      <c r="T55" s="50">
        <v>2.4</v>
      </c>
      <c r="U55" s="50">
        <v>1</v>
      </c>
      <c r="V55" s="50">
        <v>0.5</v>
      </c>
      <c r="W55" s="166">
        <f>SUM(S55:V55)</f>
        <v>6.1999999999999993</v>
      </c>
      <c r="X55" s="103">
        <v>0.7</v>
      </c>
      <c r="Y55" s="103">
        <v>0.5</v>
      </c>
      <c r="Z55" s="50">
        <f>+U55*(1+Z56)</f>
        <v>1.95</v>
      </c>
      <c r="AA55" s="50">
        <f t="shared" ref="AA55" si="107">+V55*(1+AA56)</f>
        <v>0.5</v>
      </c>
      <c r="AB55" s="191">
        <f>SUM(X55:AA55)</f>
        <v>3.65</v>
      </c>
      <c r="AC55" s="50">
        <f>+X55*(1+AC56)</f>
        <v>0.7</v>
      </c>
      <c r="AD55" s="50">
        <f>+Y55*(1+AD56)</f>
        <v>0.5</v>
      </c>
      <c r="AE55" s="50">
        <f>+Z55*(1+AE56)</f>
        <v>1.95</v>
      </c>
      <c r="AF55" s="50">
        <f t="shared" ref="AF55" si="108">+AA55*(1+AF56)</f>
        <v>0.5</v>
      </c>
      <c r="AG55" s="191">
        <f>SUM(AC55:AF55)</f>
        <v>3.65</v>
      </c>
      <c r="AH55" s="50">
        <f>+AC55*(1+AH56)</f>
        <v>0.7</v>
      </c>
      <c r="AI55" s="50">
        <f>+AD55*(1+AI56)</f>
        <v>0.5</v>
      </c>
      <c r="AJ55" s="50">
        <f>+AE55*(1+AJ56)</f>
        <v>1.95</v>
      </c>
      <c r="AK55" s="50">
        <f t="shared" ref="AK55" si="109">+AF55*(1+AK56)</f>
        <v>0.5</v>
      </c>
      <c r="AL55" s="191">
        <f>SUM(AH55:AK55)</f>
        <v>3.65</v>
      </c>
      <c r="AM55" s="50">
        <f>+AH55*(1+AM56)</f>
        <v>0.7</v>
      </c>
      <c r="AN55" s="50">
        <f>+AI55*(1+AN56)</f>
        <v>0.5</v>
      </c>
      <c r="AO55" s="50">
        <f>+AJ55*(1+AO56)</f>
        <v>1.95</v>
      </c>
      <c r="AP55" s="50">
        <f t="shared" ref="AP55" si="110">+AK55*(1+AP56)</f>
        <v>0.5</v>
      </c>
      <c r="AQ55" s="191">
        <f>SUM(AM55:AP55)</f>
        <v>3.65</v>
      </c>
      <c r="AR55" s="50">
        <f>+AM55*(1+AR56)</f>
        <v>0.7</v>
      </c>
      <c r="AS55" s="50">
        <f>+AN55*(1+AS56)</f>
        <v>0.5</v>
      </c>
      <c r="AT55" s="50">
        <f>+AO55*(1+AT56)</f>
        <v>1.95</v>
      </c>
      <c r="AU55" s="50">
        <f t="shared" ref="AU55" si="111">+AP55*(1+AU56)</f>
        <v>0.5</v>
      </c>
      <c r="AV55" s="191">
        <f>SUM(AR55:AU55)</f>
        <v>3.65</v>
      </c>
    </row>
    <row r="56" spans="2:48" outlineLevel="1" x14ac:dyDescent="0.3">
      <c r="B56" s="69" t="s">
        <v>50</v>
      </c>
      <c r="C56" s="70"/>
      <c r="D56" s="120"/>
      <c r="E56" s="120"/>
      <c r="F56" s="120"/>
      <c r="G56" s="120"/>
      <c r="H56" s="155"/>
      <c r="I56" s="120">
        <f>I55/D55-1</f>
        <v>-0.54385964912280704</v>
      </c>
      <c r="J56" s="120">
        <f t="shared" ref="J56" si="112">J55/E55-1</f>
        <v>0.57142857142857162</v>
      </c>
      <c r="K56" s="120">
        <f>K55/F55-1</f>
        <v>-0.57692307692307687</v>
      </c>
      <c r="L56" s="120">
        <f>L55/G55-1</f>
        <v>-0.46875</v>
      </c>
      <c r="M56" s="58"/>
      <c r="N56" s="120">
        <f>N55/I55-1</f>
        <v>-0.15384615384615385</v>
      </c>
      <c r="O56" s="120">
        <f t="shared" ref="O56" si="113">O55/J55-1</f>
        <v>-9.0909090909090939E-2</v>
      </c>
      <c r="P56" s="120">
        <f>P55/K55-1</f>
        <v>0.81818181818181812</v>
      </c>
      <c r="Q56" s="120">
        <f>Q55/L55-1</f>
        <v>0.29411764705882359</v>
      </c>
      <c r="R56" s="58"/>
      <c r="S56" s="120">
        <f>S55/N55-1</f>
        <v>4.5454545454545192E-2</v>
      </c>
      <c r="T56" s="120">
        <f t="shared" ref="T56:U56" si="114">T55/O55-1</f>
        <v>0.19999999999999996</v>
      </c>
      <c r="U56" s="120">
        <f t="shared" si="114"/>
        <v>-0.5</v>
      </c>
      <c r="V56" s="120">
        <f>V55/Q55-1</f>
        <v>-0.77272727272727271</v>
      </c>
      <c r="W56" s="155"/>
      <c r="X56" s="120">
        <f>X55/S55-1</f>
        <v>-0.69565217391304346</v>
      </c>
      <c r="Y56" s="120">
        <f>Y55/T55-1</f>
        <v>-0.79166666666666663</v>
      </c>
      <c r="Z56" s="71">
        <v>0.95</v>
      </c>
      <c r="AA56" s="71">
        <v>0</v>
      </c>
      <c r="AB56" s="374"/>
      <c r="AC56" s="71">
        <v>0</v>
      </c>
      <c r="AD56" s="71">
        <v>0</v>
      </c>
      <c r="AE56" s="71">
        <v>0</v>
      </c>
      <c r="AF56" s="71">
        <v>0</v>
      </c>
      <c r="AG56" s="58"/>
      <c r="AH56" s="71">
        <v>0</v>
      </c>
      <c r="AI56" s="71">
        <v>0</v>
      </c>
      <c r="AJ56" s="71">
        <v>0</v>
      </c>
      <c r="AK56" s="71">
        <v>0</v>
      </c>
      <c r="AL56" s="58"/>
      <c r="AM56" s="71">
        <v>0</v>
      </c>
      <c r="AN56" s="71">
        <v>0</v>
      </c>
      <c r="AO56" s="71">
        <v>0</v>
      </c>
      <c r="AP56" s="71">
        <v>0</v>
      </c>
      <c r="AQ56" s="58"/>
      <c r="AR56" s="71">
        <v>0</v>
      </c>
      <c r="AS56" s="71">
        <v>0</v>
      </c>
      <c r="AT56" s="71">
        <v>0</v>
      </c>
      <c r="AU56" s="71">
        <v>0</v>
      </c>
      <c r="AV56" s="58"/>
    </row>
    <row r="57" spans="2:48" outlineLevel="1" x14ac:dyDescent="0.3">
      <c r="B57" s="180" t="s">
        <v>180</v>
      </c>
      <c r="C57" s="207"/>
      <c r="D57" s="101">
        <f t="shared" ref="D57:G58" si="115">+D50+D41</f>
        <v>17653</v>
      </c>
      <c r="E57" s="101">
        <f t="shared" si="115"/>
        <v>17719</v>
      </c>
      <c r="F57" s="101">
        <f t="shared" si="115"/>
        <v>17853</v>
      </c>
      <c r="G57" s="101">
        <f t="shared" si="115"/>
        <v>18067</v>
      </c>
      <c r="H57" s="122"/>
      <c r="I57" s="101">
        <f t="shared" ref="I57:L58" si="116">+I50+I41</f>
        <v>18203</v>
      </c>
      <c r="J57" s="101">
        <f t="shared" si="116"/>
        <v>18271</v>
      </c>
      <c r="K57" s="101">
        <f t="shared" si="116"/>
        <v>18235</v>
      </c>
      <c r="L57" s="16">
        <f t="shared" si="116"/>
        <v>16940</v>
      </c>
      <c r="M57" s="6"/>
      <c r="N57" s="16">
        <f t="shared" ref="N57:Q58" si="117">+N50+N41</f>
        <v>18308</v>
      </c>
      <c r="O57" s="16">
        <f t="shared" si="117"/>
        <v>18120</v>
      </c>
      <c r="P57" s="16">
        <f t="shared" si="117"/>
        <v>18175</v>
      </c>
      <c r="Q57" s="101">
        <f t="shared" si="117"/>
        <v>16826</v>
      </c>
      <c r="R57" s="6"/>
      <c r="S57" s="16">
        <f t="shared" ref="S57:V58" si="118">+S50+S41</f>
        <v>16888</v>
      </c>
      <c r="T57" s="16">
        <f t="shared" si="118"/>
        <v>16926</v>
      </c>
      <c r="U57" s="16">
        <f t="shared" si="118"/>
        <v>17050</v>
      </c>
      <c r="V57" s="16">
        <f t="shared" si="118"/>
        <v>17295</v>
      </c>
      <c r="W57" s="254">
        <f>W58/Q57</f>
        <v>2.7873529062165697E-2</v>
      </c>
      <c r="X57" s="101">
        <f t="shared" ref="X57:AA58" si="119">+X50+X41</f>
        <v>17381</v>
      </c>
      <c r="Y57" s="101">
        <f t="shared" si="119"/>
        <v>17482</v>
      </c>
      <c r="Z57" s="16">
        <f t="shared" si="119"/>
        <v>17642</v>
      </c>
      <c r="AA57" s="16">
        <f t="shared" si="119"/>
        <v>17807</v>
      </c>
      <c r="AB57" s="574">
        <f>AB58/V57</f>
        <v>2.9603931772188494E-2</v>
      </c>
      <c r="AC57" s="16">
        <f t="shared" ref="AC57:AF58" si="120">+AC50+AC41</f>
        <v>17961</v>
      </c>
      <c r="AD57" s="16">
        <f t="shared" si="120"/>
        <v>18115</v>
      </c>
      <c r="AE57" s="16">
        <f t="shared" si="120"/>
        <v>18270</v>
      </c>
      <c r="AF57" s="16">
        <f t="shared" si="120"/>
        <v>18426</v>
      </c>
      <c r="AG57" s="254">
        <f>AG58/AA57</f>
        <v>3.4761610602572025E-2</v>
      </c>
      <c r="AH57" s="16">
        <f t="shared" ref="AH57:AK58" si="121">+AH50+AH41</f>
        <v>18609</v>
      </c>
      <c r="AI57" s="16">
        <f t="shared" si="121"/>
        <v>18792</v>
      </c>
      <c r="AJ57" s="16">
        <f t="shared" si="121"/>
        <v>18975</v>
      </c>
      <c r="AK57" s="16">
        <f t="shared" si="121"/>
        <v>19158</v>
      </c>
      <c r="AL57" s="254">
        <f>AL58/AF57</f>
        <v>3.9726473461413218E-2</v>
      </c>
      <c r="AM57" s="16">
        <f t="shared" ref="AM57:AP58" si="122">+AM50+AM41</f>
        <v>19282</v>
      </c>
      <c r="AN57" s="16">
        <f t="shared" si="122"/>
        <v>19406</v>
      </c>
      <c r="AO57" s="16">
        <f t="shared" si="122"/>
        <v>19530</v>
      </c>
      <c r="AP57" s="16">
        <f t="shared" si="122"/>
        <v>19654</v>
      </c>
      <c r="AQ57" s="254">
        <f>AQ58/AK57</f>
        <v>2.5889967637540454E-2</v>
      </c>
      <c r="AR57" s="16">
        <f t="shared" ref="AR57:AU58" si="123">+AR50+AR41</f>
        <v>19778</v>
      </c>
      <c r="AS57" s="16">
        <f t="shared" si="123"/>
        <v>19902</v>
      </c>
      <c r="AT57" s="16">
        <f t="shared" si="123"/>
        <v>20026</v>
      </c>
      <c r="AU57" s="16">
        <f t="shared" si="123"/>
        <v>20150</v>
      </c>
      <c r="AV57" s="254">
        <f>AV58/AP57</f>
        <v>2.5236593059936908E-2</v>
      </c>
    </row>
    <row r="58" spans="2:48" outlineLevel="1" x14ac:dyDescent="0.3">
      <c r="B58" s="180" t="s">
        <v>181</v>
      </c>
      <c r="C58" s="207"/>
      <c r="D58" s="101">
        <f t="shared" si="115"/>
        <v>193</v>
      </c>
      <c r="E58" s="101">
        <f t="shared" si="115"/>
        <v>66</v>
      </c>
      <c r="F58" s="101">
        <f t="shared" si="115"/>
        <v>134</v>
      </c>
      <c r="G58" s="101">
        <f t="shared" si="115"/>
        <v>214</v>
      </c>
      <c r="H58" s="122">
        <f>+H51+H42</f>
        <v>607</v>
      </c>
      <c r="I58" s="101">
        <f t="shared" si="116"/>
        <v>136</v>
      </c>
      <c r="J58" s="101">
        <f t="shared" si="116"/>
        <v>68</v>
      </c>
      <c r="K58" s="101">
        <f t="shared" si="116"/>
        <v>-36</v>
      </c>
      <c r="L58" s="16">
        <f t="shared" si="116"/>
        <v>124</v>
      </c>
      <c r="M58" s="122"/>
      <c r="N58" s="16">
        <f t="shared" si="117"/>
        <v>-46</v>
      </c>
      <c r="O58" s="16">
        <f t="shared" si="117"/>
        <v>-188</v>
      </c>
      <c r="P58" s="16">
        <f t="shared" si="117"/>
        <v>55</v>
      </c>
      <c r="Q58" s="101">
        <f t="shared" si="117"/>
        <v>74</v>
      </c>
      <c r="R58" s="122"/>
      <c r="S58" s="16">
        <f t="shared" si="118"/>
        <v>62</v>
      </c>
      <c r="T58" s="16">
        <f t="shared" si="118"/>
        <v>38</v>
      </c>
      <c r="U58" s="16">
        <f t="shared" si="118"/>
        <v>124</v>
      </c>
      <c r="V58" s="16">
        <f t="shared" si="118"/>
        <v>245</v>
      </c>
      <c r="W58" s="122">
        <f>+W51+W42</f>
        <v>469</v>
      </c>
      <c r="X58" s="101">
        <f t="shared" si="119"/>
        <v>86</v>
      </c>
      <c r="Y58" s="101">
        <f t="shared" si="119"/>
        <v>101</v>
      </c>
      <c r="Z58" s="16">
        <f t="shared" si="119"/>
        <v>160</v>
      </c>
      <c r="AA58" s="16">
        <f t="shared" si="119"/>
        <v>165</v>
      </c>
      <c r="AB58" s="122">
        <f>+AB51+AB42</f>
        <v>512</v>
      </c>
      <c r="AC58" s="16">
        <f t="shared" si="120"/>
        <v>154</v>
      </c>
      <c r="AD58" s="16">
        <f t="shared" si="120"/>
        <v>154</v>
      </c>
      <c r="AE58" s="16">
        <f t="shared" si="120"/>
        <v>155</v>
      </c>
      <c r="AF58" s="16">
        <f t="shared" si="120"/>
        <v>156</v>
      </c>
      <c r="AG58" s="122">
        <f>+AG51+AG42</f>
        <v>619</v>
      </c>
      <c r="AH58" s="16">
        <f t="shared" si="121"/>
        <v>183</v>
      </c>
      <c r="AI58" s="16">
        <f t="shared" si="121"/>
        <v>183</v>
      </c>
      <c r="AJ58" s="16">
        <f t="shared" si="121"/>
        <v>183</v>
      </c>
      <c r="AK58" s="16">
        <f t="shared" si="121"/>
        <v>183</v>
      </c>
      <c r="AL58" s="122">
        <f>+AL51+AL42</f>
        <v>732</v>
      </c>
      <c r="AM58" s="16">
        <f t="shared" si="122"/>
        <v>124</v>
      </c>
      <c r="AN58" s="16">
        <f t="shared" si="122"/>
        <v>124</v>
      </c>
      <c r="AO58" s="16">
        <f t="shared" si="122"/>
        <v>124</v>
      </c>
      <c r="AP58" s="16">
        <f t="shared" si="122"/>
        <v>124</v>
      </c>
      <c r="AQ58" s="122">
        <f>+AQ51+AQ42</f>
        <v>496</v>
      </c>
      <c r="AR58" s="16">
        <f t="shared" si="123"/>
        <v>124</v>
      </c>
      <c r="AS58" s="16">
        <f t="shared" si="123"/>
        <v>124</v>
      </c>
      <c r="AT58" s="16">
        <f t="shared" si="123"/>
        <v>124</v>
      </c>
      <c r="AU58" s="16">
        <f t="shared" si="123"/>
        <v>124</v>
      </c>
      <c r="AV58" s="122">
        <f>+AV51+AV42</f>
        <v>496</v>
      </c>
    </row>
    <row r="59" spans="2:48" outlineLevel="1" x14ac:dyDescent="0.3">
      <c r="B59" s="605" t="s">
        <v>182</v>
      </c>
      <c r="C59" s="606"/>
      <c r="D59" s="115">
        <f>+D55+D54+D45</f>
        <v>4612.5</v>
      </c>
      <c r="E59" s="115">
        <f>+E55+E54+E45</f>
        <v>4314.1000000000004</v>
      </c>
      <c r="F59" s="115">
        <f>+F55+F54+F45</f>
        <v>4681.0999999999995</v>
      </c>
      <c r="G59" s="115">
        <f>+G55+G54+G45</f>
        <v>4651.3999999999996</v>
      </c>
      <c r="H59" s="132">
        <f>SUM(D59:G59)</f>
        <v>18259.099999999999</v>
      </c>
      <c r="I59" s="115">
        <f>+I55+I54+I45</f>
        <v>5010.8999999999996</v>
      </c>
      <c r="J59" s="115">
        <f>+J55+J54+J45</f>
        <v>4330</v>
      </c>
      <c r="K59" s="115">
        <f>+K55+K54+K45</f>
        <v>2805.5</v>
      </c>
      <c r="L59" s="72">
        <f>+L55+L54+L45</f>
        <v>4213.9000000000005</v>
      </c>
      <c r="M59" s="97"/>
      <c r="N59" s="72">
        <f>+N55+N54+N45</f>
        <v>4703.2</v>
      </c>
      <c r="O59" s="72">
        <f>+O55+O54+O45</f>
        <v>4664.5999999999995</v>
      </c>
      <c r="P59" s="72">
        <f>+P55+P54+P45</f>
        <v>5400.3</v>
      </c>
      <c r="Q59" s="115">
        <f>+Q55+Q54+Q45</f>
        <v>5763</v>
      </c>
      <c r="R59" s="97"/>
      <c r="S59" s="72">
        <f>+S55+S54+S45</f>
        <v>5732.3</v>
      </c>
      <c r="T59" s="72">
        <f>+T55+T54+T45</f>
        <v>5445.7</v>
      </c>
      <c r="U59" s="72">
        <f>+U55+U54+U45</f>
        <v>6058.4</v>
      </c>
      <c r="V59" s="72">
        <f>+V55+V54+V45</f>
        <v>6134.4</v>
      </c>
      <c r="W59" s="97">
        <f>SUM(S59:V59)</f>
        <v>23370.800000000003</v>
      </c>
      <c r="X59" s="115">
        <f>+X55+X54+X45</f>
        <v>6551.3</v>
      </c>
      <c r="Y59" s="115">
        <f>+Y55+Y54+Y45</f>
        <v>6380.5999999999995</v>
      </c>
      <c r="Z59" s="72">
        <f>+Z55+Z54+Z45</f>
        <v>6716.2838499388308</v>
      </c>
      <c r="AA59" s="72">
        <f>+AA55+AA54+AA45</f>
        <v>6542.2689434140893</v>
      </c>
      <c r="AB59" s="97">
        <f>SUM(X59:AA59)</f>
        <v>26190.452793352921</v>
      </c>
      <c r="AC59" s="72">
        <f>+AC55+AC54+AC45</f>
        <v>7095.2585933044629</v>
      </c>
      <c r="AD59" s="72">
        <f>+AD55+AD54+AD45</f>
        <v>6917.9827140227062</v>
      </c>
      <c r="AE59" s="72">
        <f>+AE55+AE54+AE45</f>
        <v>7273.1044226314061</v>
      </c>
      <c r="AF59" s="72">
        <f>+AF55+AF54+AF45</f>
        <v>7075.8862672171008</v>
      </c>
      <c r="AG59" s="97">
        <f>SUM(AC59:AF59)</f>
        <v>28362.231997175677</v>
      </c>
      <c r="AH59" s="72">
        <f>+AH55+AH54+AH45</f>
        <v>7819.4493193609005</v>
      </c>
      <c r="AI59" s="72">
        <f>+AI55+AI54+AI45</f>
        <v>7632.2923996765448</v>
      </c>
      <c r="AJ59" s="72">
        <f>+AJ55+AJ54+AJ45</f>
        <v>8030.7895353170379</v>
      </c>
      <c r="AK59" s="72">
        <f>+AK55+AK54+AK45</f>
        <v>7822.3452563343271</v>
      </c>
      <c r="AL59" s="97">
        <f>SUM(AH59:AK59)</f>
        <v>31304.87651068881</v>
      </c>
      <c r="AM59" s="72">
        <f>+AM55+AM54+AM45</f>
        <v>8486.4389505102627</v>
      </c>
      <c r="AN59" s="72">
        <f>+AN55+AN54+AN45</f>
        <v>8279.9724165721345</v>
      </c>
      <c r="AO59" s="72">
        <f>+AO55+AO54+AO45</f>
        <v>8709.7626391976319</v>
      </c>
      <c r="AP59" s="72">
        <f>+AP55+AP54+AP45</f>
        <v>8480.7273317048093</v>
      </c>
      <c r="AQ59" s="97">
        <f>SUM(AM59:AP59)</f>
        <v>33956.90133798484</v>
      </c>
      <c r="AR59" s="72">
        <f>+AR55+AR54+AR45</f>
        <v>9021.6392702315661</v>
      </c>
      <c r="AS59" s="72">
        <f>+AS55+AS54+AS45</f>
        <v>8800.6260488278895</v>
      </c>
      <c r="AT59" s="72">
        <f>+AT55+AT54+AT45</f>
        <v>9257.3173597984096</v>
      </c>
      <c r="AU59" s="72">
        <f>+AU55+AU54+AU45</f>
        <v>9010.2225301755661</v>
      </c>
      <c r="AV59" s="97">
        <f>SUM(AR59:AU59)</f>
        <v>36089.805209033431</v>
      </c>
    </row>
    <row r="60" spans="2:48" outlineLevel="1" x14ac:dyDescent="0.3">
      <c r="B60" s="607" t="s">
        <v>100</v>
      </c>
      <c r="C60" s="608"/>
      <c r="D60" s="105">
        <v>1351.3</v>
      </c>
      <c r="E60" s="105">
        <v>1220.5</v>
      </c>
      <c r="F60" s="105">
        <v>1324</v>
      </c>
      <c r="G60" s="105">
        <v>1278.9000000000001</v>
      </c>
      <c r="H60" s="129"/>
      <c r="I60" s="105">
        <v>1388.4</v>
      </c>
      <c r="J60" s="105">
        <v>1248.2</v>
      </c>
      <c r="K60" s="105">
        <v>805.6</v>
      </c>
      <c r="L60" s="48">
        <v>1158.3</v>
      </c>
      <c r="M60" s="76"/>
      <c r="N60" s="48">
        <v>1276.2</v>
      </c>
      <c r="O60" s="48">
        <v>1227.5999999999999</v>
      </c>
      <c r="P60" s="48">
        <v>1416.2</v>
      </c>
      <c r="Q60" s="105">
        <v>1580.3</v>
      </c>
      <c r="R60" s="76"/>
      <c r="S60" s="48">
        <v>1629.4</v>
      </c>
      <c r="T60" s="48">
        <v>1564</v>
      </c>
      <c r="U60" s="48">
        <v>1713.2</v>
      </c>
      <c r="V60" s="48">
        <v>1770.6</v>
      </c>
      <c r="W60" s="76">
        <f>SUM(S60:V60)</f>
        <v>6677.2000000000007</v>
      </c>
      <c r="X60" s="105">
        <v>1917.6</v>
      </c>
      <c r="Y60" s="105">
        <v>1821.7</v>
      </c>
      <c r="Z60" s="48">
        <f t="shared" ref="Z60:AA60" si="124">Z61*Z59</f>
        <v>1918.2293784881085</v>
      </c>
      <c r="AA60" s="48">
        <f t="shared" si="124"/>
        <v>1806.546721542122</v>
      </c>
      <c r="AB60" s="76">
        <f>SUM(X60:AA60)</f>
        <v>7464.0761000302309</v>
      </c>
      <c r="AC60" s="48">
        <f t="shared" ref="AC60:AF60" si="125">AC61*AC59</f>
        <v>2005.8669580537423</v>
      </c>
      <c r="AD60" s="48">
        <f t="shared" si="125"/>
        <v>1940.5361106494213</v>
      </c>
      <c r="AE60" s="48">
        <f t="shared" si="125"/>
        <v>2040.8966794286109</v>
      </c>
      <c r="AF60" s="48">
        <f t="shared" si="125"/>
        <v>2024.6557826259384</v>
      </c>
      <c r="AG60" s="76">
        <f>SUM(AC60:AF60)</f>
        <v>8011.9555307577129</v>
      </c>
      <c r="AH60" s="48">
        <f t="shared" ref="AH60:AK60" si="126">AH61*AH59</f>
        <v>2202.7800395679092</v>
      </c>
      <c r="AI60" s="48">
        <f t="shared" si="126"/>
        <v>2133.2720175498393</v>
      </c>
      <c r="AJ60" s="48">
        <f t="shared" si="126"/>
        <v>2245.4789558793764</v>
      </c>
      <c r="AK60" s="48">
        <f t="shared" si="126"/>
        <v>2230.4211706562919</v>
      </c>
      <c r="AL60" s="76">
        <f>SUM(AH60:AK60)</f>
        <v>8811.9521836534168</v>
      </c>
      <c r="AM60" s="48">
        <f t="shared" ref="AM60:AP60" si="127">AM61*AM59</f>
        <v>2390.6745300989455</v>
      </c>
      <c r="AN60" s="48">
        <f t="shared" si="127"/>
        <v>2314.3025106200635</v>
      </c>
      <c r="AO60" s="48">
        <f t="shared" si="127"/>
        <v>2435.3257710234102</v>
      </c>
      <c r="AP60" s="48">
        <f t="shared" si="127"/>
        <v>2418.1486706791047</v>
      </c>
      <c r="AQ60" s="76">
        <f>SUM(AM60:AP60)</f>
        <v>9558.4514824215239</v>
      </c>
      <c r="AR60" s="48">
        <f t="shared" ref="AR60:AU60" si="128">AR61*AR59</f>
        <v>2541.4432777821658</v>
      </c>
      <c r="AS60" s="48">
        <f t="shared" si="128"/>
        <v>2459.8283587353631</v>
      </c>
      <c r="AT60" s="48">
        <f t="shared" si="128"/>
        <v>2588.426857397842</v>
      </c>
      <c r="AU60" s="48">
        <f t="shared" si="128"/>
        <v>2569.1260645078532</v>
      </c>
      <c r="AV60" s="76">
        <f>SUM(AR60:AU60)</f>
        <v>10158.824558423225</v>
      </c>
    </row>
    <row r="61" spans="2:48" s="184" customFormat="1" outlineLevel="1" x14ac:dyDescent="0.3">
      <c r="B61" s="181" t="s">
        <v>151</v>
      </c>
      <c r="C61" s="185"/>
      <c r="D61" s="167">
        <f>D60/D59</f>
        <v>0.29296476964769647</v>
      </c>
      <c r="E61" s="167">
        <f t="shared" ref="E61:X61" si="129">E60/E59</f>
        <v>0.28290952921814511</v>
      </c>
      <c r="F61" s="167">
        <f t="shared" si="129"/>
        <v>0.28283950353549381</v>
      </c>
      <c r="G61" s="167">
        <f t="shared" si="129"/>
        <v>0.27494947757664362</v>
      </c>
      <c r="H61" s="186"/>
      <c r="I61" s="167">
        <f t="shared" si="129"/>
        <v>0.27707597437586068</v>
      </c>
      <c r="J61" s="167">
        <f t="shared" si="129"/>
        <v>0.28826789838337186</v>
      </c>
      <c r="K61" s="167">
        <f t="shared" si="129"/>
        <v>0.28715024059882377</v>
      </c>
      <c r="L61" s="187">
        <f t="shared" si="129"/>
        <v>0.27487600560051256</v>
      </c>
      <c r="M61" s="188"/>
      <c r="N61" s="187">
        <f t="shared" si="129"/>
        <v>0.27134716788569485</v>
      </c>
      <c r="O61" s="167">
        <f t="shared" si="129"/>
        <v>0.26317369120610556</v>
      </c>
      <c r="P61" s="167">
        <f t="shared" si="129"/>
        <v>0.26224469010980872</v>
      </c>
      <c r="Q61" s="167">
        <f t="shared" si="129"/>
        <v>0.27421481867083114</v>
      </c>
      <c r="R61" s="188"/>
      <c r="S61" s="187">
        <f t="shared" si="129"/>
        <v>0.28424890532595992</v>
      </c>
      <c r="T61" s="167">
        <f t="shared" si="129"/>
        <v>0.28719907449914611</v>
      </c>
      <c r="U61" s="167">
        <f t="shared" si="129"/>
        <v>0.28278093225934242</v>
      </c>
      <c r="V61" s="167">
        <f t="shared" si="129"/>
        <v>0.28863458528951486</v>
      </c>
      <c r="W61" s="188">
        <f t="shared" si="129"/>
        <v>0.28570695055368239</v>
      </c>
      <c r="X61" s="167">
        <f t="shared" si="129"/>
        <v>0.29270526460397173</v>
      </c>
      <c r="Y61" s="167">
        <f>Y60/Y59</f>
        <v>0.28550606526032035</v>
      </c>
      <c r="Z61" s="189">
        <v>0.28560874158193583</v>
      </c>
      <c r="AA61" s="189">
        <f>V61-1%-0.25%</f>
        <v>0.27613458528951484</v>
      </c>
      <c r="AB61" s="188">
        <f t="shared" ref="AB61" si="130">AB60/AB59</f>
        <v>0.28499225114292781</v>
      </c>
      <c r="AC61" s="189">
        <f>X61-1%</f>
        <v>0.28270526460397172</v>
      </c>
      <c r="AD61" s="189">
        <f>Y61-0.5%</f>
        <v>0.28050606526032035</v>
      </c>
      <c r="AE61" s="189">
        <f>Z61-0.5%</f>
        <v>0.28060874158193583</v>
      </c>
      <c r="AF61" s="189">
        <f>AA61+1%</f>
        <v>0.28613458528951485</v>
      </c>
      <c r="AG61" s="188">
        <f t="shared" ref="AG61" si="131">AG60/AG59</f>
        <v>0.28248677789376897</v>
      </c>
      <c r="AH61" s="189">
        <f t="shared" ref="AH61:AK61" si="132">AC61-0.1%</f>
        <v>0.28170526460397172</v>
      </c>
      <c r="AI61" s="189">
        <f t="shared" si="132"/>
        <v>0.27950606526032035</v>
      </c>
      <c r="AJ61" s="189">
        <f t="shared" si="132"/>
        <v>0.27960874158193583</v>
      </c>
      <c r="AK61" s="189">
        <f t="shared" si="132"/>
        <v>0.28513458528951485</v>
      </c>
      <c r="AL61" s="188">
        <f t="shared" ref="AL61" si="133">AL60/AL59</f>
        <v>0.2814881630548724</v>
      </c>
      <c r="AM61" s="189">
        <f>AH61</f>
        <v>0.28170526460397172</v>
      </c>
      <c r="AN61" s="189">
        <f t="shared" ref="AN61:AP61" si="134">AI61</f>
        <v>0.27950606526032035</v>
      </c>
      <c r="AO61" s="189">
        <f t="shared" si="134"/>
        <v>0.27960874158193583</v>
      </c>
      <c r="AP61" s="189">
        <f t="shared" si="134"/>
        <v>0.28513458528951485</v>
      </c>
      <c r="AQ61" s="188">
        <f t="shared" ref="AQ61" si="135">AQ60/AQ59</f>
        <v>0.28148774198455079</v>
      </c>
      <c r="AR61" s="189">
        <f>AM61</f>
        <v>0.28170526460397172</v>
      </c>
      <c r="AS61" s="189">
        <f t="shared" ref="AS61:AU61" si="136">AN61</f>
        <v>0.27950606526032035</v>
      </c>
      <c r="AT61" s="189">
        <f t="shared" si="136"/>
        <v>0.27960874158193583</v>
      </c>
      <c r="AU61" s="189">
        <f t="shared" si="136"/>
        <v>0.28513458528951485</v>
      </c>
      <c r="AV61" s="188">
        <f t="shared" ref="AV61" si="137">AV60/AV59</f>
        <v>0.28148737571685278</v>
      </c>
    </row>
    <row r="62" spans="2:48" outlineLevel="1" x14ac:dyDescent="0.3">
      <c r="B62" s="180" t="s">
        <v>32</v>
      </c>
      <c r="C62" s="18"/>
      <c r="D62" s="48">
        <v>1983.1</v>
      </c>
      <c r="E62" s="48">
        <v>1935.7</v>
      </c>
      <c r="F62" s="48">
        <v>2034</v>
      </c>
      <c r="G62" s="48">
        <v>2112.1</v>
      </c>
      <c r="H62" s="49"/>
      <c r="I62" s="48">
        <v>2214.4</v>
      </c>
      <c r="J62" s="48">
        <v>2158.6</v>
      </c>
      <c r="K62" s="48">
        <v>2054.4</v>
      </c>
      <c r="L62" s="48">
        <v>2060.6999999999998</v>
      </c>
      <c r="M62" s="165"/>
      <c r="N62" s="48">
        <v>2238.8000000000002</v>
      </c>
      <c r="O62" s="48">
        <v>2203.1</v>
      </c>
      <c r="P62" s="48">
        <v>2346.8000000000002</v>
      </c>
      <c r="Q62" s="105">
        <v>2570.8000000000002</v>
      </c>
      <c r="R62" s="49"/>
      <c r="S62" s="48">
        <v>2702.4</v>
      </c>
      <c r="T62" s="48">
        <v>2625.4</v>
      </c>
      <c r="U62" s="48">
        <v>2670</v>
      </c>
      <c r="V62" s="48">
        <v>2862.2</v>
      </c>
      <c r="W62" s="49">
        <f>SUM(S62:V62)</f>
        <v>10860</v>
      </c>
      <c r="X62" s="105">
        <v>3031.4</v>
      </c>
      <c r="Y62" s="105">
        <v>2951.6</v>
      </c>
      <c r="Z62" s="48">
        <f>Z63*Z45</f>
        <v>3028.8594319116182</v>
      </c>
      <c r="AA62" s="48">
        <f>AA63*AA45</f>
        <v>3048.1483748149612</v>
      </c>
      <c r="AB62" s="49">
        <f>SUM(X62:AA62)</f>
        <v>12060.007806726579</v>
      </c>
      <c r="AC62" s="48">
        <f>AC63*AC45</f>
        <v>3219.5182116647129</v>
      </c>
      <c r="AD62" s="48">
        <f>AD63*AD45</f>
        <v>3191.7862693733923</v>
      </c>
      <c r="AE62" s="48">
        <f>AE63*AE45</f>
        <v>3269.4861180328439</v>
      </c>
      <c r="AF62" s="48">
        <f>AF63*AF45</f>
        <v>3355.5776414725406</v>
      </c>
      <c r="AG62" s="49">
        <f>SUM(AC62:AF62)</f>
        <v>13036.36824054349</v>
      </c>
      <c r="AH62" s="48">
        <f>AH63*AH45</f>
        <v>3534.7957410965714</v>
      </c>
      <c r="AI62" s="48">
        <f>AI63*AI45</f>
        <v>3508.2770836933555</v>
      </c>
      <c r="AJ62" s="48">
        <f>AJ63*AJ45</f>
        <v>3597.1133223853067</v>
      </c>
      <c r="AK62" s="48">
        <f>AK63*AK45</f>
        <v>3695.8810501767493</v>
      </c>
      <c r="AL62" s="49">
        <f>SUM(AH62:AK62)</f>
        <v>14336.067197351984</v>
      </c>
      <c r="AM62" s="48">
        <f>AM63*AM45</f>
        <v>3830.8654129348952</v>
      </c>
      <c r="AN62" s="48">
        <f>AN63*AN45</f>
        <v>3804.5615207039268</v>
      </c>
      <c r="AO62" s="48">
        <f>AO63*AO45</f>
        <v>3903.3589002446811</v>
      </c>
      <c r="AP62" s="48">
        <f>AP63*AP45</f>
        <v>4013.0224313923118</v>
      </c>
      <c r="AQ62" s="49">
        <f>SUM(AM62:AP62)</f>
        <v>15551.808265275815</v>
      </c>
      <c r="AR62" s="48">
        <f>AR63*AR45</f>
        <v>4081.0273524850277</v>
      </c>
      <c r="AS62" s="48">
        <f>AS63*AS45</f>
        <v>4051.8647532868868</v>
      </c>
      <c r="AT62" s="48">
        <f>AT63*AT45</f>
        <v>4155.9332116732894</v>
      </c>
      <c r="AU62" s="48">
        <f>AU63*AU45</f>
        <v>4271.5292400862818</v>
      </c>
      <c r="AV62" s="49">
        <f>SUM(AR62:AU62)</f>
        <v>16560.354557531486</v>
      </c>
    </row>
    <row r="63" spans="2:48" s="184" customFormat="1" outlineLevel="1" x14ac:dyDescent="0.3">
      <c r="B63" s="181" t="s">
        <v>150</v>
      </c>
      <c r="C63" s="190"/>
      <c r="D63" s="187">
        <f>D62/D45</f>
        <v>0.48460485802257952</v>
      </c>
      <c r="E63" s="187">
        <f>E62/E45</f>
        <v>0.50283146300914383</v>
      </c>
      <c r="F63" s="187">
        <f>F62/F45</f>
        <v>0.48634689876141746</v>
      </c>
      <c r="G63" s="187">
        <f>G62/G45</f>
        <v>0.5072042649248355</v>
      </c>
      <c r="H63" s="188"/>
      <c r="I63" s="187">
        <f>I62/I45</f>
        <v>0.49528069783046302</v>
      </c>
      <c r="J63" s="187">
        <f>J62/J45</f>
        <v>0.55870172895744896</v>
      </c>
      <c r="K63" s="187">
        <f>K62/K45</f>
        <v>0.79971972439565575</v>
      </c>
      <c r="L63" s="187">
        <f>L62/L45</f>
        <v>0.53175238046086748</v>
      </c>
      <c r="M63" s="188"/>
      <c r="N63" s="187">
        <f>N62/N45</f>
        <v>0.52249813293502612</v>
      </c>
      <c r="O63" s="187">
        <f>O62/O45</f>
        <v>0.51614187986130633</v>
      </c>
      <c r="P63" s="187">
        <f>P62/P45</f>
        <v>0.47604365288652684</v>
      </c>
      <c r="Q63" s="167">
        <f>Q62/Q45</f>
        <v>0.48927545058333177</v>
      </c>
      <c r="R63" s="188"/>
      <c r="S63" s="187">
        <f t="shared" ref="S63:Y63" si="138">S62/S45</f>
        <v>0.51828695268598601</v>
      </c>
      <c r="T63" s="187">
        <f t="shared" si="138"/>
        <v>0.53185584344549564</v>
      </c>
      <c r="U63" s="187">
        <f t="shared" si="138"/>
        <v>0.48429224406878041</v>
      </c>
      <c r="V63" s="187">
        <f t="shared" si="138"/>
        <v>0.51566525538239794</v>
      </c>
      <c r="W63" s="188">
        <f t="shared" si="138"/>
        <v>0.51192367340589506</v>
      </c>
      <c r="X63" s="167">
        <f t="shared" si="138"/>
        <v>0.51636970667393456</v>
      </c>
      <c r="Y63" s="167">
        <f t="shared" si="138"/>
        <v>0.51397426297734516</v>
      </c>
      <c r="Z63" s="189">
        <f>U63+1%</f>
        <v>0.49429224406878042</v>
      </c>
      <c r="AA63" s="189">
        <f>V63</f>
        <v>0.51566525538239794</v>
      </c>
      <c r="AB63" s="188">
        <f>AB62/AB45</f>
        <v>0.50989231178191075</v>
      </c>
      <c r="AC63" s="189">
        <f>X63-1%</f>
        <v>0.50636970667393455</v>
      </c>
      <c r="AD63" s="189">
        <f>Y63-0.1%</f>
        <v>0.51297426297734516</v>
      </c>
      <c r="AE63" s="189">
        <f>Z63-0.1%</f>
        <v>0.49329224406878042</v>
      </c>
      <c r="AF63" s="189">
        <f>AA63+1%</f>
        <v>0.52566525538239794</v>
      </c>
      <c r="AG63" s="188">
        <f>AG62/AG45</f>
        <v>0.50940161789650418</v>
      </c>
      <c r="AH63" s="189">
        <f t="shared" ref="AH63:AK63" si="139">AC63-0.1%</f>
        <v>0.50536970667393455</v>
      </c>
      <c r="AI63" s="189">
        <f t="shared" si="139"/>
        <v>0.51197426297734516</v>
      </c>
      <c r="AJ63" s="189">
        <f t="shared" si="139"/>
        <v>0.49229224406878042</v>
      </c>
      <c r="AK63" s="189">
        <f t="shared" si="139"/>
        <v>0.52466525538239794</v>
      </c>
      <c r="AL63" s="188">
        <f>AL62/AL45</f>
        <v>0.5084062663602037</v>
      </c>
      <c r="AM63" s="189">
        <f>AH63</f>
        <v>0.50536970667393455</v>
      </c>
      <c r="AN63" s="189">
        <f t="shared" ref="AN63:AP63" si="140">AI63</f>
        <v>0.51197426297734516</v>
      </c>
      <c r="AO63" s="189">
        <f t="shared" si="140"/>
        <v>0.49229224406878042</v>
      </c>
      <c r="AP63" s="189">
        <f t="shared" si="140"/>
        <v>0.52466525538239794</v>
      </c>
      <c r="AQ63" s="188">
        <f>AQ62/AQ45</f>
        <v>0.50840919632624393</v>
      </c>
      <c r="AR63" s="189">
        <f>AM63</f>
        <v>0.50536970667393455</v>
      </c>
      <c r="AS63" s="189">
        <f t="shared" ref="AS63:AU63" si="141">AN63</f>
        <v>0.51197426297734516</v>
      </c>
      <c r="AT63" s="189">
        <f t="shared" si="141"/>
        <v>0.49229224406878042</v>
      </c>
      <c r="AU63" s="189">
        <f t="shared" si="141"/>
        <v>0.52466525538239794</v>
      </c>
      <c r="AV63" s="188">
        <f>AV62/AV45</f>
        <v>0.50840790871550523</v>
      </c>
    </row>
    <row r="64" spans="2:48" outlineLevel="1" x14ac:dyDescent="0.3">
      <c r="B64" s="180" t="s">
        <v>33</v>
      </c>
      <c r="C64" s="18"/>
      <c r="D64" s="48">
        <v>44.5</v>
      </c>
      <c r="E64" s="48">
        <v>39.4</v>
      </c>
      <c r="F64" s="48">
        <v>41.7</v>
      </c>
      <c r="G64" s="48">
        <v>34.200000000000003</v>
      </c>
      <c r="H64" s="49"/>
      <c r="I64" s="48">
        <v>42.5</v>
      </c>
      <c r="J64" s="48">
        <v>41.8</v>
      </c>
      <c r="K64" s="48">
        <v>40.700000000000003</v>
      </c>
      <c r="L64" s="48">
        <v>38</v>
      </c>
      <c r="M64" s="49"/>
      <c r="N64" s="48">
        <v>42.8</v>
      </c>
      <c r="O64" s="48">
        <v>41.9</v>
      </c>
      <c r="P64" s="48">
        <v>39.700000000000003</v>
      </c>
      <c r="Q64" s="105">
        <v>47.3</v>
      </c>
      <c r="R64" s="49"/>
      <c r="S64" s="48">
        <v>48.2</v>
      </c>
      <c r="T64" s="48">
        <v>47.1</v>
      </c>
      <c r="U64" s="48">
        <v>55.4</v>
      </c>
      <c r="V64" s="48">
        <v>51.4</v>
      </c>
      <c r="W64" s="49">
        <f>SUM(S64:V64)</f>
        <v>202.10000000000002</v>
      </c>
      <c r="X64" s="105">
        <v>65.599999999999994</v>
      </c>
      <c r="Y64" s="105">
        <v>63.4</v>
      </c>
      <c r="Z64" s="48">
        <f t="shared" ref="Z64:AA64" si="142">Z59*Z65</f>
        <v>61.415906062097456</v>
      </c>
      <c r="AA64" s="48">
        <f t="shared" si="142"/>
        <v>54.817524728006688</v>
      </c>
      <c r="AB64" s="49">
        <f>SUM(X64:AA64)</f>
        <v>245.23343079010414</v>
      </c>
      <c r="AC64" s="48">
        <f>AC59*AC65</f>
        <v>71.046809598212974</v>
      </c>
      <c r="AD64" s="48">
        <f>AD59*AD65</f>
        <v>68.739633274149696</v>
      </c>
      <c r="AE64" s="48">
        <f t="shared" ref="AE64:AF64" si="143">AE59*AE65</f>
        <v>66.507656314172038</v>
      </c>
      <c r="AF64" s="48">
        <f t="shared" si="143"/>
        <v>59.288692314645118</v>
      </c>
      <c r="AG64" s="49">
        <f>SUM(AC64:AF64)</f>
        <v>265.58279150117983</v>
      </c>
      <c r="AH64" s="48">
        <f>AH59*AH65</f>
        <v>78.298333971894891</v>
      </c>
      <c r="AI64" s="48">
        <f>AI59*AI65</f>
        <v>75.837278334246463</v>
      </c>
      <c r="AJ64" s="48">
        <f t="shared" ref="AJ64:AK64" si="144">AJ59*AJ65</f>
        <v>73.436177911092685</v>
      </c>
      <c r="AK64" s="48">
        <f t="shared" si="144"/>
        <v>65.543255440725162</v>
      </c>
      <c r="AL64" s="49">
        <f>SUM(AH64:AK64)</f>
        <v>293.11504565795917</v>
      </c>
      <c r="AM64" s="48">
        <f>AM59*AM65</f>
        <v>84.977087777001984</v>
      </c>
      <c r="AN64" s="48">
        <f>AN59*AN65</f>
        <v>82.272866377875644</v>
      </c>
      <c r="AO64" s="48">
        <f t="shared" ref="AO64:AP64" si="145">AO59*AO65</f>
        <v>79.644931039804035</v>
      </c>
      <c r="AP64" s="48">
        <f t="shared" si="145"/>
        <v>71.05982408216407</v>
      </c>
      <c r="AQ64" s="49">
        <f>SUM(AM64:AP64)</f>
        <v>317.95470927684573</v>
      </c>
      <c r="AR64" s="48">
        <f>AR59*AR65</f>
        <v>90.336198331200009</v>
      </c>
      <c r="AS64" s="48">
        <f>AS59*AS65</f>
        <v>87.446273312178818</v>
      </c>
      <c r="AT64" s="48">
        <f t="shared" ref="AT64:AU64" si="146">AT59*AT65</f>
        <v>84.651951296189068</v>
      </c>
      <c r="AU64" s="48">
        <f t="shared" si="146"/>
        <v>75.496452473106444</v>
      </c>
      <c r="AV64" s="49">
        <f>SUM(AR64:AU64)</f>
        <v>337.93087541267431</v>
      </c>
    </row>
    <row r="65" spans="2:48" s="184" customFormat="1" outlineLevel="1" x14ac:dyDescent="0.3">
      <c r="B65" s="181" t="s">
        <v>152</v>
      </c>
      <c r="C65" s="190"/>
      <c r="D65" s="187">
        <f>D64/D59</f>
        <v>9.6476964769647705E-3</v>
      </c>
      <c r="E65" s="187">
        <f t="shared" ref="E65:Y65" si="147">E64/E59</f>
        <v>9.1328434667717479E-3</v>
      </c>
      <c r="F65" s="187">
        <f t="shared" si="147"/>
        <v>8.908162611352034E-3</v>
      </c>
      <c r="G65" s="187">
        <f t="shared" si="147"/>
        <v>7.352625016124179E-3</v>
      </c>
      <c r="H65" s="188"/>
      <c r="I65" s="187">
        <f t="shared" si="147"/>
        <v>8.4815103075295863E-3</v>
      </c>
      <c r="J65" s="187">
        <f t="shared" si="147"/>
        <v>9.6535796766743648E-3</v>
      </c>
      <c r="K65" s="187">
        <f t="shared" si="147"/>
        <v>1.4507217964712174E-2</v>
      </c>
      <c r="L65" s="187">
        <f t="shared" si="147"/>
        <v>9.017774508175324E-3</v>
      </c>
      <c r="M65" s="188"/>
      <c r="N65" s="187">
        <f t="shared" si="147"/>
        <v>9.1001871066507915E-3</v>
      </c>
      <c r="O65" s="187">
        <f t="shared" si="147"/>
        <v>8.982549414740814E-3</v>
      </c>
      <c r="P65" s="187">
        <f t="shared" si="147"/>
        <v>7.3514434383275002E-3</v>
      </c>
      <c r="Q65" s="167">
        <f t="shared" si="147"/>
        <v>8.2075307999305916E-3</v>
      </c>
      <c r="R65" s="188"/>
      <c r="S65" s="187">
        <f t="shared" si="147"/>
        <v>8.4084922282504412E-3</v>
      </c>
      <c r="T65" s="187">
        <f t="shared" si="147"/>
        <v>8.6490258368988378E-3</v>
      </c>
      <c r="U65" s="187">
        <f t="shared" si="147"/>
        <v>9.1443285355869534E-3</v>
      </c>
      <c r="V65" s="187">
        <f t="shared" si="147"/>
        <v>8.3789775691184148E-3</v>
      </c>
      <c r="W65" s="188">
        <f t="shared" si="147"/>
        <v>8.6475430879559105E-3</v>
      </c>
      <c r="X65" s="167">
        <f t="shared" si="147"/>
        <v>1.0013279807061192E-2</v>
      </c>
      <c r="Y65" s="167">
        <f t="shared" si="147"/>
        <v>9.9363696204118734E-3</v>
      </c>
      <c r="Z65" s="189">
        <f t="shared" ref="Z65:AA65" si="148">U65</f>
        <v>9.1443285355869534E-3</v>
      </c>
      <c r="AA65" s="189">
        <f t="shared" si="148"/>
        <v>8.3789775691184148E-3</v>
      </c>
      <c r="AB65" s="188">
        <f t="shared" ref="AB65" si="149">AB64/AB59</f>
        <v>9.3634666313346E-3</v>
      </c>
      <c r="AC65" s="189">
        <f>X65</f>
        <v>1.0013279807061192E-2</v>
      </c>
      <c r="AD65" s="189">
        <f t="shared" ref="AD65:AF65" si="150">Y65</f>
        <v>9.9363696204118734E-3</v>
      </c>
      <c r="AE65" s="189">
        <f t="shared" si="150"/>
        <v>9.1443285355869534E-3</v>
      </c>
      <c r="AF65" s="189">
        <f t="shared" si="150"/>
        <v>8.3789775691184148E-3</v>
      </c>
      <c r="AG65" s="188">
        <f t="shared" ref="AG65" si="151">AG64/AG59</f>
        <v>9.3639594911862599E-3</v>
      </c>
      <c r="AH65" s="189">
        <f>AC65</f>
        <v>1.0013279807061192E-2</v>
      </c>
      <c r="AI65" s="189">
        <f t="shared" ref="AI65:AK65" si="152">AD65</f>
        <v>9.9363696204118734E-3</v>
      </c>
      <c r="AJ65" s="189">
        <f t="shared" si="152"/>
        <v>9.1443285355869534E-3</v>
      </c>
      <c r="AK65" s="189">
        <f t="shared" si="152"/>
        <v>8.3789775691184148E-3</v>
      </c>
      <c r="AL65" s="188">
        <f t="shared" ref="AL65" si="153">AL64/AL59</f>
        <v>9.3632391604508425E-3</v>
      </c>
      <c r="AM65" s="189">
        <f>AH65</f>
        <v>1.0013279807061192E-2</v>
      </c>
      <c r="AN65" s="189">
        <f t="shared" ref="AN65:AP65" si="154">AI65</f>
        <v>9.9363696204118734E-3</v>
      </c>
      <c r="AO65" s="189">
        <f t="shared" si="154"/>
        <v>9.1443285355869534E-3</v>
      </c>
      <c r="AP65" s="189">
        <f t="shared" si="154"/>
        <v>8.3789775691184148E-3</v>
      </c>
      <c r="AQ65" s="188">
        <f t="shared" ref="AQ65" si="155">AQ64/AQ59</f>
        <v>9.3634783136462302E-3</v>
      </c>
      <c r="AR65" s="189">
        <f>AM65</f>
        <v>1.0013279807061192E-2</v>
      </c>
      <c r="AS65" s="189">
        <f t="shared" ref="AS65:AU65" si="156">AN65</f>
        <v>9.9363696204118734E-3</v>
      </c>
      <c r="AT65" s="189">
        <f t="shared" si="156"/>
        <v>9.1443285355869534E-3</v>
      </c>
      <c r="AU65" s="189">
        <f t="shared" si="156"/>
        <v>8.3789775691184148E-3</v>
      </c>
      <c r="AV65" s="188">
        <f t="shared" ref="AV65" si="157">AV64/AV59</f>
        <v>9.3636104006482365E-3</v>
      </c>
    </row>
    <row r="66" spans="2:48" outlineLevel="1" x14ac:dyDescent="0.3">
      <c r="B66" s="180" t="s">
        <v>34</v>
      </c>
      <c r="C66" s="18"/>
      <c r="D66" s="358">
        <v>166.9</v>
      </c>
      <c r="E66" s="358">
        <v>173</v>
      </c>
      <c r="F66" s="358">
        <v>175.6</v>
      </c>
      <c r="G66" s="358">
        <v>180.6</v>
      </c>
      <c r="H66" s="130"/>
      <c r="I66" s="358">
        <v>189.2</v>
      </c>
      <c r="J66" s="358">
        <v>191.5</v>
      </c>
      <c r="K66" s="358">
        <v>191.3</v>
      </c>
      <c r="L66" s="358">
        <v>190.1</v>
      </c>
      <c r="M66" s="359"/>
      <c r="N66" s="358">
        <v>188.9</v>
      </c>
      <c r="O66" s="358">
        <v>186</v>
      </c>
      <c r="P66" s="358">
        <v>188.9</v>
      </c>
      <c r="Q66" s="358">
        <v>189.9</v>
      </c>
      <c r="R66" s="170"/>
      <c r="S66" s="358">
        <v>200</v>
      </c>
      <c r="T66" s="358">
        <v>202</v>
      </c>
      <c r="U66" s="358">
        <v>201.2</v>
      </c>
      <c r="V66" s="358">
        <v>205.2</v>
      </c>
      <c r="W66" s="170">
        <f t="shared" ref="W66:W67" si="158">SUM(S66:V66)</f>
        <v>808.40000000000009</v>
      </c>
      <c r="X66" s="358">
        <v>216.9</v>
      </c>
      <c r="Y66" s="358">
        <v>226.3</v>
      </c>
      <c r="Z66" s="358">
        <f>(Y66/(Y66+Y99+Y114+Y127))*'CFS (Adjusted)'!Z7*0.95</f>
        <v>237.60416581154917</v>
      </c>
      <c r="AA66" s="358">
        <f>(Z66/(Z66+Z99+Z114+Z127))*'CFS (Adjusted)'!AA7*0.95</f>
        <v>244.34817887982251</v>
      </c>
      <c r="AB66" s="170">
        <f t="shared" ref="AB66:AB67" si="159">SUM(X66:AA66)</f>
        <v>925.1523446913717</v>
      </c>
      <c r="AC66" s="358">
        <f>(AA66/(AA66+AA99+AA114+AA127))*'CFS (Adjusted)'!AC7*0.95</f>
        <v>254.99903287712411</v>
      </c>
      <c r="AD66" s="358">
        <f>(AC66/(AC66+AC99+AC114+AC127))*'CFS (Adjusted)'!AD7*0.95</f>
        <v>266.62738596063303</v>
      </c>
      <c r="AE66" s="358">
        <f>(AD66/(AD66+AD99+AD114+AD127))*'CFS (Adjusted)'!AE7*0.95</f>
        <v>275.58809672236924</v>
      </c>
      <c r="AF66" s="358">
        <f>(AE66/(AE66+AE99+AE114+AE127))*'CFS (Adjusted)'!AF7*0.95</f>
        <v>283.47330182143872</v>
      </c>
      <c r="AG66" s="170">
        <f t="shared" ref="AG66:AG67" si="160">SUM(AC66:AF66)</f>
        <v>1080.6878173815651</v>
      </c>
      <c r="AH66" s="358">
        <f>(AF66/(AF66+AF99+AF114+AF127))*'CFS (Adjusted)'!AH7*0.95</f>
        <v>292.56479766018134</v>
      </c>
      <c r="AI66" s="358">
        <f>(AH66/(AH66+AH99+AH114+AH127))*'CFS (Adjusted)'!AI7*0.95</f>
        <v>300.22445629100071</v>
      </c>
      <c r="AJ66" s="358">
        <f>(AI66/(AI66+AI99+AI114+AI127))*'CFS (Adjusted)'!AJ7*0.95</f>
        <v>306.56691272680069</v>
      </c>
      <c r="AK66" s="358">
        <f>(AJ66/(AJ66+AJ99+AJ114+AJ127))*'CFS (Adjusted)'!AK7*0.95</f>
        <v>313.88530725373903</v>
      </c>
      <c r="AL66" s="170">
        <f t="shared" ref="AL66:AL67" si="161">SUM(AH66:AK66)</f>
        <v>1213.2414739317217</v>
      </c>
      <c r="AM66" s="358">
        <f>(AK66/(AK66+AK99+AK114+AK127))*'CFS (Adjusted)'!AM7*0.95</f>
        <v>321.43731673214654</v>
      </c>
      <c r="AN66" s="358">
        <f>(AM66/(AM66+AM99+AM114+AM127))*'CFS (Adjusted)'!AN7*0.95</f>
        <v>329.34468147280205</v>
      </c>
      <c r="AO66" s="358">
        <f>(AN66/(AN66+AN99+AN114+AN127))*'CFS (Adjusted)'!AO7*0.95</f>
        <v>336.23238396420464</v>
      </c>
      <c r="AP66" s="358">
        <f>(AO66/(AO66+AO99+AO114+AO127))*'CFS (Adjusted)'!AP7*0.95</f>
        <v>344.338990329875</v>
      </c>
      <c r="AQ66" s="170">
        <f t="shared" ref="AQ66:AQ67" si="162">SUM(AM66:AP66)</f>
        <v>1331.3533724990284</v>
      </c>
      <c r="AR66" s="358">
        <f>(AP66/(AP66+AP99+AP114+AP127))*'CFS (Adjusted)'!AR7*0.95</f>
        <v>352.31697507748333</v>
      </c>
      <c r="AS66" s="358">
        <f>(AR66/(AR66+AR99+AR114+AR127))*'CFS (Adjusted)'!AS7*0.95</f>
        <v>360.09100152945535</v>
      </c>
      <c r="AT66" s="358">
        <f>(AS66/(AS66+AS99+AS114+AS127))*'CFS (Adjusted)'!AT7*0.95</f>
        <v>366.91999761892902</v>
      </c>
      <c r="AU66" s="358">
        <f>(AT66/(AT66+AT99+AT114+AT127))*'CFS (Adjusted)'!AU7*0.95</f>
        <v>375.07758165688404</v>
      </c>
      <c r="AV66" s="170">
        <f t="shared" ref="AV66:AV67" si="163">SUM(AR66:AU66)</f>
        <v>1454.4055558827517</v>
      </c>
    </row>
    <row r="67" spans="2:48" outlineLevel="1" x14ac:dyDescent="0.3">
      <c r="B67" s="180" t="s">
        <v>35</v>
      </c>
      <c r="C67" s="18"/>
      <c r="D67" s="48">
        <v>75.099999999999994</v>
      </c>
      <c r="E67" s="48">
        <v>70.900000000000006</v>
      </c>
      <c r="F67" s="48">
        <v>72</v>
      </c>
      <c r="G67" s="48">
        <v>106</v>
      </c>
      <c r="H67" s="49"/>
      <c r="I67" s="48">
        <v>72.400000000000006</v>
      </c>
      <c r="J67" s="48">
        <v>68.2</v>
      </c>
      <c r="K67" s="48">
        <v>62.2</v>
      </c>
      <c r="L67" s="48">
        <v>65.2</v>
      </c>
      <c r="M67" s="165"/>
      <c r="N67" s="48">
        <v>70.8</v>
      </c>
      <c r="O67" s="48">
        <v>77.7</v>
      </c>
      <c r="P67" s="48">
        <v>73.2</v>
      </c>
      <c r="Q67" s="105">
        <v>78.400000000000006</v>
      </c>
      <c r="R67" s="49"/>
      <c r="S67" s="48">
        <v>76.7</v>
      </c>
      <c r="T67" s="48">
        <v>71.3</v>
      </c>
      <c r="U67" s="48">
        <v>76.5</v>
      </c>
      <c r="V67" s="48">
        <v>78.8</v>
      </c>
      <c r="W67" s="49">
        <f t="shared" si="158"/>
        <v>303.3</v>
      </c>
      <c r="X67" s="105">
        <v>102.3</v>
      </c>
      <c r="Y67" s="105">
        <v>91.2</v>
      </c>
      <c r="Z67" s="48">
        <f t="shared" ref="Z67:AA67" si="164">Z68*Z59</f>
        <v>101.59787232792389</v>
      </c>
      <c r="AA67" s="48">
        <f t="shared" si="164"/>
        <v>18.616628631363515</v>
      </c>
      <c r="AB67" s="49">
        <f t="shared" si="159"/>
        <v>313.71450095928742</v>
      </c>
      <c r="AC67" s="48">
        <f>AC68*AC59</f>
        <v>89.508258090470591</v>
      </c>
      <c r="AD67" s="48">
        <f>AD68*AD59</f>
        <v>112.71695209369925</v>
      </c>
      <c r="AE67" s="48">
        <f t="shared" ref="AE67:AF67" si="165">AE68*AE59</f>
        <v>102.74784630965401</v>
      </c>
      <c r="AF67" s="48">
        <f t="shared" si="165"/>
        <v>13.05919958967872</v>
      </c>
      <c r="AG67" s="49">
        <f t="shared" si="160"/>
        <v>318.03225608350255</v>
      </c>
      <c r="AH67" s="48">
        <f>AH68*AH59</f>
        <v>90.824635120801034</v>
      </c>
      <c r="AI67" s="48">
        <f>AI68*AI59</f>
        <v>116.72314072906576</v>
      </c>
      <c r="AJ67" s="48">
        <f t="shared" ref="AJ67:AK67" si="166">AJ68*AJ59</f>
        <v>105.42094729831899</v>
      </c>
      <c r="AK67" s="48">
        <f t="shared" si="166"/>
        <v>6.6145131249441551</v>
      </c>
      <c r="AL67" s="49">
        <f t="shared" si="161"/>
        <v>319.58323627312996</v>
      </c>
      <c r="AM67" s="48">
        <f>AM68*AM59</f>
        <v>98.571867362399573</v>
      </c>
      <c r="AN67" s="48">
        <f>AN68*AN59</f>
        <v>126.62832278979388</v>
      </c>
      <c r="AO67" s="48">
        <f t="shared" ref="AO67:AP67" si="167">AO68*AO59</f>
        <v>114.33389259297444</v>
      </c>
      <c r="AP67" s="48">
        <f t="shared" si="167"/>
        <v>7.171235787529211</v>
      </c>
      <c r="AQ67" s="49">
        <f t="shared" si="162"/>
        <v>346.70531853269711</v>
      </c>
      <c r="AR67" s="48">
        <f>AR68*AR59</f>
        <v>104.78833757275913</v>
      </c>
      <c r="AS67" s="48">
        <f>AS68*AS59</f>
        <v>134.59084885751415</v>
      </c>
      <c r="AT67" s="48">
        <f t="shared" ref="AT67:AU67" si="168">AT68*AT59</f>
        <v>121.52169611958269</v>
      </c>
      <c r="AU67" s="48">
        <f t="shared" si="168"/>
        <v>7.6189727289590996</v>
      </c>
      <c r="AV67" s="49">
        <f t="shared" si="163"/>
        <v>368.51985527881504</v>
      </c>
    </row>
    <row r="68" spans="2:48" s="184" customFormat="1" outlineLevel="1" x14ac:dyDescent="0.3">
      <c r="B68" s="181" t="s">
        <v>153</v>
      </c>
      <c r="C68" s="190"/>
      <c r="D68" s="187">
        <f>D67/D59</f>
        <v>1.6281842818428184E-2</v>
      </c>
      <c r="E68" s="187">
        <f t="shared" ref="E68:Q68" si="169">E67/E59</f>
        <v>1.6434482279038501E-2</v>
      </c>
      <c r="F68" s="187">
        <f t="shared" si="169"/>
        <v>1.5381000192262503E-2</v>
      </c>
      <c r="G68" s="187">
        <f t="shared" si="169"/>
        <v>2.2788837769273769E-2</v>
      </c>
      <c r="H68" s="188"/>
      <c r="I68" s="187">
        <f t="shared" si="169"/>
        <v>1.4448502265062167E-2</v>
      </c>
      <c r="J68" s="187">
        <f t="shared" si="169"/>
        <v>1.5750577367205542E-2</v>
      </c>
      <c r="K68" s="187">
        <f t="shared" si="169"/>
        <v>2.2170736054179293E-2</v>
      </c>
      <c r="L68" s="187">
        <f t="shared" si="169"/>
        <v>1.5472602577185029E-2</v>
      </c>
      <c r="M68" s="188"/>
      <c r="N68" s="187">
        <f t="shared" si="169"/>
        <v>1.5053580540908319E-2</v>
      </c>
      <c r="O68" s="187">
        <f t="shared" si="169"/>
        <v>1.6657376838314114E-2</v>
      </c>
      <c r="P68" s="187">
        <f t="shared" si="169"/>
        <v>1.3554802510971613E-2</v>
      </c>
      <c r="Q68" s="167">
        <f t="shared" si="169"/>
        <v>1.3604025681068889E-2</v>
      </c>
      <c r="R68" s="188"/>
      <c r="S68" s="187">
        <f t="shared" ref="S68:Y68" si="170">S67/S59</f>
        <v>1.3380318545784415E-2</v>
      </c>
      <c r="T68" s="187">
        <f t="shared" si="170"/>
        <v>1.3092898984519897E-2</v>
      </c>
      <c r="U68" s="187">
        <f t="shared" si="170"/>
        <v>1.2627096263039747E-2</v>
      </c>
      <c r="V68" s="187">
        <f t="shared" si="170"/>
        <v>1.2845592070944184E-2</v>
      </c>
      <c r="W68" s="188">
        <f t="shared" si="170"/>
        <v>1.2977732897461789E-2</v>
      </c>
      <c r="X68" s="167">
        <f t="shared" si="170"/>
        <v>1.5615221406438416E-2</v>
      </c>
      <c r="Y68" s="167">
        <f t="shared" si="170"/>
        <v>1.4293326646396893E-2</v>
      </c>
      <c r="Z68" s="189">
        <f>U68+0.25%</f>
        <v>1.5127096263039748E-2</v>
      </c>
      <c r="AA68" s="189">
        <f>V68-1%</f>
        <v>2.8455920709441838E-3</v>
      </c>
      <c r="AB68" s="188">
        <f t="shared" ref="AB68" si="171">AB67/AB59</f>
        <v>1.1978200737289562E-2</v>
      </c>
      <c r="AC68" s="189">
        <f>X68-0.3%</f>
        <v>1.2615221406438417E-2</v>
      </c>
      <c r="AD68" s="189">
        <f>Y68+0.2%</f>
        <v>1.6293326646396891E-2</v>
      </c>
      <c r="AE68" s="189">
        <f>Z68-0.1%</f>
        <v>1.4127096263039748E-2</v>
      </c>
      <c r="AF68" s="189">
        <f>AA68-0.1%</f>
        <v>1.8455920709441838E-3</v>
      </c>
      <c r="AG68" s="188">
        <f t="shared" ref="AG68" si="172">AG67/AG59</f>
        <v>1.1213230895056931E-2</v>
      </c>
      <c r="AH68" s="189">
        <f t="shared" ref="AH68:AK68" si="173">AC68-0.1%</f>
        <v>1.1615221406438416E-2</v>
      </c>
      <c r="AI68" s="189">
        <f t="shared" si="173"/>
        <v>1.529332664639689E-2</v>
      </c>
      <c r="AJ68" s="189">
        <f t="shared" si="173"/>
        <v>1.3127096263039748E-2</v>
      </c>
      <c r="AK68" s="189">
        <f t="shared" si="173"/>
        <v>8.4559207094418373E-4</v>
      </c>
      <c r="AL68" s="188">
        <f t="shared" ref="AL68" si="174">AL67/AL59</f>
        <v>1.0208736525889528E-2</v>
      </c>
      <c r="AM68" s="189">
        <f>AH68</f>
        <v>1.1615221406438416E-2</v>
      </c>
      <c r="AN68" s="189">
        <f t="shared" ref="AN68:AP68" si="175">AI68</f>
        <v>1.529332664639689E-2</v>
      </c>
      <c r="AO68" s="189">
        <f t="shared" si="175"/>
        <v>1.3127096263039748E-2</v>
      </c>
      <c r="AP68" s="189">
        <f t="shared" si="175"/>
        <v>8.4559207094418373E-4</v>
      </c>
      <c r="AQ68" s="188">
        <f t="shared" ref="AQ68" si="176">AQ67/AQ59</f>
        <v>1.0210157725577448E-2</v>
      </c>
      <c r="AR68" s="189">
        <f>AM68</f>
        <v>1.1615221406438416E-2</v>
      </c>
      <c r="AS68" s="189">
        <f t="shared" ref="AS68:AU68" si="177">AN68</f>
        <v>1.529332664639689E-2</v>
      </c>
      <c r="AT68" s="189">
        <f t="shared" si="177"/>
        <v>1.3127096263039748E-2</v>
      </c>
      <c r="AU68" s="189">
        <f t="shared" si="177"/>
        <v>8.4559207094418373E-4</v>
      </c>
      <c r="AV68" s="188">
        <f t="shared" ref="AV68" si="178">AV67/AV59</f>
        <v>1.0211189923146855E-2</v>
      </c>
    </row>
    <row r="69" spans="2:48" ht="16.2" outlineLevel="1" x14ac:dyDescent="0.45">
      <c r="B69" s="180" t="s">
        <v>42</v>
      </c>
      <c r="C69" s="18"/>
      <c r="D69" s="119">
        <v>22.9</v>
      </c>
      <c r="E69" s="119">
        <v>18.2</v>
      </c>
      <c r="F69" s="119">
        <v>15.1</v>
      </c>
      <c r="G69" s="119">
        <v>0.7</v>
      </c>
      <c r="H69" s="131"/>
      <c r="I69" s="119">
        <v>5.2</v>
      </c>
      <c r="J69" s="119">
        <v>0.5</v>
      </c>
      <c r="K69" s="119">
        <v>56.2</v>
      </c>
      <c r="L69" s="119">
        <v>195.6</v>
      </c>
      <c r="M69" s="357"/>
      <c r="N69" s="119">
        <v>72.2</v>
      </c>
      <c r="O69" s="119">
        <v>23</v>
      </c>
      <c r="P69" s="119">
        <v>19.8</v>
      </c>
      <c r="Q69" s="119">
        <v>40.5</v>
      </c>
      <c r="R69" s="173"/>
      <c r="S69" s="119">
        <v>-7.5</v>
      </c>
      <c r="T69" s="119">
        <v>4.4000000000000004</v>
      </c>
      <c r="U69" s="119">
        <v>12</v>
      </c>
      <c r="V69" s="119">
        <v>24.4</v>
      </c>
      <c r="W69" s="173">
        <f>SUM(S69:V69)</f>
        <v>33.299999999999997</v>
      </c>
      <c r="X69" s="119">
        <v>5.0999999999999996</v>
      </c>
      <c r="Y69" s="119">
        <v>8.5</v>
      </c>
      <c r="Z69" s="119">
        <f>IFERROR((Z163*(X69/X163)),0)</f>
        <v>6.1551724137931032</v>
      </c>
      <c r="AA69" s="119">
        <f t="shared" ref="AA69" si="179">IFERROR((AA163*(Z69/Z163)),0)</f>
        <v>6.1551724137931032</v>
      </c>
      <c r="AB69" s="173">
        <f>SUM(X69:AA69)</f>
        <v>25.910344827586208</v>
      </c>
      <c r="AC69" s="119">
        <f>IFERROR((AC163*(AA69/AA163)),0)</f>
        <v>6.1551724137931032</v>
      </c>
      <c r="AD69" s="119">
        <f t="shared" ref="AD69:AF69" si="180">IFERROR((AD163*(AC69/AC163)),0)</f>
        <v>6.1551724137931032</v>
      </c>
      <c r="AE69" s="119">
        <f t="shared" si="180"/>
        <v>6.1551724137931032</v>
      </c>
      <c r="AF69" s="119">
        <f t="shared" si="180"/>
        <v>6.1551724137931032</v>
      </c>
      <c r="AG69" s="173">
        <f>SUM(AC69:AF69)</f>
        <v>24.620689655172413</v>
      </c>
      <c r="AH69" s="119">
        <f>IFERROR((AH163*(AF69/AF163)),0)</f>
        <v>6.1551724137931032</v>
      </c>
      <c r="AI69" s="119">
        <f t="shared" ref="AI69:AK69" si="181">IFERROR((AI163*(AH69/AH163)),0)</f>
        <v>6.1551724137931032</v>
      </c>
      <c r="AJ69" s="119">
        <f t="shared" si="181"/>
        <v>6.1551724137931032</v>
      </c>
      <c r="AK69" s="119">
        <f t="shared" si="181"/>
        <v>6.1551724137931032</v>
      </c>
      <c r="AL69" s="173">
        <f>SUM(AH69:AK69)</f>
        <v>24.620689655172413</v>
      </c>
      <c r="AM69" s="119">
        <f>IFERROR((AM163*(AK69/AK163)),0)</f>
        <v>6.1551724137931032</v>
      </c>
      <c r="AN69" s="119">
        <f t="shared" ref="AN69:AP69" si="182">IFERROR((AN163*(AM69/AM163)),0)</f>
        <v>6.1551724137931032</v>
      </c>
      <c r="AO69" s="119">
        <f t="shared" si="182"/>
        <v>6.1551724137931032</v>
      </c>
      <c r="AP69" s="119">
        <f t="shared" si="182"/>
        <v>6.1551724137931032</v>
      </c>
      <c r="AQ69" s="173">
        <f>SUM(AM69:AP69)</f>
        <v>24.620689655172413</v>
      </c>
      <c r="AR69" s="119">
        <f>IFERROR((AR163*(AP69/AP163)),0)</f>
        <v>6.1551724137931032</v>
      </c>
      <c r="AS69" s="119">
        <f t="shared" ref="AS69:AU69" si="183">IFERROR((AS163*(AR69/AR163)),0)</f>
        <v>6.1551724137931032</v>
      </c>
      <c r="AT69" s="119">
        <f t="shared" si="183"/>
        <v>6.1551724137931032</v>
      </c>
      <c r="AU69" s="119">
        <f t="shared" si="183"/>
        <v>6.1551724137931032</v>
      </c>
      <c r="AV69" s="173">
        <f>SUM(AR69:AU69)</f>
        <v>24.620689655172413</v>
      </c>
    </row>
    <row r="70" spans="2:48" outlineLevel="1" x14ac:dyDescent="0.3">
      <c r="B70" s="46" t="s">
        <v>183</v>
      </c>
      <c r="C70" s="19"/>
      <c r="D70" s="103">
        <f>+D60+D62+D64+D66+D67+D69</f>
        <v>3643.7999999999997</v>
      </c>
      <c r="E70" s="103">
        <f t="shared" ref="E70:G70" si="184">+E60+E62+E64+E66+E67+E69</f>
        <v>3457.7</v>
      </c>
      <c r="F70" s="103">
        <f t="shared" si="184"/>
        <v>3662.3999999999996</v>
      </c>
      <c r="G70" s="103">
        <f t="shared" si="184"/>
        <v>3712.4999999999995</v>
      </c>
      <c r="H70" s="166">
        <f>+H60+H62+H64+H66+H67+H69</f>
        <v>0</v>
      </c>
      <c r="I70" s="103">
        <f t="shared" ref="I70:L70" si="185">+I60+I62+I64+I66+I67+I69</f>
        <v>3912.1</v>
      </c>
      <c r="J70" s="103">
        <f t="shared" si="185"/>
        <v>3708.8</v>
      </c>
      <c r="K70" s="103">
        <f t="shared" si="185"/>
        <v>3210.3999999999996</v>
      </c>
      <c r="L70" s="50">
        <f t="shared" si="185"/>
        <v>3707.8999999999996</v>
      </c>
      <c r="M70" s="191"/>
      <c r="N70" s="50">
        <f t="shared" ref="N70:Q70" si="186">+N60+N62+N64+N66+N67+N69</f>
        <v>3889.7000000000003</v>
      </c>
      <c r="O70" s="50">
        <f t="shared" si="186"/>
        <v>3759.2999999999997</v>
      </c>
      <c r="P70" s="50">
        <f t="shared" si="186"/>
        <v>4084.6</v>
      </c>
      <c r="Q70" s="103">
        <f t="shared" si="186"/>
        <v>4507.2</v>
      </c>
      <c r="R70" s="191"/>
      <c r="S70" s="50">
        <f>+S60+S62+S64+S66+S67+S69</f>
        <v>4649.2</v>
      </c>
      <c r="T70" s="50">
        <f t="shared" ref="T70:AK70" si="187">+T60+T62+T64+T66+T67+T69</f>
        <v>4514.2</v>
      </c>
      <c r="U70" s="50">
        <f t="shared" si="187"/>
        <v>4728.2999999999993</v>
      </c>
      <c r="V70" s="50">
        <f>+V60+V62+V64+V66+V67+V69</f>
        <v>4992.5999999999985</v>
      </c>
      <c r="W70" s="191">
        <f>+W60+W62+W64+W66+W67+W69</f>
        <v>18884.3</v>
      </c>
      <c r="X70" s="103">
        <f t="shared" si="187"/>
        <v>5338.9000000000005</v>
      </c>
      <c r="Y70" s="103">
        <f t="shared" si="187"/>
        <v>5162.7</v>
      </c>
      <c r="Z70" s="50">
        <f t="shared" si="187"/>
        <v>5353.8619270150912</v>
      </c>
      <c r="AA70" s="50">
        <f t="shared" si="187"/>
        <v>5178.6326010100702</v>
      </c>
      <c r="AB70" s="191">
        <f>+AB60+AB62+AB64+AB66+AB67+AB69</f>
        <v>21034.094528025154</v>
      </c>
      <c r="AC70" s="50">
        <f t="shared" si="187"/>
        <v>5647.0944426980568</v>
      </c>
      <c r="AD70" s="50">
        <f t="shared" si="187"/>
        <v>5586.5615237650891</v>
      </c>
      <c r="AE70" s="50">
        <f t="shared" si="187"/>
        <v>5761.3815692214439</v>
      </c>
      <c r="AF70" s="50">
        <f t="shared" si="187"/>
        <v>5742.2097902380347</v>
      </c>
      <c r="AG70" s="191">
        <f>+AG60+AG62+AG64+AG66+AG67+AG69</f>
        <v>22737.247325922621</v>
      </c>
      <c r="AH70" s="50">
        <f t="shared" si="187"/>
        <v>6205.4187198311511</v>
      </c>
      <c r="AI70" s="50">
        <f t="shared" si="187"/>
        <v>6140.4891490113014</v>
      </c>
      <c r="AJ70" s="50">
        <f t="shared" si="187"/>
        <v>6334.1714886146892</v>
      </c>
      <c r="AK70" s="50">
        <f t="shared" si="187"/>
        <v>6318.5004690662436</v>
      </c>
      <c r="AL70" s="191">
        <f>+AL60+AL62+AL64+AL66+AL67+AL69</f>
        <v>24998.579826523386</v>
      </c>
      <c r="AM70" s="50">
        <f t="shared" ref="AM70:AP70" si="188">+AM60+AM62+AM64+AM66+AM67+AM69</f>
        <v>6732.6813873191813</v>
      </c>
      <c r="AN70" s="50">
        <f t="shared" si="188"/>
        <v>6663.2650743782551</v>
      </c>
      <c r="AO70" s="50">
        <f t="shared" si="188"/>
        <v>6875.0510512788678</v>
      </c>
      <c r="AP70" s="50">
        <f t="shared" si="188"/>
        <v>6859.8963246847779</v>
      </c>
      <c r="AQ70" s="191">
        <f>+AQ60+AQ62+AQ64+AQ66+AQ67+AQ69</f>
        <v>27130.893837661086</v>
      </c>
      <c r="AR70" s="50">
        <f t="shared" ref="AR70:AU70" si="189">+AR60+AR62+AR64+AR66+AR67+AR69</f>
        <v>7176.0673136624282</v>
      </c>
      <c r="AS70" s="50">
        <f t="shared" si="189"/>
        <v>7099.9764081351923</v>
      </c>
      <c r="AT70" s="50">
        <f t="shared" si="189"/>
        <v>7323.608886519627</v>
      </c>
      <c r="AU70" s="50">
        <f t="shared" si="189"/>
        <v>7305.003483866878</v>
      </c>
      <c r="AV70" s="191">
        <f>+AV60+AV62+AV64+AV66+AV67+AV69</f>
        <v>28904.656092184126</v>
      </c>
    </row>
    <row r="71" spans="2:48" outlineLevel="1" x14ac:dyDescent="0.3">
      <c r="B71" s="46" t="s">
        <v>184</v>
      </c>
      <c r="C71" s="44"/>
      <c r="D71" s="156">
        <f t="shared" ref="D71:G71" si="190">+D59-D70</f>
        <v>968.70000000000027</v>
      </c>
      <c r="E71" s="156">
        <f t="shared" si="190"/>
        <v>856.40000000000055</v>
      </c>
      <c r="F71" s="156">
        <f t="shared" si="190"/>
        <v>1018.6999999999998</v>
      </c>
      <c r="G71" s="156">
        <f t="shared" si="190"/>
        <v>938.90000000000009</v>
      </c>
      <c r="H71" s="132">
        <f>SUM(D71:G71)</f>
        <v>3782.7000000000007</v>
      </c>
      <c r="I71" s="156">
        <f t="shared" ref="I71:L71" si="191">+I59-I70</f>
        <v>1098.7999999999997</v>
      </c>
      <c r="J71" s="156">
        <f t="shared" si="191"/>
        <v>621.19999999999982</v>
      </c>
      <c r="K71" s="156">
        <f t="shared" si="191"/>
        <v>-404.89999999999964</v>
      </c>
      <c r="L71" s="74">
        <f t="shared" si="191"/>
        <v>506.00000000000091</v>
      </c>
      <c r="M71" s="97"/>
      <c r="N71" s="74">
        <f>+N59-N70</f>
        <v>813.49999999999955</v>
      </c>
      <c r="O71" s="74">
        <f t="shared" ref="O71:Q71" si="192">+O59-O70</f>
        <v>905.29999999999973</v>
      </c>
      <c r="P71" s="74">
        <f t="shared" si="192"/>
        <v>1315.7000000000003</v>
      </c>
      <c r="Q71" s="74">
        <f t="shared" si="192"/>
        <v>1255.8000000000002</v>
      </c>
      <c r="R71" s="97"/>
      <c r="S71" s="74">
        <f t="shared" ref="S71:U71" si="193">+S59-S70</f>
        <v>1083.1000000000004</v>
      </c>
      <c r="T71" s="74">
        <f t="shared" si="193"/>
        <v>931.5</v>
      </c>
      <c r="U71" s="74">
        <f t="shared" si="193"/>
        <v>1330.1000000000004</v>
      </c>
      <c r="V71" s="156">
        <f>+V59-V70</f>
        <v>1141.8000000000011</v>
      </c>
      <c r="W71" s="97">
        <f>SUM(S71:V71)</f>
        <v>4486.5000000000018</v>
      </c>
      <c r="X71" s="156">
        <f t="shared" ref="X71:AA71" si="194">+X59-X70</f>
        <v>1212.3999999999996</v>
      </c>
      <c r="Y71" s="156">
        <f t="shared" si="194"/>
        <v>1217.8999999999996</v>
      </c>
      <c r="Z71" s="74">
        <f t="shared" si="194"/>
        <v>1362.4219229237397</v>
      </c>
      <c r="AA71" s="74">
        <f t="shared" si="194"/>
        <v>1363.6363424040192</v>
      </c>
      <c r="AB71" s="97">
        <f>SUM(X71:AA71)</f>
        <v>5156.3582653277581</v>
      </c>
      <c r="AC71" s="74">
        <f t="shared" ref="AC71:AF71" si="195">+AC59-AC70</f>
        <v>1448.1641506064061</v>
      </c>
      <c r="AD71" s="74">
        <f t="shared" si="195"/>
        <v>1331.4211902576171</v>
      </c>
      <c r="AE71" s="74">
        <f t="shared" si="195"/>
        <v>1511.7228534099622</v>
      </c>
      <c r="AF71" s="74">
        <f t="shared" si="195"/>
        <v>1333.6764769790661</v>
      </c>
      <c r="AG71" s="97">
        <f>SUM(AC71:AF71)</f>
        <v>5624.9846712530516</v>
      </c>
      <c r="AH71" s="74">
        <f t="shared" ref="AH71:AK71" si="196">+AH59-AH70</f>
        <v>1614.0305995297495</v>
      </c>
      <c r="AI71" s="74">
        <f t="shared" si="196"/>
        <v>1491.8032506652435</v>
      </c>
      <c r="AJ71" s="74">
        <f t="shared" si="196"/>
        <v>1696.6180467023487</v>
      </c>
      <c r="AK71" s="74">
        <f t="shared" si="196"/>
        <v>1503.8447872680836</v>
      </c>
      <c r="AL71" s="97">
        <f>SUM(AH71:AK71)</f>
        <v>6306.2966841654252</v>
      </c>
      <c r="AM71" s="74">
        <f t="shared" ref="AM71:AP71" si="197">+AM59-AM70</f>
        <v>1753.7575631910813</v>
      </c>
      <c r="AN71" s="74">
        <f t="shared" si="197"/>
        <v>1616.7073421938794</v>
      </c>
      <c r="AO71" s="74">
        <f t="shared" si="197"/>
        <v>1834.7115879187641</v>
      </c>
      <c r="AP71" s="74">
        <f t="shared" si="197"/>
        <v>1620.8310070200314</v>
      </c>
      <c r="AQ71" s="97">
        <f>SUM(AM71:AP71)</f>
        <v>6826.0075003237562</v>
      </c>
      <c r="AR71" s="74">
        <f t="shared" ref="AR71:AU71" si="198">+AR59-AR70</f>
        <v>1845.5719565691379</v>
      </c>
      <c r="AS71" s="74">
        <f t="shared" si="198"/>
        <v>1700.6496406926972</v>
      </c>
      <c r="AT71" s="74">
        <f t="shared" si="198"/>
        <v>1933.7084732787825</v>
      </c>
      <c r="AU71" s="74">
        <f t="shared" si="198"/>
        <v>1705.2190463086881</v>
      </c>
      <c r="AV71" s="97">
        <f>SUM(AR71:AU71)</f>
        <v>7185.1491168493058</v>
      </c>
    </row>
    <row r="72" spans="2:48" outlineLevel="1" x14ac:dyDescent="0.3">
      <c r="B72" s="46" t="s">
        <v>185</v>
      </c>
      <c r="C72" s="44"/>
      <c r="D72" s="157">
        <f t="shared" ref="D72:G72" si="199">+D71/D59</f>
        <v>0.21001626016260169</v>
      </c>
      <c r="E72" s="157">
        <f t="shared" si="199"/>
        <v>0.19851185647064287</v>
      </c>
      <c r="F72" s="157">
        <f t="shared" si="199"/>
        <v>0.21761979022024736</v>
      </c>
      <c r="G72" s="157">
        <f t="shared" si="199"/>
        <v>0.20185320548652022</v>
      </c>
      <c r="H72" s="133">
        <f>H71/H59</f>
        <v>0.20716793270205</v>
      </c>
      <c r="I72" s="157">
        <f t="shared" ref="I72:L72" si="200">+I71/I59</f>
        <v>0.21928196531561192</v>
      </c>
      <c r="J72" s="157">
        <f t="shared" si="200"/>
        <v>0.14346420323325632</v>
      </c>
      <c r="K72" s="157">
        <f t="shared" si="200"/>
        <v>-0.14432364997326666</v>
      </c>
      <c r="L72" s="75">
        <f t="shared" si="200"/>
        <v>0.12007878687201899</v>
      </c>
      <c r="M72" s="98"/>
      <c r="N72" s="75">
        <f>+N71/N59</f>
        <v>0.17296734138458913</v>
      </c>
      <c r="O72" s="75">
        <f t="shared" ref="O72:Q72" si="201">+O71/O59</f>
        <v>0.19407880632851687</v>
      </c>
      <c r="P72" s="75">
        <f t="shared" si="201"/>
        <v>0.24363461289187641</v>
      </c>
      <c r="Q72" s="75">
        <f t="shared" si="201"/>
        <v>0.21790733992712133</v>
      </c>
      <c r="R72" s="98"/>
      <c r="S72" s="75">
        <f t="shared" ref="S72:V72" si="202">+S71/S59</f>
        <v>0.188946845070914</v>
      </c>
      <c r="T72" s="75">
        <f t="shared" si="202"/>
        <v>0.17105238995905026</v>
      </c>
      <c r="U72" s="75">
        <f t="shared" si="202"/>
        <v>0.21954641489502186</v>
      </c>
      <c r="V72" s="75">
        <f t="shared" si="202"/>
        <v>0.18613067292644778</v>
      </c>
      <c r="W72" s="98">
        <f>W71/W59</f>
        <v>0.19197032194019895</v>
      </c>
      <c r="X72" s="157">
        <f t="shared" ref="X72:AA72" si="203">+X71/X59</f>
        <v>0.18506250667806384</v>
      </c>
      <c r="Y72" s="157">
        <f t="shared" si="203"/>
        <v>0.19087546625709176</v>
      </c>
      <c r="Z72" s="75">
        <f t="shared" si="203"/>
        <v>0.20285353528293001</v>
      </c>
      <c r="AA72" s="75">
        <f t="shared" si="203"/>
        <v>0.20843477304257751</v>
      </c>
      <c r="AB72" s="98">
        <f>AB71/AB59</f>
        <v>0.19687930964814898</v>
      </c>
      <c r="AC72" s="75">
        <f t="shared" ref="AC72:AF72" si="204">+AC71/AC59</f>
        <v>0.20410308258151239</v>
      </c>
      <c r="AD72" s="75">
        <f t="shared" si="204"/>
        <v>0.19245801056409623</v>
      </c>
      <c r="AE72" s="75">
        <f t="shared" si="204"/>
        <v>0.20785111357758032</v>
      </c>
      <c r="AF72" s="75">
        <f t="shared" si="204"/>
        <v>0.18848189846663438</v>
      </c>
      <c r="AG72" s="98">
        <f>AG71/AG59</f>
        <v>0.1983265869841693</v>
      </c>
      <c r="AH72" s="75">
        <f t="shared" ref="AH72:AK72" si="205">+AH71/AH59</f>
        <v>0.20641231033154997</v>
      </c>
      <c r="AI72" s="75">
        <f t="shared" si="205"/>
        <v>0.19545939444464494</v>
      </c>
      <c r="AJ72" s="75">
        <f t="shared" si="205"/>
        <v>0.21126416515351626</v>
      </c>
      <c r="AK72" s="75">
        <f t="shared" si="205"/>
        <v>0.19224986087776041</v>
      </c>
      <c r="AL72" s="98">
        <f>AL71/AL59</f>
        <v>0.20144774192008674</v>
      </c>
      <c r="AM72" s="75">
        <f t="shared" ref="AM72:AP72" si="206">+AM71/AM59</f>
        <v>0.20665411881453921</v>
      </c>
      <c r="AN72" s="75">
        <f t="shared" si="206"/>
        <v>0.19525516038653518</v>
      </c>
      <c r="AO72" s="75">
        <f t="shared" si="206"/>
        <v>0.21065001010036513</v>
      </c>
      <c r="AP72" s="75">
        <f t="shared" si="206"/>
        <v>0.19111933960671382</v>
      </c>
      <c r="AQ72" s="98">
        <f>AQ71/AQ59</f>
        <v>0.20101974065248568</v>
      </c>
      <c r="AR72" s="75">
        <f t="shared" ref="AR72:AU72" si="207">+AR71/AR59</f>
        <v>0.2045716860636311</v>
      </c>
      <c r="AS72" s="75">
        <f t="shared" si="207"/>
        <v>0.19324189338998196</v>
      </c>
      <c r="AT72" s="75">
        <f t="shared" si="207"/>
        <v>0.20888432340844926</v>
      </c>
      <c r="AU72" s="75">
        <f t="shared" si="207"/>
        <v>0.1892538214897409</v>
      </c>
      <c r="AV72" s="98">
        <f>AV71/AV59</f>
        <v>0.19909082565651623</v>
      </c>
    </row>
    <row r="73" spans="2:48" ht="17.399999999999999" x14ac:dyDescent="0.45">
      <c r="B73" s="599" t="s">
        <v>114</v>
      </c>
      <c r="C73" s="600"/>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4" t="s">
        <v>408</v>
      </c>
      <c r="Y73" s="14" t="s">
        <v>452</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601" t="s">
        <v>115</v>
      </c>
      <c r="C74" s="602"/>
      <c r="D74" s="21">
        <v>5839</v>
      </c>
      <c r="E74" s="21">
        <v>5879</v>
      </c>
      <c r="F74" s="116">
        <v>5646</v>
      </c>
      <c r="G74" s="21">
        <v>5860</v>
      </c>
      <c r="H74" s="191">
        <f>G74</f>
        <v>5860</v>
      </c>
      <c r="I74" s="21">
        <v>6059</v>
      </c>
      <c r="J74" s="21">
        <v>6137</v>
      </c>
      <c r="K74" s="21">
        <v>6254</v>
      </c>
      <c r="L74" s="21">
        <v>6528</v>
      </c>
      <c r="M74" s="191">
        <f>L74</f>
        <v>6528</v>
      </c>
      <c r="N74" s="21">
        <v>6713</v>
      </c>
      <c r="O74" s="21">
        <f>+N74+O75</f>
        <v>6836</v>
      </c>
      <c r="P74" s="21">
        <f t="shared" ref="P74:Q74" si="208">+O74+P75</f>
        <v>7013</v>
      </c>
      <c r="Q74" s="21">
        <f t="shared" si="208"/>
        <v>7272</v>
      </c>
      <c r="R74" s="191">
        <f>Q74</f>
        <v>7272</v>
      </c>
      <c r="S74" s="21">
        <f>+Q74+S75</f>
        <v>7485</v>
      </c>
      <c r="T74" s="21">
        <f>+S74+T75</f>
        <v>7587</v>
      </c>
      <c r="U74" s="21">
        <f t="shared" ref="U74:V74" si="209">+T74+U75</f>
        <v>7717</v>
      </c>
      <c r="V74" s="21">
        <f t="shared" si="209"/>
        <v>8037</v>
      </c>
      <c r="W74" s="191">
        <f>V74</f>
        <v>8037</v>
      </c>
      <c r="X74" s="21">
        <f>+V74+X75</f>
        <v>8134</v>
      </c>
      <c r="Y74" s="21">
        <f>+X74+Y75</f>
        <v>8308</v>
      </c>
      <c r="Z74" s="21">
        <f t="shared" ref="Z74:AA74" si="210">+Y74+Z75</f>
        <v>8608</v>
      </c>
      <c r="AA74" s="21">
        <f t="shared" si="210"/>
        <v>8908</v>
      </c>
      <c r="AB74" s="191">
        <f>AA74</f>
        <v>8908</v>
      </c>
      <c r="AC74" s="21">
        <f>+AA74+AC75</f>
        <v>9172</v>
      </c>
      <c r="AD74" s="21">
        <f>+AC74+AD75</f>
        <v>9436</v>
      </c>
      <c r="AE74" s="21">
        <f t="shared" ref="AE74:AF74" si="211">+AD74+AE75</f>
        <v>9700</v>
      </c>
      <c r="AF74" s="21">
        <f t="shared" si="211"/>
        <v>9968</v>
      </c>
      <c r="AG74" s="191">
        <f>AF74</f>
        <v>9968</v>
      </c>
      <c r="AH74" s="21">
        <f>+AF74+AH75</f>
        <v>10242</v>
      </c>
      <c r="AI74" s="21">
        <f>+AH74+AI75</f>
        <v>10516</v>
      </c>
      <c r="AJ74" s="21">
        <f t="shared" ref="AJ74:AK74" si="212">+AI74+AJ75</f>
        <v>10790</v>
      </c>
      <c r="AK74" s="21">
        <f t="shared" si="212"/>
        <v>11066</v>
      </c>
      <c r="AL74" s="191">
        <f>AK74</f>
        <v>11066</v>
      </c>
      <c r="AM74" s="21">
        <f>+AK74+AM75</f>
        <v>11196</v>
      </c>
      <c r="AN74" s="21">
        <f>+AM74+AN75</f>
        <v>11326</v>
      </c>
      <c r="AO74" s="21">
        <f t="shared" ref="AO74:AP74" si="213">+AN74+AO75</f>
        <v>11456</v>
      </c>
      <c r="AP74" s="21">
        <f t="shared" si="213"/>
        <v>11586</v>
      </c>
      <c r="AQ74" s="191">
        <f>AP74</f>
        <v>11586</v>
      </c>
      <c r="AR74" s="21">
        <f>+AP74+AR75</f>
        <v>11716</v>
      </c>
      <c r="AS74" s="21">
        <f>+AR74+AS75</f>
        <v>11846</v>
      </c>
      <c r="AT74" s="21">
        <f t="shared" ref="AT74:AU74" si="214">+AS74+AT75</f>
        <v>11976</v>
      </c>
      <c r="AU74" s="21">
        <f t="shared" si="214"/>
        <v>12106</v>
      </c>
      <c r="AV74" s="191">
        <f>AU74</f>
        <v>12106</v>
      </c>
    </row>
    <row r="75" spans="2:48" outlineLevel="1" x14ac:dyDescent="0.3">
      <c r="B75" s="180" t="s">
        <v>46</v>
      </c>
      <c r="C75" s="201"/>
      <c r="D75" s="101">
        <f>+D74-5651</f>
        <v>188</v>
      </c>
      <c r="E75" s="101">
        <f>+E74-D74</f>
        <v>40</v>
      </c>
      <c r="F75" s="101">
        <f t="shared" ref="F75:G75" si="215">+F74-E74</f>
        <v>-233</v>
      </c>
      <c r="G75" s="101">
        <f t="shared" si="215"/>
        <v>214</v>
      </c>
      <c r="H75" s="26">
        <f>+SUM(D75:G75)</f>
        <v>209</v>
      </c>
      <c r="I75" s="101">
        <f>+I74-G74</f>
        <v>199</v>
      </c>
      <c r="J75" s="101">
        <f t="shared" ref="J75:L75" si="216">+J74-I74</f>
        <v>78</v>
      </c>
      <c r="K75" s="101">
        <f t="shared" si="216"/>
        <v>117</v>
      </c>
      <c r="L75" s="101">
        <f t="shared" si="216"/>
        <v>274</v>
      </c>
      <c r="M75" s="26">
        <f>+SUM(I75:L75)</f>
        <v>668</v>
      </c>
      <c r="N75" s="101">
        <v>185</v>
      </c>
      <c r="O75" s="101">
        <v>123</v>
      </c>
      <c r="P75" s="101">
        <v>177</v>
      </c>
      <c r="Q75" s="101">
        <v>259</v>
      </c>
      <c r="R75" s="26">
        <f>+SUM(N75:Q75)</f>
        <v>744</v>
      </c>
      <c r="S75" s="101">
        <v>213</v>
      </c>
      <c r="T75" s="101">
        <v>102</v>
      </c>
      <c r="U75" s="101">
        <v>130</v>
      </c>
      <c r="V75" s="101">
        <v>320</v>
      </c>
      <c r="W75" s="122">
        <f>+SUM(S75:V75)</f>
        <v>765</v>
      </c>
      <c r="X75" s="101">
        <v>97</v>
      </c>
      <c r="Y75" s="101">
        <v>174</v>
      </c>
      <c r="Z75" s="33">
        <v>300</v>
      </c>
      <c r="AA75" s="33">
        <v>300</v>
      </c>
      <c r="AB75" s="26">
        <f>+SUM(X75:AA75)</f>
        <v>871</v>
      </c>
      <c r="AC75" s="33">
        <v>264</v>
      </c>
      <c r="AD75" s="33">
        <v>264</v>
      </c>
      <c r="AE75" s="33">
        <v>264</v>
      </c>
      <c r="AF75" s="33">
        <v>268</v>
      </c>
      <c r="AG75" s="26">
        <f>+SUM(AC75:AF75)</f>
        <v>1060</v>
      </c>
      <c r="AH75" s="95">
        <v>274</v>
      </c>
      <c r="AI75" s="33">
        <v>274</v>
      </c>
      <c r="AJ75" s="33">
        <v>274</v>
      </c>
      <c r="AK75" s="33">
        <v>276</v>
      </c>
      <c r="AL75" s="26">
        <f>+SUM(AH75:AK75)</f>
        <v>1098</v>
      </c>
      <c r="AM75" s="33">
        <v>130</v>
      </c>
      <c r="AN75" s="33">
        <v>130</v>
      </c>
      <c r="AO75" s="33">
        <v>130</v>
      </c>
      <c r="AP75" s="33">
        <v>130</v>
      </c>
      <c r="AQ75" s="26">
        <f>+SUM(AM75:AP75)</f>
        <v>520</v>
      </c>
      <c r="AR75" s="33">
        <v>130</v>
      </c>
      <c r="AS75" s="33">
        <v>130</v>
      </c>
      <c r="AT75" s="33">
        <v>130</v>
      </c>
      <c r="AU75" s="33">
        <v>130</v>
      </c>
      <c r="AV75" s="26">
        <f>+SUM(AR75:AU75)</f>
        <v>520</v>
      </c>
    </row>
    <row r="76" spans="2:48" outlineLevel="1" x14ac:dyDescent="0.3">
      <c r="B76" s="180" t="s">
        <v>201</v>
      </c>
      <c r="C76" s="201"/>
      <c r="D76" s="101"/>
      <c r="E76" s="101">
        <f>AVERAGE(D74,E74)</f>
        <v>5859</v>
      </c>
      <c r="F76" s="101">
        <f t="shared" ref="F76:G76" si="217">AVERAGE(E74,F74)</f>
        <v>5762.5</v>
      </c>
      <c r="G76" s="101">
        <f t="shared" si="217"/>
        <v>5753</v>
      </c>
      <c r="H76" s="26"/>
      <c r="I76" s="101">
        <f>AVERAGE(G74,I74)</f>
        <v>5959.5</v>
      </c>
      <c r="J76" s="101">
        <f t="shared" ref="J76:L76" si="218">AVERAGE(I74,J74)</f>
        <v>6098</v>
      </c>
      <c r="K76" s="101">
        <f t="shared" si="218"/>
        <v>6195.5</v>
      </c>
      <c r="L76" s="101">
        <f t="shared" si="218"/>
        <v>6391</v>
      </c>
      <c r="M76" s="26"/>
      <c r="N76" s="101">
        <f>AVERAGE(L74,N74)</f>
        <v>6620.5</v>
      </c>
      <c r="O76" s="101">
        <f t="shared" ref="O76:Q76" si="219">AVERAGE(N74,O74)</f>
        <v>6774.5</v>
      </c>
      <c r="P76" s="101">
        <f t="shared" si="219"/>
        <v>6924.5</v>
      </c>
      <c r="Q76" s="101">
        <f t="shared" si="219"/>
        <v>7142.5</v>
      </c>
      <c r="R76" s="26"/>
      <c r="S76" s="101">
        <f>AVERAGE(Q74,S74)</f>
        <v>7378.5</v>
      </c>
      <c r="T76" s="101">
        <f>AVERAGE(S74,T74)</f>
        <v>7536</v>
      </c>
      <c r="U76" s="101">
        <f t="shared" ref="U76:V76" si="220">AVERAGE(T74,U74)</f>
        <v>7652</v>
      </c>
      <c r="V76" s="101">
        <f t="shared" si="220"/>
        <v>7877</v>
      </c>
      <c r="W76" s="122"/>
      <c r="X76" s="101">
        <f>AVERAGE(V74,X74)</f>
        <v>8085.5</v>
      </c>
      <c r="Y76" s="101">
        <f t="shared" ref="Y76:AA76" si="221">AVERAGE(X74,Y74)</f>
        <v>8221</v>
      </c>
      <c r="Z76" s="101">
        <f t="shared" si="221"/>
        <v>8458</v>
      </c>
      <c r="AA76" s="101">
        <f t="shared" si="221"/>
        <v>8758</v>
      </c>
      <c r="AB76" s="26"/>
      <c r="AC76" s="101">
        <f>AVERAGE(AA74,AC74)</f>
        <v>9040</v>
      </c>
      <c r="AD76" s="101">
        <f t="shared" ref="AD76:AF76" si="222">AVERAGE(AC74,AD74)</f>
        <v>9304</v>
      </c>
      <c r="AE76" s="101">
        <f t="shared" si="222"/>
        <v>9568</v>
      </c>
      <c r="AF76" s="101">
        <f t="shared" si="222"/>
        <v>9834</v>
      </c>
      <c r="AG76" s="26"/>
      <c r="AH76" s="101">
        <f>AVERAGE(AF74,AH74)</f>
        <v>10105</v>
      </c>
      <c r="AI76" s="101">
        <f t="shared" ref="AI76:AK76" si="223">AVERAGE(AH74,AI74)</f>
        <v>10379</v>
      </c>
      <c r="AJ76" s="101">
        <f t="shared" si="223"/>
        <v>10653</v>
      </c>
      <c r="AK76" s="101">
        <f t="shared" si="223"/>
        <v>10928</v>
      </c>
      <c r="AL76" s="26"/>
      <c r="AM76" s="101">
        <f>AVERAGE(AK74,AM74)</f>
        <v>11131</v>
      </c>
      <c r="AN76" s="101">
        <f t="shared" ref="AN76:AP76" si="224">AVERAGE(AM74,AN74)</f>
        <v>11261</v>
      </c>
      <c r="AO76" s="101">
        <f t="shared" si="224"/>
        <v>11391</v>
      </c>
      <c r="AP76" s="101">
        <f t="shared" si="224"/>
        <v>11521</v>
      </c>
      <c r="AQ76" s="26"/>
      <c r="AR76" s="101">
        <f>AVERAGE(AP74,AR74)</f>
        <v>11651</v>
      </c>
      <c r="AS76" s="101">
        <f t="shared" ref="AS76:AU76" si="225">AVERAGE(AR74,AS74)</f>
        <v>11781</v>
      </c>
      <c r="AT76" s="101">
        <f t="shared" si="225"/>
        <v>11911</v>
      </c>
      <c r="AU76" s="101">
        <f t="shared" si="225"/>
        <v>12041</v>
      </c>
      <c r="AV76" s="26"/>
    </row>
    <row r="77" spans="2:48" s="20" customFormat="1" outlineLevel="1" x14ac:dyDescent="0.3">
      <c r="B77" s="180" t="s">
        <v>206</v>
      </c>
      <c r="C77" s="206"/>
      <c r="D77" s="43"/>
      <c r="E77" s="43">
        <f>+E78/E76</f>
        <v>0.22348523638846221</v>
      </c>
      <c r="F77" s="114">
        <f>+F78/F76</f>
        <v>0.2347592190889371</v>
      </c>
      <c r="G77" s="43">
        <f>+G78/G76</f>
        <v>0.22873283504258649</v>
      </c>
      <c r="H77" s="97"/>
      <c r="I77" s="43">
        <f>+I78/I76</f>
        <v>0.21976675895628828</v>
      </c>
      <c r="J77" s="43">
        <f>+J78/J76</f>
        <v>0.14798294522794359</v>
      </c>
      <c r="K77" s="43">
        <f>+K78/K76</f>
        <v>0.14131224275683965</v>
      </c>
      <c r="L77" s="43">
        <f>+L78/L76</f>
        <v>0.20314504772336098</v>
      </c>
      <c r="M77" s="97"/>
      <c r="N77" s="43">
        <f>+N78/N76</f>
        <v>0.21776300883619062</v>
      </c>
      <c r="O77" s="43">
        <f>+O78/O76</f>
        <v>0.20439884862351465</v>
      </c>
      <c r="P77" s="43">
        <f>+P78/P76</f>
        <v>0.20698967434471802</v>
      </c>
      <c r="Q77" s="43">
        <f>+Q78/Q76</f>
        <v>0.22541127056352817</v>
      </c>
      <c r="R77" s="97"/>
      <c r="S77" s="43">
        <f>+S78/S76</f>
        <v>0.20441824219014704</v>
      </c>
      <c r="T77" s="43">
        <f>+T78/T76</f>
        <v>0.17786624203821658</v>
      </c>
      <c r="U77" s="43">
        <f>+U78/U76</f>
        <v>0.15189492943021432</v>
      </c>
      <c r="V77" s="43">
        <f>+V78/V76</f>
        <v>0.17149930176463121</v>
      </c>
      <c r="W77" s="132"/>
      <c r="X77" s="114">
        <f>+X78/X76</f>
        <v>0.15000927586420135</v>
      </c>
      <c r="Y77" s="114">
        <f>+Y78/Y76</f>
        <v>0.17024692859749421</v>
      </c>
      <c r="Z77" s="62">
        <f>U77*1.2</f>
        <v>0.18227391531625717</v>
      </c>
      <c r="AA77" s="62">
        <f>V77*1.2</f>
        <v>0.20579916211755744</v>
      </c>
      <c r="AB77" s="97"/>
      <c r="AC77" s="62">
        <f>X77*1.2</f>
        <v>0.18001113103704161</v>
      </c>
      <c r="AD77" s="62">
        <f>Y77*1.05</f>
        <v>0.17875927502736894</v>
      </c>
      <c r="AE77" s="62">
        <f>Z77*1.05</f>
        <v>0.19138761108207003</v>
      </c>
      <c r="AF77" s="62">
        <f>AA77*1.05</f>
        <v>0.21608912022343532</v>
      </c>
      <c r="AG77" s="97"/>
      <c r="AH77" s="62">
        <f>AC77*1.05</f>
        <v>0.1890116875888937</v>
      </c>
      <c r="AI77" s="62">
        <f t="shared" ref="AI77:AK77" si="226">AD77*1.05</f>
        <v>0.1876972387787374</v>
      </c>
      <c r="AJ77" s="62">
        <f t="shared" si="226"/>
        <v>0.20095699163617353</v>
      </c>
      <c r="AK77" s="62">
        <f t="shared" si="226"/>
        <v>0.2268935762346071</v>
      </c>
      <c r="AL77" s="97"/>
      <c r="AM77" s="477">
        <f>AH77*1.05</f>
        <v>0.19846227196833838</v>
      </c>
      <c r="AN77" s="477">
        <f>AI77*1.05</f>
        <v>0.19708210071767426</v>
      </c>
      <c r="AO77" s="477">
        <f>AJ77*1.05</f>
        <v>0.21100484121798221</v>
      </c>
      <c r="AP77" s="477">
        <f>AK77*1.05</f>
        <v>0.23823825504633747</v>
      </c>
      <c r="AQ77" s="97"/>
      <c r="AR77" s="477">
        <f>AM77*1.03</f>
        <v>0.20441614012738854</v>
      </c>
      <c r="AS77" s="477">
        <f>AN77*1.03</f>
        <v>0.20299456373920449</v>
      </c>
      <c r="AT77" s="477">
        <f>AO77*1.03</f>
        <v>0.21733498645452168</v>
      </c>
      <c r="AU77" s="477">
        <f>AP77*1.03</f>
        <v>0.2453854026977276</v>
      </c>
      <c r="AV77" s="97"/>
    </row>
    <row r="78" spans="2:48" s="8" customFormat="1" outlineLevel="1" x14ac:dyDescent="0.3">
      <c r="B78" s="587" t="s">
        <v>116</v>
      </c>
      <c r="C78" s="588"/>
      <c r="D78" s="50">
        <v>1278.0999999999999</v>
      </c>
      <c r="E78" s="50">
        <v>1309.4000000000001</v>
      </c>
      <c r="F78" s="103">
        <v>1352.8</v>
      </c>
      <c r="G78" s="50">
        <v>1315.9</v>
      </c>
      <c r="H78" s="97">
        <f>SUM(D78:G78)</f>
        <v>5256.2000000000007</v>
      </c>
      <c r="I78" s="50">
        <v>1309.7</v>
      </c>
      <c r="J78" s="50">
        <v>902.4</v>
      </c>
      <c r="K78" s="103">
        <v>875.5</v>
      </c>
      <c r="L78" s="50">
        <v>1298.3</v>
      </c>
      <c r="M78" s="97">
        <f>SUM(I78:L78)</f>
        <v>4385.8999999999996</v>
      </c>
      <c r="N78" s="50">
        <v>1441.7</v>
      </c>
      <c r="O78" s="50">
        <v>1384.7</v>
      </c>
      <c r="P78" s="50">
        <v>1433.3</v>
      </c>
      <c r="Q78" s="103">
        <v>1610</v>
      </c>
      <c r="R78" s="97">
        <f>SUM(N78:Q78)</f>
        <v>5869.7</v>
      </c>
      <c r="S78" s="50">
        <v>1508.3</v>
      </c>
      <c r="T78" s="50">
        <v>1340.4</v>
      </c>
      <c r="U78" s="50">
        <v>1162.3</v>
      </c>
      <c r="V78" s="50">
        <v>1350.9</v>
      </c>
      <c r="W78" s="132">
        <f>SUM(S78:V78)</f>
        <v>5361.9</v>
      </c>
      <c r="X78" s="103">
        <v>1212.9000000000001</v>
      </c>
      <c r="Y78" s="103">
        <v>1399.6</v>
      </c>
      <c r="Z78" s="50">
        <f>Z77*Z76</f>
        <v>1541.6727757449032</v>
      </c>
      <c r="AA78" s="50">
        <f>AA77*AA76</f>
        <v>1802.3890618255682</v>
      </c>
      <c r="AB78" s="97">
        <f>SUM(X78:AA78)</f>
        <v>5956.5618375704717</v>
      </c>
      <c r="AC78" s="50">
        <f>AC77*AC76</f>
        <v>1627.3006245748561</v>
      </c>
      <c r="AD78" s="50">
        <f>AD77*AD76</f>
        <v>1663.1762948546407</v>
      </c>
      <c r="AE78" s="50">
        <f>AE77*AE76</f>
        <v>1831.1966628332461</v>
      </c>
      <c r="AF78" s="50">
        <f>AF77*AF76</f>
        <v>2125.020408277263</v>
      </c>
      <c r="AG78" s="97">
        <f>SUM(AC78:AF78)</f>
        <v>7246.6939905400068</v>
      </c>
      <c r="AH78" s="50">
        <f>AH77*AH76</f>
        <v>1909.9631030857709</v>
      </c>
      <c r="AI78" s="50">
        <f>AI77*AI76</f>
        <v>1948.1096412845154</v>
      </c>
      <c r="AJ78" s="50">
        <f>AJ77*AJ76</f>
        <v>2140.7948319001566</v>
      </c>
      <c r="AK78" s="50">
        <f>AK77*AK76</f>
        <v>2479.4930010917865</v>
      </c>
      <c r="AL78" s="97">
        <f>SUM(AH78:AK78)</f>
        <v>8478.3605773622294</v>
      </c>
      <c r="AM78" s="50">
        <f>AM77*AM76</f>
        <v>2209.0835492795745</v>
      </c>
      <c r="AN78" s="50">
        <f>AN77*AN76</f>
        <v>2219.3415361817297</v>
      </c>
      <c r="AO78" s="50">
        <f>AO77*AO76</f>
        <v>2403.5561463140352</v>
      </c>
      <c r="AP78" s="50">
        <f>AP77*AP76</f>
        <v>2744.7429363888541</v>
      </c>
      <c r="AQ78" s="97">
        <f>SUM(AM78:AP78)</f>
        <v>9576.7241681641935</v>
      </c>
      <c r="AR78" s="50">
        <f>AR77*AR76</f>
        <v>2381.6524486242038</v>
      </c>
      <c r="AS78" s="50">
        <f>AS77*AS76</f>
        <v>2391.4789554115682</v>
      </c>
      <c r="AT78" s="50">
        <f>AT77*AT76</f>
        <v>2588.6770236598077</v>
      </c>
      <c r="AU78" s="50">
        <f>AU77*AU76</f>
        <v>2954.6856338833381</v>
      </c>
      <c r="AV78" s="97">
        <f>SUM(AR78:AU78)</f>
        <v>10316.494061578918</v>
      </c>
    </row>
    <row r="79" spans="2:48" s="8" customFormat="1" outlineLevel="1" x14ac:dyDescent="0.3">
      <c r="B79" s="38" t="s">
        <v>200</v>
      </c>
      <c r="C79" s="206"/>
      <c r="D79" s="43"/>
      <c r="E79" s="43"/>
      <c r="F79" s="43"/>
      <c r="G79" s="43"/>
      <c r="H79" s="97"/>
      <c r="I79" s="27">
        <f>I78/D78-1</f>
        <v>2.4724199984351936E-2</v>
      </c>
      <c r="J79" s="27">
        <f>J78/E78-1</f>
        <v>-0.31082938750572786</v>
      </c>
      <c r="K79" s="27">
        <f>K78/F78-1</f>
        <v>-0.35282377291543465</v>
      </c>
      <c r="L79" s="27">
        <f>L78/G78-1</f>
        <v>-1.3374876510373279E-2</v>
      </c>
      <c r="M79" s="97"/>
      <c r="N79" s="27">
        <f>N78/I78-1</f>
        <v>0.10078643964266631</v>
      </c>
      <c r="O79" s="27">
        <f>O78/J78-1</f>
        <v>0.53446365248226968</v>
      </c>
      <c r="P79" s="27">
        <f>P78/K78-1</f>
        <v>0.63712164477441457</v>
      </c>
      <c r="Q79" s="27">
        <f>Q78/L78-1</f>
        <v>0.24008318570438281</v>
      </c>
      <c r="R79" s="97"/>
      <c r="S79" s="27">
        <f t="shared" ref="S79:AP79" si="227">S78/N78-1</f>
        <v>4.6195463688700755E-2</v>
      </c>
      <c r="T79" s="27">
        <f t="shared" si="227"/>
        <v>-3.1992489347873132E-2</v>
      </c>
      <c r="U79" s="27">
        <f t="shared" si="227"/>
        <v>-0.18907416451545389</v>
      </c>
      <c r="V79" s="27">
        <f t="shared" si="227"/>
        <v>-0.16093167701863353</v>
      </c>
      <c r="W79" s="375">
        <f t="shared" si="227"/>
        <v>-8.6512087500212997E-2</v>
      </c>
      <c r="X79" s="113">
        <f t="shared" si="227"/>
        <v>-0.19584963203606698</v>
      </c>
      <c r="Y79" s="113">
        <f t="shared" si="227"/>
        <v>4.416592062071012E-2</v>
      </c>
      <c r="Z79" s="27">
        <f t="shared" si="227"/>
        <v>0.32639832723470996</v>
      </c>
      <c r="AA79" s="27">
        <f t="shared" si="227"/>
        <v>0.33421353307096613</v>
      </c>
      <c r="AB79" s="375">
        <f t="shared" si="227"/>
        <v>0.11090505932047812</v>
      </c>
      <c r="AC79" s="27">
        <f t="shared" si="227"/>
        <v>0.34166099808298789</v>
      </c>
      <c r="AD79" s="27">
        <f t="shared" si="227"/>
        <v>0.1883225884928843</v>
      </c>
      <c r="AE79" s="27">
        <f t="shared" si="227"/>
        <v>0.18779853393237178</v>
      </c>
      <c r="AF79" s="27">
        <f t="shared" si="227"/>
        <v>0.17900205526375879</v>
      </c>
      <c r="AG79" s="375">
        <f t="shared" si="227"/>
        <v>0.21659007127772001</v>
      </c>
      <c r="AH79" s="27">
        <f t="shared" si="227"/>
        <v>0.17370022123893825</v>
      </c>
      <c r="AI79" s="27">
        <f t="shared" si="227"/>
        <v>0.17131878761822872</v>
      </c>
      <c r="AJ79" s="27">
        <f t="shared" si="227"/>
        <v>0.16906877090300987</v>
      </c>
      <c r="AK79" s="27">
        <f t="shared" si="227"/>
        <v>0.16680902989627833</v>
      </c>
      <c r="AL79" s="375">
        <f t="shared" si="227"/>
        <v>0.16996254960262802</v>
      </c>
      <c r="AM79" s="27">
        <f t="shared" si="227"/>
        <v>0.15661058881741718</v>
      </c>
      <c r="AN79" s="27">
        <f t="shared" si="227"/>
        <v>0.13922824934964817</v>
      </c>
      <c r="AO79" s="27">
        <f t="shared" si="227"/>
        <v>0.12274007321881153</v>
      </c>
      <c r="AP79" s="27">
        <f t="shared" si="227"/>
        <v>0.10697748901903381</v>
      </c>
      <c r="AQ79" s="97"/>
      <c r="AR79" s="27">
        <f>AR78/AM78-1</f>
        <v>7.8117869014464159E-2</v>
      </c>
      <c r="AS79" s="27">
        <f>AS78/AN78-1</f>
        <v>7.7562383447296046E-2</v>
      </c>
      <c r="AT79" s="27">
        <f>AT78/AO78-1</f>
        <v>7.7019576858923688E-2</v>
      </c>
      <c r="AU79" s="27">
        <f>AU78/AP78-1</f>
        <v>7.6489020050342971E-2</v>
      </c>
      <c r="AV79" s="97"/>
    </row>
    <row r="80" spans="2:48" outlineLevel="1" x14ac:dyDescent="0.3">
      <c r="B80" s="236" t="s">
        <v>44</v>
      </c>
      <c r="C80" s="221"/>
      <c r="D80" s="222">
        <v>0.01</v>
      </c>
      <c r="E80" s="222">
        <v>0</v>
      </c>
      <c r="F80" s="222">
        <v>0.01</v>
      </c>
      <c r="G80" s="222">
        <v>0.01</v>
      </c>
      <c r="H80" s="223"/>
      <c r="I80" s="222">
        <v>-0.01</v>
      </c>
      <c r="J80" s="222">
        <v>-0.32</v>
      </c>
      <c r="K80" s="222">
        <v>-0.44</v>
      </c>
      <c r="L80" s="224">
        <v>-0.15</v>
      </c>
      <c r="M80" s="223"/>
      <c r="N80" s="222">
        <v>-0.03</v>
      </c>
      <c r="O80" s="222">
        <v>0.26</v>
      </c>
      <c r="P80" s="222">
        <v>0.55000000000000004</v>
      </c>
      <c r="Q80" s="222">
        <v>0.06</v>
      </c>
      <c r="R80" s="225"/>
      <c r="S80" s="224">
        <v>0.02</v>
      </c>
      <c r="T80" s="224">
        <v>-0.03</v>
      </c>
      <c r="U80" s="224">
        <v>-0.18</v>
      </c>
      <c r="V80" s="224">
        <v>-0.05</v>
      </c>
      <c r="W80" s="223"/>
      <c r="X80" s="222">
        <v>-0.12</v>
      </c>
      <c r="Y80" s="222">
        <v>7.0000000000000007E-2</v>
      </c>
      <c r="Z80" s="224"/>
      <c r="AA80" s="224"/>
      <c r="AB80" s="225"/>
      <c r="AC80" s="224"/>
      <c r="AD80" s="224"/>
      <c r="AE80" s="224"/>
      <c r="AF80" s="224"/>
      <c r="AG80" s="225"/>
      <c r="AH80" s="224"/>
      <c r="AI80" s="224"/>
      <c r="AJ80" s="224"/>
      <c r="AK80" s="224"/>
      <c r="AL80" s="225"/>
      <c r="AM80" s="224"/>
      <c r="AN80" s="224"/>
      <c r="AO80" s="224"/>
      <c r="AP80" s="224"/>
      <c r="AQ80" s="225"/>
      <c r="AR80" s="224"/>
      <c r="AS80" s="224"/>
      <c r="AT80" s="224"/>
      <c r="AU80" s="224"/>
      <c r="AV80" s="225"/>
    </row>
    <row r="81" spans="1:48" outlineLevel="1" x14ac:dyDescent="0.3">
      <c r="B81" s="180" t="s">
        <v>43</v>
      </c>
      <c r="C81" s="207"/>
      <c r="D81" s="151">
        <v>0.01</v>
      </c>
      <c r="E81" s="151">
        <v>0.02</v>
      </c>
      <c r="F81" s="151">
        <v>0.03</v>
      </c>
      <c r="G81" s="151">
        <v>0.03</v>
      </c>
      <c r="H81" s="60"/>
      <c r="I81" s="151">
        <v>0.02</v>
      </c>
      <c r="J81" s="151">
        <v>0.01</v>
      </c>
      <c r="K81" s="151">
        <v>0.13</v>
      </c>
      <c r="L81" s="59">
        <v>7.0000000000000007E-2</v>
      </c>
      <c r="M81" s="60"/>
      <c r="N81" s="151">
        <v>-0.1</v>
      </c>
      <c r="O81" s="59">
        <v>7.0000000000000007E-2</v>
      </c>
      <c r="P81" s="59">
        <v>-0.09</v>
      </c>
      <c r="Q81" s="151">
        <v>-0.02</v>
      </c>
      <c r="R81" s="60"/>
      <c r="S81" s="59">
        <v>-0.05</v>
      </c>
      <c r="T81" s="59">
        <v>-0.05</v>
      </c>
      <c r="U81" s="59">
        <v>-0.15</v>
      </c>
      <c r="V81" s="59">
        <v>-0.01</v>
      </c>
      <c r="W81" s="148"/>
      <c r="X81" s="151">
        <v>-0.01</v>
      </c>
      <c r="Y81" s="151">
        <v>0</v>
      </c>
      <c r="Z81" s="59"/>
      <c r="AA81" s="59"/>
      <c r="AB81" s="60"/>
      <c r="AC81" s="59"/>
      <c r="AD81" s="59"/>
      <c r="AE81" s="59"/>
      <c r="AF81" s="59"/>
      <c r="AG81" s="60"/>
      <c r="AH81" s="59"/>
      <c r="AI81" s="59"/>
      <c r="AJ81" s="59"/>
      <c r="AK81" s="59"/>
      <c r="AL81" s="60"/>
      <c r="AM81" s="59"/>
      <c r="AN81" s="59"/>
      <c r="AO81" s="59"/>
      <c r="AP81" s="59"/>
      <c r="AQ81" s="60"/>
      <c r="AR81" s="59"/>
      <c r="AS81" s="59"/>
      <c r="AT81" s="59"/>
      <c r="AU81" s="59"/>
      <c r="AV81" s="60"/>
    </row>
    <row r="82" spans="1:48" s="8" customFormat="1" outlineLevel="1" x14ac:dyDescent="0.3">
      <c r="B82" s="208" t="s">
        <v>45</v>
      </c>
      <c r="C82" s="206"/>
      <c r="D82" s="152">
        <v>0.02</v>
      </c>
      <c r="E82" s="152">
        <v>0.02</v>
      </c>
      <c r="F82" s="152">
        <v>0.05</v>
      </c>
      <c r="G82" s="152">
        <v>0.03</v>
      </c>
      <c r="H82" s="61"/>
      <c r="I82" s="152">
        <v>0.01</v>
      </c>
      <c r="J82" s="152">
        <v>-0.31</v>
      </c>
      <c r="K82" s="152">
        <v>-0.37</v>
      </c>
      <c r="L82" s="157">
        <v>-0.1</v>
      </c>
      <c r="M82" s="61"/>
      <c r="N82" s="152">
        <v>0.08</v>
      </c>
      <c r="O82" s="152">
        <v>0.35</v>
      </c>
      <c r="P82" s="152">
        <v>0.41</v>
      </c>
      <c r="Q82" s="152">
        <v>0.03</v>
      </c>
      <c r="R82" s="377">
        <f>R92/M92-1</f>
        <v>0.32353965857623956</v>
      </c>
      <c r="S82" s="152">
        <v>-0.03</v>
      </c>
      <c r="T82" s="152">
        <v>-0.08</v>
      </c>
      <c r="U82" s="152">
        <v>-0.04</v>
      </c>
      <c r="V82" s="152">
        <v>-0.05</v>
      </c>
      <c r="W82" s="377">
        <f>W92/R92-1</f>
        <v>1.4886958556345364E-2</v>
      </c>
      <c r="X82" s="152">
        <v>-0.13</v>
      </c>
      <c r="Y82" s="157">
        <v>7.0000000000000007E-2</v>
      </c>
      <c r="Z82" s="157"/>
      <c r="AA82" s="157"/>
      <c r="AB82" s="377">
        <f>AB92/W92-1</f>
        <v>0.15048588452842293</v>
      </c>
      <c r="AC82" s="157"/>
      <c r="AD82" s="157"/>
      <c r="AE82" s="157"/>
      <c r="AF82" s="157"/>
      <c r="AG82" s="377">
        <f>AG92/AB92-1</f>
        <v>0.19972979038009497</v>
      </c>
      <c r="AH82" s="157"/>
      <c r="AI82" s="157"/>
      <c r="AJ82" s="157"/>
      <c r="AK82" s="157"/>
      <c r="AL82" s="377">
        <f>AL92/AG92-1</f>
        <v>0.16304992041671484</v>
      </c>
      <c r="AM82" s="157"/>
      <c r="AN82" s="157"/>
      <c r="AO82" s="157"/>
      <c r="AP82" s="157">
        <v>0.04</v>
      </c>
      <c r="AQ82" s="134"/>
      <c r="AR82" s="157"/>
      <c r="AS82" s="157"/>
      <c r="AT82" s="157"/>
      <c r="AU82" s="157">
        <v>0.04</v>
      </c>
      <c r="AV82" s="61"/>
    </row>
    <row r="83" spans="1:48" s="8" customFormat="1" outlineLevel="1" x14ac:dyDescent="0.3">
      <c r="B83" s="597" t="s">
        <v>117</v>
      </c>
      <c r="C83" s="598"/>
      <c r="D83" s="117">
        <v>6373</v>
      </c>
      <c r="E83" s="117">
        <v>6586</v>
      </c>
      <c r="F83" s="117">
        <v>7127</v>
      </c>
      <c r="G83" s="117">
        <v>7329</v>
      </c>
      <c r="H83" s="192">
        <f>G83</f>
        <v>7329</v>
      </c>
      <c r="I83" s="117">
        <v>7533</v>
      </c>
      <c r="J83" s="117">
        <v>7642</v>
      </c>
      <c r="K83" s="117">
        <v>7691</v>
      </c>
      <c r="L83" s="117">
        <v>9735</v>
      </c>
      <c r="M83" s="192">
        <f>L83</f>
        <v>9735</v>
      </c>
      <c r="N83" s="117">
        <v>7917</v>
      </c>
      <c r="O83" s="67">
        <f>+N83+O84</f>
        <v>7987</v>
      </c>
      <c r="P83" s="67">
        <f t="shared" ref="P83" si="228">+O83+P84</f>
        <v>8107</v>
      </c>
      <c r="Q83" s="67">
        <v>9735</v>
      </c>
      <c r="R83" s="192">
        <f>Q83</f>
        <v>9735</v>
      </c>
      <c r="S83" s="67">
        <f>+Q83+S84</f>
        <v>9944</v>
      </c>
      <c r="T83" s="67">
        <f>+S83+T84</f>
        <v>10117</v>
      </c>
      <c r="U83" s="67">
        <f t="shared" ref="U83:V83" si="229">+T83+U84</f>
        <v>10181</v>
      </c>
      <c r="V83" s="67">
        <f t="shared" si="229"/>
        <v>10379</v>
      </c>
      <c r="W83" s="253">
        <f>V83</f>
        <v>10379</v>
      </c>
      <c r="X83" s="117">
        <f>+V83+X84</f>
        <v>10655</v>
      </c>
      <c r="Y83" s="117">
        <f>+X83+Y84</f>
        <v>10844</v>
      </c>
      <c r="Z83" s="67">
        <f t="shared" ref="Z83:AA83" si="230">+Y83+Z84</f>
        <v>11144</v>
      </c>
      <c r="AA83" s="67">
        <f t="shared" si="230"/>
        <v>11444</v>
      </c>
      <c r="AB83" s="192">
        <f>AA83</f>
        <v>11444</v>
      </c>
      <c r="AC83" s="67">
        <f>+AA83+AC84</f>
        <v>11688</v>
      </c>
      <c r="AD83" s="67">
        <f>+AC83+AD84</f>
        <v>11932</v>
      </c>
      <c r="AE83" s="67">
        <f t="shared" ref="AE83:AF83" si="231">+AD83+AE84</f>
        <v>12176</v>
      </c>
      <c r="AF83" s="67">
        <f t="shared" si="231"/>
        <v>12422</v>
      </c>
      <c r="AG83" s="192">
        <f>AF83</f>
        <v>12422</v>
      </c>
      <c r="AH83" s="67">
        <f>+AF83+AH84</f>
        <v>12675</v>
      </c>
      <c r="AI83" s="67">
        <f>+AH83+AI84</f>
        <v>12928</v>
      </c>
      <c r="AJ83" s="67">
        <f t="shared" ref="AJ83:AK83" si="232">+AI83+AJ84</f>
        <v>13181</v>
      </c>
      <c r="AK83" s="67">
        <f t="shared" si="232"/>
        <v>13435</v>
      </c>
      <c r="AL83" s="192">
        <f>AK83</f>
        <v>13435</v>
      </c>
      <c r="AM83" s="67">
        <f>+AK83+AM84</f>
        <v>13499</v>
      </c>
      <c r="AN83" s="67">
        <f>+AM83+AN84</f>
        <v>13563</v>
      </c>
      <c r="AO83" s="67">
        <f t="shared" ref="AO83:AP83" si="233">+AN83+AO84</f>
        <v>13627</v>
      </c>
      <c r="AP83" s="67">
        <f t="shared" si="233"/>
        <v>13691</v>
      </c>
      <c r="AQ83" s="192">
        <f>AP83</f>
        <v>13691</v>
      </c>
      <c r="AR83" s="67">
        <f>+AP83+AR84</f>
        <v>13755</v>
      </c>
      <c r="AS83" s="67">
        <f>+AR83+AS84</f>
        <v>13819</v>
      </c>
      <c r="AT83" s="67">
        <f t="shared" ref="AT83:AU83" si="234">+AS83+AT84</f>
        <v>13883</v>
      </c>
      <c r="AU83" s="67">
        <f t="shared" si="234"/>
        <v>13947</v>
      </c>
      <c r="AV83" s="192">
        <f>AU83</f>
        <v>13947</v>
      </c>
    </row>
    <row r="84" spans="1:48" outlineLevel="1" x14ac:dyDescent="0.3">
      <c r="B84" s="180" t="s">
        <v>47</v>
      </c>
      <c r="C84" s="201"/>
      <c r="D84" s="101">
        <f>+D83-6201</f>
        <v>172</v>
      </c>
      <c r="E84" s="101">
        <f>+E83-D83</f>
        <v>213</v>
      </c>
      <c r="F84" s="101">
        <f t="shared" ref="F84:G84" si="235">+F83-E83</f>
        <v>541</v>
      </c>
      <c r="G84" s="101">
        <f t="shared" si="235"/>
        <v>202</v>
      </c>
      <c r="H84" s="122">
        <f>+SUM(D84:G84)</f>
        <v>1128</v>
      </c>
      <c r="I84" s="101">
        <f>+I83-G83</f>
        <v>204</v>
      </c>
      <c r="J84" s="101">
        <f t="shared" ref="J84:K84" si="236">+J83-I83</f>
        <v>109</v>
      </c>
      <c r="K84" s="101">
        <f t="shared" si="236"/>
        <v>49</v>
      </c>
      <c r="L84" s="101">
        <v>82</v>
      </c>
      <c r="M84" s="122">
        <f>+SUM(I84:L84)</f>
        <v>444</v>
      </c>
      <c r="N84" s="101">
        <v>139</v>
      </c>
      <c r="O84" s="101">
        <v>70</v>
      </c>
      <c r="P84" s="101">
        <v>120</v>
      </c>
      <c r="Q84" s="101">
        <v>205</v>
      </c>
      <c r="R84" s="122">
        <f>+SUM(N84:Q84)</f>
        <v>534</v>
      </c>
      <c r="S84" s="101">
        <v>209</v>
      </c>
      <c r="T84" s="101">
        <v>173</v>
      </c>
      <c r="U84" s="101">
        <v>64</v>
      </c>
      <c r="V84" s="101">
        <v>198</v>
      </c>
      <c r="W84" s="122">
        <f>+SUM(S84:V84)</f>
        <v>644</v>
      </c>
      <c r="X84" s="101">
        <v>276</v>
      </c>
      <c r="Y84" s="101">
        <v>189</v>
      </c>
      <c r="Z84" s="33">
        <v>300</v>
      </c>
      <c r="AA84" s="33">
        <v>300</v>
      </c>
      <c r="AB84" s="122">
        <f>+SUM(X84:AA84)</f>
        <v>1065</v>
      </c>
      <c r="AC84" s="33">
        <v>244</v>
      </c>
      <c r="AD84" s="33">
        <v>244</v>
      </c>
      <c r="AE84" s="33">
        <v>244</v>
      </c>
      <c r="AF84" s="33">
        <v>246</v>
      </c>
      <c r="AG84" s="122">
        <f>+SUM(AC84:AF84)</f>
        <v>978</v>
      </c>
      <c r="AH84" s="33">
        <v>253</v>
      </c>
      <c r="AI84" s="33">
        <v>253</v>
      </c>
      <c r="AJ84" s="33">
        <v>253</v>
      </c>
      <c r="AK84" s="33">
        <v>254</v>
      </c>
      <c r="AL84" s="122">
        <f>+SUM(AH84:AK84)</f>
        <v>1013</v>
      </c>
      <c r="AM84" s="33">
        <v>64</v>
      </c>
      <c r="AN84" s="33">
        <v>64</v>
      </c>
      <c r="AO84" s="33">
        <v>64</v>
      </c>
      <c r="AP84" s="33">
        <v>64</v>
      </c>
      <c r="AQ84" s="122">
        <f>+SUM(AM84:AP84)</f>
        <v>256</v>
      </c>
      <c r="AR84" s="33">
        <v>64</v>
      </c>
      <c r="AS84" s="33">
        <v>64</v>
      </c>
      <c r="AT84" s="33">
        <v>64</v>
      </c>
      <c r="AU84" s="33">
        <v>64</v>
      </c>
      <c r="AV84" s="122">
        <f>+SUM(AR84:AU84)</f>
        <v>256</v>
      </c>
    </row>
    <row r="85" spans="1:48" outlineLevel="1" x14ac:dyDescent="0.3">
      <c r="B85" s="180" t="s">
        <v>49</v>
      </c>
      <c r="C85" s="201"/>
      <c r="D85" s="16">
        <f>AVERAGE(D83,6201)</f>
        <v>6287</v>
      </c>
      <c r="E85" s="16">
        <f>AVERAGE(E83,D83)</f>
        <v>6479.5</v>
      </c>
      <c r="F85" s="16">
        <f t="shared" ref="F85:G85" si="237">AVERAGE(F83,E83)</f>
        <v>6856.5</v>
      </c>
      <c r="G85" s="16">
        <f t="shared" si="237"/>
        <v>7228</v>
      </c>
      <c r="H85" s="26"/>
      <c r="I85" s="16">
        <f>AVERAGE(I83,G83)</f>
        <v>7431</v>
      </c>
      <c r="J85" s="16">
        <f>AVERAGE(J83,I83)</f>
        <v>7587.5</v>
      </c>
      <c r="K85" s="16">
        <f t="shared" ref="K85:L85" si="238">AVERAGE(K83,J83)</f>
        <v>7666.5</v>
      </c>
      <c r="L85" s="16">
        <f t="shared" si="238"/>
        <v>8713</v>
      </c>
      <c r="M85" s="6"/>
      <c r="N85" s="16">
        <f>AVERAGE(N83,L83)</f>
        <v>8826</v>
      </c>
      <c r="O85" s="16">
        <f>AVERAGE(O83,N83)</f>
        <v>7952</v>
      </c>
      <c r="P85" s="16">
        <f t="shared" ref="P85:Q85" si="239">AVERAGE(P83,O83)</f>
        <v>8047</v>
      </c>
      <c r="Q85" s="16">
        <f t="shared" si="239"/>
        <v>8921</v>
      </c>
      <c r="R85" s="6"/>
      <c r="S85" s="16">
        <f>AVERAGE(S83,Q83)</f>
        <v>9839.5</v>
      </c>
      <c r="T85" s="16">
        <f>AVERAGE(T83,S83)</f>
        <v>10030.5</v>
      </c>
      <c r="U85" s="16">
        <f t="shared" ref="U85:V85" si="240">AVERAGE(U83,T83)</f>
        <v>10149</v>
      </c>
      <c r="V85" s="16">
        <f t="shared" si="240"/>
        <v>10280</v>
      </c>
      <c r="W85" s="130"/>
      <c r="X85" s="101">
        <f>AVERAGE(X83,V83)</f>
        <v>10517</v>
      </c>
      <c r="Y85" s="101">
        <f>AVERAGE(Y83,X83)</f>
        <v>10749.5</v>
      </c>
      <c r="Z85" s="16">
        <f t="shared" ref="Z85:AA85" si="241">AVERAGE(Z83,Y83)</f>
        <v>10994</v>
      </c>
      <c r="AA85" s="16">
        <f t="shared" si="241"/>
        <v>11294</v>
      </c>
      <c r="AB85" s="6"/>
      <c r="AC85" s="16">
        <f>AVERAGE(AC83,AA83)</f>
        <v>11566</v>
      </c>
      <c r="AD85" s="16">
        <f>AVERAGE(AD83,AC83)</f>
        <v>11810</v>
      </c>
      <c r="AE85" s="16">
        <f t="shared" ref="AE85:AF85" si="242">AVERAGE(AE83,AD83)</f>
        <v>12054</v>
      </c>
      <c r="AF85" s="16">
        <f t="shared" si="242"/>
        <v>12299</v>
      </c>
      <c r="AG85" s="6"/>
      <c r="AH85" s="16">
        <f>AVERAGE(AH83,AF83)</f>
        <v>12548.5</v>
      </c>
      <c r="AI85" s="16">
        <f>AVERAGE(AI83,AH83)</f>
        <v>12801.5</v>
      </c>
      <c r="AJ85" s="16">
        <f t="shared" ref="AJ85:AK85" si="243">AVERAGE(AJ83,AI83)</f>
        <v>13054.5</v>
      </c>
      <c r="AK85" s="16">
        <f t="shared" si="243"/>
        <v>13308</v>
      </c>
      <c r="AL85" s="6"/>
      <c r="AM85" s="16">
        <f>AVERAGE(AM83,AK83)</f>
        <v>13467</v>
      </c>
      <c r="AN85" s="16">
        <f>AVERAGE(AN83,AM83)</f>
        <v>13531</v>
      </c>
      <c r="AO85" s="16">
        <f t="shared" ref="AO85:AP85" si="244">AVERAGE(AO83,AN83)</f>
        <v>13595</v>
      </c>
      <c r="AP85" s="16">
        <f t="shared" si="244"/>
        <v>13659</v>
      </c>
      <c r="AQ85" s="6"/>
      <c r="AR85" s="16">
        <f>AVERAGE(AR83,AP83)</f>
        <v>13723</v>
      </c>
      <c r="AS85" s="16">
        <f>AVERAGE(AS83,AR83)</f>
        <v>13787</v>
      </c>
      <c r="AT85" s="16">
        <f t="shared" ref="AT85:AU85" si="245">AVERAGE(AT83,AS83)</f>
        <v>13851</v>
      </c>
      <c r="AU85" s="16">
        <f t="shared" si="245"/>
        <v>13915</v>
      </c>
      <c r="AV85" s="6"/>
    </row>
    <row r="86" spans="1:48" outlineLevel="1" x14ac:dyDescent="0.3">
      <c r="B86" s="180" t="s">
        <v>48</v>
      </c>
      <c r="C86" s="201"/>
      <c r="D86" s="43">
        <f>+D87/D85</f>
        <v>3.5390488309209482E-2</v>
      </c>
      <c r="E86" s="114">
        <f>+E87/E85</f>
        <v>3.3197005941816495E-2</v>
      </c>
      <c r="F86" s="114">
        <f>+F87/F85</f>
        <v>3.335521038430686E-2</v>
      </c>
      <c r="G86" s="114">
        <f>+G87/G85</f>
        <v>3.468456004427227E-2</v>
      </c>
      <c r="H86" s="26"/>
      <c r="I86" s="114">
        <f t="shared" ref="I86:S86" si="246">+I87/I85</f>
        <v>3.4275333064190554E-2</v>
      </c>
      <c r="J86" s="114">
        <f t="shared" si="246"/>
        <v>2.97331136738056E-2</v>
      </c>
      <c r="K86" s="114">
        <f t="shared" si="246"/>
        <v>8.4784451835909474E-3</v>
      </c>
      <c r="L86" s="114">
        <f t="shared" si="246"/>
        <v>2.3837943303110294E-2</v>
      </c>
      <c r="M86" s="6"/>
      <c r="N86" s="114">
        <f t="shared" si="246"/>
        <v>2.2388397915250397E-2</v>
      </c>
      <c r="O86" s="114">
        <f t="shared" si="246"/>
        <v>2.5251509054325959E-2</v>
      </c>
      <c r="P86" s="114">
        <f t="shared" si="246"/>
        <v>2.6307940847520812E-2</v>
      </c>
      <c r="Q86" s="114">
        <f t="shared" si="246"/>
        <v>3.228337630310503E-2</v>
      </c>
      <c r="R86" s="6"/>
      <c r="S86" s="114">
        <f t="shared" si="246"/>
        <v>3.4036282331419275E-2</v>
      </c>
      <c r="T86" s="114">
        <f>+T87/T85</f>
        <v>3.4145855141817456E-2</v>
      </c>
      <c r="U86" s="114">
        <f>+U87/U85</f>
        <v>4.065425165040891E-2</v>
      </c>
      <c r="V86" s="114">
        <f>+V87/V85</f>
        <v>4.0369649805447473E-2</v>
      </c>
      <c r="W86" s="130"/>
      <c r="X86" s="114">
        <f t="shared" ref="X86:Y86" si="247">+X87/X85</f>
        <v>4.1789483693068369E-2</v>
      </c>
      <c r="Y86" s="114">
        <f t="shared" si="247"/>
        <v>4.0197218475277921E-2</v>
      </c>
      <c r="Z86" s="62">
        <f>U86*1.2</f>
        <v>4.8785101980490693E-2</v>
      </c>
      <c r="AA86" s="62">
        <f>V86*1.2</f>
        <v>4.8443579766536966E-2</v>
      </c>
      <c r="AB86" s="6"/>
      <c r="AC86" s="62">
        <f>X86*1.05</f>
        <v>4.3878957877721787E-2</v>
      </c>
      <c r="AD86" s="62">
        <f>Y86*1.05</f>
        <v>4.2207079399041822E-2</v>
      </c>
      <c r="AE86" s="62">
        <f>Z86*1.05</f>
        <v>5.1224357079515233E-2</v>
      </c>
      <c r="AF86" s="62">
        <f>AA86*1.05</f>
        <v>5.0865758754863814E-2</v>
      </c>
      <c r="AG86" s="6"/>
      <c r="AH86" s="62">
        <f>AC86*1.05</f>
        <v>4.6072905771607879E-2</v>
      </c>
      <c r="AI86" s="62">
        <f t="shared" ref="AI86:AK86" si="248">AD86*1.05</f>
        <v>4.4317433368993915E-2</v>
      </c>
      <c r="AJ86" s="62">
        <f t="shared" si="248"/>
        <v>5.3785574933490995E-2</v>
      </c>
      <c r="AK86" s="62">
        <f t="shared" si="248"/>
        <v>5.3409046692607008E-2</v>
      </c>
      <c r="AL86" s="6"/>
      <c r="AM86" s="477">
        <f>AH86*1.05</f>
        <v>4.8376551060188275E-2</v>
      </c>
      <c r="AN86" s="477">
        <f>AI86*1.05</f>
        <v>4.6533305037443615E-2</v>
      </c>
      <c r="AO86" s="477">
        <f>AJ86*1.05</f>
        <v>5.6474853680165547E-2</v>
      </c>
      <c r="AP86" s="477">
        <f>AK86*1.05</f>
        <v>5.6079499027237363E-2</v>
      </c>
      <c r="AQ86" s="97"/>
      <c r="AR86" s="477">
        <f>AM86*1.03</f>
        <v>4.9827847591993928E-2</v>
      </c>
      <c r="AS86" s="477">
        <f>AN86*1.03</f>
        <v>4.7929304188566925E-2</v>
      </c>
      <c r="AT86" s="477">
        <f>AO86*1.03</f>
        <v>5.8169099290570514E-2</v>
      </c>
      <c r="AU86" s="477">
        <f>AP86*1.03</f>
        <v>5.7761883998054486E-2</v>
      </c>
      <c r="AV86" s="6"/>
    </row>
    <row r="87" spans="1:48" s="8" customFormat="1" outlineLevel="1" x14ac:dyDescent="0.3">
      <c r="B87" s="603" t="s">
        <v>118</v>
      </c>
      <c r="C87" s="604"/>
      <c r="D87" s="115">
        <v>222.5</v>
      </c>
      <c r="E87" s="115">
        <v>215.1</v>
      </c>
      <c r="F87" s="115">
        <v>228.7</v>
      </c>
      <c r="G87" s="115">
        <v>250.7</v>
      </c>
      <c r="H87" s="73">
        <f>SUM(D87:G87)</f>
        <v>917</v>
      </c>
      <c r="I87" s="115">
        <v>254.7</v>
      </c>
      <c r="J87" s="115">
        <v>225.6</v>
      </c>
      <c r="K87" s="115">
        <v>65</v>
      </c>
      <c r="L87" s="72">
        <v>207.7</v>
      </c>
      <c r="M87" s="73">
        <f>SUM(I87:L87)</f>
        <v>753</v>
      </c>
      <c r="N87" s="72">
        <v>197.6</v>
      </c>
      <c r="O87" s="72">
        <v>200.8</v>
      </c>
      <c r="P87" s="72">
        <v>211.7</v>
      </c>
      <c r="Q87" s="115">
        <v>288</v>
      </c>
      <c r="R87" s="73">
        <f>SUM(N87:Q87)</f>
        <v>898.09999999999991</v>
      </c>
      <c r="S87" s="72">
        <v>334.9</v>
      </c>
      <c r="T87" s="72">
        <v>342.5</v>
      </c>
      <c r="U87" s="72">
        <v>412.6</v>
      </c>
      <c r="V87" s="72">
        <v>415</v>
      </c>
      <c r="W87" s="213">
        <f>SUM(S87:V87)</f>
        <v>1505</v>
      </c>
      <c r="X87" s="115">
        <v>439.5</v>
      </c>
      <c r="Y87" s="115">
        <v>432.1</v>
      </c>
      <c r="Z87" s="72">
        <f t="shared" ref="Z87:AA87" si="249">+Z85*Z86</f>
        <v>536.34341117351471</v>
      </c>
      <c r="AA87" s="72">
        <f t="shared" si="249"/>
        <v>547.12178988326855</v>
      </c>
      <c r="AB87" s="73">
        <f>SUM(X87:AA87)</f>
        <v>1955.0652010567833</v>
      </c>
      <c r="AC87" s="72">
        <f>+AC85*AC86</f>
        <v>507.50402681373021</v>
      </c>
      <c r="AD87" s="72">
        <f>+AD85*AD86</f>
        <v>498.46560770268394</v>
      </c>
      <c r="AE87" s="72">
        <f t="shared" ref="AE87:AF87" si="250">+AE85*AE86</f>
        <v>617.45840023647656</v>
      </c>
      <c r="AF87" s="72">
        <f t="shared" si="250"/>
        <v>625.59796692607006</v>
      </c>
      <c r="AG87" s="73">
        <f>SUM(AC87:AF87)</f>
        <v>2249.0260016789607</v>
      </c>
      <c r="AH87" s="72">
        <f>+AH85*AH86</f>
        <v>578.14585807502147</v>
      </c>
      <c r="AI87" s="72">
        <f>+AI85*AI86</f>
        <v>567.32962327317557</v>
      </c>
      <c r="AJ87" s="72">
        <f t="shared" ref="AJ87:AK87" si="251">+AJ85*AJ86</f>
        <v>702.14378796925826</v>
      </c>
      <c r="AK87" s="72">
        <f t="shared" si="251"/>
        <v>710.76759338521401</v>
      </c>
      <c r="AL87" s="73">
        <f>SUM(AH87:AK87)</f>
        <v>2558.3868627026695</v>
      </c>
      <c r="AM87" s="72">
        <f>+AM85*AM86</f>
        <v>651.48701312755554</v>
      </c>
      <c r="AN87" s="72">
        <f>+AN85*AN86</f>
        <v>629.64215046164952</v>
      </c>
      <c r="AO87" s="72">
        <f t="shared" ref="AO87:AP87" si="252">+AO85*AO86</f>
        <v>767.77563578185061</v>
      </c>
      <c r="AP87" s="72">
        <f t="shared" si="252"/>
        <v>765.98987721303513</v>
      </c>
      <c r="AQ87" s="73">
        <f>SUM(AM87:AP87)</f>
        <v>2814.8946765840906</v>
      </c>
      <c r="AR87" s="72">
        <f>+AR85*AR86</f>
        <v>683.78755250493271</v>
      </c>
      <c r="AS87" s="72">
        <f>+AS85*AS86</f>
        <v>660.80131684777223</v>
      </c>
      <c r="AT87" s="72">
        <f t="shared" ref="AT87:AU87" si="253">+AT85*AT86</f>
        <v>805.7001942736922</v>
      </c>
      <c r="AU87" s="72">
        <f t="shared" si="253"/>
        <v>803.75661583292822</v>
      </c>
      <c r="AV87" s="73">
        <f>SUM(AR87:AU87)</f>
        <v>2954.0456794593256</v>
      </c>
    </row>
    <row r="88" spans="1:48" s="8" customFormat="1" outlineLevel="1" x14ac:dyDescent="0.3">
      <c r="B88" s="587" t="s">
        <v>119</v>
      </c>
      <c r="C88" s="588"/>
      <c r="D88" s="103">
        <v>3.4</v>
      </c>
      <c r="E88" s="103">
        <v>4.9000000000000004</v>
      </c>
      <c r="F88" s="103">
        <v>3.8</v>
      </c>
      <c r="G88" s="103">
        <v>5.5</v>
      </c>
      <c r="H88" s="97">
        <f>SUM(D88:G88)</f>
        <v>17.600000000000001</v>
      </c>
      <c r="I88" s="103">
        <v>6.7</v>
      </c>
      <c r="J88" s="103">
        <v>6.6</v>
      </c>
      <c r="K88" s="103">
        <v>9.1</v>
      </c>
      <c r="L88" s="50">
        <v>5.3</v>
      </c>
      <c r="M88" s="97">
        <f>SUM(I88:L88)</f>
        <v>27.7</v>
      </c>
      <c r="N88" s="50">
        <v>15</v>
      </c>
      <c r="O88" s="50">
        <v>25.4</v>
      </c>
      <c r="P88" s="50">
        <v>13.4</v>
      </c>
      <c r="Q88" s="103">
        <v>16.600000000000001</v>
      </c>
      <c r="R88" s="97">
        <f>SUM(N88:Q88)</f>
        <v>70.400000000000006</v>
      </c>
      <c r="S88" s="50">
        <v>32.700000000000003</v>
      </c>
      <c r="T88" s="50">
        <v>19.5</v>
      </c>
      <c r="U88" s="50">
        <v>9.8000000000000007</v>
      </c>
      <c r="V88" s="50">
        <v>11.1</v>
      </c>
      <c r="W88" s="132">
        <f>SUM(S88:V88)</f>
        <v>73.099999999999994</v>
      </c>
      <c r="X88" s="103">
        <v>27.7</v>
      </c>
      <c r="Y88" s="103">
        <v>23.1</v>
      </c>
      <c r="Z88" s="50">
        <f>+U88*(1+Z89)</f>
        <v>10.290000000000001</v>
      </c>
      <c r="AA88" s="50">
        <f t="shared" ref="AA88" si="254">+V88*(1+AA89)</f>
        <v>11.654999999999999</v>
      </c>
      <c r="AB88" s="97">
        <f>SUM(X88:AA88)</f>
        <v>72.74499999999999</v>
      </c>
      <c r="AC88" s="50">
        <f>+X88*(1+AC89)</f>
        <v>30.470000000000002</v>
      </c>
      <c r="AD88" s="50">
        <f>+Y88*(1+AD89)</f>
        <v>26.565000000000001</v>
      </c>
      <c r="AE88" s="50">
        <f>+Z88*(1+AE89)</f>
        <v>12.348000000000001</v>
      </c>
      <c r="AF88" s="50">
        <f t="shared" ref="AF88" si="255">+AA88*(1+AF89)</f>
        <v>13.985999999999999</v>
      </c>
      <c r="AG88" s="97">
        <f>SUM(AC88:AF88)</f>
        <v>83.369000000000014</v>
      </c>
      <c r="AH88" s="50">
        <f>+AC88*(1+AH89)</f>
        <v>38.087500000000006</v>
      </c>
      <c r="AI88" s="50">
        <f>+AD88*(1+AI89)</f>
        <v>33.206250000000004</v>
      </c>
      <c r="AJ88" s="50">
        <f>+AE88*(1+AJ89)</f>
        <v>15.435</v>
      </c>
      <c r="AK88" s="50">
        <f t="shared" ref="AK88" si="256">+AF88*(1+AK89)</f>
        <v>17.482499999999998</v>
      </c>
      <c r="AL88" s="97">
        <f>SUM(AH88:AK88)</f>
        <v>104.21125000000002</v>
      </c>
      <c r="AM88" s="50">
        <f>+AH88*(1+AM89)</f>
        <v>41.896250000000009</v>
      </c>
      <c r="AN88" s="50">
        <f>+AI88*(1+AN89)</f>
        <v>36.526875000000011</v>
      </c>
      <c r="AO88" s="50">
        <f>+AJ88*(1+AO89)</f>
        <v>16.9785</v>
      </c>
      <c r="AP88" s="50">
        <f t="shared" ref="AP88" si="257">+AK88*(1+AP89)</f>
        <v>19.23075</v>
      </c>
      <c r="AQ88" s="97">
        <f>SUM(AM88:AP88)</f>
        <v>114.63237500000002</v>
      </c>
      <c r="AR88" s="50">
        <f>+AM88*(1+AR89)</f>
        <v>43.991062500000012</v>
      </c>
      <c r="AS88" s="50">
        <f>+AN88*(1+AS89)</f>
        <v>38.353218750000011</v>
      </c>
      <c r="AT88" s="50">
        <f>+AO88*(1+AT89)</f>
        <v>17.827425000000002</v>
      </c>
      <c r="AU88" s="50">
        <f t="shared" ref="AU88" si="258">+AP88*(1+AU89)</f>
        <v>20.192287500000003</v>
      </c>
      <c r="AV88" s="97">
        <f>SUM(AR88:AU88)</f>
        <v>120.36399375000003</v>
      </c>
    </row>
    <row r="89" spans="1:48" outlineLevel="1" x14ac:dyDescent="0.3">
      <c r="B89" s="69" t="s">
        <v>50</v>
      </c>
      <c r="C89" s="70"/>
      <c r="D89" s="120"/>
      <c r="E89" s="120"/>
      <c r="F89" s="120"/>
      <c r="G89" s="120"/>
      <c r="H89" s="58"/>
      <c r="I89" s="120">
        <f>I88/D88-1</f>
        <v>0.97058823529411775</v>
      </c>
      <c r="J89" s="120">
        <f t="shared" ref="J89:L89" si="259">J88/E88-1</f>
        <v>0.3469387755102038</v>
      </c>
      <c r="K89" s="120">
        <f t="shared" si="259"/>
        <v>1.3947368421052633</v>
      </c>
      <c r="L89" s="120">
        <f t="shared" si="259"/>
        <v>-3.6363636363636376E-2</v>
      </c>
      <c r="M89" s="58"/>
      <c r="N89" s="120">
        <f>N88/I88-1</f>
        <v>1.2388059701492535</v>
      </c>
      <c r="O89" s="120">
        <f t="shared" ref="O89:Q89" si="260">O88/J88-1</f>
        <v>2.8484848484848486</v>
      </c>
      <c r="P89" s="120">
        <f t="shared" si="260"/>
        <v>0.47252747252747263</v>
      </c>
      <c r="Q89" s="120">
        <f t="shared" si="260"/>
        <v>2.1320754716981134</v>
      </c>
      <c r="R89" s="58"/>
      <c r="S89" s="120">
        <f>S88/N88-1</f>
        <v>1.1800000000000002</v>
      </c>
      <c r="T89" s="120">
        <f t="shared" ref="T89:U89" si="261">T88/O88-1</f>
        <v>-0.23228346456692905</v>
      </c>
      <c r="U89" s="120">
        <f t="shared" si="261"/>
        <v>-0.26865671641791045</v>
      </c>
      <c r="V89" s="120">
        <f>V88/Q88-1</f>
        <v>-0.3313253012048194</v>
      </c>
      <c r="W89" s="155"/>
      <c r="X89" s="120">
        <f>X88/S88-1</f>
        <v>-0.15290519877675846</v>
      </c>
      <c r="Y89" s="120">
        <f>Y88/T88-1</f>
        <v>0.18461538461538463</v>
      </c>
      <c r="Z89" s="71">
        <v>0.05</v>
      </c>
      <c r="AA89" s="71">
        <v>0.05</v>
      </c>
      <c r="AB89" s="58"/>
      <c r="AC89" s="71">
        <v>0.1</v>
      </c>
      <c r="AD89" s="71">
        <v>0.15</v>
      </c>
      <c r="AE89" s="71">
        <v>0.2</v>
      </c>
      <c r="AF89" s="71">
        <v>0.2</v>
      </c>
      <c r="AG89" s="58"/>
      <c r="AH89" s="71">
        <v>0.25</v>
      </c>
      <c r="AI89" s="71">
        <v>0.25</v>
      </c>
      <c r="AJ89" s="71">
        <v>0.25</v>
      </c>
      <c r="AK89" s="71">
        <v>0.25</v>
      </c>
      <c r="AL89" s="58"/>
      <c r="AM89" s="71">
        <v>0.1</v>
      </c>
      <c r="AN89" s="71">
        <v>0.1</v>
      </c>
      <c r="AO89" s="71">
        <v>0.1</v>
      </c>
      <c r="AP89" s="71">
        <v>0.1</v>
      </c>
      <c r="AQ89" s="58"/>
      <c r="AR89" s="71">
        <v>0.05</v>
      </c>
      <c r="AS89" s="71">
        <v>0.05</v>
      </c>
      <c r="AT89" s="71">
        <v>0.05</v>
      </c>
      <c r="AU89" s="71">
        <v>0.05</v>
      </c>
      <c r="AV89" s="58"/>
    </row>
    <row r="90" spans="1:48" outlineLevel="1" x14ac:dyDescent="0.3">
      <c r="B90" s="180" t="s">
        <v>120</v>
      </c>
      <c r="C90" s="207"/>
      <c r="D90" s="101">
        <f t="shared" ref="D90:G91" si="262">+D83+D74</f>
        <v>12212</v>
      </c>
      <c r="E90" s="101">
        <f t="shared" si="262"/>
        <v>12465</v>
      </c>
      <c r="F90" s="101">
        <f t="shared" si="262"/>
        <v>12773</v>
      </c>
      <c r="G90" s="101">
        <f t="shared" si="262"/>
        <v>13189</v>
      </c>
      <c r="H90" s="6"/>
      <c r="I90" s="101">
        <f t="shared" ref="I90:L91" si="263">+I83+I74</f>
        <v>13592</v>
      </c>
      <c r="J90" s="101">
        <f t="shared" si="263"/>
        <v>13779</v>
      </c>
      <c r="K90" s="101">
        <f t="shared" si="263"/>
        <v>13945</v>
      </c>
      <c r="L90" s="16">
        <f t="shared" si="263"/>
        <v>16263</v>
      </c>
      <c r="M90" s="6"/>
      <c r="N90" s="16">
        <f t="shared" ref="N90:Q91" si="264">+N83+N74</f>
        <v>14630</v>
      </c>
      <c r="O90" s="16">
        <f t="shared" si="264"/>
        <v>14823</v>
      </c>
      <c r="P90" s="16">
        <f t="shared" si="264"/>
        <v>15120</v>
      </c>
      <c r="Q90" s="16">
        <f t="shared" si="264"/>
        <v>17007</v>
      </c>
      <c r="R90" s="6"/>
      <c r="S90" s="16">
        <f t="shared" ref="S90:V91" si="265">+S83+S74</f>
        <v>17429</v>
      </c>
      <c r="T90" s="16">
        <f t="shared" si="265"/>
        <v>17704</v>
      </c>
      <c r="U90" s="16">
        <f t="shared" si="265"/>
        <v>17898</v>
      </c>
      <c r="V90" s="16">
        <f t="shared" si="265"/>
        <v>18416</v>
      </c>
      <c r="W90" s="254">
        <f>W91/Q90</f>
        <v>8.2848238960428061E-2</v>
      </c>
      <c r="X90" s="101">
        <f t="shared" ref="X90:AA91" si="266">+X83+X74</f>
        <v>18789</v>
      </c>
      <c r="Y90" s="101">
        <f t="shared" si="266"/>
        <v>19152</v>
      </c>
      <c r="Z90" s="16">
        <f t="shared" si="266"/>
        <v>19752</v>
      </c>
      <c r="AA90" s="16">
        <f t="shared" si="266"/>
        <v>20352</v>
      </c>
      <c r="AB90" s="254">
        <f>AB91/V90</f>
        <v>0.10512597741094701</v>
      </c>
      <c r="AC90" s="16">
        <f t="shared" ref="AC90:AF91" si="267">+AC83+AC74</f>
        <v>20860</v>
      </c>
      <c r="AD90" s="16">
        <f t="shared" si="267"/>
        <v>21368</v>
      </c>
      <c r="AE90" s="16">
        <f t="shared" si="267"/>
        <v>21876</v>
      </c>
      <c r="AF90" s="16">
        <f t="shared" si="267"/>
        <v>22390</v>
      </c>
      <c r="AG90" s="254">
        <f>AG91/AA90</f>
        <v>0.1001375786163522</v>
      </c>
      <c r="AH90" s="16">
        <f t="shared" ref="AH90:AK91" si="268">+AH83+AH74</f>
        <v>22917</v>
      </c>
      <c r="AI90" s="16">
        <f t="shared" si="268"/>
        <v>23444</v>
      </c>
      <c r="AJ90" s="16">
        <f t="shared" si="268"/>
        <v>23971</v>
      </c>
      <c r="AK90" s="16">
        <f t="shared" si="268"/>
        <v>24501</v>
      </c>
      <c r="AL90" s="254">
        <f>AL91/AF90</f>
        <v>9.4283162125949088E-2</v>
      </c>
      <c r="AM90" s="16">
        <f t="shared" ref="AM90:AP91" si="269">+AM83+AM74</f>
        <v>24695</v>
      </c>
      <c r="AN90" s="16">
        <f t="shared" si="269"/>
        <v>24889</v>
      </c>
      <c r="AO90" s="16">
        <f t="shared" si="269"/>
        <v>25083</v>
      </c>
      <c r="AP90" s="16">
        <f t="shared" si="269"/>
        <v>25277</v>
      </c>
      <c r="AQ90" s="254">
        <f>AQ91/AK90</f>
        <v>3.1672176645851188E-2</v>
      </c>
      <c r="AR90" s="16">
        <f t="shared" ref="AR90:AU91" si="270">+AR83+AR74</f>
        <v>25471</v>
      </c>
      <c r="AS90" s="16">
        <f t="shared" si="270"/>
        <v>25665</v>
      </c>
      <c r="AT90" s="16">
        <f t="shared" si="270"/>
        <v>25859</v>
      </c>
      <c r="AU90" s="16">
        <f t="shared" si="270"/>
        <v>26053</v>
      </c>
      <c r="AV90" s="254">
        <f>AV91/AP90</f>
        <v>3.0699845709538317E-2</v>
      </c>
    </row>
    <row r="91" spans="1:48" outlineLevel="1" x14ac:dyDescent="0.3">
      <c r="B91" s="180" t="s">
        <v>121</v>
      </c>
      <c r="C91" s="207"/>
      <c r="D91" s="101">
        <f t="shared" si="262"/>
        <v>360</v>
      </c>
      <c r="E91" s="101">
        <f t="shared" si="262"/>
        <v>253</v>
      </c>
      <c r="F91" s="101">
        <f t="shared" si="262"/>
        <v>308</v>
      </c>
      <c r="G91" s="101">
        <f t="shared" si="262"/>
        <v>416</v>
      </c>
      <c r="H91" s="122">
        <f>+H84+H75</f>
        <v>1337</v>
      </c>
      <c r="I91" s="101">
        <f t="shared" si="263"/>
        <v>403</v>
      </c>
      <c r="J91" s="101">
        <f t="shared" si="263"/>
        <v>187</v>
      </c>
      <c r="K91" s="101">
        <f t="shared" si="263"/>
        <v>166</v>
      </c>
      <c r="L91" s="101">
        <f t="shared" si="263"/>
        <v>356</v>
      </c>
      <c r="M91" s="122">
        <f>+M84+M75</f>
        <v>1112</v>
      </c>
      <c r="N91" s="101">
        <f t="shared" si="264"/>
        <v>324</v>
      </c>
      <c r="O91" s="101">
        <f t="shared" si="264"/>
        <v>193</v>
      </c>
      <c r="P91" s="101">
        <f t="shared" si="264"/>
        <v>297</v>
      </c>
      <c r="Q91" s="101">
        <f t="shared" si="264"/>
        <v>464</v>
      </c>
      <c r="R91" s="122">
        <f>+R84+R75</f>
        <v>1278</v>
      </c>
      <c r="S91" s="16">
        <f t="shared" si="265"/>
        <v>422</v>
      </c>
      <c r="T91" s="16">
        <f t="shared" si="265"/>
        <v>275</v>
      </c>
      <c r="U91" s="16">
        <f t="shared" si="265"/>
        <v>194</v>
      </c>
      <c r="V91" s="16">
        <f t="shared" si="265"/>
        <v>518</v>
      </c>
      <c r="W91" s="122">
        <f>+W84+W75</f>
        <v>1409</v>
      </c>
      <c r="X91" s="101">
        <f t="shared" si="266"/>
        <v>373</v>
      </c>
      <c r="Y91" s="101">
        <f t="shared" si="266"/>
        <v>363</v>
      </c>
      <c r="Z91" s="16">
        <f t="shared" si="266"/>
        <v>600</v>
      </c>
      <c r="AA91" s="16">
        <f t="shared" si="266"/>
        <v>600</v>
      </c>
      <c r="AB91" s="26">
        <f>+AB84+AB75</f>
        <v>1936</v>
      </c>
      <c r="AC91" s="16">
        <f t="shared" si="267"/>
        <v>508</v>
      </c>
      <c r="AD91" s="16">
        <f t="shared" si="267"/>
        <v>508</v>
      </c>
      <c r="AE91" s="16">
        <f t="shared" si="267"/>
        <v>508</v>
      </c>
      <c r="AF91" s="16">
        <f t="shared" si="267"/>
        <v>514</v>
      </c>
      <c r="AG91" s="26">
        <f>+AG84+AG75</f>
        <v>2038</v>
      </c>
      <c r="AH91" s="16">
        <f t="shared" si="268"/>
        <v>527</v>
      </c>
      <c r="AI91" s="16">
        <f t="shared" si="268"/>
        <v>527</v>
      </c>
      <c r="AJ91" s="16">
        <f t="shared" si="268"/>
        <v>527</v>
      </c>
      <c r="AK91" s="16">
        <f t="shared" si="268"/>
        <v>530</v>
      </c>
      <c r="AL91" s="26">
        <f>+AL84+AL75</f>
        <v>2111</v>
      </c>
      <c r="AM91" s="16">
        <f t="shared" si="269"/>
        <v>194</v>
      </c>
      <c r="AN91" s="16">
        <f t="shared" si="269"/>
        <v>194</v>
      </c>
      <c r="AO91" s="16">
        <f t="shared" si="269"/>
        <v>194</v>
      </c>
      <c r="AP91" s="16">
        <f t="shared" si="269"/>
        <v>194</v>
      </c>
      <c r="AQ91" s="26">
        <f>+AQ84+AQ75</f>
        <v>776</v>
      </c>
      <c r="AR91" s="16">
        <f t="shared" si="270"/>
        <v>194</v>
      </c>
      <c r="AS91" s="16">
        <f t="shared" si="270"/>
        <v>194</v>
      </c>
      <c r="AT91" s="16">
        <f t="shared" si="270"/>
        <v>194</v>
      </c>
      <c r="AU91" s="16">
        <f t="shared" si="270"/>
        <v>194</v>
      </c>
      <c r="AV91" s="26">
        <f>+AV84+AV75</f>
        <v>776</v>
      </c>
    </row>
    <row r="92" spans="1:48" outlineLevel="1" x14ac:dyDescent="0.3">
      <c r="B92" s="605" t="s">
        <v>122</v>
      </c>
      <c r="C92" s="606"/>
      <c r="D92" s="115">
        <f>+D88+D87+D78</f>
        <v>1504</v>
      </c>
      <c r="E92" s="115">
        <f>+E88+E87+E78</f>
        <v>1529.4</v>
      </c>
      <c r="F92" s="115">
        <f>+F88+F87+F78</f>
        <v>1585.3</v>
      </c>
      <c r="G92" s="115">
        <f>+G88+G87+G78</f>
        <v>1572.1000000000001</v>
      </c>
      <c r="H92" s="213">
        <f>SUM(D92:G92)</f>
        <v>6190.8</v>
      </c>
      <c r="I92" s="115">
        <f>+I88+I87+I78</f>
        <v>1571.1</v>
      </c>
      <c r="J92" s="115">
        <f>+J88+J87+J78</f>
        <v>1134.5999999999999</v>
      </c>
      <c r="K92" s="115">
        <f>+K88+K87+K78</f>
        <v>949.6</v>
      </c>
      <c r="L92" s="115">
        <f>+L88+L87+L78</f>
        <v>1511.3</v>
      </c>
      <c r="M92" s="213">
        <f>SUM(I92:L92)</f>
        <v>5166.5999999999995</v>
      </c>
      <c r="N92" s="115">
        <f>+N88+N87+N78</f>
        <v>1654.3</v>
      </c>
      <c r="O92" s="115">
        <f>+O88+O87+O78</f>
        <v>1610.9</v>
      </c>
      <c r="P92" s="115">
        <f>+P88+P87+P78</f>
        <v>1658.3999999999999</v>
      </c>
      <c r="Q92" s="115">
        <f>+Q88+Q87+Q78</f>
        <v>1914.6</v>
      </c>
      <c r="R92" s="73">
        <f>SUM(N92:Q92)</f>
        <v>6838.1999999999989</v>
      </c>
      <c r="S92" s="72">
        <f>+S88+S87+S78</f>
        <v>1875.8999999999999</v>
      </c>
      <c r="T92" s="72">
        <f>+T88+T87+T78</f>
        <v>1702.4</v>
      </c>
      <c r="U92" s="72">
        <f>+U88+U87+U78</f>
        <v>1584.7</v>
      </c>
      <c r="V92" s="72">
        <f>+V88+V87+V78</f>
        <v>1777</v>
      </c>
      <c r="W92" s="213">
        <f>SUM(S92:V92)</f>
        <v>6940</v>
      </c>
      <c r="X92" s="115">
        <f>+X88+X87+X78</f>
        <v>1680.1000000000001</v>
      </c>
      <c r="Y92" s="115">
        <f>+Y88+Y87+Y78</f>
        <v>1854.8</v>
      </c>
      <c r="Z92" s="72">
        <f>+Z88+Z87+Z78</f>
        <v>2088.306186918418</v>
      </c>
      <c r="AA92" s="72">
        <f>+AA88+AA87+AA78</f>
        <v>2361.1658517088367</v>
      </c>
      <c r="AB92" s="73">
        <f>SUM(X92:AA92)</f>
        <v>7984.3720386272544</v>
      </c>
      <c r="AC92" s="72">
        <f>+AC88+AC87+AC78</f>
        <v>2165.2746513885863</v>
      </c>
      <c r="AD92" s="72">
        <f>+AD88+AD87+AD78</f>
        <v>2188.2069025573246</v>
      </c>
      <c r="AE92" s="72">
        <f>+AE88+AE87+AE78</f>
        <v>2461.0030630697229</v>
      </c>
      <c r="AF92" s="72">
        <f>+AF88+AF87+AF78</f>
        <v>2764.6043752033329</v>
      </c>
      <c r="AG92" s="73">
        <f>SUM(AC92:AF92)</f>
        <v>9579.0889922189672</v>
      </c>
      <c r="AH92" s="72">
        <f>+AH88+AH87+AH78</f>
        <v>2526.1964611607923</v>
      </c>
      <c r="AI92" s="72">
        <f>+AI88+AI87+AI78</f>
        <v>2548.6455145576911</v>
      </c>
      <c r="AJ92" s="72">
        <f>+AJ88+AJ87+AJ78</f>
        <v>2858.3736198694151</v>
      </c>
      <c r="AK92" s="72">
        <f>+AK88+AK87+AK78</f>
        <v>3207.7430944770003</v>
      </c>
      <c r="AL92" s="73">
        <f>SUM(AH92:AK92)</f>
        <v>11140.958690064899</v>
      </c>
      <c r="AM92" s="72">
        <f>+AM88+AM87+AM78</f>
        <v>2902.46681240713</v>
      </c>
      <c r="AN92" s="72">
        <f>+AN88+AN87+AN78</f>
        <v>2885.5105616433793</v>
      </c>
      <c r="AO92" s="72">
        <f>+AO88+AO87+AO78</f>
        <v>3188.3102820958857</v>
      </c>
      <c r="AP92" s="72">
        <f>+AP88+AP87+AP78</f>
        <v>3529.9635636018893</v>
      </c>
      <c r="AQ92" s="73">
        <f>SUM(AM92:AP92)</f>
        <v>12506.251219748287</v>
      </c>
      <c r="AR92" s="72">
        <f>+AR88+AR87+AR78</f>
        <v>3109.4310636291366</v>
      </c>
      <c r="AS92" s="72">
        <f>+AS88+AS87+AS78</f>
        <v>3090.6334910093406</v>
      </c>
      <c r="AT92" s="72">
        <f>+AT88+AT87+AT78</f>
        <v>3412.2046429334996</v>
      </c>
      <c r="AU92" s="72">
        <f>+AU88+AU87+AU78</f>
        <v>3778.6345372162664</v>
      </c>
      <c r="AV92" s="73">
        <f>SUM(AR92:AU92)</f>
        <v>13390.903734788242</v>
      </c>
    </row>
    <row r="93" spans="1:48" outlineLevel="1" x14ac:dyDescent="0.3">
      <c r="B93" s="607" t="s">
        <v>100</v>
      </c>
      <c r="C93" s="608"/>
      <c r="D93" s="105">
        <v>462.7</v>
      </c>
      <c r="E93" s="105">
        <v>470.2</v>
      </c>
      <c r="F93" s="105">
        <v>476.1</v>
      </c>
      <c r="G93" s="105">
        <v>486.1</v>
      </c>
      <c r="H93" s="129">
        <f>SUM(D93:G93)</f>
        <v>1895.1</v>
      </c>
      <c r="I93" s="105">
        <v>488.5</v>
      </c>
      <c r="J93" s="105">
        <v>387.7</v>
      </c>
      <c r="K93" s="105">
        <v>337.7</v>
      </c>
      <c r="L93" s="105">
        <v>479.2</v>
      </c>
      <c r="M93" s="129">
        <f>SUM(I93:L93)</f>
        <v>1693.1000000000001</v>
      </c>
      <c r="N93" s="105">
        <v>520.4</v>
      </c>
      <c r="O93" s="105">
        <v>513.5</v>
      </c>
      <c r="P93" s="105">
        <v>501.7</v>
      </c>
      <c r="Q93" s="105">
        <v>605.1</v>
      </c>
      <c r="R93" s="76">
        <f>SUM(N93:Q93)</f>
        <v>2140.7000000000003</v>
      </c>
      <c r="S93" s="48">
        <v>615.79999999999995</v>
      </c>
      <c r="T93" s="48">
        <v>580.5</v>
      </c>
      <c r="U93" s="48">
        <v>550.29999999999995</v>
      </c>
      <c r="V93" s="48">
        <v>611</v>
      </c>
      <c r="W93" s="76">
        <f>SUM(S93:V93)</f>
        <v>2357.6</v>
      </c>
      <c r="X93" s="105">
        <v>593.6</v>
      </c>
      <c r="Y93" s="105">
        <v>632.9</v>
      </c>
      <c r="Z93" s="48">
        <f t="shared" ref="Z93:AA93" si="271">Z94*Z92</f>
        <v>662.5321702712921</v>
      </c>
      <c r="AA93" s="48">
        <f t="shared" si="271"/>
        <v>705.60591337208893</v>
      </c>
      <c r="AB93" s="76">
        <f>SUM(X93:AA93)</f>
        <v>2594.6380836433809</v>
      </c>
      <c r="AC93" s="48">
        <f>AC94*AC92</f>
        <v>721.71268033349531</v>
      </c>
      <c r="AD93" s="48">
        <f>AD94*AD92</f>
        <v>702.901889891775</v>
      </c>
      <c r="AE93" s="48">
        <f t="shared" ref="AE93:AF93" si="272">AE94*AE92</f>
        <v>780.77329398994789</v>
      </c>
      <c r="AF93" s="48">
        <f t="shared" si="272"/>
        <v>826.16864624991661</v>
      </c>
      <c r="AG93" s="76">
        <f>SUM(AC93:AF93)</f>
        <v>3031.5565104651346</v>
      </c>
      <c r="AH93" s="48">
        <f>AH94*AH92</f>
        <v>836.95996697120927</v>
      </c>
      <c r="AI93" s="48">
        <f>AI94*AI92</f>
        <v>813.58568942998022</v>
      </c>
      <c r="AJ93" s="48">
        <f t="shared" ref="AJ93:AK93" si="273">AJ94*AJ92</f>
        <v>878.25860793705817</v>
      </c>
      <c r="AK93" s="48">
        <f t="shared" si="273"/>
        <v>952.17981723006335</v>
      </c>
      <c r="AL93" s="76">
        <f>SUM(AH93:AK93)</f>
        <v>3480.984081568311</v>
      </c>
      <c r="AM93" s="48">
        <f>AM94*AM92</f>
        <v>961.62296353271665</v>
      </c>
      <c r="AN93" s="48">
        <f>AN94*AN92</f>
        <v>921.12068400361204</v>
      </c>
      <c r="AO93" s="48">
        <f t="shared" ref="AO93:AP93" si="274">AO94*AO92</f>
        <v>979.63433840845039</v>
      </c>
      <c r="AP93" s="48">
        <f t="shared" si="274"/>
        <v>1047.8270739967857</v>
      </c>
      <c r="AQ93" s="76">
        <f>SUM(AM93:AP93)</f>
        <v>3910.2050599415647</v>
      </c>
      <c r="AR93" s="48">
        <f>AR94*AR92</f>
        <v>1030.1927662104531</v>
      </c>
      <c r="AS93" s="48">
        <f>AS94*AS92</f>
        <v>986.60059439243093</v>
      </c>
      <c r="AT93" s="48">
        <f t="shared" ref="AT93:AU93" si="275">AT94*AT92</f>
        <v>1048.4277068846063</v>
      </c>
      <c r="AU93" s="48">
        <f t="shared" si="275"/>
        <v>1121.6420508302608</v>
      </c>
      <c r="AV93" s="76">
        <f>SUM(AR93:AU93)</f>
        <v>4186.8631183177513</v>
      </c>
    </row>
    <row r="94" spans="1:48" s="183" customFormat="1" outlineLevel="1" x14ac:dyDescent="0.3">
      <c r="A94" s="238"/>
      <c r="B94" s="181" t="s">
        <v>151</v>
      </c>
      <c r="C94" s="182"/>
      <c r="D94" s="167">
        <f>D93/D92</f>
        <v>0.30764627659574467</v>
      </c>
      <c r="E94" s="167">
        <f t="shared" ref="E94:Y94" si="276">E93/E92</f>
        <v>0.30744082646789589</v>
      </c>
      <c r="F94" s="167">
        <f t="shared" si="276"/>
        <v>0.30032170567085098</v>
      </c>
      <c r="G94" s="167">
        <f t="shared" si="276"/>
        <v>0.30920424909356908</v>
      </c>
      <c r="H94" s="186">
        <f>H93/H92</f>
        <v>0.30611552626477995</v>
      </c>
      <c r="I94" s="167">
        <f t="shared" si="276"/>
        <v>0.31092864871745912</v>
      </c>
      <c r="J94" s="167">
        <f t="shared" si="276"/>
        <v>0.34170632822139962</v>
      </c>
      <c r="K94" s="167">
        <f t="shared" si="276"/>
        <v>0.35562342038753159</v>
      </c>
      <c r="L94" s="167">
        <f t="shared" si="276"/>
        <v>0.31707801230728511</v>
      </c>
      <c r="M94" s="186">
        <f>M93/M92</f>
        <v>0.32770100259358192</v>
      </c>
      <c r="N94" s="167">
        <f t="shared" si="276"/>
        <v>0.31457414011968809</v>
      </c>
      <c r="O94" s="167">
        <f t="shared" si="276"/>
        <v>0.31876590725681292</v>
      </c>
      <c r="P94" s="167">
        <f t="shared" si="276"/>
        <v>0.30252050168837435</v>
      </c>
      <c r="Q94" s="167">
        <f t="shared" si="276"/>
        <v>0.31604512691946102</v>
      </c>
      <c r="R94" s="188">
        <f>R93/R92</f>
        <v>0.31305021789359783</v>
      </c>
      <c r="S94" s="167">
        <f t="shared" si="276"/>
        <v>0.32826909749986671</v>
      </c>
      <c r="T94" s="167">
        <f t="shared" si="276"/>
        <v>0.34098919172932329</v>
      </c>
      <c r="U94" s="167">
        <f t="shared" si="276"/>
        <v>0.34725815611787714</v>
      </c>
      <c r="V94" s="167">
        <f t="shared" si="276"/>
        <v>0.34383792909397859</v>
      </c>
      <c r="W94" s="188">
        <f>W93/W92</f>
        <v>0.33971181556195962</v>
      </c>
      <c r="X94" s="167">
        <f t="shared" si="276"/>
        <v>0.35331230283911669</v>
      </c>
      <c r="Y94" s="167">
        <f t="shared" si="276"/>
        <v>0.34122277334483503</v>
      </c>
      <c r="Z94" s="189">
        <f>U94-0.5%-2.5%</f>
        <v>0.31725815611787711</v>
      </c>
      <c r="AA94" s="189">
        <f>V94-0.5%-4%</f>
        <v>0.2988379290939786</v>
      </c>
      <c r="AB94" s="188">
        <f>AB93/AB92</f>
        <v>0.32496457718789801</v>
      </c>
      <c r="AC94" s="189">
        <f>X94-2%</f>
        <v>0.33331230283911667</v>
      </c>
      <c r="AD94" s="189">
        <f>Y94-2%</f>
        <v>0.32122277334483501</v>
      </c>
      <c r="AE94" s="189">
        <f t="shared" ref="AE94:AF94" si="277">Z94</f>
        <v>0.31725815611787711</v>
      </c>
      <c r="AF94" s="189">
        <f t="shared" si="277"/>
        <v>0.2988379290939786</v>
      </c>
      <c r="AG94" s="188">
        <f>AG93/AG92</f>
        <v>0.31647649509547815</v>
      </c>
      <c r="AH94" s="189">
        <f>AC94-0.2%</f>
        <v>0.33131230283911667</v>
      </c>
      <c r="AI94" s="189">
        <f>AD94-0.2%</f>
        <v>0.31922277334483501</v>
      </c>
      <c r="AJ94" s="189">
        <f>AE94-1%</f>
        <v>0.3072581561178771</v>
      </c>
      <c r="AK94" s="189">
        <f>AF94-0.2%</f>
        <v>0.2968379290939786</v>
      </c>
      <c r="AL94" s="188">
        <f>AL93/AL92</f>
        <v>0.31244924053730905</v>
      </c>
      <c r="AM94" s="189">
        <f>AH94</f>
        <v>0.33131230283911667</v>
      </c>
      <c r="AN94" s="189">
        <f t="shared" ref="AN94:AP94" si="278">AI94</f>
        <v>0.31922277334483501</v>
      </c>
      <c r="AO94" s="189">
        <f t="shared" si="278"/>
        <v>0.3072581561178771</v>
      </c>
      <c r="AP94" s="189">
        <f t="shared" si="278"/>
        <v>0.2968379290939786</v>
      </c>
      <c r="AQ94" s="188">
        <f>AQ93/AQ92</f>
        <v>0.31266004426386901</v>
      </c>
      <c r="AR94" s="189">
        <f>AM94</f>
        <v>0.33131230283911667</v>
      </c>
      <c r="AS94" s="189">
        <f t="shared" ref="AS94:AU94" si="279">AN94</f>
        <v>0.31922277334483501</v>
      </c>
      <c r="AT94" s="189">
        <f t="shared" si="279"/>
        <v>0.3072581561178771</v>
      </c>
      <c r="AU94" s="189">
        <f t="shared" si="279"/>
        <v>0.2968379290939786</v>
      </c>
      <c r="AV94" s="188">
        <f>AV93/AV92</f>
        <v>0.31266471638062004</v>
      </c>
    </row>
    <row r="95" spans="1:48" outlineLevel="1" x14ac:dyDescent="0.3">
      <c r="B95" s="180" t="s">
        <v>32</v>
      </c>
      <c r="C95" s="18"/>
      <c r="D95" s="105">
        <v>603.70000000000005</v>
      </c>
      <c r="E95" s="105">
        <v>618.4</v>
      </c>
      <c r="F95" s="105">
        <v>609.20000000000005</v>
      </c>
      <c r="G95" s="105">
        <v>597.29999999999995</v>
      </c>
      <c r="H95" s="170">
        <f>SUM(D95:G95)</f>
        <v>2428.6</v>
      </c>
      <c r="I95" s="105">
        <v>607.1</v>
      </c>
      <c r="J95" s="105">
        <v>562.79999999999995</v>
      </c>
      <c r="K95" s="105">
        <v>483.4</v>
      </c>
      <c r="L95" s="105">
        <v>622.70000000000005</v>
      </c>
      <c r="M95" s="170">
        <f>SUM(I95:L95)</f>
        <v>2276</v>
      </c>
      <c r="N95" s="105">
        <v>628.5</v>
      </c>
      <c r="O95" s="105">
        <v>620.20000000000005</v>
      </c>
      <c r="P95" s="105">
        <v>620.1</v>
      </c>
      <c r="Q95" s="105">
        <v>702.6</v>
      </c>
      <c r="R95" s="49">
        <f>SUM(N95:Q95)</f>
        <v>2571.4</v>
      </c>
      <c r="S95" s="48">
        <v>697.6</v>
      </c>
      <c r="T95" s="48">
        <v>689.3</v>
      </c>
      <c r="U95" s="48">
        <v>632.5</v>
      </c>
      <c r="V95" s="48">
        <v>682.5</v>
      </c>
      <c r="W95" s="49">
        <f>SUM(S95:V95)</f>
        <v>2701.9</v>
      </c>
      <c r="X95" s="105">
        <v>633.9</v>
      </c>
      <c r="Y95" s="105">
        <v>684.4</v>
      </c>
      <c r="Z95" s="48">
        <f>Z96*Z78</f>
        <v>792.69675870360697</v>
      </c>
      <c r="AA95" s="48">
        <f>AA96*AA78</f>
        <v>829.49322853878391</v>
      </c>
      <c r="AB95" s="49">
        <f>SUM(X95:AA95)</f>
        <v>2940.4899872423912</v>
      </c>
      <c r="AC95" s="48">
        <f>AC96*AC78</f>
        <v>850.47890668480602</v>
      </c>
      <c r="AD95" s="48">
        <f>AD96*AD78</f>
        <v>780.02445366743711</v>
      </c>
      <c r="AE95" s="48">
        <f>AE96*AE78</f>
        <v>941.56404784108736</v>
      </c>
      <c r="AF95" s="48">
        <f>AF96*AF78</f>
        <v>977.97422127459697</v>
      </c>
      <c r="AG95" s="49">
        <f>SUM(AC95:AF95)</f>
        <v>3550.0416294679271</v>
      </c>
      <c r="AH95" s="48">
        <f>AH96*AH78</f>
        <v>994.38735472883548</v>
      </c>
      <c r="AI95" s="48">
        <f>AI96*AI78</f>
        <v>909.76107809974462</v>
      </c>
      <c r="AJ95" s="48">
        <f>AJ96*AJ78</f>
        <v>1057.9372274980396</v>
      </c>
      <c r="AK95" s="48">
        <f>AK96*AK78</f>
        <v>1136.1501663867971</v>
      </c>
      <c r="AL95" s="49">
        <f>SUM(AH95:AK95)</f>
        <v>4098.2358267134168</v>
      </c>
      <c r="AM95" s="48">
        <f>AM96*AM78</f>
        <v>1150.1189438655122</v>
      </c>
      <c r="AN95" s="48">
        <f>AN96*AN78</f>
        <v>1036.4255203300206</v>
      </c>
      <c r="AO95" s="48">
        <f>AO96*AO78</f>
        <v>1187.7885202620555</v>
      </c>
      <c r="AP95" s="48">
        <f>AP96*AP78</f>
        <v>1257.6926583354141</v>
      </c>
      <c r="AQ95" s="49">
        <f>SUM(AM95:AP95)</f>
        <v>4632.0256427930026</v>
      </c>
      <c r="AR95" s="48">
        <f>AR96*AR78</f>
        <v>1239.9637848734521</v>
      </c>
      <c r="AS95" s="48">
        <f>AS96*AS78</f>
        <v>1116.8131539524211</v>
      </c>
      <c r="AT95" s="48">
        <f>AT96*AT78</f>
        <v>1279.2714894905262</v>
      </c>
      <c r="AU95" s="48">
        <f>AU96*AU78</f>
        <v>1353.8923372960007</v>
      </c>
      <c r="AV95" s="49">
        <f>SUM(AR95:AU95)</f>
        <v>4989.9407656124004</v>
      </c>
    </row>
    <row r="96" spans="1:48" s="184" customFormat="1" outlineLevel="1" x14ac:dyDescent="0.3">
      <c r="B96" s="181" t="s">
        <v>150</v>
      </c>
      <c r="C96" s="190"/>
      <c r="D96" s="167">
        <f t="shared" ref="D96:Y96" si="280">D95/D78</f>
        <v>0.47234175729598632</v>
      </c>
      <c r="E96" s="167">
        <f t="shared" si="280"/>
        <v>0.4722773789521918</v>
      </c>
      <c r="F96" s="167">
        <f t="shared" si="280"/>
        <v>0.45032525133057366</v>
      </c>
      <c r="G96" s="167">
        <f t="shared" si="280"/>
        <v>0.45390987157078799</v>
      </c>
      <c r="H96" s="186">
        <f t="shared" si="280"/>
        <v>0.46204482325634483</v>
      </c>
      <c r="I96" s="167">
        <f t="shared" si="280"/>
        <v>0.46354126899289916</v>
      </c>
      <c r="J96" s="167">
        <f t="shared" si="280"/>
        <v>0.62367021276595747</v>
      </c>
      <c r="K96" s="167">
        <f t="shared" si="280"/>
        <v>0.5521416333523701</v>
      </c>
      <c r="L96" s="167">
        <f t="shared" si="280"/>
        <v>0.47962720480628518</v>
      </c>
      <c r="M96" s="186">
        <f t="shared" si="280"/>
        <v>0.51893568024806769</v>
      </c>
      <c r="N96" s="167">
        <f t="shared" si="280"/>
        <v>0.43594367760282998</v>
      </c>
      <c r="O96" s="167">
        <f t="shared" si="280"/>
        <v>0.44789485087022463</v>
      </c>
      <c r="P96" s="167">
        <f t="shared" si="280"/>
        <v>0.4326379683248448</v>
      </c>
      <c r="Q96" s="167">
        <f t="shared" si="280"/>
        <v>0.43639751552795031</v>
      </c>
      <c r="R96" s="188">
        <f t="shared" si="280"/>
        <v>0.43808031074841985</v>
      </c>
      <c r="S96" s="167">
        <f t="shared" si="280"/>
        <v>0.46250745872836974</v>
      </c>
      <c r="T96" s="167">
        <f t="shared" si="280"/>
        <v>0.51424947776783048</v>
      </c>
      <c r="U96" s="167">
        <f t="shared" si="280"/>
        <v>0.54417964380968775</v>
      </c>
      <c r="V96" s="167">
        <f t="shared" si="280"/>
        <v>0.50521874306018211</v>
      </c>
      <c r="W96" s="188">
        <f>W95/W78</f>
        <v>0.50390719707566356</v>
      </c>
      <c r="X96" s="167">
        <f t="shared" si="280"/>
        <v>0.52263170912688595</v>
      </c>
      <c r="Y96" s="167">
        <f t="shared" si="280"/>
        <v>0.48899685624464134</v>
      </c>
      <c r="Z96" s="189">
        <f>U96-0.5%-2.5%</f>
        <v>0.51417964380968773</v>
      </c>
      <c r="AA96" s="189">
        <f>V96-0.5%-4%</f>
        <v>0.46021874306018212</v>
      </c>
      <c r="AB96" s="188">
        <f>AB95/AB78</f>
        <v>0.49365557974996888</v>
      </c>
      <c r="AC96" s="189">
        <f>X96</f>
        <v>0.52263170912688595</v>
      </c>
      <c r="AD96" s="189">
        <f>Y96-2%</f>
        <v>0.46899685624464132</v>
      </c>
      <c r="AE96" s="189">
        <f t="shared" ref="AE96:AF96" si="281">Z96</f>
        <v>0.51417964380968773</v>
      </c>
      <c r="AF96" s="189">
        <f t="shared" si="281"/>
        <v>0.46021874306018212</v>
      </c>
      <c r="AG96" s="188">
        <f>AG95/AG78</f>
        <v>0.48988430229042779</v>
      </c>
      <c r="AH96" s="189">
        <f>AC96-0.2%</f>
        <v>0.52063170912688594</v>
      </c>
      <c r="AI96" s="189">
        <f>AD96-0.2%</f>
        <v>0.46699685624464132</v>
      </c>
      <c r="AJ96" s="189">
        <f>AE96-2%</f>
        <v>0.49417964380968771</v>
      </c>
      <c r="AK96" s="189">
        <f>AF96-0.2%</f>
        <v>0.45821874306018212</v>
      </c>
      <c r="AL96" s="188">
        <f>AL95/AL78</f>
        <v>0.4833759769142128</v>
      </c>
      <c r="AM96" s="189">
        <f>AH96</f>
        <v>0.52063170912688594</v>
      </c>
      <c r="AN96" s="189">
        <f t="shared" ref="AN96:AP96" si="282">AI96</f>
        <v>0.46699685624464132</v>
      </c>
      <c r="AO96" s="189">
        <f t="shared" si="282"/>
        <v>0.49417964380968771</v>
      </c>
      <c r="AP96" s="189">
        <f t="shared" si="282"/>
        <v>0.45821874306018212</v>
      </c>
      <c r="AQ96" s="188">
        <f>AQ95/AQ78</f>
        <v>0.48367537390198606</v>
      </c>
      <c r="AR96" s="189">
        <f>AM96</f>
        <v>0.52063170912688594</v>
      </c>
      <c r="AS96" s="189">
        <f t="shared" ref="AS96:AU96" si="283">AN96</f>
        <v>0.46699685624464132</v>
      </c>
      <c r="AT96" s="189">
        <f t="shared" si="283"/>
        <v>0.49417964380968771</v>
      </c>
      <c r="AU96" s="189">
        <f t="shared" si="283"/>
        <v>0.45821874306018212</v>
      </c>
      <c r="AV96" s="188">
        <f>AV95/AV78</f>
        <v>0.48368571103977354</v>
      </c>
    </row>
    <row r="97" spans="1:48" outlineLevel="1" x14ac:dyDescent="0.3">
      <c r="B97" s="180" t="s">
        <v>33</v>
      </c>
      <c r="C97" s="18"/>
      <c r="D97" s="105">
        <v>31.3</v>
      </c>
      <c r="E97" s="105">
        <v>26.3</v>
      </c>
      <c r="F97" s="105">
        <v>26.7</v>
      </c>
      <c r="G97" s="105">
        <v>31.9</v>
      </c>
      <c r="H97" s="170">
        <f>SUM(D97:G97)</f>
        <v>116.19999999999999</v>
      </c>
      <c r="I97" s="105">
        <v>35.9</v>
      </c>
      <c r="J97" s="105">
        <v>31.8</v>
      </c>
      <c r="K97" s="105">
        <v>37.5</v>
      </c>
      <c r="L97" s="105">
        <v>39.9</v>
      </c>
      <c r="M97" s="170">
        <f>SUM(I97:L97)</f>
        <v>145.1</v>
      </c>
      <c r="N97" s="105">
        <v>34.299999999999997</v>
      </c>
      <c r="O97" s="105">
        <v>29.3</v>
      </c>
      <c r="P97" s="105">
        <v>38.299999999999997</v>
      </c>
      <c r="Q97" s="105">
        <v>39.799999999999997</v>
      </c>
      <c r="R97" s="49">
        <f>SUM(N97:Q97)</f>
        <v>141.69999999999999</v>
      </c>
      <c r="S97" s="48">
        <v>39.200000000000003</v>
      </c>
      <c r="T97" s="48">
        <v>39.5</v>
      </c>
      <c r="U97" s="48">
        <v>60.2</v>
      </c>
      <c r="V97" s="48">
        <v>52.4</v>
      </c>
      <c r="W97" s="49">
        <f>SUM(S97:V97)</f>
        <v>191.3</v>
      </c>
      <c r="X97" s="105">
        <v>50.7</v>
      </c>
      <c r="Y97" s="105">
        <v>49.9</v>
      </c>
      <c r="Z97" s="48">
        <f t="shared" ref="Z97:AA97" si="284">Z98*Z92</f>
        <v>68.889593222970078</v>
      </c>
      <c r="AA97" s="48">
        <f t="shared" si="284"/>
        <v>69.625824777458092</v>
      </c>
      <c r="AB97" s="49">
        <f>SUM(X97:AA97)</f>
        <v>239.11541800042818</v>
      </c>
      <c r="AC97" s="48">
        <f>AC98*AC92</f>
        <v>65.341006383787473</v>
      </c>
      <c r="AD97" s="48">
        <f>AD98*AD92</f>
        <v>58.86970262972315</v>
      </c>
      <c r="AE97" s="48">
        <f t="shared" ref="AE97:AF97" si="285">AE98*AE92</f>
        <v>68.87920038892625</v>
      </c>
      <c r="AF97" s="48">
        <f t="shared" si="285"/>
        <v>81.522380000368386</v>
      </c>
      <c r="AG97" s="49">
        <f>SUM(AC97:AF97)</f>
        <v>274.61228940280529</v>
      </c>
      <c r="AH97" s="48">
        <f>AH98*AH92</f>
        <v>71.180069776834515</v>
      </c>
      <c r="AI97" s="48">
        <f>AI98*AI92</f>
        <v>63.469352909006666</v>
      </c>
      <c r="AJ97" s="48">
        <f t="shared" ref="AJ97:AK97" si="286">AJ98*AJ92</f>
        <v>62.850670227567235</v>
      </c>
      <c r="AK97" s="48">
        <f t="shared" si="286"/>
        <v>88.174124475421237</v>
      </c>
      <c r="AL97" s="49">
        <f>SUM(AH97:AK97)</f>
        <v>285.67421738882967</v>
      </c>
      <c r="AM97" s="48">
        <f>AM98*AM92</f>
        <v>81.78215487529971</v>
      </c>
      <c r="AN97" s="48">
        <f>AN98*AN92</f>
        <v>71.858360495219074</v>
      </c>
      <c r="AO97" s="48">
        <f t="shared" ref="AO97:AP97" si="287">AO98*AO92</f>
        <v>70.105404251640508</v>
      </c>
      <c r="AP97" s="48">
        <f t="shared" si="287"/>
        <v>97.031288816937462</v>
      </c>
      <c r="AQ97" s="49">
        <f>SUM(AM97:AP97)</f>
        <v>320.77720843909674</v>
      </c>
      <c r="AR97" s="48">
        <f>AR98*AR92</f>
        <v>87.613740054753038</v>
      </c>
      <c r="AS97" s="48">
        <f>AS98*AS92</f>
        <v>76.966571707525247</v>
      </c>
      <c r="AT97" s="48">
        <f t="shared" ref="AT97:AU97" si="288">AT98*AT92</f>
        <v>75.028452288817576</v>
      </c>
      <c r="AU97" s="48">
        <f t="shared" si="288"/>
        <v>103.86673191044778</v>
      </c>
      <c r="AV97" s="49">
        <f>SUM(AR97:AU97)</f>
        <v>343.47549596154363</v>
      </c>
    </row>
    <row r="98" spans="1:48" s="184" customFormat="1" outlineLevel="1" x14ac:dyDescent="0.3">
      <c r="B98" s="181" t="s">
        <v>152</v>
      </c>
      <c r="C98" s="190"/>
      <c r="D98" s="167">
        <f>D97/D92</f>
        <v>2.0811170212765958E-2</v>
      </c>
      <c r="E98" s="167">
        <f t="shared" ref="E98:Y98" si="289">E97/E92</f>
        <v>1.7196286125277887E-2</v>
      </c>
      <c r="F98" s="167">
        <f t="shared" si="289"/>
        <v>1.6842238062196431E-2</v>
      </c>
      <c r="G98" s="167">
        <f t="shared" si="289"/>
        <v>2.0291330068061827E-2</v>
      </c>
      <c r="H98" s="186">
        <f t="shared" si="289"/>
        <v>1.8769787426503842E-2</v>
      </c>
      <c r="I98" s="167">
        <f t="shared" si="289"/>
        <v>2.2850232321303544E-2</v>
      </c>
      <c r="J98" s="167">
        <f t="shared" si="289"/>
        <v>2.8027498677948178E-2</v>
      </c>
      <c r="K98" s="167">
        <f t="shared" si="289"/>
        <v>3.9490311710193765E-2</v>
      </c>
      <c r="L98" s="167">
        <f t="shared" si="289"/>
        <v>2.6401111625752663E-2</v>
      </c>
      <c r="M98" s="186">
        <f t="shared" si="289"/>
        <v>2.8084233344946388E-2</v>
      </c>
      <c r="N98" s="167">
        <f t="shared" si="289"/>
        <v>2.0733845130871061E-2</v>
      </c>
      <c r="O98" s="167">
        <f t="shared" si="289"/>
        <v>1.8188590229064498E-2</v>
      </c>
      <c r="P98" s="167">
        <f t="shared" si="289"/>
        <v>2.3094548962855763E-2</v>
      </c>
      <c r="Q98" s="167">
        <f t="shared" si="289"/>
        <v>2.0787631881332914E-2</v>
      </c>
      <c r="R98" s="188">
        <f t="shared" si="289"/>
        <v>2.0721827381474659E-2</v>
      </c>
      <c r="S98" s="167">
        <f t="shared" si="289"/>
        <v>2.0896636281251667E-2</v>
      </c>
      <c r="T98" s="167">
        <f t="shared" si="289"/>
        <v>2.3202537593984961E-2</v>
      </c>
      <c r="U98" s="167">
        <f t="shared" si="289"/>
        <v>3.7988262762668014E-2</v>
      </c>
      <c r="V98" s="167">
        <f t="shared" si="289"/>
        <v>2.948790095666854E-2</v>
      </c>
      <c r="W98" s="188">
        <f t="shared" si="289"/>
        <v>2.7564841498559079E-2</v>
      </c>
      <c r="X98" s="167">
        <f t="shared" si="289"/>
        <v>3.0176775191952859E-2</v>
      </c>
      <c r="Y98" s="167">
        <f t="shared" si="289"/>
        <v>2.6903170153116239E-2</v>
      </c>
      <c r="Z98" s="189">
        <f>U98-0.5%</f>
        <v>3.2988262762668016E-2</v>
      </c>
      <c r="AA98" s="189">
        <f t="shared" ref="AA98" si="290">V98</f>
        <v>2.948790095666854E-2</v>
      </c>
      <c r="AB98" s="188">
        <f t="shared" ref="AB98" si="291">AB97/AB92</f>
        <v>2.9947930387464645E-2</v>
      </c>
      <c r="AC98" s="189">
        <f>X98</f>
        <v>3.0176775191952859E-2</v>
      </c>
      <c r="AD98" s="189">
        <f t="shared" ref="AD98" si="292">Y98</f>
        <v>2.6903170153116239E-2</v>
      </c>
      <c r="AE98" s="189">
        <f>Z98-0.5%</f>
        <v>2.7988262762668015E-2</v>
      </c>
      <c r="AF98" s="189">
        <f t="shared" ref="AF98" si="293">AA98</f>
        <v>2.948790095666854E-2</v>
      </c>
      <c r="AG98" s="188">
        <f t="shared" ref="AG98" si="294">AG97/AG92</f>
        <v>2.8667892074692187E-2</v>
      </c>
      <c r="AH98" s="189">
        <f>AC98-0.2%</f>
        <v>2.8176775191952858E-2</v>
      </c>
      <c r="AI98" s="189">
        <f>AD98-0.2%</f>
        <v>2.4903170153116237E-2</v>
      </c>
      <c r="AJ98" s="189">
        <f>AE98-0.6%</f>
        <v>2.1988262762668014E-2</v>
      </c>
      <c r="AK98" s="189">
        <f>AF98-0.2%</f>
        <v>2.7487900956668539E-2</v>
      </c>
      <c r="AL98" s="188">
        <f t="shared" ref="AL98" si="295">AL97/AL92</f>
        <v>2.5641798460628307E-2</v>
      </c>
      <c r="AM98" s="189">
        <f>AH98</f>
        <v>2.8176775191952858E-2</v>
      </c>
      <c r="AN98" s="189">
        <f t="shared" ref="AN98:AP98" si="296">AI98</f>
        <v>2.4903170153116237E-2</v>
      </c>
      <c r="AO98" s="189">
        <f t="shared" si="296"/>
        <v>2.1988262762668014E-2</v>
      </c>
      <c r="AP98" s="189">
        <f t="shared" si="296"/>
        <v>2.7487900956668539E-2</v>
      </c>
      <c r="AQ98" s="188">
        <f t="shared" ref="AQ98" si="297">AQ97/AQ92</f>
        <v>2.5649349497518972E-2</v>
      </c>
      <c r="AR98" s="189">
        <f>AM98</f>
        <v>2.8176775191952858E-2</v>
      </c>
      <c r="AS98" s="189">
        <f t="shared" ref="AS98:AU98" si="298">AN98</f>
        <v>2.4903170153116237E-2</v>
      </c>
      <c r="AT98" s="189">
        <f t="shared" si="298"/>
        <v>2.1988262762668014E-2</v>
      </c>
      <c r="AU98" s="189">
        <f t="shared" si="298"/>
        <v>2.7487900956668539E-2</v>
      </c>
      <c r="AV98" s="188">
        <f t="shared" ref="AV98" si="299">AV97/AV92</f>
        <v>2.5649911519356854E-2</v>
      </c>
    </row>
    <row r="99" spans="1:48" outlineLevel="1" x14ac:dyDescent="0.3">
      <c r="B99" s="180" t="s">
        <v>34</v>
      </c>
      <c r="C99" s="18"/>
      <c r="D99" s="358">
        <v>127</v>
      </c>
      <c r="E99" s="358">
        <v>130.4</v>
      </c>
      <c r="F99" s="358">
        <v>127.7</v>
      </c>
      <c r="G99" s="358">
        <v>126.5</v>
      </c>
      <c r="H99" s="126">
        <f>SUM(D99:G99)</f>
        <v>511.59999999999997</v>
      </c>
      <c r="I99" s="358">
        <v>126.6</v>
      </c>
      <c r="J99" s="358">
        <v>130</v>
      </c>
      <c r="K99" s="358">
        <v>128.5</v>
      </c>
      <c r="L99" s="358">
        <v>133.1</v>
      </c>
      <c r="M99" s="126">
        <f>SUM(I99:L99)</f>
        <v>518.20000000000005</v>
      </c>
      <c r="N99" s="358">
        <v>140</v>
      </c>
      <c r="O99" s="358">
        <v>143.4</v>
      </c>
      <c r="P99" s="358">
        <v>129.69999999999999</v>
      </c>
      <c r="Q99" s="358">
        <v>131.6</v>
      </c>
      <c r="R99" s="126">
        <f>SUM(N99:Q99)</f>
        <v>544.69999999999993</v>
      </c>
      <c r="S99" s="358">
        <v>133.1</v>
      </c>
      <c r="T99" s="358">
        <v>133.4</v>
      </c>
      <c r="U99" s="358">
        <v>125</v>
      </c>
      <c r="V99" s="358">
        <v>121.5</v>
      </c>
      <c r="W99" s="126">
        <f>SUM(S99:V99)</f>
        <v>513</v>
      </c>
      <c r="X99" s="358">
        <v>81.5</v>
      </c>
      <c r="Y99" s="358">
        <v>86.3</v>
      </c>
      <c r="Z99" s="358">
        <f>(Y99/(Y66+Y99+Y114+Y127))*'CFS (Adjusted)'!Z7*0.95</f>
        <v>90.610868358535981</v>
      </c>
      <c r="AA99" s="358">
        <f>(Z99/(Z66+Z99+Z114+Z127))*'CFS (Adjusted)'!AA7*0.95</f>
        <v>93.182712493719322</v>
      </c>
      <c r="AB99" s="126">
        <f>SUM(X99:AA99)</f>
        <v>351.59358085225529</v>
      </c>
      <c r="AC99" s="358">
        <f>(AA99/(AA66+AA99+AA114+AA127))*'CFS (Adjusted)'!AC7*0.95</f>
        <v>97.244438962862603</v>
      </c>
      <c r="AD99" s="358">
        <f>(AC99/(AC66+AC99+AC114+AC127))*'CFS (Adjusted)'!AD7*0.95</f>
        <v>101.67893684667533</v>
      </c>
      <c r="AE99" s="358">
        <f>(AD99/(AD66+AD99+AD114+AD127))*'CFS (Adjusted)'!AE7*0.95</f>
        <v>105.09612349598081</v>
      </c>
      <c r="AF99" s="358">
        <f>(AE99/(AE66+AE99+AE114+AE127))*'CFS (Adjusted)'!AF7*0.95</f>
        <v>108.10316370830823</v>
      </c>
      <c r="AG99" s="126">
        <f>SUM(AC99:AF99)</f>
        <v>412.12266301382692</v>
      </c>
      <c r="AH99" s="358">
        <f>(AF99/(AF66+AF99+AF114+AF127))*'CFS (Adjusted)'!AH7*0.95</f>
        <v>111.57022553280441</v>
      </c>
      <c r="AI99" s="358">
        <f>(AH99/(AH66+AH99+AH114+AH127))*'CFS (Adjusted)'!AI7*0.95</f>
        <v>114.49125310611291</v>
      </c>
      <c r="AJ99" s="358">
        <f>(AI99/(AI66+AI99+AI114+AI127))*'CFS (Adjusted)'!AJ7*0.95</f>
        <v>116.90996274115282</v>
      </c>
      <c r="AK99" s="358">
        <f>(AJ99/(AJ66+AJ99+AJ114+AJ127))*'CFS (Adjusted)'!AK7*0.95</f>
        <v>119.70084850197817</v>
      </c>
      <c r="AL99" s="126">
        <f>SUM(AH99:AK99)</f>
        <v>462.67228988204829</v>
      </c>
      <c r="AM99" s="358">
        <f>(AK99/(AK66+AK99+AK114+AK127))*'CFS (Adjusted)'!AM7*0.95</f>
        <v>122.58082383554677</v>
      </c>
      <c r="AN99" s="358">
        <f>(AM99/(AM66+AM99+AM114+AM127))*'CFS (Adjusted)'!AN7*0.95</f>
        <v>125.59631467566417</v>
      </c>
      <c r="AO99" s="358">
        <f>(AN99/(AN66+AN99+AN114+AN127))*'CFS (Adjusted)'!AO7*0.95</f>
        <v>128.2229550866586</v>
      </c>
      <c r="AP99" s="358">
        <f>(AO99/(AO66+AO99+AO114+AO127))*'CFS (Adjusted)'!AP7*0.95</f>
        <v>131.31442715628896</v>
      </c>
      <c r="AQ99" s="126">
        <f>SUM(AM99:AP99)</f>
        <v>507.71452075415851</v>
      </c>
      <c r="AR99" s="358">
        <f>(AP99/(AP66+AP99+AP114+AP127))*'CFS (Adjusted)'!AR7*0.95</f>
        <v>134.35684909052935</v>
      </c>
      <c r="AS99" s="358">
        <f>(AR99/(AR66+AR99+AR114+AR127))*'CFS (Adjusted)'!AS7*0.95</f>
        <v>137.32149108259821</v>
      </c>
      <c r="AT99" s="358">
        <f>(AS99/(AS66+AS99+AS114+AS127))*'CFS (Adjusted)'!AT7*0.95</f>
        <v>139.92574367880491</v>
      </c>
      <c r="AU99" s="358">
        <f>(AT99/(AT66+AT99+AT114+AT127))*'CFS (Adjusted)'!AU7*0.95</f>
        <v>143.03665619526762</v>
      </c>
      <c r="AV99" s="126">
        <f>SUM(AR99:AU99)</f>
        <v>554.6407400472001</v>
      </c>
    </row>
    <row r="100" spans="1:48" outlineLevel="1" x14ac:dyDescent="0.3">
      <c r="B100" s="180" t="s">
        <v>35</v>
      </c>
      <c r="C100" s="18"/>
      <c r="D100" s="105">
        <v>69.3</v>
      </c>
      <c r="E100" s="105">
        <v>80.2</v>
      </c>
      <c r="F100" s="105">
        <v>86</v>
      </c>
      <c r="G100" s="105">
        <v>82.4</v>
      </c>
      <c r="H100" s="170">
        <f>SUM(D100:G100)</f>
        <v>317.89999999999998</v>
      </c>
      <c r="I100" s="105">
        <v>67.2</v>
      </c>
      <c r="J100" s="105">
        <v>63.7</v>
      </c>
      <c r="K100" s="105">
        <v>66.099999999999994</v>
      </c>
      <c r="L100" s="105">
        <v>84.5</v>
      </c>
      <c r="M100" s="170">
        <f>SUM(I100:L100)</f>
        <v>281.5</v>
      </c>
      <c r="N100" s="105">
        <v>82.6</v>
      </c>
      <c r="O100" s="105">
        <v>79.8</v>
      </c>
      <c r="P100" s="105">
        <v>92.3</v>
      </c>
      <c r="Q100" s="105">
        <v>98.4</v>
      </c>
      <c r="R100" s="49">
        <f>SUM(N100:Q100)</f>
        <v>353.1</v>
      </c>
      <c r="S100" s="48">
        <v>91.3</v>
      </c>
      <c r="T100" s="48">
        <v>79.599999999999994</v>
      </c>
      <c r="U100" s="48">
        <v>81.8</v>
      </c>
      <c r="V100" s="48">
        <v>92.6</v>
      </c>
      <c r="W100" s="49">
        <f>SUM(S100:V100)</f>
        <v>345.29999999999995</v>
      </c>
      <c r="X100" s="105">
        <v>80.5</v>
      </c>
      <c r="Y100" s="105">
        <v>87.4</v>
      </c>
      <c r="Z100" s="48">
        <f t="shared" ref="Z100:AA100" si="300">Z101*Z92</f>
        <v>97.353916840965795</v>
      </c>
      <c r="AA100" s="48">
        <f t="shared" si="300"/>
        <v>111.23522750467374</v>
      </c>
      <c r="AB100" s="49">
        <f>SUM(X100:AA100)</f>
        <v>376.48914434563955</v>
      </c>
      <c r="AC100" s="48">
        <f>AC101*AC92</f>
        <v>97.250744367232471</v>
      </c>
      <c r="AD100" s="48">
        <f>AD101*AD92</f>
        <v>103.11046111899407</v>
      </c>
      <c r="AE100" s="48">
        <f t="shared" ref="AE100:AF100" si="301">AE101*AE92</f>
        <v>114.72852450865803</v>
      </c>
      <c r="AF100" s="48">
        <f t="shared" si="301"/>
        <v>130.24133667425266</v>
      </c>
      <c r="AG100" s="49">
        <f>SUM(AC100:AF100)</f>
        <v>445.33106666913727</v>
      </c>
      <c r="AH100" s="48">
        <f>AH101*AH92</f>
        <v>108.40872671356615</v>
      </c>
      <c r="AI100" s="48">
        <f>AI101*AI92</f>
        <v>114.99739194066153</v>
      </c>
      <c r="AJ100" s="48">
        <f t="shared" ref="AJ100:AK100" si="302">AJ101*AJ92</f>
        <v>127.53663745659664</v>
      </c>
      <c r="AK100" s="48">
        <f t="shared" si="302"/>
        <v>144.70224771883557</v>
      </c>
      <c r="AL100" s="49">
        <f>SUM(AH100:AK100)</f>
        <v>495.64500382965986</v>
      </c>
      <c r="AM100" s="48">
        <f>AM101*AM92</f>
        <v>124.55592282670544</v>
      </c>
      <c r="AN100" s="48">
        <f>AN101*AN92</f>
        <v>130.19707413638079</v>
      </c>
      <c r="AO100" s="48">
        <f t="shared" ref="AO100:AP100" si="303">AO101*AO92</f>
        <v>142.25795036737676</v>
      </c>
      <c r="AP100" s="48">
        <f t="shared" si="303"/>
        <v>159.23770918508217</v>
      </c>
      <c r="AQ100" s="49">
        <f>SUM(AM100:AP100)</f>
        <v>556.24865651554512</v>
      </c>
      <c r="AR100" s="48">
        <f>AR101*AR92</f>
        <v>133.4375483436277</v>
      </c>
      <c r="AS100" s="48">
        <f>AS101*AS92</f>
        <v>139.45242242612042</v>
      </c>
      <c r="AT100" s="48">
        <f t="shared" ref="AT100:AU100" si="304">AT101*AT92</f>
        <v>152.24780394293128</v>
      </c>
      <c r="AU100" s="48">
        <f t="shared" si="304"/>
        <v>170.45533097230901</v>
      </c>
      <c r="AV100" s="49">
        <f>SUM(AR100:AU100)</f>
        <v>595.59310568498836</v>
      </c>
    </row>
    <row r="101" spans="1:48" s="184" customFormat="1" outlineLevel="1" x14ac:dyDescent="0.3">
      <c r="B101" s="181" t="s">
        <v>153</v>
      </c>
      <c r="C101" s="190"/>
      <c r="D101" s="167">
        <f>D100/D92</f>
        <v>4.6077127659574467E-2</v>
      </c>
      <c r="E101" s="167">
        <f t="shared" ref="E101:Y101" si="305">E100/E92</f>
        <v>5.2438864914345497E-2</v>
      </c>
      <c r="F101" s="167">
        <f t="shared" si="305"/>
        <v>5.4248407241531571E-2</v>
      </c>
      <c r="G101" s="167">
        <f t="shared" si="305"/>
        <v>5.2413968577062528E-2</v>
      </c>
      <c r="H101" s="186">
        <f t="shared" si="305"/>
        <v>5.1350390902629703E-2</v>
      </c>
      <c r="I101" s="167">
        <f t="shared" si="305"/>
        <v>4.277257972121444E-2</v>
      </c>
      <c r="J101" s="167">
        <f t="shared" si="305"/>
        <v>5.6143134144191795E-2</v>
      </c>
      <c r="K101" s="167">
        <f t="shared" si="305"/>
        <v>6.9608256107834873E-2</v>
      </c>
      <c r="L101" s="167">
        <f t="shared" si="305"/>
        <v>5.5912128630979954E-2</v>
      </c>
      <c r="M101" s="186">
        <f t="shared" si="305"/>
        <v>5.4484573994503162E-2</v>
      </c>
      <c r="N101" s="167">
        <f t="shared" si="305"/>
        <v>4.9930484192709908E-2</v>
      </c>
      <c r="O101" s="167">
        <f t="shared" si="305"/>
        <v>4.9537525606803648E-2</v>
      </c>
      <c r="P101" s="167">
        <f t="shared" si="305"/>
        <v>5.5656054027978775E-2</v>
      </c>
      <c r="Q101" s="167">
        <f t="shared" si="305"/>
        <v>5.139454716389847E-2</v>
      </c>
      <c r="R101" s="188">
        <f t="shared" si="305"/>
        <v>5.1636395542686682E-2</v>
      </c>
      <c r="S101" s="167">
        <f t="shared" si="305"/>
        <v>4.8669971746894823E-2</v>
      </c>
      <c r="T101" s="167">
        <f t="shared" si="305"/>
        <v>4.6757518796992477E-2</v>
      </c>
      <c r="U101" s="167">
        <f t="shared" si="305"/>
        <v>5.1618602890136929E-2</v>
      </c>
      <c r="V101" s="167">
        <f t="shared" si="305"/>
        <v>5.211029825548677E-2</v>
      </c>
      <c r="W101" s="188">
        <f t="shared" si="305"/>
        <v>4.9755043227665698E-2</v>
      </c>
      <c r="X101" s="167">
        <f t="shared" si="305"/>
        <v>4.7913814653889643E-2</v>
      </c>
      <c r="Y101" s="167">
        <f t="shared" si="305"/>
        <v>4.7120983394436065E-2</v>
      </c>
      <c r="Z101" s="189">
        <f>U101-0.5%</f>
        <v>4.6618602890136931E-2</v>
      </c>
      <c r="AA101" s="189">
        <f>V101-0.5%</f>
        <v>4.7110298255486772E-2</v>
      </c>
      <c r="AB101" s="188">
        <f t="shared" ref="AB101" si="306">AB100/AB92</f>
        <v>4.7153256702498168E-2</v>
      </c>
      <c r="AC101" s="189">
        <f>X101-0.3%</f>
        <v>4.491381465388964E-2</v>
      </c>
      <c r="AD101" s="189">
        <f t="shared" ref="AD101:AF101" si="307">Y101</f>
        <v>4.7120983394436065E-2</v>
      </c>
      <c r="AE101" s="189">
        <f t="shared" si="307"/>
        <v>4.6618602890136931E-2</v>
      </c>
      <c r="AF101" s="189">
        <f t="shared" si="307"/>
        <v>4.7110298255486772E-2</v>
      </c>
      <c r="AG101" s="188">
        <f t="shared" ref="AG101" si="308">AG100/AG92</f>
        <v>4.6489918512175515E-2</v>
      </c>
      <c r="AH101" s="189">
        <f>AC101-0.2%</f>
        <v>4.2913814653889638E-2</v>
      </c>
      <c r="AI101" s="189">
        <f>AD101-0.2%</f>
        <v>4.5120983394436064E-2</v>
      </c>
      <c r="AJ101" s="189">
        <f>AE101-0.2%</f>
        <v>4.461860289013693E-2</v>
      </c>
      <c r="AK101" s="189">
        <f>AF101-0.2%</f>
        <v>4.5110298255486771E-2</v>
      </c>
      <c r="AL101" s="188">
        <f t="shared" ref="AL101" si="309">AL100/AL92</f>
        <v>4.4488541571530822E-2</v>
      </c>
      <c r="AM101" s="189">
        <f>AH101</f>
        <v>4.2913814653889638E-2</v>
      </c>
      <c r="AN101" s="189">
        <f t="shared" ref="AN101:AP101" si="310">AI101</f>
        <v>4.5120983394436064E-2</v>
      </c>
      <c r="AO101" s="189">
        <f t="shared" si="310"/>
        <v>4.461860289013693E-2</v>
      </c>
      <c r="AP101" s="189">
        <f t="shared" si="310"/>
        <v>4.5110298255486771E-2</v>
      </c>
      <c r="AQ101" s="188">
        <f t="shared" ref="AQ101" si="311">AQ100/AQ92</f>
        <v>4.447764935644246E-2</v>
      </c>
      <c r="AR101" s="189">
        <f>AM101</f>
        <v>4.2913814653889638E-2</v>
      </c>
      <c r="AS101" s="189">
        <f t="shared" ref="AS101:AU101" si="312">AN101</f>
        <v>4.5120983394436064E-2</v>
      </c>
      <c r="AT101" s="189">
        <f t="shared" si="312"/>
        <v>4.461860289013693E-2</v>
      </c>
      <c r="AU101" s="189">
        <f t="shared" si="312"/>
        <v>4.5110298255486771E-2</v>
      </c>
      <c r="AV101" s="188">
        <f t="shared" ref="AV101" si="313">AV100/AV92</f>
        <v>4.4477439124418199E-2</v>
      </c>
    </row>
    <row r="102" spans="1:48" ht="16.2" outlineLevel="1" x14ac:dyDescent="0.45">
      <c r="B102" s="180" t="s">
        <v>42</v>
      </c>
      <c r="C102" s="18"/>
      <c r="D102" s="119">
        <v>6.4</v>
      </c>
      <c r="E102" s="119">
        <v>24.2</v>
      </c>
      <c r="F102" s="119">
        <v>16.600000000000001</v>
      </c>
      <c r="G102" s="119">
        <v>12</v>
      </c>
      <c r="H102" s="131">
        <f>SUM(D102:G102)</f>
        <v>59.2</v>
      </c>
      <c r="I102" s="119">
        <v>0.8</v>
      </c>
      <c r="J102" s="119">
        <v>-1.2</v>
      </c>
      <c r="K102" s="119">
        <v>-0.2</v>
      </c>
      <c r="L102" s="119">
        <v>-0.6</v>
      </c>
      <c r="M102" s="131">
        <f>SUM(I102:L102)</f>
        <v>-1.1999999999999997</v>
      </c>
      <c r="N102" s="119">
        <v>0</v>
      </c>
      <c r="O102" s="119">
        <v>0</v>
      </c>
      <c r="P102" s="119">
        <v>0</v>
      </c>
      <c r="Q102" s="119">
        <v>0</v>
      </c>
      <c r="R102" s="131">
        <f>SUM(N102:Q102)</f>
        <v>0</v>
      </c>
      <c r="S102" s="119">
        <v>0</v>
      </c>
      <c r="T102" s="119">
        <v>0</v>
      </c>
      <c r="U102" s="119">
        <v>0</v>
      </c>
      <c r="V102" s="119">
        <f>IFERROR((V163*(U102/U163)),0)</f>
        <v>0</v>
      </c>
      <c r="W102" s="131">
        <f>SUM(S102:V102)</f>
        <v>0</v>
      </c>
      <c r="X102" s="119">
        <f>IFERROR((X163*(V102/V163)),0)</f>
        <v>0</v>
      </c>
      <c r="Y102" s="119">
        <f t="shared" ref="Y102:AA102" si="314">IFERROR((Y163*(X102/X163)),0)</f>
        <v>0</v>
      </c>
      <c r="Z102" s="119">
        <f>IFERROR((Z163*(X102/X163)),0)</f>
        <v>0</v>
      </c>
      <c r="AA102" s="119">
        <f t="shared" si="314"/>
        <v>0</v>
      </c>
      <c r="AB102" s="131">
        <f>SUM(X102:AA102)</f>
        <v>0</v>
      </c>
      <c r="AC102" s="119">
        <f>IFERROR((AC163*(AA102/AA163)),0)</f>
        <v>0</v>
      </c>
      <c r="AD102" s="119">
        <f t="shared" ref="AD102:AF102" si="315">IFERROR((AD163*(AC102/AC163)),0)</f>
        <v>0</v>
      </c>
      <c r="AE102" s="119">
        <f t="shared" si="315"/>
        <v>0</v>
      </c>
      <c r="AF102" s="119">
        <f t="shared" si="315"/>
        <v>0</v>
      </c>
      <c r="AG102" s="131">
        <f>SUM(AC102:AF102)</f>
        <v>0</v>
      </c>
      <c r="AH102" s="119">
        <f>IFERROR((AH163*(AF102/AF163)),0)</f>
        <v>0</v>
      </c>
      <c r="AI102" s="119">
        <f t="shared" ref="AI102:AK102" si="316">IFERROR((AI163*(AH102/AH163)),0)</f>
        <v>0</v>
      </c>
      <c r="AJ102" s="119">
        <f t="shared" si="316"/>
        <v>0</v>
      </c>
      <c r="AK102" s="119">
        <f t="shared" si="316"/>
        <v>0</v>
      </c>
      <c r="AL102" s="131">
        <f>SUM(AH102:AK102)</f>
        <v>0</v>
      </c>
      <c r="AM102" s="119">
        <f>IFERROR((AM163*(AK102/AK163)),0)</f>
        <v>0</v>
      </c>
      <c r="AN102" s="119">
        <f t="shared" ref="AN102:AP102" si="317">IFERROR((AN163*(AM102/AM163)),0)</f>
        <v>0</v>
      </c>
      <c r="AO102" s="119">
        <f t="shared" si="317"/>
        <v>0</v>
      </c>
      <c r="AP102" s="119">
        <f t="shared" si="317"/>
        <v>0</v>
      </c>
      <c r="AQ102" s="131">
        <f>SUM(AM102:AP102)</f>
        <v>0</v>
      </c>
      <c r="AR102" s="119">
        <f>IFERROR((AR163*(AP102/AP163)),0)</f>
        <v>0</v>
      </c>
      <c r="AS102" s="119">
        <f t="shared" ref="AS102:AU102" si="318">IFERROR((AS163*(AR102/AR163)),0)</f>
        <v>0</v>
      </c>
      <c r="AT102" s="119">
        <f t="shared" si="318"/>
        <v>0</v>
      </c>
      <c r="AU102" s="119">
        <f t="shared" si="318"/>
        <v>0</v>
      </c>
      <c r="AV102" s="131">
        <f>SUM(AR102:AU102)</f>
        <v>0</v>
      </c>
    </row>
    <row r="103" spans="1:48" outlineLevel="1" x14ac:dyDescent="0.3">
      <c r="B103" s="46" t="s">
        <v>123</v>
      </c>
      <c r="C103" s="19"/>
      <c r="D103" s="103">
        <f>D93+D95+D97+D99+D100+D102</f>
        <v>1300.4000000000001</v>
      </c>
      <c r="E103" s="103">
        <f t="shared" ref="E103:G103" si="319">E93+E95+E97+E99+E100+E102</f>
        <v>1349.7</v>
      </c>
      <c r="F103" s="103">
        <f t="shared" si="319"/>
        <v>1342.3000000000002</v>
      </c>
      <c r="G103" s="103">
        <f t="shared" si="319"/>
        <v>1336.2000000000003</v>
      </c>
      <c r="H103" s="171">
        <f>H93+H95+H97+H99+H100+H102</f>
        <v>5328.5999999999995</v>
      </c>
      <c r="I103" s="103">
        <f>I93+I95+I97+I99+I100+I102</f>
        <v>1326.1</v>
      </c>
      <c r="J103" s="103">
        <f t="shared" ref="J103:L103" si="320">J93+J95+J97+J99+J100+J102</f>
        <v>1174.8</v>
      </c>
      <c r="K103" s="103">
        <f t="shared" si="320"/>
        <v>1052.9999999999998</v>
      </c>
      <c r="L103" s="103">
        <f t="shared" si="320"/>
        <v>1358.8000000000002</v>
      </c>
      <c r="M103" s="171">
        <f>M93+M95+M97+M99+M100+M102</f>
        <v>4912.7000000000007</v>
      </c>
      <c r="N103" s="103">
        <f>N93+N95+N97+N99+N100+N102</f>
        <v>1405.8</v>
      </c>
      <c r="O103" s="103">
        <f t="shared" ref="O103:P103" si="321">O93+O95+O97+O99+O100+O102</f>
        <v>1386.2</v>
      </c>
      <c r="P103" s="103">
        <f t="shared" si="321"/>
        <v>1382.1</v>
      </c>
      <c r="Q103" s="103">
        <f>Q93+Q95+Q97+Q99+Q100+Q102</f>
        <v>1577.5</v>
      </c>
      <c r="R103" s="171">
        <f>R93+R95+R97+R99+R100+R102</f>
        <v>5751.6</v>
      </c>
      <c r="S103" s="103">
        <f>S93+S95+S97+S99+S100+S102</f>
        <v>1577</v>
      </c>
      <c r="T103" s="103">
        <f t="shared" ref="T103:V103" si="322">T93+T95+T97+T99+T100+T102</f>
        <v>1522.3</v>
      </c>
      <c r="U103" s="103">
        <f t="shared" si="322"/>
        <v>1449.8</v>
      </c>
      <c r="V103" s="103">
        <f t="shared" si="322"/>
        <v>1560</v>
      </c>
      <c r="W103" s="171">
        <f>W93+W95+W97+W99+W100+W102</f>
        <v>6109.1</v>
      </c>
      <c r="X103" s="103">
        <f>X93+X95+X97+X99+X100+X102</f>
        <v>1440.2</v>
      </c>
      <c r="Y103" s="103">
        <f t="shared" ref="Y103:AA103" si="323">Y93+Y95+Y97+Y99+Y100+Y102</f>
        <v>1540.9</v>
      </c>
      <c r="Z103" s="103">
        <f t="shared" si="323"/>
        <v>1712.0833073973711</v>
      </c>
      <c r="AA103" s="103">
        <f t="shared" si="323"/>
        <v>1809.1429066867238</v>
      </c>
      <c r="AB103" s="171">
        <f>AB93+AB95+AB97+AB99+AB100+AB102</f>
        <v>6502.3262140840952</v>
      </c>
      <c r="AC103" s="103">
        <f>AC93+AC95+AC97+AC99+AC100+AC102</f>
        <v>1832.0277767321841</v>
      </c>
      <c r="AD103" s="103">
        <f t="shared" ref="AD103:AF103" si="324">AD93+AD95+AD97+AD99+AD100+AD102</f>
        <v>1746.5854441546044</v>
      </c>
      <c r="AE103" s="103">
        <f t="shared" si="324"/>
        <v>2011.0411902246003</v>
      </c>
      <c r="AF103" s="103">
        <f t="shared" si="324"/>
        <v>2124.0097479074429</v>
      </c>
      <c r="AG103" s="171">
        <f>AG93+AG95+AG97+AG99+AG100+AG102</f>
        <v>7713.6641590188301</v>
      </c>
      <c r="AH103" s="103">
        <f>AH93+AH95+AH97+AH99+AH100+AH102</f>
        <v>2122.5063437232498</v>
      </c>
      <c r="AI103" s="103">
        <f t="shared" ref="AI103:AK103" si="325">AI93+AI95+AI97+AI99+AI100+AI102</f>
        <v>2016.3047654855059</v>
      </c>
      <c r="AJ103" s="103">
        <f t="shared" si="325"/>
        <v>2243.4931058604143</v>
      </c>
      <c r="AK103" s="103">
        <f t="shared" si="325"/>
        <v>2440.9072043130955</v>
      </c>
      <c r="AL103" s="171">
        <f>AL93+AL95+AL97+AL99+AL100+AL102</f>
        <v>8823.2114193822672</v>
      </c>
      <c r="AM103" s="103">
        <f>AM93+AM95+AM97+AM99+AM100+AM102</f>
        <v>2440.6608089357801</v>
      </c>
      <c r="AN103" s="103">
        <f t="shared" ref="AN103:AP103" si="326">AN93+AN95+AN97+AN99+AN100+AN102</f>
        <v>2285.1979536408967</v>
      </c>
      <c r="AO103" s="103">
        <f t="shared" si="326"/>
        <v>2508.0091683761821</v>
      </c>
      <c r="AP103" s="103">
        <f t="shared" si="326"/>
        <v>2693.1031574905082</v>
      </c>
      <c r="AQ103" s="171">
        <f>AQ93+AQ95+AQ97+AQ99+AQ100+AQ102</f>
        <v>9926.9710884433662</v>
      </c>
      <c r="AR103" s="103">
        <f>AR93+AR95+AR97+AR99+AR100+AR102</f>
        <v>2625.5646885728161</v>
      </c>
      <c r="AS103" s="103">
        <f t="shared" ref="AS103:AU103" si="327">AS93+AS95+AS97+AS99+AS100+AS102</f>
        <v>2457.1542335610961</v>
      </c>
      <c r="AT103" s="103">
        <f t="shared" si="327"/>
        <v>2694.9011962856862</v>
      </c>
      <c r="AU103" s="103">
        <f t="shared" si="327"/>
        <v>2892.8931072042865</v>
      </c>
      <c r="AV103" s="171">
        <f>AV93+AV95+AV97+AV99+AV100+AV102</f>
        <v>10670.513225623883</v>
      </c>
    </row>
    <row r="104" spans="1:48" ht="16.2" outlineLevel="1" x14ac:dyDescent="0.45">
      <c r="B104" s="180" t="s">
        <v>36</v>
      </c>
      <c r="C104" s="18"/>
      <c r="D104" s="119">
        <v>26.4</v>
      </c>
      <c r="E104" s="104">
        <v>22.1</v>
      </c>
      <c r="F104" s="104">
        <v>27.2</v>
      </c>
      <c r="G104" s="104">
        <v>26.8</v>
      </c>
      <c r="H104" s="214">
        <f>SUM(D104:G104)</f>
        <v>102.5</v>
      </c>
      <c r="I104" s="104">
        <v>30.9</v>
      </c>
      <c r="J104" s="104">
        <v>24.8</v>
      </c>
      <c r="K104" s="104">
        <v>17.399999999999999</v>
      </c>
      <c r="L104" s="104">
        <v>29.2</v>
      </c>
      <c r="M104" s="214">
        <f>SUM(I104:L104)</f>
        <v>102.3</v>
      </c>
      <c r="N104" s="104">
        <v>26.3</v>
      </c>
      <c r="O104" s="104">
        <v>26.8</v>
      </c>
      <c r="P104" s="104">
        <v>42</v>
      </c>
      <c r="Q104" s="104">
        <v>40.299999999999997</v>
      </c>
      <c r="R104" s="193">
        <f>SUM(N104:Q104)</f>
        <v>135.39999999999998</v>
      </c>
      <c r="S104" s="104">
        <v>0.7</v>
      </c>
      <c r="T104" s="104">
        <v>0.6</v>
      </c>
      <c r="U104" s="104">
        <v>0.4</v>
      </c>
      <c r="V104" s="104">
        <v>0.6</v>
      </c>
      <c r="W104" s="193">
        <f>SUM(S104:V104)</f>
        <v>2.2999999999999998</v>
      </c>
      <c r="X104" s="104">
        <v>0.5</v>
      </c>
      <c r="Y104" s="104">
        <v>0.8</v>
      </c>
      <c r="Z104" s="56">
        <v>0.6</v>
      </c>
      <c r="AA104" s="56">
        <v>0.7</v>
      </c>
      <c r="AB104" s="193">
        <f>SUM(X104:AA104)</f>
        <v>2.5999999999999996</v>
      </c>
      <c r="AC104" s="56">
        <v>1</v>
      </c>
      <c r="AD104" s="56">
        <v>1</v>
      </c>
      <c r="AE104" s="56">
        <v>1</v>
      </c>
      <c r="AF104" s="56">
        <v>1</v>
      </c>
      <c r="AG104" s="193">
        <f>SUM(AC104:AF104)</f>
        <v>4</v>
      </c>
      <c r="AH104" s="56">
        <v>1</v>
      </c>
      <c r="AI104" s="56">
        <v>1</v>
      </c>
      <c r="AJ104" s="56">
        <v>1</v>
      </c>
      <c r="AK104" s="56">
        <v>1</v>
      </c>
      <c r="AL104" s="193">
        <f>SUM(AH104:AK104)</f>
        <v>4</v>
      </c>
      <c r="AM104" s="56">
        <v>1</v>
      </c>
      <c r="AN104" s="56">
        <v>1</v>
      </c>
      <c r="AO104" s="56">
        <v>1</v>
      </c>
      <c r="AP104" s="56">
        <v>1</v>
      </c>
      <c r="AQ104" s="193">
        <f>SUM(AM104:AP104)</f>
        <v>4</v>
      </c>
      <c r="AR104" s="56">
        <v>1</v>
      </c>
      <c r="AS104" s="56">
        <v>1</v>
      </c>
      <c r="AT104" s="56">
        <v>1</v>
      </c>
      <c r="AU104" s="56">
        <v>1</v>
      </c>
      <c r="AV104" s="193">
        <f>SUM(AR104:AU104)</f>
        <v>4</v>
      </c>
    </row>
    <row r="105" spans="1:48" outlineLevel="1" x14ac:dyDescent="0.3">
      <c r="B105" s="46" t="s">
        <v>124</v>
      </c>
      <c r="C105" s="44"/>
      <c r="D105" s="156">
        <f>+D92-D103+D104</f>
        <v>229.99999999999991</v>
      </c>
      <c r="E105" s="156">
        <f t="shared" ref="E105:V105" si="328">+E92-E103+E104</f>
        <v>201.80000000000004</v>
      </c>
      <c r="F105" s="156">
        <f t="shared" si="328"/>
        <v>270.19999999999976</v>
      </c>
      <c r="G105" s="156">
        <f t="shared" si="328"/>
        <v>262.69999999999987</v>
      </c>
      <c r="H105" s="132">
        <f>SUM(D105:G105)</f>
        <v>964.69999999999959</v>
      </c>
      <c r="I105" s="156">
        <f t="shared" si="328"/>
        <v>275.89999999999998</v>
      </c>
      <c r="J105" s="156">
        <f t="shared" si="328"/>
        <v>-15.400000000000045</v>
      </c>
      <c r="K105" s="156">
        <f>+K92-K103+K104</f>
        <v>-85.999999999999744</v>
      </c>
      <c r="L105" s="156">
        <f t="shared" si="328"/>
        <v>181.69999999999976</v>
      </c>
      <c r="M105" s="132">
        <f>SUM(I105:L105)</f>
        <v>356.19999999999993</v>
      </c>
      <c r="N105" s="156">
        <f t="shared" si="328"/>
        <v>274.8</v>
      </c>
      <c r="O105" s="156">
        <f t="shared" si="328"/>
        <v>251.50000000000006</v>
      </c>
      <c r="P105" s="156">
        <f t="shared" si="328"/>
        <v>318.29999999999995</v>
      </c>
      <c r="Q105" s="156">
        <f t="shared" si="328"/>
        <v>377.39999999999992</v>
      </c>
      <c r="R105" s="97">
        <f>SUM(N105:Q105)</f>
        <v>1222</v>
      </c>
      <c r="S105" s="74">
        <f t="shared" si="328"/>
        <v>299.59999999999985</v>
      </c>
      <c r="T105" s="74">
        <f t="shared" si="328"/>
        <v>180.70000000000013</v>
      </c>
      <c r="U105" s="74">
        <f t="shared" si="328"/>
        <v>135.3000000000001</v>
      </c>
      <c r="V105" s="74">
        <f t="shared" si="328"/>
        <v>217.6</v>
      </c>
      <c r="W105" s="97">
        <f>SUM(S105:V105)</f>
        <v>833.2</v>
      </c>
      <c r="X105" s="156">
        <f t="shared" ref="X105:AA105" si="329">+X92-X103+X104</f>
        <v>240.40000000000009</v>
      </c>
      <c r="Y105" s="156">
        <f t="shared" si="329"/>
        <v>314.69999999999987</v>
      </c>
      <c r="Z105" s="74">
        <f t="shared" si="329"/>
        <v>376.82287952104696</v>
      </c>
      <c r="AA105" s="74">
        <f t="shared" si="329"/>
        <v>552.72294502211298</v>
      </c>
      <c r="AB105" s="97">
        <f>SUM(X105:AA105)</f>
        <v>1484.64582454316</v>
      </c>
      <c r="AC105" s="74">
        <f t="shared" ref="AC105:AF105" si="330">+AC92-AC103+AC104</f>
        <v>334.24687465640227</v>
      </c>
      <c r="AD105" s="74">
        <f t="shared" si="330"/>
        <v>442.62145840272024</v>
      </c>
      <c r="AE105" s="74">
        <f t="shared" si="330"/>
        <v>450.96187284512257</v>
      </c>
      <c r="AF105" s="74">
        <f t="shared" si="330"/>
        <v>641.59462729588995</v>
      </c>
      <c r="AG105" s="97">
        <f>SUM(AC105:AF105)</f>
        <v>1869.424833200135</v>
      </c>
      <c r="AH105" s="74">
        <f t="shared" ref="AH105:AK105" si="331">+AH92-AH103+AH104</f>
        <v>404.69011743754254</v>
      </c>
      <c r="AI105" s="74">
        <f t="shared" si="331"/>
        <v>533.34074907218519</v>
      </c>
      <c r="AJ105" s="74">
        <f t="shared" si="331"/>
        <v>615.88051400900076</v>
      </c>
      <c r="AK105" s="74">
        <f t="shared" si="331"/>
        <v>767.83589016390488</v>
      </c>
      <c r="AL105" s="97">
        <f>SUM(AH105:AK105)</f>
        <v>2321.7472706826334</v>
      </c>
      <c r="AM105" s="74">
        <f t="shared" ref="AM105:AP105" si="332">+AM92-AM103+AM104</f>
        <v>462.80600347134987</v>
      </c>
      <c r="AN105" s="74">
        <f t="shared" si="332"/>
        <v>601.31260800248265</v>
      </c>
      <c r="AO105" s="74">
        <f t="shared" si="332"/>
        <v>681.30111371970361</v>
      </c>
      <c r="AP105" s="74">
        <f t="shared" si="332"/>
        <v>837.86040611138105</v>
      </c>
      <c r="AQ105" s="97">
        <f>SUM(AM105:AP105)</f>
        <v>2583.2801313049172</v>
      </c>
      <c r="AR105" s="74">
        <f t="shared" ref="AR105:AU105" si="333">+AR92-AR103+AR104</f>
        <v>484.86637505632052</v>
      </c>
      <c r="AS105" s="74">
        <f t="shared" si="333"/>
        <v>634.47925744824443</v>
      </c>
      <c r="AT105" s="74">
        <f t="shared" si="333"/>
        <v>718.30344664781342</v>
      </c>
      <c r="AU105" s="74">
        <f t="shared" si="333"/>
        <v>886.7414300119799</v>
      </c>
      <c r="AV105" s="97">
        <f>SUM(AR105:AU105)</f>
        <v>2724.3905091643583</v>
      </c>
    </row>
    <row r="106" spans="1:48" outlineLevel="1" x14ac:dyDescent="0.3">
      <c r="B106" s="46" t="s">
        <v>125</v>
      </c>
      <c r="C106" s="44"/>
      <c r="D106" s="157">
        <f t="shared" ref="D106:G106" si="334">+D105/D92</f>
        <v>0.15292553191489355</v>
      </c>
      <c r="E106" s="157">
        <f t="shared" si="334"/>
        <v>0.1319471688243756</v>
      </c>
      <c r="F106" s="157">
        <f t="shared" si="334"/>
        <v>0.17044092600769556</v>
      </c>
      <c r="G106" s="157">
        <f t="shared" si="334"/>
        <v>0.16710132943196987</v>
      </c>
      <c r="H106" s="133">
        <f>H105/H92</f>
        <v>0.15582800284292814</v>
      </c>
      <c r="I106" s="157">
        <f t="shared" ref="I106:L106" si="335">+I105/I92</f>
        <v>0.17560944561135511</v>
      </c>
      <c r="J106" s="157">
        <f t="shared" si="335"/>
        <v>-1.3573065397496956E-2</v>
      </c>
      <c r="K106" s="157">
        <f t="shared" si="335"/>
        <v>-9.0564448188710761E-2</v>
      </c>
      <c r="L106" s="157">
        <f t="shared" si="335"/>
        <v>0.12022761860649757</v>
      </c>
      <c r="M106" s="133">
        <f>M105/M92</f>
        <v>6.8942825068710564E-2</v>
      </c>
      <c r="N106" s="157">
        <f t="shared" ref="N106:Q106" si="336">+N105/N92</f>
        <v>0.16611255515928189</v>
      </c>
      <c r="O106" s="157">
        <f t="shared" si="336"/>
        <v>0.1561239058911168</v>
      </c>
      <c r="P106" s="157">
        <f t="shared" si="336"/>
        <v>0.19193198263386396</v>
      </c>
      <c r="Q106" s="157">
        <f t="shared" si="336"/>
        <v>0.19711689125665932</v>
      </c>
      <c r="R106" s="98">
        <f>R105/R92</f>
        <v>0.17870199760170807</v>
      </c>
      <c r="S106" s="75">
        <f t="shared" ref="S106:V106" si="337">+S105/S92</f>
        <v>0.15971000586385195</v>
      </c>
      <c r="T106" s="75">
        <f t="shared" si="337"/>
        <v>0.1061442669172933</v>
      </c>
      <c r="U106" s="75">
        <f t="shared" si="337"/>
        <v>8.5378936076228998E-2</v>
      </c>
      <c r="V106" s="75">
        <f t="shared" si="337"/>
        <v>0.12245357343837929</v>
      </c>
      <c r="W106" s="98">
        <f>W105/W92</f>
        <v>0.12005763688760808</v>
      </c>
      <c r="X106" s="157">
        <f t="shared" ref="X106:AA106" si="338">+X105/X92</f>
        <v>0.14308672102851025</v>
      </c>
      <c r="Y106" s="75">
        <f t="shared" si="338"/>
        <v>0.16966788872115585</v>
      </c>
      <c r="Z106" s="75">
        <f t="shared" si="338"/>
        <v>0.18044426716807307</v>
      </c>
      <c r="AA106" s="75">
        <f t="shared" si="338"/>
        <v>0.23408899659551366</v>
      </c>
      <c r="AB106" s="98">
        <f>AB105/AB92</f>
        <v>0.18594396871296265</v>
      </c>
      <c r="AC106" s="75">
        <f t="shared" ref="AC106:AF106" si="339">+AC105/AC92</f>
        <v>0.15436696422878751</v>
      </c>
      <c r="AD106" s="75">
        <f t="shared" si="339"/>
        <v>0.20227587157568838</v>
      </c>
      <c r="AE106" s="75">
        <f t="shared" si="339"/>
        <v>0.18324311725261203</v>
      </c>
      <c r="AF106" s="75">
        <f t="shared" si="339"/>
        <v>0.23207466249079547</v>
      </c>
      <c r="AG106" s="98">
        <f>AG105/AG92</f>
        <v>0.19515684995918264</v>
      </c>
      <c r="AH106" s="75">
        <f t="shared" ref="AH106:AK106" si="340">+AH105/AH92</f>
        <v>0.16019740493642629</v>
      </c>
      <c r="AI106" s="75">
        <f t="shared" si="340"/>
        <v>0.20926439005572914</v>
      </c>
      <c r="AJ106" s="75">
        <f t="shared" si="340"/>
        <v>0.2154653645443094</v>
      </c>
      <c r="AK106" s="75">
        <f t="shared" si="340"/>
        <v>0.23936950919976807</v>
      </c>
      <c r="AL106" s="98">
        <f>AL105/AL92</f>
        <v>0.20839744004733479</v>
      </c>
      <c r="AM106" s="75">
        <f t="shared" ref="AM106:AP106" si="341">+AM105/AM92</f>
        <v>0.15945264266002981</v>
      </c>
      <c r="AN106" s="75">
        <f t="shared" si="341"/>
        <v>0.20839036806713965</v>
      </c>
      <c r="AO106" s="75">
        <f t="shared" si="341"/>
        <v>0.21368720527157717</v>
      </c>
      <c r="AP106" s="75">
        <f t="shared" si="341"/>
        <v>0.23735667267240815</v>
      </c>
      <c r="AQ106" s="98">
        <f>AQ105/AQ92</f>
        <v>0.20655911079298717</v>
      </c>
      <c r="AR106" s="75">
        <f t="shared" ref="AR106:AU106" si="342">+AR105/AR92</f>
        <v>0.1559341130690366</v>
      </c>
      <c r="AS106" s="75">
        <f t="shared" si="342"/>
        <v>0.20529100564461814</v>
      </c>
      <c r="AT106" s="75">
        <f t="shared" si="342"/>
        <v>0.21051007246455247</v>
      </c>
      <c r="AU106" s="75">
        <f t="shared" si="342"/>
        <v>0.23467245145788709</v>
      </c>
      <c r="AV106" s="98">
        <f>AV105/AV92</f>
        <v>0.20345083223073746</v>
      </c>
    </row>
    <row r="107" spans="1:48" ht="17.399999999999999" x14ac:dyDescent="0.45">
      <c r="B107" s="583" t="s">
        <v>51</v>
      </c>
      <c r="C107" s="584"/>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4" t="s">
        <v>408</v>
      </c>
      <c r="Y107" s="14" t="s">
        <v>452</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87" t="s">
        <v>126</v>
      </c>
      <c r="C108" s="588"/>
      <c r="D108" s="50">
        <v>504.6</v>
      </c>
      <c r="E108" s="50">
        <v>446.6</v>
      </c>
      <c r="F108" s="103">
        <v>533.29999999999995</v>
      </c>
      <c r="G108" s="50">
        <v>508.1</v>
      </c>
      <c r="H108" s="31">
        <f>SUM(D108:G108)</f>
        <v>1992.6</v>
      </c>
      <c r="I108" s="50">
        <v>494.6</v>
      </c>
      <c r="J108" s="50">
        <v>519.1</v>
      </c>
      <c r="K108" s="50">
        <v>447.3</v>
      </c>
      <c r="L108" s="50">
        <v>464</v>
      </c>
      <c r="M108" s="31">
        <f>SUM(I108:L108)</f>
        <v>1925</v>
      </c>
      <c r="N108" s="50">
        <v>371.4</v>
      </c>
      <c r="O108" s="50">
        <v>369.9</v>
      </c>
      <c r="P108" s="50">
        <v>414</v>
      </c>
      <c r="Q108" s="103">
        <v>438.3</v>
      </c>
      <c r="R108" s="126">
        <f>SUM(N108:Q108)</f>
        <v>1593.6</v>
      </c>
      <c r="S108" s="50">
        <v>417.1</v>
      </c>
      <c r="T108" s="50">
        <v>463.1</v>
      </c>
      <c r="U108" s="50">
        <v>479.7</v>
      </c>
      <c r="V108" s="103">
        <v>483.7</v>
      </c>
      <c r="W108" s="126">
        <f>SUM(S108:V108)</f>
        <v>1843.6000000000001</v>
      </c>
      <c r="X108" s="103">
        <v>478.2</v>
      </c>
      <c r="Y108" s="103">
        <v>480.7</v>
      </c>
      <c r="Z108" s="50">
        <f>+U108*(1+Z109)</f>
        <v>498.88800000000003</v>
      </c>
      <c r="AA108" s="50">
        <f t="shared" ref="AA108" si="343">+V108*(1+AA109)</f>
        <v>503.048</v>
      </c>
      <c r="AB108" s="31">
        <f>SUM(X108:AA108)</f>
        <v>1960.836</v>
      </c>
      <c r="AC108" s="50">
        <f>+X108*(1+AC109)</f>
        <v>497.32800000000003</v>
      </c>
      <c r="AD108" s="50">
        <f>+Y108*(1+AD109)</f>
        <v>499.928</v>
      </c>
      <c r="AE108" s="50">
        <f>+Z108*(1+AE109)</f>
        <v>518.84352000000001</v>
      </c>
      <c r="AF108" s="50">
        <f t="shared" ref="AF108" si="344">+AA108*(1+AF109)</f>
        <v>523.16992000000005</v>
      </c>
      <c r="AG108" s="31">
        <f>SUM(AC108:AF108)</f>
        <v>2039.2694400000003</v>
      </c>
      <c r="AH108" s="50">
        <f>+AC108*(1+AH109)</f>
        <v>517.22112000000004</v>
      </c>
      <c r="AI108" s="50">
        <f>+AD108*(1+AI109)</f>
        <v>519.92511999999999</v>
      </c>
      <c r="AJ108" s="50">
        <f>+AE108*(1+AJ109)</f>
        <v>539.59726080000007</v>
      </c>
      <c r="AK108" s="50">
        <f t="shared" ref="AK108" si="345">+AF108*(1+AK109)</f>
        <v>544.09671680000008</v>
      </c>
      <c r="AL108" s="31">
        <f>SUM(AH108:AK108)</f>
        <v>2120.8402176000004</v>
      </c>
      <c r="AM108" s="50">
        <f>+AH108*(1+AM109)</f>
        <v>537.90996480000001</v>
      </c>
      <c r="AN108" s="50">
        <f>+AI108*(1+AN109)</f>
        <v>540.72212479999996</v>
      </c>
      <c r="AO108" s="50">
        <f>+AJ108*(1+AO109)</f>
        <v>561.18115123200005</v>
      </c>
      <c r="AP108" s="50">
        <f t="shared" ref="AP108" si="346">+AK108*(1+AP109)</f>
        <v>565.86058547200014</v>
      </c>
      <c r="AQ108" s="31">
        <f>SUM(AM108:AP108)</f>
        <v>2205.6738263040002</v>
      </c>
      <c r="AR108" s="50">
        <f>+AM108*(1+AR109)</f>
        <v>559.42636339199998</v>
      </c>
      <c r="AS108" s="50">
        <f>+AN108*(1+AS109)</f>
        <v>562.35100979200001</v>
      </c>
      <c r="AT108" s="50">
        <f>+AO108*(1+AT109)</f>
        <v>583.62839728128006</v>
      </c>
      <c r="AU108" s="50">
        <f t="shared" ref="AU108" si="347">+AP108*(1+AU109)</f>
        <v>588.49500889088017</v>
      </c>
      <c r="AV108" s="31">
        <f>SUM(AR108:AU108)</f>
        <v>2293.9007793561605</v>
      </c>
    </row>
    <row r="109" spans="1:48" outlineLevel="1" x14ac:dyDescent="0.3">
      <c r="B109" s="69" t="s">
        <v>58</v>
      </c>
      <c r="C109" s="70"/>
      <c r="D109" s="120"/>
      <c r="E109" s="120"/>
      <c r="F109" s="120"/>
      <c r="G109" s="120"/>
      <c r="H109" s="58"/>
      <c r="I109" s="120">
        <f>I108/D108-1</f>
        <v>-1.9817677368212494E-2</v>
      </c>
      <c r="J109" s="120">
        <f t="shared" ref="J109" si="348">J108/E108-1</f>
        <v>0.16233766233766223</v>
      </c>
      <c r="K109" s="120">
        <f>K108/F108-1</f>
        <v>-0.1612600787549221</v>
      </c>
      <c r="L109" s="120">
        <f>L108/G108-1</f>
        <v>-8.6793938201141563E-2</v>
      </c>
      <c r="M109" s="168">
        <f>M108/H108-1</f>
        <v>-3.3925524440429511E-2</v>
      </c>
      <c r="N109" s="120">
        <f>N108/I108-1</f>
        <v>-0.24909017387788124</v>
      </c>
      <c r="O109" s="120">
        <f t="shared" ref="O109" si="349">O108/J108-1</f>
        <v>-0.28742053554228475</v>
      </c>
      <c r="P109" s="120">
        <f>P108/K108-1</f>
        <v>-7.4446680080482941E-2</v>
      </c>
      <c r="Q109" s="120">
        <f>Q108/L108-1</f>
        <v>-5.5387931034482696E-2</v>
      </c>
      <c r="R109" s="168">
        <f>R108/M108-1</f>
        <v>-0.17215584415584417</v>
      </c>
      <c r="S109" s="120">
        <f>S108/N108-1</f>
        <v>0.12304792676359733</v>
      </c>
      <c r="T109" s="120">
        <f t="shared" ref="T109:U109" si="350">T108/O108-1</f>
        <v>0.25195998918626672</v>
      </c>
      <c r="U109" s="120">
        <f t="shared" si="350"/>
        <v>0.15869565217391313</v>
      </c>
      <c r="V109" s="120">
        <f>V108/Q108-1</f>
        <v>0.10358202144649775</v>
      </c>
      <c r="W109" s="168">
        <f>W108/R108-1</f>
        <v>0.15687751004016071</v>
      </c>
      <c r="X109" s="120">
        <f>X108/S108-1</f>
        <v>0.14648765284104526</v>
      </c>
      <c r="Y109" s="120">
        <f>Y108/T108-1</f>
        <v>3.8004750593824133E-2</v>
      </c>
      <c r="Z109" s="197">
        <v>0.04</v>
      </c>
      <c r="AA109" s="197">
        <v>0.04</v>
      </c>
      <c r="AB109" s="168">
        <f>AB108/W108-1</f>
        <v>6.3590800607506992E-2</v>
      </c>
      <c r="AC109" s="197">
        <v>0.04</v>
      </c>
      <c r="AD109" s="197">
        <v>0.04</v>
      </c>
      <c r="AE109" s="197">
        <v>0.04</v>
      </c>
      <c r="AF109" s="197">
        <v>0.04</v>
      </c>
      <c r="AG109" s="168">
        <f>AG108/AB108-1</f>
        <v>4.0000000000000036E-2</v>
      </c>
      <c r="AH109" s="197">
        <v>0.04</v>
      </c>
      <c r="AI109" s="197">
        <v>0.04</v>
      </c>
      <c r="AJ109" s="197">
        <v>0.04</v>
      </c>
      <c r="AK109" s="197">
        <v>0.04</v>
      </c>
      <c r="AL109" s="168">
        <f>AL108/AG108-1</f>
        <v>4.0000000000000036E-2</v>
      </c>
      <c r="AM109" s="197">
        <v>0.04</v>
      </c>
      <c r="AN109" s="197">
        <v>0.04</v>
      </c>
      <c r="AO109" s="197">
        <v>0.04</v>
      </c>
      <c r="AP109" s="197">
        <v>0.04</v>
      </c>
      <c r="AQ109" s="168">
        <f>AQ108/AL108-1</f>
        <v>3.9999999999999813E-2</v>
      </c>
      <c r="AR109" s="197">
        <v>0.04</v>
      </c>
      <c r="AS109" s="197">
        <v>0.04</v>
      </c>
      <c r="AT109" s="197">
        <v>0.04</v>
      </c>
      <c r="AU109" s="197">
        <v>0.04</v>
      </c>
      <c r="AV109" s="168">
        <f>AV108/AQ108-1</f>
        <v>4.0000000000000036E-2</v>
      </c>
    </row>
    <row r="110" spans="1:48" outlineLevel="1" x14ac:dyDescent="0.3">
      <c r="B110" s="607" t="s">
        <v>100</v>
      </c>
      <c r="C110" s="608"/>
      <c r="D110" s="48">
        <v>348.4</v>
      </c>
      <c r="E110" s="48">
        <v>305.39999999999998</v>
      </c>
      <c r="F110" s="48">
        <v>377.1</v>
      </c>
      <c r="G110" s="48">
        <v>359.1</v>
      </c>
      <c r="H110" s="76">
        <f>SUM(D110:G110)</f>
        <v>1390</v>
      </c>
      <c r="I110" s="48">
        <v>338.8</v>
      </c>
      <c r="J110" s="48">
        <v>351.6</v>
      </c>
      <c r="K110" s="48">
        <v>319.89999999999998</v>
      </c>
      <c r="L110" s="48">
        <v>327.8</v>
      </c>
      <c r="M110" s="76">
        <f>SUM(I110:L110)</f>
        <v>1338.1000000000001</v>
      </c>
      <c r="N110" s="48">
        <v>233.5</v>
      </c>
      <c r="O110" s="48">
        <v>231.9</v>
      </c>
      <c r="P110" s="48">
        <v>268.3</v>
      </c>
      <c r="Q110" s="105">
        <v>277.5</v>
      </c>
      <c r="R110" s="76">
        <f>SUM(N110:Q110)</f>
        <v>1011.2</v>
      </c>
      <c r="S110" s="48">
        <v>258.8</v>
      </c>
      <c r="T110" s="48">
        <v>300.5</v>
      </c>
      <c r="U110" s="48">
        <v>325.8</v>
      </c>
      <c r="V110" s="105">
        <v>309</v>
      </c>
      <c r="W110" s="129">
        <f>SUM(S110:V110)</f>
        <v>1194.0999999999999</v>
      </c>
      <c r="X110" s="105">
        <v>294.2</v>
      </c>
      <c r="Y110" s="105">
        <v>345.6</v>
      </c>
      <c r="Z110" s="48">
        <f t="shared" ref="Z110:AA110" si="351">Z111*Z108</f>
        <v>359.19936000000001</v>
      </c>
      <c r="AA110" s="48">
        <f t="shared" si="351"/>
        <v>377.286</v>
      </c>
      <c r="AB110" s="76">
        <f>SUM(X110:AA110)</f>
        <v>1376.2853600000001</v>
      </c>
      <c r="AC110" s="48">
        <f t="shared" ref="AC110:AF110" si="352">AC111*AC108</f>
        <v>368.02271999999999</v>
      </c>
      <c r="AD110" s="48">
        <f t="shared" si="352"/>
        <v>369.94671999999997</v>
      </c>
      <c r="AE110" s="48">
        <f t="shared" si="352"/>
        <v>394.3210752</v>
      </c>
      <c r="AF110" s="48">
        <f t="shared" si="352"/>
        <v>397.60913920000002</v>
      </c>
      <c r="AG110" s="76">
        <f>SUM(AC110:AF110)</f>
        <v>1529.8996543999999</v>
      </c>
      <c r="AH110" s="48">
        <f t="shared" ref="AH110:AK110" si="353">AH111*AH108</f>
        <v>382.74362880000001</v>
      </c>
      <c r="AI110" s="48">
        <f t="shared" si="353"/>
        <v>384.74458879999997</v>
      </c>
      <c r="AJ110" s="48">
        <f t="shared" si="353"/>
        <v>404.69794560000003</v>
      </c>
      <c r="AK110" s="48">
        <f t="shared" si="353"/>
        <v>413.51350476800008</v>
      </c>
      <c r="AL110" s="76">
        <f>SUM(AH110:AK110)</f>
        <v>1585.6996679680001</v>
      </c>
      <c r="AM110" s="48">
        <f t="shared" ref="AM110:AP110" si="354">AM111*AM108</f>
        <v>398.05337395200002</v>
      </c>
      <c r="AN110" s="48">
        <f t="shared" si="354"/>
        <v>400.13437235199996</v>
      </c>
      <c r="AO110" s="48">
        <f t="shared" si="354"/>
        <v>420.88586342400004</v>
      </c>
      <c r="AP110" s="48">
        <f t="shared" si="354"/>
        <v>430.05404495872011</v>
      </c>
      <c r="AQ110" s="76">
        <f>SUM(AM110:AP110)</f>
        <v>1649.1276546867202</v>
      </c>
      <c r="AR110" s="48">
        <f t="shared" ref="AR110:AU110" si="355">AR111*AR108</f>
        <v>413.97550891008001</v>
      </c>
      <c r="AS110" s="48">
        <f t="shared" si="355"/>
        <v>416.13974724607999</v>
      </c>
      <c r="AT110" s="48">
        <f t="shared" si="355"/>
        <v>437.72129796096004</v>
      </c>
      <c r="AU110" s="48">
        <f t="shared" si="355"/>
        <v>447.25620675706892</v>
      </c>
      <c r="AV110" s="76">
        <f>SUM(AR110:AU110)</f>
        <v>1715.092760874189</v>
      </c>
    </row>
    <row r="111" spans="1:48" s="183" customFormat="1" outlineLevel="1" x14ac:dyDescent="0.3">
      <c r="A111" s="238"/>
      <c r="B111" s="181" t="s">
        <v>151</v>
      </c>
      <c r="C111" s="182"/>
      <c r="D111" s="167">
        <f>D110/D108</f>
        <v>0.69044787950852149</v>
      </c>
      <c r="E111" s="167">
        <f t="shared" ref="E111:Y111" si="356">E110/E108</f>
        <v>0.68383340797133896</v>
      </c>
      <c r="F111" s="167">
        <f t="shared" si="356"/>
        <v>0.70710669416838567</v>
      </c>
      <c r="G111" s="167">
        <f t="shared" si="356"/>
        <v>0.70675063963786655</v>
      </c>
      <c r="H111" s="188">
        <f t="shared" si="356"/>
        <v>0.69758104988457292</v>
      </c>
      <c r="I111" s="167">
        <f t="shared" si="356"/>
        <v>0.68499797816417307</v>
      </c>
      <c r="J111" s="167">
        <f t="shared" si="356"/>
        <v>0.6773261413985745</v>
      </c>
      <c r="K111" s="167">
        <f t="shared" si="356"/>
        <v>0.71517996870109535</v>
      </c>
      <c r="L111" s="187">
        <f t="shared" si="356"/>
        <v>0.70646551724137929</v>
      </c>
      <c r="M111" s="188">
        <f t="shared" si="356"/>
        <v>0.69511688311688313</v>
      </c>
      <c r="N111" s="187">
        <f t="shared" si="356"/>
        <v>0.62870220786214326</v>
      </c>
      <c r="O111" s="167">
        <f t="shared" si="356"/>
        <v>0.62692619626926205</v>
      </c>
      <c r="P111" s="167">
        <f t="shared" si="356"/>
        <v>0.6480676328502416</v>
      </c>
      <c r="Q111" s="167">
        <f t="shared" si="356"/>
        <v>0.63312799452429835</v>
      </c>
      <c r="R111" s="188">
        <f t="shared" si="356"/>
        <v>0.63453815261044189</v>
      </c>
      <c r="S111" s="187">
        <f t="shared" si="356"/>
        <v>0.62047470630544233</v>
      </c>
      <c r="T111" s="167">
        <f t="shared" si="356"/>
        <v>0.64888792917296478</v>
      </c>
      <c r="U111" s="167">
        <f t="shared" si="356"/>
        <v>0.67917448405253289</v>
      </c>
      <c r="V111" s="167">
        <f t="shared" si="356"/>
        <v>0.63882571842050861</v>
      </c>
      <c r="W111" s="186">
        <f t="shared" si="356"/>
        <v>0.64770015187676278</v>
      </c>
      <c r="X111" s="167">
        <f t="shared" si="356"/>
        <v>0.61522375575073185</v>
      </c>
      <c r="Y111" s="167">
        <f t="shared" si="356"/>
        <v>0.718951529020179</v>
      </c>
      <c r="Z111" s="189">
        <v>0.72</v>
      </c>
      <c r="AA111" s="189">
        <v>0.75</v>
      </c>
      <c r="AB111" s="188">
        <f t="shared" ref="AB111" si="357">AB110/AB108</f>
        <v>0.70188703185784029</v>
      </c>
      <c r="AC111" s="189">
        <v>0.74</v>
      </c>
      <c r="AD111" s="189">
        <v>0.74</v>
      </c>
      <c r="AE111" s="189">
        <v>0.76</v>
      </c>
      <c r="AF111" s="189">
        <v>0.76</v>
      </c>
      <c r="AG111" s="188">
        <f t="shared" ref="AG111" si="358">AG110/AG108</f>
        <v>0.75021947781456466</v>
      </c>
      <c r="AH111" s="189">
        <f t="shared" ref="AH111:AI111" si="359">AC111</f>
        <v>0.74</v>
      </c>
      <c r="AI111" s="189">
        <f t="shared" si="359"/>
        <v>0.74</v>
      </c>
      <c r="AJ111" s="189">
        <f>AE111-1%</f>
        <v>0.75</v>
      </c>
      <c r="AK111" s="189">
        <f t="shared" ref="AK111" si="360">AF111</f>
        <v>0.76</v>
      </c>
      <c r="AL111" s="188">
        <f t="shared" ref="AL111" si="361">AL110/AL108</f>
        <v>0.74767521608130394</v>
      </c>
      <c r="AM111" s="189">
        <f t="shared" ref="AM111:AP111" si="362">AH111</f>
        <v>0.74</v>
      </c>
      <c r="AN111" s="189">
        <f t="shared" si="362"/>
        <v>0.74</v>
      </c>
      <c r="AO111" s="189">
        <f t="shared" si="362"/>
        <v>0.75</v>
      </c>
      <c r="AP111" s="189">
        <f t="shared" si="362"/>
        <v>0.76</v>
      </c>
      <c r="AQ111" s="188">
        <f t="shared" ref="AQ111" si="363">AQ110/AQ108</f>
        <v>0.74767521608130416</v>
      </c>
      <c r="AR111" s="189">
        <f t="shared" ref="AR111:AU111" si="364">AM111</f>
        <v>0.74</v>
      </c>
      <c r="AS111" s="189">
        <f t="shared" si="364"/>
        <v>0.74</v>
      </c>
      <c r="AT111" s="189">
        <f t="shared" si="364"/>
        <v>0.75</v>
      </c>
      <c r="AU111" s="189">
        <f t="shared" si="364"/>
        <v>0.76</v>
      </c>
      <c r="AV111" s="188">
        <f t="shared" ref="AV111" si="365">AV110/AV108</f>
        <v>0.74767521608130405</v>
      </c>
    </row>
    <row r="112" spans="1:48" outlineLevel="1" x14ac:dyDescent="0.3">
      <c r="B112" s="180" t="s">
        <v>33</v>
      </c>
      <c r="C112" s="18"/>
      <c r="D112" s="48">
        <v>18.600000000000001</v>
      </c>
      <c r="E112" s="48">
        <v>17.100000000000001</v>
      </c>
      <c r="F112" s="48">
        <v>20.2</v>
      </c>
      <c r="G112" s="48">
        <v>20.3</v>
      </c>
      <c r="H112" s="49">
        <f>SUM(D112:G112)</f>
        <v>76.2</v>
      </c>
      <c r="I112" s="48">
        <v>20.6</v>
      </c>
      <c r="J112" s="48">
        <v>17.7</v>
      </c>
      <c r="K112" s="48">
        <v>51.4</v>
      </c>
      <c r="L112" s="48">
        <v>18.5</v>
      </c>
      <c r="M112" s="49">
        <f>SUM(I112:L112)</f>
        <v>108.19999999999999</v>
      </c>
      <c r="N112" s="48">
        <v>11.1</v>
      </c>
      <c r="O112" s="48">
        <v>13.1</v>
      </c>
      <c r="P112" s="48">
        <v>-9.9</v>
      </c>
      <c r="Q112" s="105">
        <v>17</v>
      </c>
      <c r="R112" s="49">
        <f>SUM(N112:Q112)</f>
        <v>31.299999999999997</v>
      </c>
      <c r="S112" s="48">
        <v>11.4</v>
      </c>
      <c r="T112" s="48">
        <v>10.7</v>
      </c>
      <c r="U112" s="48">
        <v>13.6</v>
      </c>
      <c r="V112" s="105">
        <v>16</v>
      </c>
      <c r="W112" s="170">
        <f>SUM(S112:V112)</f>
        <v>51.7</v>
      </c>
      <c r="X112" s="105">
        <v>13</v>
      </c>
      <c r="Y112" s="105">
        <v>12.8</v>
      </c>
      <c r="Z112" s="48">
        <f t="shared" ref="Z112:AA112" si="366">Z113*Z108</f>
        <v>14.96664</v>
      </c>
      <c r="AA112" s="48">
        <f t="shared" si="366"/>
        <v>15.091439999999999</v>
      </c>
      <c r="AB112" s="49">
        <f>SUM(X112:AA112)</f>
        <v>55.858080000000001</v>
      </c>
      <c r="AC112" s="48">
        <f t="shared" ref="AC112:AF112" si="367">AC113*AC108</f>
        <v>14.919840000000001</v>
      </c>
      <c r="AD112" s="48">
        <f t="shared" si="367"/>
        <v>14.99784</v>
      </c>
      <c r="AE112" s="48">
        <f t="shared" si="367"/>
        <v>15.5653056</v>
      </c>
      <c r="AF112" s="48">
        <f t="shared" si="367"/>
        <v>15.6950976</v>
      </c>
      <c r="AG112" s="49">
        <f>SUM(AC112:AF112)</f>
        <v>61.178083200000003</v>
      </c>
      <c r="AH112" s="48">
        <f t="shared" ref="AH112:AK112" si="368">AH113*AH108</f>
        <v>15.5166336</v>
      </c>
      <c r="AI112" s="48">
        <f t="shared" si="368"/>
        <v>15.597753599999999</v>
      </c>
      <c r="AJ112" s="48">
        <f t="shared" si="368"/>
        <v>16.187917824000003</v>
      </c>
      <c r="AK112" s="48">
        <f t="shared" si="368"/>
        <v>16.322901504000001</v>
      </c>
      <c r="AL112" s="49">
        <f>SUM(AH112:AK112)</f>
        <v>63.625206528000007</v>
      </c>
      <c r="AM112" s="48">
        <f t="shared" ref="AM112:AP112" si="369">AM113*AM108</f>
        <v>16.137298944000001</v>
      </c>
      <c r="AN112" s="48">
        <f t="shared" si="369"/>
        <v>16.221663743999997</v>
      </c>
      <c r="AO112" s="48">
        <f t="shared" si="369"/>
        <v>16.835434536960001</v>
      </c>
      <c r="AP112" s="48">
        <f t="shared" si="369"/>
        <v>16.975817564160003</v>
      </c>
      <c r="AQ112" s="49">
        <f>SUM(AM112:AP112)</f>
        <v>66.170214789119996</v>
      </c>
      <c r="AR112" s="48">
        <f t="shared" ref="AR112:AU112" si="370">AR113*AR108</f>
        <v>16.782790901759999</v>
      </c>
      <c r="AS112" s="48">
        <f t="shared" si="370"/>
        <v>16.870530293759998</v>
      </c>
      <c r="AT112" s="48">
        <f t="shared" si="370"/>
        <v>17.508851918438403</v>
      </c>
      <c r="AU112" s="48">
        <f t="shared" si="370"/>
        <v>17.654850266726406</v>
      </c>
      <c r="AV112" s="49">
        <f>SUM(AR112:AU112)</f>
        <v>68.817023380684802</v>
      </c>
    </row>
    <row r="113" spans="2:48" s="184" customFormat="1" outlineLevel="1" x14ac:dyDescent="0.3">
      <c r="B113" s="181" t="s">
        <v>154</v>
      </c>
      <c r="C113" s="190"/>
      <c r="D113" s="187">
        <f>D112/D108</f>
        <v>3.6860879904875153E-2</v>
      </c>
      <c r="E113" s="187">
        <f t="shared" ref="E113:X113" si="371">E112/E108</f>
        <v>3.8289296909986566E-2</v>
      </c>
      <c r="F113" s="187">
        <f t="shared" si="371"/>
        <v>3.7877367335458469E-2</v>
      </c>
      <c r="G113" s="187">
        <f t="shared" si="371"/>
        <v>3.9952765203700058E-2</v>
      </c>
      <c r="H113" s="188">
        <f t="shared" si="371"/>
        <v>3.8241493526046375E-2</v>
      </c>
      <c r="I113" s="187">
        <f t="shared" si="371"/>
        <v>4.1649818034775576E-2</v>
      </c>
      <c r="J113" s="187">
        <f t="shared" si="371"/>
        <v>3.4097476401464072E-2</v>
      </c>
      <c r="K113" s="187">
        <f t="shared" si="371"/>
        <v>0.11491169237648111</v>
      </c>
      <c r="L113" s="187">
        <f t="shared" si="371"/>
        <v>3.9870689655172417E-2</v>
      </c>
      <c r="M113" s="188">
        <f t="shared" si="371"/>
        <v>5.62077922077922E-2</v>
      </c>
      <c r="N113" s="187">
        <f t="shared" si="371"/>
        <v>2.9886914378029081E-2</v>
      </c>
      <c r="O113" s="187">
        <f t="shared" si="371"/>
        <v>3.5414977020816439E-2</v>
      </c>
      <c r="P113" s="187">
        <f t="shared" si="371"/>
        <v>-2.391304347826087E-2</v>
      </c>
      <c r="Q113" s="167">
        <f t="shared" si="371"/>
        <v>3.8786219484371436E-2</v>
      </c>
      <c r="R113" s="188">
        <f t="shared" si="371"/>
        <v>1.964106425702811E-2</v>
      </c>
      <c r="S113" s="187">
        <f t="shared" si="371"/>
        <v>2.7331575161831694E-2</v>
      </c>
      <c r="T113" s="187">
        <f t="shared" si="371"/>
        <v>2.3105160872381774E-2</v>
      </c>
      <c r="U113" s="187">
        <f t="shared" si="371"/>
        <v>2.8351052741296644E-2</v>
      </c>
      <c r="V113" s="167">
        <f t="shared" si="371"/>
        <v>3.3078354351870995E-2</v>
      </c>
      <c r="W113" s="186">
        <f t="shared" si="371"/>
        <v>2.8042959427207637E-2</v>
      </c>
      <c r="X113" s="167">
        <f t="shared" si="371"/>
        <v>2.7185278126306986E-2</v>
      </c>
      <c r="Y113" s="167">
        <f>Y112/Y108</f>
        <v>2.6627834408154777E-2</v>
      </c>
      <c r="Z113" s="189">
        <v>0.03</v>
      </c>
      <c r="AA113" s="189">
        <v>0.03</v>
      </c>
      <c r="AB113" s="188">
        <f t="shared" ref="AB113" si="372">AB112/AB108</f>
        <v>2.8486869886109802E-2</v>
      </c>
      <c r="AC113" s="189">
        <v>0.03</v>
      </c>
      <c r="AD113" s="189">
        <v>0.03</v>
      </c>
      <c r="AE113" s="189">
        <v>0.03</v>
      </c>
      <c r="AF113" s="189">
        <v>0.03</v>
      </c>
      <c r="AG113" s="188">
        <f t="shared" ref="AG113" si="373">AG112/AG108</f>
        <v>0.03</v>
      </c>
      <c r="AH113" s="189">
        <v>0.03</v>
      </c>
      <c r="AI113" s="189">
        <v>0.03</v>
      </c>
      <c r="AJ113" s="189">
        <v>0.03</v>
      </c>
      <c r="AK113" s="189">
        <v>0.03</v>
      </c>
      <c r="AL113" s="188">
        <f t="shared" ref="AL113" si="374">AL112/AL108</f>
        <v>0.03</v>
      </c>
      <c r="AM113" s="189">
        <f t="shared" ref="AM113:AP113" si="375">AH113</f>
        <v>0.03</v>
      </c>
      <c r="AN113" s="189">
        <f t="shared" si="375"/>
        <v>0.03</v>
      </c>
      <c r="AO113" s="189">
        <f t="shared" si="375"/>
        <v>0.03</v>
      </c>
      <c r="AP113" s="189">
        <f t="shared" si="375"/>
        <v>0.03</v>
      </c>
      <c r="AQ113" s="188">
        <f t="shared" ref="AQ113" si="376">AQ112/AQ108</f>
        <v>2.9999999999999995E-2</v>
      </c>
      <c r="AR113" s="189">
        <f t="shared" ref="AR113:AU113" si="377">AM113</f>
        <v>0.03</v>
      </c>
      <c r="AS113" s="189">
        <f t="shared" si="377"/>
        <v>0.03</v>
      </c>
      <c r="AT113" s="189">
        <f t="shared" si="377"/>
        <v>0.03</v>
      </c>
      <c r="AU113" s="189">
        <f t="shared" si="377"/>
        <v>0.03</v>
      </c>
      <c r="AV113" s="188">
        <f t="shared" ref="AV113" si="378">AV112/AV108</f>
        <v>2.9999999999999995E-2</v>
      </c>
    </row>
    <row r="114" spans="2:48" outlineLevel="1" x14ac:dyDescent="0.3">
      <c r="B114" s="180" t="s">
        <v>34</v>
      </c>
      <c r="C114" s="18"/>
      <c r="D114" s="358">
        <v>0</v>
      </c>
      <c r="E114" s="358">
        <v>12.3</v>
      </c>
      <c r="F114" s="358">
        <v>0.2</v>
      </c>
      <c r="G114" s="358">
        <v>0.3</v>
      </c>
      <c r="H114" s="126">
        <f>SUM(D114:G114)</f>
        <v>12.8</v>
      </c>
      <c r="I114" s="358">
        <v>0.3</v>
      </c>
      <c r="J114" s="358">
        <v>0.3</v>
      </c>
      <c r="K114" s="358">
        <v>0.3</v>
      </c>
      <c r="L114" s="358">
        <v>0.3</v>
      </c>
      <c r="M114" s="126">
        <f>SUM(I114:L114)</f>
        <v>1.2</v>
      </c>
      <c r="N114" s="358">
        <v>0.2</v>
      </c>
      <c r="O114" s="358">
        <v>0.3</v>
      </c>
      <c r="P114" s="358">
        <v>0.2</v>
      </c>
      <c r="Q114" s="358">
        <v>0.3</v>
      </c>
      <c r="R114" s="126">
        <f>SUM(N114:Q114)</f>
        <v>1</v>
      </c>
      <c r="S114" s="358">
        <v>0</v>
      </c>
      <c r="T114" s="358">
        <v>0</v>
      </c>
      <c r="U114" s="358">
        <v>0</v>
      </c>
      <c r="V114" s="358">
        <v>0</v>
      </c>
      <c r="W114" s="126">
        <f>SUM(S114:V114)</f>
        <v>0</v>
      </c>
      <c r="X114" s="358">
        <v>0</v>
      </c>
      <c r="Y114" s="358">
        <v>0</v>
      </c>
      <c r="Z114" s="360">
        <v>0</v>
      </c>
      <c r="AA114" s="360">
        <v>0</v>
      </c>
      <c r="AB114" s="126">
        <f>SUM(X114:AA114)</f>
        <v>0</v>
      </c>
      <c r="AC114" s="360">
        <v>0</v>
      </c>
      <c r="AD114" s="360">
        <v>0</v>
      </c>
      <c r="AE114" s="360">
        <v>0</v>
      </c>
      <c r="AF114" s="360">
        <v>0</v>
      </c>
      <c r="AG114" s="126">
        <f>SUM(AC114:AF114)</f>
        <v>0</v>
      </c>
      <c r="AH114" s="360">
        <v>0</v>
      </c>
      <c r="AI114" s="360">
        <v>0</v>
      </c>
      <c r="AJ114" s="360">
        <v>0</v>
      </c>
      <c r="AK114" s="360">
        <v>0</v>
      </c>
      <c r="AL114" s="126">
        <f>SUM(AH114:AK114)</f>
        <v>0</v>
      </c>
      <c r="AM114" s="360">
        <v>0</v>
      </c>
      <c r="AN114" s="360">
        <v>0</v>
      </c>
      <c r="AO114" s="360">
        <v>0</v>
      </c>
      <c r="AP114" s="360">
        <v>0</v>
      </c>
      <c r="AQ114" s="126">
        <f>SUM(AM114:AP114)</f>
        <v>0</v>
      </c>
      <c r="AR114" s="360">
        <v>0</v>
      </c>
      <c r="AS114" s="360">
        <v>0</v>
      </c>
      <c r="AT114" s="360">
        <v>0</v>
      </c>
      <c r="AU114" s="360">
        <v>0</v>
      </c>
      <c r="AV114" s="126">
        <f>SUM(AR114:AU114)</f>
        <v>0</v>
      </c>
    </row>
    <row r="115" spans="2:48" outlineLevel="1" x14ac:dyDescent="0.3">
      <c r="B115" s="180" t="s">
        <v>35</v>
      </c>
      <c r="C115" s="18"/>
      <c r="D115" s="48">
        <v>3.2</v>
      </c>
      <c r="E115" s="48">
        <v>3.1</v>
      </c>
      <c r="F115" s="48">
        <v>2.7</v>
      </c>
      <c r="G115" s="48">
        <v>2.6</v>
      </c>
      <c r="H115" s="49">
        <f>SUM(D115:G115)</f>
        <v>11.6</v>
      </c>
      <c r="I115" s="48">
        <v>2.4</v>
      </c>
      <c r="J115" s="48">
        <v>3</v>
      </c>
      <c r="K115" s="48">
        <v>2.5</v>
      </c>
      <c r="L115" s="48">
        <v>2.5</v>
      </c>
      <c r="M115" s="49">
        <f>SUM(I115:L115)</f>
        <v>10.4</v>
      </c>
      <c r="N115" s="48">
        <v>2.2000000000000002</v>
      </c>
      <c r="O115" s="48">
        <v>2.2999999999999998</v>
      </c>
      <c r="P115" s="48">
        <v>2.9</v>
      </c>
      <c r="Q115" s="105">
        <v>3.4</v>
      </c>
      <c r="R115" s="49">
        <f>SUM(N115:Q115)</f>
        <v>10.8</v>
      </c>
      <c r="S115" s="48">
        <v>3.3</v>
      </c>
      <c r="T115" s="48">
        <v>2.5</v>
      </c>
      <c r="U115" s="48">
        <v>2.2999999999999998</v>
      </c>
      <c r="V115" s="105">
        <v>4.0999999999999996</v>
      </c>
      <c r="W115" s="170">
        <f>SUM(S115:V115)</f>
        <v>12.2</v>
      </c>
      <c r="X115" s="105">
        <v>2</v>
      </c>
      <c r="Y115" s="105">
        <v>2.1</v>
      </c>
      <c r="Z115" s="48">
        <f t="shared" ref="Z115:AA115" si="379">Z116*Z108</f>
        <v>2.3920000000000003</v>
      </c>
      <c r="AA115" s="48">
        <f t="shared" si="379"/>
        <v>4.2639999999999993</v>
      </c>
      <c r="AB115" s="49">
        <f>SUM(X115:AA115)</f>
        <v>10.756</v>
      </c>
      <c r="AC115" s="48">
        <f t="shared" ref="AC115:AF115" si="380">AC116*AC108</f>
        <v>2.0800000000000005</v>
      </c>
      <c r="AD115" s="48">
        <f t="shared" si="380"/>
        <v>2.1840000000000002</v>
      </c>
      <c r="AE115" s="48">
        <f t="shared" si="380"/>
        <v>2.4876800000000001</v>
      </c>
      <c r="AF115" s="48">
        <f t="shared" si="380"/>
        <v>4.4345600000000003</v>
      </c>
      <c r="AG115" s="49">
        <f>SUM(AC115:AF115)</f>
        <v>11.186240000000002</v>
      </c>
      <c r="AH115" s="48">
        <f t="shared" ref="AH115:AK115" si="381">AH116*AH108</f>
        <v>2.1632000000000002</v>
      </c>
      <c r="AI115" s="48">
        <f t="shared" si="381"/>
        <v>2.27136</v>
      </c>
      <c r="AJ115" s="48">
        <f t="shared" si="381"/>
        <v>2.5871872000000002</v>
      </c>
      <c r="AK115" s="48">
        <f t="shared" si="381"/>
        <v>4.6119424000000002</v>
      </c>
      <c r="AL115" s="49">
        <f>SUM(AH115:AK115)</f>
        <v>11.6336896</v>
      </c>
      <c r="AM115" s="48">
        <f t="shared" ref="AM115:AP115" si="382">AM116*AM108</f>
        <v>2.2497280000000002</v>
      </c>
      <c r="AN115" s="48">
        <f t="shared" si="382"/>
        <v>2.3622144</v>
      </c>
      <c r="AO115" s="48">
        <f t="shared" si="382"/>
        <v>2.6906746880000001</v>
      </c>
      <c r="AP115" s="48">
        <f t="shared" si="382"/>
        <v>4.7964200960000012</v>
      </c>
      <c r="AQ115" s="49">
        <f>SUM(AM115:AP115)</f>
        <v>12.099037184</v>
      </c>
      <c r="AR115" s="48">
        <f t="shared" ref="AR115:AU115" si="383">AR116*AR108</f>
        <v>2.33971712</v>
      </c>
      <c r="AS115" s="48">
        <f t="shared" si="383"/>
        <v>2.4567029760000003</v>
      </c>
      <c r="AT115" s="48">
        <f t="shared" si="383"/>
        <v>2.7983016755200003</v>
      </c>
      <c r="AU115" s="48">
        <f t="shared" si="383"/>
        <v>4.9882768998400016</v>
      </c>
      <c r="AV115" s="49">
        <f>SUM(AR115:AU115)</f>
        <v>12.582998671360002</v>
      </c>
    </row>
    <row r="116" spans="2:48" s="184" customFormat="1" outlineLevel="1" x14ac:dyDescent="0.3">
      <c r="B116" s="181" t="s">
        <v>153</v>
      </c>
      <c r="C116" s="190"/>
      <c r="D116" s="187">
        <f>D115/D108</f>
        <v>6.3416567578279829E-3</v>
      </c>
      <c r="E116" s="187">
        <f t="shared" ref="E116:Y116" si="384">E115/E108</f>
        <v>6.9413345275414241E-3</v>
      </c>
      <c r="F116" s="187">
        <f t="shared" si="384"/>
        <v>5.0628164260266275E-3</v>
      </c>
      <c r="G116" s="187">
        <f t="shared" si="384"/>
        <v>5.1171029324936033E-3</v>
      </c>
      <c r="H116" s="188">
        <f t="shared" si="384"/>
        <v>5.8215396968784505E-3</v>
      </c>
      <c r="I116" s="187">
        <f t="shared" si="384"/>
        <v>4.8524059846340476E-3</v>
      </c>
      <c r="J116" s="187">
        <f t="shared" si="384"/>
        <v>5.7792332883837404E-3</v>
      </c>
      <c r="K116" s="187">
        <f t="shared" si="384"/>
        <v>5.5890900961323492E-3</v>
      </c>
      <c r="L116" s="187">
        <f t="shared" si="384"/>
        <v>5.387931034482759E-3</v>
      </c>
      <c r="M116" s="188">
        <f t="shared" si="384"/>
        <v>5.4025974025974028E-3</v>
      </c>
      <c r="N116" s="187">
        <f t="shared" si="384"/>
        <v>5.9235325794291874E-3</v>
      </c>
      <c r="O116" s="187">
        <f t="shared" si="384"/>
        <v>6.2178967288456337E-3</v>
      </c>
      <c r="P116" s="187">
        <f t="shared" si="384"/>
        <v>7.0048309178743955E-3</v>
      </c>
      <c r="Q116" s="167">
        <f t="shared" si="384"/>
        <v>7.7572438968742862E-3</v>
      </c>
      <c r="R116" s="188">
        <f t="shared" si="384"/>
        <v>6.7771084337349408E-3</v>
      </c>
      <c r="S116" s="187">
        <f t="shared" si="384"/>
        <v>7.9117717573723313E-3</v>
      </c>
      <c r="T116" s="187">
        <f t="shared" si="384"/>
        <v>5.3984020729863956E-3</v>
      </c>
      <c r="U116" s="187">
        <f t="shared" si="384"/>
        <v>4.7946633312486971E-3</v>
      </c>
      <c r="V116" s="167">
        <f t="shared" si="384"/>
        <v>8.4763283026669418E-3</v>
      </c>
      <c r="W116" s="186">
        <f t="shared" si="384"/>
        <v>6.6174875244087647E-3</v>
      </c>
      <c r="X116" s="167">
        <f t="shared" si="384"/>
        <v>4.1823504809703057E-3</v>
      </c>
      <c r="Y116" s="167">
        <f t="shared" si="384"/>
        <v>4.3686290825878929E-3</v>
      </c>
      <c r="Z116" s="189">
        <f t="shared" ref="Z116:AA116" si="385">U116</f>
        <v>4.7946633312486971E-3</v>
      </c>
      <c r="AA116" s="189">
        <f t="shared" si="385"/>
        <v>8.4763283026669418E-3</v>
      </c>
      <c r="AB116" s="188">
        <f t="shared" ref="AB116" si="386">AB115/AB108</f>
        <v>5.4854154044499384E-3</v>
      </c>
      <c r="AC116" s="189">
        <f t="shared" ref="AC116:AF116" si="387">X116</f>
        <v>4.1823504809703057E-3</v>
      </c>
      <c r="AD116" s="189">
        <f t="shared" si="387"/>
        <v>4.3686290825878929E-3</v>
      </c>
      <c r="AE116" s="189">
        <f t="shared" si="387"/>
        <v>4.7946633312486971E-3</v>
      </c>
      <c r="AF116" s="189">
        <f t="shared" si="387"/>
        <v>8.4763283026669418E-3</v>
      </c>
      <c r="AG116" s="188">
        <f t="shared" ref="AG116" si="388">AG115/AG108</f>
        <v>5.4854154044499384E-3</v>
      </c>
      <c r="AH116" s="189">
        <f t="shared" ref="AH116:AK116" si="389">AC116</f>
        <v>4.1823504809703057E-3</v>
      </c>
      <c r="AI116" s="189">
        <f t="shared" si="389"/>
        <v>4.3686290825878929E-3</v>
      </c>
      <c r="AJ116" s="189">
        <f t="shared" si="389"/>
        <v>4.7946633312486971E-3</v>
      </c>
      <c r="AK116" s="189">
        <f t="shared" si="389"/>
        <v>8.4763283026669418E-3</v>
      </c>
      <c r="AL116" s="188">
        <f t="shared" ref="AL116" si="390">AL115/AL108</f>
        <v>5.4854154044499375E-3</v>
      </c>
      <c r="AM116" s="189">
        <f t="shared" ref="AM116:AP116" si="391">AH116</f>
        <v>4.1823504809703057E-3</v>
      </c>
      <c r="AN116" s="189">
        <f t="shared" si="391"/>
        <v>4.3686290825878929E-3</v>
      </c>
      <c r="AO116" s="189">
        <f t="shared" si="391"/>
        <v>4.7946633312486971E-3</v>
      </c>
      <c r="AP116" s="189">
        <f t="shared" si="391"/>
        <v>8.4763283026669418E-3</v>
      </c>
      <c r="AQ116" s="188">
        <f t="shared" ref="AQ116" si="392">AQ115/AQ108</f>
        <v>5.4854154044499384E-3</v>
      </c>
      <c r="AR116" s="189">
        <f t="shared" ref="AR116:AU116" si="393">AM116</f>
        <v>4.1823504809703057E-3</v>
      </c>
      <c r="AS116" s="189">
        <f t="shared" si="393"/>
        <v>4.3686290825878929E-3</v>
      </c>
      <c r="AT116" s="189">
        <f t="shared" si="393"/>
        <v>4.7946633312486971E-3</v>
      </c>
      <c r="AU116" s="189">
        <f t="shared" si="393"/>
        <v>8.4763283026669418E-3</v>
      </c>
      <c r="AV116" s="188">
        <f t="shared" ref="AV116" si="394">AV115/AV108</f>
        <v>5.4854154044499384E-3</v>
      </c>
    </row>
    <row r="117" spans="2:48" ht="16.2" outlineLevel="1" x14ac:dyDescent="0.45">
      <c r="B117" s="180" t="s">
        <v>456</v>
      </c>
      <c r="C117" s="18"/>
      <c r="D117" s="119">
        <v>0</v>
      </c>
      <c r="E117" s="119">
        <v>0</v>
      </c>
      <c r="F117" s="119">
        <v>0</v>
      </c>
      <c r="G117" s="119">
        <v>0</v>
      </c>
      <c r="H117" s="131">
        <f>SUM(D117:G117)</f>
        <v>0</v>
      </c>
      <c r="I117" s="119">
        <v>0</v>
      </c>
      <c r="J117" s="119">
        <v>0</v>
      </c>
      <c r="K117" s="119">
        <v>0</v>
      </c>
      <c r="L117" s="119">
        <v>0</v>
      </c>
      <c r="M117" s="131">
        <f>SUM(I117:L117)</f>
        <v>0</v>
      </c>
      <c r="N117" s="119">
        <v>0</v>
      </c>
      <c r="O117" s="119">
        <v>0</v>
      </c>
      <c r="P117" s="119">
        <v>0</v>
      </c>
      <c r="Q117" s="119">
        <v>0</v>
      </c>
      <c r="R117" s="131">
        <f>SUM(N117:Q117)</f>
        <v>0</v>
      </c>
      <c r="S117" s="119">
        <v>0</v>
      </c>
      <c r="T117" s="119">
        <v>0</v>
      </c>
      <c r="U117" s="119">
        <v>0</v>
      </c>
      <c r="V117" s="119">
        <f>IFERROR((V163*(U117/U163)),0)</f>
        <v>0</v>
      </c>
      <c r="W117" s="131">
        <f>SUM(S117:V117)</f>
        <v>0</v>
      </c>
      <c r="X117" s="119">
        <f>IFERROR((X163*(V117/V163)),0)</f>
        <v>0</v>
      </c>
      <c r="Y117" s="119">
        <f>IFERROR((Y163*(X117/X163)),0)-91.3</f>
        <v>-91.3</v>
      </c>
      <c r="Z117" s="119">
        <f>IFERROR((Z163*(X117/X163)),0)</f>
        <v>0</v>
      </c>
      <c r="AA117" s="119">
        <f t="shared" ref="AA117" si="395">IFERROR((AA163*(Z117/Z163)),0)</f>
        <v>0</v>
      </c>
      <c r="AB117" s="131">
        <f>SUM(X117:AA117)</f>
        <v>-91.3</v>
      </c>
      <c r="AC117" s="119">
        <f>IFERROR((AC163*(AA117/AA163)),0)</f>
        <v>0</v>
      </c>
      <c r="AD117" s="119">
        <f t="shared" ref="AD117:AF117" si="396">IFERROR((AD163*(AC117/AC163)),0)</f>
        <v>0</v>
      </c>
      <c r="AE117" s="119">
        <f t="shared" si="396"/>
        <v>0</v>
      </c>
      <c r="AF117" s="119">
        <f t="shared" si="396"/>
        <v>0</v>
      </c>
      <c r="AG117" s="131">
        <f>SUM(AC117:AF117)</f>
        <v>0</v>
      </c>
      <c r="AH117" s="119">
        <f>IFERROR((AH163*(AF117/AF163)),0)</f>
        <v>0</v>
      </c>
      <c r="AI117" s="119">
        <f t="shared" ref="AI117:AK117" si="397">IFERROR((AI163*(AH117/AH163)),0)</f>
        <v>0</v>
      </c>
      <c r="AJ117" s="119">
        <f t="shared" si="397"/>
        <v>0</v>
      </c>
      <c r="AK117" s="119">
        <f t="shared" si="397"/>
        <v>0</v>
      </c>
      <c r="AL117" s="131">
        <f>SUM(AH117:AK117)</f>
        <v>0</v>
      </c>
      <c r="AM117" s="119">
        <f>IFERROR((AM163*(AK117/AK163)),0)</f>
        <v>0</v>
      </c>
      <c r="AN117" s="119">
        <f t="shared" ref="AN117:AP117" si="398">IFERROR((AN163*(AM117/AM163)),0)</f>
        <v>0</v>
      </c>
      <c r="AO117" s="119">
        <f t="shared" si="398"/>
        <v>0</v>
      </c>
      <c r="AP117" s="119">
        <f t="shared" si="398"/>
        <v>0</v>
      </c>
      <c r="AQ117" s="131">
        <f>SUM(AM117:AP117)</f>
        <v>0</v>
      </c>
      <c r="AR117" s="119">
        <f>IFERROR((AR163*(AP117/AP163)),0)</f>
        <v>0</v>
      </c>
      <c r="AS117" s="119">
        <f t="shared" ref="AS117:AU117" si="399">IFERROR((AS163*(AR117/AR163)),0)</f>
        <v>0</v>
      </c>
      <c r="AT117" s="119">
        <f t="shared" si="399"/>
        <v>0</v>
      </c>
      <c r="AU117" s="119">
        <f t="shared" si="399"/>
        <v>0</v>
      </c>
      <c r="AV117" s="131">
        <f>SUM(AR117:AU117)</f>
        <v>0</v>
      </c>
    </row>
    <row r="118" spans="2:48" outlineLevel="1" x14ac:dyDescent="0.3">
      <c r="B118" s="46" t="s">
        <v>52</v>
      </c>
      <c r="C118" s="19"/>
      <c r="D118" s="50">
        <f>D110+D112+D114+D115+D117</f>
        <v>370.2</v>
      </c>
      <c r="E118" s="50">
        <f t="shared" ref="E118:AV118" si="400">E110+E112+E114+E115+E117</f>
        <v>337.90000000000003</v>
      </c>
      <c r="F118" s="50">
        <f t="shared" si="400"/>
        <v>400.2</v>
      </c>
      <c r="G118" s="50">
        <f t="shared" si="400"/>
        <v>382.30000000000007</v>
      </c>
      <c r="H118" s="26">
        <f t="shared" si="400"/>
        <v>1490.6</v>
      </c>
      <c r="I118" s="50">
        <f t="shared" si="400"/>
        <v>362.1</v>
      </c>
      <c r="J118" s="50">
        <f t="shared" si="400"/>
        <v>372.6</v>
      </c>
      <c r="K118" s="50">
        <f t="shared" si="400"/>
        <v>374.09999999999997</v>
      </c>
      <c r="L118" s="50">
        <f t="shared" si="400"/>
        <v>349.1</v>
      </c>
      <c r="M118" s="26">
        <f t="shared" si="400"/>
        <v>1457.9000000000003</v>
      </c>
      <c r="N118" s="50">
        <f t="shared" si="400"/>
        <v>246.99999999999997</v>
      </c>
      <c r="O118" s="50">
        <f t="shared" si="400"/>
        <v>247.60000000000002</v>
      </c>
      <c r="P118" s="50">
        <f t="shared" si="400"/>
        <v>261.5</v>
      </c>
      <c r="Q118" s="103">
        <f t="shared" si="400"/>
        <v>298.2</v>
      </c>
      <c r="R118" s="26">
        <f t="shared" si="400"/>
        <v>1054.3</v>
      </c>
      <c r="S118" s="50">
        <f t="shared" si="400"/>
        <v>273.5</v>
      </c>
      <c r="T118" s="50">
        <f t="shared" si="400"/>
        <v>313.7</v>
      </c>
      <c r="U118" s="50">
        <f t="shared" si="400"/>
        <v>341.70000000000005</v>
      </c>
      <c r="V118" s="103">
        <f t="shared" si="400"/>
        <v>329.1</v>
      </c>
      <c r="W118" s="122">
        <f t="shared" si="400"/>
        <v>1258</v>
      </c>
      <c r="X118" s="103">
        <f t="shared" si="400"/>
        <v>309.2</v>
      </c>
      <c r="Y118" s="103">
        <f>Y110+Y112+Y114+Y115+Y117</f>
        <v>269.20000000000005</v>
      </c>
      <c r="Z118" s="50">
        <f t="shared" si="400"/>
        <v>376.55799999999999</v>
      </c>
      <c r="AA118" s="50">
        <f t="shared" si="400"/>
        <v>396.64143999999999</v>
      </c>
      <c r="AB118" s="26">
        <f t="shared" si="400"/>
        <v>1351.5994400000002</v>
      </c>
      <c r="AC118" s="50">
        <f t="shared" si="400"/>
        <v>385.02256</v>
      </c>
      <c r="AD118" s="50">
        <f t="shared" si="400"/>
        <v>387.12855999999999</v>
      </c>
      <c r="AE118" s="50">
        <f t="shared" si="400"/>
        <v>412.3740608</v>
      </c>
      <c r="AF118" s="50">
        <f t="shared" si="400"/>
        <v>417.73879679999999</v>
      </c>
      <c r="AG118" s="26">
        <f t="shared" si="400"/>
        <v>1602.2639775999999</v>
      </c>
      <c r="AH118" s="50">
        <f t="shared" si="400"/>
        <v>400.42346240000001</v>
      </c>
      <c r="AI118" s="50">
        <f t="shared" si="400"/>
        <v>402.61370239999997</v>
      </c>
      <c r="AJ118" s="50">
        <f t="shared" si="400"/>
        <v>423.47305062400005</v>
      </c>
      <c r="AK118" s="50">
        <f t="shared" si="400"/>
        <v>434.44834867200007</v>
      </c>
      <c r="AL118" s="26">
        <f t="shared" si="400"/>
        <v>1660.9585640960001</v>
      </c>
      <c r="AM118" s="50">
        <f t="shared" si="400"/>
        <v>416.44040089600003</v>
      </c>
      <c r="AN118" s="50">
        <f t="shared" si="400"/>
        <v>418.718250496</v>
      </c>
      <c r="AO118" s="50">
        <f t="shared" si="400"/>
        <v>440.41197264896005</v>
      </c>
      <c r="AP118" s="50">
        <f t="shared" si="400"/>
        <v>451.82628261888016</v>
      </c>
      <c r="AQ118" s="26">
        <f t="shared" si="400"/>
        <v>1727.3969066598404</v>
      </c>
      <c r="AR118" s="50">
        <f t="shared" si="400"/>
        <v>433.09801693183999</v>
      </c>
      <c r="AS118" s="50">
        <f t="shared" si="400"/>
        <v>435.46698051583996</v>
      </c>
      <c r="AT118" s="50">
        <f t="shared" si="400"/>
        <v>458.02845155491843</v>
      </c>
      <c r="AU118" s="50">
        <f t="shared" si="400"/>
        <v>469.89933392363531</v>
      </c>
      <c r="AV118" s="26">
        <f t="shared" si="400"/>
        <v>1796.4927829262338</v>
      </c>
    </row>
    <row r="119" spans="2:48" ht="16.2" outlineLevel="1" x14ac:dyDescent="0.45">
      <c r="B119" s="47" t="s">
        <v>36</v>
      </c>
      <c r="C119" s="44"/>
      <c r="D119" s="52">
        <v>41.4</v>
      </c>
      <c r="E119" s="104">
        <v>40.200000000000003</v>
      </c>
      <c r="F119" s="104">
        <v>48.8</v>
      </c>
      <c r="G119" s="104">
        <v>65.099999999999994</v>
      </c>
      <c r="H119" s="193">
        <f>SUM(D119:G119)</f>
        <v>195.49999999999997</v>
      </c>
      <c r="I119" s="104">
        <v>43</v>
      </c>
      <c r="J119" s="104">
        <v>43.1</v>
      </c>
      <c r="K119" s="104">
        <v>51</v>
      </c>
      <c r="L119" s="104">
        <v>83</v>
      </c>
      <c r="M119" s="193">
        <f>SUM(I119:L119)</f>
        <v>220.1</v>
      </c>
      <c r="N119" s="104">
        <v>56.4</v>
      </c>
      <c r="O119" s="104">
        <v>50.3</v>
      </c>
      <c r="P119" s="104">
        <v>63.5</v>
      </c>
      <c r="Q119" s="104">
        <v>79.7</v>
      </c>
      <c r="R119" s="193">
        <f>SUM(N119:Q119)</f>
        <v>249.89999999999998</v>
      </c>
      <c r="S119" s="104">
        <v>39.6</v>
      </c>
      <c r="T119" s="104">
        <v>48.5</v>
      </c>
      <c r="U119" s="104">
        <v>53.7</v>
      </c>
      <c r="V119" s="104">
        <v>90</v>
      </c>
      <c r="W119" s="214">
        <f>SUM(S119:V119)</f>
        <v>231.8</v>
      </c>
      <c r="X119" s="104">
        <v>57.3</v>
      </c>
      <c r="Y119" s="104">
        <v>50.6</v>
      </c>
      <c r="Z119" s="56">
        <f>Y119</f>
        <v>50.6</v>
      </c>
      <c r="AA119" s="56">
        <f>Z119</f>
        <v>50.6</v>
      </c>
      <c r="AB119" s="193">
        <f>SUM(X119:AA119)</f>
        <v>209.1</v>
      </c>
      <c r="AC119" s="56">
        <f>AA119</f>
        <v>50.6</v>
      </c>
      <c r="AD119" s="56">
        <f>AC119</f>
        <v>50.6</v>
      </c>
      <c r="AE119" s="56">
        <f>AD119</f>
        <v>50.6</v>
      </c>
      <c r="AF119" s="56">
        <f>AE119</f>
        <v>50.6</v>
      </c>
      <c r="AG119" s="193">
        <f>SUM(AC119:AF119)</f>
        <v>202.4</v>
      </c>
      <c r="AH119" s="56">
        <f>AF119</f>
        <v>50.6</v>
      </c>
      <c r="AI119" s="56">
        <f>AH119</f>
        <v>50.6</v>
      </c>
      <c r="AJ119" s="56">
        <f>AI119</f>
        <v>50.6</v>
      </c>
      <c r="AK119" s="56">
        <f>AJ119</f>
        <v>50.6</v>
      </c>
      <c r="AL119" s="193">
        <f>SUM(AH119:AK119)</f>
        <v>202.4</v>
      </c>
      <c r="AM119" s="56">
        <f>AK119</f>
        <v>50.6</v>
      </c>
      <c r="AN119" s="56">
        <f>AM119</f>
        <v>50.6</v>
      </c>
      <c r="AO119" s="56">
        <f>AN119</f>
        <v>50.6</v>
      </c>
      <c r="AP119" s="56">
        <f>AO119</f>
        <v>50.6</v>
      </c>
      <c r="AQ119" s="193">
        <f>SUM(AM119:AP119)</f>
        <v>202.4</v>
      </c>
      <c r="AR119" s="56">
        <f>AP119</f>
        <v>50.6</v>
      </c>
      <c r="AS119" s="56">
        <f>AR119</f>
        <v>50.6</v>
      </c>
      <c r="AT119" s="56">
        <f>AS119</f>
        <v>50.6</v>
      </c>
      <c r="AU119" s="56">
        <f>AT119</f>
        <v>50.6</v>
      </c>
      <c r="AV119" s="193">
        <f>SUM(AR119:AU119)</f>
        <v>202.4</v>
      </c>
    </row>
    <row r="120" spans="2:48" outlineLevel="1" x14ac:dyDescent="0.3">
      <c r="B120" s="46" t="s">
        <v>53</v>
      </c>
      <c r="C120" s="44"/>
      <c r="D120" s="156">
        <f t="shared" ref="D120:AV120" si="401">D108-D118+D119</f>
        <v>175.80000000000004</v>
      </c>
      <c r="E120" s="156">
        <f t="shared" si="401"/>
        <v>148.89999999999998</v>
      </c>
      <c r="F120" s="156">
        <f t="shared" si="401"/>
        <v>181.89999999999998</v>
      </c>
      <c r="G120" s="156">
        <f t="shared" si="401"/>
        <v>190.89999999999995</v>
      </c>
      <c r="H120" s="97">
        <f t="shared" si="401"/>
        <v>697.5</v>
      </c>
      <c r="I120" s="156">
        <f t="shared" si="401"/>
        <v>175.5</v>
      </c>
      <c r="J120" s="156">
        <f t="shared" si="401"/>
        <v>189.6</v>
      </c>
      <c r="K120" s="156">
        <f t="shared" si="401"/>
        <v>124.20000000000005</v>
      </c>
      <c r="L120" s="74">
        <f t="shared" si="401"/>
        <v>197.89999999999998</v>
      </c>
      <c r="M120" s="97">
        <f t="shared" si="401"/>
        <v>687.1999999999997</v>
      </c>
      <c r="N120" s="74">
        <f t="shared" si="401"/>
        <v>180.8</v>
      </c>
      <c r="O120" s="74">
        <f t="shared" si="401"/>
        <v>172.59999999999997</v>
      </c>
      <c r="P120" s="74">
        <f t="shared" si="401"/>
        <v>216</v>
      </c>
      <c r="Q120" s="74">
        <f t="shared" si="401"/>
        <v>219.8</v>
      </c>
      <c r="R120" s="97">
        <f t="shared" si="401"/>
        <v>789.19999999999993</v>
      </c>
      <c r="S120" s="74">
        <f t="shared" si="401"/>
        <v>183.20000000000002</v>
      </c>
      <c r="T120" s="74">
        <f t="shared" si="401"/>
        <v>197.90000000000003</v>
      </c>
      <c r="U120" s="74">
        <f t="shared" si="401"/>
        <v>191.69999999999993</v>
      </c>
      <c r="V120" s="156">
        <f t="shared" si="401"/>
        <v>244.59999999999997</v>
      </c>
      <c r="W120" s="132">
        <f t="shared" si="401"/>
        <v>817.40000000000009</v>
      </c>
      <c r="X120" s="156">
        <f t="shared" si="401"/>
        <v>226.3</v>
      </c>
      <c r="Y120" s="156">
        <f t="shared" si="401"/>
        <v>262.09999999999997</v>
      </c>
      <c r="Z120" s="74">
        <f t="shared" si="401"/>
        <v>172.93000000000004</v>
      </c>
      <c r="AA120" s="74">
        <f t="shared" si="401"/>
        <v>157.00656000000001</v>
      </c>
      <c r="AB120" s="97">
        <f t="shared" si="401"/>
        <v>818.33655999999985</v>
      </c>
      <c r="AC120" s="74">
        <f t="shared" si="401"/>
        <v>162.90544000000003</v>
      </c>
      <c r="AD120" s="74">
        <f t="shared" si="401"/>
        <v>163.39944</v>
      </c>
      <c r="AE120" s="74">
        <f t="shared" si="401"/>
        <v>157.06945920000001</v>
      </c>
      <c r="AF120" s="74">
        <f t="shared" si="401"/>
        <v>156.03112320000005</v>
      </c>
      <c r="AG120" s="97">
        <f t="shared" si="401"/>
        <v>639.40546240000037</v>
      </c>
      <c r="AH120" s="74">
        <f t="shared" si="401"/>
        <v>167.39765760000003</v>
      </c>
      <c r="AI120" s="74">
        <f t="shared" si="401"/>
        <v>167.91141760000002</v>
      </c>
      <c r="AJ120" s="74">
        <f t="shared" si="401"/>
        <v>166.72421017600001</v>
      </c>
      <c r="AK120" s="74">
        <f t="shared" si="401"/>
        <v>160.24836812800001</v>
      </c>
      <c r="AL120" s="97">
        <f t="shared" si="401"/>
        <v>662.28165350400025</v>
      </c>
      <c r="AM120" s="74">
        <f t="shared" si="401"/>
        <v>172.06956390399998</v>
      </c>
      <c r="AN120" s="74">
        <f t="shared" si="401"/>
        <v>172.60387430399996</v>
      </c>
      <c r="AO120" s="74">
        <f t="shared" si="401"/>
        <v>171.36917858304</v>
      </c>
      <c r="AP120" s="74">
        <f t="shared" si="401"/>
        <v>164.63430285311998</v>
      </c>
      <c r="AQ120" s="97">
        <f t="shared" si="401"/>
        <v>680.67691964415974</v>
      </c>
      <c r="AR120" s="74">
        <f t="shared" si="401"/>
        <v>176.92834646015999</v>
      </c>
      <c r="AS120" s="74">
        <f t="shared" si="401"/>
        <v>177.48402927616004</v>
      </c>
      <c r="AT120" s="74">
        <f t="shared" si="401"/>
        <v>176.19994572636162</v>
      </c>
      <c r="AU120" s="74">
        <f t="shared" si="401"/>
        <v>169.19567496724486</v>
      </c>
      <c r="AV120" s="97">
        <f t="shared" si="401"/>
        <v>699.80799642992667</v>
      </c>
    </row>
    <row r="121" spans="2:48" outlineLevel="1" x14ac:dyDescent="0.3">
      <c r="B121" s="46" t="s">
        <v>54</v>
      </c>
      <c r="C121" s="44"/>
      <c r="D121" s="157">
        <f>+D120/D108</f>
        <v>0.34839476813317488</v>
      </c>
      <c r="E121" s="157">
        <f>+E120/E108</f>
        <v>0.33340797133900574</v>
      </c>
      <c r="F121" s="157">
        <f>+F120/F108</f>
        <v>0.34108381773860863</v>
      </c>
      <c r="G121" s="157">
        <f>+G120/G108</f>
        <v>0.37571344223578024</v>
      </c>
      <c r="H121" s="125">
        <f>H120/H108</f>
        <v>0.35004516711833789</v>
      </c>
      <c r="I121" s="157">
        <f t="shared" ref="I121:AV121" si="402">+I120/I108</f>
        <v>0.3548321876263647</v>
      </c>
      <c r="J121" s="157">
        <f t="shared" si="402"/>
        <v>0.36524754382585239</v>
      </c>
      <c r="K121" s="157">
        <f t="shared" si="402"/>
        <v>0.27766599597585523</v>
      </c>
      <c r="L121" s="75">
        <f t="shared" si="402"/>
        <v>0.42650862068965512</v>
      </c>
      <c r="M121" s="98">
        <f t="shared" si="402"/>
        <v>0.35698701298701285</v>
      </c>
      <c r="N121" s="75">
        <f t="shared" si="402"/>
        <v>0.48680667743672595</v>
      </c>
      <c r="O121" s="75">
        <f t="shared" si="402"/>
        <v>0.46661259799945926</v>
      </c>
      <c r="P121" s="75">
        <f t="shared" si="402"/>
        <v>0.52173913043478259</v>
      </c>
      <c r="Q121" s="75">
        <f t="shared" si="402"/>
        <v>0.50148300250969657</v>
      </c>
      <c r="R121" s="98">
        <f t="shared" si="402"/>
        <v>0.49523092369477911</v>
      </c>
      <c r="S121" s="75">
        <f t="shared" si="402"/>
        <v>0.43922320786382163</v>
      </c>
      <c r="T121" s="75">
        <f t="shared" si="402"/>
        <v>0.42733750809760318</v>
      </c>
      <c r="U121" s="75">
        <f t="shared" si="402"/>
        <v>0.3996247654784239</v>
      </c>
      <c r="V121" s="157">
        <f t="shared" si="402"/>
        <v>0.50568534215422778</v>
      </c>
      <c r="W121" s="133">
        <f t="shared" si="402"/>
        <v>0.44337166413538731</v>
      </c>
      <c r="X121" s="157">
        <f t="shared" si="402"/>
        <v>0.47323295692179007</v>
      </c>
      <c r="Y121" s="75">
        <f>+Y120/Y108</f>
        <v>0.54524651549823167</v>
      </c>
      <c r="Z121" s="75">
        <f t="shared" si="402"/>
        <v>0.3466309071374738</v>
      </c>
      <c r="AA121" s="75">
        <f t="shared" si="402"/>
        <v>0.31211049442597927</v>
      </c>
      <c r="AB121" s="98">
        <f t="shared" si="402"/>
        <v>0.41734064450061087</v>
      </c>
      <c r="AC121" s="75">
        <f t="shared" si="402"/>
        <v>0.32756136795032659</v>
      </c>
      <c r="AD121" s="75">
        <f t="shared" si="402"/>
        <v>0.32684594581619753</v>
      </c>
      <c r="AE121" s="75">
        <f t="shared" si="402"/>
        <v>0.30272992365790752</v>
      </c>
      <c r="AF121" s="75">
        <f t="shared" si="402"/>
        <v>0.29824177047487754</v>
      </c>
      <c r="AG121" s="98">
        <f t="shared" si="402"/>
        <v>0.31354633667241161</v>
      </c>
      <c r="AH121" s="75">
        <f t="shared" si="402"/>
        <v>0.32364814801066133</v>
      </c>
      <c r="AI121" s="75">
        <f t="shared" si="402"/>
        <v>0.32295307755085967</v>
      </c>
      <c r="AJ121" s="75">
        <f t="shared" si="402"/>
        <v>0.30897897800447838</v>
      </c>
      <c r="AK121" s="75">
        <f t="shared" si="402"/>
        <v>0.29452184359881806</v>
      </c>
      <c r="AL121" s="98">
        <f t="shared" si="402"/>
        <v>0.31227324340984813</v>
      </c>
      <c r="AM121" s="75">
        <f t="shared" si="402"/>
        <v>0.31988543653021384</v>
      </c>
      <c r="AN121" s="75">
        <f t="shared" si="402"/>
        <v>0.31920993498803468</v>
      </c>
      <c r="AO121" s="75">
        <f t="shared" si="402"/>
        <v>0.3053722994915658</v>
      </c>
      <c r="AP121" s="75">
        <f t="shared" si="402"/>
        <v>0.29094499083337622</v>
      </c>
      <c r="AQ121" s="98">
        <f t="shared" si="402"/>
        <v>0.30860270976001708</v>
      </c>
      <c r="AR121" s="75">
        <f t="shared" si="402"/>
        <v>0.31626744472209145</v>
      </c>
      <c r="AS121" s="75">
        <f t="shared" si="402"/>
        <v>0.31561075944685701</v>
      </c>
      <c r="AT121" s="75">
        <f t="shared" si="402"/>
        <v>0.30190433938299605</v>
      </c>
      <c r="AU121" s="75">
        <f t="shared" si="402"/>
        <v>0.2875057093281439</v>
      </c>
      <c r="AV121" s="98">
        <f t="shared" si="402"/>
        <v>0.30507335048133377</v>
      </c>
    </row>
    <row r="122" spans="2:48" ht="17.399999999999999" x14ac:dyDescent="0.45">
      <c r="B122" s="583" t="s">
        <v>55</v>
      </c>
      <c r="C122" s="584"/>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4" t="s">
        <v>408</v>
      </c>
      <c r="Y122" s="14" t="s">
        <v>452</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580" t="s">
        <v>127</v>
      </c>
      <c r="C123" s="581"/>
      <c r="D123" s="48">
        <v>11.6</v>
      </c>
      <c r="E123" s="48">
        <v>15.8</v>
      </c>
      <c r="F123" s="48">
        <v>23.3</v>
      </c>
      <c r="G123" s="48">
        <v>15.4</v>
      </c>
      <c r="H123" s="31">
        <f>SUM(D123:G123)</f>
        <v>66.100000000000009</v>
      </c>
      <c r="I123" s="48">
        <v>20.5</v>
      </c>
      <c r="J123" s="48">
        <v>12</v>
      </c>
      <c r="K123" s="48">
        <v>19.7</v>
      </c>
      <c r="L123" s="48">
        <v>13.9</v>
      </c>
      <c r="M123" s="31">
        <f>SUM(I123:L123)</f>
        <v>66.100000000000009</v>
      </c>
      <c r="N123" s="48">
        <v>20.5</v>
      </c>
      <c r="O123" s="48">
        <v>22.6</v>
      </c>
      <c r="P123" s="48">
        <v>23.8</v>
      </c>
      <c r="Q123" s="105">
        <v>30.8</v>
      </c>
      <c r="R123" s="31">
        <f>SUM(N123:Q123)</f>
        <v>97.7</v>
      </c>
      <c r="S123" s="48">
        <v>25.1</v>
      </c>
      <c r="T123" s="48">
        <v>24.4</v>
      </c>
      <c r="U123" s="48">
        <v>27.3</v>
      </c>
      <c r="V123" s="48">
        <v>19.100000000000001</v>
      </c>
      <c r="W123" s="31">
        <f>SUM(S123:V123)</f>
        <v>95.9</v>
      </c>
      <c r="X123" s="105">
        <v>4.3</v>
      </c>
      <c r="Y123" s="105">
        <v>3.7</v>
      </c>
      <c r="Z123" s="48">
        <f>+U123*(1+Z124)</f>
        <v>4.0950000000000006</v>
      </c>
      <c r="AA123" s="48">
        <f t="shared" ref="AA123" si="403">+V123*(1+AA124)</f>
        <v>4.7750000000000004</v>
      </c>
      <c r="AB123" s="31">
        <f>SUM(X123:AA123)</f>
        <v>16.87</v>
      </c>
      <c r="AC123" s="48">
        <f>+X123*(1+AC124)</f>
        <v>4.7300000000000004</v>
      </c>
      <c r="AD123" s="48">
        <f>+Y123*(1+AD124)</f>
        <v>4.07</v>
      </c>
      <c r="AE123" s="48">
        <f>+Z123*(1+AE124)</f>
        <v>4.5045000000000011</v>
      </c>
      <c r="AF123" s="48">
        <f t="shared" ref="AF123" si="404">+AA123*(1+AF124)</f>
        <v>5.2525000000000004</v>
      </c>
      <c r="AG123" s="31">
        <f>SUM(AC123:AF123)</f>
        <v>18.557000000000002</v>
      </c>
      <c r="AH123" s="48">
        <f>+AC123*(1+AH124)</f>
        <v>5.2030000000000012</v>
      </c>
      <c r="AI123" s="48">
        <f>+AD123*(1+AI124)</f>
        <v>4.4770000000000003</v>
      </c>
      <c r="AJ123" s="48">
        <f>+AE123*(1+AJ124)</f>
        <v>4.954950000000002</v>
      </c>
      <c r="AK123" s="48">
        <f t="shared" ref="AK123" si="405">+AF123*(1+AK124)</f>
        <v>5.7777500000000011</v>
      </c>
      <c r="AL123" s="31">
        <f>SUM(AH123:AK123)</f>
        <v>20.412700000000005</v>
      </c>
      <c r="AM123" s="48">
        <f>+AH123*(1+AM124)</f>
        <v>5.7233000000000018</v>
      </c>
      <c r="AN123" s="48">
        <f>+AI123*(1+AN124)</f>
        <v>4.9247000000000005</v>
      </c>
      <c r="AO123" s="48">
        <f>+AJ123*(1+AO124)</f>
        <v>5.4504450000000029</v>
      </c>
      <c r="AP123" s="48">
        <f t="shared" ref="AP123" si="406">+AK123*(1+AP124)</f>
        <v>6.3555250000000019</v>
      </c>
      <c r="AQ123" s="31">
        <f>SUM(AM123:AP123)</f>
        <v>22.453970000000005</v>
      </c>
      <c r="AR123" s="48">
        <f>+AM123*(1+AR124)</f>
        <v>6.2956300000000027</v>
      </c>
      <c r="AS123" s="48">
        <f>+AN123*(1+AS124)</f>
        <v>5.4171700000000014</v>
      </c>
      <c r="AT123" s="48">
        <f>+AO123*(1+AT124)</f>
        <v>5.9954895000000032</v>
      </c>
      <c r="AU123" s="48">
        <f t="shared" ref="AU123" si="407">+AP123*(1+AU124)</f>
        <v>6.9910775000000029</v>
      </c>
      <c r="AV123" s="31">
        <f>SUM(AR123:AU123)</f>
        <v>24.699367000000009</v>
      </c>
    </row>
    <row r="124" spans="2:48" s="8" customFormat="1" outlineLevel="1" x14ac:dyDescent="0.3">
      <c r="B124" s="38" t="s">
        <v>128</v>
      </c>
      <c r="C124" s="201"/>
      <c r="D124" s="30"/>
      <c r="E124" s="30"/>
      <c r="F124" s="30"/>
      <c r="G124" s="118"/>
      <c r="H124" s="130"/>
      <c r="I124" s="118">
        <f t="shared" ref="I124:J124" si="408">I123/D123-1</f>
        <v>0.76724137931034497</v>
      </c>
      <c r="J124" s="118">
        <f t="shared" si="408"/>
        <v>-0.24050632911392411</v>
      </c>
      <c r="K124" s="118">
        <f>K123/F123-1</f>
        <v>-0.15450643776824036</v>
      </c>
      <c r="L124" s="118">
        <f>L123/G123-1</f>
        <v>-9.740259740259738E-2</v>
      </c>
      <c r="M124" s="128">
        <f>M123/H123-1</f>
        <v>0</v>
      </c>
      <c r="N124" s="118">
        <f t="shared" ref="N124:Q124" si="409">N123/I123-1</f>
        <v>0</v>
      </c>
      <c r="O124" s="118">
        <f t="shared" si="409"/>
        <v>0.88333333333333353</v>
      </c>
      <c r="P124" s="118">
        <f t="shared" si="409"/>
        <v>0.20812182741116758</v>
      </c>
      <c r="Q124" s="118">
        <f t="shared" si="409"/>
        <v>1.2158273381294964</v>
      </c>
      <c r="R124" s="128">
        <f>R123/M123-1</f>
        <v>0.47806354009077134</v>
      </c>
      <c r="S124" s="118">
        <f t="shared" ref="S124:X124" si="410">S123/N123-1</f>
        <v>0.224390243902439</v>
      </c>
      <c r="T124" s="118">
        <f t="shared" si="410"/>
        <v>7.9646017699114946E-2</v>
      </c>
      <c r="U124" s="118">
        <f t="shared" si="410"/>
        <v>0.14705882352941169</v>
      </c>
      <c r="V124" s="118">
        <f t="shared" si="410"/>
        <v>-0.3798701298701298</v>
      </c>
      <c r="W124" s="128">
        <f>W123/R123-1</f>
        <v>-1.842374616171949E-2</v>
      </c>
      <c r="X124" s="118">
        <f t="shared" si="410"/>
        <v>-0.82868525896414347</v>
      </c>
      <c r="Y124" s="118">
        <f>Y123/T123-1</f>
        <v>-0.84836065573770492</v>
      </c>
      <c r="Z124" s="34">
        <v>-0.85</v>
      </c>
      <c r="AA124" s="34">
        <v>-0.75</v>
      </c>
      <c r="AB124" s="128">
        <f>AB123/W123-1</f>
        <v>-0.82408759124087594</v>
      </c>
      <c r="AC124" s="34">
        <v>0.1</v>
      </c>
      <c r="AD124" s="34">
        <v>0.1</v>
      </c>
      <c r="AE124" s="34">
        <v>0.1</v>
      </c>
      <c r="AF124" s="34">
        <v>0.1</v>
      </c>
      <c r="AG124" s="128">
        <f>AG123/AB123-1</f>
        <v>0.10000000000000009</v>
      </c>
      <c r="AH124" s="34">
        <v>0.1</v>
      </c>
      <c r="AI124" s="34">
        <v>0.1</v>
      </c>
      <c r="AJ124" s="34">
        <v>0.1</v>
      </c>
      <c r="AK124" s="34">
        <v>0.1</v>
      </c>
      <c r="AL124" s="128">
        <f>AL123/AG123-1</f>
        <v>0.10000000000000009</v>
      </c>
      <c r="AM124" s="34">
        <v>0.1</v>
      </c>
      <c r="AN124" s="34">
        <v>0.1</v>
      </c>
      <c r="AO124" s="34">
        <v>0.1</v>
      </c>
      <c r="AP124" s="34">
        <v>0.1</v>
      </c>
      <c r="AQ124" s="128">
        <f>AQ123/AL123-1</f>
        <v>0.10000000000000009</v>
      </c>
      <c r="AR124" s="34">
        <v>0.1</v>
      </c>
      <c r="AS124" s="34">
        <v>0.1</v>
      </c>
      <c r="AT124" s="34">
        <v>0.1</v>
      </c>
      <c r="AU124" s="34">
        <v>0.1</v>
      </c>
      <c r="AV124" s="128">
        <f>AV123/AQ123-1</f>
        <v>0.10000000000000009</v>
      </c>
    </row>
    <row r="125" spans="2:48" outlineLevel="1" x14ac:dyDescent="0.3">
      <c r="B125" s="607" t="s">
        <v>100</v>
      </c>
      <c r="C125" s="608"/>
      <c r="D125" s="48">
        <v>13.4</v>
      </c>
      <c r="E125" s="48">
        <v>15.9</v>
      </c>
      <c r="F125" s="48">
        <v>22.4</v>
      </c>
      <c r="G125" s="105">
        <v>15.5</v>
      </c>
      <c r="H125" s="170"/>
      <c r="I125" s="105">
        <v>20.7</v>
      </c>
      <c r="J125" s="105">
        <v>10.199999999999999</v>
      </c>
      <c r="K125" s="105">
        <v>20.8</v>
      </c>
      <c r="L125" s="105">
        <v>11.6</v>
      </c>
      <c r="M125" s="31">
        <f>SUM(I125:L125)</f>
        <v>63.300000000000004</v>
      </c>
      <c r="N125" s="105">
        <v>19</v>
      </c>
      <c r="O125" s="105">
        <v>19.399999999999999</v>
      </c>
      <c r="P125" s="105">
        <v>19.8</v>
      </c>
      <c r="Q125" s="105">
        <v>28.2</v>
      </c>
      <c r="R125" s="31">
        <f>SUM(N125:Q125)</f>
        <v>86.4</v>
      </c>
      <c r="S125" s="105">
        <v>22.9</v>
      </c>
      <c r="T125" s="105">
        <v>20.8</v>
      </c>
      <c r="U125" s="105">
        <v>24.3</v>
      </c>
      <c r="V125" s="105">
        <v>20.399999999999999</v>
      </c>
      <c r="W125" s="31">
        <f>SUM(S125:V125)</f>
        <v>88.4</v>
      </c>
      <c r="X125" s="105">
        <v>4.8</v>
      </c>
      <c r="Y125" s="105">
        <v>1.5</v>
      </c>
      <c r="Z125" s="105">
        <f>AVERAGE(Y125,X125,V125,U125)</f>
        <v>12.75</v>
      </c>
      <c r="AA125" s="105">
        <f>AVERAGE(Z125,Y125,X125,V125)</f>
        <v>9.8625000000000007</v>
      </c>
      <c r="AB125" s="126">
        <f>SUM(X125:AA125)</f>
        <v>28.912500000000001</v>
      </c>
      <c r="AC125" s="105">
        <f>AVERAGE(X125,AA125,Z125,Y125)</f>
        <v>7.2281250000000004</v>
      </c>
      <c r="AD125" s="105">
        <f>AVERAGE(AC125,AA125,Z125,Y125)</f>
        <v>7.8351562500000007</v>
      </c>
      <c r="AE125" s="105">
        <f>AVERAGE(AD125,AC125,AA125,Z125)</f>
        <v>9.4189453125</v>
      </c>
      <c r="AF125" s="105">
        <f>AVERAGE(AE125,AD125,AC125,AA125)</f>
        <v>8.586181640625</v>
      </c>
      <c r="AG125" s="31">
        <f>SUM(AC125:AF125)</f>
        <v>33.068408203125003</v>
      </c>
      <c r="AH125" s="105">
        <f>AVERAGE(AC125,AF125,AE125,AD125)</f>
        <v>8.2671020507812507</v>
      </c>
      <c r="AI125" s="105">
        <f>AVERAGE(AH125,AF125,AE125,AD125)</f>
        <v>8.5268463134765629</v>
      </c>
      <c r="AJ125" s="105">
        <f>AVERAGE(AI125,AH125,AF125,AE125)</f>
        <v>8.6997688293457038</v>
      </c>
      <c r="AK125" s="105">
        <f>AVERAGE(AJ125,AI125,AH125,AF125)</f>
        <v>8.5199747085571289</v>
      </c>
      <c r="AL125" s="31">
        <f>SUM(AH125:AK125)</f>
        <v>34.013691902160645</v>
      </c>
      <c r="AM125" s="105">
        <f>AVERAGE(AH125,AK125,AJ125,AI125)</f>
        <v>8.5034229755401611</v>
      </c>
      <c r="AN125" s="105">
        <f>AVERAGE(AM125,AK125,AJ125,AI125)</f>
        <v>8.5625032067298896</v>
      </c>
      <c r="AO125" s="105">
        <f>AVERAGE(AN125,AM125,AK125,AJ125)</f>
        <v>8.5714174300432209</v>
      </c>
      <c r="AP125" s="105">
        <f>AVERAGE(AO125,AN125,AM125,AK125)</f>
        <v>8.5393295802176006</v>
      </c>
      <c r="AQ125" s="31">
        <f>SUM(AM125:AP125)</f>
        <v>34.17667319253087</v>
      </c>
      <c r="AR125" s="105">
        <f>AVERAGE(AM125,AP125,AO125,AN125)</f>
        <v>8.5441682981327176</v>
      </c>
      <c r="AS125" s="105">
        <f>AVERAGE(AR125,AP125,AO125,AN125)</f>
        <v>8.5543546287808567</v>
      </c>
      <c r="AT125" s="105">
        <f>AVERAGE(AS125,AR125,AP125,AO125)</f>
        <v>8.5523174842935994</v>
      </c>
      <c r="AU125" s="105">
        <f>AVERAGE(AT125,AS125,AR125,AP125)</f>
        <v>8.5475424978561936</v>
      </c>
      <c r="AV125" s="31">
        <f>SUM(AR125:AU125)</f>
        <v>34.198382909063369</v>
      </c>
    </row>
    <row r="126" spans="2:48" outlineLevel="1" x14ac:dyDescent="0.3">
      <c r="B126" s="180" t="s">
        <v>33</v>
      </c>
      <c r="C126" s="18"/>
      <c r="D126" s="48">
        <v>3.2</v>
      </c>
      <c r="E126" s="48">
        <v>4.3</v>
      </c>
      <c r="F126" s="48">
        <v>5.8</v>
      </c>
      <c r="G126" s="105">
        <f>5.2+0.1</f>
        <v>5.3</v>
      </c>
      <c r="H126" s="170"/>
      <c r="I126" s="105">
        <v>2.8</v>
      </c>
      <c r="J126" s="105">
        <v>3.7</v>
      </c>
      <c r="K126" s="105">
        <v>4</v>
      </c>
      <c r="L126" s="105">
        <v>3.4</v>
      </c>
      <c r="M126" s="31">
        <f t="shared" ref="M126:M129" si="411">SUM(I126:L126)</f>
        <v>13.9</v>
      </c>
      <c r="N126" s="105">
        <v>3.6</v>
      </c>
      <c r="O126" s="105">
        <v>3.4</v>
      </c>
      <c r="P126" s="105">
        <v>3.3</v>
      </c>
      <c r="Q126" s="105">
        <v>4.5</v>
      </c>
      <c r="R126" s="31">
        <f t="shared" ref="R126:R129" si="412">SUM(N126:Q126)</f>
        <v>14.8</v>
      </c>
      <c r="S126" s="105">
        <v>2.9</v>
      </c>
      <c r="T126" s="105">
        <v>4.4000000000000004</v>
      </c>
      <c r="U126" s="105">
        <v>5.9</v>
      </c>
      <c r="V126" s="105">
        <v>3.3</v>
      </c>
      <c r="W126" s="31">
        <f t="shared" ref="W126:W129" si="413">SUM(S126:V126)</f>
        <v>16.5</v>
      </c>
      <c r="X126" s="105">
        <v>0</v>
      </c>
      <c r="Y126" s="105">
        <v>0.1</v>
      </c>
      <c r="Z126" s="105">
        <f>AVERAGE(Y126,X126,V126,U126)</f>
        <v>2.3250000000000002</v>
      </c>
      <c r="AA126" s="105">
        <f>AVERAGE(Z126,Y126,X126,V126)</f>
        <v>1.4312499999999999</v>
      </c>
      <c r="AB126" s="31">
        <f t="shared" ref="AB126:AB129" si="414">SUM(X126:AA126)</f>
        <v>3.8562500000000002</v>
      </c>
      <c r="AC126" s="105">
        <f>AVERAGE(X126,AA126,Z126,Y126)</f>
        <v>0.96406250000000004</v>
      </c>
      <c r="AD126" s="105">
        <f>AVERAGE(AC126,AA126,Z126,Y126)</f>
        <v>1.205078125</v>
      </c>
      <c r="AE126" s="105">
        <f>AVERAGE(AD126,AC126,AA126,Z126)</f>
        <v>1.4813476562500001</v>
      </c>
      <c r="AF126" s="105">
        <f>AVERAGE(AE126,AD126,AC126,AA126)</f>
        <v>1.2704345703125002</v>
      </c>
      <c r="AG126" s="31">
        <f t="shared" ref="AG126:AG129" si="415">SUM(AC126:AF126)</f>
        <v>4.9209228515624996</v>
      </c>
      <c r="AH126" s="105">
        <f>AVERAGE(AC126,AF126,AE126,AD126)</f>
        <v>1.2302307128906249</v>
      </c>
      <c r="AI126" s="105">
        <f>AVERAGE(AH126,AF126,AE126,AD126)</f>
        <v>1.2967727661132813</v>
      </c>
      <c r="AJ126" s="105">
        <f>AVERAGE(AI126,AH126,AF126,AE126)</f>
        <v>1.3196964263916016</v>
      </c>
      <c r="AK126" s="105">
        <f>AVERAGE(AJ126,AI126,AH126,AF126)</f>
        <v>1.279283618927002</v>
      </c>
      <c r="AL126" s="31">
        <f t="shared" ref="AL126:AL129" si="416">SUM(AH126:AK126)</f>
        <v>5.1259835243225105</v>
      </c>
      <c r="AM126" s="105">
        <f>AVERAGE(AH126,AK126,AJ126,AI126)</f>
        <v>1.2814958810806274</v>
      </c>
      <c r="AN126" s="105">
        <f>AVERAGE(AM126,AK126,AJ126,AI126)</f>
        <v>1.294312173128128</v>
      </c>
      <c r="AO126" s="105">
        <f>AVERAGE(AN126,AM126,AK126,AJ126)</f>
        <v>1.2936970248818396</v>
      </c>
      <c r="AP126" s="105">
        <f>AVERAGE(AO126,AN126,AM126,AK126)</f>
        <v>1.2871971745043993</v>
      </c>
      <c r="AQ126" s="31">
        <f t="shared" ref="AQ126:AQ129" si="417">SUM(AM126:AP126)</f>
        <v>5.156702253594994</v>
      </c>
      <c r="AR126" s="105">
        <f>AVERAGE(AM126,AP126,AO126,AN126)</f>
        <v>1.2891755633987487</v>
      </c>
      <c r="AS126" s="105">
        <f>AVERAGE(AR126,AP126,AO126,AN126)</f>
        <v>1.2910954839782789</v>
      </c>
      <c r="AT126" s="105">
        <f>AVERAGE(AS126,AR126,AP126,AO126)</f>
        <v>1.2902913116908166</v>
      </c>
      <c r="AU126" s="105">
        <f>AVERAGE(AT126,AS126,AR126,AP126)</f>
        <v>1.2894398833930607</v>
      </c>
      <c r="AV126" s="31">
        <f t="shared" ref="AV126:AV129" si="418">SUM(AR126:AU126)</f>
        <v>5.1600022424609051</v>
      </c>
    </row>
    <row r="127" spans="2:48" outlineLevel="1" x14ac:dyDescent="0.3">
      <c r="B127" s="180" t="s">
        <v>34</v>
      </c>
      <c r="C127" s="18"/>
      <c r="D127" s="358">
        <v>39.5</v>
      </c>
      <c r="E127" s="358">
        <v>40.5</v>
      </c>
      <c r="F127" s="358">
        <v>39.6</v>
      </c>
      <c r="G127" s="358">
        <v>37.299999999999997</v>
      </c>
      <c r="H127" s="130"/>
      <c r="I127" s="358">
        <v>34.9</v>
      </c>
      <c r="J127" s="358">
        <v>34.5</v>
      </c>
      <c r="K127" s="358">
        <v>40.9</v>
      </c>
      <c r="L127" s="358">
        <v>39.5</v>
      </c>
      <c r="M127" s="126">
        <f t="shared" si="411"/>
        <v>149.80000000000001</v>
      </c>
      <c r="N127" s="358">
        <v>37</v>
      </c>
      <c r="O127" s="358">
        <v>37</v>
      </c>
      <c r="P127" s="358">
        <v>35.5</v>
      </c>
      <c r="Q127" s="358">
        <v>32.9</v>
      </c>
      <c r="R127" s="126">
        <f t="shared" si="412"/>
        <v>142.4</v>
      </c>
      <c r="S127" s="358">
        <v>32.9</v>
      </c>
      <c r="T127" s="358">
        <v>32.299999999999997</v>
      </c>
      <c r="U127" s="358">
        <v>30.6</v>
      </c>
      <c r="V127" s="358">
        <v>30.7</v>
      </c>
      <c r="W127" s="126">
        <f t="shared" si="413"/>
        <v>126.49999999999999</v>
      </c>
      <c r="X127" s="358">
        <v>28.7</v>
      </c>
      <c r="Y127" s="358">
        <v>29.3</v>
      </c>
      <c r="Z127" s="358">
        <f>(Y127/(Y66+Y99+Y114+Y127))*'CFS (Adjusted)'!Z7*0.95</f>
        <v>30.763597252666329</v>
      </c>
      <c r="AA127" s="358">
        <f>(Z127/(Z66+Z99+Z114+Z127))*'CFS (Adjusted)'!AA7*0.95</f>
        <v>31.636772607948739</v>
      </c>
      <c r="AB127" s="126">
        <f t="shared" si="414"/>
        <v>120.40036986061507</v>
      </c>
      <c r="AC127" s="358">
        <f>(AA127/(AA66+AA99+AA114+AA127))*'CFS (Adjusted)'!AC7*0.95</f>
        <v>33.015782869199015</v>
      </c>
      <c r="AD127" s="358">
        <f>(AC127/(AC66+AC99+AC114+AC127))*'CFS (Adjusted)'!AD7*0.95</f>
        <v>34.521353993135435</v>
      </c>
      <c r="AE127" s="358">
        <f>(AD127/(AD66+AD99+AD114+AD127))*'CFS (Adjusted)'!AE7*0.95</f>
        <v>35.681534396665569</v>
      </c>
      <c r="AF127" s="358">
        <f>(AE127/(AE66+AE99+AE114+AE127))*'CFS (Adjusted)'!AF7*0.95</f>
        <v>36.702464619390874</v>
      </c>
      <c r="AG127" s="126">
        <f t="shared" si="415"/>
        <v>139.92113587839088</v>
      </c>
      <c r="AH127" s="358">
        <f>(AF127/(AF66+AF99+AF114+AF127))*'CFS (Adjusted)'!AH7*0.95</f>
        <v>37.879578309515303</v>
      </c>
      <c r="AI127" s="358">
        <f>(AH127/(AH66+AH99+AH114+AH127))*'CFS (Adjusted)'!AI7*0.95</f>
        <v>38.871306095122932</v>
      </c>
      <c r="AJ127" s="358">
        <f>(AI127/(AI66+AI99+AI114+AI127))*'CFS (Adjusted)'!AJ7*0.95</f>
        <v>39.692490246996286</v>
      </c>
      <c r="AK127" s="358">
        <f>(AJ127/(AJ66+AJ99+AJ114+AJ127))*'CFS (Adjusted)'!AK7*0.95</f>
        <v>40.640033153047071</v>
      </c>
      <c r="AL127" s="126">
        <f t="shared" si="416"/>
        <v>157.0834078046816</v>
      </c>
      <c r="AM127" s="358">
        <f>(AK127/(AK66+AK99+AK114+AK127))*'CFS (Adjusted)'!AM7*0.95</f>
        <v>41.617823156216936</v>
      </c>
      <c r="AN127" s="358">
        <f>(AM127/(AM66+AM99+AM114+AM127))*'CFS (Adjusted)'!AN7*0.95</f>
        <v>42.641622479686689</v>
      </c>
      <c r="AO127" s="358">
        <f>(AN127/(AN66+AN99+AN114+AN127))*'CFS (Adjusted)'!AO7*0.95</f>
        <v>43.533401900800676</v>
      </c>
      <c r="AP127" s="358">
        <f>(AO127/(AO66+AO99+AO114+AO127))*'CFS (Adjusted)'!AP7*0.95</f>
        <v>44.582997864186197</v>
      </c>
      <c r="AQ127" s="126">
        <f t="shared" si="417"/>
        <v>172.37584540089051</v>
      </c>
      <c r="AR127" s="358">
        <f>(AP127/(AP66+AP99+AP114+AP127))*'CFS (Adjusted)'!AR7*0.95</f>
        <v>45.615940652983916</v>
      </c>
      <c r="AS127" s="358">
        <f>(AR127/(AR66+AR99+AR114+AR127))*'CFS (Adjusted)'!AS7*0.95</f>
        <v>46.622476114949357</v>
      </c>
      <c r="AT127" s="358">
        <f>(AS127/(AS66+AS99+AS114+AS127))*'CFS (Adjusted)'!AT7*0.95</f>
        <v>47.506654574611652</v>
      </c>
      <c r="AU127" s="358">
        <f>(AT127/(AT66+AT99+AT114+AT127))*'CFS (Adjusted)'!AU7*0.95</f>
        <v>48.562850828752524</v>
      </c>
      <c r="AV127" s="126">
        <f t="shared" si="418"/>
        <v>188.30792217129743</v>
      </c>
    </row>
    <row r="128" spans="2:48" outlineLevel="1" x14ac:dyDescent="0.3">
      <c r="B128" s="180" t="s">
        <v>35</v>
      </c>
      <c r="C128" s="18"/>
      <c r="D128" s="48">
        <v>300.39999999999998</v>
      </c>
      <c r="E128" s="48">
        <v>303.89999999999998</v>
      </c>
      <c r="F128" s="48">
        <v>299</v>
      </c>
      <c r="G128" s="105">
        <v>267.39999999999998</v>
      </c>
      <c r="H128" s="170"/>
      <c r="I128" s="105">
        <v>292.2</v>
      </c>
      <c r="J128" s="105">
        <v>271.60000000000002</v>
      </c>
      <c r="K128" s="105">
        <v>269.10000000000002</v>
      </c>
      <c r="L128" s="105">
        <v>288.8</v>
      </c>
      <c r="M128" s="31">
        <f t="shared" si="411"/>
        <v>1121.7</v>
      </c>
      <c r="N128" s="105">
        <v>316.5</v>
      </c>
      <c r="O128" s="105">
        <v>304.60000000000002</v>
      </c>
      <c r="P128" s="105">
        <v>326.5</v>
      </c>
      <c r="Q128" s="105">
        <v>321</v>
      </c>
      <c r="R128" s="31">
        <f t="shared" si="412"/>
        <v>1268.5999999999999</v>
      </c>
      <c r="S128" s="105">
        <v>354.5</v>
      </c>
      <c r="T128" s="105">
        <v>328.1</v>
      </c>
      <c r="U128" s="105">
        <v>326.10000000000002</v>
      </c>
      <c r="V128" s="105">
        <v>362.5</v>
      </c>
      <c r="W128" s="31">
        <f t="shared" si="413"/>
        <v>1371.2</v>
      </c>
      <c r="X128" s="105">
        <v>396.1</v>
      </c>
      <c r="Y128" s="105">
        <v>439.7</v>
      </c>
      <c r="Z128" s="105">
        <f>AVERAGE(Y128,X128,V128,U128)</f>
        <v>381.1</v>
      </c>
      <c r="AA128" s="105">
        <f>AVERAGE(Z128,Y128,X128,V128)</f>
        <v>394.85</v>
      </c>
      <c r="AB128" s="31">
        <f t="shared" si="414"/>
        <v>1611.75</v>
      </c>
      <c r="AC128" s="105">
        <f>AVERAGE(X128,AA128,Z128,Y128)</f>
        <v>402.93750000000006</v>
      </c>
      <c r="AD128" s="105">
        <f>AVERAGE(AC128,AA128,Z128,Y128)</f>
        <v>404.64687500000008</v>
      </c>
      <c r="AE128" s="105">
        <f>AVERAGE(AD128,AC128,AA128,Z128)</f>
        <v>395.88359375000005</v>
      </c>
      <c r="AF128" s="105">
        <f>AVERAGE(AE128,AD128,AC128,AA128)</f>
        <v>399.57949218750002</v>
      </c>
      <c r="AG128" s="31">
        <f t="shared" si="415"/>
        <v>1603.0474609375001</v>
      </c>
      <c r="AH128" s="105">
        <f>AVERAGE(AC128,AF128,AE128,AD128)</f>
        <v>400.76186523437508</v>
      </c>
      <c r="AI128" s="105">
        <f>AVERAGE(AH128,AF128,AE128,AD128)</f>
        <v>400.21795654296881</v>
      </c>
      <c r="AJ128" s="105">
        <f>AVERAGE(AI128,AH128,AF128,AE128)</f>
        <v>399.11072692871102</v>
      </c>
      <c r="AK128" s="105">
        <f>AVERAGE(AJ128,AI128,AH128,AF128)</f>
        <v>399.91751022338872</v>
      </c>
      <c r="AL128" s="31">
        <f t="shared" si="416"/>
        <v>1600.0080589294437</v>
      </c>
      <c r="AM128" s="105">
        <f>AVERAGE(AH128,AK128,AJ128,AI128)</f>
        <v>400.00201473236092</v>
      </c>
      <c r="AN128" s="105">
        <f>AVERAGE(AM128,AK128,AJ128,AI128)</f>
        <v>399.81205210685738</v>
      </c>
      <c r="AO128" s="105">
        <f>AVERAGE(AN128,AM128,AK128,AJ128)</f>
        <v>399.71057599782949</v>
      </c>
      <c r="AP128" s="105">
        <f>AVERAGE(AO128,AN128,AM128,AK128)</f>
        <v>399.86053826510914</v>
      </c>
      <c r="AQ128" s="31">
        <f t="shared" si="417"/>
        <v>1599.385181102157</v>
      </c>
      <c r="AR128" s="105">
        <f>AVERAGE(AM128,AP128,AO128,AN128)</f>
        <v>399.84629527553926</v>
      </c>
      <c r="AS128" s="105">
        <f>AVERAGE(AR128,AP128,AO128,AN128)</f>
        <v>399.80736541133382</v>
      </c>
      <c r="AT128" s="105">
        <f>AVERAGE(AS128,AR128,AP128,AO128)</f>
        <v>399.80619373745293</v>
      </c>
      <c r="AU128" s="105">
        <f>AVERAGE(AT128,AS128,AR128,AP128)</f>
        <v>399.83009817235882</v>
      </c>
      <c r="AV128" s="31">
        <f t="shared" si="418"/>
        <v>1599.289952596685</v>
      </c>
    </row>
    <row r="129" spans="2:48" ht="16.2" outlineLevel="1" x14ac:dyDescent="0.45">
      <c r="B129" s="180" t="s">
        <v>42</v>
      </c>
      <c r="C129" s="18"/>
      <c r="D129" s="119">
        <v>13.9</v>
      </c>
      <c r="E129" s="119">
        <v>0.6</v>
      </c>
      <c r="F129" s="119">
        <v>6</v>
      </c>
      <c r="G129" s="119">
        <v>-0.9</v>
      </c>
      <c r="H129" s="131"/>
      <c r="I129" s="119">
        <v>0.3</v>
      </c>
      <c r="J129" s="119">
        <v>0</v>
      </c>
      <c r="K129" s="119">
        <v>22.1</v>
      </c>
      <c r="L129" s="119">
        <v>0</v>
      </c>
      <c r="M129" s="193">
        <f t="shared" si="411"/>
        <v>22.400000000000002</v>
      </c>
      <c r="N129" s="119">
        <v>0</v>
      </c>
      <c r="O129" s="119">
        <v>0</v>
      </c>
      <c r="P129" s="119">
        <v>0</v>
      </c>
      <c r="Q129" s="119">
        <v>15</v>
      </c>
      <c r="R129" s="193">
        <f t="shared" si="412"/>
        <v>15</v>
      </c>
      <c r="S129" s="119">
        <v>0</v>
      </c>
      <c r="T129" s="119">
        <v>0</v>
      </c>
      <c r="U129" s="119">
        <v>2</v>
      </c>
      <c r="V129" s="119">
        <v>10.7</v>
      </c>
      <c r="W129" s="193">
        <f t="shared" si="413"/>
        <v>12.7</v>
      </c>
      <c r="X129" s="119">
        <v>0.7</v>
      </c>
      <c r="Y129" s="119">
        <v>0.3</v>
      </c>
      <c r="Z129" s="119">
        <f>IFERROR((Z163*(X129/X163)),0)</f>
        <v>0.84482758620689646</v>
      </c>
      <c r="AA129" s="119">
        <f t="shared" ref="AA129" si="419">IFERROR((AA163*(Z129/Z163)),0)</f>
        <v>0.84482758620689646</v>
      </c>
      <c r="AB129" s="193">
        <f t="shared" si="414"/>
        <v>2.6896551724137927</v>
      </c>
      <c r="AC129" s="119">
        <f>IFERROR((AC163*(AA129/AA163)),0)</f>
        <v>0.84482758620689646</v>
      </c>
      <c r="AD129" s="119">
        <f t="shared" ref="AD129:AF129" si="420">IFERROR((AD163*(AC129/AC163)),0)</f>
        <v>0.84482758620689646</v>
      </c>
      <c r="AE129" s="119">
        <f t="shared" si="420"/>
        <v>0.84482758620689646</v>
      </c>
      <c r="AF129" s="119">
        <f t="shared" si="420"/>
        <v>0.84482758620689646</v>
      </c>
      <c r="AG129" s="193">
        <f t="shared" si="415"/>
        <v>3.3793103448275859</v>
      </c>
      <c r="AH129" s="119">
        <f>IFERROR((AH163*(AF129/AF163)),0)</f>
        <v>0.84482758620689646</v>
      </c>
      <c r="AI129" s="119">
        <f t="shared" ref="AI129:AK129" si="421">IFERROR((AI163*(AH129/AH163)),0)</f>
        <v>0.84482758620689646</v>
      </c>
      <c r="AJ129" s="119">
        <f t="shared" si="421"/>
        <v>0.84482758620689646</v>
      </c>
      <c r="AK129" s="119">
        <f t="shared" si="421"/>
        <v>0.84482758620689646</v>
      </c>
      <c r="AL129" s="193">
        <f t="shared" si="416"/>
        <v>3.3793103448275859</v>
      </c>
      <c r="AM129" s="119">
        <f>IFERROR((AM163*(AK129/AK163)),0)</f>
        <v>0.84482758620689646</v>
      </c>
      <c r="AN129" s="119">
        <f t="shared" ref="AN129:AP129" si="422">IFERROR((AN163*(AM129/AM163)),0)</f>
        <v>0.84482758620689646</v>
      </c>
      <c r="AO129" s="119">
        <f t="shared" si="422"/>
        <v>0.84482758620689646</v>
      </c>
      <c r="AP129" s="119">
        <f t="shared" si="422"/>
        <v>0.84482758620689646</v>
      </c>
      <c r="AQ129" s="193">
        <f t="shared" si="417"/>
        <v>3.3793103448275859</v>
      </c>
      <c r="AR129" s="119">
        <f>IFERROR((AR163*(AP129/AP163)),0)</f>
        <v>0.84482758620689646</v>
      </c>
      <c r="AS129" s="119">
        <f t="shared" ref="AS129:AU129" si="423">IFERROR((AS163*(AR129/AR163)),0)</f>
        <v>0.84482758620689646</v>
      </c>
      <c r="AT129" s="119">
        <f t="shared" si="423"/>
        <v>0.84482758620689646</v>
      </c>
      <c r="AU129" s="119">
        <f t="shared" si="423"/>
        <v>0.84482758620689646</v>
      </c>
      <c r="AV129" s="193">
        <f t="shared" si="418"/>
        <v>3.3793103448275859</v>
      </c>
    </row>
    <row r="130" spans="2:48" outlineLevel="1" x14ac:dyDescent="0.3">
      <c r="B130" s="46" t="s">
        <v>56</v>
      </c>
      <c r="C130" s="19"/>
      <c r="D130" s="103">
        <f>SUM(D125:D129)</f>
        <v>370.4</v>
      </c>
      <c r="E130" s="103">
        <f>SUM(E125:E129)</f>
        <v>365.2</v>
      </c>
      <c r="F130" s="103">
        <f>SUM(F125:F129)</f>
        <v>372.8</v>
      </c>
      <c r="G130" s="103">
        <f>SUM(G125:G129)</f>
        <v>324.60000000000002</v>
      </c>
      <c r="H130" s="130"/>
      <c r="I130" s="103">
        <f t="shared" ref="I130:AV130" si="424">SUM(I125:I129)</f>
        <v>350.9</v>
      </c>
      <c r="J130" s="103">
        <f t="shared" si="424"/>
        <v>320</v>
      </c>
      <c r="K130" s="103">
        <f t="shared" si="424"/>
        <v>356.90000000000003</v>
      </c>
      <c r="L130" s="50">
        <f t="shared" si="424"/>
        <v>343.3</v>
      </c>
      <c r="M130" s="51">
        <f t="shared" si="424"/>
        <v>1371.1000000000001</v>
      </c>
      <c r="N130" s="50">
        <f t="shared" si="424"/>
        <v>376.1</v>
      </c>
      <c r="O130" s="50">
        <f t="shared" si="424"/>
        <v>364.40000000000003</v>
      </c>
      <c r="P130" s="50">
        <f t="shared" si="424"/>
        <v>385.1</v>
      </c>
      <c r="Q130" s="50">
        <f t="shared" si="424"/>
        <v>401.6</v>
      </c>
      <c r="R130" s="51">
        <f t="shared" si="424"/>
        <v>1527.1999999999998</v>
      </c>
      <c r="S130" s="50">
        <f t="shared" si="424"/>
        <v>413.2</v>
      </c>
      <c r="T130" s="50">
        <f t="shared" si="424"/>
        <v>385.6</v>
      </c>
      <c r="U130" s="50">
        <f t="shared" si="424"/>
        <v>388.90000000000003</v>
      </c>
      <c r="V130" s="50">
        <f t="shared" si="424"/>
        <v>427.59999999999997</v>
      </c>
      <c r="W130" s="51">
        <f t="shared" si="424"/>
        <v>1615.3</v>
      </c>
      <c r="X130" s="103">
        <f t="shared" si="424"/>
        <v>430.3</v>
      </c>
      <c r="Y130" s="103">
        <f t="shared" si="424"/>
        <v>470.9</v>
      </c>
      <c r="Z130" s="50">
        <f t="shared" si="424"/>
        <v>427.78342483887326</v>
      </c>
      <c r="AA130" s="50">
        <f t="shared" si="424"/>
        <v>438.62535019415566</v>
      </c>
      <c r="AB130" s="51">
        <f t="shared" si="424"/>
        <v>1767.6087750330287</v>
      </c>
      <c r="AC130" s="50">
        <f t="shared" si="424"/>
        <v>444.99029795540599</v>
      </c>
      <c r="AD130" s="50">
        <f t="shared" si="424"/>
        <v>449.05329095434246</v>
      </c>
      <c r="AE130" s="50">
        <f t="shared" si="424"/>
        <v>443.31024870162253</v>
      </c>
      <c r="AF130" s="50">
        <f t="shared" si="424"/>
        <v>446.9834006040353</v>
      </c>
      <c r="AG130" s="51">
        <f t="shared" si="424"/>
        <v>1784.3372382154062</v>
      </c>
      <c r="AH130" s="50">
        <f t="shared" si="424"/>
        <v>448.98360389376916</v>
      </c>
      <c r="AI130" s="50">
        <f t="shared" si="424"/>
        <v>449.75770930388848</v>
      </c>
      <c r="AJ130" s="50">
        <f t="shared" si="424"/>
        <v>449.66751001765152</v>
      </c>
      <c r="AK130" s="50">
        <f t="shared" si="424"/>
        <v>451.20162929012685</v>
      </c>
      <c r="AL130" s="51">
        <f t="shared" si="424"/>
        <v>1799.6104525054361</v>
      </c>
      <c r="AM130" s="50">
        <f t="shared" si="424"/>
        <v>452.24958433140557</v>
      </c>
      <c r="AN130" s="50">
        <f t="shared" si="424"/>
        <v>453.15531755260901</v>
      </c>
      <c r="AO130" s="50">
        <f t="shared" si="424"/>
        <v>453.95391993976216</v>
      </c>
      <c r="AP130" s="50">
        <f t="shared" si="424"/>
        <v>455.11489047022422</v>
      </c>
      <c r="AQ130" s="51">
        <f t="shared" si="424"/>
        <v>1814.4737122940012</v>
      </c>
      <c r="AR130" s="50">
        <f t="shared" si="424"/>
        <v>456.14040737626158</v>
      </c>
      <c r="AS130" s="50">
        <f t="shared" si="424"/>
        <v>457.1201192252492</v>
      </c>
      <c r="AT130" s="50">
        <f t="shared" si="424"/>
        <v>458.00028469425592</v>
      </c>
      <c r="AU130" s="50">
        <f t="shared" si="424"/>
        <v>459.07475896856749</v>
      </c>
      <c r="AV130" s="51">
        <f t="shared" si="424"/>
        <v>1830.3355702643344</v>
      </c>
    </row>
    <row r="131" spans="2:48" outlineLevel="1" x14ac:dyDescent="0.3">
      <c r="B131" s="46" t="s">
        <v>57</v>
      </c>
      <c r="C131" s="44"/>
      <c r="D131" s="156">
        <f>D123-D130</f>
        <v>-358.79999999999995</v>
      </c>
      <c r="E131" s="156">
        <f>E123-E130</f>
        <v>-349.4</v>
      </c>
      <c r="F131" s="156">
        <f>F123-F130</f>
        <v>-349.5</v>
      </c>
      <c r="G131" s="156">
        <f>G123-G130</f>
        <v>-309.20000000000005</v>
      </c>
      <c r="H131" s="158"/>
      <c r="I131" s="156">
        <f t="shared" ref="I131:AV131" si="425">I123-I130</f>
        <v>-330.4</v>
      </c>
      <c r="J131" s="156">
        <f t="shared" si="425"/>
        <v>-308</v>
      </c>
      <c r="K131" s="156">
        <f t="shared" si="425"/>
        <v>-337.20000000000005</v>
      </c>
      <c r="L131" s="74">
        <f t="shared" si="425"/>
        <v>-329.40000000000003</v>
      </c>
      <c r="M131" s="194">
        <f t="shared" si="425"/>
        <v>-1305.0000000000002</v>
      </c>
      <c r="N131" s="74">
        <f t="shared" si="425"/>
        <v>-355.6</v>
      </c>
      <c r="O131" s="74">
        <f t="shared" si="425"/>
        <v>-341.8</v>
      </c>
      <c r="P131" s="74">
        <f t="shared" si="425"/>
        <v>-361.3</v>
      </c>
      <c r="Q131" s="74">
        <f t="shared" si="425"/>
        <v>-370.8</v>
      </c>
      <c r="R131" s="194">
        <f t="shared" si="425"/>
        <v>-1429.4999999999998</v>
      </c>
      <c r="S131" s="74">
        <f t="shared" si="425"/>
        <v>-388.09999999999997</v>
      </c>
      <c r="T131" s="74">
        <f t="shared" si="425"/>
        <v>-361.20000000000005</v>
      </c>
      <c r="U131" s="74">
        <f t="shared" si="425"/>
        <v>-361.6</v>
      </c>
      <c r="V131" s="74">
        <f t="shared" si="425"/>
        <v>-408.49999999999994</v>
      </c>
      <c r="W131" s="194">
        <f t="shared" si="425"/>
        <v>-1519.3999999999999</v>
      </c>
      <c r="X131" s="156">
        <f t="shared" si="425"/>
        <v>-426</v>
      </c>
      <c r="Y131" s="156">
        <f t="shared" si="425"/>
        <v>-467.2</v>
      </c>
      <c r="Z131" s="74">
        <f t="shared" si="425"/>
        <v>-423.68842483887323</v>
      </c>
      <c r="AA131" s="74">
        <f t="shared" si="425"/>
        <v>-433.85035019415568</v>
      </c>
      <c r="AB131" s="194">
        <f t="shared" si="425"/>
        <v>-1750.7387750330288</v>
      </c>
      <c r="AC131" s="74">
        <f t="shared" si="425"/>
        <v>-440.26029795540597</v>
      </c>
      <c r="AD131" s="74">
        <f t="shared" si="425"/>
        <v>-444.98329095434246</v>
      </c>
      <c r="AE131" s="74">
        <f t="shared" si="425"/>
        <v>-438.80574870162252</v>
      </c>
      <c r="AF131" s="74">
        <f t="shared" si="425"/>
        <v>-441.7309006040353</v>
      </c>
      <c r="AG131" s="194">
        <f t="shared" si="425"/>
        <v>-1765.7802382154061</v>
      </c>
      <c r="AH131" s="74">
        <f t="shared" si="425"/>
        <v>-443.78060389376918</v>
      </c>
      <c r="AI131" s="74">
        <f t="shared" si="425"/>
        <v>-445.2807093038885</v>
      </c>
      <c r="AJ131" s="74">
        <f t="shared" si="425"/>
        <v>-444.71256001765153</v>
      </c>
      <c r="AK131" s="74">
        <f t="shared" si="425"/>
        <v>-445.42387929012682</v>
      </c>
      <c r="AL131" s="194">
        <f t="shared" si="425"/>
        <v>-1779.197752505436</v>
      </c>
      <c r="AM131" s="74">
        <f t="shared" si="425"/>
        <v>-446.52628433140558</v>
      </c>
      <c r="AN131" s="74">
        <f t="shared" si="425"/>
        <v>-448.23061755260903</v>
      </c>
      <c r="AO131" s="74">
        <f t="shared" si="425"/>
        <v>-448.50347493976216</v>
      </c>
      <c r="AP131" s="74">
        <f t="shared" si="425"/>
        <v>-448.75936547022422</v>
      </c>
      <c r="AQ131" s="194">
        <f t="shared" si="425"/>
        <v>-1792.0197422940012</v>
      </c>
      <c r="AR131" s="74">
        <f t="shared" si="425"/>
        <v>-449.84477737626156</v>
      </c>
      <c r="AS131" s="74">
        <f t="shared" si="425"/>
        <v>-451.7029492252492</v>
      </c>
      <c r="AT131" s="74">
        <f t="shared" si="425"/>
        <v>-452.00479519425591</v>
      </c>
      <c r="AU131" s="74">
        <f t="shared" si="425"/>
        <v>-452.08368146856748</v>
      </c>
      <c r="AV131" s="194">
        <f t="shared" si="425"/>
        <v>-1805.6362032643344</v>
      </c>
    </row>
    <row r="132" spans="2:48" ht="17.399999999999999" x14ac:dyDescent="0.45">
      <c r="B132" s="583" t="s">
        <v>14</v>
      </c>
      <c r="C132" s="584"/>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4" t="s">
        <v>408</v>
      </c>
      <c r="Y132" s="14" t="s">
        <v>452</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0</v>
      </c>
      <c r="W133" s="66"/>
      <c r="X133" s="65">
        <f>+X45+X78-X5</f>
        <v>0</v>
      </c>
      <c r="Y133" s="65">
        <f>+Y45+Y78-Y5</f>
        <v>0</v>
      </c>
      <c r="Z133" s="121">
        <f>+Z45+Z78-Z5</f>
        <v>0</v>
      </c>
      <c r="AA133" s="65">
        <f>+AA45+AA78-AA5</f>
        <v>0</v>
      </c>
      <c r="AB133" s="66"/>
      <c r="AC133" s="65">
        <f>+AC45+AC78-AC5</f>
        <v>0</v>
      </c>
      <c r="AD133" s="65">
        <f>+AD45+AD78-AD5</f>
        <v>0</v>
      </c>
      <c r="AE133" s="121">
        <f>+AE45+AE78-AE5</f>
        <v>0</v>
      </c>
      <c r="AF133" s="65">
        <f>+AF45+AF78-AF5</f>
        <v>0</v>
      </c>
      <c r="AG133" s="66"/>
      <c r="AH133" s="65">
        <f>+AH45+AH78-AH5</f>
        <v>0</v>
      </c>
      <c r="AI133" s="65">
        <f>+AI45+AI78-AI5</f>
        <v>0</v>
      </c>
      <c r="AJ133" s="121">
        <f>+AJ45+AJ78-AJ5</f>
        <v>0</v>
      </c>
      <c r="AK133" s="65">
        <f>+AK45+AK78-AK5</f>
        <v>0</v>
      </c>
      <c r="AL133" s="66"/>
      <c r="AM133" s="65">
        <f>+AM45+AM78-AM5</f>
        <v>0</v>
      </c>
      <c r="AN133" s="65">
        <f>+AN45+AN78-AN5</f>
        <v>0</v>
      </c>
      <c r="AO133" s="121">
        <f>+AO45+AO78-AO5</f>
        <v>0</v>
      </c>
      <c r="AP133" s="65">
        <f>+AP45+AP78-AP5</f>
        <v>0</v>
      </c>
      <c r="AQ133" s="66"/>
      <c r="AR133" s="65">
        <f>+AR45+AR78-AR5</f>
        <v>0</v>
      </c>
      <c r="AS133" s="65">
        <f>+AS45+AS78-AS5</f>
        <v>0</v>
      </c>
      <c r="AT133" s="121">
        <f>+AT45+AT78-AT5</f>
        <v>0</v>
      </c>
      <c r="AU133" s="65">
        <f>+AU45+AU78-AU5</f>
        <v>0</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0</v>
      </c>
      <c r="Z134" s="121">
        <f>+Z54+Z87-Z6</f>
        <v>0</v>
      </c>
      <c r="AA134" s="65">
        <f>+AA54+AA87-AA6</f>
        <v>0</v>
      </c>
      <c r="AB134" s="66"/>
      <c r="AC134" s="65">
        <f>+AC54+AC87-AC6</f>
        <v>0</v>
      </c>
      <c r="AD134" s="65">
        <f>+AD54+AD87-AD6</f>
        <v>0</v>
      </c>
      <c r="AE134" s="121">
        <f>+AE54+AE87-AE6</f>
        <v>0</v>
      </c>
      <c r="AF134" s="65">
        <f>+AF54+AF87-AF6</f>
        <v>0</v>
      </c>
      <c r="AG134" s="66"/>
      <c r="AH134" s="65">
        <f>+AH54+AH87-AH6</f>
        <v>0</v>
      </c>
      <c r="AI134" s="65">
        <f>+AI54+AI87-AI6</f>
        <v>0</v>
      </c>
      <c r="AJ134" s="121">
        <f>+AJ54+AJ87-AJ6</f>
        <v>0</v>
      </c>
      <c r="AK134" s="65">
        <f>+AK54+AK87-AK6</f>
        <v>0</v>
      </c>
      <c r="AL134" s="66"/>
      <c r="AM134" s="65">
        <f>+AM54+AM87-AM6</f>
        <v>0</v>
      </c>
      <c r="AN134" s="65">
        <f>+AN54+AN87-AN6</f>
        <v>0</v>
      </c>
      <c r="AO134" s="121">
        <f>+AO54+AO87-AO6</f>
        <v>0</v>
      </c>
      <c r="AP134" s="65">
        <f>+AP54+AP87-AP6</f>
        <v>0</v>
      </c>
      <c r="AQ134" s="66"/>
      <c r="AR134" s="65">
        <f>+AR54+AR87-AR6</f>
        <v>0</v>
      </c>
      <c r="AS134" s="65">
        <f>+AS54+AS87-AS6</f>
        <v>0</v>
      </c>
      <c r="AT134" s="121">
        <f>+AT54+AT87-AT6</f>
        <v>0</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0</v>
      </c>
      <c r="W135" s="66"/>
      <c r="X135" s="65">
        <f>+X55+X88+X108+X123-X7</f>
        <v>0</v>
      </c>
      <c r="Y135" s="65">
        <f>+Y55+Y88+Y108+Y123-Y7</f>
        <v>0</v>
      </c>
      <c r="Z135" s="121">
        <f>+Z55+Z88+Z108+Z123-Z7</f>
        <v>0</v>
      </c>
      <c r="AA135" s="65">
        <f>+AA55+AA88+AA108+AA123-AA7</f>
        <v>0</v>
      </c>
      <c r="AB135" s="66"/>
      <c r="AC135" s="65">
        <f>+AC55+AC88+AC108+AC123-AC7</f>
        <v>0</v>
      </c>
      <c r="AD135" s="65">
        <f>+AD55+AD88+AD108+AD123-AD7</f>
        <v>0</v>
      </c>
      <c r="AE135" s="121">
        <f>+AE55+AE88+AE108+AE123-AE7</f>
        <v>0</v>
      </c>
      <c r="AF135" s="65">
        <f>+AF55+AF88+AF108+AF123-AF7</f>
        <v>0</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0</v>
      </c>
      <c r="AQ135" s="66"/>
      <c r="AR135" s="65">
        <f>+AR55+AR88+AR108+AR123-AR7</f>
        <v>0</v>
      </c>
      <c r="AS135" s="65">
        <f>+AS55+AS88+AS108+AS123-AS7</f>
        <v>0</v>
      </c>
      <c r="AT135" s="121">
        <f>+AT55+AT88+AT108+AT123-AT7</f>
        <v>0</v>
      </c>
      <c r="AU135" s="65">
        <f>+AU55+AU88+AU108+AU123-AU7</f>
        <v>0</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9.9999999998544808E-2</v>
      </c>
      <c r="H137" s="66"/>
      <c r="I137" s="65">
        <f>+I71+I105+I120+I131-I17</f>
        <v>0</v>
      </c>
      <c r="J137" s="65">
        <f>+J71+J105+J120+J131-J17</f>
        <v>6.8212102632969618E-13</v>
      </c>
      <c r="K137" s="121">
        <f>+K71+K105+K120+K131-K17</f>
        <v>0</v>
      </c>
      <c r="L137" s="65">
        <f>+L71+L105+L120+L131-L17</f>
        <v>-2.0999999999996817</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2.2737367544323206E-12</v>
      </c>
      <c r="W137" s="66"/>
      <c r="X137" s="65">
        <f>+X71+X105+X120+X131-X17</f>
        <v>0</v>
      </c>
      <c r="Y137" s="65">
        <f>+Y71+Y105+Y120+Y131-Y17</f>
        <v>0</v>
      </c>
      <c r="Z137" s="121">
        <f>+Z71+Z105+Z120+Z131-Z17</f>
        <v>0</v>
      </c>
      <c r="AA137" s="65">
        <f>+AA71+AA105+AA120+AA131-AA17</f>
        <v>0</v>
      </c>
      <c r="AB137" s="66"/>
      <c r="AC137" s="65">
        <f>+AC71+AC105+AC120+AC131-AC17</f>
        <v>0</v>
      </c>
      <c r="AD137" s="65">
        <f>+AD71+AD105+AD120+AD131-AD17</f>
        <v>0</v>
      </c>
      <c r="AE137" s="121">
        <f>+AE71+AE105+AE120+AE131-AE17</f>
        <v>0</v>
      </c>
      <c r="AF137" s="65">
        <f>+AF71+AF105+AF120+AF131-AF17</f>
        <v>0</v>
      </c>
      <c r="AG137" s="66"/>
      <c r="AH137" s="65">
        <f>+AH71+AH105+AH120+AH131-AH17</f>
        <v>2.2737367544323206E-12</v>
      </c>
      <c r="AI137" s="65">
        <f>+AI71+AI105+AI120+AI131-AI17</f>
        <v>0</v>
      </c>
      <c r="AJ137" s="121">
        <f>+AJ71+AJ105+AJ120+AJ131-AJ17</f>
        <v>0</v>
      </c>
      <c r="AK137" s="65">
        <f>+AK71+AK105+AK120+AK131-AK17</f>
        <v>-2.2737367544323206E-12</v>
      </c>
      <c r="AL137" s="66"/>
      <c r="AM137" s="65">
        <f>+AM71+AM105+AM120+AM131-AM17</f>
        <v>2.9558577807620168E-12</v>
      </c>
      <c r="AN137" s="65">
        <f>+AN71+AN105+AN120+AN131-AN17</f>
        <v>0</v>
      </c>
      <c r="AO137" s="121">
        <f>+AO71+AO105+AO120+AO131-AO17</f>
        <v>0</v>
      </c>
      <c r="AP137" s="65">
        <f>+AP71+AP105+AP120+AP131-AP17</f>
        <v>0</v>
      </c>
      <c r="AQ137" s="66"/>
      <c r="AR137" s="65">
        <f>+AR71+AR105+AR120+AR131-AR17</f>
        <v>0</v>
      </c>
      <c r="AS137" s="65">
        <f>+AS71+AS105+AS120+AS131-AS17</f>
        <v>0</v>
      </c>
      <c r="AT137" s="121">
        <f>+AT71+AT105+AT120+AT131-AT17</f>
        <v>0</v>
      </c>
      <c r="AU137" s="65">
        <f>+AU71+AU105+AU120+AU131-AU17</f>
        <v>0</v>
      </c>
      <c r="AV137" s="66"/>
    </row>
    <row r="138" spans="2:48" ht="15" customHeight="1" x14ac:dyDescent="0.45">
      <c r="B138" s="583" t="s">
        <v>9</v>
      </c>
      <c r="C138" s="584"/>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4" t="s">
        <v>408</v>
      </c>
      <c r="Y138" s="14" t="s">
        <v>452</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c r="E139" s="27"/>
      <c r="F139" s="27"/>
      <c r="G139" s="27"/>
      <c r="H139" s="29"/>
      <c r="I139" s="27"/>
      <c r="J139" s="27"/>
      <c r="K139" s="27"/>
      <c r="L139" s="113"/>
      <c r="M139" s="137"/>
      <c r="N139" s="113"/>
      <c r="O139" s="113"/>
      <c r="P139" s="113"/>
      <c r="Q139" s="113"/>
      <c r="R139" s="29"/>
      <c r="S139" s="113"/>
      <c r="T139" s="113"/>
      <c r="U139" s="113"/>
      <c r="V139" s="113"/>
      <c r="W139" s="137"/>
      <c r="X139" s="113"/>
      <c r="Y139" s="113"/>
      <c r="Z139" s="113"/>
      <c r="AA139" s="113"/>
      <c r="AB139" s="406">
        <f>(AB91+AB58)/(W83+W74+W50+W41)</f>
        <v>6.8550306628209795E-2</v>
      </c>
      <c r="AC139" s="113"/>
      <c r="AD139" s="113"/>
      <c r="AE139" s="113"/>
      <c r="AF139" s="113"/>
      <c r="AG139" s="137">
        <f>(AG91+AG58)/(AB83+AB74+AB50+AB41)</f>
        <v>6.9629707277444372E-2</v>
      </c>
      <c r="AH139" s="113"/>
      <c r="AI139" s="113"/>
      <c r="AJ139" s="113"/>
      <c r="AK139" s="113"/>
      <c r="AL139" s="406">
        <f>(AL91+AL58)/(AG83+AG74+AG50+AG41)</f>
        <v>6.9654057232457864E-2</v>
      </c>
      <c r="AM139" s="113"/>
      <c r="AN139" s="113"/>
      <c r="AO139" s="113"/>
      <c r="AP139" s="113"/>
      <c r="AQ139" s="137">
        <f>(AQ91+AQ58)/(AL83+AL74+AL50+AL41)</f>
        <v>2.9134886277743421E-2</v>
      </c>
      <c r="AR139" s="113"/>
      <c r="AS139" s="113"/>
      <c r="AT139" s="113"/>
      <c r="AU139" s="113"/>
      <c r="AV139" s="137">
        <f>(AV91+AV58)/(AQ83+AQ74+AQ50+AQ41)</f>
        <v>2.8310075449021834E-2</v>
      </c>
    </row>
    <row r="140" spans="2:48" s="23" customFormat="1" outlineLevel="1" x14ac:dyDescent="0.3">
      <c r="B140" s="580" t="s">
        <v>17</v>
      </c>
      <c r="C140" s="581"/>
      <c r="D140" s="30"/>
      <c r="E140" s="30"/>
      <c r="F140" s="30"/>
      <c r="G140" s="30"/>
      <c r="H140" s="137"/>
      <c r="I140" s="30">
        <f t="shared" ref="I140:AV140" si="426">I8/D8-1</f>
        <v>7.0016735266180907E-2</v>
      </c>
      <c r="J140" s="30">
        <f t="shared" si="426"/>
        <v>-4.9192026514851106E-2</v>
      </c>
      <c r="K140" s="30">
        <f t="shared" si="426"/>
        <v>-0.38119595485856661</v>
      </c>
      <c r="L140" s="113">
        <f t="shared" si="426"/>
        <v>-8.061360604713208E-2</v>
      </c>
      <c r="M140" s="128">
        <f t="shared" si="426"/>
        <v>-0.11281621813298315</v>
      </c>
      <c r="N140" s="30">
        <f t="shared" si="426"/>
        <v>-4.8991841738174613E-2</v>
      </c>
      <c r="O140" s="30">
        <f t="shared" si="426"/>
        <v>0.11213036009139876</v>
      </c>
      <c r="P140" s="30">
        <f t="shared" si="426"/>
        <v>0.77553823926482068</v>
      </c>
      <c r="Q140" s="30">
        <f t="shared" si="426"/>
        <v>0.31332720736405983</v>
      </c>
      <c r="R140" s="128">
        <f t="shared" si="426"/>
        <v>0.23567480227910509</v>
      </c>
      <c r="S140" s="30">
        <f t="shared" si="426"/>
        <v>0.19275787477405393</v>
      </c>
      <c r="T140" s="30">
        <f t="shared" si="426"/>
        <v>0.14511097780443905</v>
      </c>
      <c r="U140" s="30">
        <f t="shared" si="426"/>
        <v>8.7187354098579473E-2</v>
      </c>
      <c r="V140" s="30">
        <f t="shared" si="426"/>
        <v>3.2835381197294566E-2</v>
      </c>
      <c r="W140" s="28">
        <f t="shared" si="426"/>
        <v>0.10976029400631782</v>
      </c>
      <c r="X140" s="30">
        <f t="shared" si="426"/>
        <v>8.241826493093507E-2</v>
      </c>
      <c r="Y140" s="30">
        <f t="shared" si="426"/>
        <v>0.14199277070564187</v>
      </c>
      <c r="Z140" s="30">
        <f t="shared" si="426"/>
        <v>0.1420194889458104</v>
      </c>
      <c r="AA140" s="30">
        <f t="shared" si="426"/>
        <v>0.11849704013725915</v>
      </c>
      <c r="AB140" s="406">
        <f t="shared" si="426"/>
        <v>0.1209982800774001</v>
      </c>
      <c r="AC140" s="30">
        <f t="shared" si="426"/>
        <v>0.12034694507545973</v>
      </c>
      <c r="AD140" s="30">
        <f t="shared" si="426"/>
        <v>0.10211101362187569</v>
      </c>
      <c r="AE140" s="30">
        <f t="shared" si="426"/>
        <v>0.10205479614099411</v>
      </c>
      <c r="AF140" s="30">
        <f t="shared" si="426"/>
        <v>0.10175635267304894</v>
      </c>
      <c r="AG140" s="137">
        <f t="shared" si="426"/>
        <v>0.10639964917786005</v>
      </c>
      <c r="AH140" s="30">
        <f t="shared" si="426"/>
        <v>0.11323619192082668</v>
      </c>
      <c r="AI140" s="30">
        <f t="shared" si="426"/>
        <v>0.11395744405289099</v>
      </c>
      <c r="AJ140" s="30">
        <f t="shared" si="426"/>
        <v>0.11467364977908545</v>
      </c>
      <c r="AK140" s="30">
        <f t="shared" si="426"/>
        <v>0.11679621074074231</v>
      </c>
      <c r="AL140" s="406">
        <f t="shared" si="426"/>
        <v>0.11470096199069157</v>
      </c>
      <c r="AM140" s="30">
        <f t="shared" si="426"/>
        <v>9.7944633862228292E-2</v>
      </c>
      <c r="AN140" s="30">
        <f t="shared" si="426"/>
        <v>9.3952155238871349E-2</v>
      </c>
      <c r="AO140" s="30">
        <f t="shared" si="426"/>
        <v>9.0170965301978878E-2</v>
      </c>
      <c r="AP140" s="30">
        <f t="shared" si="426"/>
        <v>8.6610311618794622E-2</v>
      </c>
      <c r="AQ140" s="28">
        <f t="shared" si="426"/>
        <v>9.2048895967126176E-2</v>
      </c>
      <c r="AR140" s="30">
        <f t="shared" si="426"/>
        <v>6.404783573387629E-2</v>
      </c>
      <c r="AS140" s="30">
        <f t="shared" si="426"/>
        <v>6.3862149014960012E-2</v>
      </c>
      <c r="AT140" s="30">
        <f t="shared" si="426"/>
        <v>6.3735275141955761E-2</v>
      </c>
      <c r="AU140" s="30">
        <f t="shared" si="426"/>
        <v>6.3692447829102994E-2</v>
      </c>
      <c r="AV140" s="28">
        <f t="shared" si="426"/>
        <v>6.3831320793827029E-2</v>
      </c>
    </row>
    <row r="141" spans="2:48" s="23" customFormat="1" outlineLevel="1" x14ac:dyDescent="0.3">
      <c r="B141" s="580" t="s">
        <v>4</v>
      </c>
      <c r="C141" s="581"/>
      <c r="D141" s="27">
        <f t="shared" ref="D141:AV141" si="427">D17/D8</f>
        <v>0.15313522396610738</v>
      </c>
      <c r="E141" s="27">
        <f t="shared" si="427"/>
        <v>0.13601547756862614</v>
      </c>
      <c r="F141" s="27">
        <f t="shared" si="427"/>
        <v>0.16434119888612064</v>
      </c>
      <c r="G141" s="27">
        <f t="shared" si="427"/>
        <v>0.16054542759745088</v>
      </c>
      <c r="H141" s="29">
        <f t="shared" si="427"/>
        <v>0.15383309567461143</v>
      </c>
      <c r="I141" s="27">
        <f t="shared" si="427"/>
        <v>0.1718730185568752</v>
      </c>
      <c r="J141" s="27">
        <f t="shared" si="427"/>
        <v>8.1291592307820446E-2</v>
      </c>
      <c r="K141" s="27">
        <f t="shared" si="427"/>
        <v>-0.16671798394164022</v>
      </c>
      <c r="L141" s="113">
        <f t="shared" si="427"/>
        <v>9.0003385404072211E-2</v>
      </c>
      <c r="M141" s="137">
        <f t="shared" si="427"/>
        <v>6.6400204098988183E-2</v>
      </c>
      <c r="N141" s="27">
        <f t="shared" si="427"/>
        <v>0.13534536403235845</v>
      </c>
      <c r="O141" s="27">
        <f t="shared" si="427"/>
        <v>0.14811037792441512</v>
      </c>
      <c r="P141" s="27">
        <f t="shared" si="427"/>
        <v>0.19858600680317468</v>
      </c>
      <c r="Q141" s="27">
        <f t="shared" si="427"/>
        <v>0.18193869910515911</v>
      </c>
      <c r="R141" s="137">
        <f t="shared" si="427"/>
        <v>0.16764966999993108</v>
      </c>
      <c r="S141" s="27">
        <f t="shared" si="427"/>
        <v>0.14630328927755143</v>
      </c>
      <c r="T141" s="27">
        <f t="shared" si="427"/>
        <v>0.12427314159987431</v>
      </c>
      <c r="U141" s="27">
        <f t="shared" si="427"/>
        <v>0.15895510484533926</v>
      </c>
      <c r="V141" s="27">
        <f t="shared" si="427"/>
        <v>0.14208124361198912</v>
      </c>
      <c r="W141" s="137">
        <f t="shared" si="427"/>
        <v>0.14318316418761981</v>
      </c>
      <c r="X141" s="27">
        <f t="shared" si="427"/>
        <v>0.1438047257829444</v>
      </c>
      <c r="Y141" s="27">
        <f t="shared" si="427"/>
        <v>0.15223973026904294</v>
      </c>
      <c r="Z141" s="27">
        <f t="shared" si="427"/>
        <v>0.15992207331724684</v>
      </c>
      <c r="AA141" s="27">
        <f t="shared" si="427"/>
        <v>0.17420790429113522</v>
      </c>
      <c r="AB141" s="137">
        <f t="shared" si="427"/>
        <v>0.15790324338201289</v>
      </c>
      <c r="AC141" s="27">
        <f t="shared" si="427"/>
        <v>0.1541656440983897</v>
      </c>
      <c r="AD141" s="27">
        <f t="shared" si="427"/>
        <v>0.15529965254071865</v>
      </c>
      <c r="AE141" s="27">
        <f t="shared" si="427"/>
        <v>0.16387577170763126</v>
      </c>
      <c r="AF141" s="27">
        <f t="shared" si="427"/>
        <v>0.16294584752517161</v>
      </c>
      <c r="AG141" s="137">
        <f t="shared" si="427"/>
        <v>0.15920426153778516</v>
      </c>
      <c r="AH141" s="27">
        <f t="shared" si="427"/>
        <v>0.16031712959353384</v>
      </c>
      <c r="AI141" s="27">
        <f t="shared" si="427"/>
        <v>0.16326195174038308</v>
      </c>
      <c r="AJ141" s="27">
        <f t="shared" si="427"/>
        <v>0.17793955383234852</v>
      </c>
      <c r="AK141" s="27">
        <f t="shared" si="427"/>
        <v>0.17154676552576642</v>
      </c>
      <c r="AL141" s="29">
        <f t="shared" si="427"/>
        <v>0.16845970824353432</v>
      </c>
      <c r="AM141" s="27">
        <f t="shared" si="427"/>
        <v>0.16275721719609021</v>
      </c>
      <c r="AN141" s="27">
        <f t="shared" si="427"/>
        <v>0.16585873776649665</v>
      </c>
      <c r="AO141" s="27">
        <f t="shared" si="427"/>
        <v>0.17961744717926195</v>
      </c>
      <c r="AP141" s="27">
        <f t="shared" si="427"/>
        <v>0.17281907507666069</v>
      </c>
      <c r="AQ141" s="29">
        <f t="shared" si="427"/>
        <v>0.1704195237554651</v>
      </c>
      <c r="AR141" s="27">
        <f t="shared" si="427"/>
        <v>0.16205052801352363</v>
      </c>
      <c r="AS141" s="27">
        <f t="shared" si="427"/>
        <v>0.16541499261173362</v>
      </c>
      <c r="AT141" s="27">
        <f t="shared" si="427"/>
        <v>0.17921268008206107</v>
      </c>
      <c r="AU141" s="27">
        <f t="shared" si="427"/>
        <v>0.17252041757213543</v>
      </c>
      <c r="AV141" s="29">
        <f t="shared" si="427"/>
        <v>0.16995808580868926</v>
      </c>
    </row>
    <row r="142" spans="2:48" s="23" customFormat="1" outlineLevel="1" x14ac:dyDescent="0.3">
      <c r="B142" s="580" t="s">
        <v>77</v>
      </c>
      <c r="C142" s="581"/>
      <c r="D142" s="27">
        <f t="shared" ref="D142:AV142" si="428">+D19/D8</f>
        <v>0.17394123056975294</v>
      </c>
      <c r="E142" s="27">
        <f t="shared" si="428"/>
        <v>0.15843892227913536</v>
      </c>
      <c r="F142" s="27">
        <f t="shared" si="428"/>
        <v>0.18270555474131628</v>
      </c>
      <c r="G142" s="27">
        <f t="shared" si="428"/>
        <v>0.17201719282644154</v>
      </c>
      <c r="H142" s="29">
        <f t="shared" si="428"/>
        <v>0.17201964645435841</v>
      </c>
      <c r="I142" s="27">
        <f t="shared" si="428"/>
        <v>0.1819616463062376</v>
      </c>
      <c r="J142" s="27">
        <f t="shared" si="428"/>
        <v>9.2432910252347358E-2</v>
      </c>
      <c r="K142" s="27">
        <f t="shared" si="428"/>
        <v>-0.12558205632268285</v>
      </c>
      <c r="L142" s="113">
        <f t="shared" si="428"/>
        <v>0.13183730715287523</v>
      </c>
      <c r="M142" s="137">
        <f t="shared" si="428"/>
        <v>9.0704141508631861E-2</v>
      </c>
      <c r="N142" s="27">
        <f t="shared" si="428"/>
        <v>0.15533232583637069</v>
      </c>
      <c r="O142" s="27">
        <f t="shared" si="428"/>
        <v>0.1613377324535093</v>
      </c>
      <c r="P142" s="27">
        <f t="shared" si="428"/>
        <v>0.20548255852731262</v>
      </c>
      <c r="Q142" s="27">
        <f t="shared" si="428"/>
        <v>0.19607939411049871</v>
      </c>
      <c r="R142" s="137">
        <f t="shared" si="428"/>
        <v>0.18106990220435909</v>
      </c>
      <c r="S142" s="27">
        <f t="shared" si="428"/>
        <v>0.15067574282023255</v>
      </c>
      <c r="T142" s="27">
        <f t="shared" si="428"/>
        <v>0.13049400178113052</v>
      </c>
      <c r="U142" s="27">
        <f t="shared" si="428"/>
        <v>0.16846419062342788</v>
      </c>
      <c r="V142" s="27">
        <f t="shared" si="428"/>
        <v>0.15124432506952518</v>
      </c>
      <c r="W142" s="137">
        <f t="shared" si="428"/>
        <v>0.15054123527533064</v>
      </c>
      <c r="X142" s="27">
        <f t="shared" si="428"/>
        <v>0.14450475676792243</v>
      </c>
      <c r="Y142" s="27">
        <f t="shared" si="428"/>
        <v>0.14278997224706994</v>
      </c>
      <c r="Z142" s="420">
        <f t="shared" si="428"/>
        <v>0.16068489300954306</v>
      </c>
      <c r="AA142" s="420">
        <f t="shared" si="428"/>
        <v>0.17496231992340908</v>
      </c>
      <c r="AB142" s="137">
        <f t="shared" si="428"/>
        <v>0.15618552131468069</v>
      </c>
      <c r="AC142" s="27">
        <f t="shared" si="428"/>
        <v>0.15489291002830965</v>
      </c>
      <c r="AD142" s="27">
        <f t="shared" si="428"/>
        <v>0.15603845185278936</v>
      </c>
      <c r="AE142" s="27">
        <f t="shared" si="428"/>
        <v>0.16456795116637263</v>
      </c>
      <c r="AF142" s="27">
        <f t="shared" si="428"/>
        <v>0.16363058660604327</v>
      </c>
      <c r="AG142" s="137">
        <f t="shared" si="428"/>
        <v>0.15991427667123595</v>
      </c>
      <c r="AH142" s="27">
        <f t="shared" si="428"/>
        <v>0.1609704194660676</v>
      </c>
      <c r="AI142" s="27">
        <f t="shared" si="428"/>
        <v>0.16392517214975774</v>
      </c>
      <c r="AJ142" s="27">
        <f t="shared" si="428"/>
        <v>0.17856052433692496</v>
      </c>
      <c r="AK142" s="27">
        <f t="shared" si="428"/>
        <v>0.1721598935739154</v>
      </c>
      <c r="AL142" s="406">
        <f t="shared" si="428"/>
        <v>0.16909666394525258</v>
      </c>
      <c r="AM142" s="27">
        <f t="shared" si="428"/>
        <v>0.16335222886825049</v>
      </c>
      <c r="AN142" s="27">
        <f t="shared" si="428"/>
        <v>0.16646499865843653</v>
      </c>
      <c r="AO142" s="27">
        <f t="shared" si="428"/>
        <v>0.18018705554743605</v>
      </c>
      <c r="AP142" s="27">
        <f t="shared" si="428"/>
        <v>0.17338333260449104</v>
      </c>
      <c r="AQ142" s="29">
        <f t="shared" si="428"/>
        <v>0.17100279040595162</v>
      </c>
      <c r="AR142" s="27">
        <f t="shared" si="428"/>
        <v>0.1626097243693434</v>
      </c>
      <c r="AS142" s="27">
        <f t="shared" si="428"/>
        <v>0.1659848605147333</v>
      </c>
      <c r="AT142" s="27">
        <f t="shared" si="428"/>
        <v>0.17974815952086981</v>
      </c>
      <c r="AU142" s="27">
        <f t="shared" si="428"/>
        <v>0.17305088813153627</v>
      </c>
      <c r="AV142" s="29">
        <f t="shared" si="428"/>
        <v>0.17050635566979028</v>
      </c>
    </row>
    <row r="143" spans="2:48" s="23" customFormat="1" outlineLevel="1" x14ac:dyDescent="0.3">
      <c r="B143" s="580" t="s">
        <v>2</v>
      </c>
      <c r="C143" s="581"/>
      <c r="D143" s="27">
        <f t="shared" ref="D143:K143" si="429">D24/D23</f>
        <v>0.2124287933713101</v>
      </c>
      <c r="E143" s="27">
        <f t="shared" si="429"/>
        <v>0.1965853658536586</v>
      </c>
      <c r="F143" s="27">
        <f t="shared" si="429"/>
        <v>0.18110799689903978</v>
      </c>
      <c r="G143" s="118">
        <f t="shared" si="429"/>
        <v>0.20083682008368189</v>
      </c>
      <c r="H143" s="137">
        <f t="shared" si="429"/>
        <v>0.19515471765706843</v>
      </c>
      <c r="I143" s="118">
        <f t="shared" si="429"/>
        <v>0.22600104913446431</v>
      </c>
      <c r="J143" s="118">
        <f t="shared" si="429"/>
        <v>0.16760635571501836</v>
      </c>
      <c r="K143" s="118">
        <f t="shared" si="429"/>
        <v>0.16490147783251249</v>
      </c>
      <c r="L143" s="118">
        <v>0.25</v>
      </c>
      <c r="M143" s="137">
        <f t="shared" ref="M143:V143" si="430">M24/M23</f>
        <v>0.20585709378220463</v>
      </c>
      <c r="N143" s="118">
        <f t="shared" si="430"/>
        <v>0.23023629840405785</v>
      </c>
      <c r="O143" s="118">
        <f t="shared" si="430"/>
        <v>0.25901786717608721</v>
      </c>
      <c r="P143" s="118">
        <f t="shared" si="430"/>
        <v>0.18217246510309659</v>
      </c>
      <c r="Q143" s="118">
        <f t="shared" si="430"/>
        <v>0.21489588894821143</v>
      </c>
      <c r="R143" s="137">
        <f t="shared" si="430"/>
        <v>0.21591906068581893</v>
      </c>
      <c r="S143" s="118">
        <f>S24/S23</f>
        <v>0.23183358433734938</v>
      </c>
      <c r="T143" s="118">
        <f t="shared" si="430"/>
        <v>0.22954000684853323</v>
      </c>
      <c r="U143" s="118">
        <f t="shared" si="430"/>
        <v>0.23360174467371256</v>
      </c>
      <c r="V143" s="118">
        <f t="shared" si="430"/>
        <v>0.20223392662549969</v>
      </c>
      <c r="W143" s="137">
        <f>W24/W23</f>
        <v>0.22415463503390937</v>
      </c>
      <c r="X143" s="113">
        <f>X24/X23</f>
        <v>0.24651982378854645</v>
      </c>
      <c r="Y143" s="113">
        <f>Y24/Y23</f>
        <v>0.24909060846560835</v>
      </c>
      <c r="Z143" s="35">
        <v>0.25</v>
      </c>
      <c r="AA143" s="35">
        <v>0.25</v>
      </c>
      <c r="AB143" s="406">
        <f>AB24/AB23</f>
        <v>0.24903173807893308</v>
      </c>
      <c r="AC143" s="34">
        <f>AVERAGE(X143,Y143,Z143,AA143)</f>
        <v>0.2489026080635387</v>
      </c>
      <c r="AD143" s="34">
        <f>AVERAGE(Y143,Z143,AA143,AC143)</f>
        <v>0.24949830413228677</v>
      </c>
      <c r="AE143" s="34">
        <f>AVERAGE(Z143,AA143,AC143,AD143)</f>
        <v>0.24960022804895637</v>
      </c>
      <c r="AF143" s="34">
        <f>AVERAGE(AA143,AC143,AD143,AE143)</f>
        <v>0.24950028506119548</v>
      </c>
      <c r="AG143" s="29">
        <f>AG24/AG23</f>
        <v>0.24938568418024484</v>
      </c>
      <c r="AH143" s="34">
        <f>AVERAGE(AC143,AD143,AE143,AF143)</f>
        <v>0.24937535632649435</v>
      </c>
      <c r="AI143" s="34">
        <f>AVERAGE(AD143,AE143,AF143,AH143)</f>
        <v>0.24949354339223323</v>
      </c>
      <c r="AJ143" s="34">
        <f>AVERAGE(AE143,AF143,AH143,AI143)</f>
        <v>0.24949235320721985</v>
      </c>
      <c r="AK143" s="34">
        <f>AVERAGE(AF143,AH143,AI143,AJ143)</f>
        <v>0.24946538449678571</v>
      </c>
      <c r="AL143" s="29">
        <f>AL24/AL23</f>
        <v>0.24945842486531036</v>
      </c>
      <c r="AM143" s="34">
        <f>AVERAGE(AH143,AI143,AJ143,AK143)</f>
        <v>0.24945665935568329</v>
      </c>
      <c r="AN143" s="34">
        <f>AVERAGE(AI143,AJ143,AK143,AM143)</f>
        <v>0.24947698511298053</v>
      </c>
      <c r="AO143" s="34">
        <f>AVERAGE(AJ143,AK143,AM143,AN143)</f>
        <v>0.24947284554316734</v>
      </c>
      <c r="AP143" s="34">
        <f>AVERAGE(AK143,AM143,AN143,AO143)</f>
        <v>0.2494679686271542</v>
      </c>
      <c r="AQ143" s="29">
        <f>AQ24/AQ23</f>
        <v>0.24946876972048257</v>
      </c>
      <c r="AR143" s="34">
        <f>AVERAGE(AM143,AN143,AO143,AP143)</f>
        <v>0.24946861465974635</v>
      </c>
      <c r="AS143" s="34">
        <f>AVERAGE(AN143,AO143,AP143,AR143)</f>
        <v>0.24947160348576211</v>
      </c>
      <c r="AT143" s="34">
        <f>AVERAGE(AO143,AP143,AR143,AS143)</f>
        <v>0.24947025807895751</v>
      </c>
      <c r="AU143" s="34">
        <f>AVERAGE(AP143,AR143,AS143,AT143)</f>
        <v>0.24946961121290503</v>
      </c>
      <c r="AV143" s="29">
        <f>AV24/AV23</f>
        <v>0.24947001933428464</v>
      </c>
    </row>
    <row r="144" spans="2:48" s="23" customFormat="1" outlineLevel="1" x14ac:dyDescent="0.3">
      <c r="B144" s="580" t="s">
        <v>78</v>
      </c>
      <c r="C144" s="581"/>
      <c r="D144" s="27"/>
      <c r="E144" s="27">
        <f>+E21/(('BS (Adjusted)'!E6+'BS (Adjusted)'!E7+'BS (Adjusted)'!E12)+('BS (Adjusted)'!D6+'BS (Adjusted)'!D7+'BS (Adjusted)'!D12)/2)</f>
        <v>3.0327214684756584E-3</v>
      </c>
      <c r="F144" s="27">
        <f>+F21/(('BS (Adjusted)'!F6+'BS (Adjusted)'!F7+'BS (Adjusted)'!F12)+('BS (Adjusted)'!E6+'BS (Adjusted)'!E7+'BS (Adjusted)'!E12)/2)</f>
        <v>6.4321029136466161E-3</v>
      </c>
      <c r="G144" s="27">
        <f>+G21/(('BS (Adjusted)'!G6+'BS (Adjusted)'!G7+'BS (Adjusted)'!G12)+('BS (Adjusted)'!F6+'BS (Adjusted)'!F7+'BS (Adjusted)'!F12)/2)</f>
        <v>2.9603261807251862E-3</v>
      </c>
      <c r="H144" s="29"/>
      <c r="I144" s="27">
        <f>+I21/(('BS (Adjusted)'!I6+'BS (Adjusted)'!I7+'BS (Adjusted)'!I12)+('BS (Adjusted)'!G6+'BS (Adjusted)'!G7+'BS (Adjusted)'!G12)/2)</f>
        <v>3.3143988743550958E-3</v>
      </c>
      <c r="J144" s="27">
        <f>+J21/(('BS (Adjusted)'!J6+'BS (Adjusted)'!J7+'BS (Adjusted)'!J12)+('BS (Adjusted)'!I6+'BS (Adjusted)'!I7+'BS (Adjusted)'!I12)/2)</f>
        <v>4.4659305324505627E-4</v>
      </c>
      <c r="K144" s="27">
        <f>+K21/(('BS (Adjusted)'!K6+'BS (Adjusted)'!K7+'BS (Adjusted)'!K12)+('BS (Adjusted)'!J6+'BS (Adjusted)'!J7+'BS (Adjusted)'!J12)/2)</f>
        <v>2.1779393606804753E-3</v>
      </c>
      <c r="L144" s="27">
        <f>+L21/(('BS (Adjusted)'!L6+'BS (Adjusted)'!L7+'BS (Adjusted)'!L12)+('BS (Adjusted)'!K6+'BS (Adjusted)'!K7+'BS (Adjusted)'!K12)/2)</f>
        <v>1.2911830642186198E-3</v>
      </c>
      <c r="M144" s="29"/>
      <c r="N144" s="27">
        <f>+N21/(('BS (Adjusted)'!N6+'BS (Adjusted)'!N7+'BS (Adjusted)'!N12)+('BS (Adjusted)'!L6+'BS (Adjusted)'!L7+'BS (Adjusted)'!L12)/2)</f>
        <v>1.9686289451959073E-3</v>
      </c>
      <c r="O144" s="27">
        <f>+O21/(('BS (Adjusted)'!O6+'BS (Adjusted)'!O7+'BS (Adjusted)'!O12)+('BS (Adjusted)'!N6+'BS (Adjusted)'!N7+'BS (Adjusted)'!N12)/2)</f>
        <v>2.465933063458573E-3</v>
      </c>
      <c r="P144" s="27">
        <f>+P21/(('BS (Adjusted)'!P6+'BS (Adjusted)'!P7+'BS (Adjusted)'!P12)+('BS (Adjusted)'!O6+'BS (Adjusted)'!O7+'BS (Adjusted)'!O12)/2)</f>
        <v>4.9067713444553383E-3</v>
      </c>
      <c r="Q144" s="27">
        <f>+Q21/(('BS (Adjusted)'!Q6+'BS (Adjusted)'!Q7+'BS (Adjusted)'!Q12)+('BS (Adjusted)'!P6+'BS (Adjusted)'!P7+'BS (Adjusted)'!P12)/2)</f>
        <v>2.2641350477574504E-3</v>
      </c>
      <c r="R144" s="137"/>
      <c r="S144" s="27">
        <f>+S21/(('BS (Adjusted)'!S6+'BS (Adjusted)'!S7+'BS (Adjusted)'!S12)+('BS (Adjusted)'!Q6+'BS (Adjusted)'!Q7+'BS (Adjusted)'!Q12)/2)</f>
        <v>-1.2810330250313835E-5</v>
      </c>
      <c r="T144" s="27">
        <f>+T21/(('BS (Adjusted)'!T6+'BS (Adjusted)'!T7+'BS (Adjusted)'!T12)+('BS (Adjusted)'!S6+'BS (Adjusted)'!S7+'BS (Adjusted)'!S12)/2)</f>
        <v>7.1679593764030023E-3</v>
      </c>
      <c r="U144" s="27">
        <f>+U21/(('BS (Adjusted)'!U6+'BS (Adjusted)'!U7+'BS (Adjusted)'!U12)+('BS (Adjusted)'!T6+'BS (Adjusted)'!T7+'BS (Adjusted)'!T12)/2)</f>
        <v>3.4813492865871276E-3</v>
      </c>
      <c r="V144" s="27">
        <f>+V21/(('BS (Adjusted)'!V6+'BS (Adjusted)'!V7+'BS (Adjusted)'!V12)+('BS (Adjusted)'!U6+'BS (Adjusted)'!U7+'BS (Adjusted)'!U12)/2)</f>
        <v>5.9212851098780295E-3</v>
      </c>
      <c r="W144" s="137"/>
      <c r="X144" s="27">
        <f>+X21/(('BS (Adjusted)'!X6+'BS (Adjusted)'!X7+'BS (Adjusted)'!X12)+('BS (Adjusted)'!V6+'BS (Adjusted)'!V7+'BS (Adjusted)'!V12)/2)</f>
        <v>2.1784651210832182E-3</v>
      </c>
      <c r="Y144" s="27">
        <f>+Y21/(('BS (Adjusted)'!Y6+'BS (Adjusted)'!Y7+'BS (Adjusted)'!Y12)+('BS (Adjusted)'!X6+'BS (Adjusted)'!X7+'BS (Adjusted)'!X12)/2)</f>
        <v>3.3459108060189952E-3</v>
      </c>
      <c r="Z144" s="35">
        <v>7.1784651210832183E-3</v>
      </c>
      <c r="AA144" s="35">
        <f>Z144-0.5%</f>
        <v>2.1784651210832182E-3</v>
      </c>
      <c r="AB144" s="137"/>
      <c r="AC144" s="35">
        <f>AA144</f>
        <v>2.1784651210832182E-3</v>
      </c>
      <c r="AD144" s="35">
        <f>AC144</f>
        <v>2.1784651210832182E-3</v>
      </c>
      <c r="AE144" s="35">
        <f>AD144</f>
        <v>2.1784651210832182E-3</v>
      </c>
      <c r="AF144" s="35">
        <f>AE144</f>
        <v>2.1784651210832182E-3</v>
      </c>
      <c r="AG144" s="29"/>
      <c r="AH144" s="35">
        <f>AF144</f>
        <v>2.1784651210832182E-3</v>
      </c>
      <c r="AI144" s="35">
        <f>AH144</f>
        <v>2.1784651210832182E-3</v>
      </c>
      <c r="AJ144" s="35">
        <f>AI144</f>
        <v>2.1784651210832182E-3</v>
      </c>
      <c r="AK144" s="35">
        <f>AJ144</f>
        <v>2.1784651210832182E-3</v>
      </c>
      <c r="AL144" s="29"/>
      <c r="AM144" s="35">
        <f>AK144</f>
        <v>2.1784651210832182E-3</v>
      </c>
      <c r="AN144" s="35">
        <f t="shared" ref="AN144:AP145" si="431">AM144</f>
        <v>2.1784651210832182E-3</v>
      </c>
      <c r="AO144" s="35">
        <f t="shared" si="431"/>
        <v>2.1784651210832182E-3</v>
      </c>
      <c r="AP144" s="35">
        <f t="shared" si="431"/>
        <v>2.1784651210832182E-3</v>
      </c>
      <c r="AQ144" s="29"/>
      <c r="AR144" s="35">
        <f>AP144</f>
        <v>2.1784651210832182E-3</v>
      </c>
      <c r="AS144" s="35">
        <f t="shared" ref="AS144:AU145" si="432">AR144</f>
        <v>2.1784651210832182E-3</v>
      </c>
      <c r="AT144" s="35">
        <f t="shared" si="432"/>
        <v>2.1784651210832182E-3</v>
      </c>
      <c r="AU144" s="35">
        <f t="shared" si="432"/>
        <v>2.1784651210832182E-3</v>
      </c>
      <c r="AV144" s="29"/>
    </row>
    <row r="145" spans="2:48" s="23" customFormat="1" outlineLevel="1" x14ac:dyDescent="0.3">
      <c r="B145" s="580" t="s">
        <v>79</v>
      </c>
      <c r="C145" s="581"/>
      <c r="D145" s="27"/>
      <c r="E145" s="215">
        <f>-E22/(((('BS (Adjusted)'!E28+'BS (Adjusted)'!E31)+('BS (Adjusted)'!D28+'BS (Adjusted)'!D31))/2))</f>
        <v>8.0557251242696429E-3</v>
      </c>
      <c r="F145" s="215">
        <f>-F22/(((('BS (Adjusted)'!F28+'BS (Adjusted)'!F31)+('BS (Adjusted)'!E28+'BS (Adjusted)'!E31))/2))</f>
        <v>8.4807318557490342E-3</v>
      </c>
      <c r="G145" s="215">
        <f>-G22/(((('BS (Adjusted)'!G28+'BS (Adjusted)'!G31)+('BS (Adjusted)'!F28+'BS (Adjusted)'!F31))/2))</f>
        <v>8.572925858076421E-3</v>
      </c>
      <c r="H145" s="29"/>
      <c r="I145" s="215">
        <f>-I22/(((('BS (Adjusted)'!I28+'BS (Adjusted)'!I31)+('BS (Adjusted)'!G28+'BS (Adjusted)'!G31))/2))</f>
        <v>8.0554679008449908E-3</v>
      </c>
      <c r="J145" s="215">
        <f>-J22/(((('BS (Adjusted)'!J28+'BS (Adjusted)'!J31)+('BS (Adjusted)'!I28+'BS (Adjusted)'!I31))/2))</f>
        <v>7.730372102084551E-3</v>
      </c>
      <c r="K145" s="215">
        <f>-K22/(((('BS (Adjusted)'!K28+'BS (Adjusted)'!K31)+('BS (Adjusted)'!J28+'BS (Adjusted)'!J31))/2))</f>
        <v>7.8322294946980078E-3</v>
      </c>
      <c r="L145" s="215">
        <f>-L22/(((('BS (Adjusted)'!L28+'BS (Adjusted)'!L31)+('BS (Adjusted)'!K28+'BS (Adjusted)'!K31))/2))</f>
        <v>7.5346594333936109E-3</v>
      </c>
      <c r="M145" s="29"/>
      <c r="N145" s="215">
        <f>-N22/(((('BS (Adjusted)'!N28+'BS (Adjusted)'!N31)+('BS (Adjusted)'!L28+'BS (Adjusted)'!L31))/2))</f>
        <v>7.481930548840208E-3</v>
      </c>
      <c r="O145" s="215">
        <f>-O22/(((('BS (Adjusted)'!O28+'BS (Adjusted)'!O31)+('BS (Adjusted)'!N28+'BS (Adjusted)'!N31))/2))</f>
        <v>7.5250206938069089E-3</v>
      </c>
      <c r="P145" s="215">
        <f>-P22/(((('BS (Adjusted)'!P28+'BS (Adjusted)'!P31)+('BS (Adjusted)'!O28+'BS (Adjusted)'!O31))/2))</f>
        <v>7.7494216976973845E-3</v>
      </c>
      <c r="Q145" s="215">
        <f>-Q22/(((('BS (Adjusted)'!Q28+'BS (Adjusted)'!Q31)+('BS (Adjusted)'!P28+'BS (Adjusted)'!P31))/2))</f>
        <v>8.2506952544819535E-3</v>
      </c>
      <c r="R145" s="29"/>
      <c r="S145" s="215">
        <f>-S22/(((('BS (Adjusted)'!S28+'BS (Adjusted)'!S31)+('BS (Adjusted)'!Q28+'BS (Adjusted)'!Q31))/2))</f>
        <v>7.8431639309692741E-3</v>
      </c>
      <c r="T145" s="215">
        <f>-T22/(((('BS (Adjusted)'!T28+'BS (Adjusted)'!T31)+('BS (Adjusted)'!S28+'BS (Adjusted)'!S31))/2))</f>
        <v>7.7341177845746236E-3</v>
      </c>
      <c r="U145" s="215">
        <f>-U22/(((('BS (Adjusted)'!U28+'BS (Adjusted)'!U31)+('BS (Adjusted)'!T28+'BS (Adjusted)'!T31))/2))</f>
        <v>7.9054937080361813E-3</v>
      </c>
      <c r="V145" s="215">
        <f>-V22/(((('BS (Adjusted)'!V28+'BS (Adjusted)'!V31)+('BS (Adjusted)'!U28+'BS (Adjusted)'!U31))/2))</f>
        <v>8.3052184345359225E-3</v>
      </c>
      <c r="W145" s="137"/>
      <c r="X145" s="215">
        <f>-X22/(((('BS (Adjusted)'!X28+'BS (Adjusted)'!X31)+('BS (Adjusted)'!V28+'BS (Adjusted)'!V31))/2))</f>
        <v>8.6553508687049335E-3</v>
      </c>
      <c r="Y145" s="215">
        <f>-Y22/(((('BS (Adjusted)'!Y28+'BS (Adjusted)'!Y31)+('BS (Adjusted)'!X28+'BS (Adjusted)'!X31))/2))</f>
        <v>8.9634785925431504E-3</v>
      </c>
      <c r="Z145" s="35">
        <v>9.386305775157441E-3</v>
      </c>
      <c r="AA145" s="35">
        <f>Z145</f>
        <v>9.386305775157441E-3</v>
      </c>
      <c r="AB145" s="137"/>
      <c r="AC145" s="35">
        <f>AA145+0.01%</f>
        <v>9.4863057751574404E-3</v>
      </c>
      <c r="AD145" s="35">
        <f>AC145+0.01%</f>
        <v>9.5863057751574398E-3</v>
      </c>
      <c r="AE145" s="35">
        <f t="shared" ref="AE145:AF145" si="433">AD145+0.01%</f>
        <v>9.6863057751574392E-3</v>
      </c>
      <c r="AF145" s="35">
        <f t="shared" si="433"/>
        <v>9.7863057751574386E-3</v>
      </c>
      <c r="AG145" s="29"/>
      <c r="AH145" s="35">
        <f>AF145+0.01%</f>
        <v>9.886305775157438E-3</v>
      </c>
      <c r="AI145" s="35">
        <f>AH145+0.01%</f>
        <v>9.9863057751574374E-3</v>
      </c>
      <c r="AJ145" s="35">
        <f t="shared" ref="AJ145:AK145" si="434">AI145+0.01%</f>
        <v>1.0086305775157437E-2</v>
      </c>
      <c r="AK145" s="35">
        <f t="shared" si="434"/>
        <v>1.0186305775157436E-2</v>
      </c>
      <c r="AL145" s="29"/>
      <c r="AM145" s="35">
        <f>AK145</f>
        <v>1.0186305775157436E-2</v>
      </c>
      <c r="AN145" s="35">
        <f t="shared" si="431"/>
        <v>1.0186305775157436E-2</v>
      </c>
      <c r="AO145" s="35">
        <f t="shared" si="431"/>
        <v>1.0186305775157436E-2</v>
      </c>
      <c r="AP145" s="35">
        <f t="shared" si="431"/>
        <v>1.0186305775157436E-2</v>
      </c>
      <c r="AQ145" s="29"/>
      <c r="AR145" s="35">
        <f>AP145</f>
        <v>1.0186305775157436E-2</v>
      </c>
      <c r="AS145" s="35">
        <f t="shared" si="432"/>
        <v>1.0186305775157436E-2</v>
      </c>
      <c r="AT145" s="35">
        <f t="shared" si="432"/>
        <v>1.0186305775157436E-2</v>
      </c>
      <c r="AU145" s="35">
        <f t="shared" si="432"/>
        <v>1.0186305775157436E-2</v>
      </c>
      <c r="AV145" s="29"/>
    </row>
    <row r="146" spans="2:48" s="23" customFormat="1" outlineLevel="1" x14ac:dyDescent="0.3">
      <c r="B146" s="200" t="s">
        <v>186</v>
      </c>
      <c r="C146" s="201"/>
      <c r="D146" s="113"/>
      <c r="E146" s="113"/>
      <c r="F146" s="113"/>
      <c r="G146" s="113"/>
      <c r="H146" s="137"/>
      <c r="I146" s="113">
        <f>I33/D33-1</f>
        <v>0.2254857129231771</v>
      </c>
      <c r="J146" s="113">
        <f t="shared" ref="J146:AV147" si="435">J33/E33-1</f>
        <v>-0.47546772308917484</v>
      </c>
      <c r="K146" s="113">
        <f t="shared" si="435"/>
        <v>-1.5172211898784418</v>
      </c>
      <c r="L146" s="113">
        <f t="shared" si="435"/>
        <v>-0.49266142278343572</v>
      </c>
      <c r="M146" s="137">
        <f t="shared" si="435"/>
        <v>-0.73466371126240593</v>
      </c>
      <c r="N146" s="113">
        <f t="shared" si="435"/>
        <v>-0.292754196932551</v>
      </c>
      <c r="O146" s="113">
        <f t="shared" si="435"/>
        <v>1.0009687774744878</v>
      </c>
      <c r="P146" s="113">
        <f t="shared" si="435"/>
        <v>-2.6748075301104208</v>
      </c>
      <c r="Q146" s="113">
        <f t="shared" si="435"/>
        <v>3.4604705530296798</v>
      </c>
      <c r="R146" s="137">
        <f t="shared" si="435"/>
        <v>3.5714373754781779</v>
      </c>
      <c r="S146" s="113">
        <f t="shared" si="435"/>
        <v>0.31844745711851452</v>
      </c>
      <c r="T146" s="113">
        <f t="shared" si="435"/>
        <v>5.0603007043171555E-2</v>
      </c>
      <c r="U146" s="113">
        <f t="shared" si="435"/>
        <v>-0.18430865147381992</v>
      </c>
      <c r="V146" s="113">
        <f t="shared" si="435"/>
        <v>-0.4870956113954914</v>
      </c>
      <c r="W146" s="137">
        <f t="shared" si="435"/>
        <v>-0.199786344376785</v>
      </c>
      <c r="X146" s="113">
        <f t="shared" si="435"/>
        <v>6.9714700065573565E-2</v>
      </c>
      <c r="Y146" s="113">
        <f t="shared" si="435"/>
        <v>0.34703594909414837</v>
      </c>
      <c r="Z146" s="113">
        <f t="shared" si="435"/>
        <v>0.12301767449723355</v>
      </c>
      <c r="AA146" s="113">
        <f t="shared" si="435"/>
        <v>0.28142980800592543</v>
      </c>
      <c r="AB146" s="137">
        <f>AB33/W33-1</f>
        <v>0.19890040322892655</v>
      </c>
      <c r="AC146" s="113">
        <f t="shared" si="435"/>
        <v>0.19902543001816442</v>
      </c>
      <c r="AD146" s="113">
        <f t="shared" si="435"/>
        <v>0.11723064057827015</v>
      </c>
      <c r="AE146" s="113">
        <f t="shared" si="435"/>
        <v>0.12374167908561584</v>
      </c>
      <c r="AF146" s="113">
        <f t="shared" si="435"/>
        <v>2.9953154833199491E-2</v>
      </c>
      <c r="AG146" s="137">
        <f t="shared" si="435"/>
        <v>0.11171614601272761</v>
      </c>
      <c r="AH146" s="113">
        <f t="shared" si="435"/>
        <v>0.16832935354660106</v>
      </c>
      <c r="AI146" s="113">
        <f t="shared" si="435"/>
        <v>0.18430225882971008</v>
      </c>
      <c r="AJ146" s="113">
        <f t="shared" si="435"/>
        <v>0.27734714885907197</v>
      </c>
      <c r="AK146" s="113">
        <f t="shared" si="435"/>
        <v>0.24860259239610194</v>
      </c>
      <c r="AL146" s="137">
        <f t="shared" si="435"/>
        <v>0.22089410077486638</v>
      </c>
      <c r="AM146" s="113">
        <f t="shared" si="435"/>
        <v>0.17182165890553946</v>
      </c>
      <c r="AN146" s="113">
        <f t="shared" si="435"/>
        <v>0.17064333362067052</v>
      </c>
      <c r="AO146" s="113">
        <f t="shared" si="435"/>
        <v>0.12375867989855749</v>
      </c>
      <c r="AP146" s="113">
        <f t="shared" si="435"/>
        <v>0.10919762235520758</v>
      </c>
      <c r="AQ146" s="137">
        <f t="shared" si="435"/>
        <v>0.1425452484784353</v>
      </c>
      <c r="AR146" s="113">
        <f t="shared" si="435"/>
        <v>7.7163689194282181E-2</v>
      </c>
      <c r="AS146" s="113">
        <f t="shared" si="435"/>
        <v>7.9150279938415169E-2</v>
      </c>
      <c r="AT146" s="113">
        <f t="shared" si="435"/>
        <v>7.3128251280151657E-2</v>
      </c>
      <c r="AU146" s="113">
        <f t="shared" si="435"/>
        <v>7.4090900222953726E-2</v>
      </c>
      <c r="AV146" s="137">
        <f t="shared" si="435"/>
        <v>7.5710685611488637E-2</v>
      </c>
    </row>
    <row r="147" spans="2:48" s="23" customFormat="1" outlineLevel="1" x14ac:dyDescent="0.3">
      <c r="B147" s="200" t="s">
        <v>139</v>
      </c>
      <c r="C147" s="201"/>
      <c r="D147" s="27"/>
      <c r="E147" s="27"/>
      <c r="F147" s="27"/>
      <c r="G147" s="27"/>
      <c r="H147" s="29"/>
      <c r="I147" s="27">
        <f t="shared" ref="I147:V147" si="436">I34/D34-1</f>
        <v>5.9389868457878192E-2</v>
      </c>
      <c r="J147" s="27">
        <f t="shared" si="436"/>
        <v>-0.47460546003783222</v>
      </c>
      <c r="K147" s="27">
        <f t="shared" si="436"/>
        <v>-1.5922286955663072</v>
      </c>
      <c r="L147" s="113">
        <f t="shared" si="436"/>
        <v>-0.26631134736842188</v>
      </c>
      <c r="M147" s="137">
        <f t="shared" si="436"/>
        <v>-0.59372113780519853</v>
      </c>
      <c r="N147" s="113">
        <f t="shared" si="436"/>
        <v>-0.23228377390823718</v>
      </c>
      <c r="O147" s="113">
        <f t="shared" si="436"/>
        <v>0.96992458477270005</v>
      </c>
      <c r="P147" s="113">
        <f t="shared" si="436"/>
        <v>-3.1776350920116565</v>
      </c>
      <c r="Q147" s="113">
        <f t="shared" si="436"/>
        <v>0.95350602232643134</v>
      </c>
      <c r="R147" s="29">
        <f t="shared" si="436"/>
        <v>1.8162682861720394</v>
      </c>
      <c r="S147" s="113">
        <f t="shared" si="436"/>
        <v>0.18036058258616094</v>
      </c>
      <c r="T147" s="113">
        <f t="shared" si="436"/>
        <v>-5.6546752866856842E-2</v>
      </c>
      <c r="U147" s="113">
        <f t="shared" si="436"/>
        <v>-0.16448812865885809</v>
      </c>
      <c r="V147" s="113">
        <f t="shared" si="436"/>
        <v>-0.1882667305146607</v>
      </c>
      <c r="W147" s="137">
        <f>W34/(R34-0.1-0.04)-1</f>
        <v>-4.7540866454839237E-2</v>
      </c>
      <c r="X147" s="113">
        <f t="shared" si="435"/>
        <v>3.7600832682799012E-2</v>
      </c>
      <c r="Y147" s="113">
        <f t="shared" si="435"/>
        <v>0.25648237931922635</v>
      </c>
      <c r="Z147" s="113">
        <f t="shared" si="435"/>
        <v>6.5050102598278148E-2</v>
      </c>
      <c r="AA147" s="113">
        <f t="shared" si="435"/>
        <v>0.21260305808316748</v>
      </c>
      <c r="AB147" s="406">
        <f t="shared" si="435"/>
        <v>0.13683700064002791</v>
      </c>
      <c r="AC147" s="113">
        <f t="shared" si="435"/>
        <v>0.19646865544728964</v>
      </c>
      <c r="AD147" s="113">
        <f t="shared" si="435"/>
        <v>0.20138911475681653</v>
      </c>
      <c r="AE147" s="113">
        <f t="shared" si="435"/>
        <v>0.12312443815234397</v>
      </c>
      <c r="AF147" s="113">
        <f t="shared" si="435"/>
        <v>2.9813523164486266E-2</v>
      </c>
      <c r="AG147" s="137">
        <f t="shared" si="435"/>
        <v>0.12934407262821912</v>
      </c>
      <c r="AH147" s="113">
        <f t="shared" si="435"/>
        <v>0.16748959406970876</v>
      </c>
      <c r="AI147" s="113">
        <f t="shared" si="435"/>
        <v>0.18337347011418847</v>
      </c>
      <c r="AJ147" s="113">
        <f t="shared" si="435"/>
        <v>0.27630432920048387</v>
      </c>
      <c r="AK147" s="113">
        <f t="shared" si="435"/>
        <v>0.24789026547971016</v>
      </c>
      <c r="AL147" s="137">
        <f t="shared" si="435"/>
        <v>0.22001062808705596</v>
      </c>
      <c r="AM147" s="113">
        <f t="shared" si="435"/>
        <v>0.17146384266524817</v>
      </c>
      <c r="AN147" s="113">
        <f t="shared" si="435"/>
        <v>0.17029705319809763</v>
      </c>
      <c r="AO147" s="113">
        <f t="shared" si="435"/>
        <v>0.1234801919823354</v>
      </c>
      <c r="AP147" s="113">
        <f t="shared" si="435"/>
        <v>0.10879452332838113</v>
      </c>
      <c r="AQ147" s="29">
        <f t="shared" si="435"/>
        <v>0.1421984902517619</v>
      </c>
      <c r="AR147" s="113">
        <f t="shared" si="435"/>
        <v>7.6873880439001452E-2</v>
      </c>
      <c r="AS147" s="113">
        <f t="shared" si="435"/>
        <v>7.8852811520185417E-2</v>
      </c>
      <c r="AT147" s="113">
        <f t="shared" si="435"/>
        <v>7.2895342574694766E-2</v>
      </c>
      <c r="AU147" s="113">
        <f t="shared" si="435"/>
        <v>7.3846963137456312E-2</v>
      </c>
      <c r="AV147" s="29">
        <f t="shared" si="435"/>
        <v>7.5447338677059328E-2</v>
      </c>
    </row>
    <row r="148" spans="2:48" s="23" customFormat="1" outlineLevel="1" x14ac:dyDescent="0.3">
      <c r="B148" s="200" t="s">
        <v>140</v>
      </c>
      <c r="C148" s="201"/>
      <c r="D148" s="27"/>
      <c r="E148" s="27"/>
      <c r="F148" s="27"/>
      <c r="G148" s="27"/>
      <c r="H148" s="29"/>
      <c r="I148" s="27">
        <f>'CFS (Adjusted)'!I55</f>
        <v>-0.22820512820512895</v>
      </c>
      <c r="J148" s="27">
        <f>'CFS (Adjusted)'!J55</f>
        <v>-4.4869364754098413</v>
      </c>
      <c r="K148" s="27">
        <f>'CFS (Adjusted)'!K55</f>
        <v>-1.314434752864716</v>
      </c>
      <c r="L148" s="113">
        <f>'CFS (Adjusted)'!L55</f>
        <v>0.34527569713924766</v>
      </c>
      <c r="M148" s="137">
        <f>'CFS (Adjusted)'!M55</f>
        <v>-0.68340961778517451</v>
      </c>
      <c r="N148" s="113">
        <f>'CFS (Adjusted)'!N55</f>
        <v>-2.1785305811139466E-4</v>
      </c>
      <c r="O148" s="113">
        <f>'CFS (Adjusted)'!O55</f>
        <v>-1.649232351428781</v>
      </c>
      <c r="P148" s="113">
        <f>'CFS (Adjusted)'!P55</f>
        <v>-5.7565950503127619</v>
      </c>
      <c r="Q148" s="113">
        <f>'CFS (Adjusted)'!Q55</f>
        <v>2.012477359629572E-2</v>
      </c>
      <c r="R148" s="29">
        <f>'CFS (Adjusted)'!R55</f>
        <v>2.7484040555764064</v>
      </c>
      <c r="S148" s="113">
        <f>'CFS (Adjusted)'!S55</f>
        <v>1.9175246499972598E-2</v>
      </c>
      <c r="T148" s="113">
        <f>'CFS (Adjusted)'!T55</f>
        <v>-0.81681375876895213</v>
      </c>
      <c r="U148" s="113">
        <f>'CFS (Adjusted)'!U55</f>
        <v>-0.27684391080617499</v>
      </c>
      <c r="V148" s="113">
        <f>'CFS (Adjusted)'!V55</f>
        <v>-0.27691194844479561</v>
      </c>
      <c r="W148" s="137">
        <f>'CFS (Adjusted)'!W55</f>
        <v>-0.26581179456354764</v>
      </c>
      <c r="X148" s="113">
        <f>'CFS (Adjusted)'!X55</f>
        <v>-0.14843123630338328</v>
      </c>
      <c r="Y148" s="113">
        <f>'CFS (Adjusted)'!Y55</f>
        <v>3.7411982705373639</v>
      </c>
      <c r="Z148" s="113">
        <f>'CFS (Adjusted)'!Z55</f>
        <v>-0.21066714082938087</v>
      </c>
      <c r="AA148" s="113">
        <f>'CFS (Adjusted)'!AA55</f>
        <v>0.69618112415729061</v>
      </c>
      <c r="AB148" s="137">
        <f>'CFS (Adjusted)'!AB55</f>
        <v>0.18808991276320275</v>
      </c>
      <c r="AC148" s="113">
        <f>'CFS (Adjusted)'!AC55</f>
        <v>0.19598301185548772</v>
      </c>
      <c r="AD148" s="113">
        <f>'CFS (Adjusted)'!AD55</f>
        <v>0.49870520027343423</v>
      </c>
      <c r="AE148" s="113">
        <f>'CFS (Adjusted)'!AE55</f>
        <v>0.44098897298319018</v>
      </c>
      <c r="AF148" s="113">
        <f>'CFS (Adjusted)'!AF55</f>
        <v>-4.1872156592324128E-2</v>
      </c>
      <c r="AG148" s="137">
        <f>'CFS (Adjusted)'!AG55</f>
        <v>0.20236518683158544</v>
      </c>
      <c r="AH148" s="113">
        <f>'CFS (Adjusted)'!AH55</f>
        <v>9.8526646396736917E-2</v>
      </c>
      <c r="AI148" s="113">
        <f>'CFS (Adjusted)'!AI55</f>
        <v>0.20321933512985657</v>
      </c>
      <c r="AJ148" s="113">
        <f>'CFS (Adjusted)'!AJ55</f>
        <v>0.11234926440868698</v>
      </c>
      <c r="AK148" s="113">
        <f>'CFS (Adjusted)'!AK55</f>
        <v>0.127582157946871</v>
      </c>
      <c r="AL148" s="29">
        <f>'CFS (Adjusted)'!AL55</f>
        <v>0.12913207301792928</v>
      </c>
      <c r="AM148" s="113">
        <f>'CFS (Adjusted)'!AM55</f>
        <v>0.1218777548968828</v>
      </c>
      <c r="AN148" s="113">
        <f>'CFS (Adjusted)'!AN55</f>
        <v>0.16639617737231616</v>
      </c>
      <c r="AO148" s="113">
        <f>'CFS (Adjusted)'!AO55</f>
        <v>6.7923130300308054E-2</v>
      </c>
      <c r="AP148" s="113">
        <f>'CFS (Adjusted)'!AP55</f>
        <v>0.14864350006635907</v>
      </c>
      <c r="AQ148" s="29">
        <f>'CFS (Adjusted)'!AQ55</f>
        <v>0.125996869659732</v>
      </c>
      <c r="AR148" s="113">
        <f>'CFS (Adjusted)'!AR55</f>
        <v>0.10149077852851818</v>
      </c>
      <c r="AS148" s="113">
        <f>'CFS (Adjusted)'!AS55</f>
        <v>3.4925709543647709E-2</v>
      </c>
      <c r="AT148" s="113">
        <f>'CFS (Adjusted)'!AT55</f>
        <v>0.12207419678139764</v>
      </c>
      <c r="AU148" s="113">
        <f>'CFS (Adjusted)'!AU55</f>
        <v>5.0708346583476782E-2</v>
      </c>
      <c r="AV148" s="29">
        <f>'CFS (Adjusted)'!AV55</f>
        <v>7.7720918324596155E-2</v>
      </c>
    </row>
    <row r="149" spans="2:48" s="23" customFormat="1" outlineLevel="1" x14ac:dyDescent="0.3">
      <c r="B149" s="200" t="s">
        <v>334</v>
      </c>
      <c r="C149" s="201"/>
      <c r="D149" s="27"/>
      <c r="E149" s="27"/>
      <c r="F149" s="27"/>
      <c r="G149" s="27"/>
      <c r="H149" s="29"/>
      <c r="I149" s="27"/>
      <c r="J149" s="27"/>
      <c r="K149" s="27"/>
      <c r="L149" s="113"/>
      <c r="M149" s="137"/>
      <c r="N149" s="113"/>
      <c r="O149" s="113"/>
      <c r="P149" s="113"/>
      <c r="Q149" s="113"/>
      <c r="R149" s="29"/>
      <c r="S149" s="113"/>
      <c r="T149" s="113"/>
      <c r="U149" s="113"/>
      <c r="V149" s="113"/>
      <c r="W149" s="137"/>
      <c r="X149" s="113"/>
      <c r="Y149" s="113"/>
      <c r="Z149" s="113"/>
      <c r="AA149" s="113"/>
      <c r="AB149" s="137"/>
      <c r="AC149" s="113"/>
      <c r="AD149" s="113"/>
      <c r="AE149" s="113"/>
      <c r="AF149" s="113"/>
      <c r="AG149" s="137"/>
      <c r="AH149" s="113"/>
      <c r="AI149" s="113"/>
      <c r="AJ149" s="113"/>
      <c r="AK149" s="113"/>
      <c r="AL149" s="406">
        <f>(AL34/W34)^(1/3)-1</f>
        <v>0.16134885740981186</v>
      </c>
      <c r="AM149" s="113"/>
      <c r="AN149" s="113"/>
      <c r="AO149" s="113"/>
      <c r="AP149" s="113"/>
      <c r="AQ149" s="29"/>
      <c r="AR149" s="113"/>
      <c r="AS149" s="113"/>
      <c r="AT149" s="113"/>
      <c r="AU149" s="113"/>
      <c r="AV149" s="29"/>
    </row>
    <row r="150" spans="2:48" ht="17.399999999999999" x14ac:dyDescent="0.45">
      <c r="B150" s="583" t="s">
        <v>130</v>
      </c>
      <c r="C150" s="584"/>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4" t="s">
        <v>408</v>
      </c>
      <c r="Y150" s="14" t="s">
        <v>452</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580" t="s">
        <v>208</v>
      </c>
      <c r="C151" s="581"/>
      <c r="D151" s="27"/>
      <c r="E151" s="27">
        <f t="shared" ref="E151:G151" si="437">(E30+E155+E158+E161)/D30-1</f>
        <v>2.777764747303535E-2</v>
      </c>
      <c r="F151" s="27">
        <f t="shared" si="437"/>
        <v>-1.7269004124131682E-2</v>
      </c>
      <c r="G151" s="27">
        <f t="shared" si="437"/>
        <v>1.9258933156590885E-2</v>
      </c>
      <c r="H151" s="9"/>
      <c r="I151" s="27">
        <f>(I30+I155+I158+I161)/G30-1</f>
        <v>-1.436336111538794E-2</v>
      </c>
      <c r="J151" s="27">
        <f t="shared" ref="J151:L151" si="438">(J30+J155+J158+J161)/I30-1</f>
        <v>-1.1333810572689007E-3</v>
      </c>
      <c r="K151" s="27">
        <f t="shared" si="438"/>
        <v>-2.8161802355349819E-3</v>
      </c>
      <c r="L151" s="27">
        <f t="shared" si="438"/>
        <v>-9.5210569021197955E-4</v>
      </c>
      <c r="M151" s="9"/>
      <c r="N151" s="27">
        <f>(N30+N155+N158+N161)/L30-1</f>
        <v>6.5210015787404707E-3</v>
      </c>
      <c r="O151" s="27">
        <f t="shared" ref="O151:Q151" si="439">(O30+O155+O158+O161)/N30-1</f>
        <v>2.1276595744681437E-3</v>
      </c>
      <c r="P151" s="27">
        <f t="shared" si="439"/>
        <v>8.4925690021231404E-4</v>
      </c>
      <c r="Q151" s="27">
        <f t="shared" si="439"/>
        <v>8.4925690021231404E-4</v>
      </c>
      <c r="R151" s="9"/>
      <c r="S151" s="27">
        <f>(S30+S155+S158+S161)/Q30-1</f>
        <v>1.7994180128374726E-2</v>
      </c>
      <c r="T151" s="27">
        <f>(T30+T155+T158+T161)/S30-1</f>
        <v>-1.2989686217510177E-2</v>
      </c>
      <c r="U151" s="27">
        <f>(U30+U155+U158+U161)/T30-1</f>
        <v>-1.9143752175426743E-3</v>
      </c>
      <c r="V151" s="27">
        <f>(V30+V155+V158+V161)/U30-1</f>
        <v>7.4613109397692057E-4</v>
      </c>
      <c r="W151" s="256"/>
      <c r="X151" s="27">
        <f>(X30+X155+X158+X161)/V30-1</f>
        <v>2.2460199068061737E-3</v>
      </c>
      <c r="Y151" s="27">
        <f>(Y30+Y155+Y158+Y161)/W30-1</f>
        <v>-1.5932506055578166E-3</v>
      </c>
      <c r="Z151" s="35">
        <v>2E-3</v>
      </c>
      <c r="AA151" s="35">
        <v>2E-3</v>
      </c>
      <c r="AB151" s="9"/>
      <c r="AC151" s="35">
        <v>2E-3</v>
      </c>
      <c r="AD151" s="35">
        <v>2E-3</v>
      </c>
      <c r="AE151" s="35">
        <v>2E-3</v>
      </c>
      <c r="AF151" s="35">
        <v>2E-3</v>
      </c>
      <c r="AG151" s="9"/>
      <c r="AH151" s="35">
        <v>2E-3</v>
      </c>
      <c r="AI151" s="35">
        <v>2E-3</v>
      </c>
      <c r="AJ151" s="35">
        <v>2E-3</v>
      </c>
      <c r="AK151" s="35">
        <v>2E-3</v>
      </c>
      <c r="AL151" s="9"/>
      <c r="AM151" s="35">
        <v>2E-3</v>
      </c>
      <c r="AN151" s="35">
        <v>2E-3</v>
      </c>
      <c r="AO151" s="35">
        <v>2E-3</v>
      </c>
      <c r="AP151" s="35">
        <v>2E-3</v>
      </c>
      <c r="AQ151" s="9"/>
      <c r="AR151" s="35">
        <v>2E-3</v>
      </c>
      <c r="AS151" s="35">
        <v>2E-3</v>
      </c>
      <c r="AT151" s="35">
        <v>2E-3</v>
      </c>
      <c r="AU151" s="35">
        <v>2E-3</v>
      </c>
      <c r="AV151" s="9"/>
    </row>
    <row r="152" spans="2:48" outlineLevel="1" x14ac:dyDescent="0.3">
      <c r="B152" s="580" t="s">
        <v>209</v>
      </c>
      <c r="C152" s="581"/>
      <c r="D152" s="27"/>
      <c r="E152" s="27">
        <f t="shared" ref="E152:G152" si="440">(E31+E155+E158+E161)/D31-1</f>
        <v>2.7604785512613583E-2</v>
      </c>
      <c r="F152" s="27">
        <f t="shared" si="440"/>
        <v>-1.6710442080933863E-2</v>
      </c>
      <c r="G152" s="27">
        <f t="shared" si="440"/>
        <v>1.9089589576967603E-2</v>
      </c>
      <c r="H152" s="9"/>
      <c r="I152" s="27">
        <f>(I31+I155+I158+I161)/G31-1</f>
        <v>-1.5386652077945762E-2</v>
      </c>
      <c r="J152" s="27">
        <f t="shared" ref="J152:L152" si="441">(J31+J155+J158+J161)/I31-1</f>
        <v>-2.5506658270361138E-3</v>
      </c>
      <c r="K152" s="27">
        <f t="shared" si="441"/>
        <v>-1.0332853392055585E-2</v>
      </c>
      <c r="L152" s="27">
        <f t="shared" si="441"/>
        <v>8.9858793324775199E-3</v>
      </c>
      <c r="M152" s="9"/>
      <c r="N152" s="27">
        <f>(N31+N155+N158+N161)/L31-1</f>
        <v>3.392705682782049E-3</v>
      </c>
      <c r="O152" s="27">
        <f t="shared" ref="O152:Q152" si="442">(O31+O155+O158+O161)/N31-1</f>
        <v>1.5215553677092597E-3</v>
      </c>
      <c r="P152" s="27">
        <f t="shared" si="442"/>
        <v>1.1816340310601969E-3</v>
      </c>
      <c r="Q152" s="27">
        <f t="shared" si="442"/>
        <v>1.4331478671387732E-3</v>
      </c>
      <c r="R152" s="9"/>
      <c r="S152" s="27">
        <f>(S31+S155+S158+S161)/Q31-1</f>
        <v>1.6689115245390962E-2</v>
      </c>
      <c r="T152" s="27">
        <f>(T31+T155+T158+T161)/S31-1</f>
        <v>-1.4867191058983376E-2</v>
      </c>
      <c r="U152" s="27">
        <f>(U31+U155+U158+U161)/T31-1</f>
        <v>-2.5132160499177214E-3</v>
      </c>
      <c r="V152" s="27">
        <f t="shared" ref="V152" si="443">(V31+V155+V158+V161)/U31-1</f>
        <v>1.3032145960034658E-3</v>
      </c>
      <c r="W152" s="256"/>
      <c r="X152" s="27">
        <f>(X31+X155+X158+X161)/V31-1</f>
        <v>2.0250927284217735E-3</v>
      </c>
      <c r="Y152" s="113">
        <f>(Y31+Y155+Y158+Y161)/W31-1</f>
        <v>-2.3306084216504486E-3</v>
      </c>
      <c r="Z152" s="35">
        <v>1E-3</v>
      </c>
      <c r="AA152" s="35">
        <v>1E-3</v>
      </c>
      <c r="AB152" s="9"/>
      <c r="AC152" s="35">
        <v>1E-3</v>
      </c>
      <c r="AD152" s="35">
        <v>1E-3</v>
      </c>
      <c r="AE152" s="35">
        <v>1E-3</v>
      </c>
      <c r="AF152" s="35">
        <v>1E-3</v>
      </c>
      <c r="AG152" s="9"/>
      <c r="AH152" s="35">
        <v>1E-3</v>
      </c>
      <c r="AI152" s="35">
        <v>1E-3</v>
      </c>
      <c r="AJ152" s="35">
        <v>1E-3</v>
      </c>
      <c r="AK152" s="35">
        <v>1E-3</v>
      </c>
      <c r="AL152" s="9"/>
      <c r="AM152" s="35">
        <v>1E-3</v>
      </c>
      <c r="AN152" s="35">
        <v>1E-3</v>
      </c>
      <c r="AO152" s="35">
        <v>1E-3</v>
      </c>
      <c r="AP152" s="35">
        <v>1E-3</v>
      </c>
      <c r="AQ152" s="9"/>
      <c r="AR152" s="35">
        <v>1E-3</v>
      </c>
      <c r="AS152" s="35">
        <v>1E-3</v>
      </c>
      <c r="AT152" s="35">
        <v>1E-3</v>
      </c>
      <c r="AU152" s="35">
        <v>1E-3</v>
      </c>
      <c r="AV152" s="9"/>
    </row>
    <row r="153" spans="2:48" outlineLevel="1" x14ac:dyDescent="0.3">
      <c r="B153" s="609" t="s">
        <v>137</v>
      </c>
      <c r="C153" s="610"/>
      <c r="D153" s="245"/>
      <c r="E153" s="144">
        <v>69.922678056926543</v>
      </c>
      <c r="F153" s="144">
        <v>83.13076202744692</v>
      </c>
      <c r="G153" s="144">
        <v>92.52</v>
      </c>
      <c r="H153" s="246"/>
      <c r="I153" s="144">
        <v>85.23</v>
      </c>
      <c r="J153" s="144">
        <v>78.08</v>
      </c>
      <c r="K153" s="144">
        <v>0</v>
      </c>
      <c r="L153" s="144">
        <v>0</v>
      </c>
      <c r="M153" s="246"/>
      <c r="N153" s="144">
        <v>0</v>
      </c>
      <c r="O153" s="144">
        <v>0</v>
      </c>
      <c r="P153" s="144">
        <v>0</v>
      </c>
      <c r="Q153" s="144">
        <v>0</v>
      </c>
      <c r="R153" s="246"/>
      <c r="S153" s="144">
        <v>113.12</v>
      </c>
      <c r="T153" s="144">
        <v>94.51</v>
      </c>
      <c r="U153" s="144">
        <v>0</v>
      </c>
      <c r="V153" s="144">
        <f>+U153</f>
        <v>0</v>
      </c>
      <c r="W153" s="257"/>
      <c r="X153" s="144">
        <v>98.97</v>
      </c>
      <c r="Y153" s="144">
        <v>102.57</v>
      </c>
      <c r="Z153" s="247">
        <v>100</v>
      </c>
      <c r="AA153" s="247">
        <v>100</v>
      </c>
      <c r="AB153" s="246"/>
      <c r="AC153" s="393">
        <f>AG35/0.02</f>
        <v>112.69125000000003</v>
      </c>
      <c r="AD153" s="247">
        <f>+AC153</f>
        <v>112.69125000000003</v>
      </c>
      <c r="AE153" s="247">
        <f>+AD153</f>
        <v>112.69125000000003</v>
      </c>
      <c r="AF153" s="247">
        <f>+AE153</f>
        <v>112.69125000000003</v>
      </c>
      <c r="AG153" s="390"/>
      <c r="AH153" s="393">
        <f>AL35/0.02</f>
        <v>118.3258125</v>
      </c>
      <c r="AI153" s="247">
        <f>AH153</f>
        <v>118.3258125</v>
      </c>
      <c r="AJ153" s="247">
        <f>AI153</f>
        <v>118.3258125</v>
      </c>
      <c r="AK153" s="247">
        <f>AJ153</f>
        <v>118.3258125</v>
      </c>
      <c r="AL153" s="390"/>
      <c r="AM153" s="247">
        <f>AQ35/0.02</f>
        <v>123.32179125000002</v>
      </c>
      <c r="AN153" s="247">
        <f>AM153</f>
        <v>123.32179125000002</v>
      </c>
      <c r="AO153" s="247">
        <f>AN153</f>
        <v>123.32179125000002</v>
      </c>
      <c r="AP153" s="247">
        <f>AO153</f>
        <v>123.32179125000002</v>
      </c>
      <c r="AQ153" s="246"/>
      <c r="AR153" s="247">
        <f>AV35/0.02</f>
        <v>125.78822707500001</v>
      </c>
      <c r="AS153" s="247">
        <f>AR153</f>
        <v>125.78822707500001</v>
      </c>
      <c r="AT153" s="247">
        <f>AS153</f>
        <v>125.78822707500001</v>
      </c>
      <c r="AU153" s="247">
        <f>AT153</f>
        <v>125.78822707500001</v>
      </c>
      <c r="AV153" s="246"/>
    </row>
    <row r="154" spans="2:48" outlineLevel="1" x14ac:dyDescent="0.3">
      <c r="B154" s="580" t="s">
        <v>138</v>
      </c>
      <c r="C154" s="581"/>
      <c r="D154" s="16"/>
      <c r="E154" s="105">
        <v>713.2</v>
      </c>
      <c r="F154" s="105">
        <f>954.3-713.2</f>
        <v>241.09999999999991</v>
      </c>
      <c r="G154" s="101">
        <v>2177.1942404399997</v>
      </c>
      <c r="H154" s="17">
        <f>+SUM(D154:G154)</f>
        <v>3131.4942404399999</v>
      </c>
      <c r="I154" s="101">
        <v>1107.9389472300002</v>
      </c>
      <c r="J154" s="101">
        <v>567.02921856000012</v>
      </c>
      <c r="K154" s="101">
        <v>0</v>
      </c>
      <c r="L154" s="101">
        <v>0</v>
      </c>
      <c r="M154" s="17">
        <f>+SUM(I154:L154)</f>
        <v>1674.9681657900003</v>
      </c>
      <c r="N154" s="101">
        <v>0</v>
      </c>
      <c r="O154" s="101">
        <v>0</v>
      </c>
      <c r="P154" s="101">
        <v>0</v>
      </c>
      <c r="Q154" s="101">
        <v>0</v>
      </c>
      <c r="R154" s="17">
        <f>+SUM(N154:Q154)</f>
        <v>0</v>
      </c>
      <c r="S154" s="101">
        <f>S155*S153</f>
        <v>3520.86</v>
      </c>
      <c r="T154" s="101">
        <f>T155*T153</f>
        <v>492.13842613000003</v>
      </c>
      <c r="U154" s="101">
        <v>0</v>
      </c>
      <c r="V154" s="101">
        <f>U154</f>
        <v>0</v>
      </c>
      <c r="W154" s="169">
        <f>+SUM(S154:V154)</f>
        <v>4012.9984261300001</v>
      </c>
      <c r="X154" s="101">
        <v>191.4</v>
      </c>
      <c r="Y154" s="101">
        <v>303.91501256999999</v>
      </c>
      <c r="Z154" s="33">
        <v>100</v>
      </c>
      <c r="AA154" s="33">
        <v>100</v>
      </c>
      <c r="AB154" s="17">
        <f>+SUM(X154:AA154)</f>
        <v>695.31501257000002</v>
      </c>
      <c r="AC154" s="33">
        <v>100</v>
      </c>
      <c r="AD154" s="33">
        <v>100</v>
      </c>
      <c r="AE154" s="33">
        <v>100</v>
      </c>
      <c r="AF154" s="33">
        <v>100</v>
      </c>
      <c r="AG154" s="17">
        <f>+SUM(AC154:AF154)</f>
        <v>400</v>
      </c>
      <c r="AH154" s="33">
        <v>100</v>
      </c>
      <c r="AI154" s="33">
        <v>100</v>
      </c>
      <c r="AJ154" s="576">
        <v>5591.7586260468015</v>
      </c>
      <c r="AK154" s="576">
        <f>AJ154</f>
        <v>5591.7586260468015</v>
      </c>
      <c r="AL154" s="17">
        <f>+SUM(AH154:AK154)</f>
        <v>11383.517252093603</v>
      </c>
      <c r="AM154" s="33">
        <v>250</v>
      </c>
      <c r="AN154" s="33">
        <v>250</v>
      </c>
      <c r="AO154" s="33">
        <v>250</v>
      </c>
      <c r="AP154" s="33">
        <v>250</v>
      </c>
      <c r="AQ154" s="17">
        <f>+SUM(AM154:AP154)</f>
        <v>1000</v>
      </c>
      <c r="AR154" s="33">
        <v>250</v>
      </c>
      <c r="AS154" s="33">
        <v>250</v>
      </c>
      <c r="AT154" s="33">
        <v>250</v>
      </c>
      <c r="AU154" s="33">
        <v>250</v>
      </c>
      <c r="AV154" s="17">
        <f>+SUM(AR154:AU154)</f>
        <v>1000</v>
      </c>
    </row>
    <row r="155" spans="2:48" outlineLevel="1" x14ac:dyDescent="0.3">
      <c r="B155" s="580" t="s">
        <v>207</v>
      </c>
      <c r="C155" s="581"/>
      <c r="D155" s="139"/>
      <c r="E155" s="139">
        <f>IF((E154)&gt;0,(E154/E153),0)</f>
        <v>10.199838161509755</v>
      </c>
      <c r="F155" s="142">
        <f>IF((F154)&gt;0,(F154/F153),0)</f>
        <v>2.9002500893760241</v>
      </c>
      <c r="G155" s="142">
        <f>IF((G154)&gt;0,(G154/G153),0)</f>
        <v>23.532146999999998</v>
      </c>
      <c r="H155" s="49">
        <f>+SUM(D155:G155)</f>
        <v>36.632235250885778</v>
      </c>
      <c r="I155" s="139">
        <f>IF((I154)&gt;0,(I154/I153),0)</f>
        <v>12.999401000000001</v>
      </c>
      <c r="J155" s="142">
        <f>IF((J154)&gt;0,(J154/J153),0)</f>
        <v>7.262157000000002</v>
      </c>
      <c r="K155" s="139">
        <f>IF((K154)&gt;0,(K154/K153),0)</f>
        <v>0</v>
      </c>
      <c r="L155" s="139">
        <f>IF((L154)&gt;0,(L154/L153),0)</f>
        <v>0</v>
      </c>
      <c r="M155" s="49">
        <f>+SUM(I155:L155)</f>
        <v>20.261558000000001</v>
      </c>
      <c r="N155" s="139">
        <f>IF((N154)&gt;0,(N154/N153),0)</f>
        <v>0</v>
      </c>
      <c r="O155" s="139">
        <f>IF((O154)&gt;0,(O154/O153),0)</f>
        <v>0</v>
      </c>
      <c r="P155" s="139">
        <f>IF((P154)&gt;0,(P154/P153),0)</f>
        <v>0</v>
      </c>
      <c r="Q155" s="139">
        <f>IF((Q154)&gt;0,(Q154/Q153),0)</f>
        <v>0</v>
      </c>
      <c r="R155" s="49">
        <f>+SUM(N155:Q155)</f>
        <v>0</v>
      </c>
      <c r="S155" s="139">
        <v>31.125</v>
      </c>
      <c r="T155" s="142">
        <v>5.2072630000000002</v>
      </c>
      <c r="U155" s="142">
        <f>IF((U154)&gt;0,(U154/U153),0)</f>
        <v>0</v>
      </c>
      <c r="V155" s="139">
        <f>IF((V154)&gt;0,(V154/V153),0)</f>
        <v>0</v>
      </c>
      <c r="W155" s="49">
        <f>+SUM(S155:V155)</f>
        <v>36.332262999999998</v>
      </c>
      <c r="X155" s="139">
        <f>IF((X154)&gt;0,(X154/X153),0)</f>
        <v>1.9339193695059109</v>
      </c>
      <c r="Y155" s="578">
        <f>IF((Y154)&gt;0,(Y154/Y153),0)</f>
        <v>2.9630010000000002</v>
      </c>
      <c r="Z155" s="139">
        <f>IF((Z154)&gt;0,(Z154/Z153),0)</f>
        <v>1</v>
      </c>
      <c r="AA155" s="139">
        <f>IF((AA154)&gt;0,(AA154/AA153),0)</f>
        <v>1</v>
      </c>
      <c r="AB155" s="49">
        <f>+SUM(X155:AA155)</f>
        <v>6.8969203695059109</v>
      </c>
      <c r="AC155" s="139">
        <f>IF((AC154)&gt;0,(AC154/AC153),0)</f>
        <v>0.88738034230696683</v>
      </c>
      <c r="AD155" s="139">
        <f>IF((AD154)&gt;0,(AD154/AD153),0)</f>
        <v>0.88738034230696683</v>
      </c>
      <c r="AE155" s="139">
        <f>IF((AE154)&gt;0,(AE154/AE153),0)</f>
        <v>0.88738034230696683</v>
      </c>
      <c r="AF155" s="139">
        <f>IF((AF154)&gt;0,(AF154/AF153),0)</f>
        <v>0.88738034230696683</v>
      </c>
      <c r="AG155" s="49">
        <f>+SUM(AC155:AF155)</f>
        <v>3.5495213692278673</v>
      </c>
      <c r="AH155" s="139">
        <f>IF((AH154)&gt;0,(AH154/AH153),0)</f>
        <v>0.84512413553044485</v>
      </c>
      <c r="AI155" s="139">
        <f>IF((AI154)&gt;0,(AI154/AI153),0)</f>
        <v>0.84512413553044485</v>
      </c>
      <c r="AJ155" s="139">
        <f>IF((AJ154)&gt;0,(AJ154/AJ153),0)</f>
        <v>47.257301749327112</v>
      </c>
      <c r="AK155" s="139">
        <f>IF((AK154)&gt;0,(AK154/AK153),0)</f>
        <v>47.257301749327112</v>
      </c>
      <c r="AL155" s="49">
        <f>+SUM(AH155:AK155)</f>
        <v>96.204851769715106</v>
      </c>
      <c r="AM155" s="139">
        <f>IF((AM154)&gt;0,(AM154/AM153),0)</f>
        <v>2.0272167430101287</v>
      </c>
      <c r="AN155" s="139">
        <f>IF((AN154)&gt;0,(AN154/AN153),0)</f>
        <v>2.0272167430101287</v>
      </c>
      <c r="AO155" s="139">
        <f>IF((AO154)&gt;0,(AO154/AO153),0)</f>
        <v>2.0272167430101287</v>
      </c>
      <c r="AP155" s="139">
        <f>IF((AP154)&gt;0,(AP154/AP153),0)</f>
        <v>2.0272167430101287</v>
      </c>
      <c r="AQ155" s="49">
        <f>+SUM(AM155:AP155)</f>
        <v>8.1088669720405147</v>
      </c>
      <c r="AR155" s="139">
        <f>IF((AR154)&gt;0,(AR154/AR153),0)</f>
        <v>1.9874673951079693</v>
      </c>
      <c r="AS155" s="139">
        <f>IF((AS154)&gt;0,(AS154/AS153),0)</f>
        <v>1.9874673951079693</v>
      </c>
      <c r="AT155" s="139">
        <f>IF((AT154)&gt;0,(AT154/AT153),0)</f>
        <v>1.9874673951079693</v>
      </c>
      <c r="AU155" s="139">
        <f>IF((AU154)&gt;0,(AU154/AU153),0)</f>
        <v>1.9874673951079693</v>
      </c>
      <c r="AV155" s="49">
        <f>+SUM(AR155:AU155)</f>
        <v>7.9498695804318773</v>
      </c>
    </row>
    <row r="156" spans="2:48" outlineLevel="1" x14ac:dyDescent="0.3">
      <c r="B156" s="611" t="s">
        <v>131</v>
      </c>
      <c r="C156" s="612"/>
      <c r="D156" s="143">
        <v>55.58</v>
      </c>
      <c r="E156" s="144">
        <v>65.03</v>
      </c>
      <c r="F156" s="96"/>
      <c r="G156" s="96"/>
      <c r="H156" s="76"/>
      <c r="I156" s="96"/>
      <c r="J156" s="96"/>
      <c r="K156" s="96"/>
      <c r="L156" s="96"/>
      <c r="M156" s="76"/>
      <c r="N156" s="96"/>
      <c r="O156" s="96"/>
      <c r="P156" s="96"/>
      <c r="Q156" s="96"/>
      <c r="R156" s="76"/>
      <c r="S156" s="96"/>
      <c r="T156" s="96"/>
      <c r="U156" s="96"/>
      <c r="V156" s="96"/>
      <c r="W156" s="76"/>
      <c r="X156" s="96"/>
      <c r="Y156" s="96"/>
      <c r="Z156" s="96"/>
      <c r="AA156" s="96"/>
      <c r="AB156" s="76"/>
      <c r="AC156" s="96"/>
      <c r="AD156" s="96"/>
      <c r="AE156" s="96"/>
      <c r="AF156" s="96"/>
      <c r="AG156" s="76"/>
      <c r="AH156" s="96"/>
      <c r="AI156" s="96"/>
      <c r="AJ156" s="96"/>
      <c r="AK156" s="96"/>
      <c r="AL156" s="76"/>
      <c r="AM156" s="96"/>
      <c r="AN156" s="96"/>
      <c r="AO156" s="96"/>
      <c r="AP156" s="96"/>
      <c r="AQ156" s="76"/>
      <c r="AR156" s="96"/>
      <c r="AS156" s="96"/>
      <c r="AT156" s="96"/>
      <c r="AU156" s="96"/>
      <c r="AV156" s="76"/>
    </row>
    <row r="157" spans="2:48" outlineLevel="1" x14ac:dyDescent="0.3">
      <c r="B157" s="613" t="s">
        <v>132</v>
      </c>
      <c r="C157" s="614"/>
      <c r="D157" s="145">
        <f>71.968334*55.58</f>
        <v>4000.0000037199998</v>
      </c>
      <c r="E157" s="146">
        <v>318.64700000000005</v>
      </c>
      <c r="F157" s="139"/>
      <c r="G157" s="139"/>
      <c r="H157" s="49"/>
      <c r="I157" s="139"/>
      <c r="J157" s="139"/>
      <c r="K157" s="139"/>
      <c r="L157" s="139"/>
      <c r="M157" s="49"/>
      <c r="N157" s="139"/>
      <c r="O157" s="139"/>
      <c r="P157" s="139"/>
      <c r="Q157" s="139"/>
      <c r="R157" s="49"/>
      <c r="S157" s="139"/>
      <c r="T157" s="139"/>
      <c r="U157" s="142"/>
      <c r="V157" s="139"/>
      <c r="W157" s="137"/>
      <c r="X157" s="139"/>
      <c r="Y157" s="139"/>
      <c r="Z157" s="139"/>
      <c r="AA157" s="139"/>
      <c r="AB157" s="49"/>
      <c r="AC157" s="139"/>
      <c r="AD157" s="139"/>
      <c r="AE157" s="139"/>
      <c r="AF157" s="139"/>
      <c r="AG157" s="49"/>
      <c r="AH157" s="139"/>
      <c r="AI157" s="139"/>
      <c r="AJ157" s="139"/>
      <c r="AK157" s="139"/>
      <c r="AL157" s="49"/>
      <c r="AM157" s="139"/>
      <c r="AN157" s="139"/>
      <c r="AO157" s="139"/>
      <c r="AP157" s="139"/>
      <c r="AQ157" s="49"/>
      <c r="AR157" s="139"/>
      <c r="AS157" s="139"/>
      <c r="AT157" s="139"/>
      <c r="AU157" s="139"/>
      <c r="AV157" s="49"/>
    </row>
    <row r="158" spans="2:48" outlineLevel="1" x14ac:dyDescent="0.3">
      <c r="B158" s="615" t="s">
        <v>133</v>
      </c>
      <c r="C158" s="616"/>
      <c r="D158" s="147">
        <f>IF((D157)&gt;0,(D157/D156),0)</f>
        <v>71.968333999999999</v>
      </c>
      <c r="E158" s="140">
        <f>IF((E157)&gt;0,(E157/E156),0)</f>
        <v>4.9000000000000004</v>
      </c>
      <c r="F158" s="140"/>
      <c r="G158" s="140"/>
      <c r="H158" s="141"/>
      <c r="I158" s="140"/>
      <c r="J158" s="140"/>
      <c r="K158" s="140"/>
      <c r="L158" s="140"/>
      <c r="M158" s="141"/>
      <c r="N158" s="140"/>
      <c r="O158" s="140"/>
      <c r="P158" s="140"/>
      <c r="Q158" s="140"/>
      <c r="R158" s="141"/>
      <c r="S158" s="140"/>
      <c r="T158" s="140"/>
      <c r="U158" s="140"/>
      <c r="V158" s="140"/>
      <c r="W158" s="199"/>
      <c r="X158" s="140"/>
      <c r="Y158" s="140"/>
      <c r="Z158" s="140"/>
      <c r="AA158" s="140"/>
      <c r="AB158" s="141"/>
      <c r="AC158" s="140"/>
      <c r="AD158" s="140"/>
      <c r="AE158" s="140"/>
      <c r="AF158" s="140"/>
      <c r="AG158" s="141"/>
      <c r="AH158" s="140"/>
      <c r="AI158" s="140"/>
      <c r="AJ158" s="140"/>
      <c r="AK158" s="140"/>
      <c r="AL158" s="141"/>
      <c r="AM158" s="140"/>
      <c r="AN158" s="140"/>
      <c r="AO158" s="140"/>
      <c r="AP158" s="140"/>
      <c r="AQ158" s="141"/>
      <c r="AR158" s="140"/>
      <c r="AS158" s="140"/>
      <c r="AT158" s="140"/>
      <c r="AU158" s="140"/>
      <c r="AV158" s="141"/>
    </row>
    <row r="159" spans="2:48" outlineLevel="1" x14ac:dyDescent="0.3">
      <c r="B159" s="200" t="s">
        <v>134</v>
      </c>
      <c r="C159" s="201"/>
      <c r="D159" s="139"/>
      <c r="E159" s="36">
        <v>71.959999999999994</v>
      </c>
      <c r="F159" s="36">
        <v>76.5</v>
      </c>
      <c r="G159" s="139"/>
      <c r="H159" s="49"/>
      <c r="I159" s="139"/>
      <c r="J159" s="139"/>
      <c r="K159" s="139"/>
      <c r="L159" s="139"/>
      <c r="M159" s="49"/>
      <c r="N159" s="139"/>
      <c r="O159" s="139"/>
      <c r="P159" s="139"/>
      <c r="Q159" s="139"/>
      <c r="R159" s="49"/>
      <c r="S159" s="139"/>
      <c r="T159" s="139"/>
      <c r="U159" s="139"/>
      <c r="V159" s="139"/>
      <c r="W159" s="49"/>
      <c r="X159" s="139"/>
      <c r="Y159" s="139"/>
      <c r="Z159" s="139"/>
      <c r="AA159" s="139"/>
      <c r="AB159" s="49"/>
      <c r="AC159" s="139"/>
      <c r="AD159" s="139"/>
      <c r="AE159" s="139"/>
      <c r="AF159" s="139"/>
      <c r="AG159" s="49"/>
      <c r="AH159" s="139"/>
      <c r="AI159" s="139"/>
      <c r="AJ159" s="139"/>
      <c r="AK159" s="139"/>
      <c r="AL159" s="49"/>
      <c r="AM159" s="139"/>
      <c r="AN159" s="139"/>
      <c r="AO159" s="139"/>
      <c r="AP159" s="139"/>
      <c r="AQ159" s="49"/>
      <c r="AR159" s="139"/>
      <c r="AS159" s="139"/>
      <c r="AT159" s="139"/>
      <c r="AU159" s="139"/>
      <c r="AV159" s="49"/>
    </row>
    <row r="160" spans="2:48" outlineLevel="1" x14ac:dyDescent="0.3">
      <c r="B160" s="200" t="s">
        <v>135</v>
      </c>
      <c r="C160" s="201"/>
      <c r="D160" s="139"/>
      <c r="E160" s="16">
        <v>1597.5119999999997</v>
      </c>
      <c r="F160" s="16">
        <v>298.35000000000002</v>
      </c>
      <c r="G160" s="139"/>
      <c r="H160" s="49"/>
      <c r="I160" s="139"/>
      <c r="J160" s="139"/>
      <c r="K160" s="139"/>
      <c r="L160" s="139"/>
      <c r="M160" s="49"/>
      <c r="N160" s="179"/>
      <c r="O160" s="139"/>
      <c r="P160" s="139"/>
      <c r="Q160" s="139"/>
      <c r="R160" s="49"/>
      <c r="S160" s="139"/>
      <c r="T160" s="139"/>
      <c r="U160" s="139"/>
      <c r="V160" s="139"/>
      <c r="W160" s="49"/>
      <c r="X160" s="139"/>
      <c r="Y160" s="139"/>
      <c r="Z160" s="139"/>
      <c r="AA160" s="139"/>
      <c r="AB160" s="49"/>
      <c r="AC160" s="139"/>
      <c r="AD160" s="139"/>
      <c r="AE160" s="139"/>
      <c r="AF160" s="139"/>
      <c r="AG160" s="49"/>
      <c r="AH160" s="139"/>
      <c r="AI160" s="139"/>
      <c r="AJ160" s="139"/>
      <c r="AK160" s="139"/>
      <c r="AL160" s="49"/>
      <c r="AM160" s="139"/>
      <c r="AN160" s="139"/>
      <c r="AO160" s="139"/>
      <c r="AP160" s="139"/>
      <c r="AQ160" s="49"/>
      <c r="AR160" s="139"/>
      <c r="AS160" s="139"/>
      <c r="AT160" s="139"/>
      <c r="AU160" s="139"/>
      <c r="AV160" s="49"/>
    </row>
    <row r="161" spans="2:48" outlineLevel="1" x14ac:dyDescent="0.3">
      <c r="B161" s="200" t="s">
        <v>136</v>
      </c>
      <c r="C161" s="201"/>
      <c r="D161" s="139"/>
      <c r="E161" s="139">
        <f>IF((E160)&gt;0,(E160/E159),0)</f>
        <v>22.2</v>
      </c>
      <c r="F161" s="139">
        <f>IF((F160)&gt;0,(F160/F159),0)</f>
        <v>3.9000000000000004</v>
      </c>
      <c r="G161" s="139"/>
      <c r="H161" s="49"/>
      <c r="I161" s="139"/>
      <c r="J161" s="139"/>
      <c r="K161" s="139"/>
      <c r="L161" s="139"/>
      <c r="M161" s="49"/>
      <c r="N161" s="139"/>
      <c r="O161" s="139"/>
      <c r="P161" s="139"/>
      <c r="Q161" s="139"/>
      <c r="R161" s="49"/>
      <c r="S161" s="139"/>
      <c r="T161" s="139"/>
      <c r="U161" s="139"/>
      <c r="V161" s="139"/>
      <c r="W161" s="49"/>
      <c r="X161" s="139"/>
      <c r="Y161" s="139"/>
      <c r="Z161" s="139"/>
      <c r="AA161" s="139"/>
      <c r="AB161" s="49"/>
      <c r="AC161" s="139"/>
      <c r="AD161" s="139"/>
      <c r="AE161" s="139"/>
      <c r="AF161" s="139"/>
      <c r="AG161" s="49"/>
      <c r="AH161" s="139"/>
      <c r="AI161" s="139"/>
      <c r="AJ161" s="139"/>
      <c r="AK161" s="139"/>
      <c r="AL161" s="49"/>
      <c r="AM161" s="139"/>
      <c r="AN161" s="139"/>
      <c r="AO161" s="139"/>
      <c r="AP161" s="139"/>
      <c r="AQ161" s="49"/>
      <c r="AR161" s="139"/>
      <c r="AS161" s="139"/>
      <c r="AT161" s="139"/>
      <c r="AU161" s="139"/>
      <c r="AV161" s="49"/>
    </row>
    <row r="162" spans="2:48" ht="17.399999999999999" x14ac:dyDescent="0.45">
      <c r="B162" s="583" t="s">
        <v>12</v>
      </c>
      <c r="C162" s="584"/>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4" t="s">
        <v>408</v>
      </c>
      <c r="Y162" s="14" t="s">
        <v>452</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580" t="s">
        <v>65</v>
      </c>
      <c r="C163" s="581"/>
      <c r="D163" s="102">
        <f>-(22+5.3+0.6+20.9)</f>
        <v>-48.8</v>
      </c>
      <c r="E163" s="102">
        <v>-45.1</v>
      </c>
      <c r="F163" s="102">
        <v>-39.6</v>
      </c>
      <c r="G163" s="102">
        <f>-146.2+133.5</f>
        <v>-12.699999999999989</v>
      </c>
      <c r="H163" s="159">
        <f>SUM(D163:G163)</f>
        <v>-146.19999999999999</v>
      </c>
      <c r="I163" s="102">
        <v>-7.1</v>
      </c>
      <c r="J163" s="102">
        <v>0.1</v>
      </c>
      <c r="K163" s="105">
        <f>-K14</f>
        <v>-78.099999999999994</v>
      </c>
      <c r="L163" s="101">
        <v>-195.5</v>
      </c>
      <c r="M163" s="169"/>
      <c r="N163" s="101">
        <v>-72.2</v>
      </c>
      <c r="O163" s="101">
        <v>-23</v>
      </c>
      <c r="P163" s="101">
        <v>-19.8</v>
      </c>
      <c r="Q163" s="101">
        <v>-55.5</v>
      </c>
      <c r="R163" s="17"/>
      <c r="S163" s="16">
        <v>7.5</v>
      </c>
      <c r="T163" s="16">
        <v>-4.4000000000000004</v>
      </c>
      <c r="U163" s="16">
        <v>-14</v>
      </c>
      <c r="V163" s="101">
        <v>-35.1</v>
      </c>
      <c r="W163" s="17"/>
      <c r="X163" s="101">
        <v>-5.8</v>
      </c>
      <c r="Y163" s="101">
        <v>-8.8000000000000007</v>
      </c>
      <c r="Z163" s="33">
        <v>-7</v>
      </c>
      <c r="AA163" s="33">
        <f>Z163</f>
        <v>-7</v>
      </c>
      <c r="AB163" s="17"/>
      <c r="AC163" s="33">
        <f>AA163</f>
        <v>-7</v>
      </c>
      <c r="AD163" s="33">
        <f t="shared" ref="AD163:AF163" si="444">AC163</f>
        <v>-7</v>
      </c>
      <c r="AE163" s="33">
        <f t="shared" si="444"/>
        <v>-7</v>
      </c>
      <c r="AF163" s="33">
        <f t="shared" si="444"/>
        <v>-7</v>
      </c>
      <c r="AG163" s="17"/>
      <c r="AH163" s="33">
        <f>AF163</f>
        <v>-7</v>
      </c>
      <c r="AI163" s="33">
        <f t="shared" ref="AI163:AK163" si="445">AH163</f>
        <v>-7</v>
      </c>
      <c r="AJ163" s="33">
        <f t="shared" si="445"/>
        <v>-7</v>
      </c>
      <c r="AK163" s="33">
        <f t="shared" si="445"/>
        <v>-7</v>
      </c>
      <c r="AL163" s="17"/>
      <c r="AM163" s="33">
        <f>AK163</f>
        <v>-7</v>
      </c>
      <c r="AN163" s="33">
        <f t="shared" ref="AN163:AP163" si="446">AM163</f>
        <v>-7</v>
      </c>
      <c r="AO163" s="33">
        <f t="shared" si="446"/>
        <v>-7</v>
      </c>
      <c r="AP163" s="33">
        <f t="shared" si="446"/>
        <v>-7</v>
      </c>
      <c r="AQ163" s="17"/>
      <c r="AR163" s="33">
        <f>AP163</f>
        <v>-7</v>
      </c>
      <c r="AS163" s="33">
        <f t="shared" ref="AS163:AU163" si="447">AR163</f>
        <v>-7</v>
      </c>
      <c r="AT163" s="33">
        <f t="shared" si="447"/>
        <v>-7</v>
      </c>
      <c r="AU163" s="33">
        <f t="shared" si="447"/>
        <v>-7</v>
      </c>
      <c r="AV163" s="17"/>
    </row>
    <row r="164" spans="2:48" outlineLevel="1" x14ac:dyDescent="0.3">
      <c r="B164" s="200" t="s">
        <v>64</v>
      </c>
      <c r="C164" s="201"/>
      <c r="D164" s="102">
        <f>-(5.3+0.5)</f>
        <v>-5.8</v>
      </c>
      <c r="E164" s="102">
        <v>-4.3</v>
      </c>
      <c r="F164" s="102">
        <v>-2.2999999999999998</v>
      </c>
      <c r="G164" s="102">
        <v>-0.2</v>
      </c>
      <c r="H164" s="159">
        <f t="shared" ref="H164:H167" si="448">SUM(D164:G164)</f>
        <v>-12.599999999999998</v>
      </c>
      <c r="I164" s="102">
        <v>-5.6</v>
      </c>
      <c r="J164" s="102">
        <v>-6.8</v>
      </c>
      <c r="K164" s="105">
        <v>-35.04</v>
      </c>
      <c r="L164" s="101">
        <v>0</v>
      </c>
      <c r="M164" s="169"/>
      <c r="N164" s="101">
        <v>0</v>
      </c>
      <c r="O164" s="101">
        <v>0</v>
      </c>
      <c r="P164" s="101">
        <v>22.8</v>
      </c>
      <c r="Q164" s="101">
        <v>-0.1</v>
      </c>
      <c r="R164" s="17"/>
      <c r="S164" s="16"/>
      <c r="T164" s="16"/>
      <c r="U164" s="16"/>
      <c r="V164" s="101"/>
      <c r="W164" s="17"/>
      <c r="X164" s="101">
        <v>0</v>
      </c>
      <c r="Y164" s="101"/>
      <c r="Z164" s="33"/>
      <c r="AA164" s="33"/>
      <c r="AB164" s="17"/>
      <c r="AC164" s="33">
        <f t="shared" ref="AC164:AC167" si="449">AA164</f>
        <v>0</v>
      </c>
      <c r="AD164" s="33"/>
      <c r="AE164" s="33"/>
      <c r="AF164" s="33"/>
      <c r="AG164" s="17"/>
      <c r="AH164" s="33">
        <f t="shared" ref="AH164:AH167" si="450">AF164</f>
        <v>0</v>
      </c>
      <c r="AI164" s="33"/>
      <c r="AJ164" s="33"/>
      <c r="AK164" s="33"/>
      <c r="AL164" s="17"/>
      <c r="AM164" s="33">
        <f t="shared" ref="AM164:AM167" si="451">AK164</f>
        <v>0</v>
      </c>
      <c r="AN164" s="33"/>
      <c r="AO164" s="33"/>
      <c r="AP164" s="33"/>
      <c r="AQ164" s="17"/>
      <c r="AR164" s="33">
        <f t="shared" ref="AR164:AR167" si="452">AP164</f>
        <v>0</v>
      </c>
      <c r="AS164" s="33"/>
      <c r="AT164" s="33"/>
      <c r="AU164" s="33"/>
      <c r="AV164" s="17"/>
    </row>
    <row r="165" spans="2:48" outlineLevel="1" x14ac:dyDescent="0.3">
      <c r="B165" s="580" t="s">
        <v>129</v>
      </c>
      <c r="C165" s="581"/>
      <c r="D165" s="102">
        <f>-(60.6-0.3)</f>
        <v>-60.300000000000004</v>
      </c>
      <c r="E165" s="102">
        <v>-68.2</v>
      </c>
      <c r="F165" s="102">
        <v>-69</v>
      </c>
      <c r="G165" s="102">
        <f>-262+197.5</f>
        <v>-64.5</v>
      </c>
      <c r="H165" s="159">
        <f>SUM(D165:G165)</f>
        <v>-262</v>
      </c>
      <c r="I165" s="102">
        <v>-58.9</v>
      </c>
      <c r="J165" s="102">
        <v>-60.1</v>
      </c>
      <c r="K165" s="105">
        <v>-60.54</v>
      </c>
      <c r="L165" s="101">
        <v>-64</v>
      </c>
      <c r="M165" s="169"/>
      <c r="N165" s="101">
        <v>-62.7</v>
      </c>
      <c r="O165" s="101">
        <v>-65.2</v>
      </c>
      <c r="P165" s="101">
        <v>-54.7</v>
      </c>
      <c r="Q165" s="101">
        <v>-59.6</v>
      </c>
      <c r="R165" s="17"/>
      <c r="S165" s="16">
        <f>0.1-42.8</f>
        <v>-42.699999999999996</v>
      </c>
      <c r="T165" s="16">
        <v>-43.1</v>
      </c>
      <c r="U165" s="16">
        <v>-63.5</v>
      </c>
      <c r="V165" s="101">
        <v>-42</v>
      </c>
      <c r="W165" s="17"/>
      <c r="X165" s="101">
        <v>-0.3</v>
      </c>
      <c r="Y165" s="101">
        <v>-0.1</v>
      </c>
      <c r="Z165" s="33">
        <f t="shared" ref="Z165:AA165" si="453">Y165</f>
        <v>-0.1</v>
      </c>
      <c r="AA165" s="33">
        <f t="shared" si="453"/>
        <v>-0.1</v>
      </c>
      <c r="AB165" s="17"/>
      <c r="AC165" s="33">
        <f t="shared" si="449"/>
        <v>-0.1</v>
      </c>
      <c r="AD165" s="33">
        <f t="shared" ref="AD165:AF165" si="454">AC165</f>
        <v>-0.1</v>
      </c>
      <c r="AE165" s="33">
        <f t="shared" si="454"/>
        <v>-0.1</v>
      </c>
      <c r="AF165" s="33">
        <f t="shared" si="454"/>
        <v>-0.1</v>
      </c>
      <c r="AG165" s="17"/>
      <c r="AH165" s="33">
        <f t="shared" si="450"/>
        <v>-0.1</v>
      </c>
      <c r="AI165" s="33">
        <f t="shared" ref="AI165:AK165" si="455">AH165</f>
        <v>-0.1</v>
      </c>
      <c r="AJ165" s="33">
        <f t="shared" si="455"/>
        <v>-0.1</v>
      </c>
      <c r="AK165" s="33">
        <f t="shared" si="455"/>
        <v>-0.1</v>
      </c>
      <c r="AL165" s="17"/>
      <c r="AM165" s="33">
        <f t="shared" si="451"/>
        <v>-0.1</v>
      </c>
      <c r="AN165" s="33">
        <f t="shared" ref="AN165:AP165" si="456">AM165</f>
        <v>-0.1</v>
      </c>
      <c r="AO165" s="33">
        <f t="shared" si="456"/>
        <v>-0.1</v>
      </c>
      <c r="AP165" s="33">
        <f t="shared" si="456"/>
        <v>-0.1</v>
      </c>
      <c r="AQ165" s="17"/>
      <c r="AR165" s="33">
        <f t="shared" si="452"/>
        <v>-0.1</v>
      </c>
      <c r="AS165" s="33">
        <f t="shared" ref="AS165:AU165" si="457">AR165</f>
        <v>-0.1</v>
      </c>
      <c r="AT165" s="33">
        <f t="shared" si="457"/>
        <v>-0.1</v>
      </c>
      <c r="AU165" s="33">
        <f t="shared" si="457"/>
        <v>-0.1</v>
      </c>
      <c r="AV165" s="17"/>
    </row>
    <row r="166" spans="2:48" outlineLevel="1" x14ac:dyDescent="0.3">
      <c r="B166" s="200" t="s">
        <v>66</v>
      </c>
      <c r="C166" s="201"/>
      <c r="D166" s="102">
        <v>-23.1</v>
      </c>
      <c r="E166" s="102">
        <v>-23.8</v>
      </c>
      <c r="F166" s="102">
        <v>-14.4</v>
      </c>
      <c r="G166" s="102">
        <v>0</v>
      </c>
      <c r="H166" s="159">
        <f t="shared" si="448"/>
        <v>-61.300000000000004</v>
      </c>
      <c r="I166" s="102"/>
      <c r="J166" s="102"/>
      <c r="K166" s="101"/>
      <c r="L166" s="101"/>
      <c r="M166" s="169"/>
      <c r="N166" s="101"/>
      <c r="O166" s="101"/>
      <c r="P166" s="101"/>
      <c r="Q166" s="101"/>
      <c r="R166" s="17"/>
      <c r="S166" s="16"/>
      <c r="T166" s="16"/>
      <c r="U166" s="16"/>
      <c r="V166" s="101"/>
      <c r="W166" s="17"/>
      <c r="X166" s="101">
        <v>0</v>
      </c>
      <c r="Y166" s="101"/>
      <c r="Z166" s="33"/>
      <c r="AA166" s="33"/>
      <c r="AB166" s="17"/>
      <c r="AC166" s="33">
        <f t="shared" si="449"/>
        <v>0</v>
      </c>
      <c r="AD166" s="33"/>
      <c r="AE166" s="33"/>
      <c r="AF166" s="33"/>
      <c r="AG166" s="17"/>
      <c r="AH166" s="33">
        <f t="shared" si="450"/>
        <v>0</v>
      </c>
      <c r="AI166" s="33"/>
      <c r="AJ166" s="33"/>
      <c r="AK166" s="33"/>
      <c r="AL166" s="17"/>
      <c r="AM166" s="33">
        <f t="shared" si="451"/>
        <v>0</v>
      </c>
      <c r="AN166" s="33"/>
      <c r="AO166" s="33"/>
      <c r="AP166" s="33"/>
      <c r="AQ166" s="17"/>
      <c r="AR166" s="33">
        <f t="shared" si="452"/>
        <v>0</v>
      </c>
      <c r="AS166" s="33"/>
      <c r="AT166" s="33"/>
      <c r="AU166" s="33"/>
      <c r="AV166" s="17"/>
    </row>
    <row r="167" spans="2:48" ht="16.2" outlineLevel="1" x14ac:dyDescent="0.45">
      <c r="B167" s="200" t="s">
        <v>80</v>
      </c>
      <c r="C167" s="201"/>
      <c r="D167" s="138">
        <v>0</v>
      </c>
      <c r="E167" s="138">
        <v>0</v>
      </c>
      <c r="F167" s="138">
        <v>0</v>
      </c>
      <c r="G167" s="138">
        <v>0</v>
      </c>
      <c r="H167" s="160">
        <f t="shared" si="448"/>
        <v>0</v>
      </c>
      <c r="I167" s="138">
        <v>0</v>
      </c>
      <c r="J167" s="138">
        <v>0</v>
      </c>
      <c r="K167" s="112">
        <v>0</v>
      </c>
      <c r="L167" s="112">
        <v>0</v>
      </c>
      <c r="M167" s="169"/>
      <c r="N167" s="112">
        <v>0</v>
      </c>
      <c r="O167" s="112">
        <v>0</v>
      </c>
      <c r="P167" s="112">
        <v>0</v>
      </c>
      <c r="Q167" s="112">
        <v>0</v>
      </c>
      <c r="R167" s="17"/>
      <c r="S167" s="112">
        <v>0</v>
      </c>
      <c r="T167" s="112">
        <v>0</v>
      </c>
      <c r="U167" s="112">
        <v>0</v>
      </c>
      <c r="V167" s="112">
        <v>0</v>
      </c>
      <c r="W167" s="17"/>
      <c r="X167" s="112">
        <v>0</v>
      </c>
      <c r="Y167" s="112">
        <v>91.3</v>
      </c>
      <c r="Z167" s="32">
        <v>0</v>
      </c>
      <c r="AA167" s="32">
        <f>Z167</f>
        <v>0</v>
      </c>
      <c r="AB167" s="17"/>
      <c r="AC167" s="32">
        <f t="shared" si="449"/>
        <v>0</v>
      </c>
      <c r="AD167" s="32">
        <v>0</v>
      </c>
      <c r="AE167" s="32">
        <v>0</v>
      </c>
      <c r="AF167" s="32">
        <v>0</v>
      </c>
      <c r="AG167" s="17"/>
      <c r="AH167" s="32">
        <f t="shared" si="450"/>
        <v>0</v>
      </c>
      <c r="AI167" s="32">
        <v>0</v>
      </c>
      <c r="AJ167" s="32">
        <v>0</v>
      </c>
      <c r="AK167" s="32">
        <v>0</v>
      </c>
      <c r="AL167" s="17"/>
      <c r="AM167" s="32">
        <f t="shared" si="451"/>
        <v>0</v>
      </c>
      <c r="AN167" s="32">
        <v>0</v>
      </c>
      <c r="AO167" s="32">
        <v>0</v>
      </c>
      <c r="AP167" s="32">
        <v>0</v>
      </c>
      <c r="AQ167" s="17"/>
      <c r="AR167" s="32">
        <f t="shared" si="452"/>
        <v>0</v>
      </c>
      <c r="AS167" s="32">
        <v>0</v>
      </c>
      <c r="AT167" s="32">
        <v>0</v>
      </c>
      <c r="AU167" s="32">
        <v>0</v>
      </c>
      <c r="AV167" s="17"/>
    </row>
    <row r="168" spans="2:48" s="8" customFormat="1" outlineLevel="1" x14ac:dyDescent="0.3">
      <c r="B168" s="205" t="s">
        <v>67</v>
      </c>
      <c r="C168" s="202"/>
      <c r="D168" s="103">
        <f t="shared" ref="D168:L168" si="458">SUM(D163:D167)</f>
        <v>-138</v>
      </c>
      <c r="E168" s="103">
        <f t="shared" si="458"/>
        <v>-141.4</v>
      </c>
      <c r="F168" s="103">
        <f t="shared" si="458"/>
        <v>-125.30000000000001</v>
      </c>
      <c r="G168" s="103">
        <f t="shared" si="458"/>
        <v>-77.399999999999991</v>
      </c>
      <c r="H168" s="171">
        <f t="shared" si="458"/>
        <v>-482.09999999999997</v>
      </c>
      <c r="I168" s="103">
        <f t="shared" si="458"/>
        <v>-71.599999999999994</v>
      </c>
      <c r="J168" s="103">
        <f t="shared" si="458"/>
        <v>-66.8</v>
      </c>
      <c r="K168" s="103">
        <f t="shared" si="458"/>
        <v>-173.67999999999998</v>
      </c>
      <c r="L168" s="103">
        <f t="shared" si="458"/>
        <v>-259.5</v>
      </c>
      <c r="M168" s="150"/>
      <c r="N168" s="103">
        <f>SUM(N163:N167)</f>
        <v>-134.9</v>
      </c>
      <c r="O168" s="103">
        <f>SUM(O163:O167)</f>
        <v>-88.2</v>
      </c>
      <c r="P168" s="103">
        <f>SUM(P163:P167)</f>
        <v>-51.7</v>
      </c>
      <c r="Q168" s="103">
        <f>SUM(Q163:Q167)</f>
        <v>-115.2</v>
      </c>
      <c r="R168" s="22"/>
      <c r="S168" s="103">
        <f>SUM(S163:S167)</f>
        <v>-35.199999999999996</v>
      </c>
      <c r="T168" s="50">
        <f>SUM(T163:T167)</f>
        <v>-47.5</v>
      </c>
      <c r="U168" s="50">
        <f>SUM(U163:U167)</f>
        <v>-77.5</v>
      </c>
      <c r="V168" s="50">
        <f>SUM(V163:V167)</f>
        <v>-77.099999999999994</v>
      </c>
      <c r="W168" s="22"/>
      <c r="X168" s="103">
        <f>SUM(X163:X167)</f>
        <v>-6.1</v>
      </c>
      <c r="Y168" s="103">
        <f>SUM(Y163:Y167)</f>
        <v>82.399999999999991</v>
      </c>
      <c r="Z168" s="50">
        <f>SUM(Z163:Z167)</f>
        <v>-7.1</v>
      </c>
      <c r="AA168" s="50">
        <f>SUM(AA163:AA167)</f>
        <v>-7.1</v>
      </c>
      <c r="AB168" s="22"/>
      <c r="AC168" s="50">
        <f>SUM(AC163:AC167)</f>
        <v>-7.1</v>
      </c>
      <c r="AD168" s="50">
        <f>SUM(AD163:AD167)</f>
        <v>-7.1</v>
      </c>
      <c r="AE168" s="50">
        <f>SUM(AE163:AE167)</f>
        <v>-7.1</v>
      </c>
      <c r="AF168" s="50">
        <f>SUM(AF163:AF167)</f>
        <v>-7.1</v>
      </c>
      <c r="AG168" s="22"/>
      <c r="AH168" s="50">
        <f>SUM(AH163:AH167)</f>
        <v>-7.1</v>
      </c>
      <c r="AI168" s="50">
        <f>SUM(AI163:AI167)</f>
        <v>-7.1</v>
      </c>
      <c r="AJ168" s="50">
        <f>SUM(AJ163:AJ167)</f>
        <v>-7.1</v>
      </c>
      <c r="AK168" s="50">
        <f>SUM(AK163:AK167)</f>
        <v>-7.1</v>
      </c>
      <c r="AL168" s="22"/>
      <c r="AM168" s="50">
        <f>SUM(AM163:AM167)</f>
        <v>-7.1</v>
      </c>
      <c r="AN168" s="50">
        <f>SUM(AN163:AN167)</f>
        <v>-7.1</v>
      </c>
      <c r="AO168" s="50">
        <f>SUM(AO163:AO167)</f>
        <v>-7.1</v>
      </c>
      <c r="AP168" s="50">
        <f>SUM(AP163:AP167)</f>
        <v>-7.1</v>
      </c>
      <c r="AQ168" s="22"/>
      <c r="AR168" s="50">
        <f>SUM(AR163:AR167)</f>
        <v>-7.1</v>
      </c>
      <c r="AS168" s="50">
        <f>SUM(AS163:AS167)</f>
        <v>-7.1</v>
      </c>
      <c r="AT168" s="50">
        <f>SUM(AT163:AT167)</f>
        <v>-7.1</v>
      </c>
      <c r="AU168" s="50">
        <f>SUM(AU163:AU167)</f>
        <v>-7.1</v>
      </c>
      <c r="AV168" s="22"/>
    </row>
    <row r="169" spans="2:48" ht="16.2" outlineLevel="1" x14ac:dyDescent="0.45">
      <c r="B169" s="200" t="s">
        <v>155</v>
      </c>
      <c r="C169" s="201"/>
      <c r="D169" s="104">
        <v>0</v>
      </c>
      <c r="E169" s="104">
        <v>0</v>
      </c>
      <c r="F169" s="104">
        <v>0</v>
      </c>
      <c r="G169" s="104">
        <v>0</v>
      </c>
      <c r="H169" s="169"/>
      <c r="I169" s="104">
        <v>0</v>
      </c>
      <c r="J169" s="104">
        <v>0</v>
      </c>
      <c r="K169" s="104">
        <v>0</v>
      </c>
      <c r="L169" s="104">
        <v>0</v>
      </c>
      <c r="M169" s="169"/>
      <c r="N169" s="104">
        <v>0</v>
      </c>
      <c r="O169" s="104">
        <v>0</v>
      </c>
      <c r="P169" s="104">
        <v>0</v>
      </c>
      <c r="Q169" s="104">
        <v>0</v>
      </c>
      <c r="R169" s="17"/>
      <c r="S169" s="104">
        <v>0</v>
      </c>
      <c r="T169" s="52">
        <v>0</v>
      </c>
      <c r="U169" s="52">
        <v>0</v>
      </c>
      <c r="V169" s="52">
        <v>0</v>
      </c>
      <c r="W169" s="17"/>
      <c r="X169" s="104">
        <v>0</v>
      </c>
      <c r="Y169" s="104">
        <v>0</v>
      </c>
      <c r="Z169" s="52">
        <v>0</v>
      </c>
      <c r="AA169" s="52">
        <v>0</v>
      </c>
      <c r="AB169" s="17"/>
      <c r="AC169" s="52">
        <v>0</v>
      </c>
      <c r="AD169" s="52">
        <v>0</v>
      </c>
      <c r="AE169" s="52">
        <v>0</v>
      </c>
      <c r="AF169" s="52">
        <v>0</v>
      </c>
      <c r="AG169" s="17"/>
      <c r="AH169" s="52">
        <v>0</v>
      </c>
      <c r="AI169" s="52">
        <v>0</v>
      </c>
      <c r="AJ169" s="52">
        <v>0</v>
      </c>
      <c r="AK169" s="52">
        <v>0</v>
      </c>
      <c r="AL169" s="17"/>
      <c r="AM169" s="52">
        <v>0</v>
      </c>
      <c r="AN169" s="52">
        <v>0</v>
      </c>
      <c r="AO169" s="52">
        <v>0</v>
      </c>
      <c r="AP169" s="52">
        <v>0</v>
      </c>
      <c r="AQ169" s="17"/>
      <c r="AR169" s="52">
        <v>0</v>
      </c>
      <c r="AS169" s="52">
        <v>0</v>
      </c>
      <c r="AT169" s="52">
        <v>0</v>
      </c>
      <c r="AU169" s="52">
        <v>0</v>
      </c>
      <c r="AV169" s="17"/>
    </row>
    <row r="170" spans="2:48" s="8" customFormat="1" outlineLevel="1" x14ac:dyDescent="0.3">
      <c r="B170" s="205" t="s">
        <v>68</v>
      </c>
      <c r="C170" s="202"/>
      <c r="D170" s="103">
        <f t="shared" ref="D170:G170" si="459">-D168+D169</f>
        <v>138</v>
      </c>
      <c r="E170" s="103">
        <f t="shared" si="459"/>
        <v>141.4</v>
      </c>
      <c r="F170" s="103">
        <f t="shared" si="459"/>
        <v>125.30000000000001</v>
      </c>
      <c r="G170" s="103">
        <f t="shared" si="459"/>
        <v>77.399999999999991</v>
      </c>
      <c r="H170" s="150"/>
      <c r="I170" s="103">
        <f t="shared" ref="I170:L170" si="460">-I168+I169</f>
        <v>71.599999999999994</v>
      </c>
      <c r="J170" s="103">
        <f t="shared" si="460"/>
        <v>66.8</v>
      </c>
      <c r="K170" s="103">
        <f t="shared" si="460"/>
        <v>173.67999999999998</v>
      </c>
      <c r="L170" s="103">
        <f t="shared" si="460"/>
        <v>259.5</v>
      </c>
      <c r="M170" s="150"/>
      <c r="N170" s="103">
        <f t="shared" ref="N170:P170" si="461">-N168+N169</f>
        <v>134.9</v>
      </c>
      <c r="O170" s="103">
        <f t="shared" si="461"/>
        <v>88.2</v>
      </c>
      <c r="P170" s="103">
        <f t="shared" si="461"/>
        <v>51.7</v>
      </c>
      <c r="Q170" s="103">
        <f>-Q168+Q169</f>
        <v>115.2</v>
      </c>
      <c r="R170" s="22"/>
      <c r="S170" s="103">
        <f t="shared" ref="S170:V170" si="462">-S168+S169</f>
        <v>35.199999999999996</v>
      </c>
      <c r="T170" s="50">
        <f t="shared" si="462"/>
        <v>47.5</v>
      </c>
      <c r="U170" s="50">
        <f t="shared" si="462"/>
        <v>77.5</v>
      </c>
      <c r="V170" s="50">
        <f t="shared" si="462"/>
        <v>77.099999999999994</v>
      </c>
      <c r="W170" s="22"/>
      <c r="X170" s="103">
        <f t="shared" ref="X170:AA170" si="463">-X168+X169</f>
        <v>6.1</v>
      </c>
      <c r="Y170" s="103">
        <f t="shared" si="463"/>
        <v>-82.399999999999991</v>
      </c>
      <c r="Z170" s="50">
        <f t="shared" si="463"/>
        <v>7.1</v>
      </c>
      <c r="AA170" s="50">
        <f t="shared" si="463"/>
        <v>7.1</v>
      </c>
      <c r="AB170" s="22"/>
      <c r="AC170" s="50">
        <f t="shared" ref="AC170:AF170" si="464">-AC168+AC169</f>
        <v>7.1</v>
      </c>
      <c r="AD170" s="50">
        <f t="shared" si="464"/>
        <v>7.1</v>
      </c>
      <c r="AE170" s="50">
        <f t="shared" si="464"/>
        <v>7.1</v>
      </c>
      <c r="AF170" s="50">
        <f t="shared" si="464"/>
        <v>7.1</v>
      </c>
      <c r="AG170" s="22"/>
      <c r="AH170" s="50">
        <f t="shared" ref="AH170:AK170" si="465">-AH168+AH169</f>
        <v>7.1</v>
      </c>
      <c r="AI170" s="50">
        <f t="shared" si="465"/>
        <v>7.1</v>
      </c>
      <c r="AJ170" s="50">
        <f t="shared" si="465"/>
        <v>7.1</v>
      </c>
      <c r="AK170" s="50">
        <f t="shared" si="465"/>
        <v>7.1</v>
      </c>
      <c r="AL170" s="22"/>
      <c r="AM170" s="50">
        <f t="shared" ref="AM170:AP170" si="466">-AM168+AM169</f>
        <v>7.1</v>
      </c>
      <c r="AN170" s="50">
        <f t="shared" si="466"/>
        <v>7.1</v>
      </c>
      <c r="AO170" s="50">
        <f t="shared" si="466"/>
        <v>7.1</v>
      </c>
      <c r="AP170" s="50">
        <f t="shared" si="466"/>
        <v>7.1</v>
      </c>
      <c r="AQ170" s="22"/>
      <c r="AR170" s="50">
        <f t="shared" ref="AR170:AU170" si="467">-AR168+AR169</f>
        <v>7.1</v>
      </c>
      <c r="AS170" s="50">
        <f t="shared" si="467"/>
        <v>7.1</v>
      </c>
      <c r="AT170" s="50">
        <f t="shared" si="467"/>
        <v>7.1</v>
      </c>
      <c r="AU170" s="50">
        <f t="shared" si="467"/>
        <v>7.1</v>
      </c>
      <c r="AV170" s="22"/>
    </row>
    <row r="171" spans="2:48" outlineLevel="1" x14ac:dyDescent="0.3">
      <c r="B171" s="200" t="s">
        <v>69</v>
      </c>
      <c r="C171" s="201"/>
      <c r="D171" s="105">
        <v>0</v>
      </c>
      <c r="E171" s="101">
        <f>-0.02*E31</f>
        <v>-25.014000000000003</v>
      </c>
      <c r="F171" s="101">
        <f>0.49*F31</f>
        <v>599.27</v>
      </c>
      <c r="G171" s="101">
        <v>0</v>
      </c>
      <c r="H171" s="169"/>
      <c r="I171" s="101">
        <v>0</v>
      </c>
      <c r="J171" s="101">
        <v>0</v>
      </c>
      <c r="K171" s="101">
        <v>0</v>
      </c>
      <c r="L171" s="101">
        <v>0</v>
      </c>
      <c r="M171" s="169"/>
      <c r="N171" s="101">
        <v>0</v>
      </c>
      <c r="O171" s="101">
        <v>0</v>
      </c>
      <c r="P171" s="101">
        <v>0</v>
      </c>
      <c r="Q171" s="101">
        <f>0.73*Q31</f>
        <v>867.16700000000003</v>
      </c>
      <c r="R171" s="17"/>
      <c r="S171" s="101">
        <v>0</v>
      </c>
      <c r="T171" s="101">
        <f>0.03*T31</f>
        <v>34.617000000000004</v>
      </c>
      <c r="U171" s="101">
        <v>0</v>
      </c>
      <c r="V171" s="101">
        <v>0</v>
      </c>
      <c r="W171" s="17"/>
      <c r="X171" s="101">
        <v>0</v>
      </c>
      <c r="Y171" s="101">
        <v>0</v>
      </c>
      <c r="Z171" s="33">
        <v>0</v>
      </c>
      <c r="AA171" s="33">
        <v>0</v>
      </c>
      <c r="AB171" s="17"/>
      <c r="AC171" s="33">
        <v>0</v>
      </c>
      <c r="AD171" s="33">
        <v>0</v>
      </c>
      <c r="AE171" s="33">
        <v>0</v>
      </c>
      <c r="AF171" s="33">
        <v>0</v>
      </c>
      <c r="AG171" s="17"/>
      <c r="AH171" s="33">
        <v>0</v>
      </c>
      <c r="AI171" s="33">
        <v>0</v>
      </c>
      <c r="AJ171" s="33">
        <v>0</v>
      </c>
      <c r="AK171" s="33">
        <v>0</v>
      </c>
      <c r="AL171" s="17"/>
      <c r="AM171" s="33">
        <v>0</v>
      </c>
      <c r="AN171" s="33">
        <v>0</v>
      </c>
      <c r="AO171" s="33">
        <v>0</v>
      </c>
      <c r="AP171" s="33">
        <v>0</v>
      </c>
      <c r="AQ171" s="17"/>
      <c r="AR171" s="33">
        <v>0</v>
      </c>
      <c r="AS171" s="33">
        <v>0</v>
      </c>
      <c r="AT171" s="33">
        <v>0</v>
      </c>
      <c r="AU171" s="33">
        <v>0</v>
      </c>
      <c r="AV171" s="17"/>
    </row>
    <row r="172" spans="2:48" outlineLevel="1" x14ac:dyDescent="0.3">
      <c r="B172" s="580" t="s">
        <v>75</v>
      </c>
      <c r="C172" s="581"/>
      <c r="D172" s="105">
        <v>-41.449999999998646</v>
      </c>
      <c r="E172" s="101">
        <v>79.193999999999548</v>
      </c>
      <c r="F172" s="101">
        <v>-55.109999999999197</v>
      </c>
      <c r="G172" s="101">
        <v>30</v>
      </c>
      <c r="H172" s="169"/>
      <c r="I172" s="101">
        <v>11</v>
      </c>
      <c r="J172" s="101">
        <v>23</v>
      </c>
      <c r="K172" s="101">
        <f>0.03*K31</f>
        <v>35.055</v>
      </c>
      <c r="L172" s="101">
        <v>50.810000000000372</v>
      </c>
      <c r="M172" s="169"/>
      <c r="N172" s="101">
        <f>0.03*N31</f>
        <v>35.49</v>
      </c>
      <c r="O172" s="101">
        <f>0.01*O31</f>
        <v>11.847999999999999</v>
      </c>
      <c r="P172" s="101">
        <f>0.01*P31</f>
        <v>11.862</v>
      </c>
      <c r="Q172" s="101">
        <f>-0.144*Q31</f>
        <v>-171.05760000000001</v>
      </c>
      <c r="R172" s="17"/>
      <c r="S172" s="101">
        <v>3.9480000000003299</v>
      </c>
      <c r="T172" s="16">
        <f>0.01*T31</f>
        <v>11.539000000000001</v>
      </c>
      <c r="U172" s="16">
        <f>0.02*U31</f>
        <v>23.02</v>
      </c>
      <c r="V172" s="16">
        <f>0.02*V31</f>
        <v>23.05</v>
      </c>
      <c r="W172" s="17"/>
      <c r="X172" s="101">
        <f>0*X31</f>
        <v>0</v>
      </c>
      <c r="Y172" s="101">
        <f>-0.02*Y31</f>
        <v>-23.054000000000002</v>
      </c>
      <c r="Z172" s="16">
        <f>+Z170*Z173</f>
        <v>1.986449029126214</v>
      </c>
      <c r="AA172" s="16">
        <f t="shared" ref="Z172:AA172" si="468">+AA170*AA173</f>
        <v>1.986449029126214</v>
      </c>
      <c r="AB172" s="17"/>
      <c r="AC172" s="16">
        <f>+AC170*AC173</f>
        <v>1.986449029126214</v>
      </c>
      <c r="AD172" s="16">
        <f>+AD170*AD173</f>
        <v>1.986449029126214</v>
      </c>
      <c r="AE172" s="16">
        <f t="shared" ref="AE172:AF172" si="469">+AE170*AE173</f>
        <v>1.986449029126214</v>
      </c>
      <c r="AF172" s="16">
        <f t="shared" si="469"/>
        <v>1.986449029126214</v>
      </c>
      <c r="AG172" s="17"/>
      <c r="AH172" s="16">
        <f>+AH170*AH173</f>
        <v>1.986449029126214</v>
      </c>
      <c r="AI172" s="16">
        <f>+AI170*AI173</f>
        <v>1.986449029126214</v>
      </c>
      <c r="AJ172" s="16">
        <f t="shared" ref="AJ172:AK172" si="470">+AJ170*AJ173</f>
        <v>1.986449029126214</v>
      </c>
      <c r="AK172" s="16">
        <f t="shared" si="470"/>
        <v>1.986449029126214</v>
      </c>
      <c r="AL172" s="17"/>
      <c r="AM172" s="16">
        <f>+AM170*AM173</f>
        <v>1.986449029126214</v>
      </c>
      <c r="AN172" s="16">
        <f>+AN170*AN173</f>
        <v>1.986449029126214</v>
      </c>
      <c r="AO172" s="16">
        <f t="shared" ref="AO172:AP172" si="471">+AO170*AO173</f>
        <v>1.986449029126214</v>
      </c>
      <c r="AP172" s="16">
        <f t="shared" si="471"/>
        <v>1.986449029126214</v>
      </c>
      <c r="AQ172" s="17"/>
      <c r="AR172" s="16">
        <f>+AR170*AR173</f>
        <v>1.986449029126214</v>
      </c>
      <c r="AS172" s="16">
        <f>+AS170*AS173</f>
        <v>1.986449029126214</v>
      </c>
      <c r="AT172" s="16">
        <f t="shared" ref="AT172:AU172" si="472">+AT170*AT173</f>
        <v>1.986449029126214</v>
      </c>
      <c r="AU172" s="16">
        <f t="shared" si="472"/>
        <v>1.986449029126214</v>
      </c>
      <c r="AV172" s="17"/>
    </row>
    <row r="173" spans="2:48" outlineLevel="1" x14ac:dyDescent="0.3">
      <c r="B173" s="203" t="s">
        <v>76</v>
      </c>
      <c r="C173" s="204"/>
      <c r="D173" s="211">
        <f t="shared" ref="D173:G173" si="473">D172/D170</f>
        <v>-0.30036231884056991</v>
      </c>
      <c r="E173" s="211">
        <f t="shared" si="473"/>
        <v>0.56007072135784686</v>
      </c>
      <c r="F173" s="211">
        <f t="shared" si="473"/>
        <v>-0.43982442138866074</v>
      </c>
      <c r="G173" s="211">
        <f t="shared" si="473"/>
        <v>0.38759689922480622</v>
      </c>
      <c r="H173" s="212"/>
      <c r="I173" s="211">
        <f t="shared" ref="I173:Y173" si="474">I172/I170</f>
        <v>0.15363128491620112</v>
      </c>
      <c r="J173" s="211">
        <f t="shared" si="474"/>
        <v>0.34431137724550898</v>
      </c>
      <c r="K173" s="211">
        <f t="shared" si="474"/>
        <v>0.20183671119299865</v>
      </c>
      <c r="L173" s="211">
        <f t="shared" si="474"/>
        <v>0.1957996146435467</v>
      </c>
      <c r="M173" s="212"/>
      <c r="N173" s="211">
        <f t="shared" si="474"/>
        <v>0.26308376575240922</v>
      </c>
      <c r="O173" s="211">
        <f t="shared" si="474"/>
        <v>0.13433106575963719</v>
      </c>
      <c r="P173" s="211">
        <f t="shared" si="474"/>
        <v>0.22943907156673113</v>
      </c>
      <c r="Q173" s="211">
        <f t="shared" si="474"/>
        <v>-1.4848749999999999</v>
      </c>
      <c r="R173" s="37"/>
      <c r="S173" s="211">
        <f t="shared" si="474"/>
        <v>0.1121590909091003</v>
      </c>
      <c r="T173" s="211">
        <f t="shared" si="474"/>
        <v>0.24292631578947371</v>
      </c>
      <c r="U173" s="211">
        <f t="shared" si="474"/>
        <v>0.29703225806451611</v>
      </c>
      <c r="V173" s="211">
        <f t="shared" si="474"/>
        <v>0.29896238651102469</v>
      </c>
      <c r="W173" s="37"/>
      <c r="X173" s="211">
        <f t="shared" si="474"/>
        <v>0</v>
      </c>
      <c r="Y173" s="211">
        <f t="shared" si="474"/>
        <v>0.27978155339805832</v>
      </c>
      <c r="Z173" s="94">
        <f>Y173</f>
        <v>0.27978155339805832</v>
      </c>
      <c r="AA173" s="94">
        <f>Z173</f>
        <v>0.27978155339805832</v>
      </c>
      <c r="AB173" s="37"/>
      <c r="AC173" s="94">
        <f>AA173</f>
        <v>0.27978155339805832</v>
      </c>
      <c r="AD173" s="94">
        <f>AC173</f>
        <v>0.27978155339805832</v>
      </c>
      <c r="AE173" s="94">
        <f>AD173</f>
        <v>0.27978155339805832</v>
      </c>
      <c r="AF173" s="94">
        <f>AE173</f>
        <v>0.27978155339805832</v>
      </c>
      <c r="AG173" s="37"/>
      <c r="AH173" s="94">
        <f>AF173</f>
        <v>0.27978155339805832</v>
      </c>
      <c r="AI173" s="94">
        <f>AH173</f>
        <v>0.27978155339805832</v>
      </c>
      <c r="AJ173" s="94">
        <f>AI173</f>
        <v>0.27978155339805832</v>
      </c>
      <c r="AK173" s="94">
        <f>AJ173</f>
        <v>0.27978155339805832</v>
      </c>
      <c r="AL173" s="37"/>
      <c r="AM173" s="94">
        <f>AK173</f>
        <v>0.27978155339805832</v>
      </c>
      <c r="AN173" s="94">
        <f>AM173</f>
        <v>0.27978155339805832</v>
      </c>
      <c r="AO173" s="94">
        <f>AN173</f>
        <v>0.27978155339805832</v>
      </c>
      <c r="AP173" s="94">
        <f>AO173</f>
        <v>0.27978155339805832</v>
      </c>
      <c r="AQ173" s="37"/>
      <c r="AR173" s="94">
        <f>AP173</f>
        <v>0.27978155339805832</v>
      </c>
      <c r="AS173" s="94">
        <f>AR173</f>
        <v>0.27978155339805832</v>
      </c>
      <c r="AT173" s="94">
        <f>AS173</f>
        <v>0.27978155339805832</v>
      </c>
      <c r="AU173" s="94">
        <f>AT173</f>
        <v>0.27978155339805832</v>
      </c>
      <c r="AV173" s="37"/>
    </row>
    <row r="175" spans="2:48" x14ac:dyDescent="0.3">
      <c r="B175" s="382" t="s">
        <v>314</v>
      </c>
      <c r="Q175" s="383">
        <f>Q61-L61</f>
        <v>-6.6118692968142323E-4</v>
      </c>
      <c r="R175" s="383"/>
      <c r="S175" s="383">
        <f>S61-N61</f>
        <v>1.2901737440265071E-2</v>
      </c>
      <c r="T175" s="383">
        <f t="shared" ref="T175" si="475">T61-O61</f>
        <v>2.4025383293040548E-2</v>
      </c>
      <c r="U175" s="383">
        <f>U61-P61</f>
        <v>2.0536242149533701E-2</v>
      </c>
      <c r="V175" s="383">
        <f>V61-Q61</f>
        <v>1.4419766618683716E-2</v>
      </c>
      <c r="W175" s="383"/>
      <c r="X175" s="383">
        <f t="shared" ref="X175:AA175" si="476">X61-S61</f>
        <v>8.4563592780118046E-3</v>
      </c>
      <c r="Y175" s="383">
        <f t="shared" si="476"/>
        <v>-1.69300923882576E-3</v>
      </c>
      <c r="Z175" s="383">
        <f t="shared" si="476"/>
        <v>2.8278093225934109E-3</v>
      </c>
      <c r="AA175" s="383">
        <f t="shared" si="476"/>
        <v>-1.2500000000000011E-2</v>
      </c>
      <c r="AB175" s="383"/>
      <c r="AC175" s="383">
        <f t="shared" ref="AC175:AF175" si="477">AC61-X61</f>
        <v>-1.0000000000000009E-2</v>
      </c>
      <c r="AD175" s="383">
        <f t="shared" si="477"/>
        <v>-5.0000000000000044E-3</v>
      </c>
      <c r="AE175" s="383">
        <f t="shared" si="477"/>
        <v>-5.0000000000000044E-3</v>
      </c>
      <c r="AF175" s="383">
        <f t="shared" si="477"/>
        <v>1.0000000000000009E-2</v>
      </c>
      <c r="AH175" s="383">
        <f t="shared" ref="AH175:AK175" si="478">AH61-AC61</f>
        <v>-1.0000000000000009E-3</v>
      </c>
      <c r="AI175" s="383">
        <f t="shared" si="478"/>
        <v>-1.0000000000000009E-3</v>
      </c>
      <c r="AJ175" s="383">
        <f t="shared" si="478"/>
        <v>-1.0000000000000009E-3</v>
      </c>
      <c r="AK175" s="383">
        <f t="shared" si="478"/>
        <v>-1.0000000000000009E-3</v>
      </c>
    </row>
    <row r="176" spans="2:48" ht="14.55" customHeight="1" x14ac:dyDescent="0.3">
      <c r="B176" s="382" t="s">
        <v>315</v>
      </c>
      <c r="Q176" s="383">
        <f t="shared" ref="Q176:T176" si="479">Q63-L63</f>
        <v>-4.2476929877535707E-2</v>
      </c>
      <c r="R176" s="383"/>
      <c r="S176" s="383">
        <f t="shared" si="479"/>
        <v>-4.2111802490401029E-3</v>
      </c>
      <c r="T176" s="383">
        <f t="shared" si="479"/>
        <v>1.5713963584189306E-2</v>
      </c>
      <c r="U176" s="383">
        <f>U63-P63</f>
        <v>8.2485911822535729E-3</v>
      </c>
      <c r="V176" s="383">
        <f>V63-Q63</f>
        <v>2.6389804799066163E-2</v>
      </c>
      <c r="W176" s="383"/>
      <c r="X176" s="383">
        <f t="shared" ref="X176:AA176" si="480">X63-S63</f>
        <v>-1.9172460120514545E-3</v>
      </c>
      <c r="Y176" s="383">
        <f>Y63-T63</f>
        <v>-1.7881580468150471E-2</v>
      </c>
      <c r="Z176" s="383">
        <f t="shared" si="480"/>
        <v>1.0000000000000009E-2</v>
      </c>
      <c r="AA176" s="383">
        <f t="shared" si="480"/>
        <v>0</v>
      </c>
      <c r="AB176" s="383"/>
      <c r="AC176" s="383">
        <f t="shared" ref="AC176:AF176" si="481">AC63-X63</f>
        <v>-1.0000000000000009E-2</v>
      </c>
      <c r="AD176" s="383">
        <f t="shared" si="481"/>
        <v>-1.0000000000000009E-3</v>
      </c>
      <c r="AE176" s="383">
        <f t="shared" si="481"/>
        <v>-1.0000000000000009E-3</v>
      </c>
      <c r="AF176" s="383">
        <f t="shared" si="481"/>
        <v>1.0000000000000009E-2</v>
      </c>
      <c r="AH176" s="383">
        <f t="shared" ref="AH176:AK176" si="482">AH63-AC63</f>
        <v>-1.0000000000000009E-3</v>
      </c>
      <c r="AI176" s="383">
        <f t="shared" si="482"/>
        <v>-1.0000000000000009E-3</v>
      </c>
      <c r="AJ176" s="383">
        <f t="shared" si="482"/>
        <v>-1.0000000000000009E-3</v>
      </c>
      <c r="AK176" s="383">
        <f t="shared" si="482"/>
        <v>-1.0000000000000009E-3</v>
      </c>
    </row>
    <row r="177" spans="1:48" ht="14.55" customHeight="1" x14ac:dyDescent="0.3">
      <c r="B177" s="382" t="s">
        <v>316</v>
      </c>
      <c r="Q177" s="383">
        <f t="shared" ref="Q177:T177" si="483">Q65-L65</f>
        <v>-8.1024370824473238E-4</v>
      </c>
      <c r="R177" s="383"/>
      <c r="S177" s="383">
        <f t="shared" si="483"/>
        <v>-6.9169487840035036E-4</v>
      </c>
      <c r="T177" s="383">
        <f t="shared" si="483"/>
        <v>-3.3352357784197616E-4</v>
      </c>
      <c r="U177" s="383">
        <f>U65-P65</f>
        <v>1.7928850972594532E-3</v>
      </c>
      <c r="V177" s="383">
        <f t="shared" ref="V177:AA177" si="484">V65-Q65</f>
        <v>1.7144676918782326E-4</v>
      </c>
      <c r="W177" s="383"/>
      <c r="X177" s="383">
        <f t="shared" si="484"/>
        <v>1.6047875788107509E-3</v>
      </c>
      <c r="Y177" s="383">
        <f t="shared" si="484"/>
        <v>1.2873437835130355E-3</v>
      </c>
      <c r="Z177" s="383">
        <f t="shared" si="484"/>
        <v>0</v>
      </c>
      <c r="AA177" s="383">
        <f t="shared" si="484"/>
        <v>0</v>
      </c>
      <c r="AB177" s="383"/>
      <c r="AC177" s="383">
        <f t="shared" ref="AC177:AF177" si="485">AC65-X65</f>
        <v>0</v>
      </c>
      <c r="AD177" s="383">
        <f t="shared" si="485"/>
        <v>0</v>
      </c>
      <c r="AE177" s="383">
        <f t="shared" si="485"/>
        <v>0</v>
      </c>
      <c r="AF177" s="383">
        <f t="shared" si="485"/>
        <v>0</v>
      </c>
      <c r="AH177" s="383">
        <f t="shared" ref="AH177:AK177" si="486">AH65-AC65</f>
        <v>0</v>
      </c>
      <c r="AI177" s="383">
        <f t="shared" si="486"/>
        <v>0</v>
      </c>
      <c r="AJ177" s="383">
        <f t="shared" si="486"/>
        <v>0</v>
      </c>
      <c r="AK177" s="383">
        <f t="shared" si="486"/>
        <v>0</v>
      </c>
    </row>
    <row r="178" spans="1:48" ht="14.55" customHeight="1" x14ac:dyDescent="0.3">
      <c r="A178" s="161"/>
      <c r="B178" s="382" t="s">
        <v>317</v>
      </c>
      <c r="Q178" s="383">
        <f t="shared" ref="Q178:T178" si="487">Q68-L68</f>
        <v>-1.8685768961161399E-3</v>
      </c>
      <c r="R178" s="383"/>
      <c r="S178" s="383">
        <f t="shared" si="487"/>
        <v>-1.673261995123904E-3</v>
      </c>
      <c r="T178" s="383">
        <f t="shared" si="487"/>
        <v>-3.5644778537942175E-3</v>
      </c>
      <c r="U178" s="383">
        <f>U68-P68</f>
        <v>-9.2770624793186637E-4</v>
      </c>
      <c r="V178" s="383">
        <f t="shared" ref="V178:AA178" si="488">V68-Q68</f>
        <v>-7.584336101247053E-4</v>
      </c>
      <c r="W178" s="383"/>
      <c r="X178" s="383">
        <f t="shared" si="488"/>
        <v>2.2349028606540016E-3</v>
      </c>
      <c r="Y178" s="383">
        <f t="shared" si="488"/>
        <v>1.2004276618769964E-3</v>
      </c>
      <c r="Z178" s="383">
        <f t="shared" si="488"/>
        <v>2.5000000000000005E-3</v>
      </c>
      <c r="AA178" s="383">
        <f t="shared" si="488"/>
        <v>-0.01</v>
      </c>
      <c r="AB178" s="383"/>
      <c r="AC178" s="383">
        <f t="shared" ref="AC178:AF178" si="489">AC68-X68</f>
        <v>-2.9999999999999992E-3</v>
      </c>
      <c r="AD178" s="383">
        <f t="shared" si="489"/>
        <v>1.9999999999999983E-3</v>
      </c>
      <c r="AE178" s="383">
        <f t="shared" si="489"/>
        <v>-9.9999999999999915E-4</v>
      </c>
      <c r="AF178" s="383">
        <f t="shared" si="489"/>
        <v>-1E-3</v>
      </c>
      <c r="AH178" s="383">
        <f t="shared" ref="AH178:AK178" si="490">AH68-AC68</f>
        <v>-1.0000000000000009E-3</v>
      </c>
      <c r="AI178" s="383">
        <f t="shared" si="490"/>
        <v>-1.0000000000000009E-3</v>
      </c>
      <c r="AJ178" s="383">
        <f t="shared" si="490"/>
        <v>-1.0000000000000009E-3</v>
      </c>
      <c r="AK178" s="383">
        <f t="shared" si="490"/>
        <v>-1E-3</v>
      </c>
    </row>
    <row r="179" spans="1:48" s="23" customFormat="1" ht="14.55" customHeight="1" x14ac:dyDescent="0.3">
      <c r="A179" s="161"/>
    </row>
    <row r="180" spans="1:48" s="23" customFormat="1" ht="14.55" customHeight="1" x14ac:dyDescent="0.3">
      <c r="A180" s="161"/>
      <c r="B180" s="382" t="s">
        <v>318</v>
      </c>
      <c r="Q180" s="384">
        <f t="shared" ref="Q180:U180" si="491">Q94-L94</f>
        <v>-1.0328853878240896E-3</v>
      </c>
      <c r="R180" s="384"/>
      <c r="S180" s="384">
        <f t="shared" si="491"/>
        <v>1.3694957380178618E-2</v>
      </c>
      <c r="T180" s="384">
        <f t="shared" si="491"/>
        <v>2.2223284472510374E-2</v>
      </c>
      <c r="U180" s="384">
        <f t="shared" si="491"/>
        <v>4.4737654429502782E-2</v>
      </c>
      <c r="V180" s="384">
        <f>V94-Q94</f>
        <v>2.7792802174517572E-2</v>
      </c>
      <c r="W180" s="384"/>
      <c r="X180" s="384">
        <f t="shared" ref="X180:AA180" si="492">X94-S94</f>
        <v>2.5043205339249974E-2</v>
      </c>
      <c r="Y180" s="384">
        <f t="shared" si="492"/>
        <v>2.335816155117354E-4</v>
      </c>
      <c r="Z180" s="384">
        <f t="shared" si="492"/>
        <v>-3.0000000000000027E-2</v>
      </c>
      <c r="AA180" s="384">
        <f t="shared" si="492"/>
        <v>-4.4999999999999984E-2</v>
      </c>
      <c r="AB180" s="384"/>
      <c r="AC180" s="384">
        <f t="shared" ref="AC180:AF180" si="493">AC94-X94</f>
        <v>-2.0000000000000018E-2</v>
      </c>
      <c r="AD180" s="384">
        <f t="shared" si="493"/>
        <v>-2.0000000000000018E-2</v>
      </c>
      <c r="AE180" s="384">
        <f t="shared" si="493"/>
        <v>0</v>
      </c>
      <c r="AF180" s="384">
        <f t="shared" si="493"/>
        <v>0</v>
      </c>
      <c r="AG180" s="384"/>
      <c r="AH180" s="384">
        <f t="shared" ref="AH180:AK180" si="494">AH94-AC94</f>
        <v>-2.0000000000000018E-3</v>
      </c>
      <c r="AI180" s="384">
        <f t="shared" si="494"/>
        <v>-2.0000000000000018E-3</v>
      </c>
      <c r="AJ180" s="384">
        <f t="shared" si="494"/>
        <v>-1.0000000000000009E-2</v>
      </c>
      <c r="AK180" s="384">
        <f t="shared" si="494"/>
        <v>-2.0000000000000018E-3</v>
      </c>
      <c r="AL180" s="384"/>
      <c r="AM180" s="384">
        <f t="shared" ref="AM180:AP180" si="495">AM94-AH94</f>
        <v>0</v>
      </c>
      <c r="AN180" s="384">
        <f t="shared" si="495"/>
        <v>0</v>
      </c>
      <c r="AO180" s="384">
        <f t="shared" si="495"/>
        <v>0</v>
      </c>
      <c r="AP180" s="384">
        <f t="shared" si="495"/>
        <v>0</v>
      </c>
      <c r="AQ180" s="384"/>
      <c r="AR180" s="384">
        <f t="shared" ref="AR180:AU180" si="496">AR94-AM94</f>
        <v>0</v>
      </c>
      <c r="AS180" s="384">
        <f t="shared" si="496"/>
        <v>0</v>
      </c>
      <c r="AT180" s="384">
        <f t="shared" si="496"/>
        <v>0</v>
      </c>
      <c r="AU180" s="384">
        <f t="shared" si="496"/>
        <v>0</v>
      </c>
    </row>
    <row r="181" spans="1:48" ht="16.2" customHeight="1" x14ac:dyDescent="0.3">
      <c r="A181" s="161"/>
      <c r="B181" s="382" t="s">
        <v>319</v>
      </c>
      <c r="Q181" s="384">
        <f t="shared" ref="Q181:U181" si="497">Q96-L96</f>
        <v>-4.3229689278334871E-2</v>
      </c>
      <c r="R181" s="384"/>
      <c r="S181" s="384">
        <f t="shared" si="497"/>
        <v>2.6563781125539754E-2</v>
      </c>
      <c r="T181" s="384">
        <f t="shared" si="497"/>
        <v>6.6354626897605851E-2</v>
      </c>
      <c r="U181" s="384">
        <f t="shared" si="497"/>
        <v>0.11154167548484295</v>
      </c>
      <c r="V181" s="384">
        <f>V96-Q96</f>
        <v>6.8821227532231799E-2</v>
      </c>
      <c r="W181" s="384"/>
      <c r="X181" s="384">
        <f t="shared" ref="X181:AA181" si="498">X96-S96</f>
        <v>6.012425039851621E-2</v>
      </c>
      <c r="Y181" s="384">
        <f t="shared" si="498"/>
        <v>-2.5252621523189134E-2</v>
      </c>
      <c r="Z181" s="384">
        <f t="shared" si="498"/>
        <v>-3.0000000000000027E-2</v>
      </c>
      <c r="AA181" s="384">
        <f t="shared" si="498"/>
        <v>-4.4999999999999984E-2</v>
      </c>
      <c r="AB181" s="384"/>
      <c r="AC181" s="384">
        <f t="shared" ref="AC181:AF181" si="499">AC96-X96</f>
        <v>0</v>
      </c>
      <c r="AD181" s="384">
        <f t="shared" si="499"/>
        <v>-2.0000000000000018E-2</v>
      </c>
      <c r="AE181" s="384">
        <f t="shared" si="499"/>
        <v>0</v>
      </c>
      <c r="AF181" s="384">
        <f t="shared" si="499"/>
        <v>0</v>
      </c>
      <c r="AG181" s="384"/>
      <c r="AH181" s="384">
        <f t="shared" ref="AH181:AK181" si="500">AH96-AC96</f>
        <v>-2.0000000000000018E-3</v>
      </c>
      <c r="AI181" s="384">
        <f t="shared" si="500"/>
        <v>-2.0000000000000018E-3</v>
      </c>
      <c r="AJ181" s="384">
        <f t="shared" si="500"/>
        <v>-2.0000000000000018E-2</v>
      </c>
      <c r="AK181" s="384">
        <f t="shared" si="500"/>
        <v>-2.0000000000000018E-3</v>
      </c>
      <c r="AL181" s="384"/>
      <c r="AM181" s="384">
        <f t="shared" ref="AM181:AP181" si="501">AM96-AH96</f>
        <v>0</v>
      </c>
      <c r="AN181" s="384">
        <f t="shared" si="501"/>
        <v>0</v>
      </c>
      <c r="AO181" s="384">
        <f t="shared" si="501"/>
        <v>0</v>
      </c>
      <c r="AP181" s="384">
        <f t="shared" si="501"/>
        <v>0</v>
      </c>
      <c r="AQ181" s="384"/>
      <c r="AR181" s="384">
        <f t="shared" ref="AR181:AU181" si="502">AR96-AM96</f>
        <v>0</v>
      </c>
      <c r="AS181" s="384">
        <f t="shared" si="502"/>
        <v>0</v>
      </c>
      <c r="AT181" s="384">
        <f t="shared" si="502"/>
        <v>0</v>
      </c>
      <c r="AU181" s="384">
        <f t="shared" si="502"/>
        <v>0</v>
      </c>
    </row>
    <row r="182" spans="1:48" ht="14.55" customHeight="1" x14ac:dyDescent="0.3">
      <c r="A182" s="161"/>
      <c r="B182" s="382" t="s">
        <v>320</v>
      </c>
      <c r="Q182" s="384">
        <f t="shared" ref="Q182:U182" si="503">Q98-L98</f>
        <v>-5.6134797444197491E-3</v>
      </c>
      <c r="R182" s="384"/>
      <c r="S182" s="384">
        <f t="shared" si="503"/>
        <v>1.6279115038060621E-4</v>
      </c>
      <c r="T182" s="384">
        <f t="shared" si="503"/>
        <v>5.0139473649204631E-3</v>
      </c>
      <c r="U182" s="384">
        <f t="shared" si="503"/>
        <v>1.4893713799812251E-2</v>
      </c>
      <c r="V182" s="384">
        <f>V98-Q98</f>
        <v>8.7002690753356267E-3</v>
      </c>
      <c r="W182" s="384"/>
      <c r="X182" s="384">
        <f t="shared" ref="X182:AA182" si="504">X98-S98</f>
        <v>9.2801389107011918E-3</v>
      </c>
      <c r="Y182" s="384">
        <f t="shared" si="504"/>
        <v>3.7006325591312783E-3</v>
      </c>
      <c r="Z182" s="384">
        <f t="shared" si="504"/>
        <v>-4.9999999999999975E-3</v>
      </c>
      <c r="AA182" s="384">
        <f t="shared" si="504"/>
        <v>0</v>
      </c>
      <c r="AB182" s="384"/>
      <c r="AC182" s="384">
        <f t="shared" ref="AC182:AF182" si="505">AC98-X98</f>
        <v>0</v>
      </c>
      <c r="AD182" s="384">
        <f t="shared" si="505"/>
        <v>0</v>
      </c>
      <c r="AE182" s="384">
        <f t="shared" si="505"/>
        <v>-5.000000000000001E-3</v>
      </c>
      <c r="AF182" s="384">
        <f t="shared" si="505"/>
        <v>0</v>
      </c>
      <c r="AG182" s="384"/>
      <c r="AH182" s="384">
        <f t="shared" ref="AH182:AK182" si="506">AH98-AC98</f>
        <v>-2.0000000000000018E-3</v>
      </c>
      <c r="AI182" s="384">
        <f t="shared" si="506"/>
        <v>-2.0000000000000018E-3</v>
      </c>
      <c r="AJ182" s="384">
        <f t="shared" si="506"/>
        <v>-6.0000000000000019E-3</v>
      </c>
      <c r="AK182" s="384">
        <f t="shared" si="506"/>
        <v>-2.0000000000000018E-3</v>
      </c>
      <c r="AL182" s="384"/>
      <c r="AM182" s="384">
        <f t="shared" ref="AM182:AP182" si="507">AM98-AH98</f>
        <v>0</v>
      </c>
      <c r="AN182" s="384">
        <f t="shared" si="507"/>
        <v>0</v>
      </c>
      <c r="AO182" s="384">
        <f t="shared" si="507"/>
        <v>0</v>
      </c>
      <c r="AP182" s="384">
        <f t="shared" si="507"/>
        <v>0</v>
      </c>
      <c r="AQ182" s="384"/>
      <c r="AR182" s="384">
        <f t="shared" ref="AR182:AU182" si="508">AR98-AM98</f>
        <v>0</v>
      </c>
      <c r="AS182" s="384">
        <f t="shared" si="508"/>
        <v>0</v>
      </c>
      <c r="AT182" s="384">
        <f t="shared" si="508"/>
        <v>0</v>
      </c>
      <c r="AU182" s="384">
        <f t="shared" si="508"/>
        <v>0</v>
      </c>
    </row>
    <row r="183" spans="1:48" ht="14.55" customHeight="1" x14ac:dyDescent="0.3">
      <c r="A183" s="161"/>
      <c r="B183" s="382" t="s">
        <v>321</v>
      </c>
      <c r="Q183" s="384">
        <f t="shared" ref="Q183:U183" si="509">Q101-L101</f>
        <v>-4.5175814670814843E-3</v>
      </c>
      <c r="R183" s="384"/>
      <c r="S183" s="384">
        <f t="shared" si="509"/>
        <v>-1.2605124458150846E-3</v>
      </c>
      <c r="T183" s="384">
        <f t="shared" si="509"/>
        <v>-2.780006809811171E-3</v>
      </c>
      <c r="U183" s="384">
        <f t="shared" si="509"/>
        <v>-4.0374511378418465E-3</v>
      </c>
      <c r="V183" s="384">
        <f>V101-Q101</f>
        <v>7.1575109158830003E-4</v>
      </c>
      <c r="W183" s="384"/>
      <c r="X183" s="384">
        <f t="shared" ref="X183:AA183" si="510">X101-S101</f>
        <v>-7.561570930051803E-4</v>
      </c>
      <c r="Y183" s="384">
        <f t="shared" si="510"/>
        <v>3.634645974435885E-4</v>
      </c>
      <c r="Z183" s="384">
        <f t="shared" si="510"/>
        <v>-4.9999999999999975E-3</v>
      </c>
      <c r="AA183" s="384">
        <f t="shared" si="510"/>
        <v>-4.9999999999999975E-3</v>
      </c>
      <c r="AB183" s="384"/>
      <c r="AC183" s="384">
        <f t="shared" ref="AC183:AF183" si="511">AC101-X101</f>
        <v>-3.0000000000000027E-3</v>
      </c>
      <c r="AD183" s="384">
        <f t="shared" si="511"/>
        <v>0</v>
      </c>
      <c r="AE183" s="384">
        <f t="shared" si="511"/>
        <v>0</v>
      </c>
      <c r="AF183" s="384">
        <f t="shared" si="511"/>
        <v>0</v>
      </c>
      <c r="AG183" s="384"/>
      <c r="AH183" s="384">
        <f t="shared" ref="AH183:AK183" si="512">AH101-AC101</f>
        <v>-2.0000000000000018E-3</v>
      </c>
      <c r="AI183" s="384">
        <f t="shared" si="512"/>
        <v>-2.0000000000000018E-3</v>
      </c>
      <c r="AJ183" s="384">
        <f t="shared" si="512"/>
        <v>-2.0000000000000018E-3</v>
      </c>
      <c r="AK183" s="384">
        <f t="shared" si="512"/>
        <v>-2.0000000000000018E-3</v>
      </c>
      <c r="AL183" s="384"/>
      <c r="AM183" s="384">
        <f t="shared" ref="AM183:AP183" si="513">AM101-AH101</f>
        <v>0</v>
      </c>
      <c r="AN183" s="384">
        <f t="shared" si="513"/>
        <v>0</v>
      </c>
      <c r="AO183" s="384">
        <f t="shared" si="513"/>
        <v>0</v>
      </c>
      <c r="AP183" s="384">
        <f t="shared" si="513"/>
        <v>0</v>
      </c>
      <c r="AQ183" s="384"/>
      <c r="AR183" s="384">
        <f t="shared" ref="AR183:AU183" si="514">AR101-AM101</f>
        <v>0</v>
      </c>
      <c r="AS183" s="384">
        <f t="shared" si="514"/>
        <v>0</v>
      </c>
      <c r="AT183" s="384">
        <f t="shared" si="514"/>
        <v>0</v>
      </c>
      <c r="AU183" s="384">
        <f t="shared" si="514"/>
        <v>0</v>
      </c>
    </row>
    <row r="184" spans="1:48" ht="14.55" customHeight="1" x14ac:dyDescent="0.3">
      <c r="A184" s="161"/>
    </row>
    <row r="185" spans="1:48" s="8" customFormat="1" x14ac:dyDescent="0.3">
      <c r="A185" s="161"/>
      <c r="B185" s="382" t="s">
        <v>322</v>
      </c>
      <c r="Q185" s="384">
        <f t="shared" ref="Q185:T185" si="515">Q111-L111</f>
        <v>-7.3337522717080939E-2</v>
      </c>
      <c r="R185" s="384"/>
      <c r="S185" s="384">
        <f t="shared" si="515"/>
        <v>-8.2275015567009335E-3</v>
      </c>
      <c r="T185" s="384">
        <f t="shared" si="515"/>
        <v>2.1961732903702735E-2</v>
      </c>
      <c r="U185" s="384">
        <f>U111-P111</f>
        <v>3.1106851202291286E-2</v>
      </c>
      <c r="V185" s="384">
        <f t="shared" ref="V185:AU185" si="516">V111-Q111</f>
        <v>5.6977238962102605E-3</v>
      </c>
      <c r="W185" s="384"/>
      <c r="X185" s="384">
        <f t="shared" si="516"/>
        <v>-5.2509505547104762E-3</v>
      </c>
      <c r="Y185" s="384">
        <f t="shared" si="516"/>
        <v>7.006359984721422E-2</v>
      </c>
      <c r="Z185" s="384">
        <f t="shared" si="516"/>
        <v>4.0825515947467084E-2</v>
      </c>
      <c r="AA185" s="384">
        <f t="shared" si="516"/>
        <v>0.11117428157949139</v>
      </c>
      <c r="AB185" s="384"/>
      <c r="AC185" s="384">
        <f t="shared" si="516"/>
        <v>0.12477624424926814</v>
      </c>
      <c r="AD185" s="384">
        <f t="shared" si="516"/>
        <v>2.1048470979820988E-2</v>
      </c>
      <c r="AE185" s="384">
        <f t="shared" si="516"/>
        <v>4.0000000000000036E-2</v>
      </c>
      <c r="AF185" s="384">
        <f t="shared" si="516"/>
        <v>1.0000000000000009E-2</v>
      </c>
      <c r="AG185" s="384"/>
      <c r="AH185" s="384">
        <f t="shared" si="516"/>
        <v>0</v>
      </c>
      <c r="AI185" s="384">
        <f t="shared" si="516"/>
        <v>0</v>
      </c>
      <c r="AJ185" s="384">
        <f t="shared" si="516"/>
        <v>-1.0000000000000009E-2</v>
      </c>
      <c r="AK185" s="384">
        <f t="shared" si="516"/>
        <v>0</v>
      </c>
      <c r="AL185" s="384"/>
      <c r="AM185" s="384">
        <f t="shared" si="516"/>
        <v>0</v>
      </c>
      <c r="AN185" s="384">
        <f t="shared" si="516"/>
        <v>0</v>
      </c>
      <c r="AO185" s="384">
        <f t="shared" si="516"/>
        <v>0</v>
      </c>
      <c r="AP185" s="384">
        <f t="shared" si="516"/>
        <v>0</v>
      </c>
      <c r="AQ185" s="384"/>
      <c r="AR185" s="384">
        <f t="shared" si="516"/>
        <v>0</v>
      </c>
      <c r="AS185" s="384">
        <f t="shared" si="516"/>
        <v>0</v>
      </c>
      <c r="AT185" s="384">
        <f t="shared" si="516"/>
        <v>0</v>
      </c>
      <c r="AU185" s="384">
        <f t="shared" si="516"/>
        <v>0</v>
      </c>
    </row>
    <row r="186" spans="1:48" s="8" customFormat="1" x14ac:dyDescent="0.3">
      <c r="A186" s="161"/>
      <c r="B186" s="382" t="s">
        <v>323</v>
      </c>
      <c r="Q186" s="384">
        <f t="shared" ref="Q186:T186" si="517">Q113-L113</f>
        <v>-1.0844701708009816E-3</v>
      </c>
      <c r="R186" s="384"/>
      <c r="S186" s="384">
        <f t="shared" si="517"/>
        <v>-2.5553392161973866E-3</v>
      </c>
      <c r="T186" s="384">
        <f t="shared" si="517"/>
        <v>-1.2309816148434665E-2</v>
      </c>
      <c r="U186" s="384">
        <f>U113-P113</f>
        <v>5.2264096219557514E-2</v>
      </c>
      <c r="V186" s="384">
        <f t="shared" ref="V186:AU186" si="518">V113-Q113</f>
        <v>-5.7078651325004406E-3</v>
      </c>
      <c r="W186" s="384"/>
      <c r="X186" s="384">
        <f t="shared" si="518"/>
        <v>-1.4629703552470827E-4</v>
      </c>
      <c r="Y186" s="384">
        <f t="shared" si="518"/>
        <v>3.5226735357730028E-3</v>
      </c>
      <c r="Z186" s="384">
        <f t="shared" si="518"/>
        <v>1.6489472587033552E-3</v>
      </c>
      <c r="AA186" s="384">
        <f t="shared" si="518"/>
        <v>-3.078354351870996E-3</v>
      </c>
      <c r="AB186" s="384"/>
      <c r="AC186" s="384">
        <f t="shared" si="518"/>
        <v>2.814721873693013E-3</v>
      </c>
      <c r="AD186" s="384">
        <f t="shared" si="518"/>
        <v>3.372165591845222E-3</v>
      </c>
      <c r="AE186" s="384">
        <f t="shared" si="518"/>
        <v>0</v>
      </c>
      <c r="AF186" s="384">
        <f t="shared" si="518"/>
        <v>0</v>
      </c>
      <c r="AG186" s="384"/>
      <c r="AH186" s="384">
        <f t="shared" si="518"/>
        <v>0</v>
      </c>
      <c r="AI186" s="384">
        <f t="shared" si="518"/>
        <v>0</v>
      </c>
      <c r="AJ186" s="384">
        <f t="shared" si="518"/>
        <v>0</v>
      </c>
      <c r="AK186" s="384">
        <f t="shared" si="518"/>
        <v>0</v>
      </c>
      <c r="AL186" s="384"/>
      <c r="AM186" s="384">
        <f t="shared" si="518"/>
        <v>0</v>
      </c>
      <c r="AN186" s="384">
        <f t="shared" si="518"/>
        <v>0</v>
      </c>
      <c r="AO186" s="384">
        <f t="shared" si="518"/>
        <v>0</v>
      </c>
      <c r="AP186" s="384">
        <f t="shared" si="518"/>
        <v>0</v>
      </c>
      <c r="AQ186" s="384"/>
      <c r="AR186" s="384">
        <f t="shared" si="518"/>
        <v>0</v>
      </c>
      <c r="AS186" s="384">
        <f t="shared" si="518"/>
        <v>0</v>
      </c>
      <c r="AT186" s="384">
        <f t="shared" si="518"/>
        <v>0</v>
      </c>
      <c r="AU186" s="384">
        <f t="shared" si="518"/>
        <v>0</v>
      </c>
    </row>
    <row r="187" spans="1:48" s="8" customFormat="1" x14ac:dyDescent="0.3">
      <c r="A187" s="161"/>
      <c r="B187" s="382" t="s">
        <v>324</v>
      </c>
      <c r="Q187" s="384">
        <f t="shared" ref="Q187:T187" si="519">Q116-L116</f>
        <v>2.3693128623915273E-3</v>
      </c>
      <c r="R187" s="384"/>
      <c r="S187" s="384">
        <f t="shared" si="519"/>
        <v>1.9882391779431439E-3</v>
      </c>
      <c r="T187" s="384">
        <f t="shared" si="519"/>
        <v>-8.1949465585923805E-4</v>
      </c>
      <c r="U187" s="384">
        <f>U116-P116</f>
        <v>-2.2101675866256984E-3</v>
      </c>
      <c r="V187" s="384">
        <f t="shared" ref="V187:AU187" si="520">V116-Q116</f>
        <v>7.190844057926556E-4</v>
      </c>
      <c r="W187" s="384"/>
      <c r="X187" s="384">
        <f t="shared" si="520"/>
        <v>-3.7294212764020255E-3</v>
      </c>
      <c r="Y187" s="384">
        <f t="shared" si="520"/>
        <v>-1.0297729903985028E-3</v>
      </c>
      <c r="Z187" s="384">
        <f t="shared" si="520"/>
        <v>0</v>
      </c>
      <c r="AA187" s="384">
        <f t="shared" si="520"/>
        <v>0</v>
      </c>
      <c r="AB187" s="384"/>
      <c r="AC187" s="384">
        <f t="shared" si="520"/>
        <v>0</v>
      </c>
      <c r="AD187" s="384">
        <f t="shared" si="520"/>
        <v>0</v>
      </c>
      <c r="AE187" s="384">
        <f t="shared" si="520"/>
        <v>0</v>
      </c>
      <c r="AF187" s="384">
        <f t="shared" si="520"/>
        <v>0</v>
      </c>
      <c r="AG187" s="384"/>
      <c r="AH187" s="384">
        <f t="shared" si="520"/>
        <v>0</v>
      </c>
      <c r="AI187" s="384">
        <f t="shared" si="520"/>
        <v>0</v>
      </c>
      <c r="AJ187" s="384">
        <f t="shared" si="520"/>
        <v>0</v>
      </c>
      <c r="AK187" s="384">
        <f t="shared" si="520"/>
        <v>0</v>
      </c>
      <c r="AL187" s="384"/>
      <c r="AM187" s="384">
        <f t="shared" si="520"/>
        <v>0</v>
      </c>
      <c r="AN187" s="384">
        <f t="shared" si="520"/>
        <v>0</v>
      </c>
      <c r="AO187" s="384">
        <f t="shared" si="520"/>
        <v>0</v>
      </c>
      <c r="AP187" s="384">
        <f t="shared" si="520"/>
        <v>0</v>
      </c>
      <c r="AQ187" s="384"/>
      <c r="AR187" s="384">
        <f t="shared" si="520"/>
        <v>0</v>
      </c>
      <c r="AS187" s="384">
        <f t="shared" si="520"/>
        <v>0</v>
      </c>
      <c r="AT187" s="384">
        <f t="shared" si="520"/>
        <v>0</v>
      </c>
      <c r="AU187" s="384">
        <f t="shared" si="520"/>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7:C7"/>
    <mergeCell ref="A3:A4"/>
    <mergeCell ref="B3:C3"/>
    <mergeCell ref="B4:C4"/>
    <mergeCell ref="B5:C5"/>
    <mergeCell ref="B6:C6"/>
    <mergeCell ref="B39:C39"/>
    <mergeCell ref="B8:C8"/>
    <mergeCell ref="B9:C9"/>
    <mergeCell ref="B16:C16"/>
    <mergeCell ref="B23:C23"/>
    <mergeCell ref="B24:C24"/>
    <mergeCell ref="B25:C25"/>
    <mergeCell ref="B30:C30"/>
    <mergeCell ref="B31:C31"/>
    <mergeCell ref="B32:C32"/>
    <mergeCell ref="B33:C33"/>
    <mergeCell ref="B38:C38"/>
    <mergeCell ref="B83:C83"/>
    <mergeCell ref="B40:C40"/>
    <mergeCell ref="B41:C41"/>
    <mergeCell ref="B45:C45"/>
    <mergeCell ref="B50:C50"/>
    <mergeCell ref="B54:C54"/>
    <mergeCell ref="B55:C55"/>
    <mergeCell ref="B59:C59"/>
    <mergeCell ref="B60:C60"/>
    <mergeCell ref="B73:C73"/>
    <mergeCell ref="B74:C74"/>
    <mergeCell ref="B78:C78"/>
    <mergeCell ref="B138:C138"/>
    <mergeCell ref="B87:C87"/>
    <mergeCell ref="B88:C88"/>
    <mergeCell ref="B92:C92"/>
    <mergeCell ref="B93:C93"/>
    <mergeCell ref="B107:C107"/>
    <mergeCell ref="B108:C108"/>
    <mergeCell ref="B110:C110"/>
    <mergeCell ref="B122:C122"/>
    <mergeCell ref="B123:C123"/>
    <mergeCell ref="B125:C125"/>
    <mergeCell ref="B132:C132"/>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72:C172"/>
    <mergeCell ref="B156:C156"/>
    <mergeCell ref="B157:C157"/>
    <mergeCell ref="B158:C158"/>
    <mergeCell ref="B162:C162"/>
    <mergeCell ref="B163:C163"/>
    <mergeCell ref="B165:C16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C6336-276D-4B2D-BF52-68CD9A8DD224}">
  <sheetPr>
    <tabColor theme="6" tint="0.39997558519241921"/>
    <pageSetUpPr fitToPage="1"/>
  </sheetPr>
  <dimension ref="A1:AV67"/>
  <sheetViews>
    <sheetView showGridLines="0" zoomScaleNormal="100" workbookViewId="0">
      <pane xSplit="3" ySplit="5" topLeftCell="D6" activePane="bottomRight" state="frozen"/>
      <selection activeCell="J21" sqref="J21"/>
      <selection pane="topRight" activeCell="J21" sqref="J21"/>
      <selection pane="bottomLeft" activeCell="J21" sqref="J21"/>
      <selection pane="bottomRight" activeCell="J21" sqref="J21"/>
    </sheetView>
  </sheetViews>
  <sheetFormatPr defaultColWidth="8.88671875" defaultRowHeight="14.4" outlineLevelRow="1" outlineLevelCol="1" x14ac:dyDescent="0.3"/>
  <cols>
    <col min="1" max="1" width="2" style="2" customWidth="1"/>
    <col min="2" max="2" width="26.77734375" style="2" customWidth="1"/>
    <col min="3" max="3" width="19"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369"/>
      <c r="Y1" s="57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583" t="s">
        <v>249</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3" t="s">
        <v>451</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4" t="s">
        <v>452</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583" t="s">
        <v>211</v>
      </c>
      <c r="C5" s="584"/>
      <c r="D5" s="13"/>
      <c r="E5" s="13"/>
      <c r="F5" s="13"/>
      <c r="G5" s="258"/>
      <c r="H5" s="259"/>
      <c r="I5" s="258"/>
      <c r="J5" s="13"/>
      <c r="K5" s="13"/>
      <c r="L5" s="258"/>
      <c r="M5" s="259"/>
      <c r="N5" s="258"/>
      <c r="O5" s="13"/>
      <c r="P5" s="13"/>
      <c r="Q5" s="258"/>
      <c r="R5" s="259"/>
      <c r="S5" s="258"/>
      <c r="T5" s="13"/>
      <c r="U5" s="13"/>
      <c r="V5" s="258"/>
      <c r="W5" s="259"/>
      <c r="X5" s="258"/>
      <c r="Y5" s="13"/>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580" t="s">
        <v>212</v>
      </c>
      <c r="C6" s="581"/>
      <c r="D6" s="16">
        <f>'CFS (Adjusted)'!D41</f>
        <v>4761.6000000000004</v>
      </c>
      <c r="E6" s="16">
        <f>'CFS (Adjusted)'!E41</f>
        <v>2055.1000000000004</v>
      </c>
      <c r="F6" s="16">
        <f>'CFS (Adjusted)'!F41</f>
        <v>4763.4000000000015</v>
      </c>
      <c r="G6" s="101">
        <f>'CFS (Adjusted)'!G41</f>
        <v>2686.6000000000022</v>
      </c>
      <c r="H6" s="17">
        <f>G6</f>
        <v>2686.6000000000022</v>
      </c>
      <c r="I6" s="16">
        <f>'CFS (Adjusted)'!I41</f>
        <v>3040.5000000000036</v>
      </c>
      <c r="J6" s="16">
        <f>'CFS (Adjusted)'!J41</f>
        <v>2572.3000000000029</v>
      </c>
      <c r="K6" s="16">
        <f>'CFS (Adjusted)'!K41</f>
        <v>3965.9000000000042</v>
      </c>
      <c r="L6" s="101">
        <f>'CFS (Adjusted)'!L41</f>
        <v>4350.900000000006</v>
      </c>
      <c r="M6" s="17">
        <f>L6</f>
        <v>4350.900000000006</v>
      </c>
      <c r="N6" s="16">
        <f>'CFS (Adjusted)'!N41</f>
        <v>5028.00000000001</v>
      </c>
      <c r="O6" s="16">
        <f>'CFS (Adjusted)'!O41</f>
        <v>3880.6000000000104</v>
      </c>
      <c r="P6" s="16">
        <f>'CFS (Adjusted)'!P41</f>
        <v>4753.1000000000095</v>
      </c>
      <c r="Q6" s="16">
        <f>'CFS (Adjusted)'!Q41</f>
        <v>6455.7000000000089</v>
      </c>
      <c r="R6" s="17">
        <f>Q6</f>
        <v>6455.7000000000089</v>
      </c>
      <c r="S6" s="16">
        <f>'CFS (Adjusted)'!S41</f>
        <v>3969.4000000000078</v>
      </c>
      <c r="T6" s="16">
        <f>'CFS (Adjusted)'!T41</f>
        <v>3913.4000000000083</v>
      </c>
      <c r="U6" s="16">
        <f>'CFS (Adjusted)'!U41</f>
        <v>3177.5000000000073</v>
      </c>
      <c r="V6" s="16">
        <f>'CFS (Adjusted)'!V41</f>
        <v>2818.3000000000061</v>
      </c>
      <c r="W6" s="17">
        <f>V6</f>
        <v>2818.3000000000061</v>
      </c>
      <c r="X6" s="16">
        <f>'CFS (Adjusted)'!X41</f>
        <v>3186.4000000000078</v>
      </c>
      <c r="Y6" s="16">
        <f>'CFS (Adjusted)'!Y41</f>
        <v>3071.700000000008</v>
      </c>
      <c r="Z6" s="16">
        <f>'CFS (Adjusted)'!Z41</f>
        <v>2717.358083324084</v>
      </c>
      <c r="AA6" s="16">
        <f>'CFS (Adjusted)'!AA41</f>
        <v>3051.3945750654598</v>
      </c>
      <c r="AB6" s="17">
        <f>AA6</f>
        <v>3051.3945750654598</v>
      </c>
      <c r="AC6" s="16">
        <f>'CFS (Adjusted)'!AC41</f>
        <v>3571.7742969234537</v>
      </c>
      <c r="AD6" s="16">
        <f>'CFS (Adjusted)'!AD41</f>
        <v>3324.5146723434123</v>
      </c>
      <c r="AE6" s="16">
        <f>'CFS (Adjusted)'!AE41</f>
        <v>3346.2073843736616</v>
      </c>
      <c r="AF6" s="16">
        <f>'CFS (Adjusted)'!AF41</f>
        <v>3662.8002077347237</v>
      </c>
      <c r="AG6" s="17">
        <f>AF6</f>
        <v>3662.8002077347237</v>
      </c>
      <c r="AH6" s="16">
        <f>'CFS (Adjusted)'!AH41</f>
        <v>4306.2320313128739</v>
      </c>
      <c r="AI6" s="16">
        <f>'CFS (Adjusted)'!AI41</f>
        <v>4278.287307019772</v>
      </c>
      <c r="AJ6" s="16">
        <f>'CFS (Adjusted)'!AJ41</f>
        <v>5139.9182017364765</v>
      </c>
      <c r="AK6" s="16">
        <f>'CFS (Adjusted)'!AK41</f>
        <v>359.16848495914019</v>
      </c>
      <c r="AL6" s="17">
        <f>AK6</f>
        <v>359.16848495914019</v>
      </c>
      <c r="AM6" s="16">
        <f>'CFS (Adjusted)'!AM41</f>
        <v>1005.1484047795466</v>
      </c>
      <c r="AN6" s="16">
        <f>'CFS (Adjusted)'!AN41</f>
        <v>3.2480692999636176</v>
      </c>
      <c r="AO6" s="16">
        <f>'CFS (Adjusted)'!AO41</f>
        <v>7.4197455178393739</v>
      </c>
      <c r="AP6" s="16">
        <f>'CFS (Adjusted)'!AP41</f>
        <v>618.73545953666166</v>
      </c>
      <c r="AQ6" s="17">
        <f>AP6</f>
        <v>618.73545953666166</v>
      </c>
      <c r="AR6" s="16">
        <f>'CFS (Adjusted)'!AR41</f>
        <v>1467.8144681242045</v>
      </c>
      <c r="AS6" s="16">
        <f>'CFS (Adjusted)'!AS41</f>
        <v>1455.1999517811412</v>
      </c>
      <c r="AT6" s="16">
        <f>'CFS (Adjusted)'!AT41</f>
        <v>1607.8064346054555</v>
      </c>
      <c r="AU6" s="16">
        <f>'CFS (Adjusted)'!AU41</f>
        <v>2268.6483698623729</v>
      </c>
      <c r="AV6" s="17">
        <f>AU6</f>
        <v>2268.6483698623729</v>
      </c>
    </row>
    <row r="7" spans="1:48" ht="14.55" customHeight="1" outlineLevel="1" x14ac:dyDescent="0.3">
      <c r="A7" s="161"/>
      <c r="B7" s="200" t="s">
        <v>213</v>
      </c>
      <c r="C7" s="201"/>
      <c r="D7" s="16">
        <v>230.2</v>
      </c>
      <c r="E7" s="16">
        <v>76.599999999999994</v>
      </c>
      <c r="F7" s="16">
        <v>72.099999999999994</v>
      </c>
      <c r="G7" s="16">
        <v>70.5</v>
      </c>
      <c r="H7" s="17">
        <f>+G7</f>
        <v>70.5</v>
      </c>
      <c r="I7" s="16">
        <v>68.400000000000006</v>
      </c>
      <c r="J7" s="16">
        <v>52.9</v>
      </c>
      <c r="K7" s="16">
        <v>229.9</v>
      </c>
      <c r="L7" s="16">
        <v>281.2</v>
      </c>
      <c r="M7" s="17">
        <f>+L7</f>
        <v>281.2</v>
      </c>
      <c r="N7" s="16">
        <v>235.5</v>
      </c>
      <c r="O7" s="16">
        <v>123</v>
      </c>
      <c r="P7" s="16">
        <v>153.6</v>
      </c>
      <c r="Q7" s="101">
        <v>162.19999999999999</v>
      </c>
      <c r="R7" s="17">
        <f>+Q7</f>
        <v>162.19999999999999</v>
      </c>
      <c r="S7" s="16">
        <v>87.4</v>
      </c>
      <c r="T7" s="16">
        <v>82.1</v>
      </c>
      <c r="U7" s="16">
        <v>76.900000000000006</v>
      </c>
      <c r="V7" s="16">
        <v>364.5</v>
      </c>
      <c r="W7" s="17">
        <f>+V7</f>
        <v>364.5</v>
      </c>
      <c r="X7" s="101">
        <v>123.9</v>
      </c>
      <c r="Y7" s="101">
        <v>379.4</v>
      </c>
      <c r="Z7" s="16">
        <f>+Z53*Z42*Z54</f>
        <v>221.90869021237705</v>
      </c>
      <c r="AA7" s="16">
        <f>+AA53*AA42*AA54</f>
        <v>269.20747336949694</v>
      </c>
      <c r="AB7" s="17">
        <f>+AA7</f>
        <v>269.20747336949694</v>
      </c>
      <c r="AC7" s="16">
        <f>+AC53*AC42*AC54</f>
        <v>251.92040911145864</v>
      </c>
      <c r="AD7" s="16">
        <f>+AD53*AD42*AD54</f>
        <v>287.37271530153942</v>
      </c>
      <c r="AE7" s="16">
        <f>+AE53*AE42*AE54</f>
        <v>266.90921551107579</v>
      </c>
      <c r="AF7" s="16">
        <f>+AF53*AF42*AF54</f>
        <v>277.90423273232057</v>
      </c>
      <c r="AG7" s="17">
        <f>+AF7</f>
        <v>277.90423273232057</v>
      </c>
      <c r="AH7" s="16">
        <f>+AH53*AH42*AH54</f>
        <v>285.53003728233375</v>
      </c>
      <c r="AI7" s="16">
        <f>+AI53*AI42*AI54</f>
        <v>291.19611716032597</v>
      </c>
      <c r="AJ7" s="16">
        <f>+AJ53*AJ42*AJ54</f>
        <v>301.68223658718171</v>
      </c>
      <c r="AK7" s="16">
        <f>+AK53*AK42*AK54</f>
        <v>258.69365350685388</v>
      </c>
      <c r="AL7" s="17">
        <f>+AK7</f>
        <v>258.69365350685388</v>
      </c>
      <c r="AM7" s="16">
        <f>+AM53*AM42*AM54</f>
        <v>267.55119375265105</v>
      </c>
      <c r="AN7" s="16">
        <f>+AN53*AN42*AN54</f>
        <v>259.37085723466805</v>
      </c>
      <c r="AO7" s="16">
        <f>+AO53*AO42*AO54</f>
        <v>266.44912137680387</v>
      </c>
      <c r="AP7" s="16">
        <f>+AP53*AP42*AP54</f>
        <v>270.84621348818575</v>
      </c>
      <c r="AQ7" s="17">
        <f>+AP7</f>
        <v>270.84621348818575</v>
      </c>
      <c r="AR7" s="16">
        <f>+AR53*AR42*AR54</f>
        <v>281.35692102061853</v>
      </c>
      <c r="AS7" s="16">
        <f>+AS53*AS42*AS54</f>
        <v>282.52006147275631</v>
      </c>
      <c r="AT7" s="16">
        <f>+AT53*AT42*AT54</f>
        <v>291.01272291911334</v>
      </c>
      <c r="AU7" s="16">
        <f>+AU53*AU42*AU54</f>
        <v>296.02937722676353</v>
      </c>
      <c r="AV7" s="17">
        <f>+AU7</f>
        <v>296.02937722676353</v>
      </c>
    </row>
    <row r="8" spans="1:48" s="23" customFormat="1" ht="14.55" customHeight="1" outlineLevel="1" x14ac:dyDescent="0.3">
      <c r="A8" s="161"/>
      <c r="B8" s="580" t="s">
        <v>214</v>
      </c>
      <c r="C8" s="581"/>
      <c r="D8" s="16">
        <v>721.4</v>
      </c>
      <c r="E8" s="16">
        <v>703.6</v>
      </c>
      <c r="F8" s="16">
        <v>790.6</v>
      </c>
      <c r="G8" s="16">
        <v>879</v>
      </c>
      <c r="H8" s="17">
        <f>G8</f>
        <v>879</v>
      </c>
      <c r="I8" s="16">
        <v>908.1</v>
      </c>
      <c r="J8" s="16">
        <v>941</v>
      </c>
      <c r="K8" s="16">
        <v>881.1</v>
      </c>
      <c r="L8" s="16">
        <v>883.4</v>
      </c>
      <c r="M8" s="17">
        <f>L8</f>
        <v>883.4</v>
      </c>
      <c r="N8" s="16">
        <v>888</v>
      </c>
      <c r="O8" s="16">
        <v>880.2</v>
      </c>
      <c r="P8" s="16">
        <v>911.2</v>
      </c>
      <c r="Q8" s="101">
        <v>940</v>
      </c>
      <c r="R8" s="17">
        <f>Q8</f>
        <v>940</v>
      </c>
      <c r="S8" s="16">
        <v>1031.0999999999999</v>
      </c>
      <c r="T8" s="16">
        <v>1001.9</v>
      </c>
      <c r="U8" s="16">
        <v>1146.0999999999999</v>
      </c>
      <c r="V8" s="16">
        <v>1175.5</v>
      </c>
      <c r="W8" s="17">
        <f>V8</f>
        <v>1175.5</v>
      </c>
      <c r="X8" s="101">
        <v>1162.9000000000001</v>
      </c>
      <c r="Y8" s="101">
        <v>1185.8</v>
      </c>
      <c r="Z8" s="16">
        <f>'IS (Adjusted)'!Z8/Z47</f>
        <v>1387.114585800957</v>
      </c>
      <c r="AA8" s="16">
        <f>'IS (Adjusted)'!AA8/AA47</f>
        <v>1235.8016613966904</v>
      </c>
      <c r="AB8" s="17">
        <f>AA8</f>
        <v>1235.8016613966904</v>
      </c>
      <c r="AC8" s="16">
        <f>'IS (Adjusted)'!AC8/AC47</f>
        <v>1278.8577890959689</v>
      </c>
      <c r="AD8" s="16">
        <f>'IS (Adjusted)'!AD8/AD47</f>
        <v>1278.5065691380285</v>
      </c>
      <c r="AE8" s="16">
        <f>'IS (Adjusted)'!AE8/AE47</f>
        <v>1395.6831088752022</v>
      </c>
      <c r="AF8" s="16">
        <f>'IS (Adjusted)'!AF8/AF47</f>
        <v>1327.0688007677443</v>
      </c>
      <c r="AG8" s="17">
        <f>AF8</f>
        <v>1327.0688007677443</v>
      </c>
      <c r="AH8" s="16">
        <f>'IS (Adjusted)'!AH8/AH47</f>
        <v>1421.6123165187737</v>
      </c>
      <c r="AI8" s="16">
        <f>'IS (Adjusted)'!AI8/AI47</f>
        <v>1427.9266364251127</v>
      </c>
      <c r="AJ8" s="16">
        <f>'IS (Adjusted)'!AJ8/AJ47</f>
        <v>1620.2255040813723</v>
      </c>
      <c r="AK8" s="16">
        <f>'IS (Adjusted)'!AK8/AK47</f>
        <v>1538.0561722621951</v>
      </c>
      <c r="AL8" s="17">
        <f>AK8</f>
        <v>1538.0561722621951</v>
      </c>
      <c r="AM8" s="16">
        <f>'IS (Adjusted)'!AM8/AM47</f>
        <v>1572.0030958491686</v>
      </c>
      <c r="AN8" s="16">
        <f>'IS (Adjusted)'!AN8/AN47</f>
        <v>1570.7431441732215</v>
      </c>
      <c r="AO8" s="16">
        <f>'IS (Adjusted)'!AO8/AO47</f>
        <v>1770.8642589476856</v>
      </c>
      <c r="AP8" s="16">
        <f>'IS (Adjusted)'!AP8/AP47</f>
        <v>1644.2610863109994</v>
      </c>
      <c r="AQ8" s="17">
        <f>AP8</f>
        <v>1644.2610863109994</v>
      </c>
      <c r="AR8" s="16">
        <f>'IS (Adjusted)'!AR8/AR47</f>
        <v>1665.5619067458688</v>
      </c>
      <c r="AS8" s="16">
        <f>'IS (Adjusted)'!AS8/AS47</f>
        <v>1663.448222119616</v>
      </c>
      <c r="AT8" s="16">
        <f>'IS (Adjusted)'!AT8/AT47</f>
        <v>1854.8539100009825</v>
      </c>
      <c r="AU8" s="16">
        <f>'IS (Adjusted)'!AU8/AU47</f>
        <v>1746.1653186535166</v>
      </c>
      <c r="AV8" s="17">
        <f>AU8</f>
        <v>1746.1653186535166</v>
      </c>
    </row>
    <row r="9" spans="1:48" s="23" customFormat="1" ht="14.55" customHeight="1" outlineLevel="1" x14ac:dyDescent="0.3">
      <c r="A9" s="161"/>
      <c r="B9" s="200" t="s">
        <v>215</v>
      </c>
      <c r="C9" s="201"/>
      <c r="D9" s="16">
        <v>1354.6</v>
      </c>
      <c r="E9" s="16">
        <v>1443</v>
      </c>
      <c r="F9" s="16">
        <v>1517.2</v>
      </c>
      <c r="G9" s="16">
        <v>1529.4</v>
      </c>
      <c r="H9" s="17">
        <f>G9</f>
        <v>1529.4</v>
      </c>
      <c r="I9" s="16">
        <v>1408.7</v>
      </c>
      <c r="J9" s="16">
        <v>1492.2</v>
      </c>
      <c r="K9" s="16">
        <v>1583.8</v>
      </c>
      <c r="L9" s="16">
        <v>1551.4</v>
      </c>
      <c r="M9" s="17">
        <f>L9</f>
        <v>1551.4</v>
      </c>
      <c r="N9" s="16">
        <v>1471.5</v>
      </c>
      <c r="O9" s="16">
        <v>1503.6</v>
      </c>
      <c r="P9" s="16">
        <v>1548.2</v>
      </c>
      <c r="Q9" s="101">
        <v>1603.9</v>
      </c>
      <c r="R9" s="17">
        <f>Q9</f>
        <v>1603.9</v>
      </c>
      <c r="S9" s="16">
        <v>1637.1</v>
      </c>
      <c r="T9" s="16">
        <v>1920</v>
      </c>
      <c r="U9" s="16">
        <v>2132.9</v>
      </c>
      <c r="V9" s="16">
        <v>2176.6</v>
      </c>
      <c r="W9" s="17">
        <f>V9</f>
        <v>2176.6</v>
      </c>
      <c r="X9" s="101">
        <v>2088.1</v>
      </c>
      <c r="Y9" s="101">
        <v>2000.6</v>
      </c>
      <c r="Z9" s="16">
        <f>'IS (Adjusted)'!Z9/Z49</f>
        <v>2469.3439133909142</v>
      </c>
      <c r="AA9" s="16">
        <f>'IS (Adjusted)'!AA9/AA49</f>
        <v>2135.5678475722611</v>
      </c>
      <c r="AB9" s="17">
        <f>AA9</f>
        <v>2135.5678475722611</v>
      </c>
      <c r="AC9" s="16">
        <f>'IS (Adjusted)'!AC9/AC49</f>
        <v>2173.9346611437636</v>
      </c>
      <c r="AD9" s="16">
        <f>'IS (Adjusted)'!AD9/AD49</f>
        <v>2260.384220088954</v>
      </c>
      <c r="AE9" s="16">
        <f>'IS (Adjusted)'!AE9/AE49</f>
        <v>2515.9194213584792</v>
      </c>
      <c r="AF9" s="16">
        <f>'IS (Adjusted)'!AF9/AF49</f>
        <v>2350.9046128793607</v>
      </c>
      <c r="AG9" s="17">
        <f>AF9</f>
        <v>2350.9046128793607</v>
      </c>
      <c r="AH9" s="16">
        <f>'IS (Adjusted)'!AH9/AH49</f>
        <v>2384.3276173605423</v>
      </c>
      <c r="AI9" s="16">
        <f>'IS (Adjusted)'!AI9/AI49</f>
        <v>2491.8300880808833</v>
      </c>
      <c r="AJ9" s="16">
        <f>'IS (Adjusted)'!AJ9/AJ49</f>
        <v>2865.5299808275145</v>
      </c>
      <c r="AK9" s="16">
        <f>'IS (Adjusted)'!AK9/AK49</f>
        <v>2711.2174144554901</v>
      </c>
      <c r="AL9" s="17">
        <f>AK9</f>
        <v>2711.2174144554901</v>
      </c>
      <c r="AM9" s="16">
        <f>'IS (Adjusted)'!AM9/AM49</f>
        <v>2677.2592557768189</v>
      </c>
      <c r="AN9" s="16">
        <f>'IS (Adjusted)'!AN9/AN49</f>
        <v>2681.17070085249</v>
      </c>
      <c r="AO9" s="16">
        <f>'IS (Adjusted)'!AO9/AO49</f>
        <v>3106.9166696845518</v>
      </c>
      <c r="AP9" s="16">
        <f>'IS (Adjusted)'!AP9/AP49</f>
        <v>2876.2346228547576</v>
      </c>
      <c r="AQ9" s="17">
        <f>AP9</f>
        <v>2876.2346228547576</v>
      </c>
      <c r="AR9" s="16">
        <f>'IS (Adjusted)'!AR9/AR49</f>
        <v>2806.0953705712359</v>
      </c>
      <c r="AS9" s="16">
        <f>'IS (Adjusted)'!AS9/AS49</f>
        <v>2877.3166449370888</v>
      </c>
      <c r="AT9" s="16">
        <f>'IS (Adjusted)'!AT9/AT49</f>
        <v>3263.2408693877665</v>
      </c>
      <c r="AU9" s="16">
        <f>'IS (Adjusted)'!AU9/AU49</f>
        <v>3054.5748659199239</v>
      </c>
      <c r="AV9" s="17">
        <f>AU9</f>
        <v>3054.5748659199239</v>
      </c>
    </row>
    <row r="10" spans="1:48" ht="16.2" customHeight="1" outlineLevel="1" x14ac:dyDescent="0.45">
      <c r="A10" s="161"/>
      <c r="B10" s="580" t="s">
        <v>216</v>
      </c>
      <c r="C10" s="581"/>
      <c r="D10" s="260">
        <v>608.5</v>
      </c>
      <c r="E10" s="112">
        <v>674</v>
      </c>
      <c r="F10" s="112">
        <v>591.6</v>
      </c>
      <c r="G10" s="112">
        <v>488.2</v>
      </c>
      <c r="H10" s="261">
        <f>G10</f>
        <v>488.2</v>
      </c>
      <c r="I10" s="112">
        <v>474</v>
      </c>
      <c r="J10" s="112">
        <v>691.5</v>
      </c>
      <c r="K10" s="112">
        <v>920.3</v>
      </c>
      <c r="L10" s="112">
        <v>739.5</v>
      </c>
      <c r="M10" s="261">
        <f>L10</f>
        <v>739.5</v>
      </c>
      <c r="N10" s="112">
        <v>734.4</v>
      </c>
      <c r="O10" s="112">
        <v>592</v>
      </c>
      <c r="P10" s="112">
        <v>565.6</v>
      </c>
      <c r="Q10" s="112">
        <v>594.6</v>
      </c>
      <c r="R10" s="261">
        <f>Q10</f>
        <v>594.6</v>
      </c>
      <c r="S10" s="112">
        <v>530.1</v>
      </c>
      <c r="T10" s="112">
        <v>623.70000000000005</v>
      </c>
      <c r="U10" s="112">
        <v>534.1</v>
      </c>
      <c r="V10" s="112">
        <v>483.7</v>
      </c>
      <c r="W10" s="261">
        <f>V10</f>
        <v>483.7</v>
      </c>
      <c r="X10" s="112">
        <v>373.5</v>
      </c>
      <c r="Y10" s="112">
        <v>408.6</v>
      </c>
      <c r="Z10" s="32">
        <f>Y10*1.01</f>
        <v>412.68600000000004</v>
      </c>
      <c r="AA10" s="32">
        <f>Z10*1.01</f>
        <v>416.81286000000006</v>
      </c>
      <c r="AB10" s="261">
        <f>AA10</f>
        <v>416.81286000000006</v>
      </c>
      <c r="AC10" s="32">
        <f>AA10*1.01</f>
        <v>420.98098860000005</v>
      </c>
      <c r="AD10" s="32">
        <f>AC10*1.01</f>
        <v>425.19079848600006</v>
      </c>
      <c r="AE10" s="32">
        <f>AD10*1.01</f>
        <v>429.44270647086006</v>
      </c>
      <c r="AF10" s="32">
        <f>AE10*1.01</f>
        <v>433.73713353556866</v>
      </c>
      <c r="AG10" s="261">
        <f>AF10</f>
        <v>433.73713353556866</v>
      </c>
      <c r="AH10" s="32">
        <f>AF10*1.01</f>
        <v>438.07450487092433</v>
      </c>
      <c r="AI10" s="32">
        <f>AH10*1.01</f>
        <v>442.45524991963356</v>
      </c>
      <c r="AJ10" s="32">
        <f>AI10*1.01</f>
        <v>446.87980241882991</v>
      </c>
      <c r="AK10" s="32">
        <f>AJ10*1.01</f>
        <v>451.3486004430182</v>
      </c>
      <c r="AL10" s="261">
        <f>AK10</f>
        <v>451.3486004430182</v>
      </c>
      <c r="AM10" s="32">
        <f>AK10*1.01</f>
        <v>455.86208644744841</v>
      </c>
      <c r="AN10" s="32">
        <f>AM10*1.01</f>
        <v>460.42070731192291</v>
      </c>
      <c r="AO10" s="32">
        <f>AN10*1.01</f>
        <v>465.02491438504217</v>
      </c>
      <c r="AP10" s="32">
        <f>AO10*1.01</f>
        <v>469.6751635288926</v>
      </c>
      <c r="AQ10" s="261">
        <f>AP10</f>
        <v>469.6751635288926</v>
      </c>
      <c r="AR10" s="32">
        <f>AP10*1.01</f>
        <v>474.37191516418153</v>
      </c>
      <c r="AS10" s="32">
        <f>AR10*1.01</f>
        <v>479.11563431582334</v>
      </c>
      <c r="AT10" s="32">
        <f>AS10*1.01</f>
        <v>483.90679065898161</v>
      </c>
      <c r="AU10" s="32">
        <f>AT10*1.01</f>
        <v>488.74585856557144</v>
      </c>
      <c r="AV10" s="261">
        <f>AU10</f>
        <v>488.74585856557144</v>
      </c>
    </row>
    <row r="11" spans="1:48" ht="14.55" customHeight="1" outlineLevel="1" x14ac:dyDescent="0.3">
      <c r="A11" s="161"/>
      <c r="B11" s="205" t="s">
        <v>217</v>
      </c>
      <c r="C11" s="206"/>
      <c r="D11" s="21">
        <f t="shared" ref="D11:AV11" si="0">SUM(D6:D10)</f>
        <v>7676.2999999999993</v>
      </c>
      <c r="E11" s="21">
        <f t="shared" si="0"/>
        <v>4952.3</v>
      </c>
      <c r="F11" s="21">
        <f t="shared" si="0"/>
        <v>7734.9000000000024</v>
      </c>
      <c r="G11" s="21">
        <f t="shared" si="0"/>
        <v>5653.7000000000016</v>
      </c>
      <c r="H11" s="22">
        <f t="shared" si="0"/>
        <v>5653.7000000000016</v>
      </c>
      <c r="I11" s="21">
        <f t="shared" si="0"/>
        <v>5899.7000000000035</v>
      </c>
      <c r="J11" s="21">
        <f t="shared" si="0"/>
        <v>5749.9000000000033</v>
      </c>
      <c r="K11" s="21">
        <f t="shared" si="0"/>
        <v>7581.0000000000045</v>
      </c>
      <c r="L11" s="116">
        <f t="shared" si="0"/>
        <v>7806.4000000000051</v>
      </c>
      <c r="M11" s="22">
        <f t="shared" si="0"/>
        <v>7806.4000000000051</v>
      </c>
      <c r="N11" s="21">
        <f t="shared" si="0"/>
        <v>8357.4000000000106</v>
      </c>
      <c r="O11" s="21">
        <f t="shared" si="0"/>
        <v>6979.4000000000106</v>
      </c>
      <c r="P11" s="21">
        <f t="shared" si="0"/>
        <v>7931.7000000000098</v>
      </c>
      <c r="Q11" s="116">
        <f t="shared" si="0"/>
        <v>9756.4000000000087</v>
      </c>
      <c r="R11" s="22">
        <f t="shared" si="0"/>
        <v>9756.4000000000087</v>
      </c>
      <c r="S11" s="21">
        <f t="shared" si="0"/>
        <v>7255.1000000000076</v>
      </c>
      <c r="T11" s="21">
        <f t="shared" si="0"/>
        <v>7541.1000000000076</v>
      </c>
      <c r="U11" s="21">
        <f t="shared" si="0"/>
        <v>7067.5000000000073</v>
      </c>
      <c r="V11" s="116">
        <f t="shared" si="0"/>
        <v>7018.6000000000067</v>
      </c>
      <c r="W11" s="22">
        <f t="shared" si="0"/>
        <v>7018.6000000000067</v>
      </c>
      <c r="X11" s="116">
        <f>SUM(X6:X10)</f>
        <v>6934.8000000000084</v>
      </c>
      <c r="Y11" s="116">
        <f t="shared" si="0"/>
        <v>7046.1000000000076</v>
      </c>
      <c r="Z11" s="21">
        <f t="shared" si="0"/>
        <v>7208.4112727283318</v>
      </c>
      <c r="AA11" s="21">
        <f t="shared" si="0"/>
        <v>7108.7844174039074</v>
      </c>
      <c r="AB11" s="22">
        <f t="shared" si="0"/>
        <v>7108.7844174039074</v>
      </c>
      <c r="AC11" s="21">
        <f t="shared" si="0"/>
        <v>7697.4681448746451</v>
      </c>
      <c r="AD11" s="21">
        <f t="shared" si="0"/>
        <v>7575.9689753579341</v>
      </c>
      <c r="AE11" s="21">
        <f t="shared" si="0"/>
        <v>7954.1618365892791</v>
      </c>
      <c r="AF11" s="21">
        <f t="shared" si="0"/>
        <v>8052.4149876497177</v>
      </c>
      <c r="AG11" s="22">
        <f t="shared" si="0"/>
        <v>8052.4149876497177</v>
      </c>
      <c r="AH11" s="21">
        <f t="shared" si="0"/>
        <v>8835.7765073454484</v>
      </c>
      <c r="AI11" s="21">
        <f t="shared" si="0"/>
        <v>8931.6953986057288</v>
      </c>
      <c r="AJ11" s="21">
        <f t="shared" si="0"/>
        <v>10374.235725651373</v>
      </c>
      <c r="AK11" s="21">
        <f t="shared" si="0"/>
        <v>5318.4843256266977</v>
      </c>
      <c r="AL11" s="22">
        <f t="shared" si="0"/>
        <v>5318.4843256266977</v>
      </c>
      <c r="AM11" s="21">
        <f t="shared" si="0"/>
        <v>5977.8240366056343</v>
      </c>
      <c r="AN11" s="21">
        <f t="shared" si="0"/>
        <v>4974.9534788722667</v>
      </c>
      <c r="AO11" s="21">
        <f t="shared" si="0"/>
        <v>5616.6747099119229</v>
      </c>
      <c r="AP11" s="21">
        <f t="shared" si="0"/>
        <v>5879.752545719497</v>
      </c>
      <c r="AQ11" s="22">
        <f t="shared" si="0"/>
        <v>5879.752545719497</v>
      </c>
      <c r="AR11" s="21">
        <f t="shared" si="0"/>
        <v>6695.2005816261099</v>
      </c>
      <c r="AS11" s="21">
        <f t="shared" si="0"/>
        <v>6757.6005146264251</v>
      </c>
      <c r="AT11" s="21">
        <f t="shared" si="0"/>
        <v>7500.8207275722989</v>
      </c>
      <c r="AU11" s="21">
        <f t="shared" si="0"/>
        <v>7854.1637902281491</v>
      </c>
      <c r="AV11" s="22">
        <f t="shared" si="0"/>
        <v>7854.1637902281491</v>
      </c>
    </row>
    <row r="12" spans="1:48" ht="14.55" customHeight="1" outlineLevel="1" x14ac:dyDescent="0.3">
      <c r="A12" s="161"/>
      <c r="B12" s="200" t="s">
        <v>218</v>
      </c>
      <c r="C12" s="207"/>
      <c r="D12" s="16">
        <v>265</v>
      </c>
      <c r="E12" s="16">
        <v>251.9</v>
      </c>
      <c r="F12" s="16">
        <v>222.6</v>
      </c>
      <c r="G12" s="16">
        <v>220</v>
      </c>
      <c r="H12" s="17">
        <f t="shared" ref="H12:H18" si="1">+G12</f>
        <v>220</v>
      </c>
      <c r="I12" s="16">
        <v>199.8</v>
      </c>
      <c r="J12" s="16">
        <v>198.8</v>
      </c>
      <c r="K12" s="16">
        <v>223.4</v>
      </c>
      <c r="L12" s="101">
        <v>206.1</v>
      </c>
      <c r="M12" s="17">
        <f>+L12</f>
        <v>206.1</v>
      </c>
      <c r="N12" s="16">
        <v>190.9</v>
      </c>
      <c r="O12" s="16">
        <v>284.8</v>
      </c>
      <c r="P12" s="16">
        <v>285.89999999999998</v>
      </c>
      <c r="Q12" s="101">
        <v>281.7</v>
      </c>
      <c r="R12" s="17">
        <f>+Q12</f>
        <v>281.7</v>
      </c>
      <c r="S12" s="16">
        <v>299.60000000000002</v>
      </c>
      <c r="T12" s="16">
        <v>285.60000000000002</v>
      </c>
      <c r="U12" s="16">
        <v>292.5</v>
      </c>
      <c r="V12" s="101">
        <v>279.10000000000002</v>
      </c>
      <c r="W12" s="17">
        <f>+V12</f>
        <v>279.10000000000002</v>
      </c>
      <c r="X12" s="101">
        <v>283.60000000000002</v>
      </c>
      <c r="Y12" s="101">
        <v>251.2</v>
      </c>
      <c r="Z12" s="16">
        <f>+Z53*Z42*(1-Z54)</f>
        <v>306.37638077491118</v>
      </c>
      <c r="AA12" s="16">
        <f>+AA53*AA42*(1-AA54)</f>
        <v>299.91183613328798</v>
      </c>
      <c r="AB12" s="17">
        <f>+AA12</f>
        <v>299.91183613328798</v>
      </c>
      <c r="AC12" s="16">
        <f>+AC53*AC42*(1-AC54)</f>
        <v>308.28310291920809</v>
      </c>
      <c r="AD12" s="16">
        <f>+AD53*AD42*(1-AD54)</f>
        <v>303.80048439174595</v>
      </c>
      <c r="AE12" s="16">
        <f>+AE53*AE42*(1-AE54)</f>
        <v>316.856270033947</v>
      </c>
      <c r="AF12" s="16">
        <f>+AF53*AF42*(1-AF54)</f>
        <v>317.8032804877783</v>
      </c>
      <c r="AG12" s="17">
        <f>+AF12</f>
        <v>317.8032804877783</v>
      </c>
      <c r="AH12" s="16">
        <f>+AH53*AH42*(1-AH54)</f>
        <v>328.6677985485199</v>
      </c>
      <c r="AI12" s="16">
        <f>+AI53*AI42*(1-AI54)</f>
        <v>330.11512257393503</v>
      </c>
      <c r="AJ12" s="16">
        <f>+AJ53*AJ42*(1-AJ54)</f>
        <v>348.04203499779578</v>
      </c>
      <c r="AK12" s="16">
        <f>+AK53*AK42*(1-AK54)</f>
        <v>296.32458920311615</v>
      </c>
      <c r="AL12" s="17">
        <f>+AK12</f>
        <v>296.32458920311615</v>
      </c>
      <c r="AM12" s="16">
        <f>+AM53*AM42*(1-AM54)</f>
        <v>306.59742130813578</v>
      </c>
      <c r="AN12" s="16">
        <f>+AN53*AN42*(1-AN54)</f>
        <v>296.89093545742594</v>
      </c>
      <c r="AO12" s="16">
        <f>+AO53*AO42*(1-AO54)</f>
        <v>305.73098330824081</v>
      </c>
      <c r="AP12" s="16">
        <f>+AP53*AP42*(1-AP54)</f>
        <v>310.35508657630419</v>
      </c>
      <c r="AQ12" s="17">
        <f>+AP12</f>
        <v>310.35508657630419</v>
      </c>
      <c r="AR12" s="16">
        <f>+AR53*AR42*(1-AR54)</f>
        <v>322.42762792788648</v>
      </c>
      <c r="AS12" s="16">
        <f>+AS53*AS42*(1-AS54)</f>
        <v>323.76298671088375</v>
      </c>
      <c r="AT12" s="16">
        <f>+AT53*AT42*(1-AT54)</f>
        <v>333.59184446144496</v>
      </c>
      <c r="AU12" s="16">
        <f>+AU53*AU42*(1-AU54)</f>
        <v>339.26013912016396</v>
      </c>
      <c r="AV12" s="17">
        <f>+AU12</f>
        <v>339.26013912016396</v>
      </c>
    </row>
    <row r="13" spans="1:48" ht="14.55" customHeight="1" outlineLevel="1" x14ac:dyDescent="0.3">
      <c r="A13" s="161"/>
      <c r="B13" s="200" t="s">
        <v>219</v>
      </c>
      <c r="C13" s="207"/>
      <c r="D13" s="16">
        <v>336.1</v>
      </c>
      <c r="E13" s="16">
        <v>309.3</v>
      </c>
      <c r="F13" s="16">
        <v>340.3</v>
      </c>
      <c r="G13" s="16">
        <v>396</v>
      </c>
      <c r="H13" s="17">
        <f t="shared" si="1"/>
        <v>396</v>
      </c>
      <c r="I13" s="16">
        <v>411.3</v>
      </c>
      <c r="J13" s="16">
        <v>420.9</v>
      </c>
      <c r="K13" s="16">
        <v>426.1</v>
      </c>
      <c r="L13" s="101">
        <v>478.7</v>
      </c>
      <c r="M13" s="17">
        <f>+L13</f>
        <v>478.7</v>
      </c>
      <c r="N13" s="16">
        <v>496</v>
      </c>
      <c r="O13" s="16">
        <v>499.4</v>
      </c>
      <c r="P13" s="16">
        <v>535.29999999999995</v>
      </c>
      <c r="Q13" s="101">
        <v>268.5</v>
      </c>
      <c r="R13" s="17">
        <f>+Q13</f>
        <v>268.5</v>
      </c>
      <c r="S13" s="16">
        <v>251.9</v>
      </c>
      <c r="T13" s="16">
        <v>270.8</v>
      </c>
      <c r="U13" s="16">
        <v>302.7</v>
      </c>
      <c r="V13" s="101">
        <v>311.2</v>
      </c>
      <c r="W13" s="17">
        <f>+V13</f>
        <v>311.2</v>
      </c>
      <c r="X13" s="101">
        <v>330.5</v>
      </c>
      <c r="Y13" s="101">
        <v>360.5</v>
      </c>
      <c r="Z13" s="33">
        <f>Y13</f>
        <v>360.5</v>
      </c>
      <c r="AA13" s="33">
        <f>Z13</f>
        <v>360.5</v>
      </c>
      <c r="AB13" s="17">
        <f>+AA13</f>
        <v>360.5</v>
      </c>
      <c r="AC13" s="33">
        <f>AA13</f>
        <v>360.5</v>
      </c>
      <c r="AD13" s="33">
        <f>AC13</f>
        <v>360.5</v>
      </c>
      <c r="AE13" s="33">
        <f>AD13</f>
        <v>360.5</v>
      </c>
      <c r="AF13" s="33">
        <f>AE13</f>
        <v>360.5</v>
      </c>
      <c r="AG13" s="17">
        <f>+AF13</f>
        <v>360.5</v>
      </c>
      <c r="AH13" s="33">
        <f>AF13</f>
        <v>360.5</v>
      </c>
      <c r="AI13" s="33">
        <f>AH13</f>
        <v>360.5</v>
      </c>
      <c r="AJ13" s="33">
        <f>AI13</f>
        <v>360.5</v>
      </c>
      <c r="AK13" s="33">
        <f>AJ13</f>
        <v>360.5</v>
      </c>
      <c r="AL13" s="17">
        <f>+AK13</f>
        <v>360.5</v>
      </c>
      <c r="AM13" s="33">
        <f>AK13</f>
        <v>360.5</v>
      </c>
      <c r="AN13" s="33">
        <f>AM13</f>
        <v>360.5</v>
      </c>
      <c r="AO13" s="33">
        <f>AN13</f>
        <v>360.5</v>
      </c>
      <c r="AP13" s="33">
        <f>AO13</f>
        <v>360.5</v>
      </c>
      <c r="AQ13" s="17">
        <f>+AP13</f>
        <v>360.5</v>
      </c>
      <c r="AR13" s="33">
        <f>AP13</f>
        <v>360.5</v>
      </c>
      <c r="AS13" s="33">
        <f>AR13</f>
        <v>360.5</v>
      </c>
      <c r="AT13" s="33">
        <f>AS13</f>
        <v>360.5</v>
      </c>
      <c r="AU13" s="33">
        <f>AT13</f>
        <v>360.5</v>
      </c>
      <c r="AV13" s="17">
        <f>+AU13</f>
        <v>360.5</v>
      </c>
    </row>
    <row r="14" spans="1:48" s="8" customFormat="1" outlineLevel="1" x14ac:dyDescent="0.3">
      <c r="A14" s="161"/>
      <c r="B14" s="200" t="s">
        <v>220</v>
      </c>
      <c r="C14" s="206"/>
      <c r="D14" s="16">
        <v>6039.3</v>
      </c>
      <c r="E14" s="16">
        <v>6135.5</v>
      </c>
      <c r="F14" s="16">
        <v>6187.8</v>
      </c>
      <c r="G14" s="16">
        <v>6431.7</v>
      </c>
      <c r="H14" s="17">
        <f t="shared" si="1"/>
        <v>6431.7</v>
      </c>
      <c r="I14" s="16">
        <v>6390.9</v>
      </c>
      <c r="J14" s="16">
        <v>6387</v>
      </c>
      <c r="K14" s="16">
        <v>6295.6</v>
      </c>
      <c r="L14" s="101">
        <v>6241.4</v>
      </c>
      <c r="M14" s="17">
        <f>+L14</f>
        <v>6241.4</v>
      </c>
      <c r="N14" s="16">
        <v>6177.9</v>
      </c>
      <c r="O14" s="16">
        <v>6123.1</v>
      </c>
      <c r="P14" s="16">
        <v>6151.4</v>
      </c>
      <c r="Q14" s="101">
        <v>6369.5</v>
      </c>
      <c r="R14" s="17">
        <f>+Q14</f>
        <v>6369.5</v>
      </c>
      <c r="S14" s="16">
        <v>6398</v>
      </c>
      <c r="T14" s="16">
        <v>6460.8</v>
      </c>
      <c r="U14" s="101">
        <v>6408.2</v>
      </c>
      <c r="V14" s="101">
        <v>6560.5</v>
      </c>
      <c r="W14" s="17">
        <f>+V14</f>
        <v>6560.5</v>
      </c>
      <c r="X14" s="101">
        <v>6699.5</v>
      </c>
      <c r="Y14" s="101">
        <v>6818.6</v>
      </c>
      <c r="Z14" s="16">
        <f>+Y14-'CFS (Adjusted)'!Z25-'CFS (Adjusted)'!Z7</f>
        <v>7187.0502974901083</v>
      </c>
      <c r="AA14" s="16">
        <f>+Z14-'CFS (Adjusted)'!AA25-'CFS (Adjusted)'!AA7</f>
        <v>7553.0892019324529</v>
      </c>
      <c r="AB14" s="17">
        <f>+AA14</f>
        <v>7553.0892019324529</v>
      </c>
      <c r="AC14" s="16">
        <f>+AA14-'CFS (Adjusted)'!AC25-'CFS (Adjusted)'!AC7</f>
        <v>7823.4894743022815</v>
      </c>
      <c r="AD14" s="16">
        <f>+AC14-'CFS (Adjusted)'!AD25-'CFS (Adjusted)'!AD7</f>
        <v>8064.8446414659729</v>
      </c>
      <c r="AE14" s="16">
        <f>+AD14-'CFS (Adjusted)'!AE25-'CFS (Adjusted)'!AE7</f>
        <v>8336.7643391826859</v>
      </c>
      <c r="AF14" s="16">
        <f>+AE14-'CFS (Adjusted)'!AF25-'CFS (Adjusted)'!AF7</f>
        <v>8603.860882364479</v>
      </c>
      <c r="AG14" s="17">
        <f>+AF14</f>
        <v>8603.860882364479</v>
      </c>
      <c r="AH14" s="16">
        <f>+AF14-'CFS (Adjusted)'!AH25-'CFS (Adjusted)'!AH7</f>
        <v>8813.3732456046782</v>
      </c>
      <c r="AI14" s="16">
        <f>+AH14-'CFS (Adjusted)'!AI25-'CFS (Adjusted)'!AI7</f>
        <v>9000.6003363688378</v>
      </c>
      <c r="AJ14" s="16">
        <f>+AI14-'CFS (Adjusted)'!AJ25-'CFS (Adjusted)'!AJ7</f>
        <v>9222.9650597649907</v>
      </c>
      <c r="AK14" s="16">
        <f>+AJ14-'CFS (Adjusted)'!AK25-'CFS (Adjusted)'!AK7</f>
        <v>9442.7714243229439</v>
      </c>
      <c r="AL14" s="17">
        <f>+AK14</f>
        <v>9442.7714243229439</v>
      </c>
      <c r="AM14" s="16">
        <f>+AK14-'CFS (Adjusted)'!AM25-'CFS (Adjusted)'!AM7</f>
        <v>9672.4587109382228</v>
      </c>
      <c r="AN14" s="16">
        <f>+AM14-'CFS (Adjusted)'!AN25-'CFS (Adjusted)'!AN7</f>
        <v>9875.8234267755652</v>
      </c>
      <c r="AO14" s="16">
        <f>+AN14-'CFS (Adjusted)'!AO25-'CFS (Adjusted)'!AO7</f>
        <v>10115.023258843255</v>
      </c>
      <c r="AP14" s="16">
        <f>+AO14-'CFS (Adjusted)'!AP25-'CFS (Adjusted)'!AP7</f>
        <v>10348.669912244626</v>
      </c>
      <c r="AQ14" s="17">
        <f>+AP14</f>
        <v>10348.669912244626</v>
      </c>
      <c r="AR14" s="16">
        <f>+AP14-'CFS (Adjusted)'!AR25-'CFS (Adjusted)'!AR7</f>
        <v>10576.699889656849</v>
      </c>
      <c r="AS14" s="16">
        <f>+AR14-'CFS (Adjusted)'!AS25-'CFS (Adjusted)'!AS7</f>
        <v>10777.60385563847</v>
      </c>
      <c r="AT14" s="16">
        <f>+AS14-'CFS (Adjusted)'!AT25-'CFS (Adjusted)'!AT7</f>
        <v>11017.326151925208</v>
      </c>
      <c r="AU14" s="16">
        <f>+AT14-'CFS (Adjusted)'!AU25-'CFS (Adjusted)'!AU7</f>
        <v>11251.848498306628</v>
      </c>
      <c r="AV14" s="17">
        <f>+AU14</f>
        <v>11251.848498306628</v>
      </c>
    </row>
    <row r="15" spans="1:48" s="8" customFormat="1" outlineLevel="1" x14ac:dyDescent="0.3">
      <c r="A15" s="161"/>
      <c r="B15" s="200" t="s">
        <v>221</v>
      </c>
      <c r="C15" s="206"/>
      <c r="D15" s="16">
        <v>0</v>
      </c>
      <c r="E15" s="16">
        <v>0</v>
      </c>
      <c r="F15" s="16">
        <v>0</v>
      </c>
      <c r="G15" s="16">
        <v>0</v>
      </c>
      <c r="H15" s="17">
        <f t="shared" si="1"/>
        <v>0</v>
      </c>
      <c r="I15" s="16">
        <v>8358.5</v>
      </c>
      <c r="J15" s="16">
        <v>8260.7999999999993</v>
      </c>
      <c r="K15" s="16">
        <v>8214</v>
      </c>
      <c r="L15" s="101">
        <v>8134.1</v>
      </c>
      <c r="M15" s="17">
        <f>L15</f>
        <v>8134.1</v>
      </c>
      <c r="N15" s="16">
        <v>8199.4</v>
      </c>
      <c r="O15" s="16">
        <v>8036.8</v>
      </c>
      <c r="P15" s="16">
        <v>8065.2</v>
      </c>
      <c r="Q15" s="101">
        <v>8236</v>
      </c>
      <c r="R15" s="17">
        <f>Q15</f>
        <v>8236</v>
      </c>
      <c r="S15" s="16">
        <v>8203.4</v>
      </c>
      <c r="T15" s="16">
        <v>8170.2</v>
      </c>
      <c r="U15" s="101">
        <v>8037.1</v>
      </c>
      <c r="V15" s="101">
        <v>8015.6</v>
      </c>
      <c r="W15" s="17">
        <f>V15</f>
        <v>8015.6</v>
      </c>
      <c r="X15" s="101">
        <v>8133.8</v>
      </c>
      <c r="Y15" s="101">
        <v>8251.6</v>
      </c>
      <c r="Z15" s="33">
        <f>Y15*0.996</f>
        <v>8218.5936000000002</v>
      </c>
      <c r="AA15" s="33">
        <f>Z15*0.996</f>
        <v>8185.7192255999998</v>
      </c>
      <c r="AB15" s="17">
        <f>AA15</f>
        <v>8185.7192255999998</v>
      </c>
      <c r="AC15" s="33">
        <f>AA15*0.996</f>
        <v>8152.9763486975999</v>
      </c>
      <c r="AD15" s="33">
        <f>AC15*0.996</f>
        <v>8120.3644433028094</v>
      </c>
      <c r="AE15" s="33">
        <f>AD15*0.996</f>
        <v>8087.882985529598</v>
      </c>
      <c r="AF15" s="33">
        <f>AE15*0.996</f>
        <v>8055.5314535874795</v>
      </c>
      <c r="AG15" s="17">
        <f>AF15</f>
        <v>8055.5314535874795</v>
      </c>
      <c r="AH15" s="33">
        <f>AF15*0.996</f>
        <v>8023.3093277731296</v>
      </c>
      <c r="AI15" s="33">
        <f>AH15*0.996</f>
        <v>7991.2160904620368</v>
      </c>
      <c r="AJ15" s="33">
        <f>AI15*0.996</f>
        <v>7959.2512261001884</v>
      </c>
      <c r="AK15" s="33">
        <f>AJ15*0.996</f>
        <v>7927.4142211957878</v>
      </c>
      <c r="AL15" s="17">
        <f>AK15</f>
        <v>7927.4142211957878</v>
      </c>
      <c r="AM15" s="33">
        <f>AK15*0.996</f>
        <v>7895.704564311005</v>
      </c>
      <c r="AN15" s="33">
        <f>AM15*0.996</f>
        <v>7864.1217460537609</v>
      </c>
      <c r="AO15" s="33">
        <f>AN15*0.996</f>
        <v>7832.6652590695458</v>
      </c>
      <c r="AP15" s="33">
        <f>AO15*0.996</f>
        <v>7801.3345980332679</v>
      </c>
      <c r="AQ15" s="17">
        <f>AP15</f>
        <v>7801.3345980332679</v>
      </c>
      <c r="AR15" s="33">
        <f>AP15*0.996</f>
        <v>7770.1292596411349</v>
      </c>
      <c r="AS15" s="33">
        <f>AR15*0.996</f>
        <v>7739.0487426025702</v>
      </c>
      <c r="AT15" s="33">
        <f>AS15*0.996</f>
        <v>7708.0925476321599</v>
      </c>
      <c r="AU15" s="33">
        <f>AT15*0.996</f>
        <v>7677.2601774416316</v>
      </c>
      <c r="AV15" s="17">
        <f>AU15</f>
        <v>7677.2601774416316</v>
      </c>
    </row>
    <row r="16" spans="1:48" s="8" customFormat="1" outlineLevel="1" x14ac:dyDescent="0.3">
      <c r="A16" s="161"/>
      <c r="B16" s="200" t="s">
        <v>222</v>
      </c>
      <c r="C16" s="206"/>
      <c r="D16" s="16">
        <v>650</v>
      </c>
      <c r="E16" s="16">
        <v>1006.6</v>
      </c>
      <c r="F16" s="16">
        <v>1533</v>
      </c>
      <c r="G16" s="16">
        <v>1765.8</v>
      </c>
      <c r="H16" s="17">
        <f t="shared" si="1"/>
        <v>1765.8</v>
      </c>
      <c r="I16" s="16">
        <v>1731.4</v>
      </c>
      <c r="J16" s="16">
        <v>1709.7</v>
      </c>
      <c r="K16" s="16">
        <v>1740</v>
      </c>
      <c r="L16" s="101">
        <v>1789.9</v>
      </c>
      <c r="M16" s="17">
        <f>+L16</f>
        <v>1789.9</v>
      </c>
      <c r="N16" s="16">
        <v>1792.4</v>
      </c>
      <c r="O16" s="16">
        <v>1770</v>
      </c>
      <c r="P16" s="16">
        <v>1851</v>
      </c>
      <c r="Q16" s="101">
        <v>1874.8</v>
      </c>
      <c r="R16" s="17">
        <f>+Q16</f>
        <v>1874.8</v>
      </c>
      <c r="S16" s="16">
        <v>1859.7</v>
      </c>
      <c r="T16" s="16">
        <v>1809.4</v>
      </c>
      <c r="U16" s="101">
        <v>1752.9</v>
      </c>
      <c r="V16" s="101">
        <v>1799.7</v>
      </c>
      <c r="W16" s="169">
        <f>+V16</f>
        <v>1799.7</v>
      </c>
      <c r="X16" s="101">
        <v>1811.8</v>
      </c>
      <c r="Y16" s="101">
        <v>1811.1</v>
      </c>
      <c r="Z16" s="101">
        <f>Z55*(Z27+Z33)</f>
        <v>1762.1966058302887</v>
      </c>
      <c r="AA16" s="101">
        <f>AA55*(AA27+AA33)</f>
        <v>1759.615148633706</v>
      </c>
      <c r="AB16" s="169">
        <f>+AA16</f>
        <v>1759.615148633706</v>
      </c>
      <c r="AC16" s="101">
        <f>AC55*(AC27+AC33)</f>
        <v>1861.1567918113735</v>
      </c>
      <c r="AD16" s="101">
        <f>AD55*(AD27+AD33)</f>
        <v>1790.3141738026975</v>
      </c>
      <c r="AE16" s="101">
        <f>AE55*(AE27+AE33)</f>
        <v>1772.5649229726114</v>
      </c>
      <c r="AF16" s="101">
        <f>AF55*(AF27+AF33)</f>
        <v>1762.753246307303</v>
      </c>
      <c r="AG16" s="169">
        <f>+AF16</f>
        <v>1762.753246307303</v>
      </c>
      <c r="AH16" s="101">
        <f>AH55*(AH27+AH33)</f>
        <v>1882.6936964533261</v>
      </c>
      <c r="AI16" s="101">
        <f>AI55*(AI27+AI33)</f>
        <v>1794.8592168251187</v>
      </c>
      <c r="AJ16" s="101">
        <f>AJ55*(AJ27+AJ33)</f>
        <v>1782.4063881796615</v>
      </c>
      <c r="AK16" s="101">
        <f>AK55*(AK27+AK33)</f>
        <v>1771.4207938822392</v>
      </c>
      <c r="AL16" s="169">
        <f>+AK16</f>
        <v>1771.4207938822392</v>
      </c>
      <c r="AM16" s="101">
        <f>AM55*(AM27+AM33)</f>
        <v>1902.6729826289045</v>
      </c>
      <c r="AN16" s="101">
        <f>AN55*(AN27+AN33)</f>
        <v>1806.7280991095408</v>
      </c>
      <c r="AO16" s="101">
        <f>AO55*(AO27+AO33)</f>
        <v>1794.9739252365641</v>
      </c>
      <c r="AP16" s="101">
        <f>AP55*(AP27+AP33)</f>
        <v>1783.5436505011007</v>
      </c>
      <c r="AQ16" s="169">
        <f>+AP16</f>
        <v>1783.5436505011007</v>
      </c>
      <c r="AR16" s="101">
        <f>AR55*(AR27+AR33)</f>
        <v>1926.3696533571735</v>
      </c>
      <c r="AS16" s="101">
        <f>AS55*(AS27+AS33)</f>
        <v>1822.9709280670465</v>
      </c>
      <c r="AT16" s="101">
        <f>AT55*(AT27+AT33)</f>
        <v>1811.0807609468272</v>
      </c>
      <c r="AU16" s="101">
        <f>AU55*(AU27+AU33)</f>
        <v>1799.3168340177963</v>
      </c>
      <c r="AV16" s="17">
        <f>+AU16</f>
        <v>1799.3168340177963</v>
      </c>
    </row>
    <row r="17" spans="1:48" s="8" customFormat="1" outlineLevel="1" x14ac:dyDescent="0.3">
      <c r="A17" s="161"/>
      <c r="B17" s="200" t="s">
        <v>223</v>
      </c>
      <c r="C17" s="206"/>
      <c r="D17" s="16">
        <v>472.7</v>
      </c>
      <c r="E17" s="16">
        <v>464.5</v>
      </c>
      <c r="F17" s="16">
        <v>458</v>
      </c>
      <c r="G17" s="16">
        <v>479.6</v>
      </c>
      <c r="H17" s="17">
        <f t="shared" si="1"/>
        <v>479.6</v>
      </c>
      <c r="I17" s="16">
        <v>484.7</v>
      </c>
      <c r="J17" s="16">
        <v>580.1</v>
      </c>
      <c r="K17" s="16">
        <v>550.79999999999995</v>
      </c>
      <c r="L17" s="101">
        <v>568.6</v>
      </c>
      <c r="M17" s="17">
        <f>+L17</f>
        <v>568.6</v>
      </c>
      <c r="N17" s="16">
        <v>541.1</v>
      </c>
      <c r="O17" s="16">
        <v>574.9</v>
      </c>
      <c r="P17" s="16">
        <v>586.29999999999995</v>
      </c>
      <c r="Q17" s="101">
        <v>578.5</v>
      </c>
      <c r="R17" s="17">
        <f>+Q17</f>
        <v>578.5</v>
      </c>
      <c r="S17" s="16">
        <v>588</v>
      </c>
      <c r="T17" s="16">
        <v>582.79999999999995</v>
      </c>
      <c r="U17" s="101">
        <v>640.70000000000005</v>
      </c>
      <c r="V17" s="101">
        <v>554.20000000000005</v>
      </c>
      <c r="W17" s="17">
        <f>+V17</f>
        <v>554.20000000000005</v>
      </c>
      <c r="X17" s="101">
        <v>527.6</v>
      </c>
      <c r="Y17" s="101">
        <v>526.70000000000005</v>
      </c>
      <c r="Z17" s="33">
        <f>+Y17*(Z42/Y42)</f>
        <v>535.95708511763667</v>
      </c>
      <c r="AA17" s="33">
        <f>+Z17*(AA42/Z42)</f>
        <v>539.9870002745057</v>
      </c>
      <c r="AB17" s="17">
        <f>+AA17</f>
        <v>539.9870002745057</v>
      </c>
      <c r="AC17" s="33">
        <f>+AA17*(AC42/AA42)</f>
        <v>557.38088039290881</v>
      </c>
      <c r="AD17" s="33">
        <f>+AC17*(AD42/AC42)</f>
        <v>557.45160141589326</v>
      </c>
      <c r="AE17" s="33">
        <f>+AD17*(AE42/AD42)</f>
        <v>568.80700794378424</v>
      </c>
      <c r="AF17" s="33">
        <f>+AE17*(AF42/AE42)</f>
        <v>574.75697136788551</v>
      </c>
      <c r="AG17" s="17">
        <f>+AF17</f>
        <v>574.75697136788551</v>
      </c>
      <c r="AH17" s="33">
        <f>+AF17*(AH42/AF42)</f>
        <v>595.10887983219232</v>
      </c>
      <c r="AI17" s="33">
        <f>+AH17*(AI42/AH42)</f>
        <v>598.08779738076771</v>
      </c>
      <c r="AJ17" s="33">
        <f>+AI17*(AJ42/AI42)</f>
        <v>628.71649400408694</v>
      </c>
      <c r="AK17" s="33">
        <f>+AJ17*(AK42/AJ42)</f>
        <v>536.14969011945516</v>
      </c>
      <c r="AL17" s="17">
        <f>+AK17</f>
        <v>536.14969011945516</v>
      </c>
      <c r="AM17" s="33">
        <f>+AK17*(AM42/AK42)</f>
        <v>554.79831178409029</v>
      </c>
      <c r="AN17" s="33">
        <f>+AM17*(AN42/AM42)</f>
        <v>537.15077114395444</v>
      </c>
      <c r="AO17" s="33">
        <f>+AN17*(AO42/AN42)</f>
        <v>552.95616349633042</v>
      </c>
      <c r="AP17" s="33">
        <f>+AO17*(AP42/AO42)</f>
        <v>561.49085882287045</v>
      </c>
      <c r="AQ17" s="17">
        <f>+AP17</f>
        <v>561.49085882287045</v>
      </c>
      <c r="AR17" s="33">
        <f>+AP17*(AR42/AP42)</f>
        <v>583.32076507831766</v>
      </c>
      <c r="AS17" s="33">
        <f>+AR17*(AS42/AR42)</f>
        <v>585.70580418921702</v>
      </c>
      <c r="AT17" s="33">
        <f>+AS17*(AT42/AS42)</f>
        <v>603.47051133482614</v>
      </c>
      <c r="AU17" s="33">
        <f>+AT17*(AU42/AT42)</f>
        <v>613.7561076218177</v>
      </c>
      <c r="AV17" s="17">
        <f>+AU17</f>
        <v>613.7561076218177</v>
      </c>
    </row>
    <row r="18" spans="1:48" s="8" customFormat="1" outlineLevel="1" x14ac:dyDescent="0.3">
      <c r="A18" s="161"/>
      <c r="B18" s="200" t="s">
        <v>224</v>
      </c>
      <c r="C18" s="206"/>
      <c r="D18" s="16">
        <v>981.6</v>
      </c>
      <c r="E18" s="16">
        <v>918.3</v>
      </c>
      <c r="F18" s="16">
        <v>853.2</v>
      </c>
      <c r="G18" s="16">
        <v>781.8</v>
      </c>
      <c r="H18" s="17">
        <f t="shared" si="1"/>
        <v>781.8</v>
      </c>
      <c r="I18" s="16">
        <v>739.1</v>
      </c>
      <c r="J18" s="16">
        <v>678.7</v>
      </c>
      <c r="K18" s="16">
        <v>599.6</v>
      </c>
      <c r="L18" s="101">
        <v>552.1</v>
      </c>
      <c r="M18" s="17">
        <f>+L18</f>
        <v>552.1</v>
      </c>
      <c r="N18" s="16">
        <v>506.4</v>
      </c>
      <c r="O18" s="16">
        <v>444.3</v>
      </c>
      <c r="P18" s="16">
        <v>398</v>
      </c>
      <c r="Q18" s="101">
        <v>349.9</v>
      </c>
      <c r="R18" s="17">
        <f>+Q18</f>
        <v>349.9</v>
      </c>
      <c r="S18" s="16">
        <v>302.5</v>
      </c>
      <c r="T18" s="16">
        <v>254.7</v>
      </c>
      <c r="U18" s="101">
        <v>203.4</v>
      </c>
      <c r="V18" s="101">
        <v>155.9</v>
      </c>
      <c r="W18" s="17">
        <f>+V18</f>
        <v>155.9</v>
      </c>
      <c r="X18" s="101">
        <v>151.4</v>
      </c>
      <c r="Y18" s="101">
        <v>130.80000000000001</v>
      </c>
      <c r="Z18" s="33">
        <f>+Y18*0.92</f>
        <v>120.33600000000001</v>
      </c>
      <c r="AA18" s="33">
        <f>+Z18*0.92</f>
        <v>110.70912000000001</v>
      </c>
      <c r="AB18" s="17">
        <f>+AA18</f>
        <v>110.70912000000001</v>
      </c>
      <c r="AC18" s="33">
        <f>+AA18*0.92</f>
        <v>101.85239040000002</v>
      </c>
      <c r="AD18" s="33">
        <f>+AC18*0.92</f>
        <v>93.704199168000017</v>
      </c>
      <c r="AE18" s="33">
        <f>+AD18*0.92</f>
        <v>86.207863234560023</v>
      </c>
      <c r="AF18" s="33">
        <f>+AE18*0.92</f>
        <v>79.311234175795221</v>
      </c>
      <c r="AG18" s="17">
        <f>+AF18</f>
        <v>79.311234175795221</v>
      </c>
      <c r="AH18" s="33">
        <f>+AF18*0.92</f>
        <v>72.966335441731601</v>
      </c>
      <c r="AI18" s="33">
        <f>+AH18*0.92</f>
        <v>67.129028606393078</v>
      </c>
      <c r="AJ18" s="33">
        <f>+AI18*0.92</f>
        <v>61.758706317881632</v>
      </c>
      <c r="AK18" s="33">
        <f>+AJ18*0.92</f>
        <v>56.818009812451102</v>
      </c>
      <c r="AL18" s="17">
        <f>+AK18</f>
        <v>56.818009812451102</v>
      </c>
      <c r="AM18" s="33">
        <f>+AK18*0.92</f>
        <v>52.272569027455013</v>
      </c>
      <c r="AN18" s="33">
        <f>+AM18*0.92</f>
        <v>48.090763505258614</v>
      </c>
      <c r="AO18" s="33">
        <f>+AN18*0.92</f>
        <v>44.243502424837928</v>
      </c>
      <c r="AP18" s="33">
        <f>+AO18*0.92</f>
        <v>40.704022230850896</v>
      </c>
      <c r="AQ18" s="17">
        <f>+AP18</f>
        <v>40.704022230850896</v>
      </c>
      <c r="AR18" s="33">
        <f>+AP18*0.92</f>
        <v>37.447700452382826</v>
      </c>
      <c r="AS18" s="33">
        <f>+AR18*0.92</f>
        <v>34.4518844161922</v>
      </c>
      <c r="AT18" s="33">
        <f>+AS18*0.92</f>
        <v>31.695733662896824</v>
      </c>
      <c r="AU18" s="33">
        <f>+AT18*0.92</f>
        <v>29.160074969865079</v>
      </c>
      <c r="AV18" s="17">
        <f>+AU18</f>
        <v>29.160074969865079</v>
      </c>
    </row>
    <row r="19" spans="1:48" ht="16.2" outlineLevel="1" x14ac:dyDescent="0.45">
      <c r="A19" s="161"/>
      <c r="B19" s="580" t="s">
        <v>225</v>
      </c>
      <c r="C19" s="581"/>
      <c r="D19" s="260">
        <v>3560.3</v>
      </c>
      <c r="E19" s="260">
        <v>3603.5</v>
      </c>
      <c r="F19" s="260">
        <v>3564.7</v>
      </c>
      <c r="G19" s="260">
        <v>3490.8</v>
      </c>
      <c r="H19" s="261">
        <f>G19</f>
        <v>3490.8</v>
      </c>
      <c r="I19" s="260">
        <v>3515.9</v>
      </c>
      <c r="J19" s="260">
        <v>3493</v>
      </c>
      <c r="K19" s="260">
        <v>3510.1</v>
      </c>
      <c r="L19" s="112">
        <v>3597.2</v>
      </c>
      <c r="M19" s="261">
        <f>L19</f>
        <v>3597.2</v>
      </c>
      <c r="N19" s="260">
        <v>3706.8</v>
      </c>
      <c r="O19" s="260">
        <v>3658.9</v>
      </c>
      <c r="P19" s="260">
        <v>3672</v>
      </c>
      <c r="Q19" s="112">
        <v>3677.3</v>
      </c>
      <c r="R19" s="261">
        <f>Q19</f>
        <v>3677.3</v>
      </c>
      <c r="S19" s="260">
        <v>3675.7</v>
      </c>
      <c r="T19" s="260">
        <v>3646.1</v>
      </c>
      <c r="U19" s="112">
        <v>3451.2</v>
      </c>
      <c r="V19" s="112">
        <v>3283.5</v>
      </c>
      <c r="W19" s="261">
        <f>V19</f>
        <v>3283.5</v>
      </c>
      <c r="X19" s="112">
        <v>3383</v>
      </c>
      <c r="Y19" s="112">
        <v>3412.3</v>
      </c>
      <c r="Z19" s="32">
        <f>+Y19</f>
        <v>3412.3</v>
      </c>
      <c r="AA19" s="32">
        <f>+Z19</f>
        <v>3412.3</v>
      </c>
      <c r="AB19" s="261">
        <f>AA19</f>
        <v>3412.3</v>
      </c>
      <c r="AC19" s="32">
        <f>+AA19</f>
        <v>3412.3</v>
      </c>
      <c r="AD19" s="32">
        <f>+AC19</f>
        <v>3412.3</v>
      </c>
      <c r="AE19" s="32">
        <f>+AD19</f>
        <v>3412.3</v>
      </c>
      <c r="AF19" s="32">
        <f>+AE19</f>
        <v>3412.3</v>
      </c>
      <c r="AG19" s="261">
        <f>AF19</f>
        <v>3412.3</v>
      </c>
      <c r="AH19" s="32">
        <f>+AF19</f>
        <v>3412.3</v>
      </c>
      <c r="AI19" s="32">
        <f>+AH19</f>
        <v>3412.3</v>
      </c>
      <c r="AJ19" s="32">
        <f>+AI19</f>
        <v>3412.3</v>
      </c>
      <c r="AK19" s="32">
        <f>+AJ19</f>
        <v>3412.3</v>
      </c>
      <c r="AL19" s="261">
        <f>AK19</f>
        <v>3412.3</v>
      </c>
      <c r="AM19" s="32">
        <f>+AK19</f>
        <v>3412.3</v>
      </c>
      <c r="AN19" s="32">
        <f>+AM19</f>
        <v>3412.3</v>
      </c>
      <c r="AO19" s="32">
        <f>+AN19</f>
        <v>3412.3</v>
      </c>
      <c r="AP19" s="32">
        <f>+AO19</f>
        <v>3412.3</v>
      </c>
      <c r="AQ19" s="261">
        <f>AP19</f>
        <v>3412.3</v>
      </c>
      <c r="AR19" s="32">
        <f>+AP19</f>
        <v>3412.3</v>
      </c>
      <c r="AS19" s="32">
        <f>+AR19</f>
        <v>3412.3</v>
      </c>
      <c r="AT19" s="32">
        <f>+AS19</f>
        <v>3412.3</v>
      </c>
      <c r="AU19" s="32">
        <f>+AT19</f>
        <v>3412.3</v>
      </c>
      <c r="AV19" s="261">
        <f>AU19</f>
        <v>3412.3</v>
      </c>
    </row>
    <row r="20" spans="1:48" outlineLevel="1" x14ac:dyDescent="0.3">
      <c r="A20" s="161"/>
      <c r="B20" s="619" t="s">
        <v>226</v>
      </c>
      <c r="C20" s="620"/>
      <c r="D20" s="21">
        <f t="shared" ref="D20:AV20" si="2">+SUM(D11:D19)</f>
        <v>19981.3</v>
      </c>
      <c r="E20" s="21">
        <f t="shared" si="2"/>
        <v>17641.900000000001</v>
      </c>
      <c r="F20" s="21">
        <f t="shared" si="2"/>
        <v>20894.500000000004</v>
      </c>
      <c r="G20" s="21">
        <f t="shared" si="2"/>
        <v>19219.400000000001</v>
      </c>
      <c r="H20" s="22">
        <f t="shared" si="2"/>
        <v>19219.400000000001</v>
      </c>
      <c r="I20" s="21">
        <f t="shared" si="2"/>
        <v>27731.300000000007</v>
      </c>
      <c r="J20" s="21">
        <f t="shared" si="2"/>
        <v>27478.9</v>
      </c>
      <c r="K20" s="21">
        <f t="shared" si="2"/>
        <v>29140.600000000002</v>
      </c>
      <c r="L20" s="21">
        <f t="shared" si="2"/>
        <v>29374.500000000004</v>
      </c>
      <c r="M20" s="22">
        <f t="shared" si="2"/>
        <v>29374.500000000004</v>
      </c>
      <c r="N20" s="21">
        <f t="shared" si="2"/>
        <v>29968.30000000001</v>
      </c>
      <c r="O20" s="21">
        <f t="shared" si="2"/>
        <v>28371.600000000013</v>
      </c>
      <c r="P20" s="21">
        <f t="shared" si="2"/>
        <v>29476.800000000007</v>
      </c>
      <c r="Q20" s="21">
        <f t="shared" si="2"/>
        <v>31392.600000000009</v>
      </c>
      <c r="R20" s="22">
        <f t="shared" si="2"/>
        <v>31392.600000000009</v>
      </c>
      <c r="S20" s="21">
        <f t="shared" si="2"/>
        <v>28833.900000000009</v>
      </c>
      <c r="T20" s="21">
        <f t="shared" si="2"/>
        <v>29021.500000000007</v>
      </c>
      <c r="U20" s="21">
        <f t="shared" si="2"/>
        <v>28156.200000000012</v>
      </c>
      <c r="V20" s="21">
        <f t="shared" si="2"/>
        <v>27978.30000000001</v>
      </c>
      <c r="W20" s="22">
        <f t="shared" si="2"/>
        <v>27978.30000000001</v>
      </c>
      <c r="X20" s="21">
        <f>+SUM(X11:X19)</f>
        <v>28256.000000000007</v>
      </c>
      <c r="Y20" s="21">
        <f t="shared" si="2"/>
        <v>28608.900000000005</v>
      </c>
      <c r="Z20" s="21">
        <f t="shared" si="2"/>
        <v>29111.721241941275</v>
      </c>
      <c r="AA20" s="21">
        <f t="shared" si="2"/>
        <v>29330.615949977859</v>
      </c>
      <c r="AB20" s="22">
        <f t="shared" si="2"/>
        <v>29330.615949977859</v>
      </c>
      <c r="AC20" s="21">
        <f t="shared" si="2"/>
        <v>30275.407133398017</v>
      </c>
      <c r="AD20" s="21">
        <f t="shared" si="2"/>
        <v>30279.248518905057</v>
      </c>
      <c r="AE20" s="21">
        <f t="shared" si="2"/>
        <v>30896.045225486465</v>
      </c>
      <c r="AF20" s="21">
        <f t="shared" si="2"/>
        <v>31219.232055940436</v>
      </c>
      <c r="AG20" s="22">
        <f t="shared" si="2"/>
        <v>31219.232055940436</v>
      </c>
      <c r="AH20" s="21">
        <f t="shared" si="2"/>
        <v>32324.695790999023</v>
      </c>
      <c r="AI20" s="21">
        <f t="shared" si="2"/>
        <v>32486.502990822817</v>
      </c>
      <c r="AJ20" s="21">
        <f t="shared" si="2"/>
        <v>34150.175635015978</v>
      </c>
      <c r="AK20" s="21">
        <f t="shared" si="2"/>
        <v>29122.183054162691</v>
      </c>
      <c r="AL20" s="22">
        <f t="shared" si="2"/>
        <v>29122.183054162691</v>
      </c>
      <c r="AM20" s="21">
        <f t="shared" si="2"/>
        <v>30135.128596603448</v>
      </c>
      <c r="AN20" s="21">
        <f t="shared" si="2"/>
        <v>29176.55922091777</v>
      </c>
      <c r="AO20" s="21">
        <f t="shared" si="2"/>
        <v>30035.067802290698</v>
      </c>
      <c r="AP20" s="21">
        <f t="shared" si="2"/>
        <v>30498.650674128516</v>
      </c>
      <c r="AQ20" s="22">
        <f t="shared" si="2"/>
        <v>30498.650674128516</v>
      </c>
      <c r="AR20" s="21">
        <f t="shared" si="2"/>
        <v>31684.395477739854</v>
      </c>
      <c r="AS20" s="21">
        <f t="shared" si="2"/>
        <v>31813.944716250808</v>
      </c>
      <c r="AT20" s="21">
        <f t="shared" si="2"/>
        <v>32778.878277535667</v>
      </c>
      <c r="AU20" s="21">
        <f t="shared" si="2"/>
        <v>33337.565621706053</v>
      </c>
      <c r="AV20" s="22">
        <f t="shared" si="2"/>
        <v>33337.565621706053</v>
      </c>
    </row>
    <row r="21" spans="1:48" ht="17.399999999999999" x14ac:dyDescent="0.45">
      <c r="A21" s="161"/>
      <c r="B21" s="583" t="s">
        <v>227</v>
      </c>
      <c r="C21" s="584"/>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4" t="s">
        <v>408</v>
      </c>
      <c r="Y21" s="14" t="s">
        <v>452</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580" t="s">
        <v>228</v>
      </c>
      <c r="C22" s="581"/>
      <c r="D22" s="101">
        <v>1100.5</v>
      </c>
      <c r="E22" s="101">
        <v>1096.7</v>
      </c>
      <c r="F22" s="101">
        <v>1145.4000000000001</v>
      </c>
      <c r="G22" s="101">
        <v>1189.7</v>
      </c>
      <c r="H22" s="169">
        <f t="shared" ref="H22:H29" si="3">G22</f>
        <v>1189.7</v>
      </c>
      <c r="I22" s="101">
        <v>1085.5999999999999</v>
      </c>
      <c r="J22" s="101">
        <v>997.7</v>
      </c>
      <c r="K22" s="101">
        <v>860.8</v>
      </c>
      <c r="L22" s="101">
        <v>997.9</v>
      </c>
      <c r="M22" s="169">
        <f t="shared" ref="M22:M29" si="4">L22</f>
        <v>997.9</v>
      </c>
      <c r="N22" s="101">
        <v>1050.5999999999999</v>
      </c>
      <c r="O22" s="101">
        <v>1033.5999999999999</v>
      </c>
      <c r="P22" s="101">
        <v>1127</v>
      </c>
      <c r="Q22" s="101">
        <v>1211.5999999999999</v>
      </c>
      <c r="R22" s="169">
        <f t="shared" ref="R22:R29" si="5">Q22</f>
        <v>1211.5999999999999</v>
      </c>
      <c r="S22" s="101">
        <v>1289.4000000000001</v>
      </c>
      <c r="T22" s="101">
        <v>1329.5</v>
      </c>
      <c r="U22" s="101">
        <v>1489.8</v>
      </c>
      <c r="V22" s="101">
        <v>1441.4</v>
      </c>
      <c r="W22" s="169">
        <f t="shared" ref="W22:W29" si="6">V22</f>
        <v>1441.4</v>
      </c>
      <c r="X22" s="101">
        <v>1348.2</v>
      </c>
      <c r="Y22" s="101">
        <v>1434</v>
      </c>
      <c r="Z22" s="101">
        <f>('IS (Adjusted)'!Z9/Z51)</f>
        <v>1629.6164890276877</v>
      </c>
      <c r="AA22" s="101">
        <f>('IS (Adjusted)'!AA9/AA51)</f>
        <v>1469.7836796808083</v>
      </c>
      <c r="AB22" s="169">
        <f t="shared" ref="AB22:AB29" si="7">AA22</f>
        <v>1469.7836796808083</v>
      </c>
      <c r="AC22" s="101">
        <f>('IS (Adjusted)'!AC9/AC51)</f>
        <v>1552.8213598199575</v>
      </c>
      <c r="AD22" s="101">
        <f>('IS (Adjusted)'!AD9/AD51)</f>
        <v>1580.1140240296318</v>
      </c>
      <c r="AE22" s="101">
        <f>('IS (Adjusted)'!AE9/AE51)</f>
        <v>1751.7838190426421</v>
      </c>
      <c r="AF22" s="101">
        <f>('IS (Adjusted)'!AF9/AF51)</f>
        <v>1653.4617423450918</v>
      </c>
      <c r="AG22" s="169">
        <f t="shared" ref="AG22:AG29" si="8">AF22</f>
        <v>1653.4617423450918</v>
      </c>
      <c r="AH22" s="101">
        <f>('IS (Adjusted)'!AH9/AH51)</f>
        <v>1703.3535218800077</v>
      </c>
      <c r="AI22" s="101">
        <f>('IS (Adjusted)'!AI9/AI51)</f>
        <v>1751.670706632641</v>
      </c>
      <c r="AJ22" s="101">
        <f>('IS (Adjusted)'!AJ9/AJ51)</f>
        <v>1962.3680082431165</v>
      </c>
      <c r="AK22" s="101">
        <f>('IS (Adjusted)'!AK9/AK51)</f>
        <v>1857.0274487268443</v>
      </c>
      <c r="AL22" s="169">
        <f t="shared" ref="AL22:AL29" si="9">AK22</f>
        <v>1857.0274487268443</v>
      </c>
      <c r="AM22" s="101">
        <f>('IS (Adjusted)'!AM9/AM51)</f>
        <v>1849.6134431843789</v>
      </c>
      <c r="AN22" s="101">
        <f>('IS (Adjusted)'!AN9/AN51)</f>
        <v>1893.830864569388</v>
      </c>
      <c r="AO22" s="101">
        <f>('IS (Adjusted)'!AO9/AO51)</f>
        <v>2114.0196222118761</v>
      </c>
      <c r="AP22" s="101">
        <f>('IS (Adjusted)'!AP9/AP51)</f>
        <v>1990.941929883774</v>
      </c>
      <c r="AQ22" s="169">
        <f t="shared" ref="AQ22:AQ29" si="10">AP22</f>
        <v>1990.941929883774</v>
      </c>
      <c r="AR22" s="101">
        <f>('IS (Adjusted)'!AR9/AR51)</f>
        <v>1982.3613976757224</v>
      </c>
      <c r="AS22" s="101">
        <f>('IS (Adjusted)'!AS9/AS51)</f>
        <v>2022.1581050807752</v>
      </c>
      <c r="AT22" s="101">
        <f>('IS (Adjusted)'!AT9/AT51)</f>
        <v>2242.56021050154</v>
      </c>
      <c r="AU22" s="101">
        <f>('IS (Adjusted)'!AU9/AU51)</f>
        <v>2118.4574360906959</v>
      </c>
      <c r="AV22" s="169">
        <f t="shared" ref="AV22:AV29" si="11">AU22</f>
        <v>2118.4574360906959</v>
      </c>
    </row>
    <row r="23" spans="1:48" outlineLevel="1" x14ac:dyDescent="0.3">
      <c r="A23" s="161"/>
      <c r="B23" s="580" t="s">
        <v>229</v>
      </c>
      <c r="C23" s="581"/>
      <c r="D23" s="101">
        <v>2564</v>
      </c>
      <c r="E23" s="101">
        <v>2569.3000000000002</v>
      </c>
      <c r="F23" s="101">
        <v>3238.7</v>
      </c>
      <c r="G23" s="101">
        <v>1753.7</v>
      </c>
      <c r="H23" s="169">
        <f t="shared" si="3"/>
        <v>1753.7</v>
      </c>
      <c r="I23" s="101">
        <v>1637.8</v>
      </c>
      <c r="J23" s="101">
        <v>1539</v>
      </c>
      <c r="K23" s="101">
        <v>1511.7</v>
      </c>
      <c r="L23" s="101">
        <v>1160.7</v>
      </c>
      <c r="M23" s="169">
        <f t="shared" si="4"/>
        <v>1160.7</v>
      </c>
      <c r="N23" s="101">
        <v>1616.9</v>
      </c>
      <c r="O23" s="101">
        <v>1771.6</v>
      </c>
      <c r="P23" s="101">
        <v>1791.4</v>
      </c>
      <c r="Q23" s="101">
        <v>1973.2</v>
      </c>
      <c r="R23" s="169">
        <f t="shared" si="5"/>
        <v>1973.2</v>
      </c>
      <c r="S23" s="101">
        <v>2444.3000000000002</v>
      </c>
      <c r="T23" s="101">
        <v>2092.4</v>
      </c>
      <c r="U23" s="101">
        <v>2068.9</v>
      </c>
      <c r="V23" s="101">
        <v>2137.1</v>
      </c>
      <c r="W23" s="169">
        <f t="shared" si="6"/>
        <v>2137.1</v>
      </c>
      <c r="X23" s="101">
        <v>2089.6</v>
      </c>
      <c r="Y23" s="101">
        <v>1970</v>
      </c>
      <c r="Z23" s="33">
        <f>Y23</f>
        <v>1970</v>
      </c>
      <c r="AA23" s="33">
        <f>Z23</f>
        <v>1970</v>
      </c>
      <c r="AB23" s="169">
        <f t="shared" si="7"/>
        <v>1970</v>
      </c>
      <c r="AC23" s="33">
        <f>AA23</f>
        <v>1970</v>
      </c>
      <c r="AD23" s="33">
        <f>AC23</f>
        <v>1970</v>
      </c>
      <c r="AE23" s="33">
        <f>AD23</f>
        <v>1970</v>
      </c>
      <c r="AF23" s="33">
        <f>AE23</f>
        <v>1970</v>
      </c>
      <c r="AG23" s="169">
        <f t="shared" si="8"/>
        <v>1970</v>
      </c>
      <c r="AH23" s="33">
        <f>AF23</f>
        <v>1970</v>
      </c>
      <c r="AI23" s="33">
        <f>AH23</f>
        <v>1970</v>
      </c>
      <c r="AJ23" s="33">
        <f>AI23</f>
        <v>1970</v>
      </c>
      <c r="AK23" s="33">
        <f>AJ23</f>
        <v>1970</v>
      </c>
      <c r="AL23" s="169">
        <f t="shared" si="9"/>
        <v>1970</v>
      </c>
      <c r="AM23" s="33">
        <f>AK23</f>
        <v>1970</v>
      </c>
      <c r="AN23" s="33">
        <f>AM23</f>
        <v>1970</v>
      </c>
      <c r="AO23" s="33">
        <f>AN23</f>
        <v>1970</v>
      </c>
      <c r="AP23" s="33">
        <f>AO23</f>
        <v>1970</v>
      </c>
      <c r="AQ23" s="169">
        <f t="shared" si="10"/>
        <v>1970</v>
      </c>
      <c r="AR23" s="33">
        <f>AP23</f>
        <v>1970</v>
      </c>
      <c r="AS23" s="33">
        <f>AR23</f>
        <v>1970</v>
      </c>
      <c r="AT23" s="33">
        <f>AS23</f>
        <v>1970</v>
      </c>
      <c r="AU23" s="33">
        <f>AT23</f>
        <v>1970</v>
      </c>
      <c r="AV23" s="169">
        <f t="shared" si="11"/>
        <v>1970</v>
      </c>
    </row>
    <row r="24" spans="1:48" outlineLevel="1" x14ac:dyDescent="0.3">
      <c r="A24" s="161"/>
      <c r="B24" s="200" t="s">
        <v>230</v>
      </c>
      <c r="C24" s="201"/>
      <c r="D24" s="101">
        <v>0</v>
      </c>
      <c r="E24" s="101">
        <v>0</v>
      </c>
      <c r="F24" s="101">
        <v>0</v>
      </c>
      <c r="G24" s="101">
        <v>664.6</v>
      </c>
      <c r="H24" s="169">
        <f t="shared" si="3"/>
        <v>664.6</v>
      </c>
      <c r="I24" s="101">
        <v>578.5</v>
      </c>
      <c r="J24" s="101">
        <v>596.1</v>
      </c>
      <c r="K24" s="101">
        <v>652.1</v>
      </c>
      <c r="L24" s="101">
        <v>696</v>
      </c>
      <c r="M24" s="169">
        <f t="shared" si="4"/>
        <v>696</v>
      </c>
      <c r="N24" s="101">
        <v>685.3</v>
      </c>
      <c r="O24" s="101">
        <v>646.1</v>
      </c>
      <c r="P24" s="101">
        <v>741</v>
      </c>
      <c r="Q24" s="101">
        <v>772.3</v>
      </c>
      <c r="R24" s="169">
        <f t="shared" si="5"/>
        <v>772.3</v>
      </c>
      <c r="S24" s="101">
        <v>664.1</v>
      </c>
      <c r="T24" s="101">
        <v>665.9</v>
      </c>
      <c r="U24" s="101">
        <v>706.8</v>
      </c>
      <c r="V24" s="101">
        <v>761.7</v>
      </c>
      <c r="W24" s="169">
        <f t="shared" si="6"/>
        <v>761.7</v>
      </c>
      <c r="X24" s="101">
        <v>664.6</v>
      </c>
      <c r="Y24" s="101">
        <v>710.9</v>
      </c>
      <c r="Z24" s="33">
        <f t="shared" ref="Z24:AA25" si="12">Y24</f>
        <v>710.9</v>
      </c>
      <c r="AA24" s="33">
        <f t="shared" si="12"/>
        <v>710.9</v>
      </c>
      <c r="AB24" s="169">
        <f t="shared" si="7"/>
        <v>710.9</v>
      </c>
      <c r="AC24" s="33">
        <f>AA24</f>
        <v>710.9</v>
      </c>
      <c r="AD24" s="33">
        <f t="shared" ref="AD24:AF25" si="13">AC24</f>
        <v>710.9</v>
      </c>
      <c r="AE24" s="33">
        <f t="shared" si="13"/>
        <v>710.9</v>
      </c>
      <c r="AF24" s="33">
        <f t="shared" si="13"/>
        <v>710.9</v>
      </c>
      <c r="AG24" s="169">
        <f t="shared" si="8"/>
        <v>710.9</v>
      </c>
      <c r="AH24" s="33">
        <f>AF24</f>
        <v>710.9</v>
      </c>
      <c r="AI24" s="33">
        <f t="shared" ref="AI24:AK25" si="14">AH24</f>
        <v>710.9</v>
      </c>
      <c r="AJ24" s="33">
        <f t="shared" si="14"/>
        <v>710.9</v>
      </c>
      <c r="AK24" s="33">
        <f t="shared" si="14"/>
        <v>710.9</v>
      </c>
      <c r="AL24" s="169">
        <f t="shared" si="9"/>
        <v>710.9</v>
      </c>
      <c r="AM24" s="33">
        <f>AK24</f>
        <v>710.9</v>
      </c>
      <c r="AN24" s="33">
        <f t="shared" ref="AN24:AP25" si="15">AM24</f>
        <v>710.9</v>
      </c>
      <c r="AO24" s="33">
        <f t="shared" si="15"/>
        <v>710.9</v>
      </c>
      <c r="AP24" s="33">
        <f t="shared" si="15"/>
        <v>710.9</v>
      </c>
      <c r="AQ24" s="169">
        <f t="shared" si="10"/>
        <v>710.9</v>
      </c>
      <c r="AR24" s="33">
        <f>AP24</f>
        <v>710.9</v>
      </c>
      <c r="AS24" s="33">
        <f t="shared" ref="AS24:AU25" si="16">AR24</f>
        <v>710.9</v>
      </c>
      <c r="AT24" s="33">
        <f t="shared" si="16"/>
        <v>710.9</v>
      </c>
      <c r="AU24" s="33">
        <f t="shared" si="16"/>
        <v>710.9</v>
      </c>
      <c r="AV24" s="169">
        <f t="shared" si="11"/>
        <v>710.9</v>
      </c>
    </row>
    <row r="25" spans="1:48" outlineLevel="1" x14ac:dyDescent="0.3">
      <c r="A25" s="161"/>
      <c r="B25" s="200" t="s">
        <v>231</v>
      </c>
      <c r="C25" s="201"/>
      <c r="D25" s="101">
        <v>0</v>
      </c>
      <c r="E25" s="101">
        <v>0</v>
      </c>
      <c r="F25" s="101">
        <v>0</v>
      </c>
      <c r="G25" s="101">
        <v>1291.7</v>
      </c>
      <c r="H25" s="169">
        <f t="shared" si="3"/>
        <v>1291.7</v>
      </c>
      <c r="I25" s="101">
        <v>1414</v>
      </c>
      <c r="J25" s="101">
        <v>86.7</v>
      </c>
      <c r="K25" s="101">
        <v>90.9</v>
      </c>
      <c r="L25" s="101">
        <v>98.2</v>
      </c>
      <c r="M25" s="169">
        <f t="shared" si="4"/>
        <v>98.2</v>
      </c>
      <c r="N25" s="101">
        <v>149.69999999999999</v>
      </c>
      <c r="O25" s="101">
        <v>117</v>
      </c>
      <c r="P25" s="101">
        <v>204.8</v>
      </c>
      <c r="Q25" s="101">
        <v>348</v>
      </c>
      <c r="R25" s="169">
        <f t="shared" si="5"/>
        <v>348</v>
      </c>
      <c r="S25" s="101"/>
      <c r="T25" s="101">
        <f>S25</f>
        <v>0</v>
      </c>
      <c r="U25" s="101">
        <f>T25</f>
        <v>0</v>
      </c>
      <c r="V25" s="101">
        <f>U25</f>
        <v>0</v>
      </c>
      <c r="W25" s="169">
        <f t="shared" si="6"/>
        <v>0</v>
      </c>
      <c r="X25" s="101">
        <v>0</v>
      </c>
      <c r="Y25" s="101">
        <v>0</v>
      </c>
      <c r="Z25" s="33">
        <f t="shared" si="12"/>
        <v>0</v>
      </c>
      <c r="AA25" s="33">
        <f t="shared" si="12"/>
        <v>0</v>
      </c>
      <c r="AB25" s="169">
        <f t="shared" si="7"/>
        <v>0</v>
      </c>
      <c r="AC25" s="33">
        <f>AA25</f>
        <v>0</v>
      </c>
      <c r="AD25" s="33">
        <f t="shared" si="13"/>
        <v>0</v>
      </c>
      <c r="AE25" s="33">
        <f t="shared" si="13"/>
        <v>0</v>
      </c>
      <c r="AF25" s="33">
        <f t="shared" si="13"/>
        <v>0</v>
      </c>
      <c r="AG25" s="169">
        <f t="shared" si="8"/>
        <v>0</v>
      </c>
      <c r="AH25" s="33">
        <f>AF25</f>
        <v>0</v>
      </c>
      <c r="AI25" s="33">
        <f t="shared" si="14"/>
        <v>0</v>
      </c>
      <c r="AJ25" s="33">
        <f t="shared" si="14"/>
        <v>0</v>
      </c>
      <c r="AK25" s="33">
        <f t="shared" si="14"/>
        <v>0</v>
      </c>
      <c r="AL25" s="169">
        <f t="shared" si="9"/>
        <v>0</v>
      </c>
      <c r="AM25" s="33">
        <f>AK25</f>
        <v>0</v>
      </c>
      <c r="AN25" s="33">
        <f t="shared" si="15"/>
        <v>0</v>
      </c>
      <c r="AO25" s="33">
        <f t="shared" si="15"/>
        <v>0</v>
      </c>
      <c r="AP25" s="33">
        <f t="shared" si="15"/>
        <v>0</v>
      </c>
      <c r="AQ25" s="169">
        <f t="shared" si="10"/>
        <v>0</v>
      </c>
      <c r="AR25" s="33">
        <f>AP25</f>
        <v>0</v>
      </c>
      <c r="AS25" s="33">
        <f t="shared" si="16"/>
        <v>0</v>
      </c>
      <c r="AT25" s="33">
        <f t="shared" si="16"/>
        <v>0</v>
      </c>
      <c r="AU25" s="33">
        <f t="shared" si="16"/>
        <v>0</v>
      </c>
      <c r="AV25" s="169">
        <f t="shared" si="11"/>
        <v>0</v>
      </c>
    </row>
    <row r="26" spans="1:48" outlineLevel="1" x14ac:dyDescent="0.3">
      <c r="A26" s="161"/>
      <c r="B26" s="200" t="s">
        <v>232</v>
      </c>
      <c r="C26" s="201"/>
      <c r="D26" s="101">
        <v>0</v>
      </c>
      <c r="E26" s="101">
        <v>0</v>
      </c>
      <c r="F26" s="101">
        <v>0</v>
      </c>
      <c r="G26" s="101">
        <v>0</v>
      </c>
      <c r="H26" s="169">
        <f t="shared" si="3"/>
        <v>0</v>
      </c>
      <c r="I26" s="101">
        <v>1268.9000000000001</v>
      </c>
      <c r="J26" s="101">
        <v>1253.5</v>
      </c>
      <c r="K26" s="101">
        <v>1237.0999999999999</v>
      </c>
      <c r="L26" s="101">
        <v>1248.8</v>
      </c>
      <c r="M26" s="169">
        <f t="shared" si="4"/>
        <v>1248.8</v>
      </c>
      <c r="N26" s="101">
        <v>1267.5999999999999</v>
      </c>
      <c r="O26" s="101">
        <v>1296.4000000000001</v>
      </c>
      <c r="P26" s="101">
        <v>1308.4000000000001</v>
      </c>
      <c r="Q26" s="101">
        <v>1251.3</v>
      </c>
      <c r="R26" s="169">
        <f t="shared" si="5"/>
        <v>1251.3</v>
      </c>
      <c r="S26" s="101">
        <v>1253.3</v>
      </c>
      <c r="T26" s="101">
        <v>1236.3</v>
      </c>
      <c r="U26" s="101">
        <v>1214.8</v>
      </c>
      <c r="V26" s="101">
        <v>1245.7</v>
      </c>
      <c r="W26" s="169">
        <f t="shared" si="6"/>
        <v>1245.7</v>
      </c>
      <c r="X26" s="101">
        <v>1257.5</v>
      </c>
      <c r="Y26" s="101">
        <v>1269.5</v>
      </c>
      <c r="Z26" s="33">
        <f>Y26*0.996</f>
        <v>1264.422</v>
      </c>
      <c r="AA26" s="33">
        <f>Z26*0.996</f>
        <v>1259.3643119999999</v>
      </c>
      <c r="AB26" s="169">
        <f t="shared" si="7"/>
        <v>1259.3643119999999</v>
      </c>
      <c r="AC26" s="33">
        <f>AA26*0.996</f>
        <v>1254.3268547519999</v>
      </c>
      <c r="AD26" s="33">
        <f>AC26*0.996</f>
        <v>1249.309547332992</v>
      </c>
      <c r="AE26" s="33">
        <f>AD26*0.996</f>
        <v>1244.3123091436601</v>
      </c>
      <c r="AF26" s="33">
        <f>AE26*0.996</f>
        <v>1239.3350599070855</v>
      </c>
      <c r="AG26" s="169">
        <f t="shared" si="8"/>
        <v>1239.3350599070855</v>
      </c>
      <c r="AH26" s="33">
        <f>AF26*0.996</f>
        <v>1234.3777196674571</v>
      </c>
      <c r="AI26" s="33">
        <f>AH26*0.996</f>
        <v>1229.4402087887872</v>
      </c>
      <c r="AJ26" s="33">
        <f>AI26*0.996</f>
        <v>1224.5224479536321</v>
      </c>
      <c r="AK26" s="33">
        <f>AJ26*0.996</f>
        <v>1219.6243581618176</v>
      </c>
      <c r="AL26" s="169">
        <f t="shared" si="9"/>
        <v>1219.6243581618176</v>
      </c>
      <c r="AM26" s="33">
        <f>AK26*0.996</f>
        <v>1214.7458607291703</v>
      </c>
      <c r="AN26" s="33">
        <f>AM26*0.996</f>
        <v>1209.8868772862536</v>
      </c>
      <c r="AO26" s="33">
        <f>AN26*0.996</f>
        <v>1205.0473297771086</v>
      </c>
      <c r="AP26" s="33">
        <f>AO26*0.996</f>
        <v>1200.2271404580001</v>
      </c>
      <c r="AQ26" s="169">
        <f t="shared" si="10"/>
        <v>1200.2271404580001</v>
      </c>
      <c r="AR26" s="33">
        <f>AP26*0.996</f>
        <v>1195.426231896168</v>
      </c>
      <c r="AS26" s="33">
        <f>AR26*0.996</f>
        <v>1190.6445269685832</v>
      </c>
      <c r="AT26" s="33">
        <f>AS26*0.996</f>
        <v>1185.8819488607089</v>
      </c>
      <c r="AU26" s="33">
        <f>AT26*0.996</f>
        <v>1181.1384210652661</v>
      </c>
      <c r="AV26" s="169">
        <f t="shared" si="11"/>
        <v>1181.1384210652661</v>
      </c>
    </row>
    <row r="27" spans="1:48" outlineLevel="1" x14ac:dyDescent="0.3">
      <c r="A27" s="161"/>
      <c r="B27" s="200" t="s">
        <v>233</v>
      </c>
      <c r="C27" s="201"/>
      <c r="D27" s="101">
        <v>1554.2</v>
      </c>
      <c r="E27" s="101">
        <v>1311.4</v>
      </c>
      <c r="F27" s="101">
        <v>1300.2</v>
      </c>
      <c r="G27" s="101">
        <v>1269</v>
      </c>
      <c r="H27" s="169">
        <f t="shared" si="3"/>
        <v>1269</v>
      </c>
      <c r="I27" s="101">
        <v>1694.1</v>
      </c>
      <c r="J27" s="101">
        <v>1436.3</v>
      </c>
      <c r="K27" s="101">
        <v>1463.3</v>
      </c>
      <c r="L27" s="101">
        <v>1456.5</v>
      </c>
      <c r="M27" s="169">
        <f t="shared" si="4"/>
        <v>1456.5</v>
      </c>
      <c r="N27" s="101">
        <v>1871.2</v>
      </c>
      <c r="O27" s="101">
        <v>1622.1</v>
      </c>
      <c r="P27" s="101">
        <v>1628.3</v>
      </c>
      <c r="Q27" s="101">
        <v>1596.1</v>
      </c>
      <c r="R27" s="169">
        <f t="shared" si="5"/>
        <v>1596.1</v>
      </c>
      <c r="S27" s="101">
        <v>2070.6999999999998</v>
      </c>
      <c r="T27" s="101">
        <v>1781.6</v>
      </c>
      <c r="U27" s="101">
        <v>1723</v>
      </c>
      <c r="V27" s="101">
        <v>1641.9</v>
      </c>
      <c r="W27" s="169">
        <f t="shared" si="6"/>
        <v>1641.9</v>
      </c>
      <c r="X27" s="101">
        <v>2137</v>
      </c>
      <c r="Y27" s="101">
        <v>1795.9</v>
      </c>
      <c r="Z27" s="33">
        <f>Y27*0.99</f>
        <v>1777.941</v>
      </c>
      <c r="AA27" s="33">
        <f>Z27*0.99</f>
        <v>1760.1615899999999</v>
      </c>
      <c r="AB27" s="169">
        <f t="shared" si="7"/>
        <v>1760.1615899999999</v>
      </c>
      <c r="AC27" s="33">
        <f>AA27*1.3</f>
        <v>2288.210067</v>
      </c>
      <c r="AD27" s="33">
        <f>AC27*0.85</f>
        <v>1944.97855695</v>
      </c>
      <c r="AE27" s="33">
        <f>AD27*0.99</f>
        <v>1925.5287713805001</v>
      </c>
      <c r="AF27" s="33">
        <f>AE27*0.99</f>
        <v>1906.273483666695</v>
      </c>
      <c r="AG27" s="169">
        <f t="shared" si="8"/>
        <v>1906.273483666695</v>
      </c>
      <c r="AH27" s="33">
        <f>AF27*1.3</f>
        <v>2478.1555287667038</v>
      </c>
      <c r="AI27" s="33">
        <f>AH27*0.85</f>
        <v>2106.4321994516981</v>
      </c>
      <c r="AJ27" s="33">
        <f>AI27*0.99</f>
        <v>2085.3678774571813</v>
      </c>
      <c r="AK27" s="33">
        <f>AJ27*0.99</f>
        <v>2064.5141986826093</v>
      </c>
      <c r="AL27" s="169">
        <f t="shared" si="9"/>
        <v>2064.5141986826093</v>
      </c>
      <c r="AM27" s="33">
        <f>AK27*1.3</f>
        <v>2683.8684582873921</v>
      </c>
      <c r="AN27" s="33">
        <f>AM27*0.85</f>
        <v>2281.2881895442833</v>
      </c>
      <c r="AO27" s="33">
        <f>AN27*0.99</f>
        <v>2258.4753076488405</v>
      </c>
      <c r="AP27" s="33">
        <f>AO27*0.99</f>
        <v>2235.8905545723519</v>
      </c>
      <c r="AQ27" s="169">
        <f t="shared" si="10"/>
        <v>2235.8905545723519</v>
      </c>
      <c r="AR27" s="33">
        <f>AP27*1.3</f>
        <v>2906.6577209440575</v>
      </c>
      <c r="AS27" s="33">
        <f>AR27*0.85</f>
        <v>2470.6590628024487</v>
      </c>
      <c r="AT27" s="33">
        <f>AS27*0.99</f>
        <v>2445.9524721744242</v>
      </c>
      <c r="AU27" s="33">
        <f>AT27*0.99</f>
        <v>2421.4929474526798</v>
      </c>
      <c r="AV27" s="169">
        <f t="shared" si="11"/>
        <v>2421.4929474526798</v>
      </c>
    </row>
    <row r="28" spans="1:48" outlineLevel="1" x14ac:dyDescent="0.3">
      <c r="A28" s="161"/>
      <c r="B28" s="200" t="s">
        <v>234</v>
      </c>
      <c r="C28" s="201"/>
      <c r="D28" s="101">
        <v>0</v>
      </c>
      <c r="E28" s="101">
        <f>75+0</f>
        <v>75</v>
      </c>
      <c r="F28" s="101">
        <v>0</v>
      </c>
      <c r="G28" s="101">
        <v>0</v>
      </c>
      <c r="H28" s="169">
        <f t="shared" si="3"/>
        <v>0</v>
      </c>
      <c r="I28" s="101">
        <f>497.9+498.7</f>
        <v>996.59999999999991</v>
      </c>
      <c r="J28" s="101">
        <f>1107.1+1249.4</f>
        <v>2356.5</v>
      </c>
      <c r="K28" s="101">
        <f>936.5+1249.6</f>
        <v>2186.1</v>
      </c>
      <c r="L28" s="101">
        <f>438.8+1249.9</f>
        <v>1688.7</v>
      </c>
      <c r="M28" s="169">
        <f t="shared" si="4"/>
        <v>1688.7</v>
      </c>
      <c r="N28" s="101">
        <f>492.6+750</f>
        <v>1242.5999999999999</v>
      </c>
      <c r="O28" s="101">
        <v>18.3</v>
      </c>
      <c r="P28" s="101">
        <v>998.9</v>
      </c>
      <c r="Q28" s="101">
        <v>998.9</v>
      </c>
      <c r="R28" s="169">
        <f t="shared" si="5"/>
        <v>998.9</v>
      </c>
      <c r="S28" s="101">
        <f>200+999.3</f>
        <v>1199.3</v>
      </c>
      <c r="T28" s="101">
        <v>1998.6</v>
      </c>
      <c r="U28" s="101">
        <f>200+999.1</f>
        <v>1199.0999999999999</v>
      </c>
      <c r="V28" s="101">
        <f>175+1749</f>
        <v>1924</v>
      </c>
      <c r="W28" s="169">
        <f t="shared" si="6"/>
        <v>1924</v>
      </c>
      <c r="X28" s="101">
        <v>1749.3</v>
      </c>
      <c r="Y28" s="101">
        <f>52.8+1888.7</f>
        <v>1941.5</v>
      </c>
      <c r="Z28" s="33">
        <f>Y28-Z59+Z60</f>
        <v>3082.1</v>
      </c>
      <c r="AA28" s="33">
        <f>Z28-AA59+AA60</f>
        <v>3082.1</v>
      </c>
      <c r="AB28" s="169">
        <f t="shared" si="7"/>
        <v>3082.1</v>
      </c>
      <c r="AC28" s="33">
        <f>AA28-AC59+AC60</f>
        <v>2332.1</v>
      </c>
      <c r="AD28" s="33">
        <f>AC28-AD59+AD60</f>
        <v>1191.5</v>
      </c>
      <c r="AE28" s="33">
        <f t="shared" ref="AE28:AF28" si="17">AD28-AE59+AE60</f>
        <v>1191.5</v>
      </c>
      <c r="AF28" s="33">
        <f t="shared" si="17"/>
        <v>1191.5</v>
      </c>
      <c r="AG28" s="169">
        <f t="shared" si="8"/>
        <v>1191.5</v>
      </c>
      <c r="AH28" s="33">
        <f>AF28-AH59+AH60</f>
        <v>2441.5</v>
      </c>
      <c r="AI28" s="33">
        <f t="shared" ref="AI28:AK28" si="18">AH28-AI59+AI60</f>
        <v>2441.5</v>
      </c>
      <c r="AJ28" s="33">
        <f t="shared" si="18"/>
        <v>3441.5</v>
      </c>
      <c r="AK28" s="33">
        <f t="shared" si="18"/>
        <v>2691.5</v>
      </c>
      <c r="AL28" s="169">
        <f t="shared" si="9"/>
        <v>2691.5</v>
      </c>
      <c r="AM28" s="33">
        <f>AK28-AM59+AM60</f>
        <v>2691.5</v>
      </c>
      <c r="AN28" s="33">
        <f t="shared" ref="AN28:AP28" si="19">AM28-AN59+AN60</f>
        <v>1691.5</v>
      </c>
      <c r="AO28" s="33">
        <f t="shared" si="19"/>
        <v>1691.5</v>
      </c>
      <c r="AP28" s="33">
        <f t="shared" si="19"/>
        <v>1691.5</v>
      </c>
      <c r="AQ28" s="169">
        <f t="shared" si="10"/>
        <v>1691.5</v>
      </c>
      <c r="AR28" s="33">
        <f>AP28-AR59+AR60</f>
        <v>1691.5</v>
      </c>
      <c r="AS28" s="33">
        <f t="shared" ref="AS28:AU28" si="20">AR28-AS59+AS60</f>
        <v>1791.5</v>
      </c>
      <c r="AT28" s="33">
        <f t="shared" si="20"/>
        <v>1791.5</v>
      </c>
      <c r="AU28" s="33">
        <f t="shared" si="20"/>
        <v>1791.5</v>
      </c>
      <c r="AV28" s="169">
        <f t="shared" si="11"/>
        <v>1791.5</v>
      </c>
    </row>
    <row r="29" spans="1:48" ht="16.2" outlineLevel="1" x14ac:dyDescent="0.45">
      <c r="A29" s="161"/>
      <c r="B29" s="200" t="s">
        <v>235</v>
      </c>
      <c r="C29" s="201"/>
      <c r="D29" s="112">
        <v>208.8</v>
      </c>
      <c r="E29" s="112">
        <v>221</v>
      </c>
      <c r="F29" s="112">
        <v>211.5</v>
      </c>
      <c r="G29" s="112">
        <v>0</v>
      </c>
      <c r="H29" s="262">
        <f t="shared" si="3"/>
        <v>0</v>
      </c>
      <c r="I29" s="112">
        <v>0</v>
      </c>
      <c r="J29" s="112">
        <v>0</v>
      </c>
      <c r="K29" s="112">
        <v>0</v>
      </c>
      <c r="L29" s="112">
        <v>0</v>
      </c>
      <c r="M29" s="262">
        <f t="shared" si="4"/>
        <v>0</v>
      </c>
      <c r="N29" s="112">
        <v>0</v>
      </c>
      <c r="O29" s="112">
        <v>0</v>
      </c>
      <c r="P29" s="112">
        <v>0</v>
      </c>
      <c r="Q29" s="112">
        <v>0</v>
      </c>
      <c r="R29" s="262">
        <f t="shared" si="5"/>
        <v>0</v>
      </c>
      <c r="S29" s="112">
        <v>0</v>
      </c>
      <c r="T29" s="112">
        <v>0</v>
      </c>
      <c r="U29" s="112">
        <v>0</v>
      </c>
      <c r="V29" s="112">
        <v>0</v>
      </c>
      <c r="W29" s="262">
        <f t="shared" si="6"/>
        <v>0</v>
      </c>
      <c r="X29" s="112">
        <v>0</v>
      </c>
      <c r="Y29" s="112">
        <v>0</v>
      </c>
      <c r="Z29" s="32">
        <v>0</v>
      </c>
      <c r="AA29" s="32">
        <v>0</v>
      </c>
      <c r="AB29" s="262">
        <f t="shared" si="7"/>
        <v>0</v>
      </c>
      <c r="AC29" s="32">
        <v>0</v>
      </c>
      <c r="AD29" s="32">
        <v>0</v>
      </c>
      <c r="AE29" s="32">
        <v>0</v>
      </c>
      <c r="AF29" s="32">
        <v>0</v>
      </c>
      <c r="AG29" s="262">
        <f t="shared" si="8"/>
        <v>0</v>
      </c>
      <c r="AH29" s="32">
        <v>0</v>
      </c>
      <c r="AI29" s="32">
        <v>0</v>
      </c>
      <c r="AJ29" s="32">
        <v>0</v>
      </c>
      <c r="AK29" s="32">
        <v>0</v>
      </c>
      <c r="AL29" s="262">
        <f t="shared" si="9"/>
        <v>0</v>
      </c>
      <c r="AM29" s="32">
        <v>0</v>
      </c>
      <c r="AN29" s="32">
        <v>0</v>
      </c>
      <c r="AO29" s="32">
        <v>0</v>
      </c>
      <c r="AP29" s="32">
        <v>0</v>
      </c>
      <c r="AQ29" s="262">
        <f t="shared" si="10"/>
        <v>0</v>
      </c>
      <c r="AR29" s="32">
        <v>0</v>
      </c>
      <c r="AS29" s="32">
        <v>0</v>
      </c>
      <c r="AT29" s="32">
        <v>0</v>
      </c>
      <c r="AU29" s="32">
        <v>0</v>
      </c>
      <c r="AV29" s="262">
        <f t="shared" si="11"/>
        <v>0</v>
      </c>
    </row>
    <row r="30" spans="1:48" outlineLevel="1" x14ac:dyDescent="0.3">
      <c r="A30" s="161"/>
      <c r="B30" s="205" t="s">
        <v>236</v>
      </c>
      <c r="C30" s="201"/>
      <c r="D30" s="116">
        <f t="shared" ref="D30:K30" si="21">SUM(D22:D29)</f>
        <v>5427.5</v>
      </c>
      <c r="E30" s="116">
        <f t="shared" si="21"/>
        <v>5273.4</v>
      </c>
      <c r="F30" s="116">
        <f t="shared" si="21"/>
        <v>5895.8</v>
      </c>
      <c r="G30" s="116">
        <f t="shared" si="21"/>
        <v>6168.7</v>
      </c>
      <c r="H30" s="150">
        <f t="shared" si="21"/>
        <v>6168.7</v>
      </c>
      <c r="I30" s="116">
        <f t="shared" si="21"/>
        <v>8675.5</v>
      </c>
      <c r="J30" s="116">
        <f t="shared" si="21"/>
        <v>8265.7999999999993</v>
      </c>
      <c r="K30" s="116">
        <f t="shared" si="21"/>
        <v>8002</v>
      </c>
      <c r="L30" s="116">
        <f t="shared" ref="L30:AV30" si="22">SUM(L22:L28)</f>
        <v>7346.7999999999993</v>
      </c>
      <c r="M30" s="150">
        <f t="shared" si="22"/>
        <v>7346.7999999999993</v>
      </c>
      <c r="N30" s="116">
        <f t="shared" si="22"/>
        <v>7883.9</v>
      </c>
      <c r="O30" s="116">
        <f t="shared" si="22"/>
        <v>6505.0999999999995</v>
      </c>
      <c r="P30" s="116">
        <f t="shared" si="22"/>
        <v>7799.8</v>
      </c>
      <c r="Q30" s="116">
        <f t="shared" si="22"/>
        <v>8151.4</v>
      </c>
      <c r="R30" s="150">
        <f t="shared" si="22"/>
        <v>8151.4</v>
      </c>
      <c r="S30" s="116">
        <f t="shared" si="22"/>
        <v>8921.1</v>
      </c>
      <c r="T30" s="116">
        <f t="shared" si="22"/>
        <v>9104.3000000000011</v>
      </c>
      <c r="U30" s="116">
        <f t="shared" si="22"/>
        <v>8402.4</v>
      </c>
      <c r="V30" s="116">
        <f t="shared" si="22"/>
        <v>9151.7999999999993</v>
      </c>
      <c r="W30" s="150">
        <f t="shared" si="22"/>
        <v>9151.7999999999993</v>
      </c>
      <c r="X30" s="116">
        <f>SUM(X22:X28)</f>
        <v>9246.2000000000007</v>
      </c>
      <c r="Y30" s="116">
        <f t="shared" si="22"/>
        <v>9121.7999999999993</v>
      </c>
      <c r="Z30" s="116">
        <f t="shared" si="22"/>
        <v>10434.979489027686</v>
      </c>
      <c r="AA30" s="116">
        <f t="shared" si="22"/>
        <v>10252.309581680807</v>
      </c>
      <c r="AB30" s="150">
        <f t="shared" si="22"/>
        <v>10252.309581680807</v>
      </c>
      <c r="AC30" s="116">
        <f t="shared" si="22"/>
        <v>10108.358281571956</v>
      </c>
      <c r="AD30" s="116">
        <f t="shared" si="22"/>
        <v>8646.8021283126236</v>
      </c>
      <c r="AE30" s="116">
        <f t="shared" si="22"/>
        <v>8794.0248995668007</v>
      </c>
      <c r="AF30" s="116">
        <f t="shared" si="22"/>
        <v>8671.4702859188728</v>
      </c>
      <c r="AG30" s="150">
        <f t="shared" si="22"/>
        <v>8671.4702859188728</v>
      </c>
      <c r="AH30" s="116">
        <f t="shared" si="22"/>
        <v>10538.286770314169</v>
      </c>
      <c r="AI30" s="116">
        <f t="shared" si="22"/>
        <v>10209.943114873126</v>
      </c>
      <c r="AJ30" s="116">
        <f t="shared" si="22"/>
        <v>11394.65833365393</v>
      </c>
      <c r="AK30" s="116">
        <f t="shared" si="22"/>
        <v>10513.566005571271</v>
      </c>
      <c r="AL30" s="150">
        <f t="shared" si="22"/>
        <v>10513.566005571271</v>
      </c>
      <c r="AM30" s="116">
        <f t="shared" si="22"/>
        <v>11120.62776220094</v>
      </c>
      <c r="AN30" s="116">
        <f t="shared" si="22"/>
        <v>9757.4059313999242</v>
      </c>
      <c r="AO30" s="116">
        <f t="shared" si="22"/>
        <v>9949.9422596378245</v>
      </c>
      <c r="AP30" s="116">
        <f t="shared" si="22"/>
        <v>9799.459624914125</v>
      </c>
      <c r="AQ30" s="150">
        <f t="shared" si="22"/>
        <v>9799.459624914125</v>
      </c>
      <c r="AR30" s="116">
        <f t="shared" si="22"/>
        <v>10456.845350515949</v>
      </c>
      <c r="AS30" s="116">
        <f t="shared" si="22"/>
        <v>10155.861694851807</v>
      </c>
      <c r="AT30" s="116">
        <f t="shared" si="22"/>
        <v>10346.794631536673</v>
      </c>
      <c r="AU30" s="116">
        <f t="shared" si="22"/>
        <v>10193.488804608642</v>
      </c>
      <c r="AV30" s="150">
        <f t="shared" si="22"/>
        <v>10193.488804608642</v>
      </c>
    </row>
    <row r="31" spans="1:48" outlineLevel="1" x14ac:dyDescent="0.3">
      <c r="A31" s="161"/>
      <c r="B31" s="203" t="s">
        <v>237</v>
      </c>
      <c r="C31" s="204"/>
      <c r="D31" s="101">
        <v>9130.7000000000007</v>
      </c>
      <c r="E31" s="101">
        <v>9141.5</v>
      </c>
      <c r="F31" s="101">
        <v>11159.1</v>
      </c>
      <c r="G31" s="101">
        <v>11167</v>
      </c>
      <c r="H31" s="169">
        <f>G31</f>
        <v>11167</v>
      </c>
      <c r="I31" s="101">
        <v>10653.2</v>
      </c>
      <c r="J31" s="101">
        <v>11658.7</v>
      </c>
      <c r="K31" s="101">
        <v>14645.6</v>
      </c>
      <c r="L31" s="101">
        <v>14659.6</v>
      </c>
      <c r="M31" s="169">
        <f>L31</f>
        <v>14659.6</v>
      </c>
      <c r="N31" s="101">
        <v>14673.5</v>
      </c>
      <c r="O31" s="101">
        <v>14630.3</v>
      </c>
      <c r="P31" s="101">
        <v>13619.2</v>
      </c>
      <c r="Q31" s="101">
        <v>13616.9</v>
      </c>
      <c r="R31" s="169">
        <f>Q31</f>
        <v>13616.9</v>
      </c>
      <c r="S31" s="101">
        <v>13586.3</v>
      </c>
      <c r="T31" s="101">
        <v>14014.4</v>
      </c>
      <c r="U31" s="101">
        <v>13930.8</v>
      </c>
      <c r="V31" s="101">
        <v>13119.9</v>
      </c>
      <c r="W31" s="169">
        <f>V31</f>
        <v>13119.9</v>
      </c>
      <c r="X31" s="101">
        <v>13176.7</v>
      </c>
      <c r="Y31" s="101">
        <v>13544.8</v>
      </c>
      <c r="Z31" s="33">
        <f>Y31-Z60+Z61</f>
        <v>12404.199999999999</v>
      </c>
      <c r="AA31" s="33">
        <f>Z31-AA60+AA61</f>
        <v>12404.199999999999</v>
      </c>
      <c r="AB31" s="169">
        <f>AA31</f>
        <v>12404.199999999999</v>
      </c>
      <c r="AC31" s="33">
        <f>AA31-AC60+AC61</f>
        <v>13154.199999999999</v>
      </c>
      <c r="AD31" s="33">
        <f>AC31-AD60+AD61</f>
        <v>14294.8</v>
      </c>
      <c r="AE31" s="33">
        <f>AD31-AE60+AE61</f>
        <v>14294.8</v>
      </c>
      <c r="AF31" s="33">
        <f>AE31-AF60+AF61</f>
        <v>14294.8</v>
      </c>
      <c r="AG31" s="169">
        <f>AF31</f>
        <v>14294.8</v>
      </c>
      <c r="AH31" s="33">
        <f>AF31-AH60+AH61</f>
        <v>13044.8</v>
      </c>
      <c r="AI31" s="33">
        <f>AH31-AI60+AI61</f>
        <v>13044.8</v>
      </c>
      <c r="AJ31" s="33">
        <f>AI31-AJ60+AJ61</f>
        <v>18305.73448865148</v>
      </c>
      <c r="AK31" s="33">
        <f>AJ31-AK60+AK61</f>
        <v>19055.73448865148</v>
      </c>
      <c r="AL31" s="169">
        <f>AK31</f>
        <v>19055.73448865148</v>
      </c>
      <c r="AM31" s="33">
        <f>AK31-AM60+AM61</f>
        <v>19055.73448865148</v>
      </c>
      <c r="AN31" s="33">
        <f>AM31-AN60+AN61</f>
        <v>19055.73448865148</v>
      </c>
      <c r="AO31" s="33">
        <f>AN31-AO60+AO61</f>
        <v>19055.73448865148</v>
      </c>
      <c r="AP31" s="33">
        <f>AO31-AP60+AP61</f>
        <v>19055.73448865148</v>
      </c>
      <c r="AQ31" s="169">
        <f>AP31</f>
        <v>19055.73448865148</v>
      </c>
      <c r="AR31" s="33">
        <f>AP31-AR60+AR61</f>
        <v>19055.73448865148</v>
      </c>
      <c r="AS31" s="33">
        <f>AR31-AS60+AS61</f>
        <v>18955.73448865148</v>
      </c>
      <c r="AT31" s="33">
        <f>AS31-AT60+AT61</f>
        <v>18955.73448865148</v>
      </c>
      <c r="AU31" s="33">
        <f>AT31-AU60+AU61</f>
        <v>18955.73448865148</v>
      </c>
      <c r="AV31" s="169">
        <f>AU31</f>
        <v>18955.73448865148</v>
      </c>
    </row>
    <row r="32" spans="1:48" outlineLevel="1" x14ac:dyDescent="0.3">
      <c r="A32" s="161"/>
      <c r="B32" s="200" t="s">
        <v>238</v>
      </c>
      <c r="C32" s="207"/>
      <c r="D32" s="101">
        <v>0</v>
      </c>
      <c r="E32" s="101">
        <v>0</v>
      </c>
      <c r="F32" s="101">
        <v>0</v>
      </c>
      <c r="G32" s="101">
        <v>0</v>
      </c>
      <c r="H32" s="169">
        <f>G32</f>
        <v>0</v>
      </c>
      <c r="I32" s="101">
        <v>7711.7</v>
      </c>
      <c r="J32" s="101">
        <v>7650.4</v>
      </c>
      <c r="K32" s="101">
        <v>7653.6</v>
      </c>
      <c r="L32" s="101">
        <v>7661.7</v>
      </c>
      <c r="M32" s="169">
        <f>L32</f>
        <v>7661.7</v>
      </c>
      <c r="N32" s="101">
        <v>7754.5</v>
      </c>
      <c r="O32" s="101">
        <v>7577.7</v>
      </c>
      <c r="P32" s="101">
        <v>7597.8</v>
      </c>
      <c r="Q32" s="101">
        <v>7738</v>
      </c>
      <c r="R32" s="169">
        <f>Q32</f>
        <v>7738</v>
      </c>
      <c r="S32" s="101">
        <v>7708</v>
      </c>
      <c r="T32" s="101">
        <v>7668.5</v>
      </c>
      <c r="U32" s="101">
        <v>7554.4</v>
      </c>
      <c r="V32" s="101">
        <v>7515.2</v>
      </c>
      <c r="W32" s="169">
        <f>V32</f>
        <v>7515.2</v>
      </c>
      <c r="X32" s="101">
        <v>7635.4</v>
      </c>
      <c r="Y32" s="101">
        <v>7753.5</v>
      </c>
      <c r="Z32" s="33">
        <f t="shared" ref="Z32:AA32" si="23">Y32*0.996</f>
        <v>7722.4859999999999</v>
      </c>
      <c r="AA32" s="33">
        <f t="shared" si="23"/>
        <v>7691.5960559999994</v>
      </c>
      <c r="AB32" s="169">
        <f>AA32</f>
        <v>7691.5960559999994</v>
      </c>
      <c r="AC32" s="33">
        <f>AA32*0.996</f>
        <v>7660.8296717759995</v>
      </c>
      <c r="AD32" s="33">
        <f t="shared" ref="AD32:AF32" si="24">AC32*0.996</f>
        <v>7630.1863530888959</v>
      </c>
      <c r="AE32" s="33">
        <f t="shared" si="24"/>
        <v>7599.6656076765403</v>
      </c>
      <c r="AF32" s="33">
        <f t="shared" si="24"/>
        <v>7569.266945245834</v>
      </c>
      <c r="AG32" s="169">
        <f>AF32</f>
        <v>7569.266945245834</v>
      </c>
      <c r="AH32" s="33">
        <f>AF32*0.996</f>
        <v>7538.9898774648509</v>
      </c>
      <c r="AI32" s="33">
        <f t="shared" ref="AI32:AK32" si="25">AH32*0.996</f>
        <v>7508.8339179549912</v>
      </c>
      <c r="AJ32" s="33">
        <f t="shared" si="25"/>
        <v>7478.7985822831715</v>
      </c>
      <c r="AK32" s="33">
        <f t="shared" si="25"/>
        <v>7448.8833879540389</v>
      </c>
      <c r="AL32" s="169">
        <f>AK32</f>
        <v>7448.8833879540389</v>
      </c>
      <c r="AM32" s="33">
        <f>AK32*0.996</f>
        <v>7419.0878544022225</v>
      </c>
      <c r="AN32" s="33">
        <f t="shared" ref="AN32:AP32" si="26">AM32*0.996</f>
        <v>7389.4115029846134</v>
      </c>
      <c r="AO32" s="33">
        <f t="shared" si="26"/>
        <v>7359.8538569726752</v>
      </c>
      <c r="AP32" s="33">
        <f t="shared" si="26"/>
        <v>7330.4144415447845</v>
      </c>
      <c r="AQ32" s="169">
        <f>AP32</f>
        <v>7330.4144415447845</v>
      </c>
      <c r="AR32" s="33">
        <f>AP32*0.996</f>
        <v>7301.0927837786057</v>
      </c>
      <c r="AS32" s="33">
        <f t="shared" ref="AS32:AU32" si="27">AR32*0.996</f>
        <v>7271.8884126434914</v>
      </c>
      <c r="AT32" s="33">
        <f t="shared" si="27"/>
        <v>7242.8008589929177</v>
      </c>
      <c r="AU32" s="33">
        <f t="shared" si="27"/>
        <v>7213.8296555569459</v>
      </c>
      <c r="AV32" s="169">
        <f>AU32</f>
        <v>7213.8296555569459</v>
      </c>
    </row>
    <row r="33" spans="1:48" outlineLevel="1" x14ac:dyDescent="0.3">
      <c r="A33" s="161"/>
      <c r="B33" s="200" t="s">
        <v>239</v>
      </c>
      <c r="C33" s="207"/>
      <c r="D33" s="101">
        <v>6823.7</v>
      </c>
      <c r="E33" s="101">
        <v>6761.9</v>
      </c>
      <c r="F33" s="101">
        <v>6717.9</v>
      </c>
      <c r="G33" s="101">
        <v>6744.4</v>
      </c>
      <c r="H33" s="169">
        <f>G33</f>
        <v>6744.4</v>
      </c>
      <c r="I33" s="101">
        <v>6748.8</v>
      </c>
      <c r="J33" s="101">
        <v>6685.5</v>
      </c>
      <c r="K33" s="101">
        <v>6642.6</v>
      </c>
      <c r="L33" s="101">
        <v>6598.5</v>
      </c>
      <c r="M33" s="169">
        <f>L33</f>
        <v>6598.5</v>
      </c>
      <c r="N33" s="101">
        <v>6597.7</v>
      </c>
      <c r="O33" s="101">
        <v>6532.1</v>
      </c>
      <c r="P33" s="101">
        <v>6491.4</v>
      </c>
      <c r="Q33" s="101">
        <v>6463</v>
      </c>
      <c r="R33" s="169">
        <f>Q33</f>
        <v>6463</v>
      </c>
      <c r="S33" s="101">
        <v>6447.7</v>
      </c>
      <c r="T33" s="101">
        <v>6381.9</v>
      </c>
      <c r="U33" s="101">
        <v>6333.1</v>
      </c>
      <c r="V33" s="101">
        <v>6279.7</v>
      </c>
      <c r="W33" s="169">
        <f>V33</f>
        <v>6279.7</v>
      </c>
      <c r="X33" s="101">
        <v>6263.2</v>
      </c>
      <c r="Y33" s="101">
        <v>6200.2</v>
      </c>
      <c r="Z33" s="33">
        <f>Y33*0.995</f>
        <v>6169.1989999999996</v>
      </c>
      <c r="AA33" s="33">
        <f>Z33*0.995</f>
        <v>6138.3530049999999</v>
      </c>
      <c r="AB33" s="169">
        <f>AA33</f>
        <v>6138.3530049999999</v>
      </c>
      <c r="AC33" s="33">
        <f>AA33*0.995</f>
        <v>6107.6612399750002</v>
      </c>
      <c r="AD33" s="33">
        <f>AC33*0.995</f>
        <v>6077.1229337751247</v>
      </c>
      <c r="AE33" s="33">
        <f>AD33*0.995</f>
        <v>6046.7373191062488</v>
      </c>
      <c r="AF33" s="33">
        <f>AE33*0.995</f>
        <v>6016.5036325107176</v>
      </c>
      <c r="AG33" s="169">
        <f>AF33</f>
        <v>6016.5036325107176</v>
      </c>
      <c r="AH33" s="33">
        <f>AF33*0.995</f>
        <v>5986.4211143481643</v>
      </c>
      <c r="AI33" s="33">
        <f>AH33*0.995</f>
        <v>5956.4890087764234</v>
      </c>
      <c r="AJ33" s="33">
        <f>AI33*0.995</f>
        <v>5926.7065637325413</v>
      </c>
      <c r="AK33" s="33">
        <f>AJ33*0.995</f>
        <v>5897.0730309138789</v>
      </c>
      <c r="AL33" s="169">
        <f>AK33</f>
        <v>5897.0730309138789</v>
      </c>
      <c r="AM33" s="33">
        <f>AK33*0.995</f>
        <v>5867.5876657593099</v>
      </c>
      <c r="AN33" s="33">
        <f>AM33*0.995</f>
        <v>5838.2497274305133</v>
      </c>
      <c r="AO33" s="33">
        <f>AN33*0.995</f>
        <v>5809.0584787933603</v>
      </c>
      <c r="AP33" s="33">
        <f>AO33*0.995</f>
        <v>5780.0131863993938</v>
      </c>
      <c r="AQ33" s="169">
        <f>AP33</f>
        <v>5780.0131863993938</v>
      </c>
      <c r="AR33" s="33">
        <f>AP33*0.995</f>
        <v>5751.1131204673966</v>
      </c>
      <c r="AS33" s="33">
        <f>AR33*0.995</f>
        <v>5722.3575548650597</v>
      </c>
      <c r="AT33" s="33">
        <f>AS33*0.995</f>
        <v>5693.7457670907343</v>
      </c>
      <c r="AU33" s="33">
        <f>AT33*0.995</f>
        <v>5665.2770382552808</v>
      </c>
      <c r="AV33" s="169">
        <f>AU33</f>
        <v>5665.2770382552808</v>
      </c>
    </row>
    <row r="34" spans="1:48" ht="15.75" customHeight="1" outlineLevel="1" x14ac:dyDescent="0.45">
      <c r="A34" s="161"/>
      <c r="B34" s="580" t="s">
        <v>240</v>
      </c>
      <c r="C34" s="581"/>
      <c r="D34" s="112">
        <v>1478.2</v>
      </c>
      <c r="E34" s="112">
        <v>1500.3</v>
      </c>
      <c r="F34" s="112">
        <v>1440.6</v>
      </c>
      <c r="G34" s="112">
        <v>1370.5</v>
      </c>
      <c r="H34" s="262">
        <f>G34</f>
        <v>1370.5</v>
      </c>
      <c r="I34" s="112">
        <v>701.2</v>
      </c>
      <c r="J34" s="112">
        <v>751.4</v>
      </c>
      <c r="K34" s="112">
        <v>821.1</v>
      </c>
      <c r="L34" s="112">
        <v>907.3</v>
      </c>
      <c r="M34" s="262">
        <f>L34</f>
        <v>907.3</v>
      </c>
      <c r="N34" s="112">
        <v>962.8</v>
      </c>
      <c r="O34" s="112">
        <v>774.8</v>
      </c>
      <c r="P34" s="112">
        <v>762.9</v>
      </c>
      <c r="Q34" s="112">
        <v>737.8</v>
      </c>
      <c r="R34" s="262">
        <f>Q34</f>
        <v>737.8</v>
      </c>
      <c r="S34" s="112">
        <v>621.1</v>
      </c>
      <c r="T34" s="112">
        <v>613.6</v>
      </c>
      <c r="U34" s="112">
        <v>594.4</v>
      </c>
      <c r="V34" s="112">
        <v>610.5</v>
      </c>
      <c r="W34" s="262">
        <f>V34</f>
        <v>610.5</v>
      </c>
      <c r="X34" s="112">
        <v>600.5</v>
      </c>
      <c r="Y34" s="112">
        <v>488.1</v>
      </c>
      <c r="Z34" s="32">
        <f>Y34</f>
        <v>488.1</v>
      </c>
      <c r="AA34" s="32">
        <f>Z34</f>
        <v>488.1</v>
      </c>
      <c r="AB34" s="262">
        <f>AA34</f>
        <v>488.1</v>
      </c>
      <c r="AC34" s="32">
        <f>AA34</f>
        <v>488.1</v>
      </c>
      <c r="AD34" s="32">
        <f>AC34</f>
        <v>488.1</v>
      </c>
      <c r="AE34" s="32">
        <f>AD34</f>
        <v>488.1</v>
      </c>
      <c r="AF34" s="32">
        <f>AE34</f>
        <v>488.1</v>
      </c>
      <c r="AG34" s="262">
        <f>AF34</f>
        <v>488.1</v>
      </c>
      <c r="AH34" s="32">
        <f>AF34</f>
        <v>488.1</v>
      </c>
      <c r="AI34" s="32">
        <f>AH34</f>
        <v>488.1</v>
      </c>
      <c r="AJ34" s="32">
        <f>AI34</f>
        <v>488.1</v>
      </c>
      <c r="AK34" s="32">
        <f>AJ34</f>
        <v>488.1</v>
      </c>
      <c r="AL34" s="262">
        <f>AK34</f>
        <v>488.1</v>
      </c>
      <c r="AM34" s="32">
        <f>AK34</f>
        <v>488.1</v>
      </c>
      <c r="AN34" s="32">
        <f>AM34</f>
        <v>488.1</v>
      </c>
      <c r="AO34" s="32">
        <f>AN34</f>
        <v>488.1</v>
      </c>
      <c r="AP34" s="32">
        <f>AO34</f>
        <v>488.1</v>
      </c>
      <c r="AQ34" s="262">
        <f>AP34</f>
        <v>488.1</v>
      </c>
      <c r="AR34" s="32">
        <f>AP34</f>
        <v>488.1</v>
      </c>
      <c r="AS34" s="32">
        <f>AR34</f>
        <v>488.1</v>
      </c>
      <c r="AT34" s="32">
        <f>AS34</f>
        <v>488.1</v>
      </c>
      <c r="AU34" s="32">
        <f>AT34</f>
        <v>488.1</v>
      </c>
      <c r="AV34" s="262">
        <f>AU34</f>
        <v>488.1</v>
      </c>
    </row>
    <row r="35" spans="1:48" outlineLevel="1" x14ac:dyDescent="0.3">
      <c r="A35" s="161"/>
      <c r="B35" s="619" t="s">
        <v>241</v>
      </c>
      <c r="C35" s="620"/>
      <c r="D35" s="116">
        <f t="shared" ref="D35:AV35" si="28">SUM(D30:D34)</f>
        <v>22860.100000000002</v>
      </c>
      <c r="E35" s="116">
        <f t="shared" si="28"/>
        <v>22677.1</v>
      </c>
      <c r="F35" s="116">
        <f t="shared" si="28"/>
        <v>25213.4</v>
      </c>
      <c r="G35" s="116">
        <f t="shared" si="28"/>
        <v>25450.6</v>
      </c>
      <c r="H35" s="150">
        <f t="shared" si="28"/>
        <v>25450.6</v>
      </c>
      <c r="I35" s="116">
        <f t="shared" si="28"/>
        <v>34490.400000000001</v>
      </c>
      <c r="J35" s="116">
        <f t="shared" si="28"/>
        <v>35011.800000000003</v>
      </c>
      <c r="K35" s="116">
        <f t="shared" si="28"/>
        <v>37764.899999999994</v>
      </c>
      <c r="L35" s="116">
        <f t="shared" si="28"/>
        <v>37173.900000000009</v>
      </c>
      <c r="M35" s="150">
        <f t="shared" si="28"/>
        <v>37173.900000000009</v>
      </c>
      <c r="N35" s="116">
        <f t="shared" si="28"/>
        <v>37872.400000000001</v>
      </c>
      <c r="O35" s="116">
        <f t="shared" si="28"/>
        <v>36020</v>
      </c>
      <c r="P35" s="116">
        <f t="shared" si="28"/>
        <v>36271.1</v>
      </c>
      <c r="Q35" s="116">
        <f t="shared" si="28"/>
        <v>36707.100000000006</v>
      </c>
      <c r="R35" s="150">
        <f t="shared" si="28"/>
        <v>36707.100000000006</v>
      </c>
      <c r="S35" s="116">
        <f t="shared" si="28"/>
        <v>37284.199999999997</v>
      </c>
      <c r="T35" s="116">
        <f t="shared" si="28"/>
        <v>37782.699999999997</v>
      </c>
      <c r="U35" s="116">
        <f t="shared" si="28"/>
        <v>36815.1</v>
      </c>
      <c r="V35" s="116">
        <f t="shared" si="28"/>
        <v>36677.1</v>
      </c>
      <c r="W35" s="150">
        <f t="shared" si="28"/>
        <v>36677.1</v>
      </c>
      <c r="X35" s="116">
        <f>SUM(X30:X34)</f>
        <v>36922</v>
      </c>
      <c r="Y35" s="116">
        <f t="shared" si="28"/>
        <v>37108.399999999994</v>
      </c>
      <c r="Z35" s="116">
        <f t="shared" si="28"/>
        <v>37218.964489027683</v>
      </c>
      <c r="AA35" s="116">
        <f t="shared" si="28"/>
        <v>36974.5586426808</v>
      </c>
      <c r="AB35" s="150">
        <f t="shared" si="28"/>
        <v>36974.5586426808</v>
      </c>
      <c r="AC35" s="116">
        <f t="shared" si="28"/>
        <v>37519.149193322948</v>
      </c>
      <c r="AD35" s="116">
        <f t="shared" si="28"/>
        <v>37137.011415176639</v>
      </c>
      <c r="AE35" s="116">
        <f t="shared" si="28"/>
        <v>37223.327826349589</v>
      </c>
      <c r="AF35" s="116">
        <f t="shared" si="28"/>
        <v>37040.140863675428</v>
      </c>
      <c r="AG35" s="150">
        <f t="shared" si="28"/>
        <v>37040.140863675428</v>
      </c>
      <c r="AH35" s="116">
        <f t="shared" si="28"/>
        <v>37596.597762127181</v>
      </c>
      <c r="AI35" s="116">
        <f t="shared" si="28"/>
        <v>37208.166041604542</v>
      </c>
      <c r="AJ35" s="116">
        <f t="shared" si="28"/>
        <v>43593.99796832112</v>
      </c>
      <c r="AK35" s="116">
        <f t="shared" si="28"/>
        <v>43403.356913090669</v>
      </c>
      <c r="AL35" s="150">
        <f t="shared" si="28"/>
        <v>43403.356913090669</v>
      </c>
      <c r="AM35" s="116">
        <f t="shared" si="28"/>
        <v>43951.13777101395</v>
      </c>
      <c r="AN35" s="116">
        <f t="shared" si="28"/>
        <v>42528.901650466527</v>
      </c>
      <c r="AO35" s="116">
        <f t="shared" si="28"/>
        <v>42662.689084055339</v>
      </c>
      <c r="AP35" s="116">
        <f t="shared" si="28"/>
        <v>42453.721741509784</v>
      </c>
      <c r="AQ35" s="150">
        <f t="shared" si="28"/>
        <v>42453.721741509784</v>
      </c>
      <c r="AR35" s="116">
        <f t="shared" si="28"/>
        <v>43052.885743413426</v>
      </c>
      <c r="AS35" s="116">
        <f t="shared" si="28"/>
        <v>42593.942151011841</v>
      </c>
      <c r="AT35" s="116">
        <f t="shared" si="28"/>
        <v>42727.175746271801</v>
      </c>
      <c r="AU35" s="116">
        <f t="shared" si="28"/>
        <v>42516.429987072341</v>
      </c>
      <c r="AV35" s="150">
        <f t="shared" si="28"/>
        <v>42516.429987072341</v>
      </c>
    </row>
    <row r="36" spans="1:48" ht="17.399999999999999" x14ac:dyDescent="0.45">
      <c r="B36" s="583" t="s">
        <v>242</v>
      </c>
      <c r="C36" s="584"/>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14" t="s">
        <v>408</v>
      </c>
      <c r="Y36" s="14" t="s">
        <v>452</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580" t="s">
        <v>243</v>
      </c>
      <c r="C37" s="581"/>
      <c r="D37" s="16">
        <f>1.2+41.1</f>
        <v>42.300000000000004</v>
      </c>
      <c r="E37" s="16">
        <f>1.2+41.1</f>
        <v>42.300000000000004</v>
      </c>
      <c r="F37" s="16">
        <f>1.2+41.1</f>
        <v>42.300000000000004</v>
      </c>
      <c r="G37" s="16">
        <f>1.2+41.1</f>
        <v>42.300000000000004</v>
      </c>
      <c r="H37" s="17">
        <f>G37</f>
        <v>42.300000000000004</v>
      </c>
      <c r="I37" s="16">
        <f>1.2+41.1</f>
        <v>42.300000000000004</v>
      </c>
      <c r="J37" s="16">
        <f>1.2+41.1</f>
        <v>42.300000000000004</v>
      </c>
      <c r="K37" s="16">
        <f>1.2+115.4</f>
        <v>116.60000000000001</v>
      </c>
      <c r="L37" s="16">
        <f>1.2+373.9</f>
        <v>375.09999999999997</v>
      </c>
      <c r="M37" s="17">
        <f>L37</f>
        <v>375.09999999999997</v>
      </c>
      <c r="N37" s="16">
        <f>1.2+488.6</f>
        <v>489.8</v>
      </c>
      <c r="O37" s="16">
        <f>1.2+595.4</f>
        <v>596.6</v>
      </c>
      <c r="P37" s="16">
        <f>1.2+729.3</f>
        <v>730.5</v>
      </c>
      <c r="Q37" s="16">
        <f>1.2+846.1</f>
        <v>847.30000000000007</v>
      </c>
      <c r="R37" s="17">
        <f>Q37</f>
        <v>847.30000000000007</v>
      </c>
      <c r="S37" s="16">
        <f>1.2+41.1</f>
        <v>42.300000000000004</v>
      </c>
      <c r="T37" s="16">
        <f>1.1+41.1</f>
        <v>42.2</v>
      </c>
      <c r="U37" s="16">
        <f>1.1+117.1</f>
        <v>118.19999999999999</v>
      </c>
      <c r="V37" s="16">
        <f>1.1+205.3</f>
        <v>206.4</v>
      </c>
      <c r="W37" s="17">
        <f>V37</f>
        <v>206.4</v>
      </c>
      <c r="X37" s="101">
        <f>1.1+67.2</f>
        <v>68.3</v>
      </c>
      <c r="Y37" s="101">
        <f>1.1+38.2</f>
        <v>39.300000000000004</v>
      </c>
      <c r="Z37" s="16">
        <f>+Y37+'CFS (Adjusted)'!Z12+'CFS (Adjusted)'!Z35</f>
        <v>113.6711164901713</v>
      </c>
      <c r="AA37" s="16">
        <f>+Z37+'CFS (Adjusted)'!AA12+'CFS (Adjusted)'!AA35</f>
        <v>191.63677254965651</v>
      </c>
      <c r="AB37" s="17">
        <f>AA37</f>
        <v>191.63677254965651</v>
      </c>
      <c r="AC37" s="16">
        <f>+AA37+'CFS (Adjusted)'!AC12+'CFS (Adjusted)'!AC35</f>
        <v>274.51666387680984</v>
      </c>
      <c r="AD37" s="16">
        <f>+AC37+'CFS (Adjusted)'!AD12+'CFS (Adjusted)'!AD35</f>
        <v>353.76921104615406</v>
      </c>
      <c r="AE37" s="16">
        <f>+AD37+'CFS (Adjusted)'!AE12+'CFS (Adjusted)'!AE35</f>
        <v>438.42128628288947</v>
      </c>
      <c r="AF37" s="16">
        <f>+AE37+'CFS (Adjusted)'!AF12+'CFS (Adjusted)'!AF35</f>
        <v>524.67325893063139</v>
      </c>
      <c r="AG37" s="17">
        <f>AF37</f>
        <v>524.67325893063139</v>
      </c>
      <c r="AH37" s="16">
        <f>+AF37+'CFS (Adjusted)'!AH12+'CFS (Adjusted)'!AH35</f>
        <v>615.16982967263573</v>
      </c>
      <c r="AI37" s="16">
        <f>+AH37+'CFS (Adjusted)'!AI12+'CFS (Adjusted)'!AI35</f>
        <v>703.87591488196767</v>
      </c>
      <c r="AJ37" s="16">
        <f>+AI37+'CFS (Adjusted)'!AJ12+'CFS (Adjusted)'!AJ35</f>
        <v>798.73013970740192</v>
      </c>
      <c r="AK37" s="16">
        <f>+AJ37+'CFS (Adjusted)'!AK12+'CFS (Adjusted)'!AK35</f>
        <v>894.9229139365367</v>
      </c>
      <c r="AL37" s="17">
        <f>AK37</f>
        <v>894.9229139365367</v>
      </c>
      <c r="AM37" s="16">
        <f>+AK37+'CFS (Adjusted)'!AM12+'CFS (Adjusted)'!AM35</f>
        <v>994.01018991186447</v>
      </c>
      <c r="AN37" s="16">
        <f>+AM37+'CFS (Adjusted)'!AN12+'CFS (Adjusted)'!AN35</f>
        <v>1091.1919225651791</v>
      </c>
      <c r="AO37" s="16">
        <f>+AN37+'CFS (Adjusted)'!AO12+'CFS (Adjusted)'!AO35</f>
        <v>1194.664653400612</v>
      </c>
      <c r="AP37" s="16">
        <f>+AO37+'CFS (Adjusted)'!AP12+'CFS (Adjusted)'!AP35</f>
        <v>1299.1351209298793</v>
      </c>
      <c r="AQ37" s="17">
        <f>AP37</f>
        <v>1299.1351209298793</v>
      </c>
      <c r="AR37" s="16">
        <f>+AP37+'CFS (Adjusted)'!AR12+'CFS (Adjusted)'!AR35</f>
        <v>1404.5376098471961</v>
      </c>
      <c r="AS37" s="16">
        <f>+AR37+'CFS (Adjusted)'!AS12+'CFS (Adjusted)'!AS35</f>
        <v>1507.9586621102173</v>
      </c>
      <c r="AT37" s="16">
        <f>+AS37+'CFS (Adjusted)'!AT12+'CFS (Adjusted)'!AT35</f>
        <v>1618.0302119635437</v>
      </c>
      <c r="AU37" s="16">
        <f>+AT37+'CFS (Adjusted)'!AU12+'CFS (Adjusted)'!AU35</f>
        <v>1729.1420923410112</v>
      </c>
      <c r="AV37" s="17">
        <f>AU37</f>
        <v>1729.1420923410112</v>
      </c>
    </row>
    <row r="38" spans="1:48" outlineLevel="1" x14ac:dyDescent="0.3">
      <c r="B38" s="621" t="s">
        <v>244</v>
      </c>
      <c r="C38" s="622"/>
      <c r="D38" s="16">
        <v>-2584</v>
      </c>
      <c r="E38" s="101">
        <v>-4807.7</v>
      </c>
      <c r="F38" s="101">
        <v>-4013.9</v>
      </c>
      <c r="G38" s="101">
        <v>-5771.2</v>
      </c>
      <c r="H38" s="169">
        <f>G38</f>
        <v>-5771.2</v>
      </c>
      <c r="I38" s="101">
        <v>-6414.8</v>
      </c>
      <c r="J38" s="101">
        <v>-7050.6</v>
      </c>
      <c r="K38" s="101">
        <v>-8208.2999999999993</v>
      </c>
      <c r="L38" s="101">
        <v>-7815.6</v>
      </c>
      <c r="M38" s="169">
        <f>L38</f>
        <v>-7815.6</v>
      </c>
      <c r="N38" s="101">
        <v>-8253.6</v>
      </c>
      <c r="O38" s="101">
        <v>-8124.3</v>
      </c>
      <c r="P38" s="101">
        <v>-7501.6</v>
      </c>
      <c r="Q38" s="101">
        <v>-6315.7</v>
      </c>
      <c r="R38" s="169">
        <f>Q38</f>
        <v>-6315.7</v>
      </c>
      <c r="S38" s="101">
        <v>-8753</v>
      </c>
      <c r="T38" s="101">
        <v>-9070.5</v>
      </c>
      <c r="U38" s="101">
        <v>-8719.7000000000007</v>
      </c>
      <c r="V38" s="101">
        <v>-8449.7999999999993</v>
      </c>
      <c r="W38" s="169">
        <f>V38</f>
        <v>-8449.7999999999993</v>
      </c>
      <c r="X38" s="101">
        <v>-8203.2000000000007</v>
      </c>
      <c r="Y38" s="101">
        <v>-8024.6</v>
      </c>
      <c r="Z38" s="101">
        <f>Y38+'CFS (Adjusted)'!Z6+'CFS (Adjusted)'!Z33+'CFS (Adjusted)'!Z34</f>
        <v>-7706.7143635765906</v>
      </c>
      <c r="AA38" s="101">
        <f>Z38+'CFS (Adjusted)'!AA6+'CFS (Adjusted)'!AA33+'CFS (Adjusted)'!AA34</f>
        <v>-7321.379465252613</v>
      </c>
      <c r="AB38" s="169">
        <f>AA38</f>
        <v>-7321.379465252613</v>
      </c>
      <c r="AC38" s="101">
        <f>AA38+'CFS (Adjusted)'!AC6+'CFS (Adjusted)'!AC33+'CFS (Adjusted)'!AC34</f>
        <v>-7004.0587238017588</v>
      </c>
      <c r="AD38" s="101">
        <f>AC38+'CFS (Adjusted)'!AD6+'CFS (Adjusted)'!AD33+'CFS (Adjusted)'!AD34</f>
        <v>-6697.3321073177531</v>
      </c>
      <c r="AE38" s="101">
        <f>AD38+'CFS (Adjusted)'!AE6+'CFS (Adjusted)'!AE33+'CFS (Adjusted)'!AE34</f>
        <v>-6251.5038871460229</v>
      </c>
      <c r="AF38" s="101">
        <f>AE38+'CFS (Adjusted)'!AF6+'CFS (Adjusted)'!AF33+'CFS (Adjusted)'!AF34</f>
        <v>-5831.3820666656229</v>
      </c>
      <c r="AG38" s="169">
        <f>AF38</f>
        <v>-5831.3820666656229</v>
      </c>
      <c r="AH38" s="101">
        <f>AF38+'CFS (Adjusted)'!AH6+'CFS (Adjusted)'!AH33+'CFS (Adjusted)'!AH34</f>
        <v>-5372.8718008008</v>
      </c>
      <c r="AI38" s="101">
        <f>AH38+'CFS (Adjusted)'!AI6+'CFS (Adjusted)'!AI33+'CFS (Adjusted)'!AI34</f>
        <v>-4911.3389656636973</v>
      </c>
      <c r="AJ38" s="101">
        <f>AI38+'CFS (Adjusted)'!AJ6+'CFS (Adjusted)'!AJ33+'CFS (Adjusted)'!AJ34</f>
        <v>-9728.35247301255</v>
      </c>
      <c r="AK38" s="101">
        <f>AJ38+'CFS (Adjusted)'!AK6+'CFS (Adjusted)'!AK33+'CFS (Adjusted)'!AK34</f>
        <v>-14661.896772864518</v>
      </c>
      <c r="AL38" s="169">
        <f>AK38</f>
        <v>-14661.896772864518</v>
      </c>
      <c r="AM38" s="101">
        <f>AK38+'CFS (Adjusted)'!AM6+'CFS (Adjusted)'!AM33+'CFS (Adjusted)'!AM34</f>
        <v>-14295.819364322375</v>
      </c>
      <c r="AN38" s="101">
        <f>AM38+'CFS (Adjusted)'!AN6+'CFS (Adjusted)'!AN33+'CFS (Adjusted)'!AN34</f>
        <v>-13929.334352113943</v>
      </c>
      <c r="AO38" s="101">
        <f>AN38+'CFS (Adjusted)'!AO6+'CFS (Adjusted)'!AO33+'CFS (Adjusted)'!AO34</f>
        <v>-13308.085935165262</v>
      </c>
      <c r="AP38" s="101">
        <f>AO38+'CFS (Adjusted)'!AP6+'CFS (Adjusted)'!AP33+'CFS (Adjusted)'!AP34</f>
        <v>-12740.006188311152</v>
      </c>
      <c r="AQ38" s="169">
        <f>AP38</f>
        <v>-12740.006188311152</v>
      </c>
      <c r="AR38" s="101">
        <f>AP38+'CFS (Adjusted)'!AR6+'CFS (Adjusted)'!AR33+'CFS (Adjusted)'!AR34</f>
        <v>-12258.827875520779</v>
      </c>
      <c r="AS38" s="101">
        <f>AR38+'CFS (Adjusted)'!AS6+'CFS (Adjusted)'!AS33+'CFS (Adjusted)'!AS34</f>
        <v>-11773.756096871257</v>
      </c>
      <c r="AT38" s="101">
        <f>AS38+'CFS (Adjusted)'!AT6+'CFS (Adjusted)'!AT33+'CFS (Adjusted)'!AT34</f>
        <v>-11052.127680699694</v>
      </c>
      <c r="AU38" s="101">
        <f>AT38+'CFS (Adjusted)'!AU6+'CFS (Adjusted)'!AU33+'CFS (Adjusted)'!AU34</f>
        <v>-10393.806457707316</v>
      </c>
      <c r="AV38" s="169">
        <f>AU38</f>
        <v>-10393.806457707316</v>
      </c>
    </row>
    <row r="39" spans="1:48" outlineLevel="1" x14ac:dyDescent="0.3">
      <c r="B39" s="621" t="s">
        <v>245</v>
      </c>
      <c r="C39" s="622"/>
      <c r="D39" s="16">
        <v>-343.2</v>
      </c>
      <c r="E39" s="102">
        <v>-271.5</v>
      </c>
      <c r="F39" s="101">
        <v>-349</v>
      </c>
      <c r="G39" s="101">
        <v>-503.3</v>
      </c>
      <c r="H39" s="169">
        <f>+G39</f>
        <v>-503.3</v>
      </c>
      <c r="I39" s="101">
        <v>-387.4</v>
      </c>
      <c r="J39" s="101">
        <v>-521.79999999999995</v>
      </c>
      <c r="K39" s="101">
        <v>-529.9</v>
      </c>
      <c r="L39" s="101">
        <v>-364.6</v>
      </c>
      <c r="M39" s="169">
        <f>+L39</f>
        <v>-364.6</v>
      </c>
      <c r="N39" s="101">
        <v>-145.9</v>
      </c>
      <c r="O39" s="101">
        <v>-126.3</v>
      </c>
      <c r="P39" s="101">
        <v>-29.7</v>
      </c>
      <c r="Q39" s="101">
        <v>147.19999999999999</v>
      </c>
      <c r="R39" s="169">
        <f>+Q39</f>
        <v>147.19999999999999</v>
      </c>
      <c r="S39" s="101">
        <v>253.5</v>
      </c>
      <c r="T39" s="101">
        <v>260.3</v>
      </c>
      <c r="U39" s="101">
        <v>-65</v>
      </c>
      <c r="V39" s="101">
        <v>-463.2</v>
      </c>
      <c r="W39" s="169">
        <f t="shared" ref="W39:W40" si="29">+V39</f>
        <v>-463.2</v>
      </c>
      <c r="X39" s="101">
        <v>-538.9</v>
      </c>
      <c r="Y39" s="101">
        <v>-521.6</v>
      </c>
      <c r="Z39" s="101">
        <f t="shared" ref="Z39:AB40" si="30">+Y39</f>
        <v>-521.6</v>
      </c>
      <c r="AA39" s="101">
        <f t="shared" si="30"/>
        <v>-521.6</v>
      </c>
      <c r="AB39" s="169">
        <f t="shared" si="30"/>
        <v>-521.6</v>
      </c>
      <c r="AC39" s="101">
        <f>+AA39</f>
        <v>-521.6</v>
      </c>
      <c r="AD39" s="101">
        <f t="shared" ref="AD39:AG40" si="31">+AC39</f>
        <v>-521.6</v>
      </c>
      <c r="AE39" s="101">
        <f t="shared" si="31"/>
        <v>-521.6</v>
      </c>
      <c r="AF39" s="101">
        <f t="shared" si="31"/>
        <v>-521.6</v>
      </c>
      <c r="AG39" s="169">
        <f t="shared" si="31"/>
        <v>-521.6</v>
      </c>
      <c r="AH39" s="101">
        <f>+AF39</f>
        <v>-521.6</v>
      </c>
      <c r="AI39" s="101">
        <f t="shared" ref="AI39:AL40" si="32">+AH39</f>
        <v>-521.6</v>
      </c>
      <c r="AJ39" s="101">
        <f t="shared" si="32"/>
        <v>-521.6</v>
      </c>
      <c r="AK39" s="101">
        <f t="shared" si="32"/>
        <v>-521.6</v>
      </c>
      <c r="AL39" s="169">
        <f t="shared" si="32"/>
        <v>-521.6</v>
      </c>
      <c r="AM39" s="101">
        <f>+AK39</f>
        <v>-521.6</v>
      </c>
      <c r="AN39" s="101">
        <f t="shared" ref="AN39:AQ40" si="33">+AM39</f>
        <v>-521.6</v>
      </c>
      <c r="AO39" s="101">
        <f t="shared" si="33"/>
        <v>-521.6</v>
      </c>
      <c r="AP39" s="101">
        <f t="shared" si="33"/>
        <v>-521.6</v>
      </c>
      <c r="AQ39" s="169">
        <f t="shared" si="33"/>
        <v>-521.6</v>
      </c>
      <c r="AR39" s="101">
        <f>+AP39</f>
        <v>-521.6</v>
      </c>
      <c r="AS39" s="101">
        <f t="shared" ref="AS39:AV40" si="34">+AR39</f>
        <v>-521.6</v>
      </c>
      <c r="AT39" s="101">
        <f t="shared" si="34"/>
        <v>-521.6</v>
      </c>
      <c r="AU39" s="101">
        <f t="shared" si="34"/>
        <v>-521.6</v>
      </c>
      <c r="AV39" s="169">
        <f t="shared" si="34"/>
        <v>-521.6</v>
      </c>
    </row>
    <row r="40" spans="1:48" ht="16.2" outlineLevel="1" x14ac:dyDescent="0.45">
      <c r="B40" s="265" t="s">
        <v>246</v>
      </c>
      <c r="C40" s="266"/>
      <c r="D40" s="260">
        <v>6.1</v>
      </c>
      <c r="E40" s="112">
        <v>1.7</v>
      </c>
      <c r="F40" s="112">
        <v>1.6</v>
      </c>
      <c r="G40" s="112">
        <v>1.2</v>
      </c>
      <c r="H40" s="261">
        <f>+G40</f>
        <v>1.2</v>
      </c>
      <c r="I40" s="112">
        <v>0.8</v>
      </c>
      <c r="J40" s="112">
        <v>-2.8</v>
      </c>
      <c r="K40" s="112">
        <v>-2.7</v>
      </c>
      <c r="L40" s="112">
        <v>5.7</v>
      </c>
      <c r="M40" s="262">
        <f>+L40</f>
        <v>5.7</v>
      </c>
      <c r="N40" s="112">
        <v>5.7</v>
      </c>
      <c r="O40" s="112">
        <v>5.7</v>
      </c>
      <c r="P40" s="112">
        <v>6.5</v>
      </c>
      <c r="Q40" s="112">
        <v>6.7</v>
      </c>
      <c r="R40" s="262">
        <f>+Q40</f>
        <v>6.7</v>
      </c>
      <c r="S40" s="112">
        <v>6.9</v>
      </c>
      <c r="T40" s="112">
        <v>6.8</v>
      </c>
      <c r="U40" s="112">
        <v>7.6</v>
      </c>
      <c r="V40" s="112">
        <v>7.9</v>
      </c>
      <c r="W40" s="262">
        <f t="shared" si="29"/>
        <v>7.9</v>
      </c>
      <c r="X40" s="112">
        <v>7.9</v>
      </c>
      <c r="Y40" s="112">
        <v>7.5</v>
      </c>
      <c r="Z40" s="112">
        <f t="shared" si="30"/>
        <v>7.5</v>
      </c>
      <c r="AA40" s="112">
        <f t="shared" si="30"/>
        <v>7.5</v>
      </c>
      <c r="AB40" s="262">
        <f t="shared" si="30"/>
        <v>7.5</v>
      </c>
      <c r="AC40" s="112">
        <f>+AA40</f>
        <v>7.5</v>
      </c>
      <c r="AD40" s="112">
        <f t="shared" si="31"/>
        <v>7.5</v>
      </c>
      <c r="AE40" s="112">
        <f t="shared" si="31"/>
        <v>7.5</v>
      </c>
      <c r="AF40" s="112">
        <f t="shared" si="31"/>
        <v>7.5</v>
      </c>
      <c r="AG40" s="262">
        <f t="shared" si="31"/>
        <v>7.5</v>
      </c>
      <c r="AH40" s="112">
        <f>+AF40</f>
        <v>7.5</v>
      </c>
      <c r="AI40" s="112">
        <f t="shared" si="32"/>
        <v>7.5</v>
      </c>
      <c r="AJ40" s="112">
        <f t="shared" si="32"/>
        <v>7.5</v>
      </c>
      <c r="AK40" s="112">
        <f t="shared" si="32"/>
        <v>7.5</v>
      </c>
      <c r="AL40" s="262">
        <f t="shared" si="32"/>
        <v>7.5</v>
      </c>
      <c r="AM40" s="112">
        <f>+AK40</f>
        <v>7.5</v>
      </c>
      <c r="AN40" s="112">
        <f t="shared" si="33"/>
        <v>7.5</v>
      </c>
      <c r="AO40" s="112">
        <f t="shared" si="33"/>
        <v>7.5</v>
      </c>
      <c r="AP40" s="112">
        <f t="shared" si="33"/>
        <v>7.5</v>
      </c>
      <c r="AQ40" s="262">
        <f t="shared" si="33"/>
        <v>7.5</v>
      </c>
      <c r="AR40" s="112">
        <f>+AP40</f>
        <v>7.5</v>
      </c>
      <c r="AS40" s="112">
        <f t="shared" si="34"/>
        <v>7.5</v>
      </c>
      <c r="AT40" s="112">
        <f t="shared" si="34"/>
        <v>7.5</v>
      </c>
      <c r="AU40" s="112">
        <f t="shared" si="34"/>
        <v>7.5</v>
      </c>
      <c r="AV40" s="262">
        <f t="shared" si="34"/>
        <v>7.5</v>
      </c>
    </row>
    <row r="41" spans="1:48" outlineLevel="1" x14ac:dyDescent="0.3">
      <c r="B41" s="619" t="s">
        <v>247</v>
      </c>
      <c r="C41" s="620"/>
      <c r="D41" s="21">
        <f t="shared" ref="D41:AV41" si="35">SUM(D37:D40)</f>
        <v>-2878.7999999999997</v>
      </c>
      <c r="E41" s="21">
        <f t="shared" si="35"/>
        <v>-5035.2</v>
      </c>
      <c r="F41" s="21">
        <f t="shared" si="35"/>
        <v>-4319</v>
      </c>
      <c r="G41" s="21">
        <f t="shared" si="35"/>
        <v>-6231</v>
      </c>
      <c r="H41" s="22">
        <f t="shared" si="35"/>
        <v>-6231</v>
      </c>
      <c r="I41" s="21">
        <f t="shared" si="35"/>
        <v>-6759.0999999999995</v>
      </c>
      <c r="J41" s="21">
        <f t="shared" si="35"/>
        <v>-7532.9000000000005</v>
      </c>
      <c r="K41" s="21">
        <f t="shared" si="35"/>
        <v>-8624.2999999999993</v>
      </c>
      <c r="L41" s="21">
        <f t="shared" si="35"/>
        <v>-7799.4000000000005</v>
      </c>
      <c r="M41" s="22">
        <f t="shared" si="35"/>
        <v>-7799.4000000000005</v>
      </c>
      <c r="N41" s="21">
        <f t="shared" si="35"/>
        <v>-7904</v>
      </c>
      <c r="O41" s="21">
        <f t="shared" si="35"/>
        <v>-7648.3</v>
      </c>
      <c r="P41" s="21">
        <f t="shared" si="35"/>
        <v>-6794.3</v>
      </c>
      <c r="Q41" s="21">
        <f t="shared" si="35"/>
        <v>-5314.5</v>
      </c>
      <c r="R41" s="22">
        <f t="shared" si="35"/>
        <v>-5314.5</v>
      </c>
      <c r="S41" s="21">
        <f t="shared" si="35"/>
        <v>-8450.3000000000011</v>
      </c>
      <c r="T41" s="21">
        <f t="shared" si="35"/>
        <v>-8761.2000000000007</v>
      </c>
      <c r="U41" s="21">
        <f t="shared" si="35"/>
        <v>-8658.9</v>
      </c>
      <c r="V41" s="21">
        <f t="shared" si="35"/>
        <v>-8698.7000000000007</v>
      </c>
      <c r="W41" s="22">
        <f t="shared" si="35"/>
        <v>-8698.7000000000007</v>
      </c>
      <c r="X41" s="116">
        <f t="shared" si="35"/>
        <v>-8665.9000000000015</v>
      </c>
      <c r="Y41" s="21">
        <f t="shared" si="35"/>
        <v>-8499.4</v>
      </c>
      <c r="Z41" s="21">
        <f t="shared" si="35"/>
        <v>-8107.1432470864193</v>
      </c>
      <c r="AA41" s="21">
        <f t="shared" si="35"/>
        <v>-7643.8426927029568</v>
      </c>
      <c r="AB41" s="22">
        <f t="shared" si="35"/>
        <v>-7643.8426927029568</v>
      </c>
      <c r="AC41" s="21">
        <f t="shared" si="35"/>
        <v>-7243.6420599249495</v>
      </c>
      <c r="AD41" s="21">
        <f t="shared" si="35"/>
        <v>-6857.6628962715995</v>
      </c>
      <c r="AE41" s="21">
        <f t="shared" si="35"/>
        <v>-6327.1826008631342</v>
      </c>
      <c r="AF41" s="21">
        <f t="shared" si="35"/>
        <v>-5820.8088077349921</v>
      </c>
      <c r="AG41" s="22">
        <f t="shared" si="35"/>
        <v>-5820.8088077349921</v>
      </c>
      <c r="AH41" s="21">
        <f t="shared" si="35"/>
        <v>-5271.801971128165</v>
      </c>
      <c r="AI41" s="21">
        <f t="shared" si="35"/>
        <v>-4721.5630507817295</v>
      </c>
      <c r="AJ41" s="21">
        <f t="shared" si="35"/>
        <v>-9443.7223333051479</v>
      </c>
      <c r="AK41" s="21">
        <f t="shared" si="35"/>
        <v>-14281.073858927983</v>
      </c>
      <c r="AL41" s="22">
        <f t="shared" si="35"/>
        <v>-14281.073858927983</v>
      </c>
      <c r="AM41" s="21">
        <f t="shared" si="35"/>
        <v>-13815.909174410512</v>
      </c>
      <c r="AN41" s="21">
        <f t="shared" si="35"/>
        <v>-13352.242429548764</v>
      </c>
      <c r="AO41" s="21">
        <f t="shared" si="35"/>
        <v>-12627.52128176465</v>
      </c>
      <c r="AP41" s="21">
        <f t="shared" si="35"/>
        <v>-11954.971067381273</v>
      </c>
      <c r="AQ41" s="22">
        <f t="shared" si="35"/>
        <v>-11954.971067381273</v>
      </c>
      <c r="AR41" s="21">
        <f t="shared" si="35"/>
        <v>-11368.390265673583</v>
      </c>
      <c r="AS41" s="21">
        <f t="shared" si="35"/>
        <v>-10779.89743476104</v>
      </c>
      <c r="AT41" s="21">
        <f t="shared" si="35"/>
        <v>-9948.1974687361508</v>
      </c>
      <c r="AU41" s="21">
        <f t="shared" si="35"/>
        <v>-9178.7643653663054</v>
      </c>
      <c r="AV41" s="22">
        <f t="shared" si="35"/>
        <v>-9178.7643653663054</v>
      </c>
    </row>
    <row r="42" spans="1:48" outlineLevel="1" x14ac:dyDescent="0.3">
      <c r="B42" s="617" t="s">
        <v>248</v>
      </c>
      <c r="C42" s="618"/>
      <c r="D42" s="267">
        <f t="shared" ref="D42:AV42" si="36">D41+D35</f>
        <v>19981.300000000003</v>
      </c>
      <c r="E42" s="267">
        <f t="shared" si="36"/>
        <v>17641.899999999998</v>
      </c>
      <c r="F42" s="267">
        <f t="shared" si="36"/>
        <v>20894.400000000001</v>
      </c>
      <c r="G42" s="267">
        <f t="shared" si="36"/>
        <v>19219.599999999999</v>
      </c>
      <c r="H42" s="268">
        <f t="shared" si="36"/>
        <v>19219.599999999999</v>
      </c>
      <c r="I42" s="267">
        <f t="shared" si="36"/>
        <v>27731.300000000003</v>
      </c>
      <c r="J42" s="267">
        <f t="shared" si="36"/>
        <v>27478.9</v>
      </c>
      <c r="K42" s="267">
        <f t="shared" si="36"/>
        <v>29140.599999999995</v>
      </c>
      <c r="L42" s="267">
        <f t="shared" si="36"/>
        <v>29374.500000000007</v>
      </c>
      <c r="M42" s="268">
        <f t="shared" si="36"/>
        <v>29374.500000000007</v>
      </c>
      <c r="N42" s="267">
        <f t="shared" si="36"/>
        <v>29968.400000000001</v>
      </c>
      <c r="O42" s="267">
        <f t="shared" si="36"/>
        <v>28371.7</v>
      </c>
      <c r="P42" s="267">
        <f t="shared" si="36"/>
        <v>29476.799999999999</v>
      </c>
      <c r="Q42" s="267">
        <f t="shared" si="36"/>
        <v>31392.600000000006</v>
      </c>
      <c r="R42" s="268">
        <f t="shared" si="36"/>
        <v>31392.600000000006</v>
      </c>
      <c r="S42" s="267">
        <f t="shared" si="36"/>
        <v>28833.899999999994</v>
      </c>
      <c r="T42" s="267">
        <f t="shared" si="36"/>
        <v>29021.499999999996</v>
      </c>
      <c r="U42" s="267">
        <f t="shared" si="36"/>
        <v>28156.199999999997</v>
      </c>
      <c r="V42" s="267">
        <f t="shared" si="36"/>
        <v>27978.399999999998</v>
      </c>
      <c r="W42" s="268">
        <f t="shared" si="36"/>
        <v>27978.399999999998</v>
      </c>
      <c r="X42" s="267">
        <f t="shared" si="36"/>
        <v>28256.1</v>
      </c>
      <c r="Y42" s="267">
        <f t="shared" si="36"/>
        <v>28608.999999999993</v>
      </c>
      <c r="Z42" s="267">
        <f t="shared" si="36"/>
        <v>29111.821241941263</v>
      </c>
      <c r="AA42" s="267">
        <f t="shared" si="36"/>
        <v>29330.715949977843</v>
      </c>
      <c r="AB42" s="268">
        <f t="shared" si="36"/>
        <v>29330.715949977843</v>
      </c>
      <c r="AC42" s="267">
        <f t="shared" si="36"/>
        <v>30275.507133397998</v>
      </c>
      <c r="AD42" s="267">
        <f t="shared" si="36"/>
        <v>30279.348518905041</v>
      </c>
      <c r="AE42" s="267">
        <f t="shared" si="36"/>
        <v>30896.145225486456</v>
      </c>
      <c r="AF42" s="267">
        <f t="shared" si="36"/>
        <v>31219.332055940435</v>
      </c>
      <c r="AG42" s="268">
        <f t="shared" si="36"/>
        <v>31219.332055940435</v>
      </c>
      <c r="AH42" s="267">
        <f t="shared" si="36"/>
        <v>32324.795790999015</v>
      </c>
      <c r="AI42" s="267">
        <f t="shared" si="36"/>
        <v>32486.602990822812</v>
      </c>
      <c r="AJ42" s="267">
        <f t="shared" si="36"/>
        <v>34150.275635015976</v>
      </c>
      <c r="AK42" s="267">
        <f t="shared" si="36"/>
        <v>29122.283054162686</v>
      </c>
      <c r="AL42" s="268">
        <f t="shared" si="36"/>
        <v>29122.283054162686</v>
      </c>
      <c r="AM42" s="267">
        <f t="shared" si="36"/>
        <v>30135.22859660344</v>
      </c>
      <c r="AN42" s="267">
        <f t="shared" si="36"/>
        <v>29176.659220917762</v>
      </c>
      <c r="AO42" s="267">
        <f t="shared" si="36"/>
        <v>30035.167802290689</v>
      </c>
      <c r="AP42" s="267">
        <f t="shared" si="36"/>
        <v>30498.750674128511</v>
      </c>
      <c r="AQ42" s="268">
        <f t="shared" si="36"/>
        <v>30498.750674128511</v>
      </c>
      <c r="AR42" s="267">
        <f t="shared" si="36"/>
        <v>31684.495477739845</v>
      </c>
      <c r="AS42" s="267">
        <f t="shared" si="36"/>
        <v>31814.044716250799</v>
      </c>
      <c r="AT42" s="267">
        <f t="shared" si="36"/>
        <v>32778.978277535651</v>
      </c>
      <c r="AU42" s="267">
        <f t="shared" si="36"/>
        <v>33337.665621706037</v>
      </c>
      <c r="AV42" s="268">
        <f t="shared" si="36"/>
        <v>33337.665621706037</v>
      </c>
    </row>
    <row r="43" spans="1:48" s="99" customFormat="1" x14ac:dyDescent="0.3">
      <c r="B43" s="491"/>
      <c r="C43" s="492"/>
      <c r="D43" s="493">
        <f t="shared" ref="D43:AV43" si="37">ROUND((D42-D20),0)</f>
        <v>0</v>
      </c>
      <c r="E43" s="493">
        <f t="shared" si="37"/>
        <v>0</v>
      </c>
      <c r="F43" s="493">
        <f t="shared" si="37"/>
        <v>0</v>
      </c>
      <c r="G43" s="493">
        <f t="shared" si="37"/>
        <v>0</v>
      </c>
      <c r="H43" s="493">
        <f t="shared" si="37"/>
        <v>0</v>
      </c>
      <c r="I43" s="493">
        <f t="shared" si="37"/>
        <v>0</v>
      </c>
      <c r="J43" s="493">
        <f t="shared" si="37"/>
        <v>0</v>
      </c>
      <c r="K43" s="493">
        <f t="shared" si="37"/>
        <v>0</v>
      </c>
      <c r="L43" s="494">
        <f t="shared" si="37"/>
        <v>0</v>
      </c>
      <c r="M43" s="494">
        <f t="shared" si="37"/>
        <v>0</v>
      </c>
      <c r="N43" s="494">
        <f t="shared" si="37"/>
        <v>0</v>
      </c>
      <c r="O43" s="494">
        <f t="shared" si="37"/>
        <v>0</v>
      </c>
      <c r="P43" s="494">
        <f t="shared" si="37"/>
        <v>0</v>
      </c>
      <c r="Q43" s="494">
        <f t="shared" si="37"/>
        <v>0</v>
      </c>
      <c r="R43" s="494">
        <f t="shared" si="37"/>
        <v>0</v>
      </c>
      <c r="S43" s="494">
        <f t="shared" si="37"/>
        <v>0</v>
      </c>
      <c r="T43" s="494">
        <f t="shared" si="37"/>
        <v>0</v>
      </c>
      <c r="U43" s="494">
        <f t="shared" si="37"/>
        <v>0</v>
      </c>
      <c r="V43" s="494">
        <f t="shared" si="37"/>
        <v>0</v>
      </c>
      <c r="W43" s="494">
        <f t="shared" si="37"/>
        <v>0</v>
      </c>
      <c r="X43" s="494">
        <f t="shared" si="37"/>
        <v>0</v>
      </c>
      <c r="Y43" s="272">
        <f t="shared" si="37"/>
        <v>0</v>
      </c>
      <c r="Z43" s="494">
        <f t="shared" si="37"/>
        <v>0</v>
      </c>
      <c r="AA43" s="494">
        <f t="shared" si="37"/>
        <v>0</v>
      </c>
      <c r="AB43" s="494">
        <f t="shared" si="37"/>
        <v>0</v>
      </c>
      <c r="AC43" s="494">
        <f t="shared" si="37"/>
        <v>0</v>
      </c>
      <c r="AD43" s="494">
        <f t="shared" si="37"/>
        <v>0</v>
      </c>
      <c r="AE43" s="494">
        <f t="shared" si="37"/>
        <v>0</v>
      </c>
      <c r="AF43" s="494">
        <f t="shared" si="37"/>
        <v>0</v>
      </c>
      <c r="AG43" s="494">
        <f t="shared" si="37"/>
        <v>0</v>
      </c>
      <c r="AH43" s="494">
        <f t="shared" si="37"/>
        <v>0</v>
      </c>
      <c r="AI43" s="494">
        <f t="shared" si="37"/>
        <v>0</v>
      </c>
      <c r="AJ43" s="494">
        <f t="shared" si="37"/>
        <v>0</v>
      </c>
      <c r="AK43" s="494">
        <f t="shared" si="37"/>
        <v>0</v>
      </c>
      <c r="AL43" s="494">
        <f t="shared" si="37"/>
        <v>0</v>
      </c>
      <c r="AM43" s="494">
        <f t="shared" si="37"/>
        <v>0</v>
      </c>
      <c r="AN43" s="494">
        <f t="shared" si="37"/>
        <v>0</v>
      </c>
      <c r="AO43" s="494">
        <f t="shared" si="37"/>
        <v>0</v>
      </c>
      <c r="AP43" s="494">
        <f t="shared" si="37"/>
        <v>0</v>
      </c>
      <c r="AQ43" s="494">
        <f t="shared" si="37"/>
        <v>0</v>
      </c>
      <c r="AR43" s="494">
        <f t="shared" si="37"/>
        <v>0</v>
      </c>
      <c r="AS43" s="494">
        <f t="shared" si="37"/>
        <v>0</v>
      </c>
      <c r="AT43" s="494">
        <f t="shared" si="37"/>
        <v>0</v>
      </c>
      <c r="AU43" s="494">
        <f t="shared" si="37"/>
        <v>0</v>
      </c>
      <c r="AV43" s="494">
        <f t="shared" si="37"/>
        <v>0</v>
      </c>
    </row>
    <row r="44" spans="1:48" ht="15.6" x14ac:dyDescent="0.3">
      <c r="B44" s="583" t="s">
        <v>249</v>
      </c>
      <c r="C44" s="584"/>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3" t="s">
        <v>407</v>
      </c>
      <c r="Y44" s="13" t="s">
        <v>451</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85"/>
      <c r="C45" s="586"/>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4" t="s">
        <v>408</v>
      </c>
      <c r="Y45" s="14" t="s">
        <v>452</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31+30+31</f>
        <v>92</v>
      </c>
      <c r="E46" s="274">
        <f>31+28+31</f>
        <v>90</v>
      </c>
      <c r="F46" s="274">
        <f>30+31+30</f>
        <v>91</v>
      </c>
      <c r="G46" s="274">
        <f>31+31+30</f>
        <v>92</v>
      </c>
      <c r="H46" s="122"/>
      <c r="I46" s="274">
        <f>31+30+31</f>
        <v>92</v>
      </c>
      <c r="J46" s="274">
        <f>31+29+31</f>
        <v>91</v>
      </c>
      <c r="K46" s="274">
        <f>30+31+30</f>
        <v>91</v>
      </c>
      <c r="L46" s="274">
        <f>31+31+30</f>
        <v>92</v>
      </c>
      <c r="M46" s="122"/>
      <c r="N46" s="274">
        <f>31+30+31</f>
        <v>92</v>
      </c>
      <c r="O46" s="274">
        <f>31+28+31</f>
        <v>90</v>
      </c>
      <c r="P46" s="274">
        <f>30+31+30</f>
        <v>91</v>
      </c>
      <c r="Q46" s="274">
        <f>31+31+30</f>
        <v>92</v>
      </c>
      <c r="R46" s="122"/>
      <c r="S46" s="274">
        <f>31+30+31</f>
        <v>92</v>
      </c>
      <c r="T46" s="274">
        <f>31+28+31</f>
        <v>90</v>
      </c>
      <c r="U46" s="274">
        <f>30+31+30</f>
        <v>91</v>
      </c>
      <c r="V46" s="274">
        <f>31+31+30</f>
        <v>92</v>
      </c>
      <c r="W46" s="122"/>
      <c r="X46" s="274">
        <f>31+30+31</f>
        <v>92</v>
      </c>
      <c r="Y46" s="274">
        <f>31+28+31</f>
        <v>90</v>
      </c>
      <c r="Z46" s="274">
        <f>30+31+30</f>
        <v>91</v>
      </c>
      <c r="AA46" s="274">
        <f>31+31+30</f>
        <v>92</v>
      </c>
      <c r="AB46" s="122"/>
      <c r="AC46" s="274">
        <f>31+30+31</f>
        <v>92</v>
      </c>
      <c r="AD46" s="274">
        <f>31+29+31</f>
        <v>91</v>
      </c>
      <c r="AE46" s="274">
        <f>30+31+30</f>
        <v>91</v>
      </c>
      <c r="AF46" s="274">
        <f>31+31+30</f>
        <v>92</v>
      </c>
      <c r="AG46" s="122"/>
      <c r="AH46" s="274">
        <f>31+30+31</f>
        <v>92</v>
      </c>
      <c r="AI46" s="274">
        <f>31+28+31</f>
        <v>90</v>
      </c>
      <c r="AJ46" s="274">
        <f>30+31+30</f>
        <v>91</v>
      </c>
      <c r="AK46" s="274">
        <f>31+31+30</f>
        <v>92</v>
      </c>
      <c r="AL46" s="122"/>
      <c r="AM46" s="274">
        <f>31+30+31</f>
        <v>92</v>
      </c>
      <c r="AN46" s="274">
        <f>31+28+31</f>
        <v>90</v>
      </c>
      <c r="AO46" s="274">
        <f>30+31+30</f>
        <v>91</v>
      </c>
      <c r="AP46" s="274">
        <f>31+31+30</f>
        <v>92</v>
      </c>
      <c r="AQ46" s="122"/>
      <c r="AR46" s="274">
        <f>31+30+31</f>
        <v>92</v>
      </c>
      <c r="AS46" s="274">
        <f>31+28+31</f>
        <v>90</v>
      </c>
      <c r="AT46" s="274">
        <f>30+31+30</f>
        <v>91</v>
      </c>
      <c r="AU46" s="274">
        <f>31+31+30</f>
        <v>92</v>
      </c>
      <c r="AV46" s="122"/>
    </row>
    <row r="47" spans="1:48" outlineLevel="1" x14ac:dyDescent="0.3">
      <c r="B47" s="580" t="s">
        <v>251</v>
      </c>
      <c r="C47" s="581"/>
      <c r="D47" s="276">
        <f>'IS (Adjusted)'!D8/'BS (Adjusted)'!D8</f>
        <v>9.1942057111172737</v>
      </c>
      <c r="E47" s="276">
        <f>'IS (Adjusted)'!E8/'BS (Adjusted)'!E8</f>
        <v>8.9623365548607161</v>
      </c>
      <c r="F47" s="276">
        <f>'IS (Adjusted)'!F8/'BS (Adjusted)'!F8</f>
        <v>8.6301543131798635</v>
      </c>
      <c r="G47" s="276">
        <f>'IS (Adjusted)'!G8/'BS (Adjusted)'!G8</f>
        <v>7.6757679180887379</v>
      </c>
      <c r="H47" s="126"/>
      <c r="I47" s="276">
        <f>'IS (Adjusted)'!I8/'BS (Adjusted)'!I8</f>
        <v>7.8153287082920375</v>
      </c>
      <c r="J47" s="276">
        <f>'IS (Adjusted)'!J8/'BS (Adjusted)'!J8</f>
        <v>6.3716259298618487</v>
      </c>
      <c r="K47" s="276">
        <f>'IS (Adjusted)'!K8/'BS (Adjusted)'!K8</f>
        <v>4.7918510952218822</v>
      </c>
      <c r="L47" s="276">
        <f>'IS (Adjusted)'!L8/'BS (Adjusted)'!L8</f>
        <v>7.0218474077428121</v>
      </c>
      <c r="M47" s="31"/>
      <c r="N47" s="276">
        <f>'IS (Adjusted)'!N8/'BS (Adjusted)'!N8</f>
        <v>7.6006756756756761</v>
      </c>
      <c r="O47" s="276">
        <f>'IS (Adjusted)'!O8/'BS (Adjusted)'!O8</f>
        <v>7.5755510111338324</v>
      </c>
      <c r="P47" s="276">
        <f>'IS (Adjusted)'!P8/'BS (Adjusted)'!P8</f>
        <v>8.2270632133450388</v>
      </c>
      <c r="Q47" s="276">
        <f>'IS (Adjusted)'!Q8/'BS (Adjusted)'!Q8</f>
        <v>8.6667021276595744</v>
      </c>
      <c r="R47" s="31"/>
      <c r="S47" s="276">
        <f>'IS (Adjusted)'!S8/'BS (Adjusted)'!S8</f>
        <v>7.8075841334497138</v>
      </c>
      <c r="T47" s="276">
        <f>'IS (Adjusted)'!T8/'BS (Adjusted)'!T8</f>
        <v>7.6211198722427387</v>
      </c>
      <c r="U47" s="276">
        <f>'IS (Adjusted)'!U8/'BS (Adjusted)'!U8</f>
        <v>7.1111595846784761</v>
      </c>
      <c r="V47" s="276">
        <f>'IS (Adjusted)'!V8/'BS (Adjusted)'!V8</f>
        <v>7.1579753296469582</v>
      </c>
      <c r="W47" s="126"/>
      <c r="X47" s="276">
        <f>'IS (Adjusted)'!X8/'BS (Adjusted)'!X8</f>
        <v>7.4932496345343527</v>
      </c>
      <c r="Y47" s="276">
        <f>'IS (Adjusted)'!Y8/'BS (Adjusted)'!Y8</f>
        <v>7.3535166132568728</v>
      </c>
      <c r="Z47" s="277">
        <f t="shared" ref="Z47:AA47" si="38">AVERAGE(U47,P47,K47)</f>
        <v>6.7100246310817999</v>
      </c>
      <c r="AA47" s="277">
        <f t="shared" si="38"/>
        <v>7.6155082883497807</v>
      </c>
      <c r="AB47" s="278"/>
      <c r="AC47" s="277">
        <f t="shared" ref="AC47:AF47" si="39">AVERAGE(X47,S47,N47)</f>
        <v>7.6338364812199133</v>
      </c>
      <c r="AD47" s="277">
        <f t="shared" si="39"/>
        <v>7.5167291655444819</v>
      </c>
      <c r="AE47" s="277">
        <f t="shared" si="39"/>
        <v>7.3494158097017719</v>
      </c>
      <c r="AF47" s="277">
        <f t="shared" si="39"/>
        <v>7.813395248552105</v>
      </c>
      <c r="AG47" s="278"/>
      <c r="AH47" s="277">
        <f t="shared" ref="AH47:AK47" si="40">AVERAGE(AC47,X47,S47)</f>
        <v>7.6448900830679944</v>
      </c>
      <c r="AI47" s="277">
        <f t="shared" si="40"/>
        <v>7.4971218836813636</v>
      </c>
      <c r="AJ47" s="277">
        <f t="shared" si="40"/>
        <v>7.0568666751540157</v>
      </c>
      <c r="AK47" s="277">
        <f t="shared" si="40"/>
        <v>7.5289596221829482</v>
      </c>
      <c r="AL47" s="278"/>
      <c r="AM47" s="277">
        <f t="shared" ref="AM47:AP47" si="41">AVERAGE(AH47,AC47,X47)</f>
        <v>7.5906587329407529</v>
      </c>
      <c r="AN47" s="277">
        <f t="shared" si="41"/>
        <v>7.4557892208275724</v>
      </c>
      <c r="AO47" s="277">
        <f t="shared" si="41"/>
        <v>7.0387690386458628</v>
      </c>
      <c r="AP47" s="277">
        <f t="shared" si="41"/>
        <v>7.6526210530282777</v>
      </c>
      <c r="AQ47" s="278"/>
      <c r="AR47" s="277">
        <f t="shared" ref="AR47:AU47" si="42">AVERAGE(AM47,AH47,AC47)</f>
        <v>7.6231284324095538</v>
      </c>
      <c r="AS47" s="277">
        <f t="shared" si="42"/>
        <v>7.489880090017806</v>
      </c>
      <c r="AT47" s="277">
        <f t="shared" si="42"/>
        <v>7.1483505078338831</v>
      </c>
      <c r="AU47" s="277">
        <f t="shared" si="42"/>
        <v>7.6649919745877773</v>
      </c>
      <c r="AV47" s="278"/>
    </row>
    <row r="48" spans="1:48" s="23" customFormat="1" outlineLevel="1" x14ac:dyDescent="0.3">
      <c r="B48" s="607" t="s">
        <v>252</v>
      </c>
      <c r="C48" s="608"/>
      <c r="D48" s="279">
        <f>D46/D47</f>
        <v>10.00630210924661</v>
      </c>
      <c r="E48" s="279">
        <f>E46/E47</f>
        <v>10.042024136126486</v>
      </c>
      <c r="F48" s="274">
        <f>F46/F47</f>
        <v>10.544423274219552</v>
      </c>
      <c r="G48" s="274">
        <f>G46/G47</f>
        <v>11.985771453979545</v>
      </c>
      <c r="H48" s="126"/>
      <c r="I48" s="274">
        <f>I46/I47</f>
        <v>11.771737752039567</v>
      </c>
      <c r="J48" s="274">
        <f>J46/J47</f>
        <v>14.28206881598479</v>
      </c>
      <c r="K48" s="274">
        <f>K46/K47</f>
        <v>18.990573411335589</v>
      </c>
      <c r="L48" s="279">
        <f>L46/L47</f>
        <v>13.101965146459028</v>
      </c>
      <c r="M48" s="31"/>
      <c r="N48" s="279">
        <f>N46/N47</f>
        <v>12.104187038847897</v>
      </c>
      <c r="O48" s="279">
        <f>O46/O47</f>
        <v>11.880323935212958</v>
      </c>
      <c r="P48" s="279">
        <f>P46/P47</f>
        <v>11.061055159074236</v>
      </c>
      <c r="Q48" s="279">
        <f>Q46/Q47</f>
        <v>10.615341181091731</v>
      </c>
      <c r="R48" s="31"/>
      <c r="S48" s="279">
        <f>S46/S47</f>
        <v>11.783414488721057</v>
      </c>
      <c r="T48" s="279">
        <f>T46/T47</f>
        <v>11.809288071664309</v>
      </c>
      <c r="U48" s="279">
        <f>U46/U47</f>
        <v>12.79678776947522</v>
      </c>
      <c r="V48" s="279">
        <f>V46/V47</f>
        <v>12.852796463121866</v>
      </c>
      <c r="W48" s="126"/>
      <c r="X48" s="279">
        <f>X46/X47</f>
        <v>12.277717210433906</v>
      </c>
      <c r="Y48" s="279">
        <f>Y46/Y47</f>
        <v>12.239042179866511</v>
      </c>
      <c r="Z48" s="279">
        <f>Z46/Z47</f>
        <v>13.561798205400752</v>
      </c>
      <c r="AA48" s="279">
        <f>AA46/AA47</f>
        <v>12.080611893068488</v>
      </c>
      <c r="AB48" s="31"/>
      <c r="AC48" s="279">
        <f>AC46/AC47</f>
        <v>12.051607370203728</v>
      </c>
      <c r="AD48" s="279">
        <f>AD46/AD47</f>
        <v>12.106329494633098</v>
      </c>
      <c r="AE48" s="279">
        <f>AE46/AE47</f>
        <v>12.381936517984638</v>
      </c>
      <c r="AF48" s="279">
        <f>AF46/AF47</f>
        <v>11.774650721406735</v>
      </c>
      <c r="AG48" s="31"/>
      <c r="AH48" s="279">
        <f>AH46/AH47</f>
        <v>12.034182179252365</v>
      </c>
      <c r="AI48" s="279">
        <f>AI46/AI47</f>
        <v>12.004606753946312</v>
      </c>
      <c r="AJ48" s="279">
        <f>AJ46/AJ47</f>
        <v>12.89524149866611</v>
      </c>
      <c r="AK48" s="279">
        <f>AK46/AK47</f>
        <v>12.219483782186296</v>
      </c>
      <c r="AL48" s="31"/>
      <c r="AM48" s="279">
        <f>AM46/AM47</f>
        <v>12.120160217551712</v>
      </c>
      <c r="AN48" s="279">
        <f>AN46/AN47</f>
        <v>12.071156699090569</v>
      </c>
      <c r="AO48" s="279">
        <f>AO46/AO47</f>
        <v>12.928396925708309</v>
      </c>
      <c r="AP48" s="279">
        <f>AP46/AP47</f>
        <v>12.022024788956978</v>
      </c>
      <c r="AQ48" s="31"/>
      <c r="AR48" s="279">
        <f>AR46/AR47</f>
        <v>12.068536010604797</v>
      </c>
      <c r="AS48" s="279">
        <f>AS46/AS47</f>
        <v>12.016213733507987</v>
      </c>
      <c r="AT48" s="279">
        <f>AT46/AT47</f>
        <v>12.730209563769016</v>
      </c>
      <c r="AU48" s="279">
        <f>AU46/AU47</f>
        <v>12.002621829874487</v>
      </c>
      <c r="AV48" s="31"/>
    </row>
    <row r="49" spans="2:48" outlineLevel="1" x14ac:dyDescent="0.3">
      <c r="B49" s="580" t="s">
        <v>253</v>
      </c>
      <c r="C49" s="581"/>
      <c r="D49" s="276">
        <f>'IS (Adjusted)'!D9/'BS (Adjusted)'!D9</f>
        <v>1.6062306215857083</v>
      </c>
      <c r="E49" s="276">
        <f>'IS (Adjusted)'!E9/'BS (Adjusted)'!E9</f>
        <v>1.3943173943173943</v>
      </c>
      <c r="F49" s="276">
        <f>'IS (Adjusted)'!F9/'BS (Adjusted)'!F9</f>
        <v>1.4497759029791721</v>
      </c>
      <c r="G49" s="276">
        <f>'IS (Adjusted)'!G9/'BS (Adjusted)'!G9</f>
        <v>1.3989146070354381</v>
      </c>
      <c r="H49" s="126"/>
      <c r="I49" s="276">
        <f>'IS (Adjusted)'!I9/'BS (Adjusted)'!I9</f>
        <v>1.5875630013487614</v>
      </c>
      <c r="J49" s="276">
        <f>'IS (Adjusted)'!J9/'BS (Adjusted)'!J9</f>
        <v>1.3387615601125855</v>
      </c>
      <c r="K49" s="276">
        <f>'IS (Adjusted)'!K9/'BS (Adjusted)'!K9</f>
        <v>0.93698699330723578</v>
      </c>
      <c r="L49" s="276">
        <f>'IS (Adjusted)'!L9/'BS (Adjusted)'!L9</f>
        <v>1.2742039448240299</v>
      </c>
      <c r="M49" s="31"/>
      <c r="N49" s="276">
        <f>'IS (Adjusted)'!N9/'BS (Adjusted)'!N9</f>
        <v>1.3925246347264695</v>
      </c>
      <c r="O49" s="276">
        <f>'IS (Adjusted)'!O9/'BS (Adjusted)'!O9</f>
        <v>1.3250864591646716</v>
      </c>
      <c r="P49" s="276">
        <f>'IS (Adjusted)'!P9/'BS (Adjusted)'!P9</f>
        <v>1.4248805063945227</v>
      </c>
      <c r="Q49" s="276">
        <f>'IS (Adjusted)'!Q9/'BS (Adjusted)'!Q9</f>
        <v>1.5531516927489244</v>
      </c>
      <c r="R49" s="31"/>
      <c r="S49" s="276">
        <f>'IS (Adjusted)'!S9/'BS (Adjusted)'!S9</f>
        <v>1.5435220817298883</v>
      </c>
      <c r="T49" s="276">
        <f>'IS (Adjusted)'!T9/'BS (Adjusted)'!T9</f>
        <v>1.2842708333333335</v>
      </c>
      <c r="U49" s="276">
        <f>'IS (Adjusted)'!U9/'BS (Adjusted)'!U9</f>
        <v>1.2253739040742651</v>
      </c>
      <c r="V49" s="276">
        <f>'IS (Adjusted)'!V9/'BS (Adjusted)'!V9</f>
        <v>1.2455205366167417</v>
      </c>
      <c r="W49" s="126"/>
      <c r="X49" s="276">
        <f>'IS (Adjusted)'!X9/'BS (Adjusted)'!X9</f>
        <v>1.3458167712274316</v>
      </c>
      <c r="Y49" s="276">
        <f>'IS (Adjusted)'!Y9/'BS (Adjusted)'!Y9</f>
        <v>1.4004298710386884</v>
      </c>
      <c r="Z49" s="277">
        <f t="shared" ref="Z49:AA49" si="43">AVERAGE(U49,P49,K49)</f>
        <v>1.1957471345920079</v>
      </c>
      <c r="AA49" s="277">
        <f t="shared" si="43"/>
        <v>1.3576253913965652</v>
      </c>
      <c r="AB49" s="278"/>
      <c r="AC49" s="277">
        <f t="shared" ref="AC49:AF49" si="44">AVERAGE(X49,S49,N49)</f>
        <v>1.4272878292279298</v>
      </c>
      <c r="AD49" s="277">
        <f t="shared" si="44"/>
        <v>1.3365957211788979</v>
      </c>
      <c r="AE49" s="277">
        <f t="shared" si="44"/>
        <v>1.2820005150202654</v>
      </c>
      <c r="AF49" s="277">
        <f t="shared" si="44"/>
        <v>1.385432540254077</v>
      </c>
      <c r="AG49" s="278"/>
      <c r="AH49" s="277">
        <f t="shared" ref="AH49:AK49" si="45">AVERAGE(AC49,X49,S49)</f>
        <v>1.4388755607284167</v>
      </c>
      <c r="AI49" s="277">
        <f t="shared" si="45"/>
        <v>1.3404321418503065</v>
      </c>
      <c r="AJ49" s="277">
        <f t="shared" si="45"/>
        <v>1.234373851228846</v>
      </c>
      <c r="AK49" s="277">
        <f t="shared" si="45"/>
        <v>1.3295261560891281</v>
      </c>
      <c r="AL49" s="278"/>
      <c r="AM49" s="277">
        <f t="shared" ref="AM49:AP49" si="46">AVERAGE(AH49,AC49,X49)</f>
        <v>1.4039933870612593</v>
      </c>
      <c r="AN49" s="277">
        <f t="shared" si="46"/>
        <v>1.3591525780226308</v>
      </c>
      <c r="AO49" s="277">
        <f t="shared" si="46"/>
        <v>1.2373738336137066</v>
      </c>
      <c r="AP49" s="277">
        <f t="shared" si="46"/>
        <v>1.3575280292465901</v>
      </c>
      <c r="AQ49" s="278"/>
      <c r="AR49" s="277">
        <f t="shared" ref="AR49:AU49" si="47">AVERAGE(AM49,AH49,AC49)</f>
        <v>1.423385592339202</v>
      </c>
      <c r="AS49" s="277">
        <f t="shared" si="47"/>
        <v>1.3453934803506116</v>
      </c>
      <c r="AT49" s="277">
        <f t="shared" si="47"/>
        <v>1.2512493999542726</v>
      </c>
      <c r="AU49" s="277">
        <f t="shared" si="47"/>
        <v>1.3574955751965982</v>
      </c>
      <c r="AV49" s="278"/>
    </row>
    <row r="50" spans="2:48" s="23" customFormat="1" outlineLevel="1" x14ac:dyDescent="0.3">
      <c r="B50" s="607" t="s">
        <v>252</v>
      </c>
      <c r="C50" s="608"/>
      <c r="D50" s="279">
        <f>D46/D49</f>
        <v>57.276955602536987</v>
      </c>
      <c r="E50" s="279">
        <f>E46/E49</f>
        <v>64.547713717693838</v>
      </c>
      <c r="F50" s="274">
        <f>F46/F49</f>
        <v>62.768321513002363</v>
      </c>
      <c r="G50" s="274">
        <f>G46/G49</f>
        <v>65.765272259873825</v>
      </c>
      <c r="H50" s="126"/>
      <c r="I50" s="274">
        <f>I46/I49</f>
        <v>57.950456090144868</v>
      </c>
      <c r="J50" s="274">
        <f>J46/J49</f>
        <v>67.973269259648589</v>
      </c>
      <c r="K50" s="274">
        <f>K46/K49</f>
        <v>97.119811320754721</v>
      </c>
      <c r="L50" s="279">
        <f>L46/L49</f>
        <v>72.201942533387296</v>
      </c>
      <c r="M50" s="31"/>
      <c r="N50" s="279">
        <f>N46/N49</f>
        <v>66.067053828510083</v>
      </c>
      <c r="O50" s="279">
        <f>O46/O49</f>
        <v>67.920096366191515</v>
      </c>
      <c r="P50" s="279">
        <f>P46/P49</f>
        <v>63.865004533091565</v>
      </c>
      <c r="Q50" s="279">
        <f>Q46/Q49</f>
        <v>59.234394444221429</v>
      </c>
      <c r="R50" s="31"/>
      <c r="S50" s="279">
        <f>S46/S49</f>
        <v>59.603941588507659</v>
      </c>
      <c r="T50" s="279">
        <f>T46/T49</f>
        <v>70.078676291670035</v>
      </c>
      <c r="U50" s="279">
        <f>U46/U49</f>
        <v>74.263047138047142</v>
      </c>
      <c r="V50" s="279">
        <f>V46/V49</f>
        <v>73.864699372925116</v>
      </c>
      <c r="W50" s="126"/>
      <c r="X50" s="279">
        <f>X46/X49</f>
        <v>68.359974379047756</v>
      </c>
      <c r="Y50" s="279">
        <f>Y46/Y49</f>
        <v>64.26598136845486</v>
      </c>
      <c r="Z50" s="279">
        <f>Z46/Z49</f>
        <v>76.103046678886201</v>
      </c>
      <c r="AA50" s="279">
        <f>AA46/AA49</f>
        <v>67.765379598094597</v>
      </c>
      <c r="AB50" s="31"/>
      <c r="AC50" s="279">
        <f>AC46/AC49</f>
        <v>64.457916697689512</v>
      </c>
      <c r="AD50" s="279">
        <f>AD46/AD49</f>
        <v>68.083414122960534</v>
      </c>
      <c r="AE50" s="279">
        <f>AE46/AE49</f>
        <v>70.982810797514773</v>
      </c>
      <c r="AF50" s="279">
        <f>AF46/AF49</f>
        <v>66.405254190960434</v>
      </c>
      <c r="AG50" s="31"/>
      <c r="AH50" s="279">
        <f>AH46/AH49</f>
        <v>63.938816191600267</v>
      </c>
      <c r="AI50" s="279">
        <f>AI46/AI49</f>
        <v>67.142526048178581</v>
      </c>
      <c r="AJ50" s="279">
        <f>AJ46/AJ49</f>
        <v>73.721587596340868</v>
      </c>
      <c r="AK50" s="279">
        <f>AK46/AK49</f>
        <v>69.19758560495184</v>
      </c>
      <c r="AL50" s="31"/>
      <c r="AM50" s="279">
        <f>AM46/AM49</f>
        <v>65.527374165606261</v>
      </c>
      <c r="AN50" s="279">
        <f>AN46/AN49</f>
        <v>66.217731147548506</v>
      </c>
      <c r="AO50" s="279">
        <f>AO46/AO49</f>
        <v>73.542851422870086</v>
      </c>
      <c r="AP50" s="279">
        <f>AP46/AP49</f>
        <v>67.770239743085654</v>
      </c>
      <c r="AQ50" s="31"/>
      <c r="AR50" s="279">
        <f>AR46/AR49</f>
        <v>64.634629221451192</v>
      </c>
      <c r="AS50" s="279">
        <f>AS46/AS49</f>
        <v>66.894928000205454</v>
      </c>
      <c r="AT50" s="279">
        <f>AT46/AT49</f>
        <v>72.727307604163983</v>
      </c>
      <c r="AU50" s="279">
        <f>AU46/AU49</f>
        <v>67.771859946339916</v>
      </c>
      <c r="AV50" s="31"/>
    </row>
    <row r="51" spans="2:48" s="23" customFormat="1" outlineLevel="1" x14ac:dyDescent="0.3">
      <c r="B51" s="580" t="s">
        <v>254</v>
      </c>
      <c r="C51" s="581"/>
      <c r="D51" s="276">
        <f>'IS (Adjusted)'!D9/'BS (Adjusted)'!D22</f>
        <v>1.9771013175829171</v>
      </c>
      <c r="E51" s="276">
        <f>'IS (Adjusted)'!E9/'BS (Adjusted)'!E22</f>
        <v>1.8345946931704202</v>
      </c>
      <c r="F51" s="276">
        <f>'IS (Adjusted)'!F9/'BS (Adjusted)'!F22</f>
        <v>1.9203771608171816</v>
      </c>
      <c r="G51" s="276">
        <f>'IS (Adjusted)'!G9/'BS (Adjusted)'!G22</f>
        <v>1.7983525258468513</v>
      </c>
      <c r="H51" s="127"/>
      <c r="I51" s="276">
        <f>'IS (Adjusted)'!I9/'BS (Adjusted)'!I22</f>
        <v>2.0600589535740608</v>
      </c>
      <c r="J51" s="276">
        <f>'IS (Adjusted)'!J9/'BS (Adjusted)'!J22</f>
        <v>2.0023053021950488</v>
      </c>
      <c r="K51" s="276">
        <f>'IS (Adjusted)'!K9/'BS (Adjusted)'!K22</f>
        <v>1.7239776951672863</v>
      </c>
      <c r="L51" s="276">
        <f>'IS (Adjusted)'!L9/'BS (Adjusted)'!L22</f>
        <v>1.9809600160336707</v>
      </c>
      <c r="M51" s="280"/>
      <c r="N51" s="276">
        <f>'IS (Adjusted)'!N9/'BS (Adjusted)'!N22</f>
        <v>1.9504092899295642</v>
      </c>
      <c r="O51" s="276">
        <f>'IS (Adjusted)'!O9/'BS (Adjusted)'!O22</f>
        <v>1.9276315789473686</v>
      </c>
      <c r="P51" s="276">
        <f>'IS (Adjusted)'!P9/'BS (Adjusted)'!P22</f>
        <v>1.9574090505767525</v>
      </c>
      <c r="Q51" s="276">
        <f>'IS (Adjusted)'!Q9/'BS (Adjusted)'!Q22</f>
        <v>2.0560415978870914</v>
      </c>
      <c r="R51" s="280"/>
      <c r="S51" s="276">
        <f>'IS (Adjusted)'!S9/'BS (Adjusted)'!S22</f>
        <v>1.9597487203350394</v>
      </c>
      <c r="T51" s="276">
        <f>'IS (Adjusted)'!T9/'BS (Adjusted)'!T22</f>
        <v>1.8546822113576533</v>
      </c>
      <c r="U51" s="276">
        <f>'IS (Adjusted)'!U9/'BS (Adjusted)'!U22</f>
        <v>1.7543294401933145</v>
      </c>
      <c r="V51" s="276">
        <f>'IS (Adjusted)'!V9/'BS (Adjusted)'!V22</f>
        <v>1.8808103232967948</v>
      </c>
      <c r="W51" s="127"/>
      <c r="X51" s="276">
        <f>'IS (Adjusted)'!X9/'BS (Adjusted)'!X22</f>
        <v>2.0844088414181869</v>
      </c>
      <c r="Y51" s="276">
        <f>'IS (Adjusted)'!Y9/'BS (Adjusted)'!Y22</f>
        <v>1.953765690376569</v>
      </c>
      <c r="Z51" s="277">
        <f t="shared" ref="Z51:AA51" si="48">AVERAGE(U51,P51,K51)</f>
        <v>1.8119053953124509</v>
      </c>
      <c r="AA51" s="277">
        <f t="shared" si="48"/>
        <v>1.9726039790725192</v>
      </c>
      <c r="AB51" s="31"/>
      <c r="AC51" s="277">
        <f t="shared" ref="AC51:AF51" si="49">AVERAGE(X51,S51,N51)</f>
        <v>1.9981889505609303</v>
      </c>
      <c r="AD51" s="277">
        <f t="shared" si="49"/>
        <v>1.9120264935605302</v>
      </c>
      <c r="AE51" s="277">
        <f t="shared" si="49"/>
        <v>1.8412146286941729</v>
      </c>
      <c r="AF51" s="277">
        <f t="shared" si="49"/>
        <v>1.9698186334188019</v>
      </c>
      <c r="AG51" s="31"/>
      <c r="AH51" s="277">
        <f t="shared" ref="AH51:AK51" si="50">AVERAGE(AC51,X51,S51)</f>
        <v>2.0141155041047187</v>
      </c>
      <c r="AI51" s="277">
        <f t="shared" si="50"/>
        <v>1.9068247984315843</v>
      </c>
      <c r="AJ51" s="277">
        <f t="shared" si="50"/>
        <v>1.8024831547333129</v>
      </c>
      <c r="AK51" s="277">
        <f t="shared" si="50"/>
        <v>1.9410776452627054</v>
      </c>
      <c r="AL51" s="31"/>
      <c r="AM51" s="277">
        <f t="shared" ref="AM51:AP51" si="51">AVERAGE(AH51,AC51,X51)</f>
        <v>2.0322377653612786</v>
      </c>
      <c r="AN51" s="277">
        <f t="shared" si="51"/>
        <v>1.9242056607895612</v>
      </c>
      <c r="AO51" s="277">
        <f t="shared" si="51"/>
        <v>1.8185343929133122</v>
      </c>
      <c r="AP51" s="277">
        <f t="shared" si="51"/>
        <v>1.9611667525846757</v>
      </c>
      <c r="AQ51" s="31"/>
      <c r="AR51" s="277">
        <f t="shared" ref="AR51:AU51" si="52">AVERAGE(AM51,AH51,AC51)</f>
        <v>2.0148474066756425</v>
      </c>
      <c r="AS51" s="277">
        <f t="shared" si="52"/>
        <v>1.9143523175938919</v>
      </c>
      <c r="AT51" s="277">
        <f t="shared" si="52"/>
        <v>1.8207440587802661</v>
      </c>
      <c r="AU51" s="277">
        <f t="shared" si="52"/>
        <v>1.9573543437553944</v>
      </c>
      <c r="AV51" s="31"/>
    </row>
    <row r="52" spans="2:48" s="23" customFormat="1" outlineLevel="1" x14ac:dyDescent="0.3">
      <c r="B52" s="607" t="s">
        <v>255</v>
      </c>
      <c r="C52" s="608"/>
      <c r="D52" s="16">
        <f>D46/D51</f>
        <v>46.532769556025364</v>
      </c>
      <c r="E52" s="16">
        <f>E46/E51</f>
        <v>49.057157057654081</v>
      </c>
      <c r="F52" s="101">
        <f>F46/F51</f>
        <v>47.386524822695037</v>
      </c>
      <c r="G52" s="101">
        <f>G46/G51</f>
        <v>51.157934096751603</v>
      </c>
      <c r="H52" s="128"/>
      <c r="I52" s="101">
        <f>I46/I51</f>
        <v>44.658916115185114</v>
      </c>
      <c r="J52" s="101">
        <f>J46/J51</f>
        <v>45.447614756970509</v>
      </c>
      <c r="K52" s="101">
        <f>K46/K51</f>
        <v>52.784905660377355</v>
      </c>
      <c r="L52" s="16">
        <f>L46/L51</f>
        <v>46.44212869283691</v>
      </c>
      <c r="M52" s="28"/>
      <c r="N52" s="16">
        <f>N46/N51</f>
        <v>47.169586647796592</v>
      </c>
      <c r="O52" s="16">
        <f>O46/O51</f>
        <v>46.689419795221838</v>
      </c>
      <c r="P52" s="16">
        <f>P46/P51</f>
        <v>46.490027198549406</v>
      </c>
      <c r="Q52" s="16">
        <f>Q46/Q51</f>
        <v>44.74617638794107</v>
      </c>
      <c r="R52" s="28"/>
      <c r="S52" s="16">
        <f>S46/S51</f>
        <v>46.944794016383717</v>
      </c>
      <c r="T52" s="16">
        <f>T46/T51</f>
        <v>48.525833400924647</v>
      </c>
      <c r="U52" s="16">
        <f>U46/U51</f>
        <v>51.871671258034894</v>
      </c>
      <c r="V52" s="16">
        <f>V46/V51</f>
        <v>48.915086683880489</v>
      </c>
      <c r="W52" s="28"/>
      <c r="X52" s="16">
        <f>X46/X51</f>
        <v>44.137214433136435</v>
      </c>
      <c r="Y52" s="16">
        <f>Y46/Y51</f>
        <v>46.064889174429808</v>
      </c>
      <c r="Z52" s="16">
        <f>Z46/Z51</f>
        <v>50.223372718810005</v>
      </c>
      <c r="AA52" s="16">
        <f>AA46/AA51</f>
        <v>46.638859586634645</v>
      </c>
      <c r="AB52" s="28"/>
      <c r="AC52" s="16">
        <f>AC46/AC51</f>
        <v>46.041691890135723</v>
      </c>
      <c r="AD52" s="16">
        <f>AD46/AD51</f>
        <v>47.593482781999512</v>
      </c>
      <c r="AE52" s="16">
        <f>AE46/AE51</f>
        <v>49.423895824974551</v>
      </c>
      <c r="AF52" s="16">
        <f>AF46/AF51</f>
        <v>46.70480745748938</v>
      </c>
      <c r="AG52" s="28"/>
      <c r="AH52" s="16">
        <f>AH46/AH51</f>
        <v>45.677618692923133</v>
      </c>
      <c r="AI52" s="16">
        <f>AI46/AI51</f>
        <v>47.198882704917345</v>
      </c>
      <c r="AJ52" s="16">
        <f>AJ46/AJ51</f>
        <v>50.485908709345992</v>
      </c>
      <c r="AK52" s="16">
        <f>AK46/AK51</f>
        <v>47.396352343004146</v>
      </c>
      <c r="AL52" s="28"/>
      <c r="AM52" s="16">
        <f>AM46/AM51</f>
        <v>45.270293450946085</v>
      </c>
      <c r="AN52" s="16">
        <f>AN46/AN51</f>
        <v>46.772547152298785</v>
      </c>
      <c r="AO52" s="16">
        <f>AO46/AO51</f>
        <v>50.040296380766819</v>
      </c>
      <c r="AP52" s="16">
        <f>AP46/AP51</f>
        <v>46.910850328637615</v>
      </c>
      <c r="AQ52" s="28"/>
      <c r="AR52" s="16">
        <f>AR46/AR51</f>
        <v>45.661026088220531</v>
      </c>
      <c r="AS52" s="16">
        <f>AS46/AS51</f>
        <v>47.013289650422891</v>
      </c>
      <c r="AT52" s="16">
        <f>AT46/AT51</f>
        <v>49.979567178135831</v>
      </c>
      <c r="AU52" s="16">
        <f>AU46/AU51</f>
        <v>47.002220264057108</v>
      </c>
      <c r="AV52" s="28"/>
    </row>
    <row r="53" spans="2:48" s="23" customFormat="1" outlineLevel="1" x14ac:dyDescent="0.3">
      <c r="B53" s="580" t="s">
        <v>256</v>
      </c>
      <c r="C53" s="581"/>
      <c r="D53" s="30">
        <f t="shared" ref="D53:L53" si="53">(D12+D7)/D20</f>
        <v>2.4783172266068774E-2</v>
      </c>
      <c r="E53" s="30">
        <f t="shared" si="53"/>
        <v>1.862044337628033E-2</v>
      </c>
      <c r="F53" s="118">
        <f t="shared" si="53"/>
        <v>1.4104190097872643E-2</v>
      </c>
      <c r="G53" s="118">
        <f t="shared" si="53"/>
        <v>1.5114935950133718E-2</v>
      </c>
      <c r="H53" s="128">
        <f t="shared" si="53"/>
        <v>1.5114935950133718E-2</v>
      </c>
      <c r="I53" s="118">
        <f t="shared" si="53"/>
        <v>9.6713821566244626E-3</v>
      </c>
      <c r="J53" s="118">
        <f t="shared" si="53"/>
        <v>9.1597553031598795E-3</v>
      </c>
      <c r="K53" s="118">
        <f t="shared" si="53"/>
        <v>1.5555616562459249E-2</v>
      </c>
      <c r="L53" s="118">
        <f t="shared" si="53"/>
        <v>1.6589218539890038E-2</v>
      </c>
      <c r="M53" s="28"/>
      <c r="N53" s="118">
        <f>(N12+N7)/N20</f>
        <v>1.4228367975494099E-2</v>
      </c>
      <c r="O53" s="118">
        <f>(O12+O7)/O20</f>
        <v>1.4373528458035493E-2</v>
      </c>
      <c r="P53" s="118">
        <f>(P12+P7)/P20</f>
        <v>1.4910030939586384E-2</v>
      </c>
      <c r="Q53" s="118">
        <f>(Q12+Q7)/Q20</f>
        <v>1.4140275096678831E-2</v>
      </c>
      <c r="R53" s="28"/>
      <c r="S53" s="118">
        <f>(S12+S7)/S20</f>
        <v>1.3421701538813684E-2</v>
      </c>
      <c r="T53" s="118">
        <f>(T12+T7)/T20</f>
        <v>1.2669917130403319E-2</v>
      </c>
      <c r="U53" s="118">
        <f>(U12+U7)/U20</f>
        <v>1.3119668137035531E-2</v>
      </c>
      <c r="V53" s="118">
        <f>(V12+V7)/V20</f>
        <v>2.3003542030788138E-2</v>
      </c>
      <c r="W53" s="28"/>
      <c r="X53" s="118">
        <f>(X12+X7)/X20</f>
        <v>1.442171574178935E-2</v>
      </c>
      <c r="Y53" s="118">
        <f>(Y12+Y7)/Y20</f>
        <v>2.2042091796608741E-2</v>
      </c>
      <c r="Z53" s="34">
        <f>AVERAGE(U53,V53,X53,Y53)</f>
        <v>1.8146754426555438E-2</v>
      </c>
      <c r="AA53" s="34">
        <f>AVERAGE(V53,X53,Y53,Z53)</f>
        <v>1.9403525998935418E-2</v>
      </c>
      <c r="AB53" s="28"/>
      <c r="AC53" s="34">
        <f>AVERAGE(X53,Y53,Z53,AA53)</f>
        <v>1.8503521990972237E-2</v>
      </c>
      <c r="AD53" s="34">
        <f>AVERAGE(Y53,Z53,AA53,AC53)</f>
        <v>1.9523973553267959E-2</v>
      </c>
      <c r="AE53" s="34">
        <f>AVERAGE(Z53,AA53,AC53,AD53)</f>
        <v>1.8894443992432765E-2</v>
      </c>
      <c r="AF53" s="34">
        <f>AVERAGE(AA53,AC53,AD53,AE53)</f>
        <v>1.9081366383902093E-2</v>
      </c>
      <c r="AG53" s="28"/>
      <c r="AH53" s="34">
        <f>AVERAGE(AC53,AD53,AE53,AF53)</f>
        <v>1.9000826480143763E-2</v>
      </c>
      <c r="AI53" s="34">
        <f>AVERAGE(AD53,AE53,AF53,AH53)</f>
        <v>1.9125152602436645E-2</v>
      </c>
      <c r="AJ53" s="34">
        <f>AVERAGE(AE53,AF53,AH53,AI53)</f>
        <v>1.9025447364728817E-2</v>
      </c>
      <c r="AK53" s="34">
        <f>AVERAGE(AF53,AH53,AI53,AJ53)</f>
        <v>1.9058198207802829E-2</v>
      </c>
      <c r="AL53" s="28"/>
      <c r="AM53" s="34">
        <f>AVERAGE(AH53,AI53,AJ53,AK53)</f>
        <v>1.9052406163778013E-2</v>
      </c>
      <c r="AN53" s="34">
        <f>AVERAGE(AI53,AJ53,AK53,AM53)</f>
        <v>1.9065301084686577E-2</v>
      </c>
      <c r="AO53" s="34">
        <f>AVERAGE(AJ53,AK53,AM53,AN53)</f>
        <v>1.9050338205249061E-2</v>
      </c>
      <c r="AP53" s="34">
        <f>AVERAGE(AK53,AM53,AN53,AO53)</f>
        <v>1.905656091537912E-2</v>
      </c>
      <c r="AQ53" s="28"/>
      <c r="AR53" s="34">
        <f>AVERAGE(AM53,AN53,AO53,AP53)</f>
        <v>1.9056151592273193E-2</v>
      </c>
      <c r="AS53" s="34">
        <f>AVERAGE(AN53,AO53,AP53,AR53)</f>
        <v>1.9057087949396988E-2</v>
      </c>
      <c r="AT53" s="34">
        <f>AVERAGE(AO53,AP53,AR53,AS53)</f>
        <v>1.905503466557459E-2</v>
      </c>
      <c r="AU53" s="34">
        <f>AVERAGE(AP53,AR53,AS53,AT53)</f>
        <v>1.9056208780655975E-2</v>
      </c>
      <c r="AV53" s="28"/>
    </row>
    <row r="54" spans="2:48" s="23" customFormat="1" outlineLevel="1" x14ac:dyDescent="0.3">
      <c r="B54" s="180" t="s">
        <v>257</v>
      </c>
      <c r="C54" s="201"/>
      <c r="D54" s="30">
        <f t="shared" ref="D54:L54" si="54">D7/(D7+D12)</f>
        <v>0.4648626817447496</v>
      </c>
      <c r="E54" s="30">
        <f t="shared" si="54"/>
        <v>0.23318112633181123</v>
      </c>
      <c r="F54" s="118">
        <f t="shared" si="54"/>
        <v>0.24465558194774345</v>
      </c>
      <c r="G54" s="118">
        <f t="shared" si="54"/>
        <v>0.24268502581755594</v>
      </c>
      <c r="H54" s="128">
        <f t="shared" si="54"/>
        <v>0.24268502581755594</v>
      </c>
      <c r="I54" s="118">
        <f t="shared" si="54"/>
        <v>0.25503355704697983</v>
      </c>
      <c r="J54" s="118">
        <f t="shared" si="54"/>
        <v>0.21017083829956296</v>
      </c>
      <c r="K54" s="118">
        <f t="shared" si="54"/>
        <v>0.50716964482682547</v>
      </c>
      <c r="L54" s="118">
        <f t="shared" si="54"/>
        <v>0.57705725425815724</v>
      </c>
      <c r="M54" s="28"/>
      <c r="N54" s="118">
        <f>N7/(N7+N12)</f>
        <v>0.55229831144465291</v>
      </c>
      <c r="O54" s="118">
        <f>O7/(O7+O12)</f>
        <v>0.30161844041196662</v>
      </c>
      <c r="P54" s="118">
        <f>P7/(P7+P12)</f>
        <v>0.34948805460750854</v>
      </c>
      <c r="Q54" s="118">
        <f>Q7/(Q7+Q12)</f>
        <v>0.3653976120747916</v>
      </c>
      <c r="R54" s="28"/>
      <c r="S54" s="118">
        <f>S7/(S7+S12)</f>
        <v>0.22583979328165377</v>
      </c>
      <c r="T54" s="118">
        <f>T7/(T7+T12)</f>
        <v>0.22327984770193088</v>
      </c>
      <c r="U54" s="118">
        <f>U7/(U7+U12)</f>
        <v>0.20817541959935032</v>
      </c>
      <c r="V54" s="118">
        <f>V7/(V7+V12)</f>
        <v>0.5663455562461156</v>
      </c>
      <c r="W54" s="28"/>
      <c r="X54" s="118">
        <f>X7/(X7+X12)</f>
        <v>0.30404907975460121</v>
      </c>
      <c r="Y54" s="118">
        <f>Y7/(Y7+Y12)</f>
        <v>0.6016492229622582</v>
      </c>
      <c r="Z54" s="34">
        <f>AVERAGE(U54,V54,X54,Y54)</f>
        <v>0.42005481964058133</v>
      </c>
      <c r="AA54" s="34">
        <f>AVERAGE(V54,X54,Y54,Z54)</f>
        <v>0.47302466965088913</v>
      </c>
      <c r="AB54" s="28"/>
      <c r="AC54" s="34">
        <f>AVERAGE(X54,Y54,Z54,AA54)</f>
        <v>0.44969444800208247</v>
      </c>
      <c r="AD54" s="34">
        <f>AVERAGE(Y54,Z54,AA54,AC54)</f>
        <v>0.48610579006395283</v>
      </c>
      <c r="AE54" s="34">
        <f>AVERAGE(Z54,AA54,AC54,AD54)</f>
        <v>0.45721993183937637</v>
      </c>
      <c r="AF54" s="34">
        <f>AVERAGE(AA54,AC54,AD54,AE54)</f>
        <v>0.46651120988907518</v>
      </c>
      <c r="AG54" s="28"/>
      <c r="AH54" s="34">
        <f>AVERAGE(AC54,AD54,AE54,AF54)</f>
        <v>0.4648828449486217</v>
      </c>
      <c r="AI54" s="34">
        <f>AVERAGE(AD54,AE54,AF54,AH54)</f>
        <v>0.46867994418525655</v>
      </c>
      <c r="AJ54" s="34">
        <f>AVERAGE(AE54,AF54,AH54,AI54)</f>
        <v>0.46432348271558244</v>
      </c>
      <c r="AK54" s="34">
        <f>AVERAGE(AF54,AH54,AI54,AJ54)</f>
        <v>0.46609937043463395</v>
      </c>
      <c r="AL54" s="28"/>
      <c r="AM54" s="34">
        <f>AVERAGE(AH54,AI54,AJ54,AK54)</f>
        <v>0.46599641057102364</v>
      </c>
      <c r="AN54" s="34">
        <f>AVERAGE(AI54,AJ54,AK54,AM54)</f>
        <v>0.46627480197662413</v>
      </c>
      <c r="AO54" s="34">
        <f>AVERAGE(AJ54,AK54,AM54,AN54)</f>
        <v>0.46567351642446603</v>
      </c>
      <c r="AP54" s="34">
        <f>AVERAGE(AK54,AM54,AN54,AO54)</f>
        <v>0.46601102485168694</v>
      </c>
      <c r="AQ54" s="28"/>
      <c r="AR54" s="34">
        <f>AVERAGE(AM54,AN54,AO54,AP54)</f>
        <v>0.46598893845595019</v>
      </c>
      <c r="AS54" s="34">
        <f>AVERAGE(AN54,AO54,AP54,AR54)</f>
        <v>0.46598707042718179</v>
      </c>
      <c r="AT54" s="34">
        <f>AVERAGE(AO54,AP54,AR54,AS54)</f>
        <v>0.46591513753982122</v>
      </c>
      <c r="AU54" s="34">
        <f>AVERAGE(AP54,AR54,AS54,AT54)</f>
        <v>0.46597554281866005</v>
      </c>
      <c r="AV54" s="28"/>
    </row>
    <row r="55" spans="2:48" s="23" customFormat="1" outlineLevel="1" x14ac:dyDescent="0.3">
      <c r="B55" s="200" t="s">
        <v>258</v>
      </c>
      <c r="C55" s="201"/>
      <c r="D55" s="30">
        <f t="shared" ref="D55:L55" si="55">+D16/(D27+D33)</f>
        <v>7.7585075018799465E-2</v>
      </c>
      <c r="E55" s="30">
        <f t="shared" si="55"/>
        <v>0.12468259571674534</v>
      </c>
      <c r="F55" s="113">
        <f t="shared" si="55"/>
        <v>0.19119242713361023</v>
      </c>
      <c r="G55" s="113">
        <f t="shared" si="55"/>
        <v>0.22035590386103276</v>
      </c>
      <c r="H55" s="125">
        <f t="shared" si="55"/>
        <v>0.22035590386103276</v>
      </c>
      <c r="I55" s="281">
        <f t="shared" si="55"/>
        <v>0.20507171706404201</v>
      </c>
      <c r="J55" s="281">
        <f t="shared" si="55"/>
        <v>0.21050752296288999</v>
      </c>
      <c r="K55" s="113">
        <f t="shared" si="55"/>
        <v>0.2146584586535733</v>
      </c>
      <c r="L55" s="113">
        <f t="shared" si="55"/>
        <v>0.22220980757293607</v>
      </c>
      <c r="M55" s="282"/>
      <c r="N55" s="281">
        <f>+N16/(N27+N33)</f>
        <v>0.21164495979407008</v>
      </c>
      <c r="O55" s="281">
        <f>+O16/(O27+O33)</f>
        <v>0.21706605185058006</v>
      </c>
      <c r="P55" s="113">
        <f>+P16/(P27+P33)</f>
        <v>0.22796408734312845</v>
      </c>
      <c r="Q55" s="113">
        <f>+Q16/(Q27+Q33)</f>
        <v>0.23263143527192862</v>
      </c>
      <c r="R55" s="282"/>
      <c r="S55" s="281">
        <f>+S16/(S27+S33)</f>
        <v>0.21831564613072879</v>
      </c>
      <c r="T55" s="281">
        <f>+T16/(T27+T33)</f>
        <v>0.22164512770257855</v>
      </c>
      <c r="U55" s="281">
        <f>+U16/(U27+U33)</f>
        <v>0.21758667345241495</v>
      </c>
      <c r="V55" s="113">
        <f>+V16/(V27+V33)</f>
        <v>0.22718895172692385</v>
      </c>
      <c r="W55" s="282"/>
      <c r="X55" s="281">
        <f>+X16/(X27+X33)</f>
        <v>0.21568534082521842</v>
      </c>
      <c r="Y55" s="281">
        <f>+Y16/(Y27+Y33)</f>
        <v>0.22649791773489575</v>
      </c>
      <c r="Z55" s="35">
        <f>AVERAGE(U55,V55,X55,Y55)</f>
        <v>0.22173972093486322</v>
      </c>
      <c r="AA55" s="284">
        <f>AVERAGE(V55,X55,Y55,Z55)</f>
        <v>0.22277798280547534</v>
      </c>
      <c r="AB55" s="28"/>
      <c r="AC55" s="283">
        <f>AVERAGE(X55,Y55,Z55,AA55)</f>
        <v>0.2216752405751132</v>
      </c>
      <c r="AD55" s="283">
        <f>AVERAGE(Y55,Z55,AA55,AC55)</f>
        <v>0.22317271551258688</v>
      </c>
      <c r="AE55" s="35">
        <f>AVERAGE(Z55,AA55,AC55,AD55)</f>
        <v>0.22234141495700965</v>
      </c>
      <c r="AF55" s="284">
        <f>AVERAGE(AA55,AC55,AD55,AE55)</f>
        <v>0.22249183846254628</v>
      </c>
      <c r="AG55" s="28"/>
      <c r="AH55" s="283">
        <f>AVERAGE(AC55,AD55,AE55,AF55)</f>
        <v>0.22242030237681401</v>
      </c>
      <c r="AI55" s="283">
        <f>AVERAGE(AD55,AE55,AF55,AH55)</f>
        <v>0.2226065678272392</v>
      </c>
      <c r="AJ55" s="35">
        <f>AVERAGE(AE55,AF55,AH55,AI55)</f>
        <v>0.22246503090590228</v>
      </c>
      <c r="AK55" s="284">
        <f>AVERAGE(AF55,AH55,AI55,AJ55)</f>
        <v>0.22249593489312544</v>
      </c>
      <c r="AL55" s="28"/>
      <c r="AM55" s="283">
        <f>AVERAGE(AH55,AI55,AJ55,AK55)</f>
        <v>0.22249695900077024</v>
      </c>
      <c r="AN55" s="283">
        <f>AVERAGE(AI55,AJ55,AK55,AM55)</f>
        <v>0.22251612315675931</v>
      </c>
      <c r="AO55" s="35">
        <f>AVERAGE(AJ55,AK55,AM55,AN55)</f>
        <v>0.2224935119891393</v>
      </c>
      <c r="AP55" s="284">
        <f>AVERAGE(AK55,AM55,AN55,AO55)</f>
        <v>0.22250063225994859</v>
      </c>
      <c r="AQ55" s="28"/>
      <c r="AR55" s="283">
        <f>AVERAGE(AM55,AN55,AO55,AP55)</f>
        <v>0.22250180660165436</v>
      </c>
      <c r="AS55" s="283">
        <f>AVERAGE(AN55,AO55,AP55,AR55)</f>
        <v>0.22250301850187543</v>
      </c>
      <c r="AT55" s="35">
        <f>AVERAGE(AO55,AP55,AR55,AS55)</f>
        <v>0.22249974233815445</v>
      </c>
      <c r="AU55" s="284">
        <f>AVERAGE(AP55,AR55,AS55,AT55)</f>
        <v>0.22250129992540824</v>
      </c>
      <c r="AV55" s="28"/>
    </row>
    <row r="56" spans="2:48" outlineLevel="1" x14ac:dyDescent="0.3">
      <c r="B56" s="200" t="s">
        <v>259</v>
      </c>
      <c r="C56" s="201"/>
      <c r="D56" s="285"/>
      <c r="E56" s="285">
        <f>+'CFS (Adjusted)'!E7/((E14+D14)/2)</f>
        <v>6.122482504846076E-2</v>
      </c>
      <c r="F56" s="286">
        <f>+'CFS (Adjusted)'!F7/((F14+E14)/2)</f>
        <v>5.8442138063667992E-2</v>
      </c>
      <c r="G56" s="286">
        <f>+'CFS (Adjusted)'!G7/((G14+F14)/2)</f>
        <v>5.7957922263164152E-2</v>
      </c>
      <c r="H56" s="125">
        <f>+'CFS (Adjusted)'!H7/((H14+G14)/2)</f>
        <v>0.2253370026587061</v>
      </c>
      <c r="I56" s="287">
        <f>+'CFS (Adjusted)'!I7/((I14+G14)/2)</f>
        <v>5.75858250276855E-2</v>
      </c>
      <c r="J56" s="287">
        <f>+'CFS (Adjusted)'!J7/((J14+I14)/2)</f>
        <v>5.9117695395957084E-2</v>
      </c>
      <c r="K56" s="286">
        <f>+'CFS (Adjusted)'!K7/((K14+J14)/2)</f>
        <v>5.9467301657388859E-2</v>
      </c>
      <c r="L56" s="286">
        <f>+'CFS (Adjusted)'!L7/((L14+K14)/2)</f>
        <v>6.0492940894950963E-2</v>
      </c>
      <c r="M56" s="282"/>
      <c r="N56" s="287">
        <f>+'CFS (Adjusted)'!N7/((N14+L14)/2)</f>
        <v>6.2547808652661588E-2</v>
      </c>
      <c r="O56" s="287">
        <f>+'CFS (Adjusted)'!O7/((O14+N14)/2)</f>
        <v>6.251524266319812E-2</v>
      </c>
      <c r="P56" s="286">
        <f>+'CFS (Adjusted)'!P7/((P14+O14)/2)</f>
        <v>6.0825288199111989E-2</v>
      </c>
      <c r="Q56" s="286">
        <f>+'CFS (Adjusted)'!Q7/((Q14+P14)/2)</f>
        <v>6.0363072942040873E-2</v>
      </c>
      <c r="R56" s="282"/>
      <c r="S56" s="287">
        <f>+'CFS (Adjusted)'!S7/((S14+Q14)/2)</f>
        <v>6.052868611709418E-2</v>
      </c>
      <c r="T56" s="287">
        <f>+'CFS (Adjusted)'!T7/((T14+S14)/2)</f>
        <v>6.0861044576476821E-2</v>
      </c>
      <c r="U56" s="287">
        <f>+'CFS (Adjusted)'!U7/((U14+T14)/2)</f>
        <v>6.0812805967829661E-2</v>
      </c>
      <c r="V56" s="286">
        <f>+'CFS (Adjusted)'!V7/((V14+U14)/2)</f>
        <v>5.5579973320379075E-2</v>
      </c>
      <c r="W56" s="282"/>
      <c r="X56" s="287">
        <f>+'CFS (Adjusted)'!X7/((X14+V14)/2)</f>
        <v>5.165912518853695E-2</v>
      </c>
      <c r="Y56" s="287">
        <f>+'CFS (Adjusted)'!Y7/((Y14+W14)/2)</f>
        <v>5.4831789881232662E-2</v>
      </c>
      <c r="Z56" s="490">
        <v>5.5417863432800918E-2</v>
      </c>
      <c r="AA56" s="288">
        <v>5.4069127799043742E-2</v>
      </c>
      <c r="AB56" s="290"/>
      <c r="AC56" s="289">
        <v>5.3691416418709906E-2</v>
      </c>
      <c r="AD56" s="289">
        <v>5.4199489226253145E-2</v>
      </c>
      <c r="AE56" s="288">
        <f>AVERAGE(Z56,AA56,AC56,AD56)</f>
        <v>5.4344474219201931E-2</v>
      </c>
      <c r="AF56" s="288">
        <f>AVERAGE(AA56,AC56,AD56,AE56)</f>
        <v>5.4076126915802179E-2</v>
      </c>
      <c r="AG56" s="290"/>
      <c r="AH56" s="289">
        <f>AVERAGE(AC56,AD56,AE56,AF56)</f>
        <v>5.407787669499179E-2</v>
      </c>
      <c r="AI56" s="289">
        <f>AVERAGE(AD56,AE56,AF56,AH56)</f>
        <v>5.4174491764062263E-2</v>
      </c>
      <c r="AJ56" s="288">
        <f>AVERAGE(AE56,AF56,AH56,AI56)</f>
        <v>5.4168242398514546E-2</v>
      </c>
      <c r="AK56" s="288">
        <f>AVERAGE(AF56,AH56,AI56,AJ56)</f>
        <v>5.4124184443342688E-2</v>
      </c>
      <c r="AL56" s="290"/>
      <c r="AM56" s="289">
        <f>AVERAGE(AH56,AI56,AJ56,AK56)</f>
        <v>5.413619882522782E-2</v>
      </c>
      <c r="AN56" s="289">
        <f>AVERAGE(AI56,AJ56,AK56,AM56)</f>
        <v>5.4150779357786831E-2</v>
      </c>
      <c r="AO56" s="288">
        <f>AVERAGE(AJ56,AK56,AM56,AN56)</f>
        <v>5.4144851256217971E-2</v>
      </c>
      <c r="AP56" s="288">
        <f>AVERAGE(AK56,AM56,AN56,AO56)</f>
        <v>5.4139003470643834E-2</v>
      </c>
      <c r="AQ56" s="290"/>
      <c r="AR56" s="289">
        <f>AVERAGE(AM56,AN56,AO56,AP56)</f>
        <v>5.4142708227469111E-2</v>
      </c>
      <c r="AS56" s="289">
        <f>AVERAGE(AN56,AO56,AP56,AR56)</f>
        <v>5.4144335578029439E-2</v>
      </c>
      <c r="AT56" s="288">
        <f>AVERAGE(AO56,AP56,AR56,AS56)</f>
        <v>5.414272463309009E-2</v>
      </c>
      <c r="AU56" s="288">
        <f>AVERAGE(AP56,AR56,AS56,AT56)</f>
        <v>5.4142192977308115E-2</v>
      </c>
      <c r="AV56" s="290"/>
    </row>
    <row r="57" spans="2:48" outlineLevel="1" x14ac:dyDescent="0.3">
      <c r="B57" s="200"/>
      <c r="C57" s="201"/>
      <c r="D57" s="285"/>
      <c r="E57" s="285"/>
      <c r="F57" s="286"/>
      <c r="G57" s="286"/>
      <c r="H57" s="125"/>
      <c r="I57" s="287"/>
      <c r="J57" s="287"/>
      <c r="K57" s="286"/>
      <c r="L57" s="286"/>
      <c r="M57" s="282"/>
      <c r="N57" s="287"/>
      <c r="O57" s="287"/>
      <c r="P57" s="286"/>
      <c r="Q57" s="286"/>
      <c r="R57" s="282"/>
      <c r="S57" s="287"/>
      <c r="T57" s="287"/>
      <c r="U57" s="287"/>
      <c r="V57" s="286"/>
      <c r="W57" s="282"/>
      <c r="X57" s="287"/>
      <c r="Y57" s="287"/>
      <c r="Z57" s="288"/>
      <c r="AA57" s="288"/>
      <c r="AB57" s="290"/>
      <c r="AC57" s="289"/>
      <c r="AD57" s="289"/>
      <c r="AE57" s="288"/>
      <c r="AF57" s="288"/>
      <c r="AG57" s="290"/>
      <c r="AH57" s="289"/>
      <c r="AI57" s="289"/>
      <c r="AJ57" s="288"/>
      <c r="AK57" s="288"/>
      <c r="AL57" s="290"/>
      <c r="AM57" s="289"/>
      <c r="AN57" s="289"/>
      <c r="AO57" s="288"/>
      <c r="AP57" s="288"/>
      <c r="AQ57" s="290"/>
      <c r="AR57" s="289"/>
      <c r="AS57" s="289"/>
      <c r="AT57" s="288"/>
      <c r="AU57" s="288"/>
      <c r="AV57" s="290"/>
    </row>
    <row r="58" spans="2:48" s="296" customFormat="1" outlineLevel="1" x14ac:dyDescent="0.3">
      <c r="B58" s="291" t="s">
        <v>260</v>
      </c>
      <c r="C58" s="249"/>
      <c r="D58" s="292"/>
      <c r="E58" s="292"/>
      <c r="F58" s="293"/>
      <c r="G58" s="293"/>
      <c r="H58" s="294"/>
      <c r="I58" s="292"/>
      <c r="J58" s="292"/>
      <c r="K58" s="293"/>
      <c r="L58" s="293"/>
      <c r="M58" s="294"/>
      <c r="N58" s="292"/>
      <c r="O58" s="292"/>
      <c r="P58" s="293"/>
      <c r="Q58" s="293"/>
      <c r="R58" s="294"/>
      <c r="S58" s="292"/>
      <c r="T58" s="292"/>
      <c r="U58" s="292"/>
      <c r="V58" s="293"/>
      <c r="W58" s="294"/>
      <c r="X58" s="292"/>
      <c r="Y58" s="292"/>
      <c r="Z58" s="293"/>
      <c r="AA58" s="293"/>
      <c r="AB58" s="295"/>
      <c r="AC58" s="292"/>
      <c r="AD58" s="292"/>
      <c r="AE58" s="293"/>
      <c r="AF58" s="293"/>
      <c r="AG58" s="295"/>
      <c r="AH58" s="292"/>
      <c r="AI58" s="292"/>
      <c r="AJ58" s="293"/>
      <c r="AK58" s="293"/>
      <c r="AL58" s="295"/>
      <c r="AM58" s="292"/>
      <c r="AN58" s="292"/>
      <c r="AO58" s="293"/>
      <c r="AP58" s="293"/>
      <c r="AQ58" s="295"/>
      <c r="AR58" s="292"/>
      <c r="AS58" s="292"/>
      <c r="AT58" s="293"/>
      <c r="AU58" s="293"/>
      <c r="AV58" s="295"/>
    </row>
    <row r="59" spans="2:48" s="302" customFormat="1" outlineLevel="1" x14ac:dyDescent="0.3">
      <c r="B59" s="200" t="s">
        <v>261</v>
      </c>
      <c r="C59" s="297"/>
      <c r="D59" s="298"/>
      <c r="E59" s="298"/>
      <c r="F59" s="146"/>
      <c r="G59" s="146"/>
      <c r="H59" s="122"/>
      <c r="I59" s="299"/>
      <c r="J59" s="299"/>
      <c r="K59" s="146"/>
      <c r="L59" s="146"/>
      <c r="M59" s="26"/>
      <c r="N59" s="299"/>
      <c r="O59" s="299"/>
      <c r="P59" s="146"/>
      <c r="Q59" s="146"/>
      <c r="R59" s="26"/>
      <c r="S59" s="299"/>
      <c r="T59" s="299"/>
      <c r="U59" s="299"/>
      <c r="V59" s="146"/>
      <c r="W59" s="26"/>
      <c r="X59" s="299"/>
      <c r="Y59" s="299"/>
      <c r="Z59" s="300">
        <v>0</v>
      </c>
      <c r="AA59" s="300">
        <v>0</v>
      </c>
      <c r="AB59" s="6"/>
      <c r="AC59" s="301">
        <v>750</v>
      </c>
      <c r="AD59" s="301">
        <f>500+640.6</f>
        <v>1140.5999999999999</v>
      </c>
      <c r="AE59" s="300">
        <v>0</v>
      </c>
      <c r="AF59" s="300">
        <v>0</v>
      </c>
      <c r="AG59" s="6"/>
      <c r="AH59" s="301">
        <v>0</v>
      </c>
      <c r="AI59" s="301">
        <v>0</v>
      </c>
      <c r="AJ59" s="300">
        <v>0</v>
      </c>
      <c r="AK59" s="300">
        <v>1250</v>
      </c>
      <c r="AL59" s="6"/>
      <c r="AM59" s="301">
        <v>0</v>
      </c>
      <c r="AN59" s="301">
        <v>1000</v>
      </c>
      <c r="AO59" s="300">
        <v>500</v>
      </c>
      <c r="AP59" s="300">
        <v>0</v>
      </c>
      <c r="AQ59" s="6"/>
      <c r="AR59" s="301">
        <v>0</v>
      </c>
      <c r="AS59" s="301">
        <v>500</v>
      </c>
      <c r="AT59" s="300">
        <v>0</v>
      </c>
      <c r="AU59" s="300">
        <v>0</v>
      </c>
      <c r="AV59" s="6"/>
    </row>
    <row r="60" spans="2:48" s="302" customFormat="1" outlineLevel="1" x14ac:dyDescent="0.3">
      <c r="B60" s="200" t="s">
        <v>262</v>
      </c>
      <c r="C60" s="297"/>
      <c r="D60" s="298"/>
      <c r="E60" s="298"/>
      <c r="F60" s="146"/>
      <c r="G60" s="146"/>
      <c r="H60" s="122"/>
      <c r="I60" s="299"/>
      <c r="J60" s="299"/>
      <c r="K60" s="146"/>
      <c r="L60" s="146"/>
      <c r="M60" s="26"/>
      <c r="N60" s="299"/>
      <c r="O60" s="299"/>
      <c r="P60" s="146"/>
      <c r="Q60" s="146"/>
      <c r="R60" s="26"/>
      <c r="S60" s="299"/>
      <c r="T60" s="299"/>
      <c r="U60" s="299"/>
      <c r="V60" s="146"/>
      <c r="W60" s="26"/>
      <c r="X60" s="146"/>
      <c r="Y60" s="146"/>
      <c r="Z60" s="300">
        <f>AD59</f>
        <v>1140.5999999999999</v>
      </c>
      <c r="AA60" s="300">
        <f>AE59</f>
        <v>0</v>
      </c>
      <c r="AB60" s="6"/>
      <c r="AC60" s="300">
        <f>AF59</f>
        <v>0</v>
      </c>
      <c r="AD60" s="300">
        <f>AH59</f>
        <v>0</v>
      </c>
      <c r="AE60" s="300">
        <f>AI59</f>
        <v>0</v>
      </c>
      <c r="AF60" s="300">
        <f>AJ59</f>
        <v>0</v>
      </c>
      <c r="AG60" s="6"/>
      <c r="AH60" s="300">
        <f>AK59</f>
        <v>1250</v>
      </c>
      <c r="AI60" s="300">
        <f>AM59</f>
        <v>0</v>
      </c>
      <c r="AJ60" s="300">
        <f>AN59</f>
        <v>1000</v>
      </c>
      <c r="AK60" s="300">
        <f>AO59</f>
        <v>500</v>
      </c>
      <c r="AL60" s="6"/>
      <c r="AM60" s="300">
        <f>AP59</f>
        <v>0</v>
      </c>
      <c r="AN60" s="300">
        <f>AR59</f>
        <v>0</v>
      </c>
      <c r="AO60" s="300">
        <f>AS59</f>
        <v>500</v>
      </c>
      <c r="AP60" s="300">
        <f>AT59</f>
        <v>0</v>
      </c>
      <c r="AQ60" s="6"/>
      <c r="AR60" s="300">
        <f>AU60</f>
        <v>0</v>
      </c>
      <c r="AS60" s="300">
        <v>600</v>
      </c>
      <c r="AT60" s="300">
        <f t="shared" ref="AT60:AU60" si="56">AX60</f>
        <v>0</v>
      </c>
      <c r="AU60" s="300">
        <f t="shared" si="56"/>
        <v>0</v>
      </c>
      <c r="AV60" s="6"/>
    </row>
    <row r="61" spans="2:48" s="302" customFormat="1" outlineLevel="1" x14ac:dyDescent="0.3">
      <c r="B61" s="200" t="s">
        <v>263</v>
      </c>
      <c r="C61" s="297"/>
      <c r="D61" s="298"/>
      <c r="E61" s="298"/>
      <c r="F61" s="146"/>
      <c r="G61" s="146"/>
      <c r="H61" s="122"/>
      <c r="I61" s="299"/>
      <c r="J61" s="299"/>
      <c r="K61" s="146"/>
      <c r="L61" s="146"/>
      <c r="M61" s="26"/>
      <c r="N61" s="299"/>
      <c r="O61" s="299"/>
      <c r="P61" s="146"/>
      <c r="Q61" s="146"/>
      <c r="R61" s="26"/>
      <c r="S61" s="299"/>
      <c r="T61" s="299"/>
      <c r="U61" s="299"/>
      <c r="V61" s="146"/>
      <c r="W61" s="26"/>
      <c r="X61" s="299"/>
      <c r="Y61" s="299"/>
      <c r="Z61" s="300">
        <f>Z59</f>
        <v>0</v>
      </c>
      <c r="AA61" s="300">
        <f>AA59</f>
        <v>0</v>
      </c>
      <c r="AB61" s="6"/>
      <c r="AC61" s="301">
        <f>AC59</f>
        <v>750</v>
      </c>
      <c r="AD61" s="301">
        <f>AD59</f>
        <v>1140.5999999999999</v>
      </c>
      <c r="AE61" s="300">
        <v>0</v>
      </c>
      <c r="AF61" s="300"/>
      <c r="AG61" s="6"/>
      <c r="AH61" s="301"/>
      <c r="AI61" s="301"/>
      <c r="AJ61" s="575">
        <f>0.55*(SUM('IS (Adjusted)'!AH154:AK154))</f>
        <v>6260.9344886514818</v>
      </c>
      <c r="AK61" s="300">
        <f>AK59</f>
        <v>1250</v>
      </c>
      <c r="AL61" s="6"/>
      <c r="AM61" s="301">
        <v>0</v>
      </c>
      <c r="AN61" s="301">
        <v>0</v>
      </c>
      <c r="AO61" s="300">
        <f>AO59</f>
        <v>500</v>
      </c>
      <c r="AP61" s="300">
        <v>0</v>
      </c>
      <c r="AQ61" s="6"/>
      <c r="AR61" s="301">
        <v>0</v>
      </c>
      <c r="AS61" s="301">
        <f>AS59</f>
        <v>500</v>
      </c>
      <c r="AT61" s="300">
        <v>0</v>
      </c>
      <c r="AU61" s="300">
        <v>0</v>
      </c>
      <c r="AV61" s="6"/>
    </row>
    <row r="62" spans="2:48" s="23" customFormat="1" outlineLevel="1" x14ac:dyDescent="0.3">
      <c r="B62" s="200" t="s">
        <v>264</v>
      </c>
      <c r="C62" s="201"/>
      <c r="D62" s="179">
        <f>+(D28+D31)/D41</f>
        <v>-3.1717034875642636</v>
      </c>
      <c r="E62" s="179">
        <f>+(E28+E31)/E41</f>
        <v>-1.8304138862408643</v>
      </c>
      <c r="F62" s="303">
        <f>+(F28+F31)/F41</f>
        <v>-2.5837230840472332</v>
      </c>
      <c r="G62" s="303">
        <f>+(G28+G31)/G41</f>
        <v>-1.7921681913015568</v>
      </c>
      <c r="H62" s="128"/>
      <c r="I62" s="303">
        <f>+(I28+I31)/I41</f>
        <v>-1.7235726649997785</v>
      </c>
      <c r="J62" s="303">
        <f>+(J28+J31)/J41</f>
        <v>-1.8605318005017988</v>
      </c>
      <c r="K62" s="303">
        <f>+(K28+K31)/K41</f>
        <v>-1.9516598448569742</v>
      </c>
      <c r="L62" s="179">
        <f>+(L28+L31)/L41</f>
        <v>-2.0960971356771032</v>
      </c>
      <c r="M62" s="28"/>
      <c r="N62" s="179">
        <f>+(N28+N31)/N41</f>
        <v>-2.0136766194331983</v>
      </c>
      <c r="O62" s="179">
        <f>+(O28+O31)/O41</f>
        <v>-1.9152752899337104</v>
      </c>
      <c r="P62" s="179">
        <f>+(P28+P31)/P41</f>
        <v>-2.1515240716482933</v>
      </c>
      <c r="Q62" s="179">
        <f>+(Q28+Q31)/Q41</f>
        <v>-2.7501740521215541</v>
      </c>
      <c r="R62" s="28"/>
      <c r="S62" s="179">
        <f t="shared" ref="S62:AA62" si="57">+(S28+S31)/S41</f>
        <v>-1.7497130279398361</v>
      </c>
      <c r="T62" s="179">
        <f t="shared" si="57"/>
        <v>-1.8277176642469066</v>
      </c>
      <c r="U62" s="179">
        <f t="shared" si="57"/>
        <v>-1.7473235630391852</v>
      </c>
      <c r="V62" s="179">
        <f t="shared" si="57"/>
        <v>-1.7294423304631725</v>
      </c>
      <c r="W62" s="28">
        <f t="shared" si="57"/>
        <v>-1.7294423304631725</v>
      </c>
      <c r="X62" s="179">
        <f t="shared" si="57"/>
        <v>-1.7223831338926132</v>
      </c>
      <c r="Y62" s="179">
        <f t="shared" si="57"/>
        <v>-1.8220462620890887</v>
      </c>
      <c r="Z62" s="179">
        <f t="shared" si="57"/>
        <v>-1.9102043134078743</v>
      </c>
      <c r="AA62" s="179">
        <f t="shared" si="57"/>
        <v>-2.0259836083209417</v>
      </c>
      <c r="AB62" s="28"/>
      <c r="AC62" s="179">
        <f>+(AC28+AC31)/AC41</f>
        <v>-2.1379162404610108</v>
      </c>
      <c r="AD62" s="179">
        <f>+(AD28+AD31)/AD41</f>
        <v>-2.2582474866794122</v>
      </c>
      <c r="AE62" s="179">
        <f>+(AE28+AE31)/AE41</f>
        <v>-2.4475822774401053</v>
      </c>
      <c r="AF62" s="179">
        <f>+(AF28+AF31)/AF41</f>
        <v>-2.660506556996169</v>
      </c>
      <c r="AG62" s="28"/>
      <c r="AH62" s="179">
        <f>+(AH28+AH31)/AH41</f>
        <v>-2.9375724059464119</v>
      </c>
      <c r="AI62" s="179">
        <f>+(AI28+AI31)/AI41</f>
        <v>-3.2799096048152947</v>
      </c>
      <c r="AJ62" s="179">
        <f>+(AJ28+AJ31)/AJ41</f>
        <v>-2.3028244288754203</v>
      </c>
      <c r="AK62" s="179">
        <f>+(AK28+AK31)/AK41</f>
        <v>-1.5228010654854178</v>
      </c>
      <c r="AL62" s="28"/>
      <c r="AM62" s="179">
        <f>+(AM28+AM31)/AM41</f>
        <v>-1.574071906098744</v>
      </c>
      <c r="AN62" s="179">
        <f>+(AN28+AN31)/AN41</f>
        <v>-1.5538389598692022</v>
      </c>
      <c r="AO62" s="179">
        <f>+(AO28+AO31)/AO41</f>
        <v>-1.6430171864855594</v>
      </c>
      <c r="AP62" s="179">
        <f>+(AP28+AP31)/AP41</f>
        <v>-1.7354483228537119</v>
      </c>
      <c r="AQ62" s="28"/>
      <c r="AR62" s="179">
        <f>+(AR28+AR31)/AR41</f>
        <v>-1.8249931611951216</v>
      </c>
      <c r="AS62" s="179">
        <f>+(AS28+AS31)/AS41</f>
        <v>-1.9246226241215985</v>
      </c>
      <c r="AT62" s="179">
        <f>+(AT28+AT31)/AT41</f>
        <v>-2.0855270066615668</v>
      </c>
      <c r="AU62" s="179">
        <f>+(AU28+AU31)/AU41</f>
        <v>-2.2603515748738259</v>
      </c>
      <c r="AV62" s="28"/>
    </row>
    <row r="63" spans="2:48" s="23" customFormat="1" outlineLevel="1" x14ac:dyDescent="0.3">
      <c r="B63" s="200" t="s">
        <v>265</v>
      </c>
      <c r="C63" s="201"/>
      <c r="D63" s="179">
        <f>+D28/(D28+D31)</f>
        <v>0</v>
      </c>
      <c r="E63" s="179">
        <f>+E28/(E28+E31)</f>
        <v>8.1375793413985785E-3</v>
      </c>
      <c r="F63" s="303">
        <f>+F28/(F28+F31)</f>
        <v>0</v>
      </c>
      <c r="G63" s="303">
        <f>+G28/(G28+G31)</f>
        <v>0</v>
      </c>
      <c r="H63" s="128"/>
      <c r="I63" s="303">
        <f>+I28/(I28+I31)</f>
        <v>8.5546532987690757E-2</v>
      </c>
      <c r="J63" s="303">
        <f>+J28/(J28+J31)</f>
        <v>0.16813887778982817</v>
      </c>
      <c r="K63" s="303">
        <f>+K28/(K28+K31)</f>
        <v>0.12987992894360045</v>
      </c>
      <c r="L63" s="179">
        <f>+L28/(L28+L31)</f>
        <v>0.10329514383758555</v>
      </c>
      <c r="M63" s="28"/>
      <c r="N63" s="179">
        <f>+N28/(N28+N31)</f>
        <v>7.8071889470410452E-2</v>
      </c>
      <c r="O63" s="179">
        <f>+O28/(O28+O31)</f>
        <v>1.2492661414742708E-3</v>
      </c>
      <c r="P63" s="179">
        <f>+P28/(P28+P31)</f>
        <v>6.8333093904132544E-2</v>
      </c>
      <c r="Q63" s="179">
        <f>+Q28/(Q28+Q31)</f>
        <v>6.8343847069609609E-2</v>
      </c>
      <c r="R63" s="28"/>
      <c r="S63" s="179">
        <f t="shared" ref="S63:AA63" si="58">+S28/(S28+S31)</f>
        <v>8.1112704252786494E-2</v>
      </c>
      <c r="T63" s="179">
        <f t="shared" si="58"/>
        <v>0.12481109098857178</v>
      </c>
      <c r="U63" s="179">
        <f t="shared" si="58"/>
        <v>7.9253663276029576E-2</v>
      </c>
      <c r="V63" s="179">
        <f t="shared" si="58"/>
        <v>0.12789236833533857</v>
      </c>
      <c r="W63" s="28">
        <f t="shared" si="58"/>
        <v>0.12789236833533857</v>
      </c>
      <c r="X63" s="179">
        <f t="shared" si="58"/>
        <v>0.11719817767653758</v>
      </c>
      <c r="Y63" s="179">
        <f t="shared" si="58"/>
        <v>0.12536887442449132</v>
      </c>
      <c r="Z63" s="179">
        <f t="shared" si="58"/>
        <v>0.19902107023627336</v>
      </c>
      <c r="AA63" s="179">
        <f t="shared" si="58"/>
        <v>0.19902107023627336</v>
      </c>
      <c r="AB63" s="28"/>
      <c r="AC63" s="179">
        <f>+AC28/(AC28+AC31)</f>
        <v>0.15059116767723729</v>
      </c>
      <c r="AD63" s="179">
        <f>+AD28/(AD28+AD31)</f>
        <v>7.6938971865455272E-2</v>
      </c>
      <c r="AE63" s="179">
        <f>+AE28/(AE28+AE31)</f>
        <v>7.6938971865455272E-2</v>
      </c>
      <c r="AF63" s="179">
        <f>+AF28/(AF28+AF31)</f>
        <v>7.6938971865455272E-2</v>
      </c>
      <c r="AG63" s="28"/>
      <c r="AH63" s="179">
        <f>+AH28/(AH28+AH31)</f>
        <v>0.15765547613051537</v>
      </c>
      <c r="AI63" s="179">
        <f>+AI28/(AI28+AI31)</f>
        <v>0.15765547613051537</v>
      </c>
      <c r="AJ63" s="179">
        <f>+AJ28/(AJ28+AJ31)</f>
        <v>0.15825000653742449</v>
      </c>
      <c r="AK63" s="179">
        <f>+AK28/(AK28+AK31)</f>
        <v>0.12376286287824437</v>
      </c>
      <c r="AL63" s="28"/>
      <c r="AM63" s="179">
        <f>+AM28/(AM28+AM31)</f>
        <v>0.12376286287824437</v>
      </c>
      <c r="AN63" s="179">
        <f>+AN28/(AN28+AN31)</f>
        <v>8.1528938274893104E-2</v>
      </c>
      <c r="AO63" s="179">
        <f>+AO28/(AO28+AO31)</f>
        <v>8.1528938274893104E-2</v>
      </c>
      <c r="AP63" s="179">
        <f>+AP28/(AP28+AP31)</f>
        <v>8.1528938274893104E-2</v>
      </c>
      <c r="AQ63" s="28"/>
      <c r="AR63" s="179">
        <f>+AR28/(AR28+AR31)</f>
        <v>8.1528938274893104E-2</v>
      </c>
      <c r="AS63" s="179">
        <f>+AS28/(AS28+AS31)</f>
        <v>8.6348857770896251E-2</v>
      </c>
      <c r="AT63" s="179">
        <f>+AT28/(AT28+AT31)</f>
        <v>8.6348857770896251E-2</v>
      </c>
      <c r="AU63" s="179">
        <f>+AU28/(AU28+AU31)</f>
        <v>8.6348857770896251E-2</v>
      </c>
      <c r="AV63" s="28"/>
    </row>
    <row r="64" spans="2:48" outlineLevel="1" x14ac:dyDescent="0.3">
      <c r="B64" s="200" t="s">
        <v>328</v>
      </c>
      <c r="C64" s="201"/>
      <c r="D64" s="304"/>
      <c r="E64" s="304"/>
      <c r="F64" s="304"/>
      <c r="G64" s="304"/>
      <c r="H64" s="306"/>
      <c r="I64" s="305"/>
      <c r="J64" s="305"/>
      <c r="K64" s="305"/>
      <c r="L64" s="305"/>
      <c r="M64" s="306">
        <f>M67/(M65-M66)</f>
        <v>14.55407378391847</v>
      </c>
      <c r="N64" s="305"/>
      <c r="O64" s="305"/>
      <c r="P64" s="305"/>
      <c r="Q64" s="305"/>
      <c r="R64" s="306">
        <f>R67/(R65-R66)</f>
        <v>3.5268936560411204</v>
      </c>
      <c r="S64" s="305"/>
      <c r="T64" s="305"/>
      <c r="U64" s="305"/>
      <c r="V64" s="305"/>
      <c r="W64" s="306">
        <f>W67/(W65-W66)</f>
        <v>4.1612739491288941</v>
      </c>
      <c r="X64" s="307"/>
      <c r="Y64" s="307"/>
      <c r="Z64" s="307"/>
      <c r="AA64" s="307"/>
      <c r="AB64" s="306">
        <f>AB67/(AB65-AB66)</f>
        <v>3.6683668107551965</v>
      </c>
      <c r="AC64" s="307"/>
      <c r="AD64" s="307"/>
      <c r="AE64" s="307"/>
      <c r="AF64" s="307"/>
      <c r="AG64" s="405">
        <f>AG67/(AG65-AG66)</f>
        <v>3.0569126461037599</v>
      </c>
      <c r="AH64" s="307"/>
      <c r="AI64" s="307"/>
      <c r="AJ64" s="307"/>
      <c r="AK64" s="307"/>
      <c r="AL64" s="405">
        <f>AL67/(AL65-AL66)</f>
        <v>3.4733368112234531</v>
      </c>
      <c r="AM64" s="307"/>
      <c r="AN64" s="307"/>
      <c r="AO64" s="307"/>
      <c r="AP64" s="307"/>
      <c r="AQ64" s="306">
        <f>AQ67/(AQ65-AQ66)</f>
        <v>2.9341755612029341</v>
      </c>
      <c r="AR64" s="307"/>
      <c r="AS64" s="307"/>
      <c r="AT64" s="307"/>
      <c r="AU64" s="307"/>
      <c r="AV64" s="306">
        <f>AV67/(AV65-AV66)</f>
        <v>2.730178462163444</v>
      </c>
    </row>
    <row r="65" spans="2:48" outlineLevel="1" x14ac:dyDescent="0.3">
      <c r="B65" s="180" t="s">
        <v>325</v>
      </c>
      <c r="C65" s="44"/>
      <c r="D65" s="139"/>
      <c r="E65" s="139"/>
      <c r="F65" s="309"/>
      <c r="G65" s="309"/>
      <c r="H65" s="17"/>
      <c r="I65" s="139"/>
      <c r="J65" s="139"/>
      <c r="K65" s="309"/>
      <c r="L65" s="309"/>
      <c r="M65" s="17">
        <f>'IS (Adjusted)'!M19+'IS (Adjusted)'!M12</f>
        <v>3564.3800000000042</v>
      </c>
      <c r="N65" s="139"/>
      <c r="O65" s="139"/>
      <c r="P65" s="309"/>
      <c r="Q65" s="309"/>
      <c r="R65" s="17">
        <f>'IS (Adjusted)'!R19+'IS (Adjusted)'!R12</f>
        <v>6703.7999999999975</v>
      </c>
      <c r="S65" s="139"/>
      <c r="T65" s="139"/>
      <c r="U65" s="309"/>
      <c r="V65" s="309"/>
      <c r="W65" s="17">
        <f>'IS (Adjusted)'!W19+'IS (Adjusted)'!W12</f>
        <v>6302.899999999996</v>
      </c>
      <c r="X65" s="139"/>
      <c r="Y65" s="305"/>
      <c r="Z65" s="305"/>
      <c r="AA65" s="310"/>
      <c r="AB65" s="17">
        <f>'IS (Adjusted)'!AB19+'IS (Adjusted)'!AB12</f>
        <v>7043.6481702421333</v>
      </c>
      <c r="AC65" s="139"/>
      <c r="AD65" s="139"/>
      <c r="AE65" s="309"/>
      <c r="AF65" s="309"/>
      <c r="AG65" s="17">
        <f>'IS (Adjusted)'!AG19+'IS (Adjusted)'!AG12</f>
        <v>8029.1663449115531</v>
      </c>
      <c r="AH65" s="139"/>
      <c r="AI65" s="139"/>
      <c r="AJ65" s="309"/>
      <c r="AK65" s="309"/>
      <c r="AL65" s="17">
        <f>'IS (Adjusted)'!AL19+'IS (Adjusted)'!AL12</f>
        <v>9372.5250274650716</v>
      </c>
      <c r="AM65" s="139"/>
      <c r="AN65" s="139"/>
      <c r="AO65" s="309"/>
      <c r="AP65" s="309"/>
      <c r="AQ65" s="17">
        <f>'IS (Adjusted)'!AQ19+'IS (Adjusted)'!AQ12</f>
        <v>10337.788547632917</v>
      </c>
      <c r="AR65" s="139"/>
      <c r="AS65" s="139"/>
      <c r="AT65" s="309"/>
      <c r="AU65" s="309"/>
      <c r="AV65" s="17">
        <f>'IS (Adjusted)'!AV19+'IS (Adjusted)'!AV12</f>
        <v>11029.465637280511</v>
      </c>
    </row>
    <row r="66" spans="2:48" outlineLevel="1" x14ac:dyDescent="0.3">
      <c r="B66" s="180" t="s">
        <v>327</v>
      </c>
      <c r="C66" s="44"/>
      <c r="D66" s="139"/>
      <c r="E66" s="139"/>
      <c r="F66" s="309"/>
      <c r="G66" s="309"/>
      <c r="H66" s="387"/>
      <c r="I66" s="139"/>
      <c r="J66" s="139"/>
      <c r="K66" s="309"/>
      <c r="L66" s="309"/>
      <c r="M66" s="387">
        <v>2441.1</v>
      </c>
      <c r="N66" s="139"/>
      <c r="O66" s="139"/>
      <c r="P66" s="309"/>
      <c r="Q66" s="309"/>
      <c r="R66" s="387">
        <v>2559.6999999999998</v>
      </c>
      <c r="S66" s="139"/>
      <c r="T66" s="139"/>
      <c r="U66" s="309"/>
      <c r="V66" s="309"/>
      <c r="W66" s="388">
        <f>R66*1.05</f>
        <v>2687.6849999999999</v>
      </c>
      <c r="X66" s="139"/>
      <c r="Y66" s="179"/>
      <c r="Z66" s="179"/>
      <c r="AA66" s="310"/>
      <c r="AB66" s="388">
        <f>W66*1.05</f>
        <v>2822.06925</v>
      </c>
      <c r="AC66" s="139"/>
      <c r="AD66" s="139"/>
      <c r="AE66" s="309"/>
      <c r="AF66" s="309"/>
      <c r="AG66" s="388">
        <f>AB66*1.05</f>
        <v>2963.1727125000002</v>
      </c>
      <c r="AH66" s="139"/>
      <c r="AI66" s="139"/>
      <c r="AJ66" s="309"/>
      <c r="AK66" s="309"/>
      <c r="AL66" s="388">
        <f>AG66*1.05</f>
        <v>3111.3313481250002</v>
      </c>
      <c r="AM66" s="139"/>
      <c r="AN66" s="139"/>
      <c r="AO66" s="309"/>
      <c r="AP66" s="309"/>
      <c r="AQ66" s="388">
        <f>AL66*1.05</f>
        <v>3266.8979155312504</v>
      </c>
      <c r="AR66" s="139"/>
      <c r="AS66" s="139"/>
      <c r="AT66" s="309"/>
      <c r="AU66" s="309"/>
      <c r="AV66" s="388">
        <f>AQ66*1.05</f>
        <v>3430.2428113078131</v>
      </c>
    </row>
    <row r="67" spans="2:48" outlineLevel="1" x14ac:dyDescent="0.3">
      <c r="B67" s="386" t="s">
        <v>326</v>
      </c>
      <c r="C67" s="312"/>
      <c r="D67" s="313"/>
      <c r="E67" s="313"/>
      <c r="F67" s="314"/>
      <c r="G67" s="314"/>
      <c r="H67" s="316"/>
      <c r="I67" s="313"/>
      <c r="J67" s="313"/>
      <c r="K67" s="314"/>
      <c r="L67" s="314"/>
      <c r="M67" s="316">
        <f>M28+M31</f>
        <v>16348.300000000001</v>
      </c>
      <c r="N67" s="313"/>
      <c r="O67" s="313"/>
      <c r="P67" s="314"/>
      <c r="Q67" s="314"/>
      <c r="R67" s="316">
        <f>R28+R31</f>
        <v>14615.8</v>
      </c>
      <c r="S67" s="313"/>
      <c r="T67" s="313"/>
      <c r="U67" s="314"/>
      <c r="V67" s="314"/>
      <c r="W67" s="316">
        <f>W28+W31</f>
        <v>15043.9</v>
      </c>
      <c r="X67" s="313"/>
      <c r="Y67" s="313"/>
      <c r="Z67" s="314"/>
      <c r="AA67" s="315"/>
      <c r="AB67" s="316">
        <f>AB28+AB31</f>
        <v>15486.3</v>
      </c>
      <c r="AC67" s="313"/>
      <c r="AD67" s="313"/>
      <c r="AE67" s="314"/>
      <c r="AF67" s="314"/>
      <c r="AG67" s="316">
        <f>AG28+AG31</f>
        <v>15486.3</v>
      </c>
      <c r="AH67" s="313"/>
      <c r="AI67" s="313"/>
      <c r="AJ67" s="314"/>
      <c r="AK67" s="314"/>
      <c r="AL67" s="316">
        <f>AL28+AL31</f>
        <v>21747.23448865148</v>
      </c>
      <c r="AM67" s="313"/>
      <c r="AN67" s="313"/>
      <c r="AO67" s="314"/>
      <c r="AP67" s="314"/>
      <c r="AQ67" s="316">
        <f>AQ28+AQ31</f>
        <v>20747.23448865148</v>
      </c>
      <c r="AR67" s="313"/>
      <c r="AS67" s="313"/>
      <c r="AT67" s="314"/>
      <c r="AU67" s="314"/>
      <c r="AV67" s="316">
        <f>AV28+AV31</f>
        <v>20747.23448865148</v>
      </c>
    </row>
  </sheetData>
  <dataConsolidate/>
  <mergeCells count="27">
    <mergeCell ref="B19:C19"/>
    <mergeCell ref="B3:C3"/>
    <mergeCell ref="B5:C5"/>
    <mergeCell ref="B6:C6"/>
    <mergeCell ref="B8:C8"/>
    <mergeCell ref="B10:C10"/>
    <mergeCell ref="B42:C42"/>
    <mergeCell ref="B20:C20"/>
    <mergeCell ref="B21:C21"/>
    <mergeCell ref="B22:C22"/>
    <mergeCell ref="B23:C23"/>
    <mergeCell ref="B34:C34"/>
    <mergeCell ref="B35:C35"/>
    <mergeCell ref="B36:C36"/>
    <mergeCell ref="B37:C37"/>
    <mergeCell ref="B38:C38"/>
    <mergeCell ref="B39:C39"/>
    <mergeCell ref="B41:C41"/>
    <mergeCell ref="B51:C51"/>
    <mergeCell ref="B52:C52"/>
    <mergeCell ref="B53:C53"/>
    <mergeCell ref="B44:C44"/>
    <mergeCell ref="B45:C45"/>
    <mergeCell ref="B47:C47"/>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7ABD-23AA-48B4-89D4-2FB5DE1829DA}">
  <sheetPr>
    <tabColor theme="6" tint="0.39997558519241921"/>
    <pageSetUpPr fitToPage="1"/>
  </sheetPr>
  <dimension ref="B1:AV67"/>
  <sheetViews>
    <sheetView showGridLines="0" zoomScaleNormal="100" workbookViewId="0">
      <pane xSplit="3" ySplit="4" topLeftCell="D5" activePane="bottomRight" state="frozen"/>
      <selection activeCell="J21" sqref="J21"/>
      <selection pane="topRight" activeCell="J21" sqref="J21"/>
      <selection pane="bottomLeft" activeCell="J21" sqref="J21"/>
      <selection pane="bottomRight" activeCell="J21" sqref="J21"/>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91"/>
      <c r="P1" s="391"/>
      <c r="Q1" s="391"/>
      <c r="R1" s="391"/>
      <c r="S1" s="391"/>
      <c r="T1" s="391"/>
      <c r="U1" s="391"/>
      <c r="V1" s="391"/>
      <c r="W1" s="391"/>
      <c r="X1" s="391"/>
      <c r="Y1" s="57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583" t="s">
        <v>266</v>
      </c>
      <c r="C3" s="584"/>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3" t="s">
        <v>451</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4" t="s">
        <v>452</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601" t="s">
        <v>267</v>
      </c>
      <c r="C5" s="602"/>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v>760.40000000000043</v>
      </c>
      <c r="E6" s="101">
        <v>658.59999999999968</v>
      </c>
      <c r="F6" s="16">
        <v>1373.200000000001</v>
      </c>
      <c r="G6" s="16">
        <v>802.400000000001</v>
      </c>
      <c r="H6" s="17">
        <v>3594.6000000000054</v>
      </c>
      <c r="I6" s="16">
        <v>885.29999999999882</v>
      </c>
      <c r="J6" s="16">
        <v>324.79999999999905</v>
      </c>
      <c r="K6" s="16">
        <v>-678.09999999999923</v>
      </c>
      <c r="L6" s="16">
        <f>924.7-K6-J6-I6</f>
        <v>392.70000000000141</v>
      </c>
      <c r="M6" s="17">
        <v>924.70000000000437</v>
      </c>
      <c r="N6" s="16">
        <v>622.20000000000016</v>
      </c>
      <c r="O6" s="16">
        <v>659.4</v>
      </c>
      <c r="P6" s="16">
        <v>1154.1999999999989</v>
      </c>
      <c r="Q6" s="16">
        <v>1764.6</v>
      </c>
      <c r="R6" s="17">
        <v>4200.3999999999978</v>
      </c>
      <c r="S6" s="16">
        <v>816.10000000000014</v>
      </c>
      <c r="T6" s="16">
        <v>675.00000000000011</v>
      </c>
      <c r="U6" s="16">
        <v>913.69999999999959</v>
      </c>
      <c r="V6" s="16">
        <f>'IS (Adjusted)'!V25</f>
        <v>878.49999999999864</v>
      </c>
      <c r="W6" s="17">
        <f t="shared" ref="W6:W13" si="0">SUM(S6:V6)</f>
        <v>3283.2999999999988</v>
      </c>
      <c r="X6" s="16">
        <v>855.2</v>
      </c>
      <c r="Y6" s="101">
        <f>1763.6-X6</f>
        <v>908.39999999999986</v>
      </c>
      <c r="Z6" s="16">
        <f>'IS (Adjusted)'!Z25</f>
        <v>1027.2780464234104</v>
      </c>
      <c r="AA6" s="16">
        <f>'IS (Adjusted)'!AA25</f>
        <v>1125.9201528849781</v>
      </c>
      <c r="AB6" s="17">
        <f t="shared" ref="AB6" si="1">SUM(X6:AA6)</f>
        <v>3916.7981993083886</v>
      </c>
      <c r="AC6" s="16">
        <f>'IS (Adjusted)'!AC25</f>
        <v>1026.0257414508544</v>
      </c>
      <c r="AD6" s="16">
        <f>'IS (Adjusted)'!AD25</f>
        <v>1015.4316164840054</v>
      </c>
      <c r="AE6" s="16">
        <f>'IS (Adjusted)'!AE25</f>
        <v>1155.2206301717304</v>
      </c>
      <c r="AF6" s="16">
        <f>'IS (Adjusted)'!AF25</f>
        <v>1160.7070750414002</v>
      </c>
      <c r="AG6" s="17">
        <f t="shared" ref="AG6" si="2">SUM(AC6:AF6)</f>
        <v>4357.3850631479909</v>
      </c>
      <c r="AH6" s="16">
        <f>'IS (Adjusted)'!AH25</f>
        <v>1199.8828637744516</v>
      </c>
      <c r="AI6" s="16">
        <f>'IS (Adjusted)'!AI25</f>
        <v>1203.6943510820568</v>
      </c>
      <c r="AJ6" s="16">
        <f>'IS (Adjusted)'!AJ25</f>
        <v>1417.6971305142984</v>
      </c>
      <c r="AK6" s="16">
        <f>'IS (Adjusted)'!AK25</f>
        <v>1334.1456193082954</v>
      </c>
      <c r="AL6" s="17">
        <f t="shared" ref="AL6" si="3">SUM(AH6:AK6)</f>
        <v>5155.4199646791021</v>
      </c>
      <c r="AM6" s="16">
        <f>'IS (Adjusted)'!AM25</f>
        <v>1292.8667370813405</v>
      </c>
      <c r="AN6" s="16">
        <f>'IS (Adjusted)'!AN25</f>
        <v>1294.134092244213</v>
      </c>
      <c r="AO6" s="16">
        <f>'IS (Adjusted)'!AO25</f>
        <v>1522.6391722998603</v>
      </c>
      <c r="AP6" s="16">
        <f>'IS (Adjusted)'!AP25</f>
        <v>1474.4136565721733</v>
      </c>
      <c r="AQ6" s="17">
        <f t="shared" ref="AQ6" si="4">SUM(AM6:AP6)</f>
        <v>5584.0536581975866</v>
      </c>
      <c r="AR6" s="16">
        <f>'IS (Adjusted)'!AR25</f>
        <v>1387.5811092333458</v>
      </c>
      <c r="AS6" s="16">
        <f>'IS (Adjusted)'!AS25</f>
        <v>1391.5435995908542</v>
      </c>
      <c r="AT6" s="16">
        <f>'IS (Adjusted)'!AT25</f>
        <v>1628.1693996602496</v>
      </c>
      <c r="AU6" s="16">
        <f>'IS (Adjusted)'!AU25</f>
        <v>1578.0637130407385</v>
      </c>
      <c r="AV6" s="17">
        <f t="shared" ref="AV6" si="5">SUM(AR6:AU6)</f>
        <v>5985.3578215251882</v>
      </c>
    </row>
    <row r="7" spans="2:48" outlineLevel="1" x14ac:dyDescent="0.3">
      <c r="B7" s="308" t="s">
        <v>269</v>
      </c>
      <c r="C7" s="44"/>
      <c r="D7" s="16">
        <v>350.8</v>
      </c>
      <c r="E7" s="16">
        <f>723.5-D7</f>
        <v>372.7</v>
      </c>
      <c r="F7" s="16">
        <f>1083.6-E7-D7</f>
        <v>360.09999999999985</v>
      </c>
      <c r="G7" s="16">
        <f>1449.3-F7-E7-D7</f>
        <v>365.7</v>
      </c>
      <c r="H7" s="17">
        <f t="shared" ref="H7:H13" si="6">SUM(D7:G7)</f>
        <v>1449.3</v>
      </c>
      <c r="I7" s="16">
        <v>369.2</v>
      </c>
      <c r="J7" s="16">
        <f>746.9-I7</f>
        <v>377.7</v>
      </c>
      <c r="K7" s="16">
        <f>1124-J7-I7</f>
        <v>377.09999999999997</v>
      </c>
      <c r="L7" s="16">
        <f>1503.2-K7-J7-I7</f>
        <v>379.2000000000001</v>
      </c>
      <c r="M7" s="17">
        <f t="shared" ref="M7:M13" si="7">SUM(I7:L7)</f>
        <v>1503.2</v>
      </c>
      <c r="N7" s="16">
        <v>388.4</v>
      </c>
      <c r="O7" s="16">
        <f>772.9-N7</f>
        <v>384.5</v>
      </c>
      <c r="P7" s="16">
        <f>1146.2-O7-N7</f>
        <v>373.30000000000007</v>
      </c>
      <c r="Q7" s="16">
        <f>1524.1-P7-O7-N7</f>
        <v>377.89999999999975</v>
      </c>
      <c r="R7" s="17">
        <f t="shared" ref="R7:R13" si="8">SUM(N7:Q7)</f>
        <v>1524.1</v>
      </c>
      <c r="S7" s="16">
        <v>386.4</v>
      </c>
      <c r="T7" s="16">
        <f>777.7-S7</f>
        <v>391.30000000000007</v>
      </c>
      <c r="U7" s="16">
        <f>1169-T7-S7</f>
        <v>391.29999999999995</v>
      </c>
      <c r="V7" s="16">
        <f>1529.4-U7-T7-S7</f>
        <v>360.40000000000009</v>
      </c>
      <c r="W7" s="17">
        <f t="shared" si="0"/>
        <v>1529.4</v>
      </c>
      <c r="X7" s="16">
        <v>342.5</v>
      </c>
      <c r="Y7" s="101">
        <f>709.3-X7</f>
        <v>366.79999999999995</v>
      </c>
      <c r="Z7" s="16">
        <f>('BS (Adjusted)'!Y14*'BS (Adjusted)'!Z56)</f>
        <v>377.87224360289633</v>
      </c>
      <c r="AA7" s="16">
        <f>('BS (Adjusted)'!Z14*'BS (Adjusted)'!AA56)</f>
        <v>388.59754103314799</v>
      </c>
      <c r="AB7" s="17">
        <f t="shared" ref="AB7:AB13" si="9">SUM(X7:AA7)</f>
        <v>1475.7697846360443</v>
      </c>
      <c r="AC7" s="16">
        <f>('BS (Adjusted)'!AB14*'BS (Adjusted)'!AC56)</f>
        <v>405.53605758861659</v>
      </c>
      <c r="AD7" s="16">
        <f>('BS (Adjusted)'!AC14*'BS (Adjusted)'!AD56)</f>
        <v>424.02913347415137</v>
      </c>
      <c r="AE7" s="16">
        <f>('BS (Adjusted)'!AD14*'BS (Adjusted)'!AE56)</f>
        <v>438.27974170001642</v>
      </c>
      <c r="AF7" s="16">
        <f>('BS (Adjusted)'!AE14*'BS (Adjusted)'!AF56)</f>
        <v>450.81992647277661</v>
      </c>
      <c r="AG7" s="17">
        <f t="shared" ref="AG7:AG13" si="10">SUM(AC7:AF7)</f>
        <v>1718.6648592355612</v>
      </c>
      <c r="AH7" s="16">
        <f>('BS (Adjusted)'!AG14*'BS (Adjusted)'!AH56)</f>
        <v>465.27852789736954</v>
      </c>
      <c r="AI7" s="16">
        <f>('BS (Adjusted)'!AH14*'BS (Adjusted)'!AI56)</f>
        <v>477.46001630761737</v>
      </c>
      <c r="AJ7" s="16">
        <f>('BS (Adjusted)'!AI14*'BS (Adjusted)'!AJ56)</f>
        <v>487.54670075257877</v>
      </c>
      <c r="AK7" s="16">
        <f>('BS (Adjusted)'!AJ14*'BS (Adjusted)'!AK56)</f>
        <v>499.18546200922549</v>
      </c>
      <c r="AL7" s="17">
        <f t="shared" ref="AL7:AL13" si="11">SUM(AH7:AK7)</f>
        <v>1929.4707069667911</v>
      </c>
      <c r="AM7" s="16">
        <f>('BS (Adjusted)'!AL14*'BS (Adjusted)'!AM56)</f>
        <v>511.19575128832656</v>
      </c>
      <c r="AN7" s="16">
        <f>('BS (Adjusted)'!AM14*'BS (Adjusted)'!AN56)</f>
        <v>523.77117750331888</v>
      </c>
      <c r="AO7" s="16">
        <f>('BS (Adjusted)'!AN14*'BS (Adjusted)'!AO56)</f>
        <v>534.72499047543579</v>
      </c>
      <c r="AP7" s="16">
        <f>('BS (Adjusted)'!AO14*'BS (Adjusted)'!AP56)</f>
        <v>547.61727931615815</v>
      </c>
      <c r="AQ7" s="17">
        <f t="shared" ref="AQ7:AQ13" si="12">SUM(AM7:AP7)</f>
        <v>2117.3091985832393</v>
      </c>
      <c r="AR7" s="16">
        <f>('BS (Adjusted)'!AQ14*'BS (Adjusted)'!AR56)</f>
        <v>560.30501560104915</v>
      </c>
      <c r="AS7" s="16">
        <f>('BS (Adjusted)'!AR14*'BS (Adjusted)'!AS56)</f>
        <v>572.66838813368736</v>
      </c>
      <c r="AT7" s="16">
        <f>('BS (Adjusted)'!AS14*'BS (Adjusted)'!AT56)</f>
        <v>583.52883776036379</v>
      </c>
      <c r="AU7" s="16">
        <f>('BS (Adjusted)'!AT14*'BS (Adjusted)'!AU56)</f>
        <v>596.50219861147809</v>
      </c>
      <c r="AV7" s="17">
        <f t="shared" ref="AV7:AV13" si="13">SUM(AR7:AU7)</f>
        <v>2313.0044401065784</v>
      </c>
    </row>
    <row r="8" spans="2:48" outlineLevel="1" x14ac:dyDescent="0.3">
      <c r="B8" s="308" t="s">
        <v>222</v>
      </c>
      <c r="C8" s="44"/>
      <c r="D8" s="16">
        <v>-354.6</v>
      </c>
      <c r="E8" s="16">
        <f>-714.5-D8</f>
        <v>-359.9</v>
      </c>
      <c r="F8" s="16">
        <f>-1243.5-E8-D8</f>
        <v>-529</v>
      </c>
      <c r="G8" s="101">
        <f>-1495.4-F8-E8-D8</f>
        <v>-251.90000000000009</v>
      </c>
      <c r="H8" s="17">
        <f t="shared" si="6"/>
        <v>-1495.4</v>
      </c>
      <c r="I8" s="16">
        <v>10.4</v>
      </c>
      <c r="J8" s="16">
        <f>47.7-I8</f>
        <v>37.300000000000004</v>
      </c>
      <c r="K8" s="16">
        <f>20-J8-I8</f>
        <v>-27.700000000000003</v>
      </c>
      <c r="L8" s="101">
        <f>-25.8-K8-J8-I8</f>
        <v>-45.800000000000004</v>
      </c>
      <c r="M8" s="17">
        <f t="shared" si="7"/>
        <v>-25.800000000000004</v>
      </c>
      <c r="N8" s="16">
        <v>-6.1</v>
      </c>
      <c r="O8" s="16">
        <f>-25.2-N8</f>
        <v>-19.100000000000001</v>
      </c>
      <c r="P8" s="16">
        <f>-113.2-O8-N8</f>
        <v>-88</v>
      </c>
      <c r="Q8" s="101">
        <f>-146.2-P8-O8-N8</f>
        <v>-32.999999999999986</v>
      </c>
      <c r="R8" s="17">
        <f t="shared" si="8"/>
        <v>-146.19999999999999</v>
      </c>
      <c r="S8" s="16">
        <v>-0.3</v>
      </c>
      <c r="T8" s="16">
        <f>28.4-S8</f>
        <v>28.7</v>
      </c>
      <c r="U8" s="16">
        <f>35-T8-S8</f>
        <v>6.6000000000000005</v>
      </c>
      <c r="V8" s="16">
        <f>-37.8-U8-T8-S8</f>
        <v>-72.8</v>
      </c>
      <c r="W8" s="17">
        <f t="shared" si="0"/>
        <v>-37.799999999999997</v>
      </c>
      <c r="X8" s="16">
        <v>15.8</v>
      </c>
      <c r="Y8" s="101">
        <f>2.6-X8</f>
        <v>-13.200000000000001</v>
      </c>
      <c r="Z8" s="16">
        <f>-('BS (Adjusted)'!Z16-'BS (Adjusted)'!Y16)</f>
        <v>48.903394169711191</v>
      </c>
      <c r="AA8" s="16">
        <f>-('BS (Adjusted)'!AA16-'BS (Adjusted)'!Z16)</f>
        <v>2.5814571965827326</v>
      </c>
      <c r="AB8" s="17">
        <f t="shared" si="9"/>
        <v>54.084851366293925</v>
      </c>
      <c r="AC8" s="16">
        <f>-('BS (Adjusted)'!AC16-'BS (Adjusted)'!AA16)</f>
        <v>-101.54164317766754</v>
      </c>
      <c r="AD8" s="16">
        <f>-('BS (Adjusted)'!AD16-'BS (Adjusted)'!AC16)</f>
        <v>70.842618008676027</v>
      </c>
      <c r="AE8" s="16">
        <f>-('BS (Adjusted)'!AE16-'BS (Adjusted)'!AD16)</f>
        <v>17.749250830086112</v>
      </c>
      <c r="AF8" s="16">
        <f>-('BS (Adjusted)'!AF16-'BS (Adjusted)'!AE16)</f>
        <v>9.8116766653083687</v>
      </c>
      <c r="AG8" s="17">
        <f t="shared" si="10"/>
        <v>-3.1380976735970307</v>
      </c>
      <c r="AH8" s="16">
        <f>-('BS (Adjusted)'!AH16-'BS (Adjusted)'!AF16)</f>
        <v>-119.94045014602307</v>
      </c>
      <c r="AI8" s="16">
        <f>-('BS (Adjusted)'!AI16-'BS (Adjusted)'!AH16)</f>
        <v>87.834479628207419</v>
      </c>
      <c r="AJ8" s="16">
        <f>-('BS (Adjusted)'!AJ16-'BS (Adjusted)'!AI16)</f>
        <v>12.452828645457203</v>
      </c>
      <c r="AK8" s="16">
        <f>-('BS (Adjusted)'!AK16-'BS (Adjusted)'!AJ16)</f>
        <v>10.985594297422267</v>
      </c>
      <c r="AL8" s="17">
        <f t="shared" si="11"/>
        <v>-8.6675475749361794</v>
      </c>
      <c r="AM8" s="16">
        <f>-('BS (Adjusted)'!AM16-'BS (Adjusted)'!AK16)</f>
        <v>-131.2521887466653</v>
      </c>
      <c r="AN8" s="16">
        <f>-('BS (Adjusted)'!AN16-'BS (Adjusted)'!AM16)</f>
        <v>95.944883519363657</v>
      </c>
      <c r="AO8" s="16">
        <f>-('BS (Adjusted)'!AO16-'BS (Adjusted)'!AN16)</f>
        <v>11.754173872976708</v>
      </c>
      <c r="AP8" s="16">
        <f>-('BS (Adjusted)'!AP16-'BS (Adjusted)'!AO16)</f>
        <v>11.430274735463399</v>
      </c>
      <c r="AQ8" s="17">
        <f t="shared" si="12"/>
        <v>-12.122856618861533</v>
      </c>
      <c r="AR8" s="16">
        <f>-('BS (Adjusted)'!AR16-'BS (Adjusted)'!AP16)</f>
        <v>-142.82600285607282</v>
      </c>
      <c r="AS8" s="16">
        <f>-('BS (Adjusted)'!AS16-'BS (Adjusted)'!AR16)</f>
        <v>103.398725290127</v>
      </c>
      <c r="AT8" s="16">
        <f>-('BS (Adjusted)'!AT16-'BS (Adjusted)'!AS16)</f>
        <v>11.890167120219303</v>
      </c>
      <c r="AU8" s="16">
        <f>-('BS (Adjusted)'!AU16-'BS (Adjusted)'!AT16)</f>
        <v>11.763926929030958</v>
      </c>
      <c r="AV8" s="17">
        <f t="shared" si="13"/>
        <v>-15.773183516695553</v>
      </c>
    </row>
    <row r="9" spans="2:48" outlineLevel="1" x14ac:dyDescent="0.3">
      <c r="B9" s="308" t="s">
        <v>270</v>
      </c>
      <c r="C9" s="44"/>
      <c r="D9" s="16">
        <v>-55</v>
      </c>
      <c r="E9" s="16">
        <f>-108.2-D9</f>
        <v>-53.2</v>
      </c>
      <c r="F9" s="16">
        <f>-174.1-E9-D9</f>
        <v>-65.899999999999991</v>
      </c>
      <c r="G9" s="101">
        <f>-250.6-F9-E9-D9</f>
        <v>-76.5</v>
      </c>
      <c r="H9" s="17">
        <f t="shared" si="6"/>
        <v>-250.6</v>
      </c>
      <c r="I9" s="16">
        <v>-62.9</v>
      </c>
      <c r="J9" s="16">
        <f>-116.3-I9</f>
        <v>-53.4</v>
      </c>
      <c r="K9" s="16">
        <f>-182.3-J9-I9</f>
        <v>-66</v>
      </c>
      <c r="L9" s="101">
        <f>-280.7-K9-J9-I9</f>
        <v>-98.399999999999977</v>
      </c>
      <c r="M9" s="17">
        <f t="shared" si="7"/>
        <v>-280.7</v>
      </c>
      <c r="N9" s="16">
        <v>-69</v>
      </c>
      <c r="O9" s="16">
        <f>-131.3-N9</f>
        <v>-62.300000000000011</v>
      </c>
      <c r="P9" s="16">
        <f>-238.3-O9-N9</f>
        <v>-107</v>
      </c>
      <c r="Q9" s="101">
        <f>-347.3-P9-O9-N9</f>
        <v>-109</v>
      </c>
      <c r="R9" s="17">
        <f t="shared" si="8"/>
        <v>-347.3</v>
      </c>
      <c r="S9" s="16">
        <v>-46.6</v>
      </c>
      <c r="T9" s="16">
        <f>-118.7-S9</f>
        <v>-72.099999999999994</v>
      </c>
      <c r="U9" s="16">
        <f>-175-T9-S9</f>
        <v>-56.300000000000004</v>
      </c>
      <c r="V9" s="16">
        <f>-268.7-U9-T9-S9</f>
        <v>-93.699999999999989</v>
      </c>
      <c r="W9" s="17">
        <f t="shared" si="0"/>
        <v>-268.7</v>
      </c>
      <c r="X9" s="16">
        <v>-56.9</v>
      </c>
      <c r="Y9" s="101">
        <f>-109.9-X9</f>
        <v>-53.000000000000007</v>
      </c>
      <c r="Z9" s="16">
        <f>-'IS (Adjusted)'!Z16</f>
        <v>-51.2</v>
      </c>
      <c r="AA9" s="16">
        <f>-'IS (Adjusted)'!AA16</f>
        <v>-51.300000000000004</v>
      </c>
      <c r="AB9" s="17">
        <f t="shared" si="9"/>
        <v>-212.40000000000003</v>
      </c>
      <c r="AC9" s="16">
        <f>-'IS (Adjusted)'!AC16</f>
        <v>-51.6</v>
      </c>
      <c r="AD9" s="16">
        <f>-'IS (Adjusted)'!AD16</f>
        <v>-51.6</v>
      </c>
      <c r="AE9" s="16">
        <f>-'IS (Adjusted)'!AE16</f>
        <v>-51.6</v>
      </c>
      <c r="AF9" s="16">
        <f>-'IS (Adjusted)'!AF16</f>
        <v>-51.6</v>
      </c>
      <c r="AG9" s="17">
        <f t="shared" si="10"/>
        <v>-206.4</v>
      </c>
      <c r="AH9" s="16">
        <f>-'IS (Adjusted)'!AH16</f>
        <v>-51.6</v>
      </c>
      <c r="AI9" s="16">
        <f>-'IS (Adjusted)'!AI16</f>
        <v>-51.6</v>
      </c>
      <c r="AJ9" s="16">
        <f>-'IS (Adjusted)'!AJ16</f>
        <v>-51.6</v>
      </c>
      <c r="AK9" s="16">
        <f>-'IS (Adjusted)'!AK16</f>
        <v>-51.6</v>
      </c>
      <c r="AL9" s="17">
        <f t="shared" si="11"/>
        <v>-206.4</v>
      </c>
      <c r="AM9" s="16">
        <f>-'IS (Adjusted)'!AM16</f>
        <v>-51.6</v>
      </c>
      <c r="AN9" s="16">
        <f>-'IS (Adjusted)'!AN16</f>
        <v>-51.6</v>
      </c>
      <c r="AO9" s="16">
        <f>-'IS (Adjusted)'!AO16</f>
        <v>-51.6</v>
      </c>
      <c r="AP9" s="16">
        <f>-'IS (Adjusted)'!AP16</f>
        <v>-51.6</v>
      </c>
      <c r="AQ9" s="17">
        <f t="shared" si="12"/>
        <v>-206.4</v>
      </c>
      <c r="AR9" s="16">
        <f>-'IS (Adjusted)'!AR16</f>
        <v>-51.6</v>
      </c>
      <c r="AS9" s="16">
        <f>-'IS (Adjusted)'!AS16</f>
        <v>-51.6</v>
      </c>
      <c r="AT9" s="16">
        <f>-'IS (Adjusted)'!AT16</f>
        <v>-51.6</v>
      </c>
      <c r="AU9" s="16">
        <f>-'IS (Adjusted)'!AU16</f>
        <v>-51.6</v>
      </c>
      <c r="AV9" s="17">
        <f t="shared" si="13"/>
        <v>-206.4</v>
      </c>
    </row>
    <row r="10" spans="2:48" outlineLevel="1" x14ac:dyDescent="0.3">
      <c r="B10" s="308" t="s">
        <v>271</v>
      </c>
      <c r="C10" s="44"/>
      <c r="D10" s="16">
        <v>63.7</v>
      </c>
      <c r="E10" s="16">
        <f>93.3-D10</f>
        <v>29.599999999999994</v>
      </c>
      <c r="F10" s="16">
        <f>163.7-E10-D10</f>
        <v>70.399999999999991</v>
      </c>
      <c r="G10" s="101">
        <f>216.8-F10-E10-D10</f>
        <v>53.100000000000037</v>
      </c>
      <c r="H10" s="17">
        <f t="shared" si="6"/>
        <v>216.8</v>
      </c>
      <c r="I10" s="16">
        <v>64.3</v>
      </c>
      <c r="J10" s="16">
        <f>98.1-I10</f>
        <v>33.799999999999997</v>
      </c>
      <c r="K10" s="16">
        <f>165.6-J10-I10</f>
        <v>67.500000000000014</v>
      </c>
      <c r="L10" s="101">
        <f>227.7-K10-J10-I10</f>
        <v>62.099999999999994</v>
      </c>
      <c r="M10" s="17">
        <f t="shared" si="7"/>
        <v>227.70000000000002</v>
      </c>
      <c r="N10" s="16">
        <v>77.2</v>
      </c>
      <c r="O10" s="16">
        <f>130.2-N10</f>
        <v>52.999999999999986</v>
      </c>
      <c r="P10" s="16">
        <f>226.7-O10-N10</f>
        <v>96.499999999999986</v>
      </c>
      <c r="Q10" s="101">
        <f>336-P10-O10-N10</f>
        <v>109.3</v>
      </c>
      <c r="R10" s="17">
        <f t="shared" si="8"/>
        <v>336</v>
      </c>
      <c r="S10" s="16">
        <v>44.9</v>
      </c>
      <c r="T10" s="16">
        <f>100.8-S10</f>
        <v>55.9</v>
      </c>
      <c r="U10" s="16">
        <f>145.9-T10-S10</f>
        <v>45.1</v>
      </c>
      <c r="V10" s="16">
        <f>231.2-U10-T10-S10</f>
        <v>85.299999999999983</v>
      </c>
      <c r="W10" s="17">
        <f t="shared" si="0"/>
        <v>231.2</v>
      </c>
      <c r="X10" s="16">
        <v>45.7</v>
      </c>
      <c r="Y10" s="101">
        <f>88-X10</f>
        <v>42.3</v>
      </c>
      <c r="Z10" s="16">
        <f>-Z54*Z9</f>
        <v>51.2</v>
      </c>
      <c r="AA10" s="16">
        <f>-AA54*AA9</f>
        <v>51.300000000000004</v>
      </c>
      <c r="AB10" s="17">
        <f t="shared" si="9"/>
        <v>190.5</v>
      </c>
      <c r="AC10" s="16">
        <f>-AC54*AC9</f>
        <v>51.6</v>
      </c>
      <c r="AD10" s="16">
        <f>-AD54*AD9</f>
        <v>51.6</v>
      </c>
      <c r="AE10" s="16">
        <f>-AE54*AE9</f>
        <v>51.6</v>
      </c>
      <c r="AF10" s="16">
        <f>-AF54*AF9</f>
        <v>51.6</v>
      </c>
      <c r="AG10" s="17">
        <f t="shared" si="10"/>
        <v>206.4</v>
      </c>
      <c r="AH10" s="16">
        <f>-AH54*AH9</f>
        <v>51.6</v>
      </c>
      <c r="AI10" s="16">
        <f>-AI54*AI9</f>
        <v>51.6</v>
      </c>
      <c r="AJ10" s="16">
        <f>-AJ54*AJ9</f>
        <v>51.6</v>
      </c>
      <c r="AK10" s="16">
        <f>-AK54*AK9</f>
        <v>51.6</v>
      </c>
      <c r="AL10" s="17">
        <f t="shared" si="11"/>
        <v>206.4</v>
      </c>
      <c r="AM10" s="16">
        <f>-AM54*AM9</f>
        <v>51.6</v>
      </c>
      <c r="AN10" s="16">
        <f>-AN54*AN9</f>
        <v>51.6</v>
      </c>
      <c r="AO10" s="16">
        <f>-AO54*AO9</f>
        <v>51.6</v>
      </c>
      <c r="AP10" s="16">
        <f>-AP54*AP9</f>
        <v>51.6</v>
      </c>
      <c r="AQ10" s="17">
        <f t="shared" si="12"/>
        <v>206.4</v>
      </c>
      <c r="AR10" s="16">
        <f>-AR54*AR9</f>
        <v>51.6</v>
      </c>
      <c r="AS10" s="16">
        <f>-AS54*AS9</f>
        <v>51.6</v>
      </c>
      <c r="AT10" s="16">
        <f>-AT54*AT9</f>
        <v>51.6</v>
      </c>
      <c r="AU10" s="16">
        <f>-AU54*AU9</f>
        <v>51.6</v>
      </c>
      <c r="AV10" s="17">
        <f t="shared" si="13"/>
        <v>206.4</v>
      </c>
    </row>
    <row r="11" spans="2:48" outlineLevel="1" x14ac:dyDescent="0.3">
      <c r="B11" s="308" t="s">
        <v>272</v>
      </c>
      <c r="C11" s="44"/>
      <c r="D11" s="16">
        <v>0</v>
      </c>
      <c r="E11" s="16">
        <f>-21-D11</f>
        <v>-21</v>
      </c>
      <c r="F11" s="16">
        <f>-622.8-E11-D11</f>
        <v>-601.79999999999995</v>
      </c>
      <c r="G11" s="101">
        <f>-622.8-F11-E11-D11</f>
        <v>0</v>
      </c>
      <c r="H11" s="17">
        <f t="shared" si="6"/>
        <v>-622.79999999999995</v>
      </c>
      <c r="I11" s="16">
        <v>0</v>
      </c>
      <c r="J11" s="16">
        <f>0-I11</f>
        <v>0</v>
      </c>
      <c r="K11" s="16">
        <f>0-J11-I11</f>
        <v>0</v>
      </c>
      <c r="L11" s="101">
        <f>0-K11-J11-I11</f>
        <v>0</v>
      </c>
      <c r="M11" s="17">
        <f t="shared" si="7"/>
        <v>0</v>
      </c>
      <c r="N11" s="16">
        <v>0</v>
      </c>
      <c r="O11" s="16">
        <f>0-N11</f>
        <v>0</v>
      </c>
      <c r="P11" s="16">
        <f>0-O11-N11</f>
        <v>0</v>
      </c>
      <c r="Q11" s="101">
        <f>-864.5-P11-O11-N11</f>
        <v>-864.5</v>
      </c>
      <c r="R11" s="17">
        <f t="shared" si="8"/>
        <v>-864.5</v>
      </c>
      <c r="S11" s="16">
        <v>0</v>
      </c>
      <c r="T11" s="16">
        <f>0-S11</f>
        <v>0</v>
      </c>
      <c r="U11" s="16">
        <f t="shared" ref="U11" si="14">0-T11-S11</f>
        <v>0</v>
      </c>
      <c r="V11" s="16">
        <f t="shared" ref="V11:V17" si="15">0-U11-T11-S11</f>
        <v>0</v>
      </c>
      <c r="W11" s="17">
        <f t="shared" si="0"/>
        <v>0</v>
      </c>
      <c r="X11" s="16">
        <v>0</v>
      </c>
      <c r="Y11" s="101">
        <f>-91.3-X11</f>
        <v>-91.3</v>
      </c>
      <c r="Z11" s="16">
        <v>0</v>
      </c>
      <c r="AA11" s="16">
        <v>0</v>
      </c>
      <c r="AB11" s="17">
        <f t="shared" si="9"/>
        <v>-91.3</v>
      </c>
      <c r="AC11" s="16">
        <v>0</v>
      </c>
      <c r="AD11" s="16">
        <v>0</v>
      </c>
      <c r="AE11" s="16">
        <v>0</v>
      </c>
      <c r="AF11" s="16">
        <v>0</v>
      </c>
      <c r="AG11" s="17">
        <f t="shared" si="10"/>
        <v>0</v>
      </c>
      <c r="AH11" s="16">
        <v>0</v>
      </c>
      <c r="AI11" s="16">
        <v>0</v>
      </c>
      <c r="AJ11" s="16">
        <v>0</v>
      </c>
      <c r="AK11" s="16">
        <v>0</v>
      </c>
      <c r="AL11" s="17">
        <f t="shared" si="11"/>
        <v>0</v>
      </c>
      <c r="AM11" s="16">
        <v>0</v>
      </c>
      <c r="AN11" s="16">
        <v>0</v>
      </c>
      <c r="AO11" s="16">
        <v>0</v>
      </c>
      <c r="AP11" s="16">
        <v>0</v>
      </c>
      <c r="AQ11" s="17">
        <f t="shared" si="12"/>
        <v>0</v>
      </c>
      <c r="AR11" s="16">
        <v>0</v>
      </c>
      <c r="AS11" s="16">
        <v>0</v>
      </c>
      <c r="AT11" s="16">
        <v>0</v>
      </c>
      <c r="AU11" s="16">
        <v>0</v>
      </c>
      <c r="AV11" s="17">
        <f t="shared" si="13"/>
        <v>0</v>
      </c>
    </row>
    <row r="12" spans="2:48" outlineLevel="1" x14ac:dyDescent="0.3">
      <c r="B12" s="308" t="s">
        <v>273</v>
      </c>
      <c r="C12" s="44"/>
      <c r="D12" s="16">
        <v>97.3</v>
      </c>
      <c r="E12" s="16">
        <f>192.1-D12</f>
        <v>94.8</v>
      </c>
      <c r="F12" s="16">
        <f>255.4-E12-D12</f>
        <v>63.300000000000026</v>
      </c>
      <c r="G12" s="101">
        <f>308-F12-E12-D12</f>
        <v>52.59999999999998</v>
      </c>
      <c r="H12" s="17">
        <f t="shared" si="6"/>
        <v>308</v>
      </c>
      <c r="I12" s="16">
        <v>90.3</v>
      </c>
      <c r="J12" s="16">
        <f>146.6-I12</f>
        <v>56.3</v>
      </c>
      <c r="K12" s="16">
        <f>188-J12-I12</f>
        <v>41.399999999999991</v>
      </c>
      <c r="L12" s="101">
        <f>248.6-K12-J12-I12</f>
        <v>60.59999999999998</v>
      </c>
      <c r="M12" s="17">
        <f t="shared" si="7"/>
        <v>248.59999999999997</v>
      </c>
      <c r="N12" s="16">
        <v>99.3</v>
      </c>
      <c r="O12" s="16">
        <f>175.3-N12</f>
        <v>76.000000000000014</v>
      </c>
      <c r="P12" s="16">
        <f>255.3-O12-N12</f>
        <v>80.000000000000014</v>
      </c>
      <c r="Q12" s="101">
        <f>319.1-P12-O12-N12</f>
        <v>63.800000000000026</v>
      </c>
      <c r="R12" s="17">
        <f t="shared" si="8"/>
        <v>319.10000000000002</v>
      </c>
      <c r="S12" s="16">
        <v>95.8</v>
      </c>
      <c r="T12" s="16">
        <f>149.2-S12</f>
        <v>53.399999999999991</v>
      </c>
      <c r="U12" s="16">
        <f>206.6-T12-S12</f>
        <v>57.399999999999991</v>
      </c>
      <c r="V12" s="16">
        <f>271.5-U12-T12-S12</f>
        <v>64.900000000000048</v>
      </c>
      <c r="W12" s="17">
        <f t="shared" si="0"/>
        <v>271.5</v>
      </c>
      <c r="X12" s="16">
        <v>85.2</v>
      </c>
      <c r="Y12" s="101">
        <f>159.3-X12</f>
        <v>74.100000000000009</v>
      </c>
      <c r="Z12" s="16">
        <f>'IS (Adjusted)'!Z8*Z53</f>
        <v>76.860526247164472</v>
      </c>
      <c r="AA12" s="16">
        <f>'IS (Adjusted)'!AA8*AA53</f>
        <v>80.575385132606087</v>
      </c>
      <c r="AB12" s="17">
        <f t="shared" si="9"/>
        <v>316.73591137977058</v>
      </c>
      <c r="AC12" s="16">
        <f>'IS (Adjusted)'!AC8*AC53</f>
        <v>85.654113630991063</v>
      </c>
      <c r="AD12" s="16">
        <f>'IS (Adjusted)'!AD8*AD53</f>
        <v>81.905352095514743</v>
      </c>
      <c r="AE12" s="16">
        <f>'IS (Adjusted)'!AE8*AE53</f>
        <v>87.485617504073872</v>
      </c>
      <c r="AF12" s="16">
        <f>'IS (Adjusted)'!AF8*AF53</f>
        <v>89.139067966494821</v>
      </c>
      <c r="AG12" s="17">
        <f t="shared" si="10"/>
        <v>344.18415119707447</v>
      </c>
      <c r="AH12" s="16">
        <f>'IS (Adjusted)'!AH8*AH53</f>
        <v>93.525744658054748</v>
      </c>
      <c r="AI12" s="16">
        <f>'IS (Adjusted)'!AI8*AI53</f>
        <v>91.675326555250948</v>
      </c>
      <c r="AJ12" s="16">
        <f>'IS (Adjusted)'!AJ8*AJ53</f>
        <v>98.029261639674672</v>
      </c>
      <c r="AK12" s="16">
        <f>'IS (Adjusted)'!AK8*AK53</f>
        <v>99.412616044335977</v>
      </c>
      <c r="AL12" s="17">
        <f t="shared" si="11"/>
        <v>382.64294889731639</v>
      </c>
      <c r="AM12" s="16">
        <f>'IS (Adjusted)'!AM8*AM53</f>
        <v>102.40400487826761</v>
      </c>
      <c r="AN12" s="16">
        <f>'IS (Adjusted)'!AN8*AN53</f>
        <v>100.4346776793671</v>
      </c>
      <c r="AO12" s="16">
        <f>'IS (Adjusted)'!AO8*AO53</f>
        <v>106.93625320649326</v>
      </c>
      <c r="AP12" s="16">
        <f>'IS (Adjusted)'!AP8*AP53</f>
        <v>107.96738694447293</v>
      </c>
      <c r="AQ12" s="17">
        <f t="shared" si="12"/>
        <v>417.74232270860091</v>
      </c>
      <c r="AR12" s="16">
        <f>'IS (Adjusted)'!AR8*AR53</f>
        <v>108.93060570115993</v>
      </c>
      <c r="AS12" s="16">
        <f>'IS (Adjusted)'!AS8*AS53</f>
        <v>106.88284480739019</v>
      </c>
      <c r="AT12" s="16">
        <f>'IS (Adjusted)'!AT8*AT53</f>
        <v>113.7559531956973</v>
      </c>
      <c r="AU12" s="16">
        <f>'IS (Adjusted)'!AU8*AU53</f>
        <v>114.83110649888907</v>
      </c>
      <c r="AV12" s="17">
        <f t="shared" si="13"/>
        <v>444.40051020313649</v>
      </c>
    </row>
    <row r="13" spans="2:48" outlineLevel="1" x14ac:dyDescent="0.3">
      <c r="B13" s="319" t="s">
        <v>274</v>
      </c>
      <c r="C13" s="320"/>
      <c r="D13" s="16">
        <v>6.1</v>
      </c>
      <c r="E13" s="101">
        <f>5.4+91.1-D13</f>
        <v>90.4</v>
      </c>
      <c r="F13" s="101">
        <f>10.5+122.3-E13-D13</f>
        <v>36.300000000000004</v>
      </c>
      <c r="G13" s="101">
        <f>10.5+187.9-F13-E13-D13</f>
        <v>65.599999999999994</v>
      </c>
      <c r="H13" s="17">
        <f t="shared" si="6"/>
        <v>198.4</v>
      </c>
      <c r="I13" s="101">
        <f>5.1+294.9</f>
        <v>300</v>
      </c>
      <c r="J13" s="101">
        <f>596.3+67.7-I13</f>
        <v>364</v>
      </c>
      <c r="K13" s="101">
        <f>902.4+124.6+63.7-J13-I13</f>
        <v>426.70000000000005</v>
      </c>
      <c r="L13" s="101">
        <f>1197.6+454.4+24.5-K13-J13-I13</f>
        <v>585.79999999999995</v>
      </c>
      <c r="M13" s="17">
        <f t="shared" si="7"/>
        <v>1676.5</v>
      </c>
      <c r="N13" s="101">
        <f>308.3+132.6-10.2</f>
        <v>430.7</v>
      </c>
      <c r="O13" s="101">
        <f>617.9+175.4-15.4-N13</f>
        <v>347.2</v>
      </c>
      <c r="P13" s="101">
        <f>931.7+204.7-6.8-O13-N13</f>
        <v>351.7000000000001</v>
      </c>
      <c r="Q13" s="101">
        <f>1248.6+226.2-6-P13-O13-N13</f>
        <v>339.19999999999987</v>
      </c>
      <c r="R13" s="17">
        <f t="shared" si="8"/>
        <v>1468.8</v>
      </c>
      <c r="S13" s="101">
        <v>0</v>
      </c>
      <c r="T13" s="101">
        <f>0-S13</f>
        <v>0</v>
      </c>
      <c r="U13" s="101">
        <f>1090.4+89.6-44.7</f>
        <v>1135.3</v>
      </c>
      <c r="V13" s="101">
        <f>1497.7+91.4-67.8-U13-T13-S13</f>
        <v>386.00000000000023</v>
      </c>
      <c r="W13" s="17">
        <f t="shared" si="0"/>
        <v>1521.3000000000002</v>
      </c>
      <c r="X13" s="101">
        <f>263.7+21.1+6.7</f>
        <v>291.5</v>
      </c>
      <c r="Y13" s="101">
        <f>584.7+75.6+22.6-X13</f>
        <v>391.40000000000009</v>
      </c>
      <c r="Z13" s="33">
        <v>0</v>
      </c>
      <c r="AA13" s="33">
        <v>0</v>
      </c>
      <c r="AB13" s="17">
        <f t="shared" si="9"/>
        <v>682.90000000000009</v>
      </c>
      <c r="AC13" s="33">
        <v>0</v>
      </c>
      <c r="AD13" s="33">
        <v>0</v>
      </c>
      <c r="AE13" s="33">
        <v>0</v>
      </c>
      <c r="AF13" s="33">
        <v>0</v>
      </c>
      <c r="AG13" s="17">
        <f t="shared" si="10"/>
        <v>0</v>
      </c>
      <c r="AH13" s="33">
        <v>0</v>
      </c>
      <c r="AI13" s="33">
        <v>0</v>
      </c>
      <c r="AJ13" s="33">
        <v>0</v>
      </c>
      <c r="AK13" s="33">
        <v>0</v>
      </c>
      <c r="AL13" s="17">
        <f t="shared" si="11"/>
        <v>0</v>
      </c>
      <c r="AM13" s="33">
        <v>0</v>
      </c>
      <c r="AN13" s="33">
        <v>0</v>
      </c>
      <c r="AO13" s="33">
        <v>0</v>
      </c>
      <c r="AP13" s="33">
        <v>0</v>
      </c>
      <c r="AQ13" s="17">
        <f t="shared" si="12"/>
        <v>0</v>
      </c>
      <c r="AR13" s="33">
        <v>0</v>
      </c>
      <c r="AS13" s="33">
        <v>0</v>
      </c>
      <c r="AT13" s="33">
        <v>0</v>
      </c>
      <c r="AU13" s="33">
        <v>0</v>
      </c>
      <c r="AV13" s="17">
        <f t="shared" si="13"/>
        <v>0</v>
      </c>
    </row>
    <row r="14" spans="2:48" outlineLevel="1" x14ac:dyDescent="0.3">
      <c r="B14" s="625" t="s">
        <v>275</v>
      </c>
      <c r="C14" s="626"/>
      <c r="D14" s="321"/>
      <c r="E14" s="322"/>
      <c r="F14" s="323"/>
      <c r="G14" s="323"/>
      <c r="H14" s="324"/>
      <c r="I14" s="323"/>
      <c r="J14" s="323"/>
      <c r="K14" s="323"/>
      <c r="L14" s="323"/>
      <c r="M14" s="324"/>
      <c r="N14" s="323"/>
      <c r="O14" s="323"/>
      <c r="P14" s="323"/>
      <c r="Q14" s="323"/>
      <c r="R14" s="324"/>
      <c r="S14" s="323"/>
      <c r="T14" s="323"/>
      <c r="U14" s="323"/>
      <c r="V14" s="323"/>
      <c r="W14" s="324"/>
      <c r="X14" s="323"/>
      <c r="Y14" s="323"/>
      <c r="Z14" s="323"/>
      <c r="AA14" s="323"/>
      <c r="AB14" s="324"/>
      <c r="AC14" s="323"/>
      <c r="AD14" s="323"/>
      <c r="AE14" s="323"/>
      <c r="AF14" s="323"/>
      <c r="AG14" s="324"/>
      <c r="AH14" s="323"/>
      <c r="AI14" s="323"/>
      <c r="AJ14" s="323"/>
      <c r="AK14" s="323"/>
      <c r="AL14" s="324"/>
      <c r="AM14" s="323"/>
      <c r="AN14" s="323"/>
      <c r="AO14" s="323"/>
      <c r="AP14" s="323"/>
      <c r="AQ14" s="324"/>
      <c r="AR14" s="323"/>
      <c r="AS14" s="323"/>
      <c r="AT14" s="323"/>
      <c r="AU14" s="323"/>
      <c r="AV14" s="324"/>
    </row>
    <row r="15" spans="2:48" outlineLevel="1" x14ac:dyDescent="0.3">
      <c r="B15" s="623" t="s">
        <v>276</v>
      </c>
      <c r="C15" s="624"/>
      <c r="D15" s="327">
        <v>-28.8</v>
      </c>
      <c r="E15" s="327">
        <f>9.8-D15</f>
        <v>38.6</v>
      </c>
      <c r="F15" s="327">
        <f>-70.1-E15-D15</f>
        <v>-79.899999999999991</v>
      </c>
      <c r="G15" s="327">
        <f>-197.7-F15-E15-D15</f>
        <v>-127.60000000000001</v>
      </c>
      <c r="H15" s="328">
        <f t="shared" ref="H15:H21" si="16">SUM(D15:G15)</f>
        <v>-197.7</v>
      </c>
      <c r="I15" s="327">
        <v>-22.9</v>
      </c>
      <c r="J15" s="327">
        <f>-60.7-I15</f>
        <v>-37.800000000000004</v>
      </c>
      <c r="K15" s="327">
        <f>13.4-J15-I15</f>
        <v>74.099999999999994</v>
      </c>
      <c r="L15" s="327">
        <f>-2.7-K15-J15-I15</f>
        <v>-16.099999999999994</v>
      </c>
      <c r="M15" s="328">
        <f t="shared" ref="M15:M21" si="17">SUM(I15:L15)</f>
        <v>-2.7000000000000028</v>
      </c>
      <c r="N15" s="327">
        <v>19.600000000000001</v>
      </c>
      <c r="O15" s="327">
        <f>12.8-N15</f>
        <v>-6.8000000000000007</v>
      </c>
      <c r="P15" s="327">
        <f>-13.1-O15-N15</f>
        <v>-25.9</v>
      </c>
      <c r="Q15" s="327">
        <f>-43-P15-O15-N15</f>
        <v>-29.900000000000002</v>
      </c>
      <c r="R15" s="328">
        <f t="shared" ref="R15:R21" si="18">SUM(N15:Q15)</f>
        <v>-43</v>
      </c>
      <c r="S15" s="327">
        <v>-91.6</v>
      </c>
      <c r="T15" s="327">
        <f>-62.1-S15</f>
        <v>29.499999999999993</v>
      </c>
      <c r="U15" s="327">
        <f>-245.5-T15-S15</f>
        <v>-183.4</v>
      </c>
      <c r="V15" s="327">
        <f>-326.1-U15-T15-S15</f>
        <v>-80.600000000000023</v>
      </c>
      <c r="W15" s="328">
        <f t="shared" ref="W15:W21" si="19">SUM(S15:V15)</f>
        <v>-326.10000000000002</v>
      </c>
      <c r="X15" s="327">
        <v>42</v>
      </c>
      <c r="Y15" s="327">
        <f>26.2-X15</f>
        <v>-15.8</v>
      </c>
      <c r="Z15" s="327">
        <f>-('BS (Adjusted)'!Z8-'BS (Adjusted)'!Y8)</f>
        <v>-201.31458580095705</v>
      </c>
      <c r="AA15" s="327">
        <f>-('BS (Adjusted)'!AA8-'BS (Adjusted)'!Z8)</f>
        <v>151.3129244042666</v>
      </c>
      <c r="AB15" s="328">
        <f t="shared" ref="AB15:AB21" si="20">SUM(X15:AA15)</f>
        <v>-23.801661396690463</v>
      </c>
      <c r="AC15" s="327">
        <f>-('BS (Adjusted)'!AC8-'BS (Adjusted)'!AA8)</f>
        <v>-43.056127699278477</v>
      </c>
      <c r="AD15" s="327">
        <f>-('BS (Adjusted)'!AD8-'BS (Adjusted)'!AC8)</f>
        <v>0.35121995794042959</v>
      </c>
      <c r="AE15" s="327">
        <f>-('BS (Adjusted)'!AE8-'BS (Adjusted)'!AD8)</f>
        <v>-117.1765397371737</v>
      </c>
      <c r="AF15" s="327">
        <f>-('BS (Adjusted)'!AF8-'BS (Adjusted)'!AE8)</f>
        <v>68.614308107457873</v>
      </c>
      <c r="AG15" s="328">
        <f t="shared" ref="AG15:AG21" si="21">SUM(AC15:AF15)</f>
        <v>-91.267139371053872</v>
      </c>
      <c r="AH15" s="327">
        <f>-('BS (Adjusted)'!AH8-'BS (Adjusted)'!AF8)</f>
        <v>-94.543515751029418</v>
      </c>
      <c r="AI15" s="327">
        <f>-('BS (Adjusted)'!AI8-'BS (Adjusted)'!AH8)</f>
        <v>-6.3143199063390512</v>
      </c>
      <c r="AJ15" s="327">
        <f>-('BS (Adjusted)'!AJ8-'BS (Adjusted)'!AI8)</f>
        <v>-192.29886765625952</v>
      </c>
      <c r="AK15" s="327">
        <f>-('BS (Adjusted)'!AK8-'BS (Adjusted)'!AJ8)</f>
        <v>82.16933181917716</v>
      </c>
      <c r="AL15" s="328">
        <f t="shared" ref="AL15:AL21" si="22">SUM(AH15:AK15)</f>
        <v>-210.98737149445083</v>
      </c>
      <c r="AM15" s="327">
        <f>-('BS (Adjusted)'!AM8-'BS (Adjusted)'!AK8)</f>
        <v>-33.946923586973526</v>
      </c>
      <c r="AN15" s="327">
        <f>-('BS (Adjusted)'!AN8-'BS (Adjusted)'!AM8)</f>
        <v>1.2599516759471499</v>
      </c>
      <c r="AO15" s="327">
        <f>-('BS (Adjusted)'!AO8-'BS (Adjusted)'!AN8)</f>
        <v>-200.1211147744641</v>
      </c>
      <c r="AP15" s="327">
        <f>-('BS (Adjusted)'!AP8-'BS (Adjusted)'!AO8)</f>
        <v>126.60317263668617</v>
      </c>
      <c r="AQ15" s="328">
        <f t="shared" ref="AQ15:AQ21" si="23">SUM(AM15:AP15)</f>
        <v>-106.20491404880431</v>
      </c>
      <c r="AR15" s="327">
        <f>-('BS (Adjusted)'!AR8-'BS (Adjusted)'!AP8)</f>
        <v>-21.300820434869365</v>
      </c>
      <c r="AS15" s="327">
        <f>-('BS (Adjusted)'!AS8-'BS (Adjusted)'!AR8)</f>
        <v>2.1136846262527342</v>
      </c>
      <c r="AT15" s="327">
        <f>-('BS (Adjusted)'!AT8-'BS (Adjusted)'!AS8)</f>
        <v>-191.40568788136648</v>
      </c>
      <c r="AU15" s="327">
        <f>-('BS (Adjusted)'!AU8-'BS (Adjusted)'!AT8)</f>
        <v>108.68859134746594</v>
      </c>
      <c r="AV15" s="328">
        <f t="shared" ref="AV15:AV21" si="24">SUM(AR15:AU15)</f>
        <v>-101.90423234251716</v>
      </c>
    </row>
    <row r="16" spans="2:48" outlineLevel="1" x14ac:dyDescent="0.3">
      <c r="B16" s="325" t="s">
        <v>215</v>
      </c>
      <c r="C16" s="326"/>
      <c r="D16" s="327">
        <v>44.8</v>
      </c>
      <c r="E16" s="327">
        <f>-51-D16</f>
        <v>-95.8</v>
      </c>
      <c r="F16" s="327">
        <f>-140.5-E16-D16</f>
        <v>-89.5</v>
      </c>
      <c r="G16" s="327">
        <f>-173-F16-E16-D16</f>
        <v>-32.5</v>
      </c>
      <c r="H16" s="328">
        <f t="shared" si="16"/>
        <v>-173</v>
      </c>
      <c r="I16" s="327">
        <v>122.8</v>
      </c>
      <c r="J16" s="327">
        <f>36.9-I16</f>
        <v>-85.9</v>
      </c>
      <c r="K16" s="327">
        <f>-51.7-J16-I16</f>
        <v>-88.6</v>
      </c>
      <c r="L16" s="327">
        <f>-10.9-K16-J16-I16</f>
        <v>40.799999999999997</v>
      </c>
      <c r="M16" s="328">
        <f t="shared" si="17"/>
        <v>-10.900000000000006</v>
      </c>
      <c r="N16" s="327">
        <v>90.1</v>
      </c>
      <c r="O16" s="327">
        <f>51.3-N16</f>
        <v>-38.799999999999997</v>
      </c>
      <c r="P16" s="327">
        <f>8.4-O16-N16</f>
        <v>-42.9</v>
      </c>
      <c r="Q16" s="327">
        <f>-49.8-P16-O16-N16</f>
        <v>-58.199999999999996</v>
      </c>
      <c r="R16" s="328">
        <f t="shared" si="18"/>
        <v>-49.8</v>
      </c>
      <c r="S16" s="327">
        <v>-36</v>
      </c>
      <c r="T16" s="327">
        <f>-324.9-S16</f>
        <v>-288.89999999999998</v>
      </c>
      <c r="U16" s="327">
        <f>-557.3-T16-S16</f>
        <v>-232.39999999999998</v>
      </c>
      <c r="V16" s="327">
        <f>-641-U16-T16-S16</f>
        <v>-83.700000000000045</v>
      </c>
      <c r="W16" s="328">
        <f t="shared" si="19"/>
        <v>-641</v>
      </c>
      <c r="X16" s="327">
        <v>108.5</v>
      </c>
      <c r="Y16" s="327">
        <f>194.6-X16</f>
        <v>86.1</v>
      </c>
      <c r="Z16" s="327">
        <f>-('BS (Adjusted)'!Z9-'BS (Adjusted)'!Y9)</f>
        <v>-468.74391339091426</v>
      </c>
      <c r="AA16" s="327">
        <f>-('BS (Adjusted)'!AA9-'BS (Adjusted)'!Z9)</f>
        <v>333.77606581865302</v>
      </c>
      <c r="AB16" s="328">
        <f t="shared" si="20"/>
        <v>59.632152427738788</v>
      </c>
      <c r="AC16" s="327">
        <f>-('BS (Adjusted)'!AC9-'BS (Adjusted)'!AA9)</f>
        <v>-38.366813571502462</v>
      </c>
      <c r="AD16" s="327">
        <f>-('BS (Adjusted)'!AD9-'BS (Adjusted)'!AC9)</f>
        <v>-86.449558945190347</v>
      </c>
      <c r="AE16" s="327">
        <f>-('BS (Adjusted)'!AE9-'BS (Adjusted)'!AD9)</f>
        <v>-255.53520126952526</v>
      </c>
      <c r="AF16" s="327">
        <f>-('BS (Adjusted)'!AF9-'BS (Adjusted)'!AE9)</f>
        <v>165.01480847911853</v>
      </c>
      <c r="AG16" s="328">
        <f t="shared" si="21"/>
        <v>-215.33676530709954</v>
      </c>
      <c r="AH16" s="327">
        <f>-('BS (Adjusted)'!AH9-'BS (Adjusted)'!AF9)</f>
        <v>-33.423004481181579</v>
      </c>
      <c r="AI16" s="327">
        <f>-('BS (Adjusted)'!AI9-'BS (Adjusted)'!AH9)</f>
        <v>-107.50247072034108</v>
      </c>
      <c r="AJ16" s="327">
        <f>-('BS (Adjusted)'!AJ9-'BS (Adjusted)'!AI9)</f>
        <v>-373.69989274663112</v>
      </c>
      <c r="AK16" s="327">
        <f>-('BS (Adjusted)'!AK9-'BS (Adjusted)'!AJ9)</f>
        <v>154.31256637202432</v>
      </c>
      <c r="AL16" s="328">
        <f t="shared" si="22"/>
        <v>-360.31280157612946</v>
      </c>
      <c r="AM16" s="327">
        <f>-('BS (Adjusted)'!AM9-'BS (Adjusted)'!AK9)</f>
        <v>33.958158678671225</v>
      </c>
      <c r="AN16" s="327">
        <f>-('BS (Adjusted)'!AN9-'BS (Adjusted)'!AM9)</f>
        <v>-3.9114450756710539</v>
      </c>
      <c r="AO16" s="327">
        <f>-('BS (Adjusted)'!AO9-'BS (Adjusted)'!AN9)</f>
        <v>-425.74596883206186</v>
      </c>
      <c r="AP16" s="327">
        <f>-('BS (Adjusted)'!AP9-'BS (Adjusted)'!AO9)</f>
        <v>230.68204682979422</v>
      </c>
      <c r="AQ16" s="328">
        <f t="shared" si="23"/>
        <v>-165.01720839926747</v>
      </c>
      <c r="AR16" s="327">
        <f>-('BS (Adjusted)'!AR9-'BS (Adjusted)'!AP9)</f>
        <v>70.139252283521728</v>
      </c>
      <c r="AS16" s="327">
        <f>-('BS (Adjusted)'!AS9-'BS (Adjusted)'!AR9)</f>
        <v>-71.221274365852878</v>
      </c>
      <c r="AT16" s="327">
        <f>-('BS (Adjusted)'!AT9-'BS (Adjusted)'!AS9)</f>
        <v>-385.92422445067768</v>
      </c>
      <c r="AU16" s="327">
        <f>-('BS (Adjusted)'!AU9-'BS (Adjusted)'!AT9)</f>
        <v>208.66600346784253</v>
      </c>
      <c r="AV16" s="328">
        <f t="shared" si="24"/>
        <v>-178.34024306516631</v>
      </c>
    </row>
    <row r="17" spans="2:48" outlineLevel="1" x14ac:dyDescent="0.3">
      <c r="B17" s="623" t="s">
        <v>277</v>
      </c>
      <c r="C17" s="624"/>
      <c r="D17" s="327">
        <v>847.3</v>
      </c>
      <c r="E17" s="327">
        <f>774.6-D17</f>
        <v>-72.699999999999932</v>
      </c>
      <c r="F17" s="327">
        <f>831.6-E17-D17</f>
        <v>57</v>
      </c>
      <c r="G17" s="327">
        <f>922-F17-E17-D17</f>
        <v>90.399999999999977</v>
      </c>
      <c r="H17" s="328">
        <f t="shared" si="16"/>
        <v>922</v>
      </c>
      <c r="I17" s="327">
        <v>-28.5</v>
      </c>
      <c r="J17" s="327">
        <f>-247.7-I17</f>
        <v>-219.2</v>
      </c>
      <c r="K17" s="327">
        <f>-492.1-J17-I17</f>
        <v>-244.40000000000003</v>
      </c>
      <c r="L17" s="327">
        <f>-317.5-K17-J17-I17</f>
        <v>174.60000000000002</v>
      </c>
      <c r="M17" s="328">
        <f t="shared" si="17"/>
        <v>-317.5</v>
      </c>
      <c r="N17" s="327">
        <v>5.2</v>
      </c>
      <c r="O17" s="327">
        <f>139.7-N17</f>
        <v>134.5</v>
      </c>
      <c r="P17" s="327">
        <f>216.8-O17-N17</f>
        <v>77.100000000000009</v>
      </c>
      <c r="Q17" s="327">
        <f>251.1-P17-O17-N17</f>
        <v>34.299999999999997</v>
      </c>
      <c r="R17" s="328">
        <f t="shared" si="18"/>
        <v>251.10000000000002</v>
      </c>
      <c r="S17" s="327">
        <f>64.6+330.4+50.7-4.9</f>
        <v>440.8</v>
      </c>
      <c r="T17" s="327">
        <f>-120.7+670.7+77.3-17.9-S17</f>
        <v>168.59999999999997</v>
      </c>
      <c r="U17" s="327">
        <f t="shared" ref="U17:U20" si="25">0-T17-S17</f>
        <v>-609.4</v>
      </c>
      <c r="V17" s="327">
        <f t="shared" si="15"/>
        <v>0</v>
      </c>
      <c r="W17" s="328">
        <f t="shared" si="19"/>
        <v>0</v>
      </c>
      <c r="X17" s="327"/>
      <c r="Y17" s="327">
        <f t="shared" ref="Y17:Y20" si="26">0-X17</f>
        <v>0</v>
      </c>
      <c r="Z17" s="327">
        <f>-('BS (Adjusted)'!Z10-'BS (Adjusted)'!Y10)</f>
        <v>-4.0860000000000127</v>
      </c>
      <c r="AA17" s="327">
        <f>-('BS (Adjusted)'!AA10-'BS (Adjusted)'!Z10)</f>
        <v>-4.126860000000022</v>
      </c>
      <c r="AB17" s="328">
        <f t="shared" si="20"/>
        <v>-8.2128600000000347</v>
      </c>
      <c r="AC17" s="327">
        <f>-('BS (Adjusted)'!AC10-'BS (Adjusted)'!AA10)</f>
        <v>-4.1681285999999886</v>
      </c>
      <c r="AD17" s="327">
        <f>-('BS (Adjusted)'!AD10-'BS (Adjusted)'!AC10)</f>
        <v>-4.2098098860000164</v>
      </c>
      <c r="AE17" s="327">
        <f>-('BS (Adjusted)'!AE10-'BS (Adjusted)'!AD10)</f>
        <v>-4.2519079848599972</v>
      </c>
      <c r="AF17" s="327">
        <f>-('BS (Adjusted)'!AF10-'BS (Adjusted)'!AE10)</f>
        <v>-4.2944270647086</v>
      </c>
      <c r="AG17" s="328">
        <f t="shared" si="21"/>
        <v>-16.924273535568602</v>
      </c>
      <c r="AH17" s="327">
        <f>-('BS (Adjusted)'!AH10-'BS (Adjusted)'!AF10)</f>
        <v>-4.3373713353556695</v>
      </c>
      <c r="AI17" s="327">
        <f>-('BS (Adjusted)'!AI10-'BS (Adjusted)'!AH10)</f>
        <v>-4.3807450487092296</v>
      </c>
      <c r="AJ17" s="327">
        <f>-('BS (Adjusted)'!AJ10-'BS (Adjusted)'!AI10)</f>
        <v>-4.4245524991963521</v>
      </c>
      <c r="AK17" s="327">
        <f>-('BS (Adjusted)'!AK10-'BS (Adjusted)'!AJ10)</f>
        <v>-4.4687980241882883</v>
      </c>
      <c r="AL17" s="328">
        <f t="shared" si="22"/>
        <v>-17.61146690744954</v>
      </c>
      <c r="AM17" s="327">
        <f>-('BS (Adjusted)'!AM10-'BS (Adjusted)'!AK10)</f>
        <v>-4.5134860044302059</v>
      </c>
      <c r="AN17" s="327">
        <f>-('BS (Adjusted)'!AN10-'BS (Adjusted)'!AM10)</f>
        <v>-4.5586208644745057</v>
      </c>
      <c r="AO17" s="327">
        <f>-('BS (Adjusted)'!AO10-'BS (Adjusted)'!AN10)</f>
        <v>-4.6042070731192553</v>
      </c>
      <c r="AP17" s="327">
        <f>-('BS (Adjusted)'!AP10-'BS (Adjusted)'!AO10)</f>
        <v>-4.6502491438504308</v>
      </c>
      <c r="AQ17" s="328">
        <f t="shared" si="23"/>
        <v>-18.326563085874398</v>
      </c>
      <c r="AR17" s="327">
        <f>-('BS (Adjusted)'!AR10-'BS (Adjusted)'!AP10)</f>
        <v>-4.6967516352889334</v>
      </c>
      <c r="AS17" s="327">
        <f>-('BS (Adjusted)'!AS10-'BS (Adjusted)'!AR10)</f>
        <v>-4.7437191516418125</v>
      </c>
      <c r="AT17" s="327">
        <f>-('BS (Adjusted)'!AT10-'BS (Adjusted)'!AS10)</f>
        <v>-4.7911563431582636</v>
      </c>
      <c r="AU17" s="327">
        <f>-('BS (Adjusted)'!AU10-'BS (Adjusted)'!AT10)</f>
        <v>-4.8390679065898325</v>
      </c>
      <c r="AV17" s="328">
        <f t="shared" si="24"/>
        <v>-19.070695036678842</v>
      </c>
    </row>
    <row r="18" spans="2:48" outlineLevel="1" x14ac:dyDescent="0.3">
      <c r="B18" s="623" t="s">
        <v>228</v>
      </c>
      <c r="C18" s="624"/>
      <c r="D18" s="327">
        <v>-21.3</v>
      </c>
      <c r="E18" s="327">
        <f>-83.4-D18</f>
        <v>-62.100000000000009</v>
      </c>
      <c r="F18" s="327">
        <f>-15.1-E18-D18</f>
        <v>68.300000000000011</v>
      </c>
      <c r="G18" s="327">
        <f>31.9-F18-E18-D18</f>
        <v>47</v>
      </c>
      <c r="H18" s="328">
        <f t="shared" si="16"/>
        <v>31.900000000000006</v>
      </c>
      <c r="I18" s="327">
        <v>-110.3</v>
      </c>
      <c r="J18" s="327">
        <f>-186.4-I18</f>
        <v>-76.100000000000009</v>
      </c>
      <c r="K18" s="327">
        <f>-320.3-J18-I18</f>
        <v>-133.89999999999998</v>
      </c>
      <c r="L18" s="327">
        <f>-210.8-K18-J18-I18</f>
        <v>109.49999999999997</v>
      </c>
      <c r="M18" s="328">
        <f t="shared" si="17"/>
        <v>-210.79999999999998</v>
      </c>
      <c r="N18" s="327">
        <v>24.8</v>
      </c>
      <c r="O18" s="327">
        <f>21.3-N18</f>
        <v>-3.5</v>
      </c>
      <c r="P18" s="327">
        <f>108.2-O18-N18</f>
        <v>86.9</v>
      </c>
      <c r="Q18" s="327">
        <f>189.9-P18-O18-N18</f>
        <v>81.7</v>
      </c>
      <c r="R18" s="328">
        <f t="shared" si="18"/>
        <v>189.9</v>
      </c>
      <c r="S18" s="327">
        <v>84</v>
      </c>
      <c r="T18" s="327">
        <f>133-S18</f>
        <v>49</v>
      </c>
      <c r="U18" s="327">
        <f>341.7-T18-S18</f>
        <v>208.7</v>
      </c>
      <c r="V18" s="327">
        <f>345.5-U18-T18-S18</f>
        <v>3.8000000000000114</v>
      </c>
      <c r="W18" s="328">
        <f t="shared" si="19"/>
        <v>345.5</v>
      </c>
      <c r="X18" s="327">
        <v>-117.3</v>
      </c>
      <c r="Y18" s="327">
        <f>-51.2-X18</f>
        <v>66.099999999999994</v>
      </c>
      <c r="Z18" s="327">
        <f>'BS (Adjusted)'!Z22-'BS (Adjusted)'!Y22</f>
        <v>195.61648902768775</v>
      </c>
      <c r="AA18" s="327">
        <f>'BS (Adjusted)'!AA22-'BS (Adjusted)'!Z22</f>
        <v>-159.83280934687946</v>
      </c>
      <c r="AB18" s="328">
        <f t="shared" si="20"/>
        <v>-15.416320319191698</v>
      </c>
      <c r="AC18" s="327">
        <f>'BS (Adjusted)'!AC22-'BS (Adjusted)'!AA22</f>
        <v>83.037680139149188</v>
      </c>
      <c r="AD18" s="327">
        <f>'BS (Adjusted)'!AD22-'BS (Adjusted)'!AC22</f>
        <v>27.292664209674285</v>
      </c>
      <c r="AE18" s="327">
        <f>'BS (Adjusted)'!AE22-'BS (Adjusted)'!AD22</f>
        <v>171.66979501301034</v>
      </c>
      <c r="AF18" s="327">
        <f>'BS (Adjusted)'!AF22-'BS (Adjusted)'!AE22</f>
        <v>-98.322076697550301</v>
      </c>
      <c r="AG18" s="328">
        <f t="shared" si="21"/>
        <v>183.67806266428352</v>
      </c>
      <c r="AH18" s="327">
        <f>'BS (Adjusted)'!AH22-'BS (Adjusted)'!AF22</f>
        <v>49.891779534915941</v>
      </c>
      <c r="AI18" s="327">
        <f>'BS (Adjusted)'!AI22-'BS (Adjusted)'!AH22</f>
        <v>48.317184752633239</v>
      </c>
      <c r="AJ18" s="327">
        <f>'BS (Adjusted)'!AJ22-'BS (Adjusted)'!AI22</f>
        <v>210.69730161047551</v>
      </c>
      <c r="AK18" s="327">
        <f>'BS (Adjusted)'!AK22-'BS (Adjusted)'!AJ22</f>
        <v>-105.34055951627215</v>
      </c>
      <c r="AL18" s="328">
        <f t="shared" si="22"/>
        <v>203.56570638175253</v>
      </c>
      <c r="AM18" s="327">
        <f>'BS (Adjusted)'!AM22-'BS (Adjusted)'!AK22</f>
        <v>-7.4140055424654747</v>
      </c>
      <c r="AN18" s="327">
        <f>'BS (Adjusted)'!AN22-'BS (Adjusted)'!AM22</f>
        <v>44.217421385009175</v>
      </c>
      <c r="AO18" s="327">
        <f>'BS (Adjusted)'!AO22-'BS (Adjusted)'!AN22</f>
        <v>220.1887576424881</v>
      </c>
      <c r="AP18" s="327">
        <f>'BS (Adjusted)'!AP22-'BS (Adjusted)'!AO22</f>
        <v>-123.0776923281021</v>
      </c>
      <c r="AQ18" s="328">
        <f t="shared" si="23"/>
        <v>133.9144811569297</v>
      </c>
      <c r="AR18" s="327">
        <f>'BS (Adjusted)'!AR22-'BS (Adjusted)'!AP22</f>
        <v>-8.5805322080516362</v>
      </c>
      <c r="AS18" s="327">
        <f>'BS (Adjusted)'!AS22-'BS (Adjusted)'!AR22</f>
        <v>39.796707405052757</v>
      </c>
      <c r="AT18" s="327">
        <f>'BS (Adjusted)'!AT22-'BS (Adjusted)'!AS22</f>
        <v>220.40210542076488</v>
      </c>
      <c r="AU18" s="327">
        <f>'BS (Adjusted)'!AU22-'BS (Adjusted)'!AT22</f>
        <v>-124.10277441084418</v>
      </c>
      <c r="AV18" s="328">
        <f t="shared" si="24"/>
        <v>127.51550620692183</v>
      </c>
    </row>
    <row r="19" spans="2:48" outlineLevel="1" x14ac:dyDescent="0.3">
      <c r="B19" s="325" t="s">
        <v>233</v>
      </c>
      <c r="C19" s="326"/>
      <c r="D19" s="327">
        <v>362.7</v>
      </c>
      <c r="E19" s="327">
        <f>9.4-D19</f>
        <v>-353.3</v>
      </c>
      <c r="F19" s="327">
        <f>-32.4-E19-D19</f>
        <v>-41.799999999999955</v>
      </c>
      <c r="G19" s="327">
        <f>-30.5-F19-E19-D19</f>
        <v>1.8999999999999773</v>
      </c>
      <c r="H19" s="328">
        <f t="shared" si="16"/>
        <v>-30.5</v>
      </c>
      <c r="I19" s="327">
        <v>426.7</v>
      </c>
      <c r="J19" s="327">
        <f>112.1-I19</f>
        <v>-314.60000000000002</v>
      </c>
      <c r="K19" s="327">
        <f>92-J19-I19</f>
        <v>-20.099999999999966</v>
      </c>
      <c r="L19" s="327">
        <f>31-K19-J19-I19</f>
        <v>-61</v>
      </c>
      <c r="M19" s="328">
        <f t="shared" si="17"/>
        <v>31</v>
      </c>
      <c r="N19" s="327">
        <v>398.9</v>
      </c>
      <c r="O19" s="327">
        <f>89.8-N19</f>
        <v>-309.09999999999997</v>
      </c>
      <c r="P19" s="327">
        <f>52.4-O19-N19</f>
        <v>-37.400000000000034</v>
      </c>
      <c r="Q19" s="327">
        <f>-6.1-P19-O19-N19</f>
        <v>-58.5</v>
      </c>
      <c r="R19" s="328">
        <f t="shared" si="18"/>
        <v>-6.1000000000000227</v>
      </c>
      <c r="S19" s="327">
        <v>461.3</v>
      </c>
      <c r="T19" s="327">
        <f>110.2-S19</f>
        <v>-351.1</v>
      </c>
      <c r="U19" s="327">
        <f>32.7-T19-S19</f>
        <v>-77.5</v>
      </c>
      <c r="V19" s="327">
        <f>-75.8-U19-T19-S19</f>
        <v>-108.5</v>
      </c>
      <c r="W19" s="328">
        <f t="shared" si="19"/>
        <v>-75.800000000000011</v>
      </c>
      <c r="X19" s="327">
        <v>461</v>
      </c>
      <c r="Y19" s="327">
        <f>54-X19</f>
        <v>-407</v>
      </c>
      <c r="Z19" s="327">
        <f>+('BS (Adjusted)'!Z27-'BS (Adjusted)'!Y27)</f>
        <v>-17.95900000000006</v>
      </c>
      <c r="AA19" s="327">
        <f>+('BS (Adjusted)'!AA27-'BS (Adjusted)'!Z27)</f>
        <v>-17.779410000000098</v>
      </c>
      <c r="AB19" s="328">
        <f t="shared" si="20"/>
        <v>18.261589999999842</v>
      </c>
      <c r="AC19" s="327">
        <f>+('BS (Adjusted)'!AC27-'BS (Adjusted)'!AA27)</f>
        <v>528.04847700000005</v>
      </c>
      <c r="AD19" s="327">
        <f>+('BS (Adjusted)'!AD27-'BS (Adjusted)'!AC27)</f>
        <v>-343.23151005</v>
      </c>
      <c r="AE19" s="327">
        <f>+('BS (Adjusted)'!AE27-'BS (Adjusted)'!AD27)</f>
        <v>-19.449785569499909</v>
      </c>
      <c r="AF19" s="327">
        <f>+('BS (Adjusted)'!AF27-'BS (Adjusted)'!AE27)</f>
        <v>-19.255287713805046</v>
      </c>
      <c r="AG19" s="328">
        <f t="shared" si="21"/>
        <v>146.1118936666951</v>
      </c>
      <c r="AH19" s="327">
        <f>+('BS (Adjusted)'!AH27-'BS (Adjusted)'!AF27)</f>
        <v>571.88204510000878</v>
      </c>
      <c r="AI19" s="327">
        <f>+('BS (Adjusted)'!AI27-'BS (Adjusted)'!AH27)</f>
        <v>-371.72332931500569</v>
      </c>
      <c r="AJ19" s="327">
        <f>+('BS (Adjusted)'!AJ27-'BS (Adjusted)'!AI27)</f>
        <v>-21.064321994516831</v>
      </c>
      <c r="AK19" s="327">
        <f>+('BS (Adjusted)'!AK27-'BS (Adjusted)'!AJ27)</f>
        <v>-20.853678774572018</v>
      </c>
      <c r="AL19" s="328">
        <f t="shared" si="22"/>
        <v>158.24071501591425</v>
      </c>
      <c r="AM19" s="327">
        <f>+('BS (Adjusted)'!AM27-'BS (Adjusted)'!AK27)</f>
        <v>619.35425960478278</v>
      </c>
      <c r="AN19" s="327">
        <f>+('BS (Adjusted)'!AN27-'BS (Adjusted)'!AM27)</f>
        <v>-402.58026874310872</v>
      </c>
      <c r="AO19" s="327">
        <f>+('BS (Adjusted)'!AO27-'BS (Adjusted)'!AN27)</f>
        <v>-22.812881895442843</v>
      </c>
      <c r="AP19" s="327">
        <f>+('BS (Adjusted)'!AP27-'BS (Adjusted)'!AO27)</f>
        <v>-22.584753076488596</v>
      </c>
      <c r="AQ19" s="328">
        <f t="shared" si="23"/>
        <v>171.37635588974263</v>
      </c>
      <c r="AR19" s="327">
        <f>+('BS (Adjusted)'!AR27-'BS (Adjusted)'!AP27)</f>
        <v>670.76716637170557</v>
      </c>
      <c r="AS19" s="327">
        <f>+('BS (Adjusted)'!AS27-'BS (Adjusted)'!AR27)</f>
        <v>-435.99865814160876</v>
      </c>
      <c r="AT19" s="327">
        <f>+('BS (Adjusted)'!AT27-'BS (Adjusted)'!AS27)</f>
        <v>-24.706590628024514</v>
      </c>
      <c r="AU19" s="327">
        <f>+('BS (Adjusted)'!AU27-'BS (Adjusted)'!AT27)</f>
        <v>-24.459524721744401</v>
      </c>
      <c r="AV19" s="328">
        <f t="shared" si="24"/>
        <v>185.6023928803279</v>
      </c>
    </row>
    <row r="20" spans="2:48" outlineLevel="1" x14ac:dyDescent="0.3">
      <c r="B20" s="325" t="s">
        <v>278</v>
      </c>
      <c r="C20" s="326"/>
      <c r="D20" s="327">
        <v>0</v>
      </c>
      <c r="E20" s="327">
        <v>0</v>
      </c>
      <c r="F20" s="327">
        <f>1045.4-E20-D20</f>
        <v>1045.4000000000001</v>
      </c>
      <c r="G20" s="327">
        <f>1237-F20-E20-D20</f>
        <v>191.59999999999991</v>
      </c>
      <c r="H20" s="328">
        <f t="shared" si="16"/>
        <v>1237</v>
      </c>
      <c r="I20" s="327">
        <v>125.1</v>
      </c>
      <c r="J20" s="327">
        <f>-1227.4-I20</f>
        <v>-1352.5</v>
      </c>
      <c r="K20" s="327">
        <f>-1224.5-J20-I20</f>
        <v>2.9000000000000057</v>
      </c>
      <c r="L20" s="327">
        <f>-1214.6-K20-J20-I20</f>
        <v>9.9000000000000057</v>
      </c>
      <c r="M20" s="328">
        <f t="shared" si="17"/>
        <v>-1214.5999999999999</v>
      </c>
      <c r="N20" s="327">
        <v>56.9</v>
      </c>
      <c r="O20" s="327">
        <f>40-N20</f>
        <v>-16.899999999999999</v>
      </c>
      <c r="P20" s="327">
        <f>128.9-O20-N20</f>
        <v>88.9</v>
      </c>
      <c r="Q20" s="327">
        <f>286.1-P20-O20-N20</f>
        <v>157.20000000000002</v>
      </c>
      <c r="R20" s="328">
        <f t="shared" si="18"/>
        <v>286.10000000000002</v>
      </c>
      <c r="S20" s="327">
        <v>0</v>
      </c>
      <c r="T20" s="327">
        <f>0-S20</f>
        <v>0</v>
      </c>
      <c r="U20" s="327">
        <f t="shared" si="25"/>
        <v>0</v>
      </c>
      <c r="V20" s="327">
        <f>-149.6-U20-T20-S20</f>
        <v>-149.6</v>
      </c>
      <c r="W20" s="328">
        <f t="shared" si="19"/>
        <v>-149.6</v>
      </c>
      <c r="X20" s="327">
        <v>0</v>
      </c>
      <c r="Y20" s="327">
        <f t="shared" si="26"/>
        <v>0</v>
      </c>
      <c r="Z20" s="327">
        <f>+('BS (Adjusted)'!Z25-'BS (Adjusted)'!Y25)</f>
        <v>0</v>
      </c>
      <c r="AA20" s="327">
        <f>+('BS (Adjusted)'!AA25-'BS (Adjusted)'!Z25)</f>
        <v>0</v>
      </c>
      <c r="AB20" s="328">
        <f t="shared" si="20"/>
        <v>0</v>
      </c>
      <c r="AC20" s="327">
        <f>+('BS (Adjusted)'!AC25-'BS (Adjusted)'!AA25)</f>
        <v>0</v>
      </c>
      <c r="AD20" s="327">
        <f>+('BS (Adjusted)'!AD25-'BS (Adjusted)'!AC25)</f>
        <v>0</v>
      </c>
      <c r="AE20" s="327">
        <f>+('BS (Adjusted)'!AE25-'BS (Adjusted)'!AD25)</f>
        <v>0</v>
      </c>
      <c r="AF20" s="327">
        <f>+('BS (Adjusted)'!AF25-'BS (Adjusted)'!AE25)</f>
        <v>0</v>
      </c>
      <c r="AG20" s="328">
        <f t="shared" si="21"/>
        <v>0</v>
      </c>
      <c r="AH20" s="327">
        <f>+('BS (Adjusted)'!AH25-'BS (Adjusted)'!AF25)</f>
        <v>0</v>
      </c>
      <c r="AI20" s="327">
        <f>+('BS (Adjusted)'!AI25-'BS (Adjusted)'!AH25)</f>
        <v>0</v>
      </c>
      <c r="AJ20" s="327">
        <f>+('BS (Adjusted)'!AJ25-'BS (Adjusted)'!AI25)</f>
        <v>0</v>
      </c>
      <c r="AK20" s="327">
        <f>+('BS (Adjusted)'!AK25-'BS (Adjusted)'!AJ25)</f>
        <v>0</v>
      </c>
      <c r="AL20" s="328">
        <f t="shared" si="22"/>
        <v>0</v>
      </c>
      <c r="AM20" s="327">
        <f>+('BS (Adjusted)'!AM25-'BS (Adjusted)'!AK25)</f>
        <v>0</v>
      </c>
      <c r="AN20" s="327">
        <f>+('BS (Adjusted)'!AN25-'BS (Adjusted)'!AM25)</f>
        <v>0</v>
      </c>
      <c r="AO20" s="327">
        <f>+('BS (Adjusted)'!AO25-'BS (Adjusted)'!AN25)</f>
        <v>0</v>
      </c>
      <c r="AP20" s="327">
        <f>+('BS (Adjusted)'!AP25-'BS (Adjusted)'!AO25)</f>
        <v>0</v>
      </c>
      <c r="AQ20" s="328">
        <f t="shared" si="23"/>
        <v>0</v>
      </c>
      <c r="AR20" s="327">
        <f>+('BS (Adjusted)'!AR25-'BS (Adjusted)'!AP25)</f>
        <v>0</v>
      </c>
      <c r="AS20" s="327">
        <f>+('BS (Adjusted)'!AS25-'BS (Adjusted)'!AR25)</f>
        <v>0</v>
      </c>
      <c r="AT20" s="327">
        <f>+('BS (Adjusted)'!AT25-'BS (Adjusted)'!AS25)</f>
        <v>0</v>
      </c>
      <c r="AU20" s="327">
        <f>+('BS (Adjusted)'!AU25-'BS (Adjusted)'!AT25)</f>
        <v>0</v>
      </c>
      <c r="AV20" s="328">
        <f t="shared" si="24"/>
        <v>0</v>
      </c>
    </row>
    <row r="21" spans="2:48" ht="16.2" outlineLevel="1" x14ac:dyDescent="0.45">
      <c r="B21" s="623" t="s">
        <v>279</v>
      </c>
      <c r="C21" s="624"/>
      <c r="D21" s="329">
        <v>305.60000000000002</v>
      </c>
      <c r="E21" s="329">
        <f>429.3-D21</f>
        <v>123.69999999999999</v>
      </c>
      <c r="F21" s="329">
        <f>-67.4-E21-D21</f>
        <v>-496.70000000000005</v>
      </c>
      <c r="G21" s="329">
        <f>-141.1-F21-E21-D21</f>
        <v>-73.699999999999989</v>
      </c>
      <c r="H21" s="330">
        <f t="shared" si="16"/>
        <v>-141.10000000000002</v>
      </c>
      <c r="I21" s="329">
        <f>-31.8-301.6</f>
        <v>-333.40000000000003</v>
      </c>
      <c r="J21" s="329">
        <f>-608.6-140.5-I21</f>
        <v>-415.7</v>
      </c>
      <c r="K21" s="329">
        <f>-918.2+70.5-J21-I21</f>
        <v>-98.600000000000023</v>
      </c>
      <c r="L21" s="329">
        <f>-1231.4+280.5-K21-J21-I21</f>
        <v>-103.20000000000005</v>
      </c>
      <c r="M21" s="330">
        <f t="shared" si="17"/>
        <v>-950.90000000000009</v>
      </c>
      <c r="N21" s="329">
        <f>-314.8+12.3</f>
        <v>-302.5</v>
      </c>
      <c r="O21" s="329">
        <f>-676.3+59.5-N21</f>
        <v>-314.29999999999995</v>
      </c>
      <c r="P21" s="329">
        <f>-1029.8+154.6-O21-N21</f>
        <v>-258.39999999999998</v>
      </c>
      <c r="Q21" s="329">
        <f>-1488.1+358.7-P21-O21-N21</f>
        <v>-254.19999999999993</v>
      </c>
      <c r="R21" s="330">
        <f t="shared" si="18"/>
        <v>-1129.3999999999999</v>
      </c>
      <c r="S21" s="329">
        <f>-363.3+79.4</f>
        <v>-283.89999999999998</v>
      </c>
      <c r="T21" s="329">
        <f>-766.3-95-S21</f>
        <v>-577.4</v>
      </c>
      <c r="U21" s="329">
        <f>-1201.4+5.8-T21-S21</f>
        <v>-334.30000000000018</v>
      </c>
      <c r="V21" s="329">
        <f>339.6-1625.6-U21-T21-S21</f>
        <v>-90.399999999999864</v>
      </c>
      <c r="W21" s="330">
        <f t="shared" si="19"/>
        <v>-1286</v>
      </c>
      <c r="X21" s="329">
        <f>-281.4-198.6</f>
        <v>-480</v>
      </c>
      <c r="Y21" s="329">
        <f>-621.8-445.5-X21</f>
        <v>-587.29999999999995</v>
      </c>
      <c r="Z21" s="329">
        <f>('BS (Adjusted)'!Z23-'BS (Adjusted)'!Y23)+('BS (Adjusted)'!Z33-'BS (Adjusted)'!Y33)+('BS (Adjusted)'!Z34-'BS (Adjusted)'!Y34)+('BS (Adjusted)'!Z26-'BS (Adjusted)'!Y26)+('BS (Adjusted)'!Z24-'BS (Adjusted)'!Y24)</f>
        <v>-36.079000000000178</v>
      </c>
      <c r="AA21" s="329">
        <f>('BS (Adjusted)'!AA23-'BS (Adjusted)'!Z23)+('BS (Adjusted)'!AA33-'BS (Adjusted)'!Z33)+('BS (Adjusted)'!AA34-'BS (Adjusted)'!Z34)+('BS (Adjusted)'!AA26-'BS (Adjusted)'!Z26)+('BS (Adjusted)'!AA24-'BS (Adjusted)'!Z24)</f>
        <v>-35.903682999999774</v>
      </c>
      <c r="AB21" s="330">
        <f t="shared" si="20"/>
        <v>-1139.2826829999999</v>
      </c>
      <c r="AC21" s="329">
        <f>('BS (Adjusted)'!AC23-'BS (Adjusted)'!AA23)+('BS (Adjusted)'!AC33-'BS (Adjusted)'!AA33)+('BS (Adjusted)'!AC34-'BS (Adjusted)'!AA34)+('BS (Adjusted)'!AC26-'BS (Adjusted)'!AA26)+('BS (Adjusted)'!AC24-'BS (Adjusted)'!AA24)</f>
        <v>-35.729222272999777</v>
      </c>
      <c r="AD21" s="329">
        <f>('BS (Adjusted)'!AD23-'BS (Adjusted)'!AC23)+('BS (Adjusted)'!AD33-'BS (Adjusted)'!AC33)+('BS (Adjusted)'!AD34-'BS (Adjusted)'!AC34)+('BS (Adjusted)'!AD26-'BS (Adjusted)'!AC26)+('BS (Adjusted)'!AD24-'BS (Adjusted)'!AC24)</f>
        <v>-35.555613618883399</v>
      </c>
      <c r="AE21" s="329">
        <f>('BS (Adjusted)'!AE23-'BS (Adjusted)'!AD23)+('BS (Adjusted)'!AE33-'BS (Adjusted)'!AD33)+('BS (Adjusted)'!AE34-'BS (Adjusted)'!AD34)+('BS (Adjusted)'!AE26-'BS (Adjusted)'!AD26)+('BS (Adjusted)'!AE24-'BS (Adjusted)'!AD24)</f>
        <v>-35.382852858207798</v>
      </c>
      <c r="AF21" s="329">
        <f>('BS (Adjusted)'!AF23-'BS (Adjusted)'!AE23)+('BS (Adjusted)'!AF33-'BS (Adjusted)'!AE33)+('BS (Adjusted)'!AF34-'BS (Adjusted)'!AE34)+('BS (Adjusted)'!AF26-'BS (Adjusted)'!AE26)+('BS (Adjusted)'!AF24-'BS (Adjusted)'!AE24)</f>
        <v>-35.210935832105861</v>
      </c>
      <c r="AG21" s="330">
        <f t="shared" si="21"/>
        <v>-141.87862458219684</v>
      </c>
      <c r="AH21" s="329">
        <f>('BS (Adjusted)'!AH23-'BS (Adjusted)'!AF23)+('BS (Adjusted)'!AH33-'BS (Adjusted)'!AF33)+('BS (Adjusted)'!AH34-'BS (Adjusted)'!AF34)+('BS (Adjusted)'!AH26-'BS (Adjusted)'!AF26)+('BS (Adjusted)'!AH24-'BS (Adjusted)'!AF24)</f>
        <v>-35.039858402181608</v>
      </c>
      <c r="AI21" s="329">
        <f>('BS (Adjusted)'!AI23-'BS (Adjusted)'!AH23)+('BS (Adjusted)'!AI33-'BS (Adjusted)'!AH33)+('BS (Adjusted)'!AI34-'BS (Adjusted)'!AH34)+('BS (Adjusted)'!AI26-'BS (Adjusted)'!AH26)+('BS (Adjusted)'!AI24-'BS (Adjusted)'!AH24)</f>
        <v>-34.869616450410831</v>
      </c>
      <c r="AJ21" s="329">
        <f>('BS (Adjusted)'!AJ23-'BS (Adjusted)'!AI23)+('BS (Adjusted)'!AJ33-'BS (Adjusted)'!AI33)+('BS (Adjusted)'!AJ34-'BS (Adjusted)'!AI34)+('BS (Adjusted)'!AJ26-'BS (Adjusted)'!AI26)+('BS (Adjusted)'!AJ24-'BS (Adjusted)'!AI24)</f>
        <v>-34.700205879037185</v>
      </c>
      <c r="AK21" s="329">
        <f>('BS (Adjusted)'!AK23-'BS (Adjusted)'!AJ23)+('BS (Adjusted)'!AK33-'BS (Adjusted)'!AJ33)+('BS (Adjusted)'!AK34-'BS (Adjusted)'!AJ34)+('BS (Adjusted)'!AK26-'BS (Adjusted)'!AJ26)+('BS (Adjusted)'!AK24-'BS (Adjusted)'!AJ24)</f>
        <v>-34.531622610476916</v>
      </c>
      <c r="AL21" s="330">
        <f t="shared" si="22"/>
        <v>-139.14130334210654</v>
      </c>
      <c r="AM21" s="329">
        <f>('BS (Adjusted)'!AM23-'BS (Adjusted)'!AK23)+('BS (Adjusted)'!AM33-'BS (Adjusted)'!AK33)+('BS (Adjusted)'!AM34-'BS (Adjusted)'!AK34)+('BS (Adjusted)'!AM26-'BS (Adjusted)'!AK26)+('BS (Adjusted)'!AM24-'BS (Adjusted)'!AK24)</f>
        <v>-34.363862587216317</v>
      </c>
      <c r="AN21" s="329">
        <f>('BS (Adjusted)'!AN23-'BS (Adjusted)'!AM23)+('BS (Adjusted)'!AN33-'BS (Adjusted)'!AM33)+('BS (Adjusted)'!AN34-'BS (Adjusted)'!AM34)+('BS (Adjusted)'!AN26-'BS (Adjusted)'!AM26)+('BS (Adjusted)'!AN24-'BS (Adjusted)'!AM24)</f>
        <v>-34.196921771713278</v>
      </c>
      <c r="AO21" s="329">
        <f>('BS (Adjusted)'!AO23-'BS (Adjusted)'!AN23)+('BS (Adjusted)'!AO33-'BS (Adjusted)'!AN33)+('BS (Adjusted)'!AO34-'BS (Adjusted)'!AN34)+('BS (Adjusted)'!AO26-'BS (Adjusted)'!AN26)+('BS (Adjusted)'!AO24-'BS (Adjusted)'!AN24)</f>
        <v>-34.030796146297916</v>
      </c>
      <c r="AP21" s="329">
        <f>('BS (Adjusted)'!AP23-'BS (Adjusted)'!AO23)+('BS (Adjusted)'!AP33-'BS (Adjusted)'!AO33)+('BS (Adjusted)'!AP34-'BS (Adjusted)'!AO34)+('BS (Adjusted)'!AP26-'BS (Adjusted)'!AO26)+('BS (Adjusted)'!AP24-'BS (Adjusted)'!AO24)</f>
        <v>-33.865481713075042</v>
      </c>
      <c r="AQ21" s="330">
        <f t="shared" si="23"/>
        <v>-136.45706221830255</v>
      </c>
      <c r="AR21" s="329">
        <f>('BS (Adjusted)'!AR23-'BS (Adjusted)'!AP23)+('BS (Adjusted)'!AR33-'BS (Adjusted)'!AP33)+('BS (Adjusted)'!AR34-'BS (Adjusted)'!AP34)+('BS (Adjusted)'!AR26-'BS (Adjusted)'!AP26)+('BS (Adjusted)'!AR24-'BS (Adjusted)'!AP24)</f>
        <v>-33.700974493829335</v>
      </c>
      <c r="AS21" s="329">
        <f>('BS (Adjusted)'!AS23-'BS (Adjusted)'!AR23)+('BS (Adjusted)'!AS33-'BS (Adjusted)'!AR33)+('BS (Adjusted)'!AS34-'BS (Adjusted)'!AR34)+('BS (Adjusted)'!AS26-'BS (Adjusted)'!AR26)+('BS (Adjusted)'!AS24-'BS (Adjusted)'!AR24)</f>
        <v>-33.53727052992167</v>
      </c>
      <c r="AT21" s="329">
        <f>('BS (Adjusted)'!AT23-'BS (Adjusted)'!AS23)+('BS (Adjusted)'!AT33-'BS (Adjusted)'!AS33)+('BS (Adjusted)'!AT34-'BS (Adjusted)'!AS34)+('BS (Adjusted)'!AT26-'BS (Adjusted)'!AS26)+('BS (Adjusted)'!AT24-'BS (Adjusted)'!AS24)</f>
        <v>-33.374365882199754</v>
      </c>
      <c r="AU21" s="329">
        <f>('BS (Adjusted)'!AU23-'BS (Adjusted)'!AT23)+('BS (Adjusted)'!AU33-'BS (Adjusted)'!AT33)+('BS (Adjusted)'!AU34-'BS (Adjusted)'!AT34)+('BS (Adjusted)'!AU26-'BS (Adjusted)'!AT26)+('BS (Adjusted)'!AU24-'BS (Adjusted)'!AT24)</f>
        <v>-33.212256630896263</v>
      </c>
      <c r="AV21" s="330">
        <f t="shared" si="24"/>
        <v>-133.82486753684702</v>
      </c>
    </row>
    <row r="22" spans="2:48" outlineLevel="1" x14ac:dyDescent="0.3">
      <c r="B22" s="627" t="s">
        <v>280</v>
      </c>
      <c r="C22" s="628"/>
      <c r="D22" s="331">
        <f t="shared" ref="D22:AV22" si="27">D6+SUM(D7:D21)</f>
        <v>2379.0000000000005</v>
      </c>
      <c r="E22" s="331">
        <f t="shared" si="27"/>
        <v>390.39999999999969</v>
      </c>
      <c r="F22" s="331">
        <f t="shared" si="27"/>
        <v>1169.400000000001</v>
      </c>
      <c r="G22" s="331">
        <f t="shared" si="27"/>
        <v>1108.1000000000008</v>
      </c>
      <c r="H22" s="332">
        <f t="shared" si="27"/>
        <v>5046.9000000000051</v>
      </c>
      <c r="I22" s="331">
        <f t="shared" si="27"/>
        <v>1836.0999999999985</v>
      </c>
      <c r="J22" s="331">
        <f t="shared" si="27"/>
        <v>-1361.3000000000009</v>
      </c>
      <c r="K22" s="331">
        <f t="shared" si="27"/>
        <v>-367.69999999999925</v>
      </c>
      <c r="L22" s="331">
        <f t="shared" si="27"/>
        <v>1490.7000000000014</v>
      </c>
      <c r="M22" s="332">
        <f t="shared" si="27"/>
        <v>1597.8000000000043</v>
      </c>
      <c r="N22" s="331">
        <f t="shared" si="27"/>
        <v>1835.7000000000003</v>
      </c>
      <c r="O22" s="331">
        <f t="shared" si="27"/>
        <v>883.80000000000018</v>
      </c>
      <c r="P22" s="331">
        <f t="shared" si="27"/>
        <v>1748.9999999999991</v>
      </c>
      <c r="Q22" s="331">
        <f t="shared" si="27"/>
        <v>1520.6999999999996</v>
      </c>
      <c r="R22" s="332">
        <f t="shared" si="27"/>
        <v>5989.199999999998</v>
      </c>
      <c r="S22" s="331">
        <f t="shared" si="27"/>
        <v>1870.8999999999999</v>
      </c>
      <c r="T22" s="331">
        <f t="shared" si="27"/>
        <v>161.9000000000002</v>
      </c>
      <c r="U22" s="331">
        <f t="shared" si="27"/>
        <v>1264.7999999999993</v>
      </c>
      <c r="V22" s="331">
        <f t="shared" si="27"/>
        <v>1099.599999999999</v>
      </c>
      <c r="W22" s="332">
        <f>W6+SUM(W7:W21)</f>
        <v>4397.1999999999989</v>
      </c>
      <c r="X22" s="331">
        <f t="shared" si="27"/>
        <v>1593.2</v>
      </c>
      <c r="Y22" s="331">
        <f t="shared" si="27"/>
        <v>767.60000000000014</v>
      </c>
      <c r="Z22" s="331">
        <f t="shared" si="27"/>
        <v>998.34820027899855</v>
      </c>
      <c r="AA22" s="331">
        <f t="shared" si="27"/>
        <v>1865.120764123355</v>
      </c>
      <c r="AB22" s="332">
        <f t="shared" si="27"/>
        <v>5224.268964402354</v>
      </c>
      <c r="AC22" s="331">
        <f t="shared" si="27"/>
        <v>1905.440134488163</v>
      </c>
      <c r="AD22" s="331">
        <f t="shared" si="27"/>
        <v>1150.4061117298884</v>
      </c>
      <c r="AE22" s="331">
        <f t="shared" si="27"/>
        <v>1438.6087477996505</v>
      </c>
      <c r="AF22" s="331">
        <f t="shared" si="27"/>
        <v>1787.0241354243867</v>
      </c>
      <c r="AG22" s="332">
        <f t="shared" si="27"/>
        <v>6281.4791294420893</v>
      </c>
      <c r="AH22" s="331">
        <f t="shared" si="27"/>
        <v>2093.1767608490291</v>
      </c>
      <c r="AI22" s="331">
        <f t="shared" si="27"/>
        <v>1384.1908768849598</v>
      </c>
      <c r="AJ22" s="331">
        <f t="shared" si="27"/>
        <v>1600.2353823868434</v>
      </c>
      <c r="AK22" s="331">
        <f t="shared" si="27"/>
        <v>2015.0165309249712</v>
      </c>
      <c r="AL22" s="332">
        <f t="shared" si="27"/>
        <v>7092.6195510458037</v>
      </c>
      <c r="AM22" s="331">
        <f t="shared" si="27"/>
        <v>2348.2884450636379</v>
      </c>
      <c r="AN22" s="331">
        <f t="shared" si="27"/>
        <v>1614.5149475522514</v>
      </c>
      <c r="AO22" s="331">
        <f t="shared" si="27"/>
        <v>1708.9283787758682</v>
      </c>
      <c r="AP22" s="331">
        <f t="shared" si="27"/>
        <v>2314.535640773232</v>
      </c>
      <c r="AQ22" s="332">
        <f t="shared" si="27"/>
        <v>7986.2674121649889</v>
      </c>
      <c r="AR22" s="331">
        <f t="shared" si="27"/>
        <v>2586.6180675626701</v>
      </c>
      <c r="AS22" s="331">
        <f t="shared" si="27"/>
        <v>1670.9030276643391</v>
      </c>
      <c r="AT22" s="331">
        <f t="shared" si="27"/>
        <v>1917.5444379718683</v>
      </c>
      <c r="AU22" s="331">
        <f t="shared" si="27"/>
        <v>2431.9019162253708</v>
      </c>
      <c r="AV22" s="332">
        <f t="shared" si="27"/>
        <v>8606.9674494242481</v>
      </c>
    </row>
    <row r="23" spans="2:48" outlineLevel="1" x14ac:dyDescent="0.3">
      <c r="B23" s="597" t="s">
        <v>281</v>
      </c>
      <c r="C23" s="598"/>
      <c r="D23" s="333"/>
      <c r="E23" s="334"/>
      <c r="F23" s="334"/>
      <c r="G23" s="334"/>
      <c r="H23" s="335"/>
      <c r="I23" s="336"/>
      <c r="J23" s="336"/>
      <c r="K23" s="334"/>
      <c r="L23" s="334"/>
      <c r="M23" s="337"/>
      <c r="N23" s="334"/>
      <c r="O23" s="334"/>
      <c r="P23" s="334"/>
      <c r="Q23" s="334"/>
      <c r="R23" s="337"/>
      <c r="S23" s="334"/>
      <c r="T23" s="334"/>
      <c r="U23" s="334"/>
      <c r="V23" s="334"/>
      <c r="W23" s="337"/>
      <c r="X23" s="334"/>
      <c r="Y23" s="334"/>
      <c r="Z23" s="334"/>
      <c r="AA23" s="334"/>
      <c r="AB23" s="337"/>
      <c r="AC23" s="334"/>
      <c r="AD23" s="334"/>
      <c r="AE23" s="334"/>
      <c r="AF23" s="334"/>
      <c r="AG23" s="337"/>
      <c r="AH23" s="334"/>
      <c r="AI23" s="334"/>
      <c r="AJ23" s="334"/>
      <c r="AK23" s="334"/>
      <c r="AL23" s="337"/>
      <c r="AM23" s="334"/>
      <c r="AN23" s="334"/>
      <c r="AO23" s="334"/>
      <c r="AP23" s="334"/>
      <c r="AQ23" s="337"/>
      <c r="AR23" s="334"/>
      <c r="AS23" s="334"/>
      <c r="AT23" s="334"/>
      <c r="AU23" s="334"/>
      <c r="AV23" s="337"/>
    </row>
    <row r="24" spans="2:48" outlineLevel="1" x14ac:dyDescent="0.3">
      <c r="B24" s="200" t="s">
        <v>282</v>
      </c>
      <c r="C24" s="201"/>
      <c r="D24" s="16">
        <f>-108.7+32.1+14.2</f>
        <v>-62.399999999999991</v>
      </c>
      <c r="E24" s="16">
        <f>-150.2+218.3+55.1-D24</f>
        <v>185.60000000000002</v>
      </c>
      <c r="F24" s="16">
        <f>-176.3+281.7+57.5-E24-D24</f>
        <v>39.699999999999946</v>
      </c>
      <c r="G24" s="16">
        <f>-190.4+298.3+59.8-F24-E24-D24</f>
        <v>4.8000000000000256</v>
      </c>
      <c r="H24" s="17">
        <f>SUM(D24:G24)</f>
        <v>167.7</v>
      </c>
      <c r="I24" s="16">
        <f>-38+64.6+1.3</f>
        <v>27.899999999999995</v>
      </c>
      <c r="J24" s="16">
        <f>-65.1+93.7+4.3-I24</f>
        <v>5.0000000000000107</v>
      </c>
      <c r="K24" s="16">
        <f>-297.4+133.5+10-J24-I24</f>
        <v>-186.79999999999998</v>
      </c>
      <c r="L24" s="16">
        <f>-443.9+186.7+73.7-K24-J24-I24</f>
        <v>-29.600000000000023</v>
      </c>
      <c r="M24" s="17">
        <f>SUM(I24:L24)</f>
        <v>-183.5</v>
      </c>
      <c r="N24" s="16">
        <f>-135.5+91.2+113.7</f>
        <v>69.400000000000006</v>
      </c>
      <c r="O24" s="16">
        <f>-321.7+121.7+289-N24</f>
        <v>19.599999999999994</v>
      </c>
      <c r="P24" s="16">
        <f>-367.3+130.4+298.7-O24-N24</f>
        <v>-27.200000000000017</v>
      </c>
      <c r="Q24" s="16">
        <f>-432+143.2+345.5-P24-O24-N24</f>
        <v>-5.0999999999999943</v>
      </c>
      <c r="R24" s="17">
        <f>SUM(N24:Q24)</f>
        <v>56.699999999999989</v>
      </c>
      <c r="S24" s="16">
        <f>-61+72.6+45.6</f>
        <v>57.199999999999996</v>
      </c>
      <c r="T24" s="16">
        <f>-67.5+72.6+55.7-S24</f>
        <v>3.6000000000000014</v>
      </c>
      <c r="U24" s="16">
        <f>-117.3+72.6+59.5-T24-S24</f>
        <v>-46</v>
      </c>
      <c r="V24" s="16">
        <f>-377.9+72.6+67.3-U24-T24-S24</f>
        <v>-252.79999999999993</v>
      </c>
      <c r="W24" s="17">
        <f>SUM(S24:V24)</f>
        <v>-237.99999999999994</v>
      </c>
      <c r="X24" s="101">
        <f>-10.5+0.8+253.3</f>
        <v>243.60000000000002</v>
      </c>
      <c r="Y24" s="101">
        <f>-247.7+1.9+270-X24</f>
        <v>-219.4</v>
      </c>
      <c r="Z24" s="16">
        <f>-('BS (Adjusted)'!Z7-'BS (Adjusted)'!Y7)-('BS (Adjusted)'!Z12-'BS (Adjusted)'!Y12)</f>
        <v>102.31492901271173</v>
      </c>
      <c r="AA24" s="16">
        <f>-('BS (Adjusted)'!AA7-'BS (Adjusted)'!Z7)-('BS (Adjusted)'!AA12-'BS (Adjusted)'!Z12)</f>
        <v>-40.834238515496679</v>
      </c>
      <c r="AB24" s="17">
        <f>SUM(X24:AA24)</f>
        <v>85.680690497215068</v>
      </c>
      <c r="AC24" s="16">
        <f>-('BS (Adjusted)'!AC7-'BS (Adjusted)'!AA7)-('BS (Adjusted)'!AC12-'BS (Adjusted)'!AA12)</f>
        <v>8.9157974721181859</v>
      </c>
      <c r="AD24" s="16">
        <f>-('BS (Adjusted)'!AD7-'BS (Adjusted)'!AC7)-('BS (Adjusted)'!AD12-'BS (Adjusted)'!AC12)</f>
        <v>-30.969687662618639</v>
      </c>
      <c r="AE24" s="16">
        <f>-('BS (Adjusted)'!AE7-'BS (Adjusted)'!AD7)-('BS (Adjusted)'!AE12-'BS (Adjusted)'!AD12)</f>
        <v>7.4077141482625848</v>
      </c>
      <c r="AF24" s="16">
        <f>-('BS (Adjusted)'!AF7-'BS (Adjusted)'!AE7)-('BS (Adjusted)'!AF12-'BS (Adjusted)'!AE12)</f>
        <v>-11.942027675076076</v>
      </c>
      <c r="AG24" s="17">
        <f>SUM(AC24:AF24)</f>
        <v>-26.588203717313945</v>
      </c>
      <c r="AH24" s="16">
        <f>-('BS (Adjusted)'!AH7-'BS (Adjusted)'!AF7)-('BS (Adjusted)'!AH12-'BS (Adjusted)'!AF12)</f>
        <v>-18.490322610754788</v>
      </c>
      <c r="AI24" s="16">
        <f>-('BS (Adjusted)'!AI7-'BS (Adjusted)'!AH7)-('BS (Adjusted)'!AI12-'BS (Adjusted)'!AH12)</f>
        <v>-7.1134039034073453</v>
      </c>
      <c r="AJ24" s="16">
        <f>-('BS (Adjusted)'!AJ7-'BS (Adjusted)'!AI7)-('BS (Adjusted)'!AJ12-'BS (Adjusted)'!AI12)</f>
        <v>-28.413031850716493</v>
      </c>
      <c r="AK24" s="16">
        <f>-('BS (Adjusted)'!AK7-'BS (Adjusted)'!AJ7)-('BS (Adjusted)'!AK12-'BS (Adjusted)'!AJ12)</f>
        <v>94.706028875007462</v>
      </c>
      <c r="AL24" s="17">
        <f>SUM(AH24:AK24)</f>
        <v>40.689270510128836</v>
      </c>
      <c r="AM24" s="16">
        <f>-('BS (Adjusted)'!AM7-'BS (Adjusted)'!AK7)-('BS (Adjusted)'!AM12-'BS (Adjusted)'!AK12)</f>
        <v>-19.130372350816799</v>
      </c>
      <c r="AN24" s="16">
        <f>-('BS (Adjusted)'!AN7-'BS (Adjusted)'!AM7)-('BS (Adjusted)'!AN12-'BS (Adjusted)'!AM12)</f>
        <v>17.886822368692833</v>
      </c>
      <c r="AO24" s="16">
        <f>-('BS (Adjusted)'!AO7-'BS (Adjusted)'!AN7)-('BS (Adjusted)'!AO12-'BS (Adjusted)'!AN12)</f>
        <v>-15.918311992950692</v>
      </c>
      <c r="AP24" s="16">
        <f>-('BS (Adjusted)'!AP7-'BS (Adjusted)'!AO7)-('BS (Adjusted)'!AP12-'BS (Adjusted)'!AO12)</f>
        <v>-9.0211953794452597</v>
      </c>
      <c r="AQ24" s="17">
        <f>SUM(AM24:AP24)</f>
        <v>-26.183057354519917</v>
      </c>
      <c r="AR24" s="16">
        <f>-('BS (Adjusted)'!AR7-'BS (Adjusted)'!AP7)-('BS (Adjusted)'!AR12-'BS (Adjusted)'!AP12)</f>
        <v>-22.583248884015063</v>
      </c>
      <c r="AS24" s="16">
        <f>-('BS (Adjusted)'!AS7-'BS (Adjusted)'!AR7)-('BS (Adjusted)'!AS12-'BS (Adjusted)'!AR12)</f>
        <v>-2.498499235135057</v>
      </c>
      <c r="AT24" s="16">
        <f>-('BS (Adjusted)'!AT7-'BS (Adjusted)'!AS7)-('BS (Adjusted)'!AT12-'BS (Adjusted)'!AS12)</f>
        <v>-18.321519196918246</v>
      </c>
      <c r="AU24" s="16">
        <f>-('BS (Adjusted)'!AU7-'BS (Adjusted)'!AT7)-('BS (Adjusted)'!AU12-'BS (Adjusted)'!AT12)</f>
        <v>-10.684948966369177</v>
      </c>
      <c r="AV24" s="17">
        <f>SUM(AR24:AU24)</f>
        <v>-54.088216282437543</v>
      </c>
    </row>
    <row r="25" spans="2:48" outlineLevel="1" x14ac:dyDescent="0.3">
      <c r="B25" s="580" t="s">
        <v>283</v>
      </c>
      <c r="C25" s="581"/>
      <c r="D25" s="16">
        <v>-431.4</v>
      </c>
      <c r="E25" s="16">
        <f>-845.6-D25</f>
        <v>-414.20000000000005</v>
      </c>
      <c r="F25" s="16">
        <f>-1280.7-E25-D25</f>
        <v>-435.1</v>
      </c>
      <c r="G25" s="16">
        <f>-1806.6-F25-E25-D25</f>
        <v>-525.9</v>
      </c>
      <c r="H25" s="169">
        <f>SUM(D25:G25)</f>
        <v>-1806.6</v>
      </c>
      <c r="I25" s="16">
        <v>-394.3</v>
      </c>
      <c r="J25" s="16">
        <f>-758.3-I25</f>
        <v>-363.99999999999994</v>
      </c>
      <c r="K25" s="16">
        <f>-1138.4-J25-I25</f>
        <v>-380.10000000000008</v>
      </c>
      <c r="L25" s="16">
        <f>-1483.6-K25-J25-I25</f>
        <v>-345.19999999999976</v>
      </c>
      <c r="M25" s="169">
        <f>SUM(I25:L25)</f>
        <v>-1483.6</v>
      </c>
      <c r="N25" s="16">
        <v>-324.2</v>
      </c>
      <c r="O25" s="16">
        <f>-647.9-N25</f>
        <v>-323.7</v>
      </c>
      <c r="P25" s="16">
        <f>-985.7-O25-N25</f>
        <v>-337.8</v>
      </c>
      <c r="Q25" s="16">
        <f>-1470-P25-O25-N25</f>
        <v>-484.3</v>
      </c>
      <c r="R25" s="169">
        <f>SUM(N25:Q25)</f>
        <v>-1470</v>
      </c>
      <c r="S25" s="16">
        <v>-416.8</v>
      </c>
      <c r="T25" s="16">
        <f>-871.9-S25</f>
        <v>-455.09999999999997</v>
      </c>
      <c r="U25" s="16">
        <f>-1295.4-T25-S25</f>
        <v>-423.50000000000017</v>
      </c>
      <c r="V25" s="16">
        <f>-1841.3-U25-T25-S25</f>
        <v>-545.89999999999986</v>
      </c>
      <c r="W25" s="169">
        <f>SUM(S25:V25)</f>
        <v>-1841.3</v>
      </c>
      <c r="X25" s="101">
        <v>-516.79999999999995</v>
      </c>
      <c r="Y25" s="101">
        <f>-1002-X25</f>
        <v>-485.20000000000005</v>
      </c>
      <c r="Z25" s="16">
        <f>-'IS (Adjusted)'!Z8*Z56</f>
        <v>-746.32254109300436</v>
      </c>
      <c r="AA25" s="16">
        <f>-'IS (Adjusted)'!AA8*AA56</f>
        <v>-754.63644547549211</v>
      </c>
      <c r="AB25" s="418">
        <f>SUM(X25:AA25)</f>
        <v>-2502.9589865684966</v>
      </c>
      <c r="AC25" s="16">
        <f>-'IS (Adjusted)'!AC8*AC56</f>
        <v>-675.93632995844609</v>
      </c>
      <c r="AD25" s="16">
        <f>-'IS (Adjusted)'!AD8*AD56</f>
        <v>-665.3843006378429</v>
      </c>
      <c r="AE25" s="16">
        <f>-'IS (Adjusted)'!AE8*AE56</f>
        <v>-710.19943941672977</v>
      </c>
      <c r="AF25" s="16">
        <f>-'IS (Adjusted)'!AF8*AF56</f>
        <v>-717.91646965457119</v>
      </c>
      <c r="AG25" s="418">
        <f>SUM(AC25:AF25)</f>
        <v>-2769.4365396675903</v>
      </c>
      <c r="AH25" s="16">
        <f>-'IS (Adjusted)'!AH8*AH56</f>
        <v>-674.7908911375697</v>
      </c>
      <c r="AI25" s="16">
        <f>-'IS (Adjusted)'!AI8*AI56</f>
        <v>-664.68710707177718</v>
      </c>
      <c r="AJ25" s="16">
        <f>-'IS (Adjusted)'!AJ8*AJ56</f>
        <v>-709.91142414873195</v>
      </c>
      <c r="AK25" s="16">
        <f>-'IS (Adjusted)'!AK8*AK56</f>
        <v>-718.99182656717892</v>
      </c>
      <c r="AL25" s="418">
        <f>SUM(AH25:AK25)</f>
        <v>-2768.3812489252578</v>
      </c>
      <c r="AM25" s="16">
        <f>-'IS (Adjusted)'!AM8*AM56</f>
        <v>-740.88303790360567</v>
      </c>
      <c r="AN25" s="16">
        <f>-'IS (Adjusted)'!AN8*AN56</f>
        <v>-727.13589334066103</v>
      </c>
      <c r="AO25" s="16">
        <f>-'IS (Adjusted)'!AO8*AO56</f>
        <v>-773.92482254312563</v>
      </c>
      <c r="AP25" s="16">
        <f>-'IS (Adjusted)'!AP8*AP56</f>
        <v>-781.26393271752863</v>
      </c>
      <c r="AQ25" s="17">
        <f>SUM(AM25:AP25)</f>
        <v>-3023.2076865049212</v>
      </c>
      <c r="AR25" s="16">
        <f>-'IS (Adjusted)'!AR8*AR56</f>
        <v>-788.33499301327095</v>
      </c>
      <c r="AS25" s="16">
        <f>-'IS (Adjusted)'!AS8*AS56</f>
        <v>-773.57235411530837</v>
      </c>
      <c r="AT25" s="16">
        <f>-'IS (Adjusted)'!AT8*AT56</f>
        <v>-823.251134047101</v>
      </c>
      <c r="AU25" s="16">
        <f>-'IS (Adjusted)'!AU8*AU56</f>
        <v>-831.02454499289956</v>
      </c>
      <c r="AV25" s="17">
        <f>SUM(AR25:AU25)</f>
        <v>-3216.18302616858</v>
      </c>
    </row>
    <row r="26" spans="2:48" ht="16.2" outlineLevel="1" x14ac:dyDescent="0.45">
      <c r="B26" s="580" t="s">
        <v>284</v>
      </c>
      <c r="C26" s="581"/>
      <c r="D26" s="260">
        <v>-16.600000000000001</v>
      </c>
      <c r="E26" s="260">
        <f>48.5-37.1-D26</f>
        <v>28</v>
      </c>
      <c r="F26" s="260">
        <f>684.2-72.9-E26-D26</f>
        <v>599.90000000000009</v>
      </c>
      <c r="G26" s="260">
        <f>684.3-56.2-F26-E26-D26</f>
        <v>16.79999999999982</v>
      </c>
      <c r="H26" s="261">
        <f>SUM(D26:G26)</f>
        <v>628.09999999999991</v>
      </c>
      <c r="I26" s="260">
        <v>-19.899999999999999</v>
      </c>
      <c r="J26" s="260">
        <f>-22.5-I26</f>
        <v>-2.6000000000000014</v>
      </c>
      <c r="K26" s="260">
        <f>-39.4-J26-I26</f>
        <v>-16.899999999999999</v>
      </c>
      <c r="L26" s="260">
        <f>-44.4-K26-J26-I26</f>
        <v>-5</v>
      </c>
      <c r="M26" s="261">
        <f>SUM(I26:L26)</f>
        <v>-44.4</v>
      </c>
      <c r="N26" s="260">
        <v>-17.7</v>
      </c>
      <c r="O26" s="260">
        <f>-20.1-N26</f>
        <v>-2.4000000000000021</v>
      </c>
      <c r="P26" s="260">
        <f>-62.3-O26-N26</f>
        <v>-42.199999999999989</v>
      </c>
      <c r="Q26" s="260">
        <f>1175-81.2-P26-O26-N26</f>
        <v>1156.1000000000001</v>
      </c>
      <c r="R26" s="261">
        <f>SUM(N26:Q26)</f>
        <v>1093.8000000000002</v>
      </c>
      <c r="S26" s="260">
        <v>-41.4</v>
      </c>
      <c r="T26" s="260">
        <f>-69.8-S26</f>
        <v>-28.4</v>
      </c>
      <c r="U26" s="260">
        <f>-95.7-T26-S26</f>
        <v>-25.900000000000013</v>
      </c>
      <c r="V26" s="260">
        <f>59.3-126.3-U26-T26-S26</f>
        <v>28.70000000000001</v>
      </c>
      <c r="W26" s="261">
        <f>SUM(S26:V26)</f>
        <v>-67</v>
      </c>
      <c r="X26" s="112">
        <v>-6.1</v>
      </c>
      <c r="Y26" s="112">
        <f>110-39.2-X26</f>
        <v>76.899999999999991</v>
      </c>
      <c r="Z26" s="260">
        <f>-('BS (Adjusted)'!Z13-'BS (Adjusted)'!Y13)-('BS (Adjusted)'!Z17-'BS (Adjusted)'!Y17)-('BS (Adjusted)'!Z15-'BS (Adjusted)'!Y15)+('BS (Adjusted)'!Z32-'BS (Adjusted)'!Y32)-('BS (Adjusted)'!Z18-'BS (Adjusted)'!Y18)-('BS (Adjusted)'!Z19-'BS (Adjusted)'!Y19)</f>
        <v>3.1993148823634669</v>
      </c>
      <c r="AA26" s="260">
        <f>-('BS (Adjusted)'!AA13-'BS (Adjusted)'!Z13)-('BS (Adjusted)'!AA17-'BS (Adjusted)'!Z17)-('BS (Adjusted)'!AA15-'BS (Adjusted)'!Z15)+('BS (Adjusted)'!AA32-'BS (Adjusted)'!Z32)-('BS (Adjusted)'!AA18-'BS (Adjusted)'!Z18)-('BS (Adjusted)'!AA19-'BS (Adjusted)'!Z19)</f>
        <v>7.5813952431307996</v>
      </c>
      <c r="AB26" s="261">
        <f>SUM(X26:AA26)</f>
        <v>81.580710125494264</v>
      </c>
      <c r="AC26" s="260">
        <f>-('BS (Adjusted)'!AC13-'BS (Adjusted)'!AA13)-('BS (Adjusted)'!AC17-'BS (Adjusted)'!AA17)-('BS (Adjusted)'!AC15-'BS (Adjusted)'!AA15)+('BS (Adjusted)'!AC32-'BS (Adjusted)'!AA32)-('BS (Adjusted)'!AC18-'BS (Adjusted)'!AA18)-('BS (Adjusted)'!AC19-'BS (Adjusted)'!AA19)</f>
        <v>-6.5606578400030457</v>
      </c>
      <c r="AD26" s="260">
        <f>-('BS (Adjusted)'!AD13-'BS (Adjusted)'!AC13)-('BS (Adjusted)'!AD17-'BS (Adjusted)'!AC17)-('BS (Adjusted)'!AD15-'BS (Adjusted)'!AC15)+('BS (Adjusted)'!AD32-'BS (Adjusted)'!AC32)-('BS (Adjusted)'!AD18-'BS (Adjusted)'!AC18)-('BS (Adjusted)'!AD19-'BS (Adjusted)'!AC19)</f>
        <v>10.046056916702426</v>
      </c>
      <c r="AE26" s="260">
        <f>-('BS (Adjusted)'!AE13-'BS (Adjusted)'!AD13)-('BS (Adjusted)'!AE17-'BS (Adjusted)'!AD17)-('BS (Adjusted)'!AE15-'BS (Adjusted)'!AD15)+('BS (Adjusted)'!AE32-'BS (Adjusted)'!AD32)-('BS (Adjusted)'!AE18-'BS (Adjusted)'!AD18)-('BS (Adjusted)'!AE19-'BS (Adjusted)'!AD19)</f>
        <v>-1.8983582335952605</v>
      </c>
      <c r="AF26" s="260">
        <f>-('BS (Adjusted)'!AF13-'BS (Adjusted)'!AE13)-('BS (Adjusted)'!AF17-'BS (Adjusted)'!AE17)-('BS (Adjusted)'!AF15-'BS (Adjusted)'!AE15)+('BS (Adjusted)'!AF32-'BS (Adjusted)'!AE32)-('BS (Adjusted)'!AF18-'BS (Adjusted)'!AE18)-('BS (Adjusted)'!AF19-'BS (Adjusted)'!AE19)</f>
        <v>2.8995351460757774</v>
      </c>
      <c r="AG26" s="261">
        <f>SUM(AC26:AF26)</f>
        <v>4.4865759891798973</v>
      </c>
      <c r="AH26" s="260">
        <f>-('BS (Adjusted)'!AH13-'BS (Adjusted)'!AF13)-('BS (Adjusted)'!AH17-'BS (Adjusted)'!AF17)-('BS (Adjusted)'!AH15-'BS (Adjusted)'!AF15)+('BS (Adjusted)'!AH32-'BS (Adjusted)'!AF32)-('BS (Adjusted)'!AH18-'BS (Adjusted)'!AF18)-('BS (Adjusted)'!AH19-'BS (Adjusted)'!AF19)</f>
        <v>-12.061951696876307</v>
      </c>
      <c r="AI26" s="260">
        <f>-('BS (Adjusted)'!AI13-'BS (Adjusted)'!AH13)-('BS (Adjusted)'!AI17-'BS (Adjusted)'!AH17)-('BS (Adjusted)'!AI15-'BS (Adjusted)'!AH15)+('BS (Adjusted)'!AI32-'BS (Adjusted)'!AH32)-('BS (Adjusted)'!AI18-'BS (Adjusted)'!AH18)-('BS (Adjusted)'!AI19-'BS (Adjusted)'!AH19)</f>
        <v>4.7956670879961223</v>
      </c>
      <c r="AJ26" s="260">
        <f>-('BS (Adjusted)'!AJ13-'BS (Adjusted)'!AI13)-('BS (Adjusted)'!AJ17-'BS (Adjusted)'!AI17)-('BS (Adjusted)'!AJ15-'BS (Adjusted)'!AI15)+('BS (Adjusted)'!AJ32-'BS (Adjusted)'!AI32)-('BS (Adjusted)'!AJ18-'BS (Adjusted)'!AI18)-('BS (Adjusted)'!AJ19-'BS (Adjusted)'!AI19)</f>
        <v>-23.328845644779037</v>
      </c>
      <c r="AK26" s="260">
        <f>-('BS (Adjusted)'!AK13-'BS (Adjusted)'!AJ13)-('BS (Adjusted)'!AK17-'BS (Adjusted)'!AJ17)-('BS (Adjusted)'!AK15-'BS (Adjusted)'!AJ15)+('BS (Adjusted)'!AK32-'BS (Adjusted)'!AJ32)-('BS (Adjusted)'!AK18-'BS (Adjusted)'!AJ18)-('BS (Adjusted)'!AK19-'BS (Adjusted)'!AJ19)</f>
        <v>99.429310965330274</v>
      </c>
      <c r="AL26" s="261">
        <f>SUM(AH26:AK26)</f>
        <v>68.834180711671053</v>
      </c>
      <c r="AM26" s="260">
        <f>-('BS (Adjusted)'!AM13-'BS (Adjusted)'!AK13)-('BS (Adjusted)'!AM17-'BS (Adjusted)'!AK17)-('BS (Adjusted)'!AM15-'BS (Adjusted)'!AK15)+('BS (Adjusted)'!AM32-'BS (Adjusted)'!AK32)-('BS (Adjusted)'!AM18-'BS (Adjusted)'!AK18)-('BS (Adjusted)'!AM19-'BS (Adjusted)'!AK19)</f>
        <v>-12.189057546672558</v>
      </c>
      <c r="AN26" s="260">
        <f>-('BS (Adjusted)'!AN13-'BS (Adjusted)'!AM13)-('BS (Adjusted)'!AN17-'BS (Adjusted)'!AM17)-('BS (Adjusted)'!AN15-'BS (Adjusted)'!AM15)+('BS (Adjusted)'!AN32-'BS (Adjusted)'!AM32)-('BS (Adjusted)'!AN18-'BS (Adjusted)'!AM18)-('BS (Adjusted)'!AN19-'BS (Adjusted)'!AM19)</f>
        <v>23.735813001967202</v>
      </c>
      <c r="AO26" s="260">
        <f>-('BS (Adjusted)'!AO13-'BS (Adjusted)'!AN13)-('BS (Adjusted)'!AO17-'BS (Adjusted)'!AN17)-('BS (Adjusted)'!AO15-'BS (Adjusted)'!AN15)+('BS (Adjusted)'!AO32-'BS (Adjusted)'!AN32)-('BS (Adjusted)'!AO18-'BS (Adjusted)'!AN18)-('BS (Adjusted)'!AO19-'BS (Adjusted)'!AN19)</f>
        <v>-10.059290299678331</v>
      </c>
      <c r="AP26" s="260">
        <f>-('BS (Adjusted)'!AP13-'BS (Adjusted)'!AO13)-('BS (Adjusted)'!AP17-'BS (Adjusted)'!AO17)-('BS (Adjusted)'!AP15-'BS (Adjusted)'!AO15)+('BS (Adjusted)'!AP32-'BS (Adjusted)'!AO32)-('BS (Adjusted)'!AP18-'BS (Adjusted)'!AO18)-('BS (Adjusted)'!AP19-'BS (Adjusted)'!AO19)</f>
        <v>-3.1039695241658194</v>
      </c>
      <c r="AQ26" s="261">
        <f>SUM(AM26:AP26)</f>
        <v>-1.6165043685495064</v>
      </c>
      <c r="AR26" s="260">
        <f>-('BS (Adjusted)'!AR13-'BS (Adjusted)'!AP13)-('BS (Adjusted)'!AR17-'BS (Adjusted)'!AP17)-('BS (Adjusted)'!AR15-'BS (Adjusted)'!AP15)+('BS (Adjusted)'!AR32-'BS (Adjusted)'!AP32)-('BS (Adjusted)'!AR18-'BS (Adjusted)'!AP18)-('BS (Adjusted)'!AR19-'BS (Adjusted)'!AP19)</f>
        <v>-16.689903851024958</v>
      </c>
      <c r="AS26" s="260">
        <f>-('BS (Adjusted)'!AS13-'BS (Adjusted)'!AR13)-('BS (Adjusted)'!AS17-'BS (Adjusted)'!AR17)-('BS (Adjusted)'!AS15-'BS (Adjusted)'!AR15)+('BS (Adjusted)'!AS32-'BS (Adjusted)'!AR32)-('BS (Adjusted)'!AS18-'BS (Adjusted)'!AR18)-('BS (Adjusted)'!AS19-'BS (Adjusted)'!AR19)</f>
        <v>2.4869228287416476</v>
      </c>
      <c r="AT26" s="260">
        <f>-('BS (Adjusted)'!AT13-'BS (Adjusted)'!AS13)-('BS (Adjusted)'!AT17-'BS (Adjusted)'!AS17)-('BS (Adjusted)'!AT15-'BS (Adjusted)'!AS15)+('BS (Adjusted)'!AT32-'BS (Adjusted)'!AS32)-('BS (Adjusted)'!AT18-'BS (Adjusted)'!AS18)-('BS (Adjusted)'!AT19-'BS (Adjusted)'!AS19)</f>
        <v>-13.139915072477176</v>
      </c>
      <c r="AU26" s="260">
        <f>-('BS (Adjusted)'!AU13-'BS (Adjusted)'!AT13)-('BS (Adjusted)'!AU17-'BS (Adjusted)'!AT17)-('BS (Adjusted)'!AU15-'BS (Adjusted)'!AT15)+('BS (Adjusted)'!AU32-'BS (Adjusted)'!AT32)-('BS (Adjusted)'!AU18-'BS (Adjusted)'!AT18)-('BS (Adjusted)'!AU19-'BS (Adjusted)'!AT19)</f>
        <v>-5.8887708394033105</v>
      </c>
      <c r="AV26" s="261">
        <f>SUM(AR26:AU26)</f>
        <v>-33.231666934163798</v>
      </c>
    </row>
    <row r="27" spans="2:48" outlineLevel="1" x14ac:dyDescent="0.3">
      <c r="B27" s="587" t="s">
        <v>285</v>
      </c>
      <c r="C27" s="588"/>
      <c r="D27" s="21">
        <f t="shared" ref="D27:AV27" si="28">SUM(D24:D26)</f>
        <v>-510.4</v>
      </c>
      <c r="E27" s="21">
        <f t="shared" si="28"/>
        <v>-200.60000000000002</v>
      </c>
      <c r="F27" s="21">
        <f t="shared" si="28"/>
        <v>204.5</v>
      </c>
      <c r="G27" s="21">
        <f t="shared" si="28"/>
        <v>-504.30000000000007</v>
      </c>
      <c r="H27" s="22">
        <f t="shared" si="28"/>
        <v>-1010.8</v>
      </c>
      <c r="I27" s="21">
        <f t="shared" si="28"/>
        <v>-386.3</v>
      </c>
      <c r="J27" s="21">
        <f t="shared" si="28"/>
        <v>-361.59999999999997</v>
      </c>
      <c r="K27" s="21">
        <f t="shared" si="28"/>
        <v>-583.80000000000007</v>
      </c>
      <c r="L27" s="21">
        <f t="shared" si="28"/>
        <v>-379.79999999999978</v>
      </c>
      <c r="M27" s="22">
        <f t="shared" si="28"/>
        <v>-1711.5</v>
      </c>
      <c r="N27" s="21">
        <f t="shared" si="28"/>
        <v>-272.5</v>
      </c>
      <c r="O27" s="21">
        <f t="shared" si="28"/>
        <v>-306.5</v>
      </c>
      <c r="P27" s="21">
        <f t="shared" si="28"/>
        <v>-407.2</v>
      </c>
      <c r="Q27" s="21">
        <f t="shared" si="28"/>
        <v>666.70000000000016</v>
      </c>
      <c r="R27" s="22">
        <f t="shared" si="28"/>
        <v>-319.49999999999977</v>
      </c>
      <c r="S27" s="21">
        <f t="shared" si="28"/>
        <v>-401</v>
      </c>
      <c r="T27" s="21">
        <f t="shared" si="28"/>
        <v>-479.89999999999992</v>
      </c>
      <c r="U27" s="21">
        <f t="shared" si="28"/>
        <v>-495.4000000000002</v>
      </c>
      <c r="V27" s="21">
        <f t="shared" si="28"/>
        <v>-769.99999999999977</v>
      </c>
      <c r="W27" s="22">
        <f t="shared" si="28"/>
        <v>-2146.2999999999997</v>
      </c>
      <c r="X27" s="21">
        <f t="shared" si="28"/>
        <v>-279.29999999999995</v>
      </c>
      <c r="Y27" s="21">
        <f t="shared" si="28"/>
        <v>-627.70000000000005</v>
      </c>
      <c r="Z27" s="21">
        <f t="shared" si="28"/>
        <v>-640.80829719792905</v>
      </c>
      <c r="AA27" s="21">
        <f t="shared" si="28"/>
        <v>-787.88928874785802</v>
      </c>
      <c r="AB27" s="22">
        <f t="shared" si="28"/>
        <v>-2335.6975859457875</v>
      </c>
      <c r="AC27" s="21">
        <f t="shared" si="28"/>
        <v>-673.58119032633101</v>
      </c>
      <c r="AD27" s="21">
        <f t="shared" si="28"/>
        <v>-686.30793138375907</v>
      </c>
      <c r="AE27" s="21">
        <f t="shared" si="28"/>
        <v>-704.69008350206241</v>
      </c>
      <c r="AF27" s="21">
        <f t="shared" si="28"/>
        <v>-726.95896218357143</v>
      </c>
      <c r="AG27" s="22">
        <f t="shared" si="28"/>
        <v>-2791.5381673957245</v>
      </c>
      <c r="AH27" s="21">
        <f t="shared" si="28"/>
        <v>-705.34316544520084</v>
      </c>
      <c r="AI27" s="21">
        <f t="shared" si="28"/>
        <v>-667.00484388718849</v>
      </c>
      <c r="AJ27" s="21">
        <f t="shared" si="28"/>
        <v>-761.65330164422744</v>
      </c>
      <c r="AK27" s="21">
        <f t="shared" si="28"/>
        <v>-524.85648672684113</v>
      </c>
      <c r="AL27" s="22">
        <f t="shared" si="28"/>
        <v>-2658.8577977034574</v>
      </c>
      <c r="AM27" s="21">
        <f t="shared" si="28"/>
        <v>-772.20246780109505</v>
      </c>
      <c r="AN27" s="21">
        <f t="shared" si="28"/>
        <v>-685.51325797000095</v>
      </c>
      <c r="AO27" s="21">
        <f t="shared" si="28"/>
        <v>-799.90242483575469</v>
      </c>
      <c r="AP27" s="21">
        <f t="shared" si="28"/>
        <v>-793.38909762113974</v>
      </c>
      <c r="AQ27" s="22">
        <f t="shared" si="28"/>
        <v>-3051.0072482279907</v>
      </c>
      <c r="AR27" s="21">
        <f t="shared" si="28"/>
        <v>-827.6081457483109</v>
      </c>
      <c r="AS27" s="21">
        <f t="shared" si="28"/>
        <v>-773.58393052170186</v>
      </c>
      <c r="AT27" s="21">
        <f t="shared" si="28"/>
        <v>-854.71256831649634</v>
      </c>
      <c r="AU27" s="21">
        <f t="shared" si="28"/>
        <v>-847.59826479867195</v>
      </c>
      <c r="AV27" s="22">
        <f t="shared" si="28"/>
        <v>-3303.5029093851813</v>
      </c>
    </row>
    <row r="28" spans="2:48" outlineLevel="1" x14ac:dyDescent="0.3">
      <c r="B28" s="625" t="s">
        <v>286</v>
      </c>
      <c r="C28" s="626"/>
      <c r="D28" s="321"/>
      <c r="E28" s="323"/>
      <c r="F28" s="323"/>
      <c r="G28" s="323"/>
      <c r="H28" s="324"/>
      <c r="I28" s="323"/>
      <c r="J28" s="323"/>
      <c r="K28" s="323"/>
      <c r="L28" s="323"/>
      <c r="M28" s="324"/>
      <c r="N28" s="323"/>
      <c r="O28" s="323"/>
      <c r="P28" s="323"/>
      <c r="Q28" s="323"/>
      <c r="R28" s="324"/>
      <c r="S28" s="323"/>
      <c r="T28" s="323"/>
      <c r="U28" s="323"/>
      <c r="V28" s="323"/>
      <c r="W28" s="324"/>
      <c r="X28" s="323"/>
      <c r="Y28" s="323"/>
      <c r="Z28" s="323"/>
      <c r="AA28" s="323"/>
      <c r="AB28" s="324"/>
      <c r="AC28" s="323"/>
      <c r="AD28" s="323"/>
      <c r="AE28" s="323"/>
      <c r="AF28" s="323"/>
      <c r="AG28" s="324"/>
      <c r="AH28" s="323"/>
      <c r="AI28" s="323"/>
      <c r="AJ28" s="323"/>
      <c r="AK28" s="323"/>
      <c r="AL28" s="324"/>
      <c r="AM28" s="323"/>
      <c r="AN28" s="323"/>
      <c r="AO28" s="323"/>
      <c r="AP28" s="323"/>
      <c r="AQ28" s="324"/>
      <c r="AR28" s="323"/>
      <c r="AS28" s="323"/>
      <c r="AT28" s="323"/>
      <c r="AU28" s="323"/>
      <c r="AV28" s="324"/>
    </row>
    <row r="29" spans="2:48" outlineLevel="1" x14ac:dyDescent="0.3">
      <c r="B29" s="623" t="s">
        <v>263</v>
      </c>
      <c r="C29" s="624"/>
      <c r="D29" s="327">
        <v>0</v>
      </c>
      <c r="E29" s="327">
        <f>-D29</f>
        <v>0</v>
      </c>
      <c r="F29" s="327">
        <f>1996-350-E29-D29</f>
        <v>1646</v>
      </c>
      <c r="G29" s="327">
        <f>1996-F29-E29-D29</f>
        <v>350</v>
      </c>
      <c r="H29" s="328">
        <f t="shared" ref="H29:H36" si="29">SUM(D29:G29)</f>
        <v>1996</v>
      </c>
      <c r="I29" s="327">
        <v>0</v>
      </c>
      <c r="J29" s="327">
        <f>1739.7-I29</f>
        <v>1739.7</v>
      </c>
      <c r="K29" s="327">
        <f>1157.2+4727.6-J29-I29</f>
        <v>4145.1000000000004</v>
      </c>
      <c r="L29" s="327">
        <f>1406.6-K29-J29-I29</f>
        <v>-4478.2000000000007</v>
      </c>
      <c r="M29" s="328">
        <f t="shared" ref="M29:M36" si="30">SUM(I29:L29)</f>
        <v>1406.5999999999995</v>
      </c>
      <c r="N29" s="327">
        <v>192.9</v>
      </c>
      <c r="O29" s="327">
        <f>203.3-N29</f>
        <v>10.400000000000006</v>
      </c>
      <c r="P29" s="327">
        <f>215.6-O29-N29</f>
        <v>12.299999999999983</v>
      </c>
      <c r="Q29" s="327">
        <f>-296.5-P29-O29-N29</f>
        <v>-512.09999999999991</v>
      </c>
      <c r="R29" s="328">
        <f t="shared" ref="R29:R36" si="31">SUM(N29:Q29)</f>
        <v>-296.49999999999989</v>
      </c>
      <c r="S29" s="327">
        <v>200</v>
      </c>
      <c r="T29" s="327">
        <f>17.4+1498.1-S29</f>
        <v>1315.5</v>
      </c>
      <c r="U29" s="327">
        <f>200+38.9+1498.1-T29-S29</f>
        <v>221.5</v>
      </c>
      <c r="V29" s="327">
        <f>36.6-36.6+1498.1-1000-U29-T29-S29</f>
        <v>-1238.9000000000001</v>
      </c>
      <c r="W29" s="328">
        <f t="shared" ref="W29:W36" si="32">SUM(S29:V29)</f>
        <v>498.09999999999991</v>
      </c>
      <c r="X29" s="327">
        <v>0</v>
      </c>
      <c r="Y29" s="327">
        <f>1497.8-1000-X29</f>
        <v>497.79999999999995</v>
      </c>
      <c r="Z29" s="327">
        <f>+('BS (Adjusted)'!Z28-'BS (Adjusted)'!Y28)+('BS (Adjusted)'!Z31-'BS (Adjusted)'!Y31)</f>
        <v>0</v>
      </c>
      <c r="AA29" s="327">
        <f>+('BS (Adjusted)'!AA28-'BS (Adjusted)'!Z28)+('BS (Adjusted)'!AA31-'BS (Adjusted)'!Z31)</f>
        <v>0</v>
      </c>
      <c r="AB29" s="328">
        <f t="shared" ref="AB29:AB36" si="33">SUM(X29:AA29)</f>
        <v>497.79999999999995</v>
      </c>
      <c r="AC29" s="327">
        <f>+('BS (Adjusted)'!AC28-'BS (Adjusted)'!AA28)+('BS (Adjusted)'!AC31-'BS (Adjusted)'!AA31)</f>
        <v>0</v>
      </c>
      <c r="AD29" s="327">
        <f>+('BS (Adjusted)'!AD28-'BS (Adjusted)'!AC28)+('BS (Adjusted)'!AD31-'BS (Adjusted)'!AC31)</f>
        <v>0</v>
      </c>
      <c r="AE29" s="327">
        <f>+('BS (Adjusted)'!AE28-'BS (Adjusted)'!AD28)+('BS (Adjusted)'!AE31-'BS (Adjusted)'!AD31)</f>
        <v>0</v>
      </c>
      <c r="AF29" s="327">
        <f>+('BS (Adjusted)'!AF28-'BS (Adjusted)'!AE28)+('BS (Adjusted)'!AF31-'BS (Adjusted)'!AE31)</f>
        <v>0</v>
      </c>
      <c r="AG29" s="328">
        <f t="shared" ref="AG29:AG36" si="34">SUM(AC29:AF29)</f>
        <v>0</v>
      </c>
      <c r="AH29" s="327">
        <f>+('BS (Adjusted)'!AH28-'BS (Adjusted)'!AF28)+('BS (Adjusted)'!AH31-'BS (Adjusted)'!AF31)</f>
        <v>0</v>
      </c>
      <c r="AI29" s="327">
        <f>+('BS (Adjusted)'!AI28-'BS (Adjusted)'!AH28)+('BS (Adjusted)'!AI31-'BS (Adjusted)'!AH31)</f>
        <v>0</v>
      </c>
      <c r="AJ29" s="327">
        <f>+('BS (Adjusted)'!AJ28-'BS (Adjusted)'!AI28)+('BS (Adjusted)'!AJ31-'BS (Adjusted)'!AI31)</f>
        <v>6260.9344886514809</v>
      </c>
      <c r="AK29" s="327">
        <f>+('BS (Adjusted)'!AK28-'BS (Adjusted)'!AJ28)+('BS (Adjusted)'!AK31-'BS (Adjusted)'!AJ31)</f>
        <v>0</v>
      </c>
      <c r="AL29" s="328">
        <f t="shared" ref="AL29:AL36" si="35">SUM(AH29:AK29)</f>
        <v>6260.9344886514809</v>
      </c>
      <c r="AM29" s="327">
        <f>+('BS (Adjusted)'!AM28-'BS (Adjusted)'!AK28)+('BS (Adjusted)'!AM31-'BS (Adjusted)'!AK31)</f>
        <v>0</v>
      </c>
      <c r="AN29" s="327">
        <f>+('BS (Adjusted)'!AN28-'BS (Adjusted)'!AM28)+('BS (Adjusted)'!AN31-'BS (Adjusted)'!AM31)</f>
        <v>-1000</v>
      </c>
      <c r="AO29" s="327">
        <f>+('BS (Adjusted)'!AO28-'BS (Adjusted)'!AN28)+('BS (Adjusted)'!AO31-'BS (Adjusted)'!AN31)</f>
        <v>0</v>
      </c>
      <c r="AP29" s="327">
        <f>+('BS (Adjusted)'!AP28-'BS (Adjusted)'!AO28)+('BS (Adjusted)'!AP31-'BS (Adjusted)'!AO31)</f>
        <v>0</v>
      </c>
      <c r="AQ29" s="328">
        <f t="shared" ref="AQ29:AQ36" si="36">SUM(AM29:AP29)</f>
        <v>-1000</v>
      </c>
      <c r="AR29" s="327">
        <f>+('BS (Adjusted)'!AR28-'BS (Adjusted)'!AP28)+('BS (Adjusted)'!AR31-'BS (Adjusted)'!AP31)</f>
        <v>0</v>
      </c>
      <c r="AS29" s="327">
        <f>+('BS (Adjusted)'!AS28-'BS (Adjusted)'!AR28)+('BS (Adjusted)'!AS31-'BS (Adjusted)'!AR31)</f>
        <v>0</v>
      </c>
      <c r="AT29" s="327">
        <f>+('BS (Adjusted)'!AT28-'BS (Adjusted)'!AS28)+('BS (Adjusted)'!AT31-'BS (Adjusted)'!AS31)</f>
        <v>0</v>
      </c>
      <c r="AU29" s="327">
        <f>+('BS (Adjusted)'!AU28-'BS (Adjusted)'!AT28)+('BS (Adjusted)'!AU31-'BS (Adjusted)'!AT31)</f>
        <v>0</v>
      </c>
      <c r="AV29" s="328">
        <f t="shared" ref="AV29:AV36" si="37">SUM(AR29:AU29)</f>
        <v>0</v>
      </c>
    </row>
    <row r="30" spans="2:48" outlineLevel="1" x14ac:dyDescent="0.3">
      <c r="B30" s="325" t="s">
        <v>287</v>
      </c>
      <c r="C30" s="326"/>
      <c r="D30" s="327">
        <v>-350</v>
      </c>
      <c r="E30" s="327">
        <v>0</v>
      </c>
      <c r="F30" s="327">
        <f>-75-E30-D30</f>
        <v>275</v>
      </c>
      <c r="G30" s="327">
        <f>-350-F30-E30-D30</f>
        <v>-275</v>
      </c>
      <c r="H30" s="328">
        <f t="shared" si="29"/>
        <v>-350</v>
      </c>
      <c r="I30" s="327"/>
      <c r="J30" s="327">
        <f>0-I30</f>
        <v>0</v>
      </c>
      <c r="K30" s="327">
        <v>-220.7</v>
      </c>
      <c r="L30" s="327">
        <f>-967.7-K30-J30-I30</f>
        <v>-747</v>
      </c>
      <c r="M30" s="328">
        <f t="shared" si="30"/>
        <v>-967.7</v>
      </c>
      <c r="N30" s="327">
        <f>-144.7-500</f>
        <v>-644.70000000000005</v>
      </c>
      <c r="O30" s="327">
        <f>-296.5-320.5-1250-N30</f>
        <v>-1222.3</v>
      </c>
      <c r="P30" s="327">
        <f>-296.5-346.2-1250-O30-N30</f>
        <v>-25.700000000000045</v>
      </c>
      <c r="Q30" s="327">
        <f>215.1-349.8-1250-P30-O30-N30</f>
        <v>508</v>
      </c>
      <c r="R30" s="328">
        <f t="shared" si="31"/>
        <v>-1384.7</v>
      </c>
      <c r="S30" s="327"/>
      <c r="T30" s="327">
        <v>-12.6</v>
      </c>
      <c r="U30" s="327">
        <f>-38.9-1000-T30-S30</f>
        <v>-1026.3000000000002</v>
      </c>
      <c r="V30" s="327">
        <f>175-U30-T30-S30</f>
        <v>1213.9000000000001</v>
      </c>
      <c r="W30" s="328">
        <f t="shared" si="32"/>
        <v>175</v>
      </c>
      <c r="X30" s="327">
        <v>-175</v>
      </c>
      <c r="Y30" s="327">
        <f>-175-X30</f>
        <v>0</v>
      </c>
      <c r="Z30" s="327"/>
      <c r="AA30" s="327"/>
      <c r="AB30" s="328">
        <f t="shared" si="33"/>
        <v>-175</v>
      </c>
      <c r="AC30" s="327"/>
      <c r="AD30" s="327"/>
      <c r="AE30" s="327"/>
      <c r="AF30" s="327"/>
      <c r="AG30" s="328">
        <f t="shared" si="34"/>
        <v>0</v>
      </c>
      <c r="AH30" s="327"/>
      <c r="AI30" s="327"/>
      <c r="AJ30" s="327"/>
      <c r="AK30" s="327"/>
      <c r="AL30" s="328">
        <f t="shared" si="35"/>
        <v>0</v>
      </c>
      <c r="AM30" s="327"/>
      <c r="AN30" s="327"/>
      <c r="AO30" s="327"/>
      <c r="AP30" s="327"/>
      <c r="AQ30" s="328">
        <f t="shared" si="36"/>
        <v>0</v>
      </c>
      <c r="AR30" s="327"/>
      <c r="AS30" s="327"/>
      <c r="AT30" s="327"/>
      <c r="AU30" s="327"/>
      <c r="AV30" s="328">
        <f t="shared" si="37"/>
        <v>0</v>
      </c>
    </row>
    <row r="31" spans="2:48" outlineLevel="1" x14ac:dyDescent="0.3">
      <c r="B31" s="325" t="s">
        <v>288</v>
      </c>
      <c r="C31" s="326"/>
      <c r="D31" s="327"/>
      <c r="E31" s="327">
        <v>75</v>
      </c>
      <c r="F31" s="327">
        <v>0</v>
      </c>
      <c r="G31" s="327">
        <f>0-F31-E31-D31</f>
        <v>-75</v>
      </c>
      <c r="H31" s="328">
        <f t="shared" si="29"/>
        <v>0</v>
      </c>
      <c r="I31" s="327">
        <f>398.9+99</f>
        <v>497.9</v>
      </c>
      <c r="J31" s="327">
        <f>613+494.1-I31</f>
        <v>609.19999999999993</v>
      </c>
      <c r="K31" s="327">
        <f>0-J31-I31</f>
        <v>-1107.0999999999999</v>
      </c>
      <c r="L31" s="327">
        <f>4727.6-K31-J31-I31</f>
        <v>4727.6000000000013</v>
      </c>
      <c r="M31" s="328">
        <f t="shared" si="30"/>
        <v>4727.6000000000013</v>
      </c>
      <c r="N31" s="327">
        <v>0</v>
      </c>
      <c r="O31" s="327">
        <f>0-N31</f>
        <v>0</v>
      </c>
      <c r="P31" s="327">
        <f>0-O31-N31</f>
        <v>0</v>
      </c>
      <c r="Q31" s="327">
        <f>0-P31-O31-N31</f>
        <v>0</v>
      </c>
      <c r="R31" s="328">
        <f t="shared" si="31"/>
        <v>0</v>
      </c>
      <c r="S31" s="327">
        <v>0</v>
      </c>
      <c r="T31" s="327">
        <f>0-S31</f>
        <v>0</v>
      </c>
      <c r="U31" s="327">
        <f t="shared" ref="U31" si="38">0-T31-S31</f>
        <v>0</v>
      </c>
      <c r="V31" s="327">
        <f t="shared" ref="V31" si="39">0-U31-T31-S31</f>
        <v>0</v>
      </c>
      <c r="W31" s="328">
        <f t="shared" si="32"/>
        <v>0</v>
      </c>
      <c r="X31" s="327"/>
      <c r="Y31" s="327">
        <f>52.8-X31</f>
        <v>52.8</v>
      </c>
      <c r="Z31" s="327"/>
      <c r="AA31" s="327"/>
      <c r="AB31" s="328">
        <f t="shared" si="33"/>
        <v>52.8</v>
      </c>
      <c r="AC31" s="327"/>
      <c r="AD31" s="327"/>
      <c r="AE31" s="327"/>
      <c r="AF31" s="327"/>
      <c r="AG31" s="328">
        <f t="shared" si="34"/>
        <v>0</v>
      </c>
      <c r="AH31" s="327"/>
      <c r="AI31" s="327"/>
      <c r="AJ31" s="327"/>
      <c r="AK31" s="327"/>
      <c r="AL31" s="328">
        <f t="shared" si="35"/>
        <v>0</v>
      </c>
      <c r="AM31" s="327"/>
      <c r="AN31" s="327"/>
      <c r="AO31" s="327"/>
      <c r="AP31" s="327"/>
      <c r="AQ31" s="328">
        <f t="shared" si="36"/>
        <v>0</v>
      </c>
      <c r="AR31" s="327"/>
      <c r="AS31" s="327"/>
      <c r="AT31" s="327"/>
      <c r="AU31" s="327"/>
      <c r="AV31" s="328">
        <f t="shared" si="37"/>
        <v>0</v>
      </c>
    </row>
    <row r="32" spans="2:48" outlineLevel="1" x14ac:dyDescent="0.3">
      <c r="B32" s="325" t="s">
        <v>289</v>
      </c>
      <c r="C32" s="326"/>
      <c r="D32" s="327">
        <v>108.4</v>
      </c>
      <c r="E32" s="327">
        <f>275.7-D32</f>
        <v>167.29999999999998</v>
      </c>
      <c r="F32" s="327">
        <f>358.5-E32-D32</f>
        <v>82.800000000000011</v>
      </c>
      <c r="G32" s="327">
        <f>409.8-F32-E32-D32</f>
        <v>51.300000000000011</v>
      </c>
      <c r="H32" s="328">
        <f t="shared" si="29"/>
        <v>409.8</v>
      </c>
      <c r="I32" s="327">
        <v>33.1</v>
      </c>
      <c r="J32" s="327">
        <f>65.4-I32</f>
        <v>32.300000000000004</v>
      </c>
      <c r="K32" s="327">
        <f>98.9-J32-I32</f>
        <v>33.499999999999993</v>
      </c>
      <c r="L32" s="327">
        <f>298.8-K32-J32-I32</f>
        <v>199.9</v>
      </c>
      <c r="M32" s="328">
        <f t="shared" si="30"/>
        <v>298.8</v>
      </c>
      <c r="N32" s="327">
        <v>102.8</v>
      </c>
      <c r="O32" s="327">
        <f>134.4-N32</f>
        <v>31.600000000000009</v>
      </c>
      <c r="P32" s="327">
        <f>191.6-O32-N32</f>
        <v>57.2</v>
      </c>
      <c r="Q32" s="327">
        <f>246.2-P32-O32-N32</f>
        <v>54.59999999999998</v>
      </c>
      <c r="R32" s="328">
        <f t="shared" si="31"/>
        <v>246.2</v>
      </c>
      <c r="S32" s="327">
        <v>41.3</v>
      </c>
      <c r="T32" s="327">
        <f>56.3-S32</f>
        <v>15</v>
      </c>
      <c r="U32" s="327">
        <f>75.5-T32-S32</f>
        <v>19.200000000000003</v>
      </c>
      <c r="V32" s="327">
        <f>101.6-U32-T32-S32</f>
        <v>26.099999999999994</v>
      </c>
      <c r="W32" s="328">
        <f t="shared" si="32"/>
        <v>101.6</v>
      </c>
      <c r="X32" s="327">
        <v>45.9</v>
      </c>
      <c r="Y32" s="327">
        <f>129.8-X32</f>
        <v>83.9</v>
      </c>
      <c r="Z32" s="327">
        <v>0</v>
      </c>
      <c r="AA32" s="327">
        <v>0</v>
      </c>
      <c r="AB32" s="328">
        <f t="shared" si="33"/>
        <v>129.80000000000001</v>
      </c>
      <c r="AC32" s="327">
        <v>0</v>
      </c>
      <c r="AD32" s="327">
        <v>0</v>
      </c>
      <c r="AE32" s="327">
        <v>0</v>
      </c>
      <c r="AF32" s="327">
        <v>0</v>
      </c>
      <c r="AG32" s="328">
        <f t="shared" si="34"/>
        <v>0</v>
      </c>
      <c r="AH32" s="327">
        <v>0</v>
      </c>
      <c r="AI32" s="327">
        <v>0</v>
      </c>
      <c r="AJ32" s="327">
        <v>0</v>
      </c>
      <c r="AK32" s="327">
        <v>0</v>
      </c>
      <c r="AL32" s="328">
        <f t="shared" si="35"/>
        <v>0</v>
      </c>
      <c r="AM32" s="327">
        <v>0</v>
      </c>
      <c r="AN32" s="327">
        <v>0</v>
      </c>
      <c r="AO32" s="327">
        <v>0</v>
      </c>
      <c r="AP32" s="327">
        <v>0</v>
      </c>
      <c r="AQ32" s="328">
        <f t="shared" si="36"/>
        <v>0</v>
      </c>
      <c r="AR32" s="327">
        <v>0</v>
      </c>
      <c r="AS32" s="327">
        <v>0</v>
      </c>
      <c r="AT32" s="327">
        <v>0</v>
      </c>
      <c r="AU32" s="327">
        <v>0</v>
      </c>
      <c r="AV32" s="328">
        <f t="shared" si="37"/>
        <v>0</v>
      </c>
    </row>
    <row r="33" spans="2:48" outlineLevel="1" x14ac:dyDescent="0.3">
      <c r="B33" s="325" t="s">
        <v>290</v>
      </c>
      <c r="C33" s="326"/>
      <c r="D33" s="327">
        <v>-446.7</v>
      </c>
      <c r="E33" s="327">
        <f>-894.5-D33</f>
        <v>-447.8</v>
      </c>
      <c r="F33" s="327">
        <f>-1330.7-E33-D33</f>
        <v>-436.2000000000001</v>
      </c>
      <c r="G33" s="327">
        <f>-1761.3-F33-E33-D33</f>
        <v>-430.59999999999997</v>
      </c>
      <c r="H33" s="328">
        <f t="shared" si="29"/>
        <v>-1761.3</v>
      </c>
      <c r="I33" s="327">
        <v>-484.2</v>
      </c>
      <c r="J33" s="327">
        <f>-965.2-I33</f>
        <v>-481.00000000000006</v>
      </c>
      <c r="K33" s="327">
        <f>-1444.2-J33-I33</f>
        <v>-479.00000000000006</v>
      </c>
      <c r="L33" s="327">
        <f>-1923.5-K33-J33-I33</f>
        <v>-479.3</v>
      </c>
      <c r="M33" s="328">
        <f t="shared" si="30"/>
        <v>-1923.5</v>
      </c>
      <c r="N33" s="327">
        <v>-528.20000000000005</v>
      </c>
      <c r="O33" s="327">
        <f>-1058-N33</f>
        <v>-529.79999999999995</v>
      </c>
      <c r="P33" s="327">
        <f>-1588.2-O33-N33</f>
        <v>-530.20000000000005</v>
      </c>
      <c r="Q33" s="327">
        <f>-2119-P33-O33-N33</f>
        <v>-530.79999999999995</v>
      </c>
      <c r="R33" s="328">
        <f t="shared" si="31"/>
        <v>-2119</v>
      </c>
      <c r="S33" s="327">
        <v>-576</v>
      </c>
      <c r="T33" s="327">
        <f>-1139.2-S33</f>
        <v>-563.20000000000005</v>
      </c>
      <c r="U33" s="327">
        <f>-1701.1-T33-S33</f>
        <v>-561.89999999999986</v>
      </c>
      <c r="V33" s="327">
        <f>-2263.3-U33-T33-S33</f>
        <v>-562.20000000000027</v>
      </c>
      <c r="W33" s="328">
        <f t="shared" si="32"/>
        <v>-2263.3000000000002</v>
      </c>
      <c r="X33" s="327">
        <v>-608.29999999999995</v>
      </c>
      <c r="Y33" s="327">
        <f>-1217.4-X33</f>
        <v>-609.10000000000014</v>
      </c>
      <c r="Z33" s="327">
        <f>-'IS (Adjusted)'!Z35*'IS (Adjusted)'!Z30</f>
        <v>-609.39241000000004</v>
      </c>
      <c r="AA33" s="327">
        <f>-'IS (Adjusted)'!AA35*'IS (Adjusted)'!AA30</f>
        <v>-640.58525456100017</v>
      </c>
      <c r="AB33" s="328">
        <f t="shared" si="33"/>
        <v>-2467.3776645610001</v>
      </c>
      <c r="AC33" s="327">
        <f>-'IS (Adjusted)'!X35*'IS (Adjusted)'!X30</f>
        <v>-608.70500000000004</v>
      </c>
      <c r="AD33" s="327">
        <f>-'IS (Adjusted)'!Y35*'IS (Adjusted)'!Y30</f>
        <v>-608.70500000000004</v>
      </c>
      <c r="AE33" s="327">
        <f>-'IS (Adjusted)'!Z35*'IS (Adjusted)'!Z30</f>
        <v>-609.39241000000004</v>
      </c>
      <c r="AF33" s="327">
        <f>-'IS (Adjusted)'!AA35*'IS (Adjusted)'!AA30</f>
        <v>-640.58525456100017</v>
      </c>
      <c r="AG33" s="328">
        <f t="shared" si="34"/>
        <v>-2467.3876645610003</v>
      </c>
      <c r="AH33" s="327">
        <f>-'IS (Adjusted)'!AC35*'IS (Adjusted)'!AC30</f>
        <v>-641.37259790962844</v>
      </c>
      <c r="AI33" s="327">
        <f>-'IS (Adjusted)'!AD35*'IS (Adjusted)'!AD30</f>
        <v>-642.16151594495398</v>
      </c>
      <c r="AJ33" s="327">
        <f>-'IS (Adjusted)'!AE35*'IS (Adjusted)'!AE30</f>
        <v>-642.95201181635014</v>
      </c>
      <c r="AK33" s="327">
        <f>-'IS (Adjusted)'!AF35*'IS (Adjusted)'!AF30</f>
        <v>-675.93129311346354</v>
      </c>
      <c r="AL33" s="328">
        <f t="shared" si="35"/>
        <v>-2602.417418784396</v>
      </c>
      <c r="AM33" s="327">
        <f>-'IS (Adjusted)'!AH35*'IS (Adjusted)'!AH30</f>
        <v>-676.78932853919662</v>
      </c>
      <c r="AN33" s="327">
        <f>-'IS (Adjusted)'!AI35*'IS (Adjusted)'!AI30</f>
        <v>-677.64908003578125</v>
      </c>
      <c r="AO33" s="327">
        <f>-'IS (Adjusted)'!AJ35*'IS (Adjusted)'!AJ30</f>
        <v>-651.39075535117729</v>
      </c>
      <c r="AP33" s="327">
        <f>-'IS (Adjusted)'!AK35*'IS (Adjusted)'!AK30</f>
        <v>-656.33390971806421</v>
      </c>
      <c r="AQ33" s="328">
        <f t="shared" si="36"/>
        <v>-2662.1630736442194</v>
      </c>
      <c r="AR33" s="327">
        <f>-'IS (Adjusted)'!AM35*'IS (Adjusted)'!AM30</f>
        <v>-656.402796442973</v>
      </c>
      <c r="AS33" s="327">
        <f>-'IS (Adjusted)'!AN35*'IS (Adjusted)'!AN30</f>
        <v>-656.47182094133166</v>
      </c>
      <c r="AT33" s="327">
        <f>-'IS (Adjusted)'!AO35*'IS (Adjusted)'!AO30</f>
        <v>-656.54098348868706</v>
      </c>
      <c r="AU33" s="327">
        <f>-'IS (Adjusted)'!AP35*'IS (Adjusted)'!AP30</f>
        <v>-669.74249004835985</v>
      </c>
      <c r="AV33" s="328">
        <f t="shared" si="37"/>
        <v>-2639.1580909213517</v>
      </c>
    </row>
    <row r="34" spans="2:48" outlineLevel="1" x14ac:dyDescent="0.3">
      <c r="B34" s="325" t="s">
        <v>291</v>
      </c>
      <c r="C34" s="338"/>
      <c r="D34" s="327">
        <v>-5114.7</v>
      </c>
      <c r="E34" s="327">
        <f>-7827.9-D34</f>
        <v>-2713.2</v>
      </c>
      <c r="F34" s="327">
        <f>-7972.9-E34-D34</f>
        <v>-145</v>
      </c>
      <c r="G34" s="327">
        <f>-10222.3-F34-E34-D34</f>
        <v>-2249.3999999999996</v>
      </c>
      <c r="H34" s="328">
        <f t="shared" si="29"/>
        <v>-10222.299999999999</v>
      </c>
      <c r="I34" s="327">
        <v>-1091.4000000000001</v>
      </c>
      <c r="J34" s="327">
        <f>-1698.9-I34</f>
        <v>-607.5</v>
      </c>
      <c r="K34" s="327">
        <f>-1698.9-J34-I34</f>
        <v>0</v>
      </c>
      <c r="L34" s="327">
        <f>-1698.9-K34-J34-I34</f>
        <v>0</v>
      </c>
      <c r="M34" s="328">
        <f t="shared" si="30"/>
        <v>-1698.9</v>
      </c>
      <c r="N34" s="327">
        <v>0</v>
      </c>
      <c r="O34" s="327">
        <f>0-N34</f>
        <v>0</v>
      </c>
      <c r="P34" s="327">
        <f>0-O34-N34</f>
        <v>0</v>
      </c>
      <c r="Q34" s="327">
        <f>0-P34-O34-N34</f>
        <v>0</v>
      </c>
      <c r="R34" s="328">
        <f t="shared" si="31"/>
        <v>0</v>
      </c>
      <c r="S34" s="327">
        <v>-3520.9</v>
      </c>
      <c r="T34" s="327">
        <f>-3997.5-S34</f>
        <v>-476.59999999999991</v>
      </c>
      <c r="U34" s="327">
        <f>-4013-T34-S34</f>
        <v>-15.5</v>
      </c>
      <c r="V34" s="327">
        <f>-4013-U34-T34-S34</f>
        <v>0</v>
      </c>
      <c r="W34" s="328">
        <f t="shared" si="32"/>
        <v>-4013</v>
      </c>
      <c r="X34" s="327">
        <v>-191.4</v>
      </c>
      <c r="Y34" s="327">
        <f>-479.3-X34</f>
        <v>-287.89999999999998</v>
      </c>
      <c r="Z34" s="327">
        <f>-'IS (Adjusted)'!Z154</f>
        <v>-100</v>
      </c>
      <c r="AA34" s="327">
        <f>-'IS (Adjusted)'!AA154</f>
        <v>-100</v>
      </c>
      <c r="AB34" s="328">
        <f t="shared" si="33"/>
        <v>-679.3</v>
      </c>
      <c r="AC34" s="327">
        <f>-'IS (Adjusted)'!AC154</f>
        <v>-100</v>
      </c>
      <c r="AD34" s="327">
        <f>-'IS (Adjusted)'!AD154</f>
        <v>-100</v>
      </c>
      <c r="AE34" s="327">
        <f>-'IS (Adjusted)'!AE154</f>
        <v>-100</v>
      </c>
      <c r="AF34" s="327">
        <f>-'IS (Adjusted)'!AF154</f>
        <v>-100</v>
      </c>
      <c r="AG34" s="328">
        <f t="shared" si="34"/>
        <v>-400</v>
      </c>
      <c r="AH34" s="327">
        <f>-'IS (Adjusted)'!AH154</f>
        <v>-100</v>
      </c>
      <c r="AI34" s="327">
        <f>-'IS (Adjusted)'!AI154</f>
        <v>-100</v>
      </c>
      <c r="AJ34" s="327">
        <f>-'IS (Adjusted)'!AJ154</f>
        <v>-5591.7586260468015</v>
      </c>
      <c r="AK34" s="327">
        <f>-'IS (Adjusted)'!AK154</f>
        <v>-5591.7586260468015</v>
      </c>
      <c r="AL34" s="328">
        <f t="shared" si="35"/>
        <v>-11383.517252093603</v>
      </c>
      <c r="AM34" s="327">
        <f>-'IS (Adjusted)'!AM154</f>
        <v>-250</v>
      </c>
      <c r="AN34" s="327">
        <f>-'IS (Adjusted)'!AN154</f>
        <v>-250</v>
      </c>
      <c r="AO34" s="327">
        <f>-'IS (Adjusted)'!AO154</f>
        <v>-250</v>
      </c>
      <c r="AP34" s="327">
        <f>-'IS (Adjusted)'!AP154</f>
        <v>-250</v>
      </c>
      <c r="AQ34" s="328">
        <f t="shared" si="36"/>
        <v>-1000</v>
      </c>
      <c r="AR34" s="327">
        <f>-'IS (Adjusted)'!AR154</f>
        <v>-250</v>
      </c>
      <c r="AS34" s="327">
        <f>-'IS (Adjusted)'!AS154</f>
        <v>-250</v>
      </c>
      <c r="AT34" s="327">
        <f>-'IS (Adjusted)'!AT154</f>
        <v>-250</v>
      </c>
      <c r="AU34" s="327">
        <f>-'IS (Adjusted)'!AU154</f>
        <v>-250</v>
      </c>
      <c r="AV34" s="328">
        <f t="shared" si="37"/>
        <v>-1000</v>
      </c>
    </row>
    <row r="35" spans="2:48" outlineLevel="1" x14ac:dyDescent="0.3">
      <c r="B35" s="325" t="s">
        <v>292</v>
      </c>
      <c r="C35" s="339"/>
      <c r="D35" s="327">
        <v>-55.3</v>
      </c>
      <c r="E35" s="327">
        <f>-56.3-D35</f>
        <v>-1</v>
      </c>
      <c r="F35" s="327">
        <f>-106.1-E35-D35</f>
        <v>-49.8</v>
      </c>
      <c r="G35" s="327">
        <f>-111.6-F35-E35-D35</f>
        <v>-5.5</v>
      </c>
      <c r="H35" s="328">
        <f t="shared" si="29"/>
        <v>-111.6</v>
      </c>
      <c r="I35" s="327">
        <v>-78.400000000000006</v>
      </c>
      <c r="J35" s="327">
        <f>-87.6-I35</f>
        <v>-9.1999999999999886</v>
      </c>
      <c r="K35" s="327">
        <f>-89.1-J35-I35</f>
        <v>-1.5</v>
      </c>
      <c r="L35" s="327">
        <f>-91.9-K35-J35-I35</f>
        <v>-2.8000000000000114</v>
      </c>
      <c r="M35" s="328">
        <f t="shared" si="30"/>
        <v>-91.9</v>
      </c>
      <c r="N35" s="327">
        <v>-88.6</v>
      </c>
      <c r="O35" s="327">
        <f>-90.1-N35</f>
        <v>-1.5</v>
      </c>
      <c r="P35" s="327">
        <f>-94.2-O35-N35</f>
        <v>-4.1000000000000085</v>
      </c>
      <c r="Q35" s="327">
        <f>-97-P35-O35-N35</f>
        <v>-2.7999999999999972</v>
      </c>
      <c r="R35" s="328">
        <f t="shared" si="31"/>
        <v>-97</v>
      </c>
      <c r="S35" s="327">
        <v>-113.6</v>
      </c>
      <c r="T35" s="327">
        <f>-122.1-S35</f>
        <v>-8.5</v>
      </c>
      <c r="U35" s="327">
        <f>-123.5-T35-S35</f>
        <v>-1.4000000000000057</v>
      </c>
      <c r="V35" s="327">
        <f>-127.2-U35-T35-S35</f>
        <v>-3.7000000000000028</v>
      </c>
      <c r="W35" s="328">
        <f t="shared" si="32"/>
        <v>-127.2</v>
      </c>
      <c r="X35" s="327">
        <v>-79</v>
      </c>
      <c r="Y35" s="327">
        <f>-81.4-X35</f>
        <v>-2.4000000000000057</v>
      </c>
      <c r="Z35" s="327">
        <f>(Y35/Y12)*Z12</f>
        <v>-2.4894097569931866</v>
      </c>
      <c r="AA35" s="327">
        <f>(Z35/Z12)*AA12</f>
        <v>-2.6097290731208505</v>
      </c>
      <c r="AB35" s="328">
        <f t="shared" si="33"/>
        <v>-86.499138830114035</v>
      </c>
      <c r="AC35" s="327">
        <f>(AA35/AA12)*AC12</f>
        <v>-2.7742223038377731</v>
      </c>
      <c r="AD35" s="327">
        <f>(AC35/AC12)*AD12</f>
        <v>-2.6528049261705235</v>
      </c>
      <c r="AE35" s="327">
        <f>(AD35/AD12)*AE12</f>
        <v>-2.833542267338431</v>
      </c>
      <c r="AF35" s="327">
        <f>(AE35/AE12)*AF12</f>
        <v>-2.8870953187528747</v>
      </c>
      <c r="AG35" s="328">
        <f t="shared" si="34"/>
        <v>-11.147664816099603</v>
      </c>
      <c r="AH35" s="327">
        <f>(AF35/AF12)*AH12</f>
        <v>-3.0291739160503628</v>
      </c>
      <c r="AI35" s="327">
        <f>(AH35/AH12)*AI12</f>
        <v>-2.9692413459190656</v>
      </c>
      <c r="AJ35" s="327">
        <f>(AI35/AI12)*AJ12</f>
        <v>-3.1750368142404821</v>
      </c>
      <c r="AK35" s="327">
        <f>(AJ35/AJ12)*AK12</f>
        <v>-3.2198418152011721</v>
      </c>
      <c r="AL35" s="328">
        <f t="shared" si="35"/>
        <v>-12.393293891411084</v>
      </c>
      <c r="AM35" s="327">
        <f>(AK35/AK12)*AM12</f>
        <v>-3.316728902939849</v>
      </c>
      <c r="AN35" s="327">
        <f>(AM35/AM12)*AN12</f>
        <v>-3.2529450260523824</v>
      </c>
      <c r="AO35" s="327">
        <f>(AN35/AN12)*AO12</f>
        <v>-3.4635223710605181</v>
      </c>
      <c r="AP35" s="327">
        <f>(AO35/AO12)*AP12</f>
        <v>-3.4969194152056087</v>
      </c>
      <c r="AQ35" s="328">
        <f t="shared" si="36"/>
        <v>-13.530115715258358</v>
      </c>
      <c r="AR35" s="327">
        <f>(AP35/AP12)*AR12</f>
        <v>-3.5281167838432443</v>
      </c>
      <c r="AS35" s="327">
        <f>(AR35/AR12)*AS12</f>
        <v>-3.4617925443689201</v>
      </c>
      <c r="AT35" s="327">
        <f>(AS35/AS12)*AT12</f>
        <v>-3.6844033423707709</v>
      </c>
      <c r="AU35" s="327">
        <f>(AT35/AT12)*AU12</f>
        <v>-3.7192261214215163</v>
      </c>
      <c r="AV35" s="328">
        <f t="shared" si="37"/>
        <v>-14.393538792004453</v>
      </c>
    </row>
    <row r="36" spans="2:48" ht="16.2" outlineLevel="1" x14ac:dyDescent="0.45">
      <c r="B36" s="623" t="s">
        <v>293</v>
      </c>
      <c r="C36" s="624"/>
      <c r="D36" s="329">
        <v>-0.3</v>
      </c>
      <c r="E36" s="329">
        <f>0.1-D36</f>
        <v>0.4</v>
      </c>
      <c r="F36" s="329">
        <f>-17.6-E36-D36</f>
        <v>-17.7</v>
      </c>
      <c r="G36" s="329">
        <f>-17.5-F36-E36-D36</f>
        <v>9.9999999999999256E-2</v>
      </c>
      <c r="H36" s="330">
        <f t="shared" si="29"/>
        <v>-17.5</v>
      </c>
      <c r="I36" s="329">
        <v>0</v>
      </c>
      <c r="J36" s="329">
        <f>-10.4-I36</f>
        <v>-10.4</v>
      </c>
      <c r="K36" s="329">
        <f>-37.8-J36-I36</f>
        <v>-27.4</v>
      </c>
      <c r="L36" s="329">
        <f>-37.7-K36-J36-I36</f>
        <v>9.9999999999996092E-2</v>
      </c>
      <c r="M36" s="330">
        <f t="shared" si="30"/>
        <v>-37.700000000000003</v>
      </c>
      <c r="N36" s="329">
        <v>0</v>
      </c>
      <c r="O36" s="329">
        <f>0-N36</f>
        <v>0</v>
      </c>
      <c r="P36" s="329">
        <f>0-O36-N36</f>
        <v>0</v>
      </c>
      <c r="Q36" s="329">
        <f>0-P36-O36-N36</f>
        <v>0</v>
      </c>
      <c r="R36" s="330">
        <f t="shared" si="31"/>
        <v>0</v>
      </c>
      <c r="S36" s="329">
        <v>0</v>
      </c>
      <c r="T36" s="329">
        <f>-9.2-S36</f>
        <v>-9.1999999999999993</v>
      </c>
      <c r="U36" s="329">
        <f>-9.2-T36-S36</f>
        <v>0</v>
      </c>
      <c r="V36" s="329">
        <f>-9.2-U36-T36-S36</f>
        <v>0</v>
      </c>
      <c r="W36" s="330">
        <f t="shared" si="32"/>
        <v>-9.1999999999999993</v>
      </c>
      <c r="X36" s="329">
        <v>0</v>
      </c>
      <c r="Y36" s="329">
        <f>-10.7-X36</f>
        <v>-10.7</v>
      </c>
      <c r="Z36" s="329">
        <v>0</v>
      </c>
      <c r="AA36" s="329">
        <v>0</v>
      </c>
      <c r="AB36" s="330">
        <f t="shared" si="33"/>
        <v>-10.7</v>
      </c>
      <c r="AC36" s="329">
        <v>0</v>
      </c>
      <c r="AD36" s="329">
        <v>0</v>
      </c>
      <c r="AE36" s="329">
        <v>0</v>
      </c>
      <c r="AF36" s="329">
        <v>0</v>
      </c>
      <c r="AG36" s="330">
        <f t="shared" si="34"/>
        <v>0</v>
      </c>
      <c r="AH36" s="329">
        <v>0</v>
      </c>
      <c r="AI36" s="329">
        <v>0</v>
      </c>
      <c r="AJ36" s="329">
        <v>0</v>
      </c>
      <c r="AK36" s="329">
        <v>0</v>
      </c>
      <c r="AL36" s="330">
        <f t="shared" si="35"/>
        <v>0</v>
      </c>
      <c r="AM36" s="329">
        <v>0</v>
      </c>
      <c r="AN36" s="329">
        <v>0</v>
      </c>
      <c r="AO36" s="329">
        <v>0</v>
      </c>
      <c r="AP36" s="329">
        <v>0</v>
      </c>
      <c r="AQ36" s="330">
        <f t="shared" si="36"/>
        <v>0</v>
      </c>
      <c r="AR36" s="329">
        <v>0</v>
      </c>
      <c r="AS36" s="329">
        <v>0</v>
      </c>
      <c r="AT36" s="329">
        <v>0</v>
      </c>
      <c r="AU36" s="329">
        <v>0</v>
      </c>
      <c r="AV36" s="330">
        <f t="shared" si="37"/>
        <v>0</v>
      </c>
    </row>
    <row r="37" spans="2:48" outlineLevel="1" x14ac:dyDescent="0.3">
      <c r="B37" s="627" t="s">
        <v>294</v>
      </c>
      <c r="C37" s="628"/>
      <c r="D37" s="331">
        <f t="shared" ref="D37:AV37" si="40">SUM(D29:D36)</f>
        <v>-5858.6</v>
      </c>
      <c r="E37" s="331">
        <f t="shared" si="40"/>
        <v>-2919.2999999999997</v>
      </c>
      <c r="F37" s="331">
        <f t="shared" si="40"/>
        <v>1355.1</v>
      </c>
      <c r="G37" s="331">
        <f t="shared" si="40"/>
        <v>-2634.1</v>
      </c>
      <c r="H37" s="332">
        <f t="shared" si="40"/>
        <v>-10056.9</v>
      </c>
      <c r="I37" s="331">
        <f t="shared" si="40"/>
        <v>-1123.0000000000002</v>
      </c>
      <c r="J37" s="331">
        <f t="shared" si="40"/>
        <v>1273.1000000000001</v>
      </c>
      <c r="K37" s="331">
        <f t="shared" si="40"/>
        <v>2342.9000000000005</v>
      </c>
      <c r="L37" s="331">
        <f t="shared" si="40"/>
        <v>-779.69999999999948</v>
      </c>
      <c r="M37" s="332">
        <f t="shared" si="40"/>
        <v>1713.3000000000009</v>
      </c>
      <c r="N37" s="331">
        <f t="shared" si="40"/>
        <v>-965.80000000000007</v>
      </c>
      <c r="O37" s="331">
        <f t="shared" si="40"/>
        <v>-1711.6</v>
      </c>
      <c r="P37" s="331">
        <f t="shared" si="40"/>
        <v>-490.50000000000011</v>
      </c>
      <c r="Q37" s="331">
        <f t="shared" si="40"/>
        <v>-483.09999999999991</v>
      </c>
      <c r="R37" s="332">
        <f t="shared" si="40"/>
        <v>-3651</v>
      </c>
      <c r="S37" s="331">
        <f t="shared" si="40"/>
        <v>-3969.2</v>
      </c>
      <c r="T37" s="331">
        <f t="shared" si="40"/>
        <v>260.40000000000015</v>
      </c>
      <c r="U37" s="331">
        <f t="shared" si="40"/>
        <v>-1364.4</v>
      </c>
      <c r="V37" s="331">
        <f t="shared" si="40"/>
        <v>-564.8000000000003</v>
      </c>
      <c r="W37" s="332">
        <f t="shared" si="40"/>
        <v>-5638</v>
      </c>
      <c r="X37" s="331">
        <f t="shared" si="40"/>
        <v>-1007.8</v>
      </c>
      <c r="Y37" s="331">
        <f t="shared" si="40"/>
        <v>-275.60000000000019</v>
      </c>
      <c r="Z37" s="331">
        <f t="shared" si="40"/>
        <v>-711.8818197569932</v>
      </c>
      <c r="AA37" s="331">
        <f t="shared" si="40"/>
        <v>-743.19498363412106</v>
      </c>
      <c r="AB37" s="332">
        <f t="shared" si="40"/>
        <v>-2738.4768033911141</v>
      </c>
      <c r="AC37" s="331">
        <f t="shared" si="40"/>
        <v>-711.47922230383779</v>
      </c>
      <c r="AD37" s="331">
        <f t="shared" si="40"/>
        <v>-711.35780492617062</v>
      </c>
      <c r="AE37" s="331">
        <f t="shared" si="40"/>
        <v>-712.22595226733847</v>
      </c>
      <c r="AF37" s="331">
        <f t="shared" si="40"/>
        <v>-743.4723498797531</v>
      </c>
      <c r="AG37" s="332">
        <f t="shared" si="40"/>
        <v>-2878.5353293771</v>
      </c>
      <c r="AH37" s="331">
        <f t="shared" si="40"/>
        <v>-744.40177182567879</v>
      </c>
      <c r="AI37" s="331">
        <f t="shared" si="40"/>
        <v>-745.13075729087302</v>
      </c>
      <c r="AJ37" s="331">
        <f t="shared" si="40"/>
        <v>23.048813974088919</v>
      </c>
      <c r="AK37" s="331">
        <f t="shared" si="40"/>
        <v>-6270.9097609754663</v>
      </c>
      <c r="AL37" s="332">
        <f t="shared" si="40"/>
        <v>-7737.3934761179298</v>
      </c>
      <c r="AM37" s="331">
        <f t="shared" si="40"/>
        <v>-930.10605744213649</v>
      </c>
      <c r="AN37" s="331">
        <f t="shared" si="40"/>
        <v>-1930.9020250618337</v>
      </c>
      <c r="AO37" s="331">
        <f t="shared" si="40"/>
        <v>-904.85427772223784</v>
      </c>
      <c r="AP37" s="331">
        <f t="shared" si="40"/>
        <v>-909.83082913326984</v>
      </c>
      <c r="AQ37" s="332">
        <f t="shared" si="40"/>
        <v>-4675.6931893594774</v>
      </c>
      <c r="AR37" s="331">
        <f t="shared" si="40"/>
        <v>-909.93091322681619</v>
      </c>
      <c r="AS37" s="331">
        <f t="shared" si="40"/>
        <v>-909.93361348570056</v>
      </c>
      <c r="AT37" s="331">
        <f t="shared" si="40"/>
        <v>-910.22538683105779</v>
      </c>
      <c r="AU37" s="331">
        <f t="shared" si="40"/>
        <v>-923.46171616978143</v>
      </c>
      <c r="AV37" s="332">
        <f t="shared" si="40"/>
        <v>-3653.5516297133563</v>
      </c>
    </row>
    <row r="38" spans="2:48" outlineLevel="1" x14ac:dyDescent="0.3">
      <c r="B38" s="248" t="s">
        <v>295</v>
      </c>
      <c r="C38" s="249"/>
      <c r="D38" s="333">
        <f>-4.7-0.1</f>
        <v>-4.8</v>
      </c>
      <c r="E38" s="340">
        <f>18.3-0.1-D38</f>
        <v>23</v>
      </c>
      <c r="F38" s="340">
        <f>-2.5-E38-D38</f>
        <v>-20.7</v>
      </c>
      <c r="G38" s="340">
        <f>-49-F38-E38-D38</f>
        <v>-46.5</v>
      </c>
      <c r="H38" s="337">
        <f>SUM(D38:G38)</f>
        <v>-49</v>
      </c>
      <c r="I38" s="340">
        <v>27.1</v>
      </c>
      <c r="J38" s="340">
        <f>8.7-I38</f>
        <v>-18.400000000000002</v>
      </c>
      <c r="K38" s="340">
        <f>10.9-J38-I38</f>
        <v>2.2000000000000028</v>
      </c>
      <c r="L38" s="340">
        <f>64.7-K38-J38-I38</f>
        <v>53.800000000000004</v>
      </c>
      <c r="M38" s="337">
        <f>SUM(I38:L38)</f>
        <v>64.7</v>
      </c>
      <c r="N38" s="340">
        <v>79.8</v>
      </c>
      <c r="O38" s="340">
        <f>66.7-N38</f>
        <v>-13.099999999999994</v>
      </c>
      <c r="P38" s="340">
        <f>87.9-O38-N38</f>
        <v>21.200000000000003</v>
      </c>
      <c r="Q38" s="340">
        <f>86.2-P38-O38-N38</f>
        <v>-1.7000000000000028</v>
      </c>
      <c r="R38" s="337">
        <f>SUM(N38:Q38)</f>
        <v>86.2</v>
      </c>
      <c r="S38" s="340">
        <v>13</v>
      </c>
      <c r="T38" s="340">
        <f>14.6-S38</f>
        <v>1.5999999999999996</v>
      </c>
      <c r="U38" s="340">
        <f>-126.3-T38-S38</f>
        <v>-140.89999999999998</v>
      </c>
      <c r="V38" s="340">
        <f>-250.3-U38-T38-S38</f>
        <v>-124.00000000000003</v>
      </c>
      <c r="W38" s="337">
        <f>SUM(S38:V38)</f>
        <v>-250.3</v>
      </c>
      <c r="X38" s="340">
        <v>62</v>
      </c>
      <c r="Y38" s="340">
        <f>83-X38</f>
        <v>21</v>
      </c>
      <c r="Z38" s="341">
        <v>0</v>
      </c>
      <c r="AA38" s="341">
        <v>0</v>
      </c>
      <c r="AB38" s="337">
        <f>SUM(X38:AA38)</f>
        <v>83</v>
      </c>
      <c r="AC38" s="341">
        <v>0</v>
      </c>
      <c r="AD38" s="341">
        <v>0</v>
      </c>
      <c r="AE38" s="341">
        <v>0</v>
      </c>
      <c r="AF38" s="341">
        <v>0</v>
      </c>
      <c r="AG38" s="337">
        <f>SUM(AC38:AF38)</f>
        <v>0</v>
      </c>
      <c r="AH38" s="341">
        <v>0</v>
      </c>
      <c r="AI38" s="341">
        <v>0</v>
      </c>
      <c r="AJ38" s="341">
        <v>0</v>
      </c>
      <c r="AK38" s="341">
        <v>0</v>
      </c>
      <c r="AL38" s="337">
        <f>SUM(AH38:AK38)</f>
        <v>0</v>
      </c>
      <c r="AM38" s="341">
        <v>0</v>
      </c>
      <c r="AN38" s="341">
        <v>0</v>
      </c>
      <c r="AO38" s="341">
        <v>0</v>
      </c>
      <c r="AP38" s="341">
        <v>0</v>
      </c>
      <c r="AQ38" s="337">
        <f>SUM(AM38:AP38)</f>
        <v>0</v>
      </c>
      <c r="AR38" s="341">
        <v>0</v>
      </c>
      <c r="AS38" s="341">
        <v>0</v>
      </c>
      <c r="AT38" s="341">
        <v>0</v>
      </c>
      <c r="AU38" s="341">
        <v>0</v>
      </c>
      <c r="AV38" s="337">
        <f>SUM(AR38:AU38)</f>
        <v>0</v>
      </c>
    </row>
    <row r="39" spans="2:48" ht="16.2" outlineLevel="1" x14ac:dyDescent="0.45">
      <c r="B39" s="580" t="s">
        <v>296</v>
      </c>
      <c r="C39" s="581"/>
      <c r="D39" s="260">
        <f t="shared" ref="D39:AV39" si="41">D37+D27+D22+D38</f>
        <v>-3994.7999999999997</v>
      </c>
      <c r="E39" s="260">
        <f t="shared" si="41"/>
        <v>-2706.5</v>
      </c>
      <c r="F39" s="260">
        <f t="shared" si="41"/>
        <v>2708.3000000000011</v>
      </c>
      <c r="G39" s="260">
        <f t="shared" si="41"/>
        <v>-2076.7999999999993</v>
      </c>
      <c r="H39" s="261">
        <f t="shared" si="41"/>
        <v>-6069.7999999999938</v>
      </c>
      <c r="I39" s="260">
        <f t="shared" si="41"/>
        <v>353.89999999999839</v>
      </c>
      <c r="J39" s="260">
        <f t="shared" si="41"/>
        <v>-468.20000000000061</v>
      </c>
      <c r="K39" s="260">
        <f t="shared" si="41"/>
        <v>1393.600000000001</v>
      </c>
      <c r="L39" s="260">
        <f t="shared" si="41"/>
        <v>385.0000000000021</v>
      </c>
      <c r="M39" s="261">
        <f t="shared" si="41"/>
        <v>1664.3000000000052</v>
      </c>
      <c r="N39" s="260">
        <f t="shared" si="41"/>
        <v>677.2</v>
      </c>
      <c r="O39" s="260">
        <f t="shared" si="41"/>
        <v>-1147.3999999999996</v>
      </c>
      <c r="P39" s="260">
        <f t="shared" si="41"/>
        <v>872.49999999999909</v>
      </c>
      <c r="Q39" s="260">
        <f t="shared" si="41"/>
        <v>1702.5999999999997</v>
      </c>
      <c r="R39" s="261">
        <f t="shared" si="41"/>
        <v>2104.8999999999978</v>
      </c>
      <c r="S39" s="260">
        <f t="shared" si="41"/>
        <v>-2486.3000000000002</v>
      </c>
      <c r="T39" s="260">
        <f t="shared" si="41"/>
        <v>-55.999999999999567</v>
      </c>
      <c r="U39" s="260">
        <f t="shared" si="41"/>
        <v>-735.90000000000089</v>
      </c>
      <c r="V39" s="260">
        <f t="shared" si="41"/>
        <v>-359.20000000000118</v>
      </c>
      <c r="W39" s="261">
        <f>W37+W27+W22+W38</f>
        <v>-3637.4000000000005</v>
      </c>
      <c r="X39" s="260">
        <f>X37+X27+X22+X38</f>
        <v>368.10000000000014</v>
      </c>
      <c r="Y39" s="260">
        <f t="shared" si="41"/>
        <v>-114.70000000000005</v>
      </c>
      <c r="Z39" s="260">
        <f t="shared" si="41"/>
        <v>-354.34191667592381</v>
      </c>
      <c r="AA39" s="260">
        <f t="shared" si="41"/>
        <v>334.03649174137581</v>
      </c>
      <c r="AB39" s="261">
        <f t="shared" si="41"/>
        <v>233.09457506545186</v>
      </c>
      <c r="AC39" s="260">
        <f t="shared" si="41"/>
        <v>520.37972185799435</v>
      </c>
      <c r="AD39" s="260">
        <f t="shared" si="41"/>
        <v>-247.25962458004142</v>
      </c>
      <c r="AE39" s="260">
        <f t="shared" si="41"/>
        <v>21.692712030249595</v>
      </c>
      <c r="AF39" s="260">
        <f t="shared" si="41"/>
        <v>316.59282336106207</v>
      </c>
      <c r="AG39" s="261">
        <f t="shared" si="41"/>
        <v>611.40563266926529</v>
      </c>
      <c r="AH39" s="260">
        <f t="shared" si="41"/>
        <v>643.43182357814931</v>
      </c>
      <c r="AI39" s="260">
        <f t="shared" si="41"/>
        <v>-27.944724293101672</v>
      </c>
      <c r="AJ39" s="260">
        <f t="shared" si="41"/>
        <v>861.63089471670492</v>
      </c>
      <c r="AK39" s="260">
        <f t="shared" si="41"/>
        <v>-4780.7497167773363</v>
      </c>
      <c r="AL39" s="261">
        <f t="shared" si="41"/>
        <v>-3303.6317227755844</v>
      </c>
      <c r="AM39" s="260">
        <f t="shared" si="41"/>
        <v>645.97991982040639</v>
      </c>
      <c r="AN39" s="260">
        <f t="shared" si="41"/>
        <v>-1001.900335479583</v>
      </c>
      <c r="AO39" s="260">
        <f t="shared" si="41"/>
        <v>4.1716762178757563</v>
      </c>
      <c r="AP39" s="260">
        <f t="shared" si="41"/>
        <v>611.31571401882229</v>
      </c>
      <c r="AQ39" s="261">
        <f t="shared" si="41"/>
        <v>259.56697457752125</v>
      </c>
      <c r="AR39" s="260">
        <f t="shared" si="41"/>
        <v>849.07900858754306</v>
      </c>
      <c r="AS39" s="260">
        <f t="shared" si="41"/>
        <v>-12.614516343063315</v>
      </c>
      <c r="AT39" s="260">
        <f t="shared" si="41"/>
        <v>152.6064828243143</v>
      </c>
      <c r="AU39" s="260">
        <f t="shared" si="41"/>
        <v>660.8419352569174</v>
      </c>
      <c r="AV39" s="261">
        <f t="shared" si="41"/>
        <v>1649.912910325711</v>
      </c>
    </row>
    <row r="40" spans="2:48" ht="16.2" outlineLevel="1" x14ac:dyDescent="0.45">
      <c r="B40" s="580" t="s">
        <v>297</v>
      </c>
      <c r="C40" s="581"/>
      <c r="D40" s="260">
        <v>8756.2999999999993</v>
      </c>
      <c r="E40" s="260">
        <f>D41</f>
        <v>4761.6000000000004</v>
      </c>
      <c r="F40" s="260">
        <f>E41</f>
        <v>2055.1000000000004</v>
      </c>
      <c r="G40" s="260">
        <f>F41</f>
        <v>4763.4000000000015</v>
      </c>
      <c r="H40" s="261">
        <f>D40</f>
        <v>8756.2999999999993</v>
      </c>
      <c r="I40" s="112">
        <f>H41</f>
        <v>2686.5000000000055</v>
      </c>
      <c r="J40" s="260">
        <f>I41</f>
        <v>3040.5000000000036</v>
      </c>
      <c r="K40" s="260">
        <f>J41</f>
        <v>2572.3000000000029</v>
      </c>
      <c r="L40" s="260">
        <f>K41</f>
        <v>3965.9000000000042</v>
      </c>
      <c r="M40" s="261">
        <f>H41</f>
        <v>2686.5000000000055</v>
      </c>
      <c r="N40" s="260">
        <f>+M41</f>
        <v>4350.8000000000102</v>
      </c>
      <c r="O40" s="260">
        <f>N41</f>
        <v>5028.00000000001</v>
      </c>
      <c r="P40" s="260">
        <f>O41</f>
        <v>3880.6000000000104</v>
      </c>
      <c r="Q40" s="260">
        <f>P41</f>
        <v>4753.1000000000095</v>
      </c>
      <c r="R40" s="261">
        <f>M41</f>
        <v>4350.8000000000102</v>
      </c>
      <c r="S40" s="260">
        <f>+R41</f>
        <v>6455.700000000008</v>
      </c>
      <c r="T40" s="260">
        <f>S41</f>
        <v>3969.4000000000078</v>
      </c>
      <c r="U40" s="260">
        <f>T41</f>
        <v>3913.4000000000083</v>
      </c>
      <c r="V40" s="260">
        <f>U41</f>
        <v>3177.5000000000073</v>
      </c>
      <c r="W40" s="261">
        <f>R41</f>
        <v>6455.700000000008</v>
      </c>
      <c r="X40" s="260">
        <f>+W41</f>
        <v>2818.3000000000075</v>
      </c>
      <c r="Y40" s="260">
        <f>X41</f>
        <v>3186.4000000000078</v>
      </c>
      <c r="Z40" s="260">
        <f>Y41</f>
        <v>3071.700000000008</v>
      </c>
      <c r="AA40" s="260">
        <f>Z41</f>
        <v>2717.358083324084</v>
      </c>
      <c r="AB40" s="261">
        <f>W41</f>
        <v>2818.3000000000075</v>
      </c>
      <c r="AC40" s="260">
        <f>+AB41</f>
        <v>3051.3945750654593</v>
      </c>
      <c r="AD40" s="260">
        <f>AC41</f>
        <v>3571.7742969234537</v>
      </c>
      <c r="AE40" s="260">
        <f>AD41</f>
        <v>3324.5146723434123</v>
      </c>
      <c r="AF40" s="260">
        <f>AE41</f>
        <v>3346.2073843736616</v>
      </c>
      <c r="AG40" s="261">
        <f>AB41</f>
        <v>3051.3945750654593</v>
      </c>
      <c r="AH40" s="260">
        <f>+AG41</f>
        <v>3662.8002077347246</v>
      </c>
      <c r="AI40" s="260">
        <f>AH41</f>
        <v>4306.2320313128739</v>
      </c>
      <c r="AJ40" s="260">
        <f>AI41</f>
        <v>4278.287307019772</v>
      </c>
      <c r="AK40" s="260">
        <f>AJ41</f>
        <v>5139.9182017364765</v>
      </c>
      <c r="AL40" s="261">
        <f>AG41</f>
        <v>3662.8002077347246</v>
      </c>
      <c r="AM40" s="260">
        <f>+AL41</f>
        <v>359.16848495914019</v>
      </c>
      <c r="AN40" s="260">
        <f>AM41</f>
        <v>1005.1484047795466</v>
      </c>
      <c r="AO40" s="260">
        <f>AN41</f>
        <v>3.2480692999636176</v>
      </c>
      <c r="AP40" s="260">
        <f>AO41</f>
        <v>7.4197455178393739</v>
      </c>
      <c r="AQ40" s="261">
        <f>AL41</f>
        <v>359.16848495914019</v>
      </c>
      <c r="AR40" s="260">
        <f>+AQ41</f>
        <v>618.73545953666144</v>
      </c>
      <c r="AS40" s="260">
        <f>AR41</f>
        <v>1467.8144681242045</v>
      </c>
      <c r="AT40" s="260">
        <f>AS41</f>
        <v>1455.1999517811412</v>
      </c>
      <c r="AU40" s="260">
        <f>AT41</f>
        <v>1607.8064346054555</v>
      </c>
      <c r="AV40" s="261">
        <f>AQ41</f>
        <v>618.73545953666144</v>
      </c>
    </row>
    <row r="41" spans="2:48" outlineLevel="1" x14ac:dyDescent="0.3">
      <c r="B41" s="629" t="s">
        <v>298</v>
      </c>
      <c r="C41" s="630"/>
      <c r="D41" s="116">
        <f>+D40+D39+0.1</f>
        <v>4761.6000000000004</v>
      </c>
      <c r="E41" s="116">
        <f>+E40+E39</f>
        <v>2055.1000000000004</v>
      </c>
      <c r="F41" s="116">
        <f>+F40+F39</f>
        <v>4763.4000000000015</v>
      </c>
      <c r="G41" s="116">
        <f>+G40+G39</f>
        <v>2686.6000000000022</v>
      </c>
      <c r="H41" s="150">
        <f>+D40+H39</f>
        <v>2686.5000000000055</v>
      </c>
      <c r="I41" s="116">
        <f>+I40+I39+0.1</f>
        <v>3040.5000000000036</v>
      </c>
      <c r="J41" s="116">
        <f>+J40+J39</f>
        <v>2572.3000000000029</v>
      </c>
      <c r="K41" s="116">
        <f>+K40+K39</f>
        <v>3965.9000000000042</v>
      </c>
      <c r="L41" s="21">
        <f>+L40+L39</f>
        <v>4350.900000000006</v>
      </c>
      <c r="M41" s="22">
        <f>+I40+M39</f>
        <v>4350.8000000000102</v>
      </c>
      <c r="N41" s="21">
        <f>+N40+N39</f>
        <v>5028.00000000001</v>
      </c>
      <c r="O41" s="21">
        <f>+O40+O39</f>
        <v>3880.6000000000104</v>
      </c>
      <c r="P41" s="21">
        <f>+P40+P39</f>
        <v>4753.1000000000095</v>
      </c>
      <c r="Q41" s="21">
        <f>+Q40+Q39</f>
        <v>6455.7000000000089</v>
      </c>
      <c r="R41" s="22">
        <f>+N40+R39</f>
        <v>6455.700000000008</v>
      </c>
      <c r="S41" s="21">
        <f>+S40+S39</f>
        <v>3969.4000000000078</v>
      </c>
      <c r="T41" s="21">
        <f>+T40+T39</f>
        <v>3913.4000000000083</v>
      </c>
      <c r="U41" s="21">
        <f>+U40+U39</f>
        <v>3177.5000000000073</v>
      </c>
      <c r="V41" s="21">
        <f>+V40+V39</f>
        <v>2818.3000000000061</v>
      </c>
      <c r="W41" s="22">
        <f>+S40+W39</f>
        <v>2818.3000000000075</v>
      </c>
      <c r="X41" s="21">
        <f>+X40+X39</f>
        <v>3186.4000000000078</v>
      </c>
      <c r="Y41" s="21">
        <f>+Y40+Y39</f>
        <v>3071.700000000008</v>
      </c>
      <c r="Z41" s="21">
        <f>+Z40+Z39</f>
        <v>2717.358083324084</v>
      </c>
      <c r="AA41" s="21">
        <f>+AA40+AA39</f>
        <v>3051.3945750654598</v>
      </c>
      <c r="AB41" s="22">
        <f>+X40+AB39</f>
        <v>3051.3945750654593</v>
      </c>
      <c r="AC41" s="21">
        <f>+AC40+AC39</f>
        <v>3571.7742969234537</v>
      </c>
      <c r="AD41" s="21">
        <f>+AD40+AD39</f>
        <v>3324.5146723434123</v>
      </c>
      <c r="AE41" s="21">
        <f>+AE40+AE39</f>
        <v>3346.2073843736616</v>
      </c>
      <c r="AF41" s="21">
        <f>+AF40+AF39</f>
        <v>3662.8002077347237</v>
      </c>
      <c r="AG41" s="22">
        <f>+AC40+AG39</f>
        <v>3662.8002077347246</v>
      </c>
      <c r="AH41" s="21">
        <f>+AH40+AH39</f>
        <v>4306.2320313128739</v>
      </c>
      <c r="AI41" s="21">
        <f>+AI40+AI39</f>
        <v>4278.287307019772</v>
      </c>
      <c r="AJ41" s="21">
        <f>+AJ40+AJ39</f>
        <v>5139.9182017364765</v>
      </c>
      <c r="AK41" s="21">
        <f>+AK40+AK39</f>
        <v>359.16848495914019</v>
      </c>
      <c r="AL41" s="22">
        <f>+AH40+AL39</f>
        <v>359.16848495914019</v>
      </c>
      <c r="AM41" s="21">
        <f>+AM40+AM39</f>
        <v>1005.1484047795466</v>
      </c>
      <c r="AN41" s="21">
        <f>+AN40+AN39</f>
        <v>3.2480692999636176</v>
      </c>
      <c r="AO41" s="21">
        <f>+AO40+AO39</f>
        <v>7.4197455178393739</v>
      </c>
      <c r="AP41" s="21">
        <f>+AP40+AP39</f>
        <v>618.73545953666166</v>
      </c>
      <c r="AQ41" s="22">
        <f>+AM40+AQ39</f>
        <v>618.73545953666144</v>
      </c>
      <c r="AR41" s="21">
        <f>+AR40+AR39</f>
        <v>1467.8144681242045</v>
      </c>
      <c r="AS41" s="21">
        <f>+AS40+AS39</f>
        <v>1455.1999517811412</v>
      </c>
      <c r="AT41" s="21">
        <f>+AT40+AT39</f>
        <v>1607.8064346054555</v>
      </c>
      <c r="AU41" s="21">
        <f>+AU40+AU39</f>
        <v>2268.6483698623729</v>
      </c>
      <c r="AV41" s="22">
        <f>+AR40+AV39</f>
        <v>2268.6483698623724</v>
      </c>
    </row>
    <row r="42" spans="2:48" s="23" customFormat="1" outlineLevel="1" x14ac:dyDescent="0.3">
      <c r="B42" s="631" t="s">
        <v>299</v>
      </c>
      <c r="C42" s="632"/>
      <c r="D42" s="321">
        <f>D22-(-D25)+((-'IS (Adjusted)'!D22*(1-'Valuation (Adjusted)'!$F$18)))</f>
        <v>2004.1110132158594</v>
      </c>
      <c r="E42" s="321">
        <f>E22-(-E25)+((-'IS (Adjusted)'!E22*(1-'Valuation (Adjusted)'!$F$18)))</f>
        <v>31.882185022026071</v>
      </c>
      <c r="F42" s="321">
        <f>F22-(-F25)+((-'IS (Adjusted)'!F22*(1-'Valuation (Adjusted)'!$F$18)))</f>
        <v>799.40068722467061</v>
      </c>
      <c r="G42" s="321">
        <f>G22-(-G25)+((-'IS (Adjusted)'!G22*(1-'Valuation (Adjusted)'!$F$18)))</f>
        <v>654.30805286343696</v>
      </c>
      <c r="H42" s="342">
        <f>SUM(D42:G42)</f>
        <v>3489.7019383259931</v>
      </c>
      <c r="I42" s="321">
        <f>I22-(-I25)+((-'IS (Adjusted)'!I22*(1-'Valuation (Adjusted)'!$F$18)))</f>
        <v>1511.0448281938311</v>
      </c>
      <c r="J42" s="321">
        <f>J22-(-J25)+((-'IS (Adjusted)'!J22*(1-'Valuation (Adjusted)'!$F$18)))</f>
        <v>-1650.5547665198246</v>
      </c>
      <c r="K42" s="321">
        <f>K22-(-K25)+((-'IS (Adjusted)'!K22*(1-'Valuation (Adjusted)'!$F$18)))</f>
        <v>-656.77959471365568</v>
      </c>
      <c r="L42" s="321">
        <f>L22-(-L25)+((-'IS (Adjusted)'!L22*(1-'Valuation (Adjusted)'!$F$18)))</f>
        <v>1239.6850220264332</v>
      </c>
      <c r="M42" s="342">
        <f>SUM(I42:L42)</f>
        <v>443.39548898678402</v>
      </c>
      <c r="N42" s="321">
        <f>N22-(-N25)+((-'IS (Adjusted)'!N22*(1-'Valuation (Adjusted)'!$F$18)))</f>
        <v>1602.4450572687226</v>
      </c>
      <c r="O42" s="321">
        <f>O22-(-O25)+((-'IS (Adjusted)'!O22*(1-'Valuation (Adjusted)'!$F$18)))</f>
        <v>646.75022026431725</v>
      </c>
      <c r="P42" s="321">
        <f>P22-(-P25)+((-'IS (Adjusted)'!P22*(1-'Valuation (Adjusted)'!$F$18)))</f>
        <v>1496.644651982378</v>
      </c>
      <c r="Q42" s="321">
        <f>Q22-(-Q25)+((-'IS (Adjusted)'!Q22*(1-'Valuation (Adjusted)'!$F$18)))</f>
        <v>1127.2697092511009</v>
      </c>
      <c r="R42" s="342">
        <f>SUM(N42:Q42)</f>
        <v>4873.1096387665193</v>
      </c>
      <c r="S42" s="321">
        <f>S22-(-S25)+((-'IS (Adjusted)'!S22*(1-'Valuation (Adjusted)'!$F$18)))</f>
        <v>1540.9762643171805</v>
      </c>
      <c r="T42" s="321">
        <f>T22-(-T25)+((-'IS (Adjusted)'!T22*(1-'Valuation (Adjusted)'!$F$18)))</f>
        <v>-203.46051101321564</v>
      </c>
      <c r="U42" s="321">
        <f>U22-(-U25)+((-'IS (Adjusted)'!U22*(1-'Valuation (Adjusted)'!$F$18)))</f>
        <v>934.05340969162899</v>
      </c>
      <c r="V42" s="321">
        <f>V22-(-V25)+((-'IS (Adjusted)'!V22*(1-'Valuation (Adjusted)'!$F$18)))</f>
        <v>648.11106607929423</v>
      </c>
      <c r="W42" s="342">
        <f>SUM(S42:V42)</f>
        <v>2919.6802290748878</v>
      </c>
      <c r="X42" s="321">
        <f>X22-(-X25)+((-'IS (Adjusted)'!X22*(1-'Valuation (Adjusted)'!$F$18)))</f>
        <v>1174.1263788546257</v>
      </c>
      <c r="Y42" s="321">
        <f>Y22-(-Y25)+((-'IS (Adjusted)'!Y22*(1-'Valuation (Adjusted)'!$F$18)))</f>
        <v>385.0993480176212</v>
      </c>
      <c r="Z42" s="321">
        <f>Z22-(-Z25)+((-'IS (Adjusted)'!Z22*(1-'Valuation (Adjusted)'!$F$18)))</f>
        <v>361.55089497630416</v>
      </c>
      <c r="AA42" s="321">
        <f>AA22-(-AA25)+((-'IS (Adjusted)'!AA22*(1-'Valuation (Adjusted)'!$F$18)))</f>
        <v>1220.0095544381729</v>
      </c>
      <c r="AB42" s="342">
        <f>SUM(X42:AA42)</f>
        <v>3140.7861762867242</v>
      </c>
      <c r="AC42" s="321">
        <f>AC22-(-AC25)+((-'IS (Adjusted)'!AC22*(1-'Valuation (Adjusted)'!$F$18)))</f>
        <v>1340.1959023253132</v>
      </c>
      <c r="AD42" s="321">
        <f>AD22-(-AD25)+((-'IS (Adjusted)'!AD22*(1-'Valuation (Adjusted)'!$F$18)))</f>
        <v>596.88077089292813</v>
      </c>
      <c r="AE42" s="321">
        <f>AE22-(-AE25)+((-'IS (Adjusted)'!AE22*(1-'Valuation (Adjusted)'!$F$18)))</f>
        <v>841.4351301890897</v>
      </c>
      <c r="AF42" s="321">
        <f>AF22-(-AF25)+((-'IS (Adjusted)'!AF22*(1-'Valuation (Adjusted)'!$F$18)))</f>
        <v>1183.3003495812707</v>
      </c>
      <c r="AG42" s="342">
        <f>SUM(AC42:AF42)</f>
        <v>3961.8121529886021</v>
      </c>
      <c r="AH42" s="321">
        <f>AH22-(-AH25)+((-'IS (Adjusted)'!AH22*(1-'Valuation (Adjusted)'!$F$18)))</f>
        <v>1533.745415528201</v>
      </c>
      <c r="AI42" s="321">
        <f>AI22-(-AI25)+((-'IS (Adjusted)'!AI22*(1-'Valuation (Adjusted)'!$F$18)))</f>
        <v>836.03017763521063</v>
      </c>
      <c r="AJ42" s="321">
        <f>AJ22-(-AJ25)+((-'IS (Adjusted)'!AJ22*(1-'Valuation (Adjusted)'!$F$18)))</f>
        <v>1008.0172280654258</v>
      </c>
      <c r="AK42" s="321">
        <f>AK22-(-AK25)+((-'IS (Adjusted)'!AK22*(1-'Valuation (Adjusted)'!$F$18)))</f>
        <v>1462.9386320432689</v>
      </c>
      <c r="AL42" s="342">
        <f>SUM(AH42:AK42)</f>
        <v>4840.7314532721057</v>
      </c>
      <c r="AM42" s="321">
        <f>AM22-(-AM25)+((-'IS (Adjusted)'!AM22*(1-'Valuation (Adjusted)'!$F$18)))</f>
        <v>1774.3193348455086</v>
      </c>
      <c r="AN42" s="321">
        <f>AN22-(-AN25)+((-'IS (Adjusted)'!AN22*(1-'Valuation (Adjusted)'!$F$18)))</f>
        <v>1054.292981897067</v>
      </c>
      <c r="AO42" s="321">
        <f>AO22-(-AO25)+((-'IS (Adjusted)'!AO22*(1-'Valuation (Adjusted)'!$F$18)))</f>
        <v>1094.2423044478096</v>
      </c>
      <c r="AP42" s="321">
        <f>AP22-(-AP25)+((-'IS (Adjusted)'!AP22*(1-'Valuation (Adjusted)'!$F$18)))</f>
        <v>1692.5104562707704</v>
      </c>
      <c r="AQ42" s="342">
        <f>SUM(AM42:AP42)</f>
        <v>5615.365077461156</v>
      </c>
      <c r="AR42" s="321">
        <f>AR22-(-AR25)+((-'IS (Adjusted)'!AR22*(1-'Valuation (Adjusted)'!$F$18)))</f>
        <v>1957.5218227644664</v>
      </c>
      <c r="AS42" s="321">
        <f>AS22-(-AS25)+((-'IS (Adjusted)'!AS22*(1-'Valuation (Adjusted)'!$F$18)))</f>
        <v>1056.5694217640978</v>
      </c>
      <c r="AT42" s="321">
        <f>AT22-(-AT25)+((-'IS (Adjusted)'!AT22*(1-'Valuation (Adjusted)'!$F$18)))</f>
        <v>1253.5320521398344</v>
      </c>
      <c r="AU42" s="321">
        <f>AU22-(-AU25)+((-'IS (Adjusted)'!AU22*(1-'Valuation (Adjusted)'!$F$18)))</f>
        <v>1760.1161194475383</v>
      </c>
      <c r="AV42" s="342">
        <f>SUM(AR42:AU42)</f>
        <v>6027.7394161159364</v>
      </c>
    </row>
    <row r="43" spans="2:48" s="23" customFormat="1" outlineLevel="1" x14ac:dyDescent="0.3">
      <c r="B43" s="325" t="s">
        <v>300</v>
      </c>
      <c r="C43" s="326"/>
      <c r="D43" s="327"/>
      <c r="E43" s="327"/>
      <c r="F43" s="343"/>
      <c r="G43" s="327"/>
      <c r="H43" s="328"/>
      <c r="I43" s="327"/>
      <c r="J43" s="327"/>
      <c r="K43" s="327"/>
      <c r="L43" s="327"/>
      <c r="M43" s="328"/>
      <c r="N43" s="327"/>
      <c r="O43" s="327"/>
      <c r="P43" s="327"/>
      <c r="Q43" s="327"/>
      <c r="R43" s="328"/>
      <c r="S43" s="327"/>
      <c r="T43" s="327"/>
      <c r="U43" s="327"/>
      <c r="V43" s="327"/>
      <c r="W43" s="328">
        <v>0</v>
      </c>
      <c r="X43" s="327"/>
      <c r="Y43" s="327"/>
      <c r="Z43" s="327"/>
      <c r="AA43" s="327"/>
      <c r="AB43" s="328">
        <f>1+W43</f>
        <v>1</v>
      </c>
      <c r="AC43" s="327"/>
      <c r="AD43" s="327"/>
      <c r="AE43" s="327"/>
      <c r="AF43" s="327"/>
      <c r="AG43" s="328">
        <f>1+AB43</f>
        <v>2</v>
      </c>
      <c r="AH43" s="327"/>
      <c r="AI43" s="327"/>
      <c r="AJ43" s="327"/>
      <c r="AK43" s="327"/>
      <c r="AL43" s="328">
        <f>1+AG43</f>
        <v>3</v>
      </c>
      <c r="AM43" s="327"/>
      <c r="AN43" s="327"/>
      <c r="AO43" s="327"/>
      <c r="AP43" s="327"/>
      <c r="AQ43" s="328">
        <f>1+AL43</f>
        <v>4</v>
      </c>
      <c r="AR43" s="327"/>
      <c r="AS43" s="327"/>
      <c r="AT43" s="327"/>
      <c r="AU43" s="327"/>
      <c r="AV43" s="328">
        <f>1+AQ43</f>
        <v>5</v>
      </c>
    </row>
    <row r="44" spans="2:48" s="23" customFormat="1" outlineLevel="1" x14ac:dyDescent="0.3">
      <c r="B44" s="633" t="s">
        <v>301</v>
      </c>
      <c r="C44" s="634"/>
      <c r="D44" s="344"/>
      <c r="E44" s="344"/>
      <c r="F44" s="344"/>
      <c r="G44" s="344"/>
      <c r="H44" s="345"/>
      <c r="I44" s="344"/>
      <c r="J44" s="344"/>
      <c r="K44" s="344"/>
      <c r="L44" s="344"/>
      <c r="M44" s="345"/>
      <c r="N44" s="344"/>
      <c r="O44" s="344"/>
      <c r="P44" s="344"/>
      <c r="Q44" s="344"/>
      <c r="R44" s="345"/>
      <c r="S44" s="344"/>
      <c r="T44" s="344"/>
      <c r="U44" s="344"/>
      <c r="V44" s="344"/>
      <c r="W44" s="345">
        <f>W42/(1+'Valuation (Adjusted)'!$F$20)^W43</f>
        <v>2919.6802290748878</v>
      </c>
      <c r="X44" s="344"/>
      <c r="Y44" s="344"/>
      <c r="Z44" s="344"/>
      <c r="AA44" s="344"/>
      <c r="AB44" s="345">
        <f>AB42/(1+'Valuation (Adjusted)'!$F$20)^AB43</f>
        <v>2865.6718141937295</v>
      </c>
      <c r="AC44" s="344"/>
      <c r="AD44" s="344"/>
      <c r="AE44" s="344"/>
      <c r="AF44" s="344"/>
      <c r="AG44" s="345">
        <f>AG42/(1+'Valuation (Adjusted)'!$F$20)^AG43</f>
        <v>3298.1472591600022</v>
      </c>
      <c r="AH44" s="344"/>
      <c r="AI44" s="344"/>
      <c r="AJ44" s="344"/>
      <c r="AK44" s="344"/>
      <c r="AL44" s="345">
        <f>AL42/(1+'Valuation (Adjusted)'!$F$20)^AL43</f>
        <v>3676.8442548030084</v>
      </c>
      <c r="AM44" s="344"/>
      <c r="AN44" s="344"/>
      <c r="AO44" s="344"/>
      <c r="AP44" s="344"/>
      <c r="AQ44" s="345">
        <f>AQ42/(1+'Valuation (Adjusted)'!$F$20)^AQ43</f>
        <v>3891.6190635046073</v>
      </c>
      <c r="AR44" s="344"/>
      <c r="AS44" s="344"/>
      <c r="AT44" s="344"/>
      <c r="AU44" s="344"/>
      <c r="AV44" s="345">
        <f>AV42/(1+'Valuation (Adjusted)'!$F$20)^AV43</f>
        <v>3811.4908009013448</v>
      </c>
    </row>
    <row r="45" spans="2:48" outlineLevel="1" x14ac:dyDescent="0.3">
      <c r="B45" s="250" t="s">
        <v>302</v>
      </c>
      <c r="C45" s="249"/>
      <c r="D45" s="334"/>
      <c r="E45" s="334"/>
      <c r="F45" s="334"/>
      <c r="G45" s="334"/>
      <c r="H45" s="335"/>
      <c r="I45" s="334"/>
      <c r="J45" s="334"/>
      <c r="K45" s="334"/>
      <c r="L45" s="334"/>
      <c r="M45" s="335"/>
      <c r="N45" s="334"/>
      <c r="O45" s="334"/>
      <c r="P45" s="334"/>
      <c r="Q45" s="334"/>
      <c r="R45" s="335"/>
      <c r="S45" s="334"/>
      <c r="T45" s="334"/>
      <c r="U45" s="334"/>
      <c r="V45" s="334"/>
      <c r="W45" s="335"/>
      <c r="X45" s="334"/>
      <c r="Y45" s="334"/>
      <c r="Z45" s="334"/>
      <c r="AA45" s="334"/>
      <c r="AB45" s="335"/>
      <c r="AC45" s="334"/>
      <c r="AD45" s="334"/>
      <c r="AE45" s="334"/>
      <c r="AF45" s="334"/>
      <c r="AG45" s="335"/>
      <c r="AH45" s="334"/>
      <c r="AI45" s="334"/>
      <c r="AJ45" s="334"/>
      <c r="AK45" s="334"/>
      <c r="AL45" s="335"/>
      <c r="AM45" s="334"/>
      <c r="AN45" s="334"/>
      <c r="AO45" s="334"/>
      <c r="AP45" s="334"/>
      <c r="AQ45" s="335"/>
      <c r="AR45" s="334"/>
      <c r="AS45" s="334"/>
      <c r="AT45" s="334"/>
      <c r="AU45" s="334"/>
      <c r="AV45" s="335"/>
    </row>
    <row r="46" spans="2:48" outlineLevel="1" x14ac:dyDescent="0.3">
      <c r="B46" s="200" t="s">
        <v>303</v>
      </c>
      <c r="C46" s="201"/>
      <c r="D46" s="16">
        <f>+'BS (Adjusted)'!D6+'BS (Adjusted)'!D7+'BS (Adjusted)'!D12</f>
        <v>5256.8</v>
      </c>
      <c r="E46" s="16">
        <f>+'BS (Adjusted)'!E6+'BS (Adjusted)'!E7+'BS (Adjusted)'!E12</f>
        <v>2383.6000000000004</v>
      </c>
      <c r="F46" s="16">
        <f>+'BS (Adjusted)'!F6+'BS (Adjusted)'!F7+'BS (Adjusted)'!F12</f>
        <v>5058.1000000000022</v>
      </c>
      <c r="G46" s="16">
        <f>+'BS (Adjusted)'!G6+'BS (Adjusted)'!G7+'BS (Adjusted)'!G12</f>
        <v>2977.1000000000022</v>
      </c>
      <c r="H46" s="17">
        <f>+'BS (Adjusted)'!H6+'BS (Adjusted)'!H7+'BS (Adjusted)'!H12</f>
        <v>2977.1000000000022</v>
      </c>
      <c r="I46" s="16">
        <f>+'BS (Adjusted)'!I6+'BS (Adjusted)'!I7+'BS (Adjusted)'!I12</f>
        <v>3308.7000000000039</v>
      </c>
      <c r="J46" s="16">
        <f>+'BS (Adjusted)'!J6+'BS (Adjusted)'!J7+'BS (Adjusted)'!J12</f>
        <v>2824.0000000000032</v>
      </c>
      <c r="K46" s="16">
        <f>+'BS (Adjusted)'!K6+'BS (Adjusted)'!K7+'BS (Adjusted)'!K12</f>
        <v>4419.2000000000035</v>
      </c>
      <c r="L46" s="16">
        <f>+'BS (Adjusted)'!L6+'BS (Adjusted)'!L7+'BS (Adjusted)'!L12</f>
        <v>4838.2000000000062</v>
      </c>
      <c r="M46" s="17">
        <f>+'BS (Adjusted)'!M6+'BS (Adjusted)'!M7+'BS (Adjusted)'!M12</f>
        <v>4838.2000000000062</v>
      </c>
      <c r="N46" s="16">
        <f>+'BS (Adjusted)'!N6+'BS (Adjusted)'!N7+'BS (Adjusted)'!N12</f>
        <v>5454.4000000000096</v>
      </c>
      <c r="O46" s="16">
        <f>+'BS (Adjusted)'!O6+'BS (Adjusted)'!O7+'BS (Adjusted)'!O12</f>
        <v>4288.4000000000106</v>
      </c>
      <c r="P46" s="16">
        <f>+'BS (Adjusted)'!P6+'BS (Adjusted)'!P7+'BS (Adjusted)'!P12</f>
        <v>5192.6000000000095</v>
      </c>
      <c r="Q46" s="16">
        <f>+'BS (Adjusted)'!Q6+'BS (Adjusted)'!Q7+'BS (Adjusted)'!Q12</f>
        <v>6899.6000000000085</v>
      </c>
      <c r="R46" s="17">
        <f>+'BS (Adjusted)'!R6+'BS (Adjusted)'!R7+'BS (Adjusted)'!R12</f>
        <v>6899.6000000000085</v>
      </c>
      <c r="S46" s="16">
        <f>+'BS (Adjusted)'!S6+'BS (Adjusted)'!S7+'BS (Adjusted)'!S12</f>
        <v>4356.4000000000078</v>
      </c>
      <c r="T46" s="16">
        <f>+'BS (Adjusted)'!T6+'BS (Adjusted)'!T7+'BS (Adjusted)'!T12</f>
        <v>4281.1000000000085</v>
      </c>
      <c r="U46" s="16">
        <f>+'BS (Adjusted)'!U6+'BS (Adjusted)'!U7+'BS (Adjusted)'!U12</f>
        <v>3546.9000000000074</v>
      </c>
      <c r="V46" s="16">
        <f>+'BS (Adjusted)'!V6+'BS (Adjusted)'!V7+'BS (Adjusted)'!V12</f>
        <v>3461.900000000006</v>
      </c>
      <c r="W46" s="17">
        <f>+'BS (Adjusted)'!W6+'BS (Adjusted)'!W7+'BS (Adjusted)'!W12</f>
        <v>3461.900000000006</v>
      </c>
      <c r="X46" s="16">
        <f>+'BS (Adjusted)'!X6+'BS (Adjusted)'!X7+'BS (Adjusted)'!X12</f>
        <v>3593.9000000000078</v>
      </c>
      <c r="Y46" s="16">
        <f>+'BS (Adjusted)'!Y6+'BS (Adjusted)'!Y7+'BS (Adjusted)'!Y12</f>
        <v>3702.3000000000079</v>
      </c>
      <c r="Z46" s="16">
        <f>+'BS (Adjusted)'!Z6+'BS (Adjusted)'!Z7+'BS (Adjusted)'!Z12</f>
        <v>3245.6431543113722</v>
      </c>
      <c r="AA46" s="16">
        <f>+'BS (Adjusted)'!AA6+'BS (Adjusted)'!AA7+'BS (Adjusted)'!AA12</f>
        <v>3620.5138845682445</v>
      </c>
      <c r="AB46" s="17">
        <f>+'BS (Adjusted)'!AB6+'BS (Adjusted)'!AB7+'BS (Adjusted)'!AB12</f>
        <v>3620.5138845682445</v>
      </c>
      <c r="AC46" s="16">
        <f>+'BS (Adjusted)'!AC6+'BS (Adjusted)'!AC7+'BS (Adjusted)'!AC12</f>
        <v>4131.9778089541205</v>
      </c>
      <c r="AD46" s="16">
        <f>+'BS (Adjusted)'!AD6+'BS (Adjusted)'!AD7+'BS (Adjusted)'!AD12</f>
        <v>3915.6878720366976</v>
      </c>
      <c r="AE46" s="16">
        <f>+'BS (Adjusted)'!AE6+'BS (Adjusted)'!AE7+'BS (Adjusted)'!AE12</f>
        <v>3929.9728699186844</v>
      </c>
      <c r="AF46" s="16">
        <f>+'BS (Adjusted)'!AF6+'BS (Adjusted)'!AF7+'BS (Adjusted)'!AF12</f>
        <v>4258.5077209548226</v>
      </c>
      <c r="AG46" s="17">
        <f>+'BS (Adjusted)'!AG6+'BS (Adjusted)'!AG7+'BS (Adjusted)'!AG12</f>
        <v>4258.5077209548226</v>
      </c>
      <c r="AH46" s="16">
        <f>+'BS (Adjusted)'!AH6+'BS (Adjusted)'!AH7+'BS (Adjusted)'!AH12</f>
        <v>4920.4298671437282</v>
      </c>
      <c r="AI46" s="16">
        <f>+'BS (Adjusted)'!AI6+'BS (Adjusted)'!AI7+'BS (Adjusted)'!AI12</f>
        <v>4899.5985467540331</v>
      </c>
      <c r="AJ46" s="16">
        <f>+'BS (Adjusted)'!AJ6+'BS (Adjusted)'!AJ7+'BS (Adjusted)'!AJ12</f>
        <v>5789.6424733214535</v>
      </c>
      <c r="AK46" s="16">
        <f>+'BS (Adjusted)'!AK6+'BS (Adjusted)'!AK7+'BS (Adjusted)'!AK12</f>
        <v>914.18672766911027</v>
      </c>
      <c r="AL46" s="17">
        <f>+'BS (Adjusted)'!AL6+'BS (Adjusted)'!AL7+'BS (Adjusted)'!AL12</f>
        <v>914.18672766911027</v>
      </c>
      <c r="AM46" s="16">
        <f>+'BS (Adjusted)'!AM6+'BS (Adjusted)'!AM7+'BS (Adjusted)'!AM12</f>
        <v>1579.2970198403334</v>
      </c>
      <c r="AN46" s="16">
        <f>+'BS (Adjusted)'!AN6+'BS (Adjusted)'!AN7+'BS (Adjusted)'!AN12</f>
        <v>559.50986199205761</v>
      </c>
      <c r="AO46" s="16">
        <f>+'BS (Adjusted)'!AO6+'BS (Adjusted)'!AO7+'BS (Adjusted)'!AO12</f>
        <v>579.599850202884</v>
      </c>
      <c r="AP46" s="16">
        <f>+'BS (Adjusted)'!AP6+'BS (Adjusted)'!AP7+'BS (Adjusted)'!AP12</f>
        <v>1199.9367596011516</v>
      </c>
      <c r="AQ46" s="17">
        <f>+'BS (Adjusted)'!AQ6+'BS (Adjusted)'!AQ7+'BS (Adjusted)'!AQ12</f>
        <v>1199.9367596011516</v>
      </c>
      <c r="AR46" s="16">
        <f>+'BS (Adjusted)'!AR6+'BS (Adjusted)'!AR7+'BS (Adjusted)'!AR12</f>
        <v>2071.5990170727096</v>
      </c>
      <c r="AS46" s="16">
        <f>+'BS (Adjusted)'!AS6+'BS (Adjusted)'!AS7+'BS (Adjusted)'!AS12</f>
        <v>2061.4829999647809</v>
      </c>
      <c r="AT46" s="16">
        <f>+'BS (Adjusted)'!AT6+'BS (Adjusted)'!AT7+'BS (Adjusted)'!AT12</f>
        <v>2232.4110019860136</v>
      </c>
      <c r="AU46" s="16">
        <f>+'BS (Adjusted)'!AU6+'BS (Adjusted)'!AU7+'BS (Adjusted)'!AU12</f>
        <v>2903.9378862093004</v>
      </c>
      <c r="AV46" s="17">
        <f>+'BS (Adjusted)'!AV6+'BS (Adjusted)'!AV7+'BS (Adjusted)'!AV12</f>
        <v>2903.9378862093004</v>
      </c>
    </row>
    <row r="47" spans="2:48" outlineLevel="1" x14ac:dyDescent="0.3">
      <c r="B47" s="200" t="s">
        <v>304</v>
      </c>
      <c r="C47" s="201"/>
      <c r="D47" s="16">
        <f>'BS (Adjusted)'!D28+'BS (Adjusted)'!D31</f>
        <v>9130.7000000000007</v>
      </c>
      <c r="E47" s="16">
        <f>'BS (Adjusted)'!E28+'BS (Adjusted)'!E31</f>
        <v>9216.5</v>
      </c>
      <c r="F47" s="16">
        <f>'BS (Adjusted)'!F28+'BS (Adjusted)'!F31</f>
        <v>11159.1</v>
      </c>
      <c r="G47" s="16">
        <f>'BS (Adjusted)'!G28+'BS (Adjusted)'!G31</f>
        <v>11167</v>
      </c>
      <c r="H47" s="17">
        <f>'BS (Adjusted)'!H28+'BS (Adjusted)'!H31</f>
        <v>11167</v>
      </c>
      <c r="I47" s="16">
        <f>'BS (Adjusted)'!I28+'BS (Adjusted)'!I31</f>
        <v>11649.800000000001</v>
      </c>
      <c r="J47" s="16">
        <f>'BS (Adjusted)'!J28+'BS (Adjusted)'!J31</f>
        <v>14015.2</v>
      </c>
      <c r="K47" s="16">
        <f>'BS (Adjusted)'!K28+'BS (Adjusted)'!K31</f>
        <v>16831.7</v>
      </c>
      <c r="L47" s="16">
        <f>'BS (Adjusted)'!L28+'BS (Adjusted)'!L31</f>
        <v>16348.300000000001</v>
      </c>
      <c r="M47" s="17">
        <f>'BS (Adjusted)'!M28+'BS (Adjusted)'!M31</f>
        <v>16348.300000000001</v>
      </c>
      <c r="N47" s="16">
        <f>'BS (Adjusted)'!N28+'BS (Adjusted)'!N31</f>
        <v>15916.1</v>
      </c>
      <c r="O47" s="16">
        <f>'BS (Adjusted)'!O28+'BS (Adjusted)'!O31</f>
        <v>14648.599999999999</v>
      </c>
      <c r="P47" s="16">
        <f>'BS (Adjusted)'!P28+'BS (Adjusted)'!P31</f>
        <v>14618.1</v>
      </c>
      <c r="Q47" s="16">
        <f>'BS (Adjusted)'!Q28+'BS (Adjusted)'!Q31</f>
        <v>14615.8</v>
      </c>
      <c r="R47" s="17">
        <f>'BS (Adjusted)'!R28+'BS (Adjusted)'!R31</f>
        <v>14615.8</v>
      </c>
      <c r="S47" s="16">
        <f>'BS (Adjusted)'!S28+'BS (Adjusted)'!S31</f>
        <v>14785.599999999999</v>
      </c>
      <c r="T47" s="16">
        <f>'BS (Adjusted)'!T28+'BS (Adjusted)'!T31</f>
        <v>16013</v>
      </c>
      <c r="U47" s="16">
        <f>'BS (Adjusted)'!U28+'BS (Adjusted)'!U31</f>
        <v>15129.9</v>
      </c>
      <c r="V47" s="16">
        <f>'BS (Adjusted)'!V28+'BS (Adjusted)'!V31</f>
        <v>15043.9</v>
      </c>
      <c r="W47" s="17">
        <f>'BS (Adjusted)'!W28+'BS (Adjusted)'!W31</f>
        <v>15043.9</v>
      </c>
      <c r="X47" s="16">
        <f>'BS (Adjusted)'!X28+'BS (Adjusted)'!X31</f>
        <v>14926</v>
      </c>
      <c r="Y47" s="16">
        <f>'BS (Adjusted)'!Y28+'BS (Adjusted)'!Y31</f>
        <v>15486.3</v>
      </c>
      <c r="Z47" s="16">
        <f>'BS (Adjusted)'!Z28+'BS (Adjusted)'!Z31</f>
        <v>15486.3</v>
      </c>
      <c r="AA47" s="16">
        <f>'BS (Adjusted)'!AA28+'BS (Adjusted)'!AA31</f>
        <v>15486.3</v>
      </c>
      <c r="AB47" s="17">
        <f>'BS (Adjusted)'!AB28+'BS (Adjusted)'!AB31</f>
        <v>15486.3</v>
      </c>
      <c r="AC47" s="16">
        <f>'BS (Adjusted)'!AC28+'BS (Adjusted)'!AC31</f>
        <v>15486.3</v>
      </c>
      <c r="AD47" s="16">
        <f>'BS (Adjusted)'!AD28+'BS (Adjusted)'!AD31</f>
        <v>15486.3</v>
      </c>
      <c r="AE47" s="16">
        <f>'BS (Adjusted)'!AE28+'BS (Adjusted)'!AE31</f>
        <v>15486.3</v>
      </c>
      <c r="AF47" s="16">
        <f>'BS (Adjusted)'!AF28+'BS (Adjusted)'!AF31</f>
        <v>15486.3</v>
      </c>
      <c r="AG47" s="17">
        <f>'BS (Adjusted)'!AG28+'BS (Adjusted)'!AG31</f>
        <v>15486.3</v>
      </c>
      <c r="AH47" s="16">
        <f>'BS (Adjusted)'!AH28+'BS (Adjusted)'!AH31</f>
        <v>15486.3</v>
      </c>
      <c r="AI47" s="16">
        <f>'BS (Adjusted)'!AI28+'BS (Adjusted)'!AI31</f>
        <v>15486.3</v>
      </c>
      <c r="AJ47" s="16">
        <f>'BS (Adjusted)'!AJ28+'BS (Adjusted)'!AJ31</f>
        <v>21747.23448865148</v>
      </c>
      <c r="AK47" s="16">
        <f>'BS (Adjusted)'!AK28+'BS (Adjusted)'!AK31</f>
        <v>21747.23448865148</v>
      </c>
      <c r="AL47" s="17">
        <f>'BS (Adjusted)'!AL28+'BS (Adjusted)'!AL31</f>
        <v>21747.23448865148</v>
      </c>
      <c r="AM47" s="16">
        <f>'BS (Adjusted)'!AM28+'BS (Adjusted)'!AM31</f>
        <v>21747.23448865148</v>
      </c>
      <c r="AN47" s="16">
        <f>'BS (Adjusted)'!AN28+'BS (Adjusted)'!AN31</f>
        <v>20747.23448865148</v>
      </c>
      <c r="AO47" s="16">
        <f>'BS (Adjusted)'!AO28+'BS (Adjusted)'!AO31</f>
        <v>20747.23448865148</v>
      </c>
      <c r="AP47" s="16">
        <f>'BS (Adjusted)'!AP28+'BS (Adjusted)'!AP31</f>
        <v>20747.23448865148</v>
      </c>
      <c r="AQ47" s="17">
        <f>'BS (Adjusted)'!AQ28+'BS (Adjusted)'!AQ31</f>
        <v>20747.23448865148</v>
      </c>
      <c r="AR47" s="16">
        <f>'BS (Adjusted)'!AR28+'BS (Adjusted)'!AR31</f>
        <v>20747.23448865148</v>
      </c>
      <c r="AS47" s="16">
        <f>'BS (Adjusted)'!AS28+'BS (Adjusted)'!AS31</f>
        <v>20747.23448865148</v>
      </c>
      <c r="AT47" s="16">
        <f>'BS (Adjusted)'!AT28+'BS (Adjusted)'!AT31</f>
        <v>20747.23448865148</v>
      </c>
      <c r="AU47" s="16">
        <f>'BS (Adjusted)'!AU28+'BS (Adjusted)'!AU31</f>
        <v>20747.23448865148</v>
      </c>
      <c r="AV47" s="17">
        <f>'BS (Adjusted)'!AV28+'BS (Adjusted)'!AV31</f>
        <v>20747.23448865148</v>
      </c>
    </row>
    <row r="48" spans="2:48" outlineLevel="1" x14ac:dyDescent="0.3">
      <c r="B48" s="635" t="s">
        <v>305</v>
      </c>
      <c r="C48" s="636"/>
      <c r="D48" s="346">
        <f>(D46-D47)/'IS (Adjusted)'!D31</f>
        <v>-3.0907132599329823</v>
      </c>
      <c r="E48" s="346">
        <f>(E46-E47)/'IS (Adjusted)'!E31</f>
        <v>-5.4632605740785154</v>
      </c>
      <c r="F48" s="346">
        <f>(F46-F47)/'IS (Adjusted)'!F31</f>
        <v>-4.9885527391659839</v>
      </c>
      <c r="G48" s="346">
        <f>(G46-G47)/'IS (Adjusted)'!G31</f>
        <v>-6.6975821179389685</v>
      </c>
      <c r="H48" s="347">
        <f>(H46-H47)/'IS (Adjusted)'!H31</f>
        <v>-6.6411774245864397</v>
      </c>
      <c r="I48" s="346">
        <f>(I46-I47)/'IS (Adjusted)'!I31</f>
        <v>-7.0034424853064623</v>
      </c>
      <c r="J48" s="346">
        <f>(J46-J47)/'IS (Adjusted)'!J31</f>
        <v>-9.4784449902600123</v>
      </c>
      <c r="K48" s="346">
        <f>(K46-K47)/'IS (Adjusted)'!K31</f>
        <v>-10.62259306803594</v>
      </c>
      <c r="L48" s="346">
        <f>(L46-L47)/'IS (Adjusted)'!L31</f>
        <v>-9.7625954198473242</v>
      </c>
      <c r="M48" s="347">
        <f>(M46-M47)/'IS (Adjusted)'!M31</f>
        <v>-9.6019593007244595</v>
      </c>
      <c r="N48" s="346">
        <f>(N46-N47)/'IS (Adjusted)'!N31</f>
        <v>-8.8433643279797032</v>
      </c>
      <c r="O48" s="346">
        <f>(O46-O47)/'IS (Adjusted)'!O31</f>
        <v>-8.7442606347062704</v>
      </c>
      <c r="P48" s="346">
        <f>(P46-P47)/'IS (Adjusted)'!P31</f>
        <v>-7.9459618951272892</v>
      </c>
      <c r="Q48" s="346">
        <f>(Q46-Q47)/'IS (Adjusted)'!Q31</f>
        <v>-6.4956646182338496</v>
      </c>
      <c r="R48" s="347">
        <f>(R46-R47)/'IS (Adjusted)'!R31</f>
        <v>-6.504862503325251</v>
      </c>
      <c r="S48" s="346">
        <f>(S46-S47)/'IS (Adjusted)'!S31</f>
        <v>-8.8638449770525156</v>
      </c>
      <c r="T48" s="346">
        <f>(T46-T47)/'IS (Adjusted)'!T31</f>
        <v>-10.167172198630722</v>
      </c>
      <c r="U48" s="346">
        <f>(U46-U47)/'IS (Adjusted)'!U31</f>
        <v>-10.06342311033883</v>
      </c>
      <c r="V48" s="346">
        <f>(V46-V47)/'IS (Adjusted)'!V31</f>
        <v>-10.049457700650754</v>
      </c>
      <c r="W48" s="347">
        <f>(W46-W47)/'IS (Adjusted)'!W31</f>
        <v>-9.9985955103363526</v>
      </c>
      <c r="X48" s="346">
        <f>(X46-X47)/'IS (Adjusted)'!X31</f>
        <v>-9.8292132882296741</v>
      </c>
      <c r="Y48" s="346">
        <f>(Y46-Y47)/'IS (Adjusted)'!Y31</f>
        <v>-10.222954801769749</v>
      </c>
      <c r="Z48" s="346">
        <f>(Z46-Z47)/'IS (Adjusted)'!Z31</f>
        <v>-10.617711044688214</v>
      </c>
      <c r="AA48" s="346">
        <f>(AA46-AA47)/'IS (Adjusted)'!AA31</f>
        <v>-10.29117863972604</v>
      </c>
      <c r="AB48" s="347">
        <f>(AB46-AB47)/'IS (Adjusted)'!AB31</f>
        <v>-10.292374695443543</v>
      </c>
      <c r="AC48" s="346">
        <f>(AC46-AC47)/'IS (Adjusted)'!AC31</f>
        <v>-9.8453186106833321</v>
      </c>
      <c r="AD48" s="346">
        <f>(AD46-AD47)/'IS (Adjusted)'!AD31</f>
        <v>-10.030550765517791</v>
      </c>
      <c r="AE48" s="346">
        <f>(AE46-AE47)/'IS (Adjusted)'!AE31</f>
        <v>-10.015856148564216</v>
      </c>
      <c r="AF48" s="346">
        <f>(AF46-AF47)/'IS (Adjusted)'!AF31</f>
        <v>-9.7288688728997634</v>
      </c>
      <c r="AG48" s="347">
        <f>(AG46-AG47)/'IS (Adjusted)'!AG31</f>
        <v>-9.7320966076583098</v>
      </c>
      <c r="AH48" s="346">
        <f>(AH46-AH47)/'IS (Adjusted)'!AH31</f>
        <v>-9.152863877568187</v>
      </c>
      <c r="AI48" s="346">
        <f>(AI46-AI47)/'IS (Adjusted)'!AI31</f>
        <v>-9.1684531612478235</v>
      </c>
      <c r="AJ48" s="346">
        <f>(AJ46-AJ47)/'IS (Adjusted)'!AJ31</f>
        <v>-14.394555799397699</v>
      </c>
      <c r="AK48" s="346">
        <f>(AK46-AK47)/'IS (Adjusted)'!AK31</f>
        <v>-19.608745943661415</v>
      </c>
      <c r="AL48" s="347">
        <f>(AL46-AL47)/'IS (Adjusted)'!AL31</f>
        <v>-18.633140056093087</v>
      </c>
      <c r="AM48" s="346">
        <f>(AM46-AM47)/'IS (Adjusted)'!AM31</f>
        <v>-18.999975932267027</v>
      </c>
      <c r="AN48" s="346">
        <f>(AN46-AN47)/'IS (Adjusted)'!AN31</f>
        <v>-19.035936398279819</v>
      </c>
      <c r="AO48" s="346">
        <f>(AO46-AO47)/'IS (Adjusted)'!AO31</f>
        <v>-19.034343494759579</v>
      </c>
      <c r="AP48" s="346">
        <f>(AP46-AP47)/'IS (Adjusted)'!AP31</f>
        <v>-18.465730278921573</v>
      </c>
      <c r="AQ48" s="347">
        <f>(AQ46-AQ47)/'IS (Adjusted)'!AQ31</f>
        <v>-18.441626009525475</v>
      </c>
      <c r="AR48" s="346">
        <f>(AR46-AR47)/'IS (Adjusted)'!AR31</f>
        <v>-17.657792483546263</v>
      </c>
      <c r="AS48" s="346">
        <f>(AS46-AS47)/'IS (Adjusted)'!AS31</f>
        <v>-17.68290305886805</v>
      </c>
      <c r="AT48" s="346">
        <f>(AT46-AT47)/'IS (Adjusted)'!AT31</f>
        <v>-17.536594880394226</v>
      </c>
      <c r="AU48" s="346">
        <f>(AU46-AU47)/'IS (Adjusted)'!AU31</f>
        <v>-16.91547526978308</v>
      </c>
      <c r="AV48" s="347">
        <f>(AV46-AV47)/'IS (Adjusted)'!AV31</f>
        <v>-16.894114279488143</v>
      </c>
    </row>
    <row r="49" spans="2:48" x14ac:dyDescent="0.3">
      <c r="B49" s="637"/>
      <c r="C49" s="637"/>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583" t="s">
        <v>306</v>
      </c>
      <c r="C50" s="584"/>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3" t="s">
        <v>407</v>
      </c>
      <c r="Y50" s="13" t="s">
        <v>451</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85"/>
      <c r="C51" s="586"/>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4" t="s">
        <v>408</v>
      </c>
      <c r="Y51" s="14" t="s">
        <v>452</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601" t="s">
        <v>307</v>
      </c>
      <c r="C52" s="602"/>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D12/'IS (Adjusted)'!D8</f>
        <v>1.4669742337208073E-2</v>
      </c>
      <c r="E53" s="281">
        <f>E12/'IS (Adjusted)'!E8</f>
        <v>1.5033540018078308E-2</v>
      </c>
      <c r="F53" s="113">
        <f>F12/'IS (Adjusted)'!F8</f>
        <v>9.2774439396160081E-3</v>
      </c>
      <c r="G53" s="113">
        <f>G12/'IS (Adjusted)'!G8</f>
        <v>7.7960575070401619E-3</v>
      </c>
      <c r="H53" s="125">
        <f>H12/'IS (Adjusted)'!H8</f>
        <v>1.1618870857004896E-2</v>
      </c>
      <c r="I53" s="113">
        <f>I12/'IS (Adjusted)'!I8</f>
        <v>1.2723506784461259E-2</v>
      </c>
      <c r="J53" s="113">
        <f>J12/'IS (Adjusted)'!J8</f>
        <v>9.3900628783961833E-3</v>
      </c>
      <c r="K53" s="113">
        <f>K12/'IS (Adjusted)'!K8</f>
        <v>9.8055470026763899E-3</v>
      </c>
      <c r="L53" s="113">
        <f>L12/'IS (Adjusted)'!L8</f>
        <v>9.7693088939401224E-3</v>
      </c>
      <c r="M53" s="282">
        <f>M12/'IS (Adjusted)'!M8</f>
        <v>1.0570626753975675E-2</v>
      </c>
      <c r="N53" s="113">
        <f>N12/'IS (Adjusted)'!N8</f>
        <v>1.4712418881678371E-2</v>
      </c>
      <c r="O53" s="113">
        <f>O12/'IS (Adjusted)'!O8</f>
        <v>1.1397720455908821E-2</v>
      </c>
      <c r="P53" s="113">
        <f>P12/'IS (Adjusted)'!P8</f>
        <v>1.0671646768491964E-2</v>
      </c>
      <c r="Q53" s="113">
        <f>Q12/'IS (Adjusted)'!Q8</f>
        <v>7.8313918519155035E-3</v>
      </c>
      <c r="R53" s="282">
        <f>R12/'IS (Adjusted)'!R8</f>
        <v>1.0980502811366593E-2</v>
      </c>
      <c r="S53" s="113">
        <f>S12/'IS (Adjusted)'!S8</f>
        <v>1.1900029812183245E-2</v>
      </c>
      <c r="T53" s="113">
        <f>T12/'IS (Adjusted)'!T8</f>
        <v>6.9935564985069932E-3</v>
      </c>
      <c r="U53" s="113">
        <f>U12/'IS (Adjusted)'!U8</f>
        <v>7.0428583698359517E-3</v>
      </c>
      <c r="V53" s="113">
        <f>V12/'IS (Adjusted)'!V8</f>
        <v>7.7131515770958682E-3</v>
      </c>
      <c r="W53" s="282"/>
      <c r="X53" s="113">
        <f>X12/'IS (Adjusted)'!X8</f>
        <v>9.7774819541192812E-3</v>
      </c>
      <c r="Y53" s="113">
        <f>Y12/'IS (Adjusted)'!Y8</f>
        <v>8.4979013280121127E-3</v>
      </c>
      <c r="Z53" s="35">
        <f>AVERAGE(Y53,X53,V53,U53)</f>
        <v>8.257848307265803E-3</v>
      </c>
      <c r="AA53" s="35">
        <f>AVERAGE(Z53,Y53,X53,V53)</f>
        <v>8.5615957916232652E-3</v>
      </c>
      <c r="AB53" s="282"/>
      <c r="AC53" s="35">
        <f>AVERAGE(AA53,Z53,Y53,X53)</f>
        <v>8.7737068452551151E-3</v>
      </c>
      <c r="AD53" s="35">
        <f>AVERAGE(AC53,AA53,Z53,Y53)</f>
        <v>8.5227630680390735E-3</v>
      </c>
      <c r="AE53" s="35">
        <f>AVERAGE(AD53,AC53,AA53,Z53)</f>
        <v>8.5289785030458146E-3</v>
      </c>
      <c r="AF53" s="35">
        <f>AVERAGE(AE53,AD53,AC53,AA53)</f>
        <v>8.5967610519908175E-3</v>
      </c>
      <c r="AG53" s="282"/>
      <c r="AH53" s="35">
        <f>AVERAGE(AF53,AE53,AD53,AC53)</f>
        <v>8.6055523670827052E-3</v>
      </c>
      <c r="AI53" s="35">
        <f>AVERAGE(AH53,AF53,AE53,AD53)</f>
        <v>8.5635137475396014E-3</v>
      </c>
      <c r="AJ53" s="35">
        <f>AVERAGE(AI53,AH53,AF53,AE53)</f>
        <v>8.5737014174147343E-3</v>
      </c>
      <c r="AK53" s="35">
        <f>AVERAGE(AJ53,AI53,AH53,AF53)</f>
        <v>8.5848821460069637E-3</v>
      </c>
      <c r="AL53" s="282"/>
      <c r="AM53" s="35">
        <f>AVERAGE(AK53,AJ53,AI53,AH53)</f>
        <v>8.5819124195110012E-3</v>
      </c>
      <c r="AN53" s="35">
        <f>AVERAGE(AM53,AK53,AJ53,AI53)</f>
        <v>8.576002432618076E-3</v>
      </c>
      <c r="AO53" s="35">
        <f>AVERAGE(AN53,AM53,AK53,AJ53)</f>
        <v>8.5791246038876938E-3</v>
      </c>
      <c r="AP53" s="35">
        <f>AVERAGE(AO53,AN53,AM53,AK53)</f>
        <v>8.5804804005059337E-3</v>
      </c>
      <c r="AQ53" s="282"/>
      <c r="AR53" s="35">
        <f>AVERAGE(AP53,AO53,AN53,AM53)</f>
        <v>8.5793799641306762E-3</v>
      </c>
      <c r="AS53" s="35">
        <f>AVERAGE(AR53,AP53,AO53,AN53)</f>
        <v>8.5787468502855953E-3</v>
      </c>
      <c r="AT53" s="35">
        <f>AVERAGE(AS53,AR53,AP53,AO53)</f>
        <v>8.5794329547024747E-3</v>
      </c>
      <c r="AU53" s="35">
        <f>AVERAGE(AT53,AS53,AR53,AP53)</f>
        <v>8.5795100424061708E-3</v>
      </c>
      <c r="AV53" s="282"/>
    </row>
    <row r="54" spans="2:48" s="23" customFormat="1" outlineLevel="1" x14ac:dyDescent="0.3">
      <c r="B54" s="200" t="s">
        <v>309</v>
      </c>
      <c r="C54" s="201"/>
      <c r="D54" s="351">
        <f t="shared" ref="D54:V54" si="42">+D10/-D9</f>
        <v>1.1581818181818182</v>
      </c>
      <c r="E54" s="351">
        <f t="shared" si="42"/>
        <v>0.55639097744360888</v>
      </c>
      <c r="F54" s="113">
        <f t="shared" si="42"/>
        <v>1.0682852807283763</v>
      </c>
      <c r="G54" s="113">
        <f t="shared" si="42"/>
        <v>0.69411764705882406</v>
      </c>
      <c r="H54" s="125">
        <f t="shared" si="42"/>
        <v>0.86512370311252995</v>
      </c>
      <c r="I54" s="113">
        <f t="shared" si="42"/>
        <v>1.0222575516693164</v>
      </c>
      <c r="J54" s="113">
        <f t="shared" si="42"/>
        <v>0.63295880149812733</v>
      </c>
      <c r="K54" s="113">
        <f t="shared" si="42"/>
        <v>1.0227272727272729</v>
      </c>
      <c r="L54" s="113">
        <f t="shared" si="42"/>
        <v>0.63109756097560987</v>
      </c>
      <c r="M54" s="282">
        <f t="shared" si="42"/>
        <v>0.81118631991449952</v>
      </c>
      <c r="N54" s="113">
        <f t="shared" si="42"/>
        <v>1.1188405797101451</v>
      </c>
      <c r="O54" s="113">
        <f t="shared" si="42"/>
        <v>0.85072231139646837</v>
      </c>
      <c r="P54" s="113">
        <f t="shared" si="42"/>
        <v>0.9018691588785045</v>
      </c>
      <c r="Q54" s="113">
        <f t="shared" si="42"/>
        <v>1.0027522935779816</v>
      </c>
      <c r="R54" s="282">
        <f t="shared" si="42"/>
        <v>0.96746328822343797</v>
      </c>
      <c r="S54" s="113">
        <f t="shared" si="42"/>
        <v>0.96351931330472096</v>
      </c>
      <c r="T54" s="113">
        <f t="shared" si="42"/>
        <v>0.77531206657420249</v>
      </c>
      <c r="U54" s="113">
        <f t="shared" si="42"/>
        <v>0.80106571936056836</v>
      </c>
      <c r="V54" s="113">
        <f t="shared" si="42"/>
        <v>0.91035218783351113</v>
      </c>
      <c r="W54" s="282"/>
      <c r="X54" s="113">
        <f t="shared" ref="X54:Y54" si="43">+X10/-X9</f>
        <v>0.80316344463971889</v>
      </c>
      <c r="Y54" s="113">
        <f t="shared" si="43"/>
        <v>0.79811320754716963</v>
      </c>
      <c r="Z54" s="35">
        <v>1</v>
      </c>
      <c r="AA54" s="35">
        <v>1</v>
      </c>
      <c r="AB54" s="282"/>
      <c r="AC54" s="35">
        <v>1</v>
      </c>
      <c r="AD54" s="35">
        <v>1</v>
      </c>
      <c r="AE54" s="35">
        <v>1</v>
      </c>
      <c r="AF54" s="35">
        <v>1</v>
      </c>
      <c r="AG54" s="282"/>
      <c r="AH54" s="35">
        <v>1</v>
      </c>
      <c r="AI54" s="35">
        <v>1</v>
      </c>
      <c r="AJ54" s="35">
        <v>1</v>
      </c>
      <c r="AK54" s="35">
        <v>1</v>
      </c>
      <c r="AL54" s="282"/>
      <c r="AM54" s="35">
        <v>1</v>
      </c>
      <c r="AN54" s="35">
        <v>1</v>
      </c>
      <c r="AO54" s="35">
        <v>1</v>
      </c>
      <c r="AP54" s="35">
        <v>1</v>
      </c>
      <c r="AQ54" s="282"/>
      <c r="AR54" s="35">
        <v>1</v>
      </c>
      <c r="AS54" s="35">
        <v>1</v>
      </c>
      <c r="AT54" s="35">
        <v>1</v>
      </c>
      <c r="AU54" s="35">
        <v>1</v>
      </c>
      <c r="AV54" s="282"/>
    </row>
    <row r="55" spans="2:48" s="23" customFormat="1" outlineLevel="1" x14ac:dyDescent="0.3">
      <c r="B55" s="580" t="s">
        <v>310</v>
      </c>
      <c r="C55" s="581"/>
      <c r="D55" s="352"/>
      <c r="E55" s="352"/>
      <c r="F55" s="352"/>
      <c r="G55" s="352"/>
      <c r="H55" s="353"/>
      <c r="I55" s="352">
        <f t="shared" ref="I55:AV55" si="44">I22/D22-1</f>
        <v>-0.22820512820512895</v>
      </c>
      <c r="J55" s="352">
        <f t="shared" si="44"/>
        <v>-4.4869364754098413</v>
      </c>
      <c r="K55" s="352">
        <f t="shared" si="44"/>
        <v>-1.314434752864716</v>
      </c>
      <c r="L55" s="352">
        <f t="shared" si="44"/>
        <v>0.34527569713924766</v>
      </c>
      <c r="M55" s="353">
        <f t="shared" si="44"/>
        <v>-0.68340961778517451</v>
      </c>
      <c r="N55" s="352">
        <f t="shared" si="44"/>
        <v>-2.1785305811139466E-4</v>
      </c>
      <c r="O55" s="352">
        <f t="shared" si="44"/>
        <v>-1.649232351428781</v>
      </c>
      <c r="P55" s="352">
        <f t="shared" si="44"/>
        <v>-5.7565950503127619</v>
      </c>
      <c r="Q55" s="352">
        <f t="shared" si="44"/>
        <v>2.012477359629572E-2</v>
      </c>
      <c r="R55" s="353">
        <f t="shared" si="44"/>
        <v>2.7484040555764064</v>
      </c>
      <c r="S55" s="352">
        <f t="shared" si="44"/>
        <v>1.9175246499972598E-2</v>
      </c>
      <c r="T55" s="352">
        <f t="shared" si="44"/>
        <v>-0.81681375876895213</v>
      </c>
      <c r="U55" s="352">
        <f t="shared" si="44"/>
        <v>-0.27684391080617499</v>
      </c>
      <c r="V55" s="352">
        <f t="shared" si="44"/>
        <v>-0.27691194844479561</v>
      </c>
      <c r="W55" s="353">
        <f t="shared" si="44"/>
        <v>-0.26581179456354764</v>
      </c>
      <c r="X55" s="352">
        <f t="shared" si="44"/>
        <v>-0.14843123630338328</v>
      </c>
      <c r="Y55" s="352">
        <f t="shared" si="44"/>
        <v>3.7411982705373639</v>
      </c>
      <c r="Z55" s="352">
        <f t="shared" si="44"/>
        <v>-0.21066714082938087</v>
      </c>
      <c r="AA55" s="352">
        <f t="shared" si="44"/>
        <v>0.69618112415729061</v>
      </c>
      <c r="AB55" s="353">
        <f t="shared" si="44"/>
        <v>0.18808991276320275</v>
      </c>
      <c r="AC55" s="352">
        <f t="shared" si="44"/>
        <v>0.19598301185548772</v>
      </c>
      <c r="AD55" s="352">
        <f t="shared" si="44"/>
        <v>0.49870520027343423</v>
      </c>
      <c r="AE55" s="352">
        <f t="shared" si="44"/>
        <v>0.44098897298319018</v>
      </c>
      <c r="AF55" s="352">
        <f t="shared" si="44"/>
        <v>-4.1872156592324128E-2</v>
      </c>
      <c r="AG55" s="353">
        <f t="shared" si="44"/>
        <v>0.20236518683158544</v>
      </c>
      <c r="AH55" s="352">
        <f t="shared" si="44"/>
        <v>9.8526646396736917E-2</v>
      </c>
      <c r="AI55" s="352">
        <f t="shared" si="44"/>
        <v>0.20321933512985657</v>
      </c>
      <c r="AJ55" s="352">
        <f t="shared" si="44"/>
        <v>0.11234926440868698</v>
      </c>
      <c r="AK55" s="352">
        <f t="shared" si="44"/>
        <v>0.127582157946871</v>
      </c>
      <c r="AL55" s="353">
        <f t="shared" si="44"/>
        <v>0.12913207301792928</v>
      </c>
      <c r="AM55" s="352">
        <f t="shared" si="44"/>
        <v>0.1218777548968828</v>
      </c>
      <c r="AN55" s="352">
        <f t="shared" si="44"/>
        <v>0.16639617737231616</v>
      </c>
      <c r="AO55" s="352">
        <f t="shared" si="44"/>
        <v>6.7923130300308054E-2</v>
      </c>
      <c r="AP55" s="352">
        <f t="shared" si="44"/>
        <v>0.14864350006635907</v>
      </c>
      <c r="AQ55" s="353">
        <f t="shared" si="44"/>
        <v>0.125996869659732</v>
      </c>
      <c r="AR55" s="352">
        <f t="shared" si="44"/>
        <v>0.10149077852851818</v>
      </c>
      <c r="AS55" s="352">
        <f t="shared" si="44"/>
        <v>3.4925709543647709E-2</v>
      </c>
      <c r="AT55" s="352">
        <f t="shared" si="44"/>
        <v>0.12207419678139764</v>
      </c>
      <c r="AU55" s="352">
        <f t="shared" si="44"/>
        <v>5.0708346583476782E-2</v>
      </c>
      <c r="AV55" s="353">
        <f t="shared" si="44"/>
        <v>7.7720918324596155E-2</v>
      </c>
    </row>
    <row r="56" spans="2:48" outlineLevel="1" x14ac:dyDescent="0.3">
      <c r="B56" s="200" t="s">
        <v>311</v>
      </c>
      <c r="C56" s="356"/>
      <c r="D56" s="351">
        <f>-D25/'IS (Adjusted)'!D8</f>
        <v>6.5041385860961587E-2</v>
      </c>
      <c r="E56" s="351">
        <f>-E25/'IS (Adjusted)'!E8</f>
        <v>6.5684517673924428E-2</v>
      </c>
      <c r="F56" s="113">
        <f>-F25/'IS (Adjusted)'!F8</f>
        <v>6.3769602814011436E-2</v>
      </c>
      <c r="G56" s="113">
        <f>-G25/'IS (Adjusted)'!G8</f>
        <v>7.7945753668297008E-2</v>
      </c>
      <c r="H56" s="363">
        <f>-H25/'IS (Adjusted)'!H8</f>
        <v>6.8151467825535855E-2</v>
      </c>
      <c r="I56" s="354">
        <f>-I25/'IS (Adjusted)'!I8</f>
        <v>5.555790393259219E-2</v>
      </c>
      <c r="J56" s="118">
        <f>-J25/'IS (Adjusted)'!J8</f>
        <v>6.0710175625865198E-2</v>
      </c>
      <c r="K56" s="118">
        <f>-K25/'IS (Adjusted)'!K8</f>
        <v>9.0026290234717338E-2</v>
      </c>
      <c r="L56" s="113">
        <f>-L25/'IS (Adjusted)'!L8</f>
        <v>5.5649594557559891E-2</v>
      </c>
      <c r="M56" s="353">
        <f>-M25/'IS (Adjusted)'!M8</f>
        <v>6.3083595543838744E-2</v>
      </c>
      <c r="N56" s="354">
        <f>-N25/'IS (Adjusted)'!N8</f>
        <v>4.8033899309568251E-2</v>
      </c>
      <c r="O56" s="118">
        <f>-O25/'IS (Adjusted)'!O8</f>
        <v>4.8545290941811634E-2</v>
      </c>
      <c r="P56" s="118">
        <f>-P25/'IS (Adjusted)'!P8</f>
        <v>4.5061028479957313E-2</v>
      </c>
      <c r="Q56" s="118">
        <f>-Q25/'IS (Adjusted)'!Q8</f>
        <v>5.9447383603176751E-2</v>
      </c>
      <c r="R56" s="353">
        <f>-R25/'IS (Adjusted)'!R8</f>
        <v>5.058395215515165E-2</v>
      </c>
      <c r="S56" s="354">
        <f>-S25/'IS (Adjusted)'!S8</f>
        <v>5.1773824903110409E-2</v>
      </c>
      <c r="T56" s="118">
        <f>-T25/'IS (Adjusted)'!T8</f>
        <v>5.9602388810309603E-2</v>
      </c>
      <c r="U56" s="118">
        <f>-U25/'IS (Adjusted)'!U8</f>
        <v>5.1962552606716499E-2</v>
      </c>
      <c r="V56" s="118">
        <f>-V25/'IS (Adjusted)'!V8</f>
        <v>6.4878419814123733E-2</v>
      </c>
      <c r="W56" s="353">
        <f>-W25/'IS (Adjusted)'!W8</f>
        <v>5.7094042536038427E-2</v>
      </c>
      <c r="X56" s="354">
        <f>-X25/'IS (Adjusted)'!X8</f>
        <v>5.9307543120761079E-2</v>
      </c>
      <c r="Y56" s="354">
        <f>-Y25/'IS (Adjusted)'!Y8</f>
        <v>5.5643478061423439E-2</v>
      </c>
      <c r="Z56" s="355">
        <v>8.0184441007083843E-2</v>
      </c>
      <c r="AA56" s="355">
        <f>Z56</f>
        <v>8.0184441007083843E-2</v>
      </c>
      <c r="AB56" s="353">
        <f>-AB25/'IS (Adjusted)'!AB8</f>
        <v>6.9233299273045737E-2</v>
      </c>
      <c r="AC56" s="355">
        <v>6.9237389235761101E-2</v>
      </c>
      <c r="AD56" s="35">
        <f>AC56</f>
        <v>6.9237389235761101E-2</v>
      </c>
      <c r="AE56" s="35">
        <f>AD56</f>
        <v>6.9237389235761101E-2</v>
      </c>
      <c r="AF56" s="35">
        <f>AE56</f>
        <v>6.9237389235761101E-2</v>
      </c>
      <c r="AG56" s="353">
        <f>-AG25/'IS (Adjusted)'!AG8</f>
        <v>6.9237389235761115E-2</v>
      </c>
      <c r="AH56" s="355">
        <v>6.2089303557495354E-2</v>
      </c>
      <c r="AI56" s="35">
        <f>AH56</f>
        <v>6.2089303557495354E-2</v>
      </c>
      <c r="AJ56" s="35">
        <f>AI56</f>
        <v>6.2089303557495354E-2</v>
      </c>
      <c r="AK56" s="35">
        <f>AJ56</f>
        <v>6.2089303557495354E-2</v>
      </c>
      <c r="AL56" s="353">
        <f>-AL25/'IS (Adjusted)'!AL8</f>
        <v>6.2089303557495368E-2</v>
      </c>
      <c r="AM56" s="355">
        <f>AVERAGE(AH56,AI56,AJ56,AK56)</f>
        <v>6.2089303557495354E-2</v>
      </c>
      <c r="AN56" s="35">
        <f>AVERAGE(AI56,AJ56,AK56,AM56)</f>
        <v>6.2089303557495354E-2</v>
      </c>
      <c r="AO56" s="35">
        <f>AVERAGE(AN56,AM56,AK56,AJ56)</f>
        <v>6.2089303557495354E-2</v>
      </c>
      <c r="AP56" s="35">
        <f>AVERAGE(AO56,AN56,AM56,AK56)</f>
        <v>6.2089303557495354E-2</v>
      </c>
      <c r="AQ56" s="353">
        <f>-AQ25/'IS (Adjusted)'!AQ8</f>
        <v>6.2089303557495361E-2</v>
      </c>
      <c r="AR56" s="355">
        <f>AVERAGE(AM56,AN56,AO56,AP56)</f>
        <v>6.2089303557495354E-2</v>
      </c>
      <c r="AS56" s="35">
        <f>AVERAGE(AN56,AO56,AP56,AR56)</f>
        <v>6.2089303557495354E-2</v>
      </c>
      <c r="AT56" s="35">
        <f>AVERAGE(AS56,AR56,AP56,AO56)</f>
        <v>6.2089303557495354E-2</v>
      </c>
      <c r="AU56" s="35">
        <f>AVERAGE(AT56,AS56,AR56,AP56)</f>
        <v>6.2089303557495354E-2</v>
      </c>
      <c r="AV56" s="353">
        <f>-AV25/'IS (Adjusted)'!AV8</f>
        <v>6.2089303557495354E-2</v>
      </c>
    </row>
    <row r="57" spans="2:48" outlineLevel="1" x14ac:dyDescent="0.3">
      <c r="B57" s="200" t="s">
        <v>312</v>
      </c>
      <c r="C57" s="356"/>
      <c r="D57" s="299">
        <f>-D34-D33</f>
        <v>5561.4</v>
      </c>
      <c r="E57" s="299">
        <f t="shared" ref="E57:AV57" si="45">-E34-E33</f>
        <v>3161</v>
      </c>
      <c r="F57" s="146">
        <f t="shared" si="45"/>
        <v>581.20000000000005</v>
      </c>
      <c r="G57" s="146">
        <f t="shared" si="45"/>
        <v>2679.9999999999995</v>
      </c>
      <c r="H57" s="122">
        <f t="shared" si="45"/>
        <v>11983.599999999999</v>
      </c>
      <c r="I57" s="299">
        <f t="shared" si="45"/>
        <v>1575.6000000000001</v>
      </c>
      <c r="J57" s="146">
        <f t="shared" si="45"/>
        <v>1088.5</v>
      </c>
      <c r="K57" s="146">
        <f t="shared" si="45"/>
        <v>479.00000000000006</v>
      </c>
      <c r="L57" s="146">
        <f t="shared" si="45"/>
        <v>479.3</v>
      </c>
      <c r="M57" s="122">
        <f t="shared" si="45"/>
        <v>3622.4</v>
      </c>
      <c r="N57" s="299">
        <f t="shared" si="45"/>
        <v>528.20000000000005</v>
      </c>
      <c r="O57" s="146">
        <f t="shared" si="45"/>
        <v>529.79999999999995</v>
      </c>
      <c r="P57" s="146">
        <f t="shared" si="45"/>
        <v>530.20000000000005</v>
      </c>
      <c r="Q57" s="146">
        <f t="shared" si="45"/>
        <v>530.79999999999995</v>
      </c>
      <c r="R57" s="122">
        <f t="shared" si="45"/>
        <v>2119</v>
      </c>
      <c r="S57" s="299">
        <f t="shared" si="45"/>
        <v>4096.8999999999996</v>
      </c>
      <c r="T57" s="146">
        <f t="shared" si="45"/>
        <v>1039.8</v>
      </c>
      <c r="U57" s="146">
        <f t="shared" si="45"/>
        <v>577.39999999999986</v>
      </c>
      <c r="V57" s="146">
        <f t="shared" si="45"/>
        <v>562.20000000000027</v>
      </c>
      <c r="W57" s="122">
        <f>-W34-W33</f>
        <v>6276.3</v>
      </c>
      <c r="X57" s="299">
        <f t="shared" si="45"/>
        <v>799.69999999999993</v>
      </c>
      <c r="Y57" s="299">
        <f t="shared" si="45"/>
        <v>897.00000000000011</v>
      </c>
      <c r="Z57" s="299">
        <f t="shared" si="45"/>
        <v>709.39241000000004</v>
      </c>
      <c r="AA57" s="299">
        <f t="shared" si="45"/>
        <v>740.58525456100017</v>
      </c>
      <c r="AB57" s="166">
        <f t="shared" si="45"/>
        <v>3146.6776645609998</v>
      </c>
      <c r="AC57" s="299">
        <f t="shared" si="45"/>
        <v>708.70500000000004</v>
      </c>
      <c r="AD57" s="146">
        <f t="shared" si="45"/>
        <v>708.70500000000004</v>
      </c>
      <c r="AE57" s="146">
        <f t="shared" si="45"/>
        <v>709.39241000000004</v>
      </c>
      <c r="AF57" s="146">
        <f t="shared" si="45"/>
        <v>740.58525456100017</v>
      </c>
      <c r="AG57" s="166">
        <f t="shared" si="45"/>
        <v>2867.3876645610003</v>
      </c>
      <c r="AH57" s="299">
        <f t="shared" si="45"/>
        <v>741.37259790962844</v>
      </c>
      <c r="AI57" s="146">
        <f t="shared" si="45"/>
        <v>742.16151594495398</v>
      </c>
      <c r="AJ57" s="146">
        <f t="shared" si="45"/>
        <v>6234.7106378631515</v>
      </c>
      <c r="AK57" s="146">
        <f>-AK34-AK33</f>
        <v>6267.6899191602652</v>
      </c>
      <c r="AL57" s="122">
        <f t="shared" si="45"/>
        <v>13985.934670877999</v>
      </c>
      <c r="AM57" s="299">
        <f t="shared" si="45"/>
        <v>926.78932853919662</v>
      </c>
      <c r="AN57" s="146">
        <f t="shared" si="45"/>
        <v>927.64908003578125</v>
      </c>
      <c r="AO57" s="146">
        <f t="shared" si="45"/>
        <v>901.39075535117729</v>
      </c>
      <c r="AP57" s="146">
        <f t="shared" si="45"/>
        <v>906.33390971806421</v>
      </c>
      <c r="AQ57" s="122">
        <f t="shared" si="45"/>
        <v>3662.1630736442194</v>
      </c>
      <c r="AR57" s="299">
        <f t="shared" si="45"/>
        <v>906.402796442973</v>
      </c>
      <c r="AS57" s="146">
        <f t="shared" si="45"/>
        <v>906.47182094133166</v>
      </c>
      <c r="AT57" s="146">
        <f t="shared" si="45"/>
        <v>906.54098348868706</v>
      </c>
      <c r="AU57" s="146">
        <f t="shared" si="45"/>
        <v>919.74249004835985</v>
      </c>
      <c r="AV57" s="122">
        <f t="shared" si="45"/>
        <v>3639.1580909213517</v>
      </c>
    </row>
    <row r="58" spans="2:48" outlineLevel="1" x14ac:dyDescent="0.3">
      <c r="B58" s="203" t="s">
        <v>313</v>
      </c>
      <c r="C58" s="364"/>
      <c r="D58" s="365"/>
      <c r="E58" s="365"/>
      <c r="F58" s="366"/>
      <c r="G58" s="366"/>
      <c r="H58" s="367"/>
      <c r="I58" s="365"/>
      <c r="J58" s="366"/>
      <c r="K58" s="366"/>
      <c r="L58" s="366"/>
      <c r="M58" s="367"/>
      <c r="N58" s="365"/>
      <c r="O58" s="366"/>
      <c r="P58" s="366"/>
      <c r="Q58" s="366"/>
      <c r="R58" s="367"/>
      <c r="S58" s="365"/>
      <c r="T58" s="366"/>
      <c r="U58" s="366"/>
      <c r="V58" s="366"/>
      <c r="W58" s="367"/>
      <c r="X58" s="365">
        <f>X57</f>
        <v>799.69999999999993</v>
      </c>
      <c r="Y58" s="365">
        <f>+Y57+X58</f>
        <v>1696.7</v>
      </c>
      <c r="Z58" s="365">
        <f t="shared" ref="Z58:AA58" si="46">+Z57+Y58</f>
        <v>2406.0924100000002</v>
      </c>
      <c r="AA58" s="365">
        <f t="shared" si="46"/>
        <v>3146.6776645610003</v>
      </c>
      <c r="AB58" s="368">
        <f>AA58</f>
        <v>3146.6776645610003</v>
      </c>
      <c r="AC58" s="365">
        <f>AA58+AC57</f>
        <v>3855.3826645610002</v>
      </c>
      <c r="AD58" s="365">
        <f>AC58+AD57</f>
        <v>4564.0876645610006</v>
      </c>
      <c r="AE58" s="365">
        <f t="shared" ref="AE58:AF58" si="47">AD58+AE57</f>
        <v>5273.4800745610009</v>
      </c>
      <c r="AF58" s="365">
        <f t="shared" si="47"/>
        <v>6014.0653291220015</v>
      </c>
      <c r="AG58" s="368">
        <f>+AF58</f>
        <v>6014.0653291220015</v>
      </c>
      <c r="AH58" s="365">
        <f>AF58+AH57</f>
        <v>6755.4379270316294</v>
      </c>
      <c r="AI58" s="365">
        <f>AH58+AI57</f>
        <v>7497.5994429765833</v>
      </c>
      <c r="AJ58" s="365">
        <f t="shared" ref="AJ58" si="48">AI58+AJ57</f>
        <v>13732.310080839736</v>
      </c>
      <c r="AK58" s="365">
        <f>AJ58+AK57</f>
        <v>20000</v>
      </c>
      <c r="AL58" s="394">
        <f>+AK58</f>
        <v>20000</v>
      </c>
      <c r="AM58" s="365"/>
      <c r="AN58" s="366"/>
      <c r="AO58" s="366"/>
      <c r="AP58" s="366"/>
      <c r="AQ58" s="367"/>
      <c r="AR58" s="365"/>
      <c r="AS58" s="366"/>
      <c r="AT58" s="366"/>
      <c r="AU58" s="366"/>
      <c r="AV58" s="367"/>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('IS (Adjusted)'!AL34/'IS (Adjusted)'!W34)^(1/3)-1</f>
        <v>0.16134885740981186</v>
      </c>
    </row>
    <row r="60" spans="2:48" x14ac:dyDescent="0.3">
      <c r="B60" s="308" t="s">
        <v>330</v>
      </c>
      <c r="D60" s="399"/>
      <c r="E60" s="399"/>
      <c r="I60" s="399"/>
      <c r="J60" s="399"/>
      <c r="N60" s="399"/>
      <c r="O60" s="399"/>
      <c r="S60" s="399"/>
      <c r="T60" s="399"/>
      <c r="X60" s="399"/>
      <c r="Y60" s="399"/>
      <c r="AC60" s="399"/>
      <c r="AD60" s="399"/>
      <c r="AH60" s="399"/>
      <c r="AI60" s="399"/>
      <c r="AL60" s="29">
        <v>0.1686267277782485</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AL59-AL60</f>
        <v>-7.2778703684366342E-3</v>
      </c>
      <c r="AM61" s="427"/>
    </row>
    <row r="62" spans="2:48" s="23" customFormat="1" x14ac:dyDescent="0.3">
      <c r="B62" s="395" t="s">
        <v>442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(0.15+1)^3*2.95</f>
        <v>4.4865812499999986</v>
      </c>
      <c r="AM62" s="408"/>
      <c r="AN62" s="48"/>
      <c r="AO62" s="309"/>
      <c r="AP62" s="309"/>
      <c r="AQ62" s="309"/>
      <c r="AR62" s="48"/>
      <c r="AS62" s="48"/>
      <c r="AT62" s="309"/>
      <c r="AU62" s="309"/>
      <c r="AV62" s="309"/>
    </row>
    <row r="63" spans="2:48" s="23" customFormat="1" x14ac:dyDescent="0.3">
      <c r="B63" s="311" t="s">
        <v>443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(0.2+1)^3*2.95</f>
        <v>5.0975999999999999</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552">
        <f>(('IS (Adjusted)'!AK57+'IS (Adjusted)'!AK90)/('IS (Adjusted)'!V57+'IS (Adjusted)'!V90))^(1/3)-1</f>
        <v>6.9277899823068534E-2</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553">
        <f>('IS (Adjusted)'!AL8/'IS (Adjusted)'!W8)^(1/3)-1</f>
        <v>0.11401691176216944</v>
      </c>
      <c r="AM65" s="48"/>
      <c r="AN65" s="48"/>
      <c r="AO65" s="309"/>
      <c r="AP65" s="309"/>
      <c r="AQ65" s="309"/>
      <c r="AR65" s="48"/>
      <c r="AS65" s="48"/>
      <c r="AT65" s="309"/>
      <c r="AU65" s="309"/>
      <c r="AV65" s="309"/>
    </row>
    <row r="66" spans="2:48" x14ac:dyDescent="0.3">
      <c r="B66" s="395" t="s">
        <v>444</v>
      </c>
      <c r="C66" s="409"/>
      <c r="D66" s="410"/>
      <c r="E66" s="410"/>
      <c r="F66" s="411"/>
      <c r="G66" s="411"/>
      <c r="H66" s="411"/>
      <c r="I66" s="410"/>
      <c r="J66" s="410"/>
      <c r="K66" s="411"/>
      <c r="L66" s="411"/>
      <c r="M66" s="411"/>
      <c r="N66" s="410"/>
      <c r="O66" s="410"/>
      <c r="P66" s="411"/>
      <c r="Q66" s="411"/>
      <c r="R66" s="411"/>
      <c r="S66" s="410"/>
      <c r="T66" s="410"/>
      <c r="U66" s="411"/>
      <c r="V66" s="411"/>
      <c r="W66" s="411"/>
      <c r="X66" s="410"/>
      <c r="Y66" s="410"/>
      <c r="Z66" s="411"/>
      <c r="AA66" s="411"/>
      <c r="AB66" s="411"/>
      <c r="AC66" s="410"/>
      <c r="AD66" s="410"/>
      <c r="AE66" s="411"/>
      <c r="AF66" s="411"/>
      <c r="AG66" s="411"/>
      <c r="AH66" s="410"/>
      <c r="AI66" s="410"/>
      <c r="AJ66" s="411"/>
      <c r="AK66" s="411"/>
      <c r="AL66" s="554">
        <f>(0.1+1)^3*32250</f>
        <v>42924.750000000015</v>
      </c>
    </row>
    <row r="67" spans="2:48" x14ac:dyDescent="0.3">
      <c r="B67" s="311" t="s">
        <v>445</v>
      </c>
      <c r="C67" s="413"/>
      <c r="D67" s="313"/>
      <c r="E67" s="313"/>
      <c r="F67" s="314"/>
      <c r="G67" s="314"/>
      <c r="H67" s="314"/>
      <c r="I67" s="313"/>
      <c r="J67" s="313"/>
      <c r="K67" s="314"/>
      <c r="L67" s="314"/>
      <c r="M67" s="314"/>
      <c r="N67" s="313"/>
      <c r="O67" s="313"/>
      <c r="P67" s="314"/>
      <c r="Q67" s="314"/>
      <c r="R67" s="314"/>
      <c r="S67" s="313"/>
      <c r="T67" s="313"/>
      <c r="U67" s="314"/>
      <c r="V67" s="314"/>
      <c r="W67" s="314"/>
      <c r="X67" s="313"/>
      <c r="Y67" s="313"/>
      <c r="Z67" s="314"/>
      <c r="AA67" s="314"/>
      <c r="AB67" s="314"/>
      <c r="AC67" s="313"/>
      <c r="AD67" s="313"/>
      <c r="AE67" s="314"/>
      <c r="AF67" s="314"/>
      <c r="AG67" s="314"/>
      <c r="AH67" s="313"/>
      <c r="AI67" s="313"/>
      <c r="AJ67" s="314"/>
      <c r="AK67" s="314"/>
      <c r="AL67" s="555">
        <f>(0.12+1)^3*32250</f>
        <v>45308.928000000014</v>
      </c>
    </row>
  </sheetData>
  <dataConsolidate/>
  <mergeCells count="27">
    <mergeCell ref="B18:C18"/>
    <mergeCell ref="B3:C3"/>
    <mergeCell ref="B5:C5"/>
    <mergeCell ref="B14:C14"/>
    <mergeCell ref="B15:C15"/>
    <mergeCell ref="B17:C17"/>
    <mergeCell ref="B40:C40"/>
    <mergeCell ref="B21:C21"/>
    <mergeCell ref="B22:C22"/>
    <mergeCell ref="B23:C23"/>
    <mergeCell ref="B25:C25"/>
    <mergeCell ref="B26:C26"/>
    <mergeCell ref="B27:C27"/>
    <mergeCell ref="B28:C28"/>
    <mergeCell ref="B29:C29"/>
    <mergeCell ref="B36:C36"/>
    <mergeCell ref="B37:C37"/>
    <mergeCell ref="B39:C39"/>
    <mergeCell ref="B51:C51"/>
    <mergeCell ref="B52:C52"/>
    <mergeCell ref="B55:C55"/>
    <mergeCell ref="B41:C41"/>
    <mergeCell ref="B42:C42"/>
    <mergeCell ref="B44:C44"/>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24</vt:i4>
      </vt:variant>
    </vt:vector>
  </HeadingPairs>
  <TitlesOfParts>
    <vt:vector size="57" baseType="lpstr">
      <vt:lpstr>IS (F1Q23)</vt:lpstr>
      <vt:lpstr>BS (F1Q23)</vt:lpstr>
      <vt:lpstr>CFS (F1Q23)</vt:lpstr>
      <vt:lpstr>Charts (F1Q23)</vt:lpstr>
      <vt:lpstr>Valuation (F1Q23)</vt:lpstr>
      <vt:lpstr>Snapshot</vt:lpstr>
      <vt:lpstr>IS (Adjusted)</vt:lpstr>
      <vt:lpstr>BS (Adjusted)</vt:lpstr>
      <vt:lpstr>CFS (Adjusted)</vt:lpstr>
      <vt:lpstr>Charts (Adjusted)</vt:lpstr>
      <vt:lpstr>Valuation (Adjusted)</vt:lpstr>
      <vt:lpstr>IS (Base)</vt:lpstr>
      <vt:lpstr>BS (Base)</vt:lpstr>
      <vt:lpstr>CFS (Base)</vt:lpstr>
      <vt:lpstr>Charts (Base)</vt:lpstr>
      <vt:lpstr>Valuation (Base)</vt:lpstr>
      <vt:lpstr>IS (change)</vt:lpstr>
      <vt:lpstr>BS (change)</vt:lpstr>
      <vt:lpstr>CFS (change)</vt:lpstr>
      <vt:lpstr>IS (F4Q2022)</vt:lpstr>
      <vt:lpstr>BS (F4Q2022)</vt:lpstr>
      <vt:lpstr>CFS (F4Q2022)</vt:lpstr>
      <vt:lpstr>Charts (F4Q2022)</vt:lpstr>
      <vt:lpstr>Valuation (F4Q2022)</vt:lpstr>
      <vt:lpstr>IS (Chg from 4Q22)</vt:lpstr>
      <vt:lpstr>BS (Chg from 4Q22)</vt:lpstr>
      <vt:lpstr>CFS (Chg from 4Q22)</vt:lpstr>
      <vt:lpstr>IS 3Q2022</vt:lpstr>
      <vt:lpstr>BS 3Q2022</vt:lpstr>
      <vt:lpstr>CFS 3Q2022</vt:lpstr>
      <vt:lpstr>IS 4Q Change</vt:lpstr>
      <vt:lpstr>BS 4Q Change</vt:lpstr>
      <vt:lpstr>CFS 4Q Change</vt:lpstr>
      <vt:lpstr>'BS (Adjusted)'!Print_Area</vt:lpstr>
      <vt:lpstr>'BS (Base)'!Print_Area</vt:lpstr>
      <vt:lpstr>'BS (change)'!Print_Area</vt:lpstr>
      <vt:lpstr>'BS (Chg from 4Q22)'!Print_Area</vt:lpstr>
      <vt:lpstr>'BS (F1Q23)'!Print_Area</vt:lpstr>
      <vt:lpstr>'BS (F4Q2022)'!Print_Area</vt:lpstr>
      <vt:lpstr>'BS 3Q2022'!Print_Area</vt:lpstr>
      <vt:lpstr>'BS 4Q Change'!Print_Area</vt:lpstr>
      <vt:lpstr>'CFS (Adjusted)'!Print_Area</vt:lpstr>
      <vt:lpstr>'CFS (Base)'!Print_Area</vt:lpstr>
      <vt:lpstr>'CFS (change)'!Print_Area</vt:lpstr>
      <vt:lpstr>'CFS (Chg from 4Q22)'!Print_Area</vt:lpstr>
      <vt:lpstr>'CFS (F1Q23)'!Print_Area</vt:lpstr>
      <vt:lpstr>'CFS (F4Q2022)'!Print_Area</vt:lpstr>
      <vt:lpstr>'CFS 3Q2022'!Print_Area</vt:lpstr>
      <vt:lpstr>'CFS 4Q Change'!Print_Area</vt:lpstr>
      <vt:lpstr>'IS (Adjusted)'!Print_Area</vt:lpstr>
      <vt:lpstr>'IS (Base)'!Print_Area</vt:lpstr>
      <vt:lpstr>'IS (change)'!Print_Area</vt:lpstr>
      <vt:lpstr>'IS (Chg from 4Q22)'!Print_Area</vt:lpstr>
      <vt:lpstr>'IS (F1Q23)'!Print_Area</vt:lpstr>
      <vt:lpstr>'IS (F4Q2022)'!Print_Area</vt:lpstr>
      <vt:lpstr>'IS 3Q2022'!Print_Area</vt:lpstr>
      <vt:lpstr>'IS 4Q Change'!Print_Area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John Moschella</cp:lastModifiedBy>
  <cp:lastPrinted>2015-01-03T01:11:29Z</cp:lastPrinted>
  <dcterms:created xsi:type="dcterms:W3CDTF">2014-10-18T18:34:10Z</dcterms:created>
  <dcterms:modified xsi:type="dcterms:W3CDTF">2023-07-12T10:59:37Z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